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Masques!$AF$57:$AF$80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Masques!$AJ$57:$AJ$80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Masques!$B$57:$B$80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Z10" i="7"/>
  <c r="AB10" i="7" s="1"/>
  <c r="AH5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N10" i="7"/>
  <c r="P10" i="7" s="1"/>
  <c r="E10" i="7"/>
  <c r="C10" i="7"/>
  <c r="L10" i="7" s="1"/>
  <c r="R10" i="7" s="1"/>
  <c r="B10" i="7"/>
  <c r="D10" i="7" s="1"/>
  <c r="F9" i="7"/>
  <c r="B9" i="7"/>
  <c r="O10" i="7" l="1"/>
  <c r="AA10" i="7"/>
  <c r="H9" i="7"/>
  <c r="C9" i="7"/>
  <c r="V10" i="7"/>
  <c r="X9" i="7"/>
  <c r="AD9" i="7" s="1"/>
  <c r="U10" i="7"/>
  <c r="I9" i="7" l="1"/>
  <c r="N9" i="7"/>
  <c r="T9" i="7" l="1"/>
  <c r="O9" i="7"/>
  <c r="Z9" i="7" l="1"/>
  <c r="U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71" i="18" l="1"/>
  <c r="CF380" i="6" l="1"/>
  <c r="CE380" i="6"/>
  <c r="CD380" i="6"/>
  <c r="CB380" i="6"/>
  <c r="CA380" i="6"/>
  <c r="BZ380" i="6"/>
  <c r="BX380" i="6"/>
  <c r="BW38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M32" i="19" l="1"/>
  <c r="H10" i="7"/>
  <c r="AF10" i="7"/>
  <c r="L32" i="19"/>
  <c r="K32" i="19"/>
  <c r="AH10" i="7" l="1"/>
  <c r="AN10" i="7" s="1"/>
  <c r="AT10" i="7" s="1"/>
  <c r="AZ10" i="7" s="1"/>
  <c r="BF10" i="7" s="1"/>
  <c r="BL10" i="7" s="1"/>
  <c r="BR10" i="7" s="1"/>
  <c r="BX10" i="7" s="1"/>
  <c r="AJ9" i="7"/>
  <c r="AL10" i="7" s="1"/>
  <c r="AP9" i="7" s="1"/>
  <c r="AR10" i="7" s="1"/>
  <c r="L9" i="7"/>
  <c r="R9" i="7" s="1"/>
  <c r="K10" i="7"/>
  <c r="Q10" i="7" s="1"/>
  <c r="W10" i="7" s="1"/>
  <c r="AC10" i="7" s="1"/>
  <c r="AI5" i="7" s="1"/>
  <c r="AI10" i="7" s="1"/>
  <c r="AO10" i="7" s="1"/>
  <c r="AU10" i="7" s="1"/>
  <c r="BA10" i="7" s="1"/>
  <c r="BG10" i="7" s="1"/>
  <c r="BM10" i="7" s="1"/>
  <c r="BS10" i="7" s="1"/>
  <c r="BY10" i="7" s="1"/>
  <c r="J10" i="7"/>
  <c r="W12" i="27"/>
  <c r="I33" i="27"/>
  <c r="I34" i="27" s="1"/>
  <c r="I35" i="27" s="1"/>
  <c r="I36" i="27" s="1"/>
  <c r="I37" i="27" s="1"/>
  <c r="I38" i="27" s="1"/>
  <c r="I39" i="27" s="1"/>
  <c r="I40" i="27" s="1"/>
  <c r="I41" i="27" s="1"/>
  <c r="I42" i="27" s="1"/>
  <c r="I43" i="27" s="1"/>
  <c r="I32" i="27"/>
  <c r="W10" i="27"/>
  <c r="W11" i="27"/>
  <c r="AV9" i="7" l="1"/>
  <c r="AX10" i="7" s="1"/>
  <c r="BB9" i="7" s="1"/>
  <c r="BD10" i="7" s="1"/>
  <c r="D12" i="27"/>
  <c r="E12" i="27"/>
  <c r="D10" i="27"/>
  <c r="E10" i="27" s="1"/>
  <c r="D11" i="27"/>
  <c r="E11" i="27" s="1"/>
  <c r="I5" i="27"/>
  <c r="BH9" i="7" l="1"/>
  <c r="BJ10" i="7" s="1"/>
  <c r="K19" i="27"/>
  <c r="J19" i="27"/>
  <c r="L19" i="27" s="1"/>
  <c r="K18" i="27"/>
  <c r="J18" i="27"/>
  <c r="K17" i="27"/>
  <c r="J17" i="27"/>
  <c r="K16" i="27"/>
  <c r="M42" i="27"/>
  <c r="N79" i="27" s="1"/>
  <c r="K42" i="27"/>
  <c r="L42" i="27" s="1"/>
  <c r="G79" i="27" s="1"/>
  <c r="J42" i="27"/>
  <c r="M41" i="27"/>
  <c r="N78" i="27" s="1"/>
  <c r="K41" i="27"/>
  <c r="J41" i="27"/>
  <c r="M40" i="27"/>
  <c r="L40" i="27"/>
  <c r="M77" i="27" s="1"/>
  <c r="K40" i="27"/>
  <c r="J40" i="27"/>
  <c r="M39" i="27"/>
  <c r="L39" i="27"/>
  <c r="H76" i="27" s="1"/>
  <c r="K39" i="27"/>
  <c r="J39" i="27"/>
  <c r="M38" i="27"/>
  <c r="L38" i="27"/>
  <c r="H75" i="27" s="1"/>
  <c r="K38" i="27"/>
  <c r="J38" i="27"/>
  <c r="K37" i="27"/>
  <c r="J37" i="27"/>
  <c r="L37" i="27" s="1"/>
  <c r="J74" i="27" s="1"/>
  <c r="M36" i="27"/>
  <c r="K36" i="27"/>
  <c r="J36" i="27"/>
  <c r="K35" i="27"/>
  <c r="J35" i="27"/>
  <c r="M34" i="27"/>
  <c r="K34" i="27"/>
  <c r="J34" i="27"/>
  <c r="K33" i="27"/>
  <c r="J33" i="27"/>
  <c r="M32" i="27"/>
  <c r="K32" i="27"/>
  <c r="J32" i="27"/>
  <c r="K31" i="27"/>
  <c r="M30" i="27"/>
  <c r="N67" i="27" s="1"/>
  <c r="K30" i="27"/>
  <c r="K29" i="27"/>
  <c r="J29" i="27"/>
  <c r="K28" i="27"/>
  <c r="K27" i="27"/>
  <c r="M26" i="27"/>
  <c r="N63" i="27" s="1"/>
  <c r="K26" i="27"/>
  <c r="K25" i="27"/>
  <c r="J25" i="27"/>
  <c r="M24" i="27"/>
  <c r="N61" i="27" s="1"/>
  <c r="K24" i="27"/>
  <c r="K23" i="27"/>
  <c r="K22" i="27"/>
  <c r="M21" i="27"/>
  <c r="N58" i="27" s="1"/>
  <c r="K21" i="27"/>
  <c r="J21" i="27"/>
  <c r="L21" i="27" s="1"/>
  <c r="K58" i="27" s="1"/>
  <c r="M20" i="27"/>
  <c r="N57" i="27" s="1"/>
  <c r="L20" i="27"/>
  <c r="F57" i="27" s="1"/>
  <c r="K20" i="27"/>
  <c r="J20" i="27"/>
  <c r="BN12" i="6"/>
  <c r="BN13" i="6"/>
  <c r="D13" i="27"/>
  <c r="E13" i="27" s="1"/>
  <c r="AX79" i="27"/>
  <c r="AX77" i="27"/>
  <c r="AX75" i="27"/>
  <c r="AX73" i="27"/>
  <c r="AX71" i="27"/>
  <c r="AX69" i="27"/>
  <c r="AX67" i="27"/>
  <c r="AX65" i="27"/>
  <c r="AX63" i="27"/>
  <c r="AX61" i="27"/>
  <c r="AX59" i="27"/>
  <c r="AW57" i="27"/>
  <c r="AU57" i="27"/>
  <c r="AS57" i="27"/>
  <c r="M80" i="27"/>
  <c r="L80" i="27"/>
  <c r="K80" i="27"/>
  <c r="J80" i="27"/>
  <c r="I80" i="27"/>
  <c r="H80" i="27"/>
  <c r="G80" i="27"/>
  <c r="F80" i="27"/>
  <c r="E80" i="27"/>
  <c r="D80" i="27"/>
  <c r="C80" i="27"/>
  <c r="A63" i="27"/>
  <c r="AF57" i="27"/>
  <c r="N76" i="27"/>
  <c r="N80" i="27"/>
  <c r="N77" i="27"/>
  <c r="N34" i="27"/>
  <c r="O71" i="27" s="1"/>
  <c r="N35" i="27"/>
  <c r="O72" i="27" s="1"/>
  <c r="N36" i="27"/>
  <c r="O73" i="27" s="1"/>
  <c r="N37" i="27"/>
  <c r="O74" i="27" s="1"/>
  <c r="J4" i="19"/>
  <c r="I4" i="19"/>
  <c r="BO14" i="6"/>
  <c r="BO13" i="6"/>
  <c r="BP13" i="6" s="1"/>
  <c r="BO12" i="6"/>
  <c r="N39" i="27"/>
  <c r="O76" i="27" s="1"/>
  <c r="N38" i="27"/>
  <c r="O75" i="27" s="1"/>
  <c r="N33" i="27"/>
  <c r="O70" i="27" s="1"/>
  <c r="N32" i="27"/>
  <c r="O69" i="27" s="1"/>
  <c r="N22" i="27"/>
  <c r="O59" i="27" s="1"/>
  <c r="N23" i="27"/>
  <c r="O60" i="27" s="1"/>
  <c r="N24" i="27"/>
  <c r="O61" i="27" s="1"/>
  <c r="N25" i="27"/>
  <c r="O62" i="27" s="1"/>
  <c r="N26" i="27"/>
  <c r="O63" i="27" s="1"/>
  <c r="N27" i="27"/>
  <c r="O64" i="27" s="1"/>
  <c r="N28" i="27"/>
  <c r="O65" i="27" s="1"/>
  <c r="N29" i="27"/>
  <c r="O66" i="27" s="1"/>
  <c r="N30" i="27"/>
  <c r="O67" i="27" s="1"/>
  <c r="N31" i="27"/>
  <c r="O68" i="27" s="1"/>
  <c r="N14" i="27"/>
  <c r="M28" i="27" s="1"/>
  <c r="AF80" i="27"/>
  <c r="A80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71" i="27"/>
  <c r="A70" i="27"/>
  <c r="AF69" i="27"/>
  <c r="A69" i="27"/>
  <c r="A68" i="27"/>
  <c r="A67" i="27"/>
  <c r="A66" i="27"/>
  <c r="A65" i="27"/>
  <c r="A64" i="27"/>
  <c r="A62" i="27"/>
  <c r="AF61" i="27"/>
  <c r="A61" i="27"/>
  <c r="A60" i="27"/>
  <c r="AF59" i="27"/>
  <c r="A59" i="27"/>
  <c r="AF58" i="27"/>
  <c r="A58" i="27"/>
  <c r="A57" i="27"/>
  <c r="V56" i="27"/>
  <c r="I56" i="27"/>
  <c r="G56" i="27"/>
  <c r="AA55" i="27"/>
  <c r="O55" i="27"/>
  <c r="A55" i="27"/>
  <c r="H54" i="27"/>
  <c r="N43" i="27"/>
  <c r="O80" i="27" s="1"/>
  <c r="N42" i="27"/>
  <c r="O79" i="27" s="1"/>
  <c r="N41" i="27"/>
  <c r="O78" i="27" s="1"/>
  <c r="N40" i="27"/>
  <c r="O77" i="27"/>
  <c r="N21" i="27"/>
  <c r="O58" i="27" s="1"/>
  <c r="N20" i="27"/>
  <c r="O57" i="27" s="1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E358" i="6" s="1"/>
  <c r="AK13" i="6"/>
  <c r="AJ13" i="6"/>
  <c r="L29" i="6" s="1"/>
  <c r="M31" i="6" s="1"/>
  <c r="AI13" i="6"/>
  <c r="AH13" i="6"/>
  <c r="AG20" i="6" s="1"/>
  <c r="AG13" i="6"/>
  <c r="AF20" i="6" s="1"/>
  <c r="AF13" i="6"/>
  <c r="W29" i="6" s="1"/>
  <c r="AE13" i="6"/>
  <c r="AF16" i="6" s="1"/>
  <c r="AD13" i="6"/>
  <c r="AD18" i="6" s="1"/>
  <c r="AC13" i="6"/>
  <c r="U44" i="6" s="1"/>
  <c r="AB13" i="6"/>
  <c r="AC16" i="6" s="1"/>
  <c r="AA13" i="6"/>
  <c r="Z20" i="6" s="1"/>
  <c r="Z13" i="6"/>
  <c r="E190" i="6" s="1"/>
  <c r="Y13" i="6"/>
  <c r="E176" i="6" s="1"/>
  <c r="X13" i="6"/>
  <c r="E162" i="6" s="1"/>
  <c r="W13" i="6"/>
  <c r="W18" i="6" s="1"/>
  <c r="V13" i="6"/>
  <c r="V18" i="6" s="1"/>
  <c r="U13" i="6"/>
  <c r="E120" i="6" s="1"/>
  <c r="T13" i="6"/>
  <c r="S20" i="6" s="1"/>
  <c r="S13" i="6"/>
  <c r="T16" i="6" s="1"/>
  <c r="R13" i="6"/>
  <c r="E78" i="6" s="1"/>
  <c r="Q13" i="6"/>
  <c r="Q18" i="6" s="1"/>
  <c r="P13" i="6"/>
  <c r="AB29" i="6" s="1"/>
  <c r="AA35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/>
  <c r="H9" i="17"/>
  <c r="B14" i="19" s="1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L12" i="1"/>
  <c r="BK15" i="7"/>
  <c r="O9" i="1"/>
  <c r="AF60" i="27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6" i="27"/>
  <c r="G12" i="27"/>
  <c r="BP14" i="6"/>
  <c r="AF71" i="27"/>
  <c r="BW15" i="7"/>
  <c r="BQ15" i="7"/>
  <c r="AF65" i="27"/>
  <c r="AF68" i="2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I20" i="27"/>
  <c r="O5" i="27"/>
  <c r="C55" i="27"/>
  <c r="Q55" i="27"/>
  <c r="H25" i="27"/>
  <c r="H23" i="27"/>
  <c r="H26" i="27"/>
  <c r="H22" i="27"/>
  <c r="H24" i="27"/>
  <c r="H29" i="27"/>
  <c r="O56" i="27"/>
  <c r="H28" i="27"/>
  <c r="H27" i="27"/>
  <c r="F11" i="27"/>
  <c r="J56" i="27"/>
  <c r="BN14" i="6"/>
  <c r="F56" i="27"/>
  <c r="U56" i="27"/>
  <c r="BQ14" i="6"/>
  <c r="K56" i="27"/>
  <c r="X56" i="27"/>
  <c r="BR14" i="6"/>
  <c r="Y56" i="27"/>
  <c r="L56" i="27"/>
  <c r="T56" i="27"/>
  <c r="E56" i="27"/>
  <c r="BM14" i="6"/>
  <c r="D56" i="27"/>
  <c r="S56" i="27"/>
  <c r="BL14" i="6"/>
  <c r="M56" i="27"/>
  <c r="Z56" i="27"/>
  <c r="BS14" i="6"/>
  <c r="BT14" i="6"/>
  <c r="AA56" i="27"/>
  <c r="C56" i="27"/>
  <c r="BK14" i="6"/>
  <c r="R56" i="27"/>
  <c r="Q56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M16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BN9" i="7" l="1"/>
  <c r="BP10" i="7" s="1"/>
  <c r="BK10" i="7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Y18" i="6"/>
  <c r="BS13" i="7"/>
  <c r="Z16" i="6"/>
  <c r="AI20" i="6"/>
  <c r="E330" i="6"/>
  <c r="AH18" i="6"/>
  <c r="X18" i="6"/>
  <c r="Y20" i="6"/>
  <c r="AL18" i="6"/>
  <c r="AJ18" i="6"/>
  <c r="Z44" i="6"/>
  <c r="Z48" i="6" s="1"/>
  <c r="V16" i="6"/>
  <c r="E148" i="6"/>
  <c r="AB44" i="6"/>
  <c r="AA50" i="6" s="1"/>
  <c r="AB20" i="6"/>
  <c r="S44" i="6"/>
  <c r="R44" i="6"/>
  <c r="Q44" i="6"/>
  <c r="AC18" i="6"/>
  <c r="R46" i="6"/>
  <c r="S46" i="6"/>
  <c r="AK16" i="6"/>
  <c r="AG16" i="6"/>
  <c r="R18" i="6"/>
  <c r="E134" i="6"/>
  <c r="E218" i="6"/>
  <c r="L13" i="6"/>
  <c r="M29" i="6" s="1"/>
  <c r="M33" i="6" s="1"/>
  <c r="S16" i="6"/>
  <c r="AF18" i="6"/>
  <c r="AF24" i="6" s="1"/>
  <c r="AF23" i="6" s="1"/>
  <c r="AF25" i="6" s="1"/>
  <c r="X29" i="6"/>
  <c r="AI16" i="6"/>
  <c r="V35" i="6"/>
  <c r="W33" i="6"/>
  <c r="X31" i="6"/>
  <c r="Y29" i="6"/>
  <c r="E274" i="6"/>
  <c r="Q16" i="6"/>
  <c r="W20" i="6"/>
  <c r="M16" i="6"/>
  <c r="Y31" i="6"/>
  <c r="AA46" i="6"/>
  <c r="E302" i="6"/>
  <c r="AA20" i="6"/>
  <c r="AK20" i="6"/>
  <c r="Z29" i="6"/>
  <c r="AA31" i="6" s="1"/>
  <c r="O29" i="6"/>
  <c r="P31" i="6" s="1"/>
  <c r="AE20" i="6"/>
  <c r="AN16" i="6"/>
  <c r="AM18" i="6"/>
  <c r="U48" i="6"/>
  <c r="V46" i="6"/>
  <c r="T50" i="6"/>
  <c r="E232" i="6"/>
  <c r="AD16" i="6"/>
  <c r="X20" i="6"/>
  <c r="V20" i="6"/>
  <c r="X16" i="6"/>
  <c r="T20" i="6"/>
  <c r="P44" i="6"/>
  <c r="P48" i="6" s="1"/>
  <c r="U18" i="6"/>
  <c r="AN13" i="6"/>
  <c r="AM20" i="6" s="1"/>
  <c r="M20" i="6"/>
  <c r="E92" i="6"/>
  <c r="S18" i="6"/>
  <c r="R20" i="6"/>
  <c r="P20" i="6"/>
  <c r="E64" i="6"/>
  <c r="O44" i="6"/>
  <c r="P46" i="6" s="1"/>
  <c r="R16" i="6"/>
  <c r="N29" i="6"/>
  <c r="O31" i="6" s="1"/>
  <c r="N18" i="6"/>
  <c r="N20" i="6"/>
  <c r="E36" i="6"/>
  <c r="AO13" i="6"/>
  <c r="N31" i="6"/>
  <c r="AL20" i="6"/>
  <c r="M13" i="6"/>
  <c r="N16" i="6" s="1"/>
  <c r="O18" i="6"/>
  <c r="N44" i="6"/>
  <c r="O16" i="6"/>
  <c r="J1" i="15"/>
  <c r="A3" i="7"/>
  <c r="F7" i="1"/>
  <c r="A6" i="6"/>
  <c r="A11" i="19"/>
  <c r="A35" i="19" s="1"/>
  <c r="V14" i="1"/>
  <c r="BP13" i="7"/>
  <c r="L1" i="1"/>
  <c r="A15" i="1"/>
  <c r="X1" i="1"/>
  <c r="A61" i="19"/>
  <c r="F14" i="1"/>
  <c r="AB16" i="6"/>
  <c r="E204" i="6"/>
  <c r="T44" i="6"/>
  <c r="AA18" i="6"/>
  <c r="E260" i="6"/>
  <c r="V44" i="6"/>
  <c r="AD20" i="6"/>
  <c r="AE18" i="6"/>
  <c r="AH16" i="6"/>
  <c r="W44" i="6"/>
  <c r="AG18" i="6"/>
  <c r="E288" i="6"/>
  <c r="E316" i="6"/>
  <c r="X44" i="6"/>
  <c r="AH20" i="6"/>
  <c r="AJ16" i="6"/>
  <c r="AL16" i="6"/>
  <c r="AK18" i="6"/>
  <c r="L44" i="6"/>
  <c r="M46" i="6" s="1"/>
  <c r="E344" i="6"/>
  <c r="AJ20" i="6"/>
  <c r="Y44" i="6"/>
  <c r="AI18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H21" i="27"/>
  <c r="AE58" i="27" s="1"/>
  <c r="H30" i="27"/>
  <c r="H31" i="27"/>
  <c r="H32" i="27" s="1"/>
  <c r="H33" i="27" s="1"/>
  <c r="H34" i="27" s="1"/>
  <c r="H35" i="27" s="1"/>
  <c r="H36" i="27" s="1"/>
  <c r="H37" i="27" s="1"/>
  <c r="H38" i="27" s="1"/>
  <c r="H39" i="27" s="1"/>
  <c r="H40" i="27" s="1"/>
  <c r="H41" i="27" s="1"/>
  <c r="H42" i="27" s="1"/>
  <c r="H43" i="27" s="1"/>
  <c r="AX60" i="27"/>
  <c r="AX62" i="27"/>
  <c r="AX64" i="27"/>
  <c r="AX66" i="27"/>
  <c r="AX68" i="27"/>
  <c r="AX70" i="27"/>
  <c r="AX72" i="27"/>
  <c r="AX74" i="27"/>
  <c r="AX76" i="27"/>
  <c r="AX78" i="27"/>
  <c r="AX80" i="27"/>
  <c r="M22" i="27"/>
  <c r="N59" i="27" s="1"/>
  <c r="L33" i="27"/>
  <c r="C70" i="27" s="1"/>
  <c r="L29" i="27"/>
  <c r="H66" i="27" s="1"/>
  <c r="L35" i="27"/>
  <c r="L72" i="27" s="1"/>
  <c r="P55" i="27"/>
  <c r="P73" i="27"/>
  <c r="AY57" i="27"/>
  <c r="AO57" i="27" s="1"/>
  <c r="AY58" i="27"/>
  <c r="AY59" i="27"/>
  <c r="AO59" i="27" s="1"/>
  <c r="AY60" i="27"/>
  <c r="AY61" i="27"/>
  <c r="AO61" i="27" s="1"/>
  <c r="AY62" i="27"/>
  <c r="AY63" i="27"/>
  <c r="AO63" i="27" s="1"/>
  <c r="AY64" i="27"/>
  <c r="AY65" i="27"/>
  <c r="AY66" i="27"/>
  <c r="AY67" i="27"/>
  <c r="AO67" i="27" s="1"/>
  <c r="AY68" i="27"/>
  <c r="AY69" i="27"/>
  <c r="AO69" i="27" s="1"/>
  <c r="AY70" i="27"/>
  <c r="AY71" i="27"/>
  <c r="AO71" i="27" s="1"/>
  <c r="AY72" i="27"/>
  <c r="AY73" i="27"/>
  <c r="AY74" i="27"/>
  <c r="AY75" i="27"/>
  <c r="AO75" i="27" s="1"/>
  <c r="AY76" i="27"/>
  <c r="AY77" i="27"/>
  <c r="AO77" i="27" s="1"/>
  <c r="AY78" i="27"/>
  <c r="AY79" i="27"/>
  <c r="AO79" i="27" s="1"/>
  <c r="AY80" i="27"/>
  <c r="M23" i="27"/>
  <c r="N60" i="27" s="1"/>
  <c r="M25" i="27"/>
  <c r="N62" i="27" s="1"/>
  <c r="M27" i="27"/>
  <c r="N64" i="27" s="1"/>
  <c r="M29" i="27"/>
  <c r="N66" i="27" s="1"/>
  <c r="M31" i="27"/>
  <c r="N68" i="27" s="1"/>
  <c r="M33" i="27"/>
  <c r="M35" i="27"/>
  <c r="M37" i="27"/>
  <c r="N74" i="27" s="1"/>
  <c r="N75" i="27"/>
  <c r="L25" i="27"/>
  <c r="G62" i="27" s="1"/>
  <c r="L34" i="27"/>
  <c r="K71" i="27" s="1"/>
  <c r="L41" i="27"/>
  <c r="F78" i="27" s="1"/>
  <c r="N72" i="27"/>
  <c r="N69" i="27"/>
  <c r="N71" i="27"/>
  <c r="L36" i="27"/>
  <c r="L73" i="27" s="1"/>
  <c r="N73" i="27"/>
  <c r="L32" i="27"/>
  <c r="C69" i="27" s="1"/>
  <c r="AO73" i="27"/>
  <c r="AO65" i="27"/>
  <c r="AO80" i="27"/>
  <c r="AO72" i="27"/>
  <c r="AO64" i="27"/>
  <c r="L17" i="27"/>
  <c r="I12" i="27"/>
  <c r="AE68" i="27"/>
  <c r="AE64" i="27"/>
  <c r="I77" i="27"/>
  <c r="F75" i="27"/>
  <c r="I11" i="27"/>
  <c r="L76" i="27"/>
  <c r="G10" i="27"/>
  <c r="J57" i="27"/>
  <c r="L79" i="27"/>
  <c r="E57" i="27"/>
  <c r="I58" i="27"/>
  <c r="I72" i="27"/>
  <c r="I75" i="27"/>
  <c r="D57" i="27"/>
  <c r="M57" i="27"/>
  <c r="J58" i="27"/>
  <c r="D77" i="27"/>
  <c r="K76" i="27"/>
  <c r="F74" i="27"/>
  <c r="J66" i="27"/>
  <c r="I79" i="27"/>
  <c r="F79" i="27"/>
  <c r="L75" i="27"/>
  <c r="L57" i="27"/>
  <c r="I57" i="27"/>
  <c r="I62" i="27"/>
  <c r="C58" i="27"/>
  <c r="H79" i="27"/>
  <c r="J77" i="27"/>
  <c r="C75" i="27"/>
  <c r="J78" i="27"/>
  <c r="D76" i="27"/>
  <c r="C74" i="27"/>
  <c r="C72" i="27"/>
  <c r="E79" i="27"/>
  <c r="D79" i="27"/>
  <c r="M79" i="27"/>
  <c r="E75" i="27"/>
  <c r="D75" i="27"/>
  <c r="M75" i="27"/>
  <c r="H57" i="27"/>
  <c r="C57" i="27"/>
  <c r="G57" i="27"/>
  <c r="K57" i="27"/>
  <c r="K70" i="27"/>
  <c r="H58" i="27"/>
  <c r="E70" i="27"/>
  <c r="L77" i="27"/>
  <c r="E77" i="27"/>
  <c r="C78" i="27"/>
  <c r="C76" i="27"/>
  <c r="I76" i="27"/>
  <c r="I74" i="27"/>
  <c r="K74" i="27"/>
  <c r="K72" i="27"/>
  <c r="M58" i="27"/>
  <c r="F58" i="27"/>
  <c r="G58" i="27"/>
  <c r="L58" i="27"/>
  <c r="D58" i="27"/>
  <c r="E58" i="27"/>
  <c r="M62" i="27"/>
  <c r="L66" i="27"/>
  <c r="F66" i="27"/>
  <c r="G69" i="27"/>
  <c r="G70" i="27"/>
  <c r="D70" i="27"/>
  <c r="J70" i="27"/>
  <c r="I70" i="27"/>
  <c r="F72" i="27"/>
  <c r="E72" i="27"/>
  <c r="K73" i="27"/>
  <c r="L74" i="27"/>
  <c r="H74" i="27"/>
  <c r="D74" i="27"/>
  <c r="G74" i="27"/>
  <c r="M74" i="27"/>
  <c r="E74" i="27"/>
  <c r="K75" i="27"/>
  <c r="J75" i="27"/>
  <c r="G75" i="27"/>
  <c r="J76" i="27"/>
  <c r="F76" i="27"/>
  <c r="M76" i="27"/>
  <c r="E76" i="27"/>
  <c r="G76" i="27"/>
  <c r="K77" i="27"/>
  <c r="G77" i="27"/>
  <c r="C77" i="27"/>
  <c r="F77" i="27"/>
  <c r="H77" i="27"/>
  <c r="L78" i="27"/>
  <c r="D78" i="27"/>
  <c r="M78" i="27"/>
  <c r="K79" i="27"/>
  <c r="C79" i="27"/>
  <c r="J79" i="27"/>
  <c r="I10" i="27"/>
  <c r="J73" i="27"/>
  <c r="C73" i="27"/>
  <c r="F70" i="27"/>
  <c r="H70" i="27"/>
  <c r="M70" i="27"/>
  <c r="L70" i="27"/>
  <c r="C66" i="27"/>
  <c r="E66" i="27"/>
  <c r="D66" i="27"/>
  <c r="K66" i="27"/>
  <c r="M66" i="27"/>
  <c r="I66" i="27"/>
  <c r="G66" i="27"/>
  <c r="H62" i="27"/>
  <c r="P72" i="27"/>
  <c r="H20" i="27"/>
  <c r="AE72" i="27"/>
  <c r="P57" i="27"/>
  <c r="BH9" i="6"/>
  <c r="U12" i="1" s="1"/>
  <c r="P59" i="27"/>
  <c r="AE66" i="27"/>
  <c r="AE65" i="27"/>
  <c r="AE59" i="27"/>
  <c r="P60" i="27"/>
  <c r="N65" i="27"/>
  <c r="AE63" i="27"/>
  <c r="AE62" i="27"/>
  <c r="P58" i="27"/>
  <c r="P65" i="27"/>
  <c r="AE61" i="27"/>
  <c r="AE60" i="27"/>
  <c r="P61" i="27"/>
  <c r="AC9" i="1"/>
  <c r="AC12" i="1"/>
  <c r="E7" i="1"/>
  <c r="J1" i="16"/>
  <c r="L1" i="15"/>
  <c r="A12" i="19"/>
  <c r="A36" i="19" s="1"/>
  <c r="J380" i="15"/>
  <c r="Y14" i="15"/>
  <c r="BJ13" i="7"/>
  <c r="AJ15" i="1"/>
  <c r="E8" i="1"/>
  <c r="K11" i="19" s="1"/>
  <c r="K35" i="19" s="1"/>
  <c r="AJ380" i="1"/>
  <c r="BM13" i="7"/>
  <c r="BY13" i="7"/>
  <c r="L1" i="16"/>
  <c r="J1" i="17"/>
  <c r="X1" i="16"/>
  <c r="C6" i="6"/>
  <c r="AB15" i="1"/>
  <c r="X15" i="1"/>
  <c r="A16" i="1"/>
  <c r="BV13" i="7"/>
  <c r="B13" i="7"/>
  <c r="BT9" i="7" l="1"/>
  <c r="BV10" i="7" s="1"/>
  <c r="BQ10" i="7"/>
  <c r="Q24" i="6"/>
  <c r="Q23" i="6" s="1"/>
  <c r="Q25" i="6" s="1"/>
  <c r="O50" i="6"/>
  <c r="Y50" i="6"/>
  <c r="AC24" i="6"/>
  <c r="AC23" i="6" s="1"/>
  <c r="AC25" i="6" s="1"/>
  <c r="AH24" i="6"/>
  <c r="AH23" i="6" s="1"/>
  <c r="AH25" i="6" s="1"/>
  <c r="R24" i="6"/>
  <c r="R23" i="6" s="1"/>
  <c r="R25" i="6" s="1"/>
  <c r="V24" i="6"/>
  <c r="V23" i="6" s="1"/>
  <c r="V25" i="6" s="1"/>
  <c r="M44" i="6"/>
  <c r="N46" i="6" s="1"/>
  <c r="Y35" i="6"/>
  <c r="N50" i="6"/>
  <c r="X24" i="6"/>
  <c r="X23" i="6" s="1"/>
  <c r="X25" i="6" s="1"/>
  <c r="Q48" i="6"/>
  <c r="P50" i="6"/>
  <c r="P54" i="6" s="1"/>
  <c r="P53" i="6" s="1"/>
  <c r="P55" i="6" s="1"/>
  <c r="T46" i="6"/>
  <c r="S48" i="6"/>
  <c r="AB24" i="6"/>
  <c r="AB23" i="6" s="1"/>
  <c r="AB25" i="6" s="1"/>
  <c r="AN18" i="6"/>
  <c r="R50" i="6"/>
  <c r="Q50" i="6"/>
  <c r="R48" i="6"/>
  <c r="R54" i="6" s="1"/>
  <c r="R53" i="6" s="1"/>
  <c r="R55" i="6" s="1"/>
  <c r="W35" i="6"/>
  <c r="X33" i="6"/>
  <c r="Z33" i="6"/>
  <c r="AA29" i="6"/>
  <c r="Z35" i="6" s="1"/>
  <c r="Q46" i="6"/>
  <c r="S24" i="6"/>
  <c r="S23" i="6" s="1"/>
  <c r="S25" i="6" s="1"/>
  <c r="N35" i="6"/>
  <c r="Z31" i="6"/>
  <c r="X35" i="6"/>
  <c r="Y33" i="6"/>
  <c r="N33" i="6"/>
  <c r="O33" i="6"/>
  <c r="AJ24" i="6"/>
  <c r="AJ23" i="6" s="1"/>
  <c r="AJ25" i="6" s="1"/>
  <c r="AD24" i="6"/>
  <c r="AD23" i="6" s="1"/>
  <c r="AD25" i="6" s="1"/>
  <c r="U24" i="6"/>
  <c r="U23" i="6" s="1"/>
  <c r="T24" i="6"/>
  <c r="T23" i="6" s="1"/>
  <c r="T25" i="6" s="1"/>
  <c r="O48" i="6"/>
  <c r="M35" i="6"/>
  <c r="M39" i="6" s="1"/>
  <c r="M38" i="6" s="1"/>
  <c r="AN20" i="6"/>
  <c r="AN24" i="6" s="1"/>
  <c r="AN23" i="6" s="1"/>
  <c r="AN25" i="6" s="1"/>
  <c r="AA44" i="6"/>
  <c r="N24" i="6"/>
  <c r="N23" i="6" s="1"/>
  <c r="N25" i="6" s="1"/>
  <c r="M18" i="6"/>
  <c r="M24" i="6" s="1"/>
  <c r="M23" i="6" s="1"/>
  <c r="N48" i="6"/>
  <c r="M50" i="6"/>
  <c r="O46" i="6"/>
  <c r="AI12" i="1"/>
  <c r="L11" i="15"/>
  <c r="B11" i="7"/>
  <c r="O11" i="1"/>
  <c r="K15" i="1"/>
  <c r="L15" i="1"/>
  <c r="B6" i="6"/>
  <c r="G3" i="7"/>
  <c r="X1" i="15"/>
  <c r="V14" i="15"/>
  <c r="A15" i="15"/>
  <c r="F14" i="15"/>
  <c r="A62" i="19"/>
  <c r="W31" i="6"/>
  <c r="U35" i="6"/>
  <c r="V33" i="6"/>
  <c r="Z24" i="6"/>
  <c r="Z23" i="6" s="1"/>
  <c r="Z25" i="6" s="1"/>
  <c r="Q35" i="6"/>
  <c r="R33" i="6"/>
  <c r="S31" i="6"/>
  <c r="Q33" i="6"/>
  <c r="P35" i="6"/>
  <c r="R31" i="6"/>
  <c r="E13" i="6"/>
  <c r="W24" i="6"/>
  <c r="W23" i="6" s="1"/>
  <c r="AM24" i="6"/>
  <c r="AM23" i="6" s="1"/>
  <c r="AM25" i="6" s="1"/>
  <c r="AG24" i="6"/>
  <c r="AG23" i="6" s="1"/>
  <c r="T48" i="6"/>
  <c r="S50" i="6"/>
  <c r="U46" i="6"/>
  <c r="Y24" i="6"/>
  <c r="Y23" i="6" s="1"/>
  <c r="V31" i="6"/>
  <c r="T35" i="6"/>
  <c r="U33" i="6"/>
  <c r="S35" i="6"/>
  <c r="T33" i="6"/>
  <c r="U31" i="6"/>
  <c r="R35" i="6"/>
  <c r="S33" i="6"/>
  <c r="T31" i="6"/>
  <c r="P33" i="6"/>
  <c r="Q31" i="6"/>
  <c r="O35" i="6"/>
  <c r="P24" i="6"/>
  <c r="P23" i="6" s="1"/>
  <c r="P25" i="6" s="1"/>
  <c r="O24" i="6"/>
  <c r="O23" i="6" s="1"/>
  <c r="AL24" i="6"/>
  <c r="AL23" i="6" s="1"/>
  <c r="AL25" i="6" s="1"/>
  <c r="AI24" i="6"/>
  <c r="AI23" i="6" s="1"/>
  <c r="Y48" i="6"/>
  <c r="X50" i="6"/>
  <c r="Z46" i="6"/>
  <c r="AK24" i="6"/>
  <c r="AK23" i="6" s="1"/>
  <c r="X48" i="6"/>
  <c r="W50" i="6"/>
  <c r="Y46" i="6"/>
  <c r="V50" i="6"/>
  <c r="X46" i="6"/>
  <c r="W48" i="6"/>
  <c r="AE24" i="6"/>
  <c r="AE23" i="6" s="1"/>
  <c r="W46" i="6"/>
  <c r="U50" i="6"/>
  <c r="V48" i="6"/>
  <c r="AA24" i="6"/>
  <c r="AA23" i="6" s="1"/>
  <c r="E12" i="6"/>
  <c r="G23" i="27"/>
  <c r="P74" i="27"/>
  <c r="AE67" i="27"/>
  <c r="P68" i="27"/>
  <c r="AO60" i="27"/>
  <c r="AO68" i="27"/>
  <c r="AO76" i="27"/>
  <c r="P75" i="27"/>
  <c r="P71" i="27"/>
  <c r="AE70" i="27"/>
  <c r="L71" i="27"/>
  <c r="G72" i="27"/>
  <c r="M72" i="27"/>
  <c r="J72" i="27"/>
  <c r="D69" i="27"/>
  <c r="D72" i="27"/>
  <c r="H72" i="27"/>
  <c r="AE69" i="27"/>
  <c r="E62" i="27"/>
  <c r="C62" i="27"/>
  <c r="F62" i="27"/>
  <c r="K62" i="27"/>
  <c r="J62" i="27"/>
  <c r="L62" i="27"/>
  <c r="D62" i="27"/>
  <c r="P69" i="27"/>
  <c r="J31" i="27"/>
  <c r="L31" i="27" s="1"/>
  <c r="J28" i="27"/>
  <c r="L28" i="27" s="1"/>
  <c r="J27" i="27"/>
  <c r="L27" i="27" s="1"/>
  <c r="J24" i="27"/>
  <c r="L24" i="27" s="1"/>
  <c r="J23" i="27"/>
  <c r="L23" i="27" s="1"/>
  <c r="J16" i="27"/>
  <c r="L16" i="27" s="1"/>
  <c r="L18" i="27" s="1"/>
  <c r="L14" i="27" s="1"/>
  <c r="J30" i="27"/>
  <c r="L30" i="27" s="1"/>
  <c r="J26" i="27"/>
  <c r="L26" i="27" s="1"/>
  <c r="D63" i="27" s="1"/>
  <c r="J22" i="27"/>
  <c r="L22" i="27" s="1"/>
  <c r="E78" i="27"/>
  <c r="G78" i="27"/>
  <c r="H78" i="27"/>
  <c r="L69" i="27"/>
  <c r="I78" i="27"/>
  <c r="M69" i="27"/>
  <c r="K78" i="27"/>
  <c r="N70" i="27"/>
  <c r="AE73" i="27"/>
  <c r="AE71" i="27"/>
  <c r="AO62" i="27"/>
  <c r="AO66" i="27"/>
  <c r="AO70" i="27"/>
  <c r="AO74" i="27"/>
  <c r="AO78" i="27"/>
  <c r="AO58" i="27"/>
  <c r="H73" i="27"/>
  <c r="M73" i="27"/>
  <c r="I69" i="27"/>
  <c r="E69" i="27"/>
  <c r="K69" i="27"/>
  <c r="F69" i="27"/>
  <c r="J69" i="27"/>
  <c r="F63" i="27"/>
  <c r="H71" i="27"/>
  <c r="M71" i="27"/>
  <c r="G73" i="27"/>
  <c r="F73" i="27"/>
  <c r="I73" i="27"/>
  <c r="D73" i="27"/>
  <c r="E73" i="27"/>
  <c r="C71" i="27"/>
  <c r="F71" i="27"/>
  <c r="I71" i="27"/>
  <c r="J71" i="27"/>
  <c r="D71" i="27"/>
  <c r="E71" i="27"/>
  <c r="G71" i="27"/>
  <c r="H69" i="27"/>
  <c r="L63" i="27"/>
  <c r="M67" i="27"/>
  <c r="D67" i="27"/>
  <c r="I67" i="27"/>
  <c r="K67" i="27"/>
  <c r="C67" i="27"/>
  <c r="G36" i="27"/>
  <c r="G31" i="27"/>
  <c r="G37" i="27"/>
  <c r="G20" i="27"/>
  <c r="G21" i="27"/>
  <c r="G22" i="27"/>
  <c r="G35" i="27"/>
  <c r="G34" i="27"/>
  <c r="AT57" i="27"/>
  <c r="AV57" i="27"/>
  <c r="AE57" i="27"/>
  <c r="AP57" i="27"/>
  <c r="AR57" i="27"/>
  <c r="AE74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BW10" i="7" l="1"/>
  <c r="BZ9" i="7"/>
  <c r="O54" i="6"/>
  <c r="O53" i="6" s="1"/>
  <c r="O55" i="6" s="1"/>
  <c r="O39" i="6"/>
  <c r="O38" i="6" s="1"/>
  <c r="O40" i="6" s="1"/>
  <c r="AA33" i="6"/>
  <c r="AA39" i="6" s="1"/>
  <c r="AA38" i="6" s="1"/>
  <c r="AA40" i="6" s="1"/>
  <c r="M48" i="6"/>
  <c r="Y39" i="6"/>
  <c r="Y38" i="6" s="1"/>
  <c r="Y40" i="6" s="1"/>
  <c r="J100" i="6"/>
  <c r="X39" i="6"/>
  <c r="X38" i="6" s="1"/>
  <c r="X40" i="6" s="1"/>
  <c r="J99" i="6"/>
  <c r="J97" i="6"/>
  <c r="Q54" i="6"/>
  <c r="Q53" i="6" s="1"/>
  <c r="Q55" i="6" s="1"/>
  <c r="AY125" i="6" s="1"/>
  <c r="U54" i="6"/>
  <c r="U53" i="6" s="1"/>
  <c r="U39" i="6"/>
  <c r="U38" i="6" s="1"/>
  <c r="N39" i="6"/>
  <c r="J242" i="6"/>
  <c r="N38" i="6"/>
  <c r="N40" i="6" s="1"/>
  <c r="J95" i="6"/>
  <c r="J93" i="6"/>
  <c r="J101" i="6"/>
  <c r="J102" i="6"/>
  <c r="M54" i="6"/>
  <c r="M53" i="6" s="1"/>
  <c r="M55" i="6" s="1"/>
  <c r="J82" i="6"/>
  <c r="J94" i="6"/>
  <c r="J98" i="6"/>
  <c r="J104" i="6"/>
  <c r="J96" i="6"/>
  <c r="J105" i="6"/>
  <c r="J92" i="6"/>
  <c r="J103" i="6"/>
  <c r="J89" i="6"/>
  <c r="J87" i="6"/>
  <c r="J84" i="6"/>
  <c r="J85" i="6"/>
  <c r="J91" i="6"/>
  <c r="J80" i="6"/>
  <c r="J90" i="6"/>
  <c r="J88" i="6"/>
  <c r="J81" i="6"/>
  <c r="J86" i="6"/>
  <c r="J83" i="6"/>
  <c r="J78" i="6"/>
  <c r="J79" i="6"/>
  <c r="AA48" i="6"/>
  <c r="AA54" i="6" s="1"/>
  <c r="AA53" i="6" s="1"/>
  <c r="Z50" i="6"/>
  <c r="Z54" i="6" s="1"/>
  <c r="Z53" i="6" s="1"/>
  <c r="N54" i="6"/>
  <c r="N53" i="6" s="1"/>
  <c r="N55" i="6" s="1"/>
  <c r="Z39" i="6"/>
  <c r="Z38" i="6" s="1"/>
  <c r="Z40" i="6" s="1"/>
  <c r="I11" i="7"/>
  <c r="Q11" i="15" s="1"/>
  <c r="O9" i="15"/>
  <c r="AJ15" i="15" s="1"/>
  <c r="BL13" i="7"/>
  <c r="BR13" i="7"/>
  <c r="BX13" i="7"/>
  <c r="D13" i="7"/>
  <c r="L12" i="15"/>
  <c r="A16" i="15"/>
  <c r="K15" i="15"/>
  <c r="AB15" i="15"/>
  <c r="L15" i="15"/>
  <c r="D15" i="15" s="1"/>
  <c r="X15" i="15"/>
  <c r="P11" i="1"/>
  <c r="B15" i="7"/>
  <c r="L11" i="16"/>
  <c r="AK25" i="6"/>
  <c r="J345" i="6" s="1"/>
  <c r="AI25" i="6"/>
  <c r="J327" i="6" s="1"/>
  <c r="J227" i="6"/>
  <c r="J225" i="6"/>
  <c r="J231" i="6"/>
  <c r="J228" i="6"/>
  <c r="J222" i="6"/>
  <c r="J219" i="6"/>
  <c r="J218" i="6"/>
  <c r="AG25" i="6"/>
  <c r="J295" i="6" s="1"/>
  <c r="J61" i="6"/>
  <c r="W25" i="6"/>
  <c r="J146" i="6" s="1"/>
  <c r="V54" i="6"/>
  <c r="V53" i="6" s="1"/>
  <c r="V55" i="6" s="1"/>
  <c r="W54" i="6"/>
  <c r="W53" i="6" s="1"/>
  <c r="T39" i="6"/>
  <c r="T38" i="6" s="1"/>
  <c r="T40" i="6" s="1"/>
  <c r="J234" i="6"/>
  <c r="J237" i="6"/>
  <c r="J243" i="6"/>
  <c r="J238" i="6"/>
  <c r="J245" i="6"/>
  <c r="J239" i="6"/>
  <c r="J232" i="6"/>
  <c r="S54" i="6"/>
  <c r="S53" i="6" s="1"/>
  <c r="V39" i="6"/>
  <c r="V38" i="6" s="1"/>
  <c r="V40" i="6" s="1"/>
  <c r="W39" i="6"/>
  <c r="W38" i="6" s="1"/>
  <c r="J71" i="6"/>
  <c r="J55" i="6"/>
  <c r="J70" i="6"/>
  <c r="J77" i="6"/>
  <c r="J64" i="6"/>
  <c r="J63" i="6"/>
  <c r="J76" i="6"/>
  <c r="J65" i="6"/>
  <c r="J54" i="6"/>
  <c r="J53" i="6"/>
  <c r="J69" i="6"/>
  <c r="J58" i="6"/>
  <c r="J57" i="6"/>
  <c r="J73" i="6"/>
  <c r="X54" i="6"/>
  <c r="X53" i="6" s="1"/>
  <c r="X55" i="6" s="1"/>
  <c r="Y54" i="6"/>
  <c r="Y53" i="6" s="1"/>
  <c r="M25" i="6"/>
  <c r="J17" i="6" s="1"/>
  <c r="O25" i="6"/>
  <c r="J23" i="6" s="1"/>
  <c r="P39" i="6"/>
  <c r="P38" i="6" s="1"/>
  <c r="P40" i="6" s="1"/>
  <c r="U25" i="6"/>
  <c r="J110" i="6" s="1"/>
  <c r="S39" i="6"/>
  <c r="S38" i="6" s="1"/>
  <c r="AA25" i="6"/>
  <c r="J212" i="6" s="1"/>
  <c r="J223" i="6"/>
  <c r="J240" i="6"/>
  <c r="J244" i="6"/>
  <c r="J236" i="6"/>
  <c r="J229" i="6"/>
  <c r="J226" i="6"/>
  <c r="J230" i="6"/>
  <c r="J241" i="6"/>
  <c r="J221" i="6"/>
  <c r="J233" i="6"/>
  <c r="J235" i="6"/>
  <c r="J220" i="6"/>
  <c r="J224" i="6"/>
  <c r="AE25" i="6"/>
  <c r="J268" i="6" s="1"/>
  <c r="T54" i="6"/>
  <c r="T53" i="6" s="1"/>
  <c r="T55" i="6" s="1"/>
  <c r="J378" i="6"/>
  <c r="J374" i="6"/>
  <c r="J379" i="6"/>
  <c r="J373" i="6"/>
  <c r="J365" i="6"/>
  <c r="J369" i="6"/>
  <c r="J358" i="6"/>
  <c r="J370" i="6"/>
  <c r="J380" i="6"/>
  <c r="J377" i="6"/>
  <c r="J375" i="6"/>
  <c r="J363" i="6"/>
  <c r="J362" i="6"/>
  <c r="J364" i="6"/>
  <c r="J367" i="6"/>
  <c r="J359" i="6"/>
  <c r="J372" i="6"/>
  <c r="J366" i="6"/>
  <c r="J376" i="6"/>
  <c r="J371" i="6"/>
  <c r="J360" i="6"/>
  <c r="J368" i="6"/>
  <c r="J361" i="6"/>
  <c r="M40" i="6"/>
  <c r="Q39" i="6"/>
  <c r="Q38" i="6" s="1"/>
  <c r="R39" i="6"/>
  <c r="R38" i="6" s="1"/>
  <c r="R40" i="6" s="1"/>
  <c r="Y25" i="6"/>
  <c r="J171" i="6" s="1"/>
  <c r="J52" i="6"/>
  <c r="J59" i="6"/>
  <c r="J74" i="6"/>
  <c r="J67" i="6"/>
  <c r="J50" i="6"/>
  <c r="J72" i="6"/>
  <c r="J75" i="6"/>
  <c r="J51" i="6"/>
  <c r="J60" i="6"/>
  <c r="J62" i="6"/>
  <c r="J68" i="6"/>
  <c r="J56" i="6"/>
  <c r="J66" i="6"/>
  <c r="AX57" i="27"/>
  <c r="E63" i="27"/>
  <c r="I26" i="27"/>
  <c r="G63" i="27"/>
  <c r="I25" i="27"/>
  <c r="J61" i="27"/>
  <c r="M61" i="27"/>
  <c r="K61" i="27"/>
  <c r="E61" i="27"/>
  <c r="G61" i="27"/>
  <c r="I24" i="27"/>
  <c r="F61" i="27"/>
  <c r="I61" i="27"/>
  <c r="D61" i="27"/>
  <c r="L61" i="27"/>
  <c r="H61" i="27"/>
  <c r="C61" i="27"/>
  <c r="L65" i="27"/>
  <c r="F65" i="27"/>
  <c r="H65" i="27"/>
  <c r="M65" i="27"/>
  <c r="J65" i="27"/>
  <c r="D65" i="27"/>
  <c r="I28" i="27"/>
  <c r="G65" i="27"/>
  <c r="I65" i="27"/>
  <c r="K65" i="27"/>
  <c r="C65" i="27"/>
  <c r="E65" i="27"/>
  <c r="I29" i="27"/>
  <c r="M63" i="27"/>
  <c r="J63" i="27"/>
  <c r="K63" i="27"/>
  <c r="I63" i="27"/>
  <c r="H63" i="27"/>
  <c r="C63" i="27"/>
  <c r="I23" i="27"/>
  <c r="M59" i="27"/>
  <c r="I59" i="27"/>
  <c r="H59" i="27"/>
  <c r="G59" i="27"/>
  <c r="F59" i="27"/>
  <c r="C59" i="27"/>
  <c r="D59" i="27"/>
  <c r="K59" i="27"/>
  <c r="E59" i="27"/>
  <c r="J59" i="27"/>
  <c r="L59" i="27"/>
  <c r="L67" i="27"/>
  <c r="E67" i="27"/>
  <c r="F67" i="27"/>
  <c r="J67" i="27"/>
  <c r="G67" i="27"/>
  <c r="H67" i="27"/>
  <c r="L60" i="27"/>
  <c r="M60" i="27"/>
  <c r="K60" i="27"/>
  <c r="G60" i="27"/>
  <c r="E60" i="27"/>
  <c r="D60" i="27"/>
  <c r="I60" i="27"/>
  <c r="F60" i="27"/>
  <c r="H60" i="27"/>
  <c r="C60" i="27"/>
  <c r="J60" i="27"/>
  <c r="L64" i="27"/>
  <c r="D64" i="27"/>
  <c r="G64" i="27"/>
  <c r="I64" i="27"/>
  <c r="K64" i="27"/>
  <c r="J64" i="27"/>
  <c r="I27" i="27"/>
  <c r="F64" i="27"/>
  <c r="E64" i="27"/>
  <c r="H64" i="27"/>
  <c r="C64" i="27"/>
  <c r="M64" i="27"/>
  <c r="K68" i="27"/>
  <c r="F68" i="27"/>
  <c r="M68" i="27"/>
  <c r="J68" i="27"/>
  <c r="L68" i="27"/>
  <c r="E68" i="27"/>
  <c r="C68" i="27"/>
  <c r="G68" i="27"/>
  <c r="D68" i="27"/>
  <c r="H68" i="27"/>
  <c r="I68" i="27"/>
  <c r="AE75" i="27"/>
  <c r="P76" i="27"/>
  <c r="G38" i="27" s="1"/>
  <c r="BH11" i="6"/>
  <c r="BH12" i="6" s="1"/>
  <c r="BH71" i="6" s="1"/>
  <c r="L12" i="16"/>
  <c r="L15" i="16" s="1"/>
  <c r="D15" i="16" s="1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L12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H343" i="6" l="1"/>
  <c r="BH333" i="6"/>
  <c r="BH105" i="6"/>
  <c r="BH103" i="6"/>
  <c r="BH146" i="6"/>
  <c r="BH362" i="6"/>
  <c r="BH368" i="6"/>
  <c r="BH268" i="6"/>
  <c r="BH179" i="6"/>
  <c r="BH345" i="6"/>
  <c r="BH245" i="6"/>
  <c r="BH197" i="6"/>
  <c r="BH116" i="6"/>
  <c r="BH242" i="6"/>
  <c r="BH276" i="6"/>
  <c r="BH221" i="6"/>
  <c r="BH101" i="6"/>
  <c r="BH226" i="6"/>
  <c r="BH365" i="6"/>
  <c r="BH170" i="6"/>
  <c r="BH224" i="6"/>
  <c r="BH24" i="6"/>
  <c r="BH334" i="6"/>
  <c r="BH57" i="6"/>
  <c r="BH377" i="6"/>
  <c r="BH262" i="6"/>
  <c r="BH73" i="6"/>
  <c r="BH186" i="6"/>
  <c r="BH259" i="6"/>
  <c r="BH279" i="6"/>
  <c r="BH147" i="6"/>
  <c r="BH79" i="6"/>
  <c r="BH19" i="6"/>
  <c r="BH227" i="6"/>
  <c r="BH48" i="6"/>
  <c r="BH174" i="6"/>
  <c r="BH252" i="6"/>
  <c r="BH281" i="6"/>
  <c r="BH257" i="6"/>
  <c r="BH323" i="6"/>
  <c r="BH39" i="6"/>
  <c r="BH318" i="6"/>
  <c r="BH89" i="6"/>
  <c r="BH185" i="6"/>
  <c r="BH130" i="6"/>
  <c r="BH154" i="6"/>
  <c r="BH260" i="6"/>
  <c r="BH370" i="6"/>
  <c r="BH60" i="6"/>
  <c r="BH267" i="6"/>
  <c r="BH256" i="6"/>
  <c r="BH69" i="6"/>
  <c r="BH311" i="6"/>
  <c r="BH231" i="6"/>
  <c r="BH216" i="6"/>
  <c r="BH203" i="6"/>
  <c r="BH363" i="6"/>
  <c r="BH335" i="6"/>
  <c r="BH359" i="6"/>
  <c r="BH329" i="6"/>
  <c r="BH237" i="6"/>
  <c r="BH183" i="6"/>
  <c r="BH282" i="6"/>
  <c r="BH366" i="6"/>
  <c r="BH53" i="6"/>
  <c r="BH72" i="6"/>
  <c r="BH220" i="6"/>
  <c r="BH339" i="6"/>
  <c r="AT325" i="6"/>
  <c r="AA55" i="6"/>
  <c r="E8" i="15"/>
  <c r="K12" i="19" s="1"/>
  <c r="K36" i="19" s="1"/>
  <c r="O9" i="16"/>
  <c r="AJ15" i="16" s="1"/>
  <c r="AT18" i="6"/>
  <c r="AT24" i="6"/>
  <c r="J271" i="6"/>
  <c r="J272" i="6"/>
  <c r="J281" i="6"/>
  <c r="J290" i="6"/>
  <c r="J255" i="6"/>
  <c r="J269" i="6"/>
  <c r="J280" i="6"/>
  <c r="J300" i="6"/>
  <c r="J256" i="6"/>
  <c r="J247" i="6"/>
  <c r="J261" i="6"/>
  <c r="J288" i="6"/>
  <c r="J275" i="6"/>
  <c r="J301" i="6"/>
  <c r="J217" i="6"/>
  <c r="J209" i="6"/>
  <c r="J199" i="6"/>
  <c r="J213" i="6"/>
  <c r="J207" i="6"/>
  <c r="J216" i="6"/>
  <c r="J201" i="6"/>
  <c r="J144" i="6"/>
  <c r="J153" i="6"/>
  <c r="J141" i="6"/>
  <c r="J156" i="6"/>
  <c r="J159" i="6"/>
  <c r="J140" i="6"/>
  <c r="J147" i="6"/>
  <c r="J251" i="6"/>
  <c r="J249" i="6"/>
  <c r="J262" i="6"/>
  <c r="J252" i="6"/>
  <c r="J267" i="6"/>
  <c r="J263" i="6"/>
  <c r="J264" i="6"/>
  <c r="J210" i="6"/>
  <c r="J214" i="6"/>
  <c r="J200" i="6"/>
  <c r="J204" i="6"/>
  <c r="J198" i="6"/>
  <c r="J197" i="6"/>
  <c r="J208" i="6"/>
  <c r="J135" i="6"/>
  <c r="J137" i="6"/>
  <c r="J136" i="6"/>
  <c r="J158" i="6"/>
  <c r="J160" i="6"/>
  <c r="J150" i="6"/>
  <c r="J148" i="6"/>
  <c r="J298" i="6"/>
  <c r="J293" i="6"/>
  <c r="J277" i="6"/>
  <c r="J296" i="6"/>
  <c r="J276" i="6"/>
  <c r="J282" i="6"/>
  <c r="J294" i="6"/>
  <c r="E8" i="17"/>
  <c r="K14" i="19" s="1"/>
  <c r="K38" i="19" s="1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152" i="6"/>
  <c r="BH250" i="6"/>
  <c r="BH122" i="6"/>
  <c r="BH283" i="6"/>
  <c r="BH21" i="6"/>
  <c r="BH337" i="6"/>
  <c r="BH249" i="6"/>
  <c r="BH199" i="6"/>
  <c r="BH273" i="6"/>
  <c r="BH373" i="6"/>
  <c r="BH78" i="6"/>
  <c r="BH22" i="6"/>
  <c r="BH248" i="6"/>
  <c r="BH104" i="6"/>
  <c r="BH36" i="6"/>
  <c r="BH277" i="6"/>
  <c r="BH204" i="6"/>
  <c r="BH217" i="6"/>
  <c r="BH143" i="6"/>
  <c r="BH23" i="6"/>
  <c r="BH83" i="6"/>
  <c r="BH327" i="6"/>
  <c r="BH336" i="6"/>
  <c r="BH305" i="6"/>
  <c r="BH157" i="6"/>
  <c r="BH125" i="6"/>
  <c r="BH113" i="6"/>
  <c r="BH124" i="6"/>
  <c r="BH45" i="6"/>
  <c r="BH86" i="6"/>
  <c r="BH176" i="6"/>
  <c r="BH58" i="6"/>
  <c r="BH261" i="6"/>
  <c r="BH66" i="6"/>
  <c r="BH367" i="6"/>
  <c r="BH229" i="6"/>
  <c r="BH32" i="6"/>
  <c r="BH169" i="6"/>
  <c r="BH350" i="6"/>
  <c r="BH126" i="6"/>
  <c r="BH162" i="6"/>
  <c r="BH29" i="6"/>
  <c r="BH293" i="6"/>
  <c r="BH85" i="6"/>
  <c r="BH304" i="6"/>
  <c r="J132" i="6"/>
  <c r="J115" i="6"/>
  <c r="J112" i="6"/>
  <c r="J107" i="6"/>
  <c r="J116" i="6"/>
  <c r="J113" i="6"/>
  <c r="J117" i="6"/>
  <c r="J120" i="6"/>
  <c r="J121" i="6"/>
  <c r="J108" i="6"/>
  <c r="J111" i="6"/>
  <c r="J123" i="6"/>
  <c r="J131" i="6"/>
  <c r="J128" i="6"/>
  <c r="AY144" i="6"/>
  <c r="AY135" i="6"/>
  <c r="AY133" i="6"/>
  <c r="AY124" i="6"/>
  <c r="AY121" i="6"/>
  <c r="AY103" i="6"/>
  <c r="AY137" i="6"/>
  <c r="AY112" i="6"/>
  <c r="AY99" i="6"/>
  <c r="AY142" i="6"/>
  <c r="AY146" i="6"/>
  <c r="AY102" i="6"/>
  <c r="AY131" i="6"/>
  <c r="AY95" i="6"/>
  <c r="AY107" i="6"/>
  <c r="AY97" i="6"/>
  <c r="AY128" i="6"/>
  <c r="AY93" i="6"/>
  <c r="AY94" i="6"/>
  <c r="AY122" i="6"/>
  <c r="AY138" i="6"/>
  <c r="AY110" i="6"/>
  <c r="AY111" i="6"/>
  <c r="AY127" i="6"/>
  <c r="AY118" i="6"/>
  <c r="AY126" i="6"/>
  <c r="AY129" i="6"/>
  <c r="AY117" i="6"/>
  <c r="AT333" i="6"/>
  <c r="AT20" i="6"/>
  <c r="AT310" i="6"/>
  <c r="AT327" i="6"/>
  <c r="AT312" i="6"/>
  <c r="AT347" i="6"/>
  <c r="AT341" i="6"/>
  <c r="AT314" i="6"/>
  <c r="AT303" i="6"/>
  <c r="AT320" i="6"/>
  <c r="AT328" i="6"/>
  <c r="AT306" i="6"/>
  <c r="AT330" i="6"/>
  <c r="J340" i="6"/>
  <c r="J356" i="6"/>
  <c r="J338" i="6"/>
  <c r="AT16" i="6"/>
  <c r="AT323" i="6"/>
  <c r="AT349" i="6"/>
  <c r="AT329" i="6"/>
  <c r="AT321" i="6"/>
  <c r="AT309" i="6"/>
  <c r="AT343" i="6"/>
  <c r="AT357" i="6"/>
  <c r="AT319" i="6"/>
  <c r="AT322" i="6"/>
  <c r="AT356" i="6"/>
  <c r="AT348" i="6"/>
  <c r="J357" i="6"/>
  <c r="J333" i="6"/>
  <c r="J347" i="6"/>
  <c r="J354" i="6"/>
  <c r="J342" i="6"/>
  <c r="J351" i="6"/>
  <c r="J336" i="6"/>
  <c r="J334" i="6"/>
  <c r="J339" i="6"/>
  <c r="J352" i="6"/>
  <c r="J335" i="6"/>
  <c r="AY20" i="6"/>
  <c r="AZ20" i="6" s="1"/>
  <c r="AY46" i="6"/>
  <c r="J34" i="6"/>
  <c r="J49" i="6"/>
  <c r="J24" i="6"/>
  <c r="J41" i="6"/>
  <c r="J40" i="6"/>
  <c r="J38" i="6"/>
  <c r="J31" i="6"/>
  <c r="AT19" i="6"/>
  <c r="AT17" i="6"/>
  <c r="J37" i="6"/>
  <c r="J45" i="6"/>
  <c r="J25" i="6"/>
  <c r="J43" i="6"/>
  <c r="J27" i="6"/>
  <c r="J22" i="6"/>
  <c r="J30" i="6"/>
  <c r="AT342" i="6"/>
  <c r="AT339" i="6"/>
  <c r="AT338" i="6"/>
  <c r="AT351" i="6"/>
  <c r="AT340" i="6"/>
  <c r="L11" i="17"/>
  <c r="L15" i="17" s="1"/>
  <c r="D15" i="17" s="1"/>
  <c r="AK15" i="1"/>
  <c r="F8" i="1"/>
  <c r="AK380" i="1"/>
  <c r="AK16" i="1"/>
  <c r="P12" i="1"/>
  <c r="H13" i="7"/>
  <c r="F7" i="15"/>
  <c r="AJ380" i="15"/>
  <c r="AJ16" i="15"/>
  <c r="AB16" i="15"/>
  <c r="X16" i="15"/>
  <c r="L16" i="15"/>
  <c r="D16" i="15" s="1"/>
  <c r="A17" i="15"/>
  <c r="K16" i="15"/>
  <c r="P11" i="15"/>
  <c r="H15" i="7"/>
  <c r="Z55" i="6"/>
  <c r="W40" i="6"/>
  <c r="AT287" i="6" s="1"/>
  <c r="W55" i="6"/>
  <c r="AY290" i="6" s="1"/>
  <c r="Q40" i="6"/>
  <c r="AT117" i="6" s="1"/>
  <c r="S40" i="6"/>
  <c r="AT150" i="6" s="1"/>
  <c r="Y55" i="6"/>
  <c r="AY48" i="6"/>
  <c r="AY80" i="6"/>
  <c r="AY82" i="6"/>
  <c r="AY68" i="6"/>
  <c r="AY88" i="6"/>
  <c r="AY84" i="6"/>
  <c r="AY79" i="6"/>
  <c r="AY66" i="6"/>
  <c r="AY44" i="6"/>
  <c r="AY42" i="6"/>
  <c r="AY62" i="6"/>
  <c r="AY45" i="6"/>
  <c r="AY89" i="6"/>
  <c r="AY50" i="6"/>
  <c r="AY71" i="6"/>
  <c r="AY74" i="6"/>
  <c r="AY70" i="6"/>
  <c r="AY91" i="6"/>
  <c r="AY54" i="6"/>
  <c r="AY56" i="6"/>
  <c r="AY72" i="6"/>
  <c r="AY77" i="6"/>
  <c r="AY67" i="6"/>
  <c r="AY57" i="6"/>
  <c r="AY52" i="6"/>
  <c r="AY39" i="6"/>
  <c r="AY41" i="6"/>
  <c r="AY83" i="6"/>
  <c r="J170" i="6"/>
  <c r="J186" i="6"/>
  <c r="J165" i="6"/>
  <c r="J184" i="6"/>
  <c r="J185" i="6"/>
  <c r="J180" i="6"/>
  <c r="J176" i="6"/>
  <c r="J167" i="6"/>
  <c r="J188" i="6"/>
  <c r="J173" i="6"/>
  <c r="J181" i="6"/>
  <c r="J174" i="6"/>
  <c r="J189" i="6"/>
  <c r="J164" i="6"/>
  <c r="AY15" i="6"/>
  <c r="AY23" i="6"/>
  <c r="AY24" i="6"/>
  <c r="AY19" i="6"/>
  <c r="AY30" i="6"/>
  <c r="AY31" i="6"/>
  <c r="AY17" i="6"/>
  <c r="AY33" i="6"/>
  <c r="AY16" i="6"/>
  <c r="AY25" i="6"/>
  <c r="AY22" i="6"/>
  <c r="J18" i="6"/>
  <c r="J19" i="6"/>
  <c r="J20" i="6"/>
  <c r="AT33" i="6"/>
  <c r="AT65" i="6"/>
  <c r="AT74" i="6"/>
  <c r="AT68" i="6"/>
  <c r="AT54" i="6"/>
  <c r="AT23" i="6"/>
  <c r="AT69" i="6"/>
  <c r="AT51" i="6"/>
  <c r="AT41" i="6"/>
  <c r="AT29" i="6"/>
  <c r="AT32" i="6"/>
  <c r="AT77" i="6"/>
  <c r="AT76" i="6"/>
  <c r="AT64" i="6"/>
  <c r="AT75" i="6"/>
  <c r="AT44" i="6"/>
  <c r="AT35" i="6"/>
  <c r="AT60" i="6"/>
  <c r="AT66" i="6"/>
  <c r="AT50" i="6"/>
  <c r="AT70" i="6"/>
  <c r="AT59" i="6"/>
  <c r="AT25" i="6"/>
  <c r="AT31" i="6"/>
  <c r="AT45" i="6"/>
  <c r="AT46" i="6"/>
  <c r="AT63" i="6"/>
  <c r="AT43" i="6"/>
  <c r="J312" i="6"/>
  <c r="J322" i="6"/>
  <c r="J313" i="6"/>
  <c r="J304" i="6"/>
  <c r="J319" i="6"/>
  <c r="J305" i="6"/>
  <c r="J326" i="6"/>
  <c r="J303" i="6"/>
  <c r="J309" i="6"/>
  <c r="J311" i="6"/>
  <c r="J310" i="6"/>
  <c r="J325" i="6"/>
  <c r="J318" i="6"/>
  <c r="J320" i="6"/>
  <c r="U55" i="6"/>
  <c r="AY204" i="6" s="1"/>
  <c r="U40" i="6"/>
  <c r="AT219" i="6" s="1"/>
  <c r="AY86" i="6"/>
  <c r="AY90" i="6"/>
  <c r="AY55" i="6"/>
  <c r="AY43" i="6"/>
  <c r="AY78" i="6"/>
  <c r="AY75" i="6"/>
  <c r="AY64" i="6"/>
  <c r="AY85" i="6"/>
  <c r="AY76" i="6"/>
  <c r="AZ76" i="6" s="1"/>
  <c r="AY51" i="6"/>
  <c r="AY49" i="6"/>
  <c r="AY53" i="6"/>
  <c r="AY58" i="6"/>
  <c r="AY36" i="6"/>
  <c r="AY40" i="6"/>
  <c r="AY59" i="6"/>
  <c r="AY61" i="6"/>
  <c r="AY73" i="6"/>
  <c r="AY81" i="6"/>
  <c r="AY63" i="6"/>
  <c r="AY37" i="6"/>
  <c r="AY65" i="6"/>
  <c r="AY69" i="6"/>
  <c r="AZ69" i="6" s="1"/>
  <c r="AY47" i="6"/>
  <c r="AY60" i="6"/>
  <c r="AY87" i="6"/>
  <c r="AY38" i="6"/>
  <c r="J169" i="6"/>
  <c r="J179" i="6"/>
  <c r="J178" i="6"/>
  <c r="J183" i="6"/>
  <c r="J162" i="6"/>
  <c r="J168" i="6"/>
  <c r="J187" i="6"/>
  <c r="J175" i="6"/>
  <c r="J166" i="6"/>
  <c r="J163" i="6"/>
  <c r="J172" i="6"/>
  <c r="J182" i="6"/>
  <c r="J177" i="6"/>
  <c r="AT15" i="6"/>
  <c r="AT21" i="6"/>
  <c r="AT362" i="6"/>
  <c r="AT378" i="6"/>
  <c r="AT380" i="6"/>
  <c r="AT363" i="6"/>
  <c r="AT374" i="6"/>
  <c r="AT371" i="6"/>
  <c r="AT373" i="6"/>
  <c r="AT379" i="6"/>
  <c r="AT368" i="6"/>
  <c r="AT367" i="6"/>
  <c r="AT358" i="6"/>
  <c r="AT370" i="6"/>
  <c r="AT364" i="6"/>
  <c r="AT360" i="6"/>
  <c r="AT369" i="6"/>
  <c r="AT377" i="6"/>
  <c r="AT372" i="6"/>
  <c r="AT366" i="6"/>
  <c r="AT375" i="6"/>
  <c r="AT365" i="6"/>
  <c r="AT376" i="6"/>
  <c r="AT361" i="6"/>
  <c r="AT359" i="6"/>
  <c r="AY29" i="6"/>
  <c r="AY35" i="6"/>
  <c r="AZ35" i="6" s="1"/>
  <c r="AY21" i="6"/>
  <c r="AZ21" i="6" s="1"/>
  <c r="AY28" i="6"/>
  <c r="AY32" i="6"/>
  <c r="AY26" i="6"/>
  <c r="AY18" i="6"/>
  <c r="AY27" i="6"/>
  <c r="AY34" i="6"/>
  <c r="S55" i="6"/>
  <c r="AY186" i="6" s="1"/>
  <c r="J258" i="6"/>
  <c r="J248" i="6"/>
  <c r="J250" i="6"/>
  <c r="J246" i="6"/>
  <c r="J254" i="6"/>
  <c r="J265" i="6"/>
  <c r="J257" i="6"/>
  <c r="J259" i="6"/>
  <c r="J266" i="6"/>
  <c r="J270" i="6"/>
  <c r="J253" i="6"/>
  <c r="J260" i="6"/>
  <c r="J273" i="6"/>
  <c r="J192" i="6"/>
  <c r="J196" i="6"/>
  <c r="J215" i="6"/>
  <c r="J205" i="6"/>
  <c r="J194" i="6"/>
  <c r="J190" i="6"/>
  <c r="J206" i="6"/>
  <c r="J193" i="6"/>
  <c r="J203" i="6"/>
  <c r="J211" i="6"/>
  <c r="J195" i="6"/>
  <c r="J202" i="6"/>
  <c r="J191" i="6"/>
  <c r="J119" i="6"/>
  <c r="J109" i="6"/>
  <c r="J124" i="6"/>
  <c r="J130" i="6"/>
  <c r="J122" i="6"/>
  <c r="J125" i="6"/>
  <c r="J126" i="6"/>
  <c r="J129" i="6"/>
  <c r="J133" i="6"/>
  <c r="J127" i="6"/>
  <c r="J114" i="6"/>
  <c r="J106" i="6"/>
  <c r="J118" i="6"/>
  <c r="J46" i="6"/>
  <c r="J44" i="6"/>
  <c r="J26" i="6"/>
  <c r="J42" i="6"/>
  <c r="J32" i="6"/>
  <c r="J39" i="6"/>
  <c r="J47" i="6"/>
  <c r="J48" i="6"/>
  <c r="J28" i="6"/>
  <c r="J36" i="6"/>
  <c r="J33" i="6"/>
  <c r="J35" i="6"/>
  <c r="J29" i="6"/>
  <c r="J15" i="6"/>
  <c r="J16" i="6"/>
  <c r="J21" i="6"/>
  <c r="AT334" i="6"/>
  <c r="AT324" i="6"/>
  <c r="AT318" i="6"/>
  <c r="AT355" i="6"/>
  <c r="AT311" i="6"/>
  <c r="AT302" i="6"/>
  <c r="AT307" i="6"/>
  <c r="AT337" i="6"/>
  <c r="AT350" i="6"/>
  <c r="AT326" i="6"/>
  <c r="AT335" i="6"/>
  <c r="AT346" i="6"/>
  <c r="AT305" i="6"/>
  <c r="AT308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48" i="6"/>
  <c r="AT22" i="6"/>
  <c r="AT72" i="6"/>
  <c r="AT62" i="6"/>
  <c r="AT49" i="6"/>
  <c r="AT71" i="6"/>
  <c r="AT30" i="6"/>
  <c r="AT26" i="6"/>
  <c r="AT61" i="6"/>
  <c r="AT36" i="6"/>
  <c r="AT37" i="6"/>
  <c r="AT67" i="6"/>
  <c r="AT73" i="6"/>
  <c r="AT47" i="6"/>
  <c r="AT57" i="6"/>
  <c r="AT28" i="6"/>
  <c r="AT58" i="6"/>
  <c r="AT40" i="6"/>
  <c r="AT42" i="6"/>
  <c r="AT53" i="6"/>
  <c r="AT39" i="6"/>
  <c r="AT34" i="6"/>
  <c r="AT38" i="6"/>
  <c r="AT55" i="6"/>
  <c r="AT56" i="6"/>
  <c r="AT27" i="6"/>
  <c r="AT52" i="6"/>
  <c r="J143" i="6"/>
  <c r="J149" i="6"/>
  <c r="J154" i="6"/>
  <c r="J139" i="6"/>
  <c r="J151" i="6"/>
  <c r="J161" i="6"/>
  <c r="J138" i="6"/>
  <c r="J155" i="6"/>
  <c r="J145" i="6"/>
  <c r="J134" i="6"/>
  <c r="J157" i="6"/>
  <c r="J142" i="6"/>
  <c r="J152" i="6"/>
  <c r="J299" i="6"/>
  <c r="J284" i="6"/>
  <c r="J286" i="6"/>
  <c r="J289" i="6"/>
  <c r="J285" i="6"/>
  <c r="J278" i="6"/>
  <c r="J291" i="6"/>
  <c r="J283" i="6"/>
  <c r="J292" i="6"/>
  <c r="J297" i="6"/>
  <c r="J279" i="6"/>
  <c r="J287" i="6"/>
  <c r="J274" i="6"/>
  <c r="AY109" i="6"/>
  <c r="AY120" i="6"/>
  <c r="AY134" i="6"/>
  <c r="AY116" i="6"/>
  <c r="AY136" i="6"/>
  <c r="AY132" i="6"/>
  <c r="AY108" i="6"/>
  <c r="AY147" i="6"/>
  <c r="AY130" i="6"/>
  <c r="AY119" i="6"/>
  <c r="AY100" i="6"/>
  <c r="AY96" i="6"/>
  <c r="AY104" i="6"/>
  <c r="AY145" i="6"/>
  <c r="AY141" i="6"/>
  <c r="AY115" i="6"/>
  <c r="AY114" i="6"/>
  <c r="AY143" i="6"/>
  <c r="AY105" i="6"/>
  <c r="AY113" i="6"/>
  <c r="AY140" i="6"/>
  <c r="AY139" i="6"/>
  <c r="AY106" i="6"/>
  <c r="AY123" i="6"/>
  <c r="AY98" i="6"/>
  <c r="AY101" i="6"/>
  <c r="AY92" i="6"/>
  <c r="J329" i="6"/>
  <c r="J306" i="6"/>
  <c r="J317" i="6"/>
  <c r="J328" i="6"/>
  <c r="J323" i="6"/>
  <c r="J315" i="6"/>
  <c r="J308" i="6"/>
  <c r="J324" i="6"/>
  <c r="J316" i="6"/>
  <c r="J302" i="6"/>
  <c r="J321" i="6"/>
  <c r="J307" i="6"/>
  <c r="J314" i="6"/>
  <c r="J341" i="6"/>
  <c r="J344" i="6"/>
  <c r="J355" i="6"/>
  <c r="J346" i="6"/>
  <c r="J350" i="6"/>
  <c r="J330" i="6"/>
  <c r="J331" i="6"/>
  <c r="J337" i="6"/>
  <c r="J348" i="6"/>
  <c r="J349" i="6"/>
  <c r="J343" i="6"/>
  <c r="J353" i="6"/>
  <c r="J332" i="6"/>
  <c r="BH196" i="6"/>
  <c r="BH364" i="6"/>
  <c r="BH239" i="6"/>
  <c r="BH175" i="6"/>
  <c r="BH118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41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356" i="6"/>
  <c r="BH344" i="6"/>
  <c r="BH288" i="6"/>
  <c r="BH215" i="6"/>
  <c r="BH70" i="6"/>
  <c r="BH205" i="6"/>
  <c r="BH121" i="6"/>
  <c r="BH139" i="6"/>
  <c r="BH97" i="6"/>
  <c r="BH144" i="6"/>
  <c r="P77" i="27"/>
  <c r="G39" i="27" s="1"/>
  <c r="AE76" i="27"/>
  <c r="A17" i="16"/>
  <c r="X16" i="16"/>
  <c r="L16" i="16"/>
  <c r="D16" i="16" s="1"/>
  <c r="AB16" i="16"/>
  <c r="K16" i="16"/>
  <c r="L12" i="18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L18" i="1"/>
  <c r="A19" i="1"/>
  <c r="X18" i="1"/>
  <c r="AC18" i="1"/>
  <c r="AK18" i="1"/>
  <c r="AJ18" i="1"/>
  <c r="AB18" i="1"/>
  <c r="O18" i="1"/>
  <c r="AJ380" i="17"/>
  <c r="F7" i="17"/>
  <c r="T13" i="7"/>
  <c r="AB16" i="17"/>
  <c r="L16" i="17"/>
  <c r="D16" i="17" s="1"/>
  <c r="K16" i="17"/>
  <c r="X16" i="17"/>
  <c r="A17" i="17"/>
  <c r="AJ16" i="17"/>
  <c r="P11" i="17"/>
  <c r="AK16" i="17" s="1"/>
  <c r="AZ16" i="6" l="1"/>
  <c r="AZ117" i="6"/>
  <c r="AY380" i="6"/>
  <c r="AZ380" i="6" s="1"/>
  <c r="E7" i="15"/>
  <c r="O10" i="15" s="1"/>
  <c r="O11" i="7"/>
  <c r="N15" i="7"/>
  <c r="AZ18" i="6"/>
  <c r="F7" i="16"/>
  <c r="AC12" i="16" s="1"/>
  <c r="AJ16" i="16"/>
  <c r="E7" i="17"/>
  <c r="O10" i="17" s="1"/>
  <c r="U13" i="7" s="1"/>
  <c r="T15" i="7"/>
  <c r="N13" i="7"/>
  <c r="P11" i="16"/>
  <c r="AK16" i="16" s="1"/>
  <c r="AZ24" i="6"/>
  <c r="AY155" i="6"/>
  <c r="AY203" i="6"/>
  <c r="AY157" i="6"/>
  <c r="AY187" i="6"/>
  <c r="AY197" i="6"/>
  <c r="AY158" i="6"/>
  <c r="AY198" i="6"/>
  <c r="AY229" i="6"/>
  <c r="AY251" i="6"/>
  <c r="AY250" i="6"/>
  <c r="AY217" i="6"/>
  <c r="AY246" i="6"/>
  <c r="AY247" i="6"/>
  <c r="AY257" i="6"/>
  <c r="AY300" i="6"/>
  <c r="AY293" i="6"/>
  <c r="AY311" i="6"/>
  <c r="AZ311" i="6" s="1"/>
  <c r="AY292" i="6"/>
  <c r="AY312" i="6"/>
  <c r="AY309" i="6"/>
  <c r="AZ309" i="6" s="1"/>
  <c r="AY272" i="6"/>
  <c r="AY179" i="6"/>
  <c r="AY185" i="6"/>
  <c r="AY202" i="6"/>
  <c r="AY177" i="6"/>
  <c r="AY196" i="6"/>
  <c r="AY195" i="6"/>
  <c r="AY169" i="6"/>
  <c r="AY228" i="6"/>
  <c r="AY209" i="6"/>
  <c r="AY205" i="6"/>
  <c r="AY256" i="6"/>
  <c r="AY232" i="6"/>
  <c r="AY231" i="6"/>
  <c r="AY249" i="6"/>
  <c r="AY270" i="6"/>
  <c r="AY281" i="6"/>
  <c r="AY286" i="6"/>
  <c r="AY315" i="6"/>
  <c r="AZ315" i="6" s="1"/>
  <c r="AY273" i="6"/>
  <c r="AY301" i="6"/>
  <c r="AY310" i="6"/>
  <c r="AY171" i="6"/>
  <c r="AY180" i="6"/>
  <c r="AY192" i="6"/>
  <c r="AY200" i="6"/>
  <c r="AY199" i="6"/>
  <c r="AY154" i="6"/>
  <c r="AY175" i="6"/>
  <c r="AY166" i="6"/>
  <c r="AY191" i="6"/>
  <c r="AY183" i="6"/>
  <c r="AY172" i="6"/>
  <c r="AY173" i="6"/>
  <c r="AY194" i="6"/>
  <c r="AY153" i="6"/>
  <c r="AY233" i="6"/>
  <c r="AY252" i="6"/>
  <c r="AY226" i="6"/>
  <c r="AY241" i="6"/>
  <c r="AY242" i="6"/>
  <c r="AY208" i="6"/>
  <c r="AY206" i="6"/>
  <c r="AY218" i="6"/>
  <c r="AY240" i="6"/>
  <c r="AY224" i="6"/>
  <c r="AY225" i="6"/>
  <c r="AY235" i="6"/>
  <c r="AY244" i="6"/>
  <c r="AY214" i="6"/>
  <c r="AY278" i="6"/>
  <c r="AY268" i="6"/>
  <c r="AY296" i="6"/>
  <c r="AY314" i="6"/>
  <c r="AZ314" i="6" s="1"/>
  <c r="AY284" i="6"/>
  <c r="AY267" i="6"/>
  <c r="AY303" i="6"/>
  <c r="AZ303" i="6" s="1"/>
  <c r="AY287" i="6"/>
  <c r="AZ287" i="6" s="1"/>
  <c r="AY264" i="6"/>
  <c r="AY291" i="6"/>
  <c r="AY265" i="6"/>
  <c r="AY263" i="6"/>
  <c r="AY295" i="6"/>
  <c r="AY297" i="6"/>
  <c r="AY364" i="6"/>
  <c r="AZ364" i="6" s="1"/>
  <c r="AT89" i="6"/>
  <c r="AZ89" i="6" s="1"/>
  <c r="AT133" i="6"/>
  <c r="AZ133" i="6" s="1"/>
  <c r="AT118" i="6"/>
  <c r="AZ118" i="6" s="1"/>
  <c r="AT125" i="6"/>
  <c r="AZ125" i="6" s="1"/>
  <c r="AT88" i="6"/>
  <c r="AZ88" i="6" s="1"/>
  <c r="AT100" i="6"/>
  <c r="AZ100" i="6" s="1"/>
  <c r="AT119" i="6"/>
  <c r="AZ119" i="6" s="1"/>
  <c r="AT85" i="6"/>
  <c r="AZ85" i="6" s="1"/>
  <c r="AT121" i="6"/>
  <c r="AZ121" i="6" s="1"/>
  <c r="AT130" i="6"/>
  <c r="AZ130" i="6" s="1"/>
  <c r="AT101" i="6"/>
  <c r="AZ101" i="6" s="1"/>
  <c r="AT123" i="6"/>
  <c r="AZ123" i="6" s="1"/>
  <c r="AT124" i="6"/>
  <c r="AZ124" i="6" s="1"/>
  <c r="AT83" i="6"/>
  <c r="AZ83" i="6" s="1"/>
  <c r="AT95" i="6"/>
  <c r="AZ95" i="6" s="1"/>
  <c r="AT93" i="6"/>
  <c r="AZ93" i="6" s="1"/>
  <c r="AT92" i="6"/>
  <c r="AT111" i="6"/>
  <c r="AZ111" i="6" s="1"/>
  <c r="AT104" i="6"/>
  <c r="AZ104" i="6" s="1"/>
  <c r="AT107" i="6"/>
  <c r="AZ107" i="6" s="1"/>
  <c r="AT132" i="6"/>
  <c r="AZ132" i="6" s="1"/>
  <c r="AT84" i="6"/>
  <c r="AZ84" i="6" s="1"/>
  <c r="AT82" i="6"/>
  <c r="AZ82" i="6" s="1"/>
  <c r="AT79" i="6"/>
  <c r="AZ79" i="6" s="1"/>
  <c r="AT116" i="6"/>
  <c r="AZ116" i="6" s="1"/>
  <c r="AT87" i="6"/>
  <c r="AZ87" i="6" s="1"/>
  <c r="AT109" i="6"/>
  <c r="AZ109" i="6" s="1"/>
  <c r="AT114" i="6"/>
  <c r="AZ114" i="6" s="1"/>
  <c r="AZ19" i="6"/>
  <c r="AZ312" i="6"/>
  <c r="AZ310" i="6"/>
  <c r="AZ29" i="6"/>
  <c r="AZ65" i="6"/>
  <c r="AZ59" i="6"/>
  <c r="AZ51" i="6"/>
  <c r="AZ43" i="6"/>
  <c r="AZ34" i="6"/>
  <c r="AZ32" i="6"/>
  <c r="AZ47" i="6"/>
  <c r="AZ63" i="6"/>
  <c r="AZ36" i="6"/>
  <c r="O380" i="6" s="1"/>
  <c r="O381" i="6" s="1"/>
  <c r="AZ53" i="6"/>
  <c r="AZ75" i="6"/>
  <c r="AZ25" i="6"/>
  <c r="AZ33" i="6"/>
  <c r="AZ74" i="6"/>
  <c r="AZ45" i="6"/>
  <c r="AZ66" i="6"/>
  <c r="AY369" i="6"/>
  <c r="AZ369" i="6" s="1"/>
  <c r="AY331" i="6"/>
  <c r="AZ331" i="6" s="1"/>
  <c r="AY317" i="6"/>
  <c r="AZ317" i="6" s="1"/>
  <c r="AY334" i="6"/>
  <c r="AZ334" i="6" s="1"/>
  <c r="AY342" i="6"/>
  <c r="AZ342" i="6" s="1"/>
  <c r="AY324" i="6"/>
  <c r="AZ324" i="6" s="1"/>
  <c r="AY330" i="6"/>
  <c r="AZ330" i="6" s="1"/>
  <c r="AJ380" i="6" s="1"/>
  <c r="AJ381" i="6" s="1"/>
  <c r="AY367" i="6"/>
  <c r="AZ367" i="6" s="1"/>
  <c r="AY366" i="6"/>
  <c r="AZ366" i="6" s="1"/>
  <c r="AY375" i="6"/>
  <c r="AZ375" i="6" s="1"/>
  <c r="AZ46" i="6"/>
  <c r="AY320" i="6"/>
  <c r="AZ320" i="6" s="1"/>
  <c r="AY343" i="6"/>
  <c r="AZ343" i="6" s="1"/>
  <c r="AY327" i="6"/>
  <c r="AZ327" i="6" s="1"/>
  <c r="AY335" i="6"/>
  <c r="AZ335" i="6" s="1"/>
  <c r="AY323" i="6"/>
  <c r="AZ323" i="6" s="1"/>
  <c r="AY356" i="6"/>
  <c r="AZ356" i="6" s="1"/>
  <c r="AY318" i="6"/>
  <c r="AZ318" i="6" s="1"/>
  <c r="AY349" i="6"/>
  <c r="AZ349" i="6" s="1"/>
  <c r="AY316" i="6"/>
  <c r="AZ316" i="6" s="1"/>
  <c r="AI380" i="6" s="1"/>
  <c r="AI381" i="6" s="1"/>
  <c r="AY372" i="6"/>
  <c r="AZ372" i="6" s="1"/>
  <c r="AM380" i="6" s="1"/>
  <c r="AM381" i="6" s="1"/>
  <c r="AY378" i="6"/>
  <c r="AZ378" i="6" s="1"/>
  <c r="AY357" i="6"/>
  <c r="AZ357" i="6" s="1"/>
  <c r="AY360" i="6"/>
  <c r="AZ360" i="6" s="1"/>
  <c r="AY370" i="6"/>
  <c r="AZ370" i="6" s="1"/>
  <c r="AY355" i="6"/>
  <c r="AZ355" i="6" s="1"/>
  <c r="AY348" i="6"/>
  <c r="AZ348" i="6" s="1"/>
  <c r="AY363" i="6"/>
  <c r="AZ363" i="6" s="1"/>
  <c r="AY359" i="6"/>
  <c r="AZ359" i="6" s="1"/>
  <c r="AY361" i="6"/>
  <c r="AZ361" i="6" s="1"/>
  <c r="AY347" i="6"/>
  <c r="AZ347" i="6" s="1"/>
  <c r="AY362" i="6"/>
  <c r="AZ362" i="6" s="1"/>
  <c r="AY377" i="6"/>
  <c r="AZ377" i="6" s="1"/>
  <c r="AY379" i="6"/>
  <c r="AZ379" i="6" s="1"/>
  <c r="AZ92" i="6"/>
  <c r="S380" i="6" s="1"/>
  <c r="S381" i="6" s="1"/>
  <c r="AZ17" i="6"/>
  <c r="AJ17" i="15"/>
  <c r="A18" i="15"/>
  <c r="K17" i="15"/>
  <c r="L17" i="15"/>
  <c r="D17" i="15" s="1"/>
  <c r="X17" i="15"/>
  <c r="AB17" i="15"/>
  <c r="AK17" i="15"/>
  <c r="O11" i="15"/>
  <c r="AC9" i="15"/>
  <c r="AC12" i="15"/>
  <c r="AC17" i="15" s="1"/>
  <c r="O12" i="15"/>
  <c r="AK380" i="15"/>
  <c r="P12" i="15"/>
  <c r="F8" i="15"/>
  <c r="AK15" i="15"/>
  <c r="AK16" i="15"/>
  <c r="L11" i="19"/>
  <c r="P10" i="1"/>
  <c r="U10" i="1"/>
  <c r="AE11" i="1"/>
  <c r="Q10" i="1"/>
  <c r="AI11" i="1"/>
  <c r="L11" i="18"/>
  <c r="L15" i="18" s="1"/>
  <c r="J12" i="6"/>
  <c r="J13" i="6"/>
  <c r="AZ73" i="6"/>
  <c r="AZ31" i="6"/>
  <c r="AZ23" i="6"/>
  <c r="AZ39" i="6"/>
  <c r="AZ57" i="6"/>
  <c r="AZ77" i="6"/>
  <c r="AZ56" i="6"/>
  <c r="AZ50" i="6"/>
  <c r="P380" i="6" s="1"/>
  <c r="P381" i="6" s="1"/>
  <c r="AZ42" i="6"/>
  <c r="AZ68" i="6"/>
  <c r="AT202" i="6"/>
  <c r="AT196" i="6"/>
  <c r="AT205" i="6"/>
  <c r="AT245" i="6"/>
  <c r="AT217" i="6"/>
  <c r="AT203" i="6"/>
  <c r="AT199" i="6"/>
  <c r="AT212" i="6"/>
  <c r="AT236" i="6"/>
  <c r="AT191" i="6"/>
  <c r="AT192" i="6"/>
  <c r="AT201" i="6"/>
  <c r="AT206" i="6"/>
  <c r="AT213" i="6"/>
  <c r="AT211" i="6"/>
  <c r="AT209" i="6"/>
  <c r="AT198" i="6"/>
  <c r="AT230" i="6"/>
  <c r="AT220" i="6"/>
  <c r="AT240" i="6"/>
  <c r="AT238" i="6"/>
  <c r="AT244" i="6"/>
  <c r="AT221" i="6"/>
  <c r="AT242" i="6"/>
  <c r="AT224" i="6"/>
  <c r="AT229" i="6"/>
  <c r="AT235" i="6"/>
  <c r="AT227" i="6"/>
  <c r="AT178" i="6"/>
  <c r="AT167" i="6"/>
  <c r="AT180" i="6"/>
  <c r="AT143" i="6"/>
  <c r="AZ143" i="6" s="1"/>
  <c r="AT152" i="6"/>
  <c r="AT151" i="6"/>
  <c r="AT168" i="6"/>
  <c r="AT187" i="6"/>
  <c r="AT165" i="6"/>
  <c r="AT148" i="6"/>
  <c r="AT189" i="6"/>
  <c r="AT177" i="6"/>
  <c r="AT142" i="6"/>
  <c r="AZ142" i="6" s="1"/>
  <c r="AT139" i="6"/>
  <c r="AZ139" i="6" s="1"/>
  <c r="AT184" i="6"/>
  <c r="AT149" i="6"/>
  <c r="AT169" i="6"/>
  <c r="AT135" i="6"/>
  <c r="AZ135" i="6" s="1"/>
  <c r="AT146" i="6"/>
  <c r="AZ146" i="6" s="1"/>
  <c r="AT158" i="6"/>
  <c r="AT159" i="6"/>
  <c r="AT162" i="6"/>
  <c r="AT144" i="6"/>
  <c r="AZ144" i="6" s="1"/>
  <c r="AT145" i="6"/>
  <c r="AZ145" i="6" s="1"/>
  <c r="AT166" i="6"/>
  <c r="AT137" i="6"/>
  <c r="AZ137" i="6" s="1"/>
  <c r="AT185" i="6"/>
  <c r="AT160" i="6"/>
  <c r="AT267" i="6"/>
  <c r="AT278" i="6"/>
  <c r="AT274" i="6"/>
  <c r="AT246" i="6"/>
  <c r="AT276" i="6"/>
  <c r="AT255" i="6"/>
  <c r="AT296" i="6"/>
  <c r="AT253" i="6"/>
  <c r="AT252" i="6"/>
  <c r="AT289" i="6"/>
  <c r="AT282" i="6"/>
  <c r="AT297" i="6"/>
  <c r="AT263" i="6"/>
  <c r="AT270" i="6"/>
  <c r="AT294" i="6"/>
  <c r="AT257" i="6"/>
  <c r="AT300" i="6"/>
  <c r="AT271" i="6"/>
  <c r="AT272" i="6"/>
  <c r="AT301" i="6"/>
  <c r="AT280" i="6"/>
  <c r="AT265" i="6"/>
  <c r="AT247" i="6"/>
  <c r="AT250" i="6"/>
  <c r="AT284" i="6"/>
  <c r="AT293" i="6"/>
  <c r="AT291" i="6"/>
  <c r="AT275" i="6"/>
  <c r="AY374" i="6"/>
  <c r="AZ374" i="6" s="1"/>
  <c r="AZ27" i="6"/>
  <c r="AZ26" i="6"/>
  <c r="AZ28" i="6"/>
  <c r="AZ38" i="6"/>
  <c r="AZ60" i="6"/>
  <c r="AZ37" i="6"/>
  <c r="AZ61" i="6"/>
  <c r="AZ40" i="6"/>
  <c r="AZ58" i="6"/>
  <c r="AZ49" i="6"/>
  <c r="AZ64" i="6"/>
  <c r="Q380" i="6" s="1"/>
  <c r="Q381" i="6" s="1"/>
  <c r="AZ55" i="6"/>
  <c r="AY189" i="6"/>
  <c r="AY161" i="6"/>
  <c r="AY182" i="6"/>
  <c r="AY159" i="6"/>
  <c r="AY168" i="6"/>
  <c r="AY152" i="6"/>
  <c r="AY167" i="6"/>
  <c r="AY160" i="6"/>
  <c r="AY162" i="6"/>
  <c r="AY163" i="6"/>
  <c r="AY184" i="6"/>
  <c r="AY174" i="6"/>
  <c r="AY151" i="6"/>
  <c r="AY176" i="6"/>
  <c r="AY193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Z150" i="6" s="1"/>
  <c r="AZ22" i="6"/>
  <c r="N380" i="6" s="1"/>
  <c r="N381" i="6" s="1"/>
  <c r="AZ30" i="6"/>
  <c r="AZ15" i="6"/>
  <c r="AZ41" i="6"/>
  <c r="AZ52" i="6"/>
  <c r="AZ67" i="6"/>
  <c r="AZ72" i="6"/>
  <c r="AZ54" i="6"/>
  <c r="AZ70" i="6"/>
  <c r="AZ71" i="6"/>
  <c r="AZ62" i="6"/>
  <c r="AZ44" i="6"/>
  <c r="AZ48" i="6"/>
  <c r="AT195" i="6"/>
  <c r="AT216" i="6"/>
  <c r="AT200" i="6"/>
  <c r="AT237" i="6"/>
  <c r="AT215" i="6"/>
  <c r="AT214" i="6"/>
  <c r="AT190" i="6"/>
  <c r="AT234" i="6"/>
  <c r="AT243" i="6"/>
  <c r="AT194" i="6"/>
  <c r="AT197" i="6"/>
  <c r="AT207" i="6"/>
  <c r="AT210" i="6"/>
  <c r="AT208" i="6"/>
  <c r="AT193" i="6"/>
  <c r="AT204" i="6"/>
  <c r="AZ204" i="6" s="1"/>
  <c r="AA380" i="6" s="1"/>
  <c r="AA381" i="6" s="1"/>
  <c r="AT222" i="6"/>
  <c r="AT223" i="6"/>
  <c r="AT231" i="6"/>
  <c r="AT226" i="6"/>
  <c r="AT239" i="6"/>
  <c r="AT225" i="6"/>
  <c r="AT233" i="6"/>
  <c r="AT228" i="6"/>
  <c r="AT241" i="6"/>
  <c r="AT232" i="6"/>
  <c r="AT218" i="6"/>
  <c r="AY258" i="6"/>
  <c r="AY207" i="6"/>
  <c r="AY210" i="6"/>
  <c r="AY213" i="6"/>
  <c r="AY230" i="6"/>
  <c r="AY212" i="6"/>
  <c r="AY227" i="6"/>
  <c r="AY211" i="6"/>
  <c r="AY220" i="6"/>
  <c r="AY216" i="6"/>
  <c r="AY248" i="6"/>
  <c r="AY223" i="6"/>
  <c r="AY254" i="6"/>
  <c r="AY236" i="6"/>
  <c r="AY237" i="6"/>
  <c r="AZ237" i="6" s="1"/>
  <c r="AY259" i="6"/>
  <c r="AY253" i="6"/>
  <c r="AY245" i="6"/>
  <c r="AY243" i="6"/>
  <c r="AY238" i="6"/>
  <c r="AY219" i="6"/>
  <c r="AZ219" i="6" s="1"/>
  <c r="AY239" i="6"/>
  <c r="AZ239" i="6" s="1"/>
  <c r="AY215" i="6"/>
  <c r="AY234" i="6"/>
  <c r="AY221" i="6"/>
  <c r="AY222" i="6"/>
  <c r="AZ222" i="6" s="1"/>
  <c r="AY255" i="6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Z358" i="6" s="1"/>
  <c r="AL380" i="6" s="1"/>
  <c r="AL381" i="6" s="1"/>
  <c r="AY354" i="6"/>
  <c r="AZ354" i="6" s="1"/>
  <c r="AY351" i="6"/>
  <c r="AZ351" i="6" s="1"/>
  <c r="AY337" i="6"/>
  <c r="AZ337" i="6" s="1"/>
  <c r="AY368" i="6"/>
  <c r="AZ368" i="6" s="1"/>
  <c r="AY341" i="6"/>
  <c r="AZ341" i="6" s="1"/>
  <c r="AY319" i="6"/>
  <c r="AZ319" i="6" s="1"/>
  <c r="AY344" i="6"/>
  <c r="AZ344" i="6" s="1"/>
  <c r="AK380" i="6" s="1"/>
  <c r="AK381" i="6" s="1"/>
  <c r="AY350" i="6"/>
  <c r="AZ350" i="6" s="1"/>
  <c r="AY338" i="6"/>
  <c r="AZ338" i="6" s="1"/>
  <c r="AY336" i="6"/>
  <c r="AZ336" i="6" s="1"/>
  <c r="AY325" i="6"/>
  <c r="AZ325" i="6" s="1"/>
  <c r="AY339" i="6"/>
  <c r="AZ339" i="6" s="1"/>
  <c r="AY321" i="6"/>
  <c r="AZ321" i="6" s="1"/>
  <c r="AY353" i="6"/>
  <c r="AZ353" i="6" s="1"/>
  <c r="AY340" i="6"/>
  <c r="AZ340" i="6" s="1"/>
  <c r="AY346" i="6"/>
  <c r="AZ346" i="6" s="1"/>
  <c r="AY371" i="6"/>
  <c r="AZ371" i="6" s="1"/>
  <c r="AY328" i="6"/>
  <c r="AZ328" i="6" s="1"/>
  <c r="AY365" i="6"/>
  <c r="AZ365" i="6" s="1"/>
  <c r="AY332" i="6"/>
  <c r="AZ332" i="6" s="1"/>
  <c r="AY352" i="6"/>
  <c r="AZ352" i="6" s="1"/>
  <c r="AT171" i="6"/>
  <c r="AT181" i="6"/>
  <c r="AT147" i="6"/>
  <c r="AZ147" i="6" s="1"/>
  <c r="AT134" i="6"/>
  <c r="AZ134" i="6" s="1"/>
  <c r="V380" i="6" s="1"/>
  <c r="V381" i="6" s="1"/>
  <c r="AT136" i="6"/>
  <c r="AZ136" i="6" s="1"/>
  <c r="AT174" i="6"/>
  <c r="AT157" i="6"/>
  <c r="AT182" i="6"/>
  <c r="AT164" i="6"/>
  <c r="AT156" i="6"/>
  <c r="AT188" i="6"/>
  <c r="AT186" i="6"/>
  <c r="AZ186" i="6" s="1"/>
  <c r="AT154" i="6"/>
  <c r="AT155" i="6"/>
  <c r="AT163" i="6"/>
  <c r="AT170" i="6"/>
  <c r="AT161" i="6"/>
  <c r="AT179" i="6"/>
  <c r="AT183" i="6"/>
  <c r="AT175" i="6"/>
  <c r="AT141" i="6"/>
  <c r="AZ141" i="6" s="1"/>
  <c r="AT153" i="6"/>
  <c r="AT172" i="6"/>
  <c r="AT138" i="6"/>
  <c r="AZ138" i="6" s="1"/>
  <c r="AT176" i="6"/>
  <c r="AT173" i="6"/>
  <c r="AT140" i="6"/>
  <c r="AZ140" i="6" s="1"/>
  <c r="AT91" i="6"/>
  <c r="AZ91" i="6" s="1"/>
  <c r="AT98" i="6"/>
  <c r="AZ98" i="6" s="1"/>
  <c r="AT108" i="6"/>
  <c r="AZ108" i="6" s="1"/>
  <c r="AT94" i="6"/>
  <c r="AZ94" i="6" s="1"/>
  <c r="AT126" i="6"/>
  <c r="AZ126" i="6" s="1"/>
  <c r="AT110" i="6"/>
  <c r="AZ110" i="6" s="1"/>
  <c r="AT128" i="6"/>
  <c r="AZ128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99" i="6"/>
  <c r="AZ99" i="6" s="1"/>
  <c r="AT78" i="6"/>
  <c r="AT86" i="6"/>
  <c r="AZ86" i="6" s="1"/>
  <c r="AT90" i="6"/>
  <c r="AZ90" i="6" s="1"/>
  <c r="AT80" i="6"/>
  <c r="AZ80" i="6" s="1"/>
  <c r="AT102" i="6"/>
  <c r="AZ102" i="6" s="1"/>
  <c r="AT131" i="6"/>
  <c r="AZ131" i="6" s="1"/>
  <c r="AT81" i="6"/>
  <c r="AZ81" i="6" s="1"/>
  <c r="AT96" i="6"/>
  <c r="AZ96" i="6" s="1"/>
  <c r="AT105" i="6"/>
  <c r="AZ105" i="6" s="1"/>
  <c r="AT127" i="6"/>
  <c r="AZ127" i="6" s="1"/>
  <c r="AT120" i="6"/>
  <c r="AZ120" i="6" s="1"/>
  <c r="U380" i="6" s="1"/>
  <c r="U381" i="6" s="1"/>
  <c r="AT122" i="6"/>
  <c r="AZ122" i="6" s="1"/>
  <c r="AT113" i="6"/>
  <c r="AZ113" i="6" s="1"/>
  <c r="AY277" i="6"/>
  <c r="AY276" i="6"/>
  <c r="AY262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T299" i="6"/>
  <c r="AT266" i="6"/>
  <c r="AT277" i="6"/>
  <c r="AT251" i="6"/>
  <c r="AT288" i="6"/>
  <c r="AT279" i="6"/>
  <c r="AT258" i="6"/>
  <c r="AT259" i="6"/>
  <c r="AT264" i="6"/>
  <c r="AT261" i="6"/>
  <c r="AT283" i="6"/>
  <c r="AT290" i="6"/>
  <c r="AZ290" i="6" s="1"/>
  <c r="AT273" i="6"/>
  <c r="AT254" i="6"/>
  <c r="AT269" i="6"/>
  <c r="AT295" i="6"/>
  <c r="AT281" i="6"/>
  <c r="AT256" i="6"/>
  <c r="AT262" i="6"/>
  <c r="AT298" i="6"/>
  <c r="AT285" i="6"/>
  <c r="AT248" i="6"/>
  <c r="AT268" i="6"/>
  <c r="AT260" i="6"/>
  <c r="AT249" i="6"/>
  <c r="AT292" i="6"/>
  <c r="AT286" i="6"/>
  <c r="AY373" i="6"/>
  <c r="AZ373" i="6" s="1"/>
  <c r="AY376" i="6"/>
  <c r="AZ376" i="6" s="1"/>
  <c r="AE77" i="27"/>
  <c r="P78" i="27"/>
  <c r="G40" i="27" s="1"/>
  <c r="X17" i="16"/>
  <c r="A18" i="16"/>
  <c r="L17" i="16"/>
  <c r="D17" i="16" s="1"/>
  <c r="AJ17" i="16"/>
  <c r="AB17" i="16"/>
  <c r="K17" i="16"/>
  <c r="A18" i="17"/>
  <c r="K17" i="17"/>
  <c r="X17" i="17"/>
  <c r="L17" i="17"/>
  <c r="D17" i="17" s="1"/>
  <c r="AB17" i="17"/>
  <c r="AK17" i="17"/>
  <c r="AJ17" i="17"/>
  <c r="AC9" i="17"/>
  <c r="O11" i="17"/>
  <c r="AC12" i="17"/>
  <c r="X16" i="18"/>
  <c r="L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P12" i="17"/>
  <c r="F8" i="17"/>
  <c r="AK380" i="17"/>
  <c r="AK15" i="17"/>
  <c r="AK19" i="1"/>
  <c r="L19" i="1"/>
  <c r="Q19" i="1"/>
  <c r="AJ19" i="1"/>
  <c r="AB19" i="1"/>
  <c r="A20" i="1"/>
  <c r="K19" i="1"/>
  <c r="O19" i="1"/>
  <c r="AC19" i="1"/>
  <c r="X19" i="1"/>
  <c r="U19" i="1"/>
  <c r="T19" i="1" s="1"/>
  <c r="O9" i="20"/>
  <c r="K13" i="7" l="1"/>
  <c r="V13" i="7"/>
  <c r="J13" i="7"/>
  <c r="P12" i="16"/>
  <c r="AK17" i="16"/>
  <c r="AC10" i="15"/>
  <c r="AC16" i="16" s="1"/>
  <c r="Q11" i="16"/>
  <c r="U11" i="7"/>
  <c r="Q11" i="17" s="1"/>
  <c r="O12" i="16"/>
  <c r="AC9" i="16"/>
  <c r="O11" i="16"/>
  <c r="AZ293" i="6"/>
  <c r="AZ250" i="6"/>
  <c r="AZ257" i="6"/>
  <c r="AZ270" i="6"/>
  <c r="AZ246" i="6"/>
  <c r="AD380" i="6" s="1"/>
  <c r="AD381" i="6" s="1"/>
  <c r="AZ158" i="6"/>
  <c r="AZ187" i="6"/>
  <c r="AZ286" i="6"/>
  <c r="AZ268" i="6"/>
  <c r="AZ273" i="6"/>
  <c r="AZ173" i="6"/>
  <c r="AZ153" i="6"/>
  <c r="AZ179" i="6"/>
  <c r="AZ218" i="6"/>
  <c r="AB380" i="6" s="1"/>
  <c r="AB381" i="6" s="1"/>
  <c r="AZ241" i="6"/>
  <c r="AZ231" i="6"/>
  <c r="AZ200" i="6"/>
  <c r="AZ202" i="6"/>
  <c r="AZ295" i="6"/>
  <c r="AZ251" i="6"/>
  <c r="AZ172" i="6"/>
  <c r="AZ157" i="6"/>
  <c r="AZ171" i="6"/>
  <c r="AZ232" i="6"/>
  <c r="AC380" i="6" s="1"/>
  <c r="AC381" i="6" s="1"/>
  <c r="AZ228" i="6"/>
  <c r="AZ225" i="6"/>
  <c r="AZ226" i="6"/>
  <c r="AZ194" i="6"/>
  <c r="AZ177" i="6"/>
  <c r="AZ242" i="6"/>
  <c r="AZ244" i="6"/>
  <c r="AZ240" i="6"/>
  <c r="AZ191" i="6"/>
  <c r="AK15" i="16"/>
  <c r="F8" i="16"/>
  <c r="AI11" i="16" s="1"/>
  <c r="O12" i="17"/>
  <c r="E7" i="18"/>
  <c r="E8" i="18"/>
  <c r="K15" i="19" s="1"/>
  <c r="K39" i="19" s="1"/>
  <c r="AZ284" i="6"/>
  <c r="AZ247" i="6"/>
  <c r="AZ272" i="6"/>
  <c r="AZ300" i="6"/>
  <c r="AZ296" i="6"/>
  <c r="AZ292" i="6"/>
  <c r="AZ256" i="6"/>
  <c r="AZ291" i="6"/>
  <c r="AZ263" i="6"/>
  <c r="AZ252" i="6"/>
  <c r="AZ267" i="6"/>
  <c r="AZ166" i="6"/>
  <c r="AZ169" i="6"/>
  <c r="AZ180" i="6"/>
  <c r="AZ229" i="6"/>
  <c r="AZ209" i="6"/>
  <c r="AZ203" i="6"/>
  <c r="AZ196" i="6"/>
  <c r="AZ205" i="6"/>
  <c r="AZ249" i="6"/>
  <c r="AZ281" i="6"/>
  <c r="AZ264" i="6"/>
  <c r="AZ175" i="6"/>
  <c r="AZ155" i="6"/>
  <c r="AZ233" i="6"/>
  <c r="AZ197" i="6"/>
  <c r="AZ195" i="6"/>
  <c r="AZ265" i="6"/>
  <c r="AZ301" i="6"/>
  <c r="AZ278" i="6"/>
  <c r="AZ185" i="6"/>
  <c r="AZ198" i="6"/>
  <c r="AZ206" i="6"/>
  <c r="AZ192" i="6"/>
  <c r="AZ199" i="6"/>
  <c r="AZ217" i="6"/>
  <c r="AZ183" i="6"/>
  <c r="AZ154" i="6"/>
  <c r="AZ208" i="6"/>
  <c r="AZ214" i="6"/>
  <c r="AZ297" i="6"/>
  <c r="AZ235" i="6"/>
  <c r="AZ224" i="6"/>
  <c r="AZ227" i="6"/>
  <c r="AZ230" i="6"/>
  <c r="AZ271" i="6"/>
  <c r="AZ245" i="6"/>
  <c r="AZ212" i="6"/>
  <c r="AZ213" i="6"/>
  <c r="AZ165" i="6"/>
  <c r="AZ201" i="6"/>
  <c r="AZ184" i="6"/>
  <c r="AZ168" i="6"/>
  <c r="AZ189" i="6"/>
  <c r="AZ274" i="6"/>
  <c r="AF380" i="6" s="1"/>
  <c r="AF381" i="6" s="1"/>
  <c r="AZ294" i="6"/>
  <c r="AZ178" i="6"/>
  <c r="AZ152" i="6"/>
  <c r="AZ159" i="6"/>
  <c r="AT12" i="6"/>
  <c r="AZ275" i="6"/>
  <c r="AZ289" i="6"/>
  <c r="AZ299" i="6"/>
  <c r="AZ262" i="6"/>
  <c r="AZ277" i="6"/>
  <c r="AZ255" i="6"/>
  <c r="AZ221" i="6"/>
  <c r="AZ215" i="6"/>
  <c r="AZ243" i="6"/>
  <c r="AZ253" i="6"/>
  <c r="AZ220" i="6"/>
  <c r="AZ210" i="6"/>
  <c r="AZ258" i="6"/>
  <c r="AZ188" i="6"/>
  <c r="AZ156" i="6"/>
  <c r="AZ181" i="6"/>
  <c r="AZ170" i="6"/>
  <c r="AZ176" i="6"/>
  <c r="Y380" i="6" s="1"/>
  <c r="Y381" i="6" s="1"/>
  <c r="AZ174" i="6"/>
  <c r="AZ163" i="6"/>
  <c r="AZ160" i="6"/>
  <c r="AZ161" i="6"/>
  <c r="AZ78" i="6"/>
  <c r="R380" i="6" s="1"/>
  <c r="R381" i="6" s="1"/>
  <c r="AT13" i="6"/>
  <c r="Q17" i="1"/>
  <c r="U18" i="1"/>
  <c r="T18" i="1" s="1"/>
  <c r="S18" i="1" s="1"/>
  <c r="R18" i="1" s="1"/>
  <c r="Q18" i="1"/>
  <c r="Q16" i="1"/>
  <c r="U16" i="1"/>
  <c r="T16" i="1" s="1"/>
  <c r="S16" i="1" s="1"/>
  <c r="R16" i="1" s="1"/>
  <c r="U17" i="1"/>
  <c r="T17" i="1" s="1"/>
  <c r="S17" i="1" s="1"/>
  <c r="R17" i="1" s="1"/>
  <c r="U15" i="1"/>
  <c r="T15" i="1" s="1"/>
  <c r="S15" i="1" s="1"/>
  <c r="Q15" i="1"/>
  <c r="L12" i="19"/>
  <c r="P10" i="15"/>
  <c r="AE11" i="15"/>
  <c r="AI11" i="15"/>
  <c r="AB18" i="15"/>
  <c r="A19" i="15"/>
  <c r="X18" i="15"/>
  <c r="K18" i="15"/>
  <c r="AJ18" i="15"/>
  <c r="AK18" i="15"/>
  <c r="L18" i="15"/>
  <c r="D18" i="15" s="1"/>
  <c r="AC18" i="15"/>
  <c r="L11" i="20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249" i="1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169" i="1"/>
  <c r="AE107" i="1"/>
  <c r="AE74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50" i="1"/>
  <c r="AE295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I298" i="1"/>
  <c r="AH298" i="1" s="1"/>
  <c r="AG298" i="1" s="1"/>
  <c r="AF298" i="1" s="1"/>
  <c r="AI267" i="1"/>
  <c r="AH267" i="1" s="1"/>
  <c r="AG267" i="1" s="1"/>
  <c r="AF267" i="1" s="1"/>
  <c r="AD267" i="1" s="1"/>
  <c r="AI200" i="1"/>
  <c r="AH200" i="1" s="1"/>
  <c r="AG200" i="1" s="1"/>
  <c r="AF200" i="1" s="1"/>
  <c r="AI371" i="1"/>
  <c r="AH371" i="1" s="1"/>
  <c r="AG371" i="1" s="1"/>
  <c r="AF371" i="1" s="1"/>
  <c r="AI299" i="1"/>
  <c r="AH299" i="1" s="1"/>
  <c r="AG299" i="1" s="1"/>
  <c r="AF299" i="1" s="1"/>
  <c r="AD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D84" i="1" s="1"/>
  <c r="AI124" i="1"/>
  <c r="AH124" i="1" s="1"/>
  <c r="AG124" i="1" s="1"/>
  <c r="AF124" i="1" s="1"/>
  <c r="AI329" i="1"/>
  <c r="AH329" i="1" s="1"/>
  <c r="AG329" i="1" s="1"/>
  <c r="AF329" i="1" s="1"/>
  <c r="AI252" i="1"/>
  <c r="AH252" i="1" s="1"/>
  <c r="AG252" i="1" s="1"/>
  <c r="AF252" i="1" s="1"/>
  <c r="AD252" i="1" s="1"/>
  <c r="AI230" i="1"/>
  <c r="AH230" i="1" s="1"/>
  <c r="AG230" i="1" s="1"/>
  <c r="AF230" i="1" s="1"/>
  <c r="AI338" i="1"/>
  <c r="AH338" i="1" s="1"/>
  <c r="AG338" i="1" s="1"/>
  <c r="AF338" i="1" s="1"/>
  <c r="AI353" i="1"/>
  <c r="AH353" i="1" s="1"/>
  <c r="AG353" i="1" s="1"/>
  <c r="AF353" i="1" s="1"/>
  <c r="AD353" i="1" s="1"/>
  <c r="AI229" i="1"/>
  <c r="AH229" i="1" s="1"/>
  <c r="AG229" i="1" s="1"/>
  <c r="AF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D323" i="1" s="1"/>
  <c r="AI133" i="1"/>
  <c r="AH133" i="1" s="1"/>
  <c r="AG133" i="1" s="1"/>
  <c r="AF133" i="1" s="1"/>
  <c r="AD133" i="1" s="1"/>
  <c r="AI215" i="1"/>
  <c r="AH215" i="1" s="1"/>
  <c r="AG215" i="1" s="1"/>
  <c r="AF215" i="1" s="1"/>
  <c r="AI211" i="1"/>
  <c r="AH211" i="1" s="1"/>
  <c r="AG211" i="1" s="1"/>
  <c r="AF211" i="1" s="1"/>
  <c r="AD211" i="1" s="1"/>
  <c r="AI170" i="1"/>
  <c r="AH170" i="1" s="1"/>
  <c r="AG170" i="1" s="1"/>
  <c r="AF170" i="1" s="1"/>
  <c r="AD170" i="1" s="1"/>
  <c r="AI168" i="1"/>
  <c r="AH168" i="1" s="1"/>
  <c r="AG168" i="1" s="1"/>
  <c r="AF168" i="1" s="1"/>
  <c r="AI93" i="1"/>
  <c r="AH93" i="1" s="1"/>
  <c r="AG93" i="1" s="1"/>
  <c r="AF93" i="1" s="1"/>
  <c r="AD93" i="1" s="1"/>
  <c r="AI26" i="1"/>
  <c r="AH26" i="1" s="1"/>
  <c r="AG26" i="1" s="1"/>
  <c r="AF26" i="1" s="1"/>
  <c r="AI115" i="1"/>
  <c r="AH115" i="1" s="1"/>
  <c r="AG115" i="1" s="1"/>
  <c r="AF115" i="1" s="1"/>
  <c r="AD115" i="1" s="1"/>
  <c r="AI32" i="1"/>
  <c r="AH32" i="1" s="1"/>
  <c r="AG32" i="1" s="1"/>
  <c r="AF32" i="1" s="1"/>
  <c r="AD32" i="1" s="1"/>
  <c r="AI29" i="1"/>
  <c r="AH29" i="1" s="1"/>
  <c r="AG29" i="1" s="1"/>
  <c r="AF29" i="1" s="1"/>
  <c r="AI269" i="1"/>
  <c r="AH269" i="1" s="1"/>
  <c r="AG269" i="1" s="1"/>
  <c r="AF269" i="1" s="1"/>
  <c r="AD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I235" i="1"/>
  <c r="AH235" i="1" s="1"/>
  <c r="AG235" i="1" s="1"/>
  <c r="AF235" i="1" s="1"/>
  <c r="AI343" i="1"/>
  <c r="AH343" i="1" s="1"/>
  <c r="AG343" i="1" s="1"/>
  <c r="AF343" i="1" s="1"/>
  <c r="AI131" i="1"/>
  <c r="AH131" i="1" s="1"/>
  <c r="AG131" i="1" s="1"/>
  <c r="AF131" i="1" s="1"/>
  <c r="AI59" i="1"/>
  <c r="AH59" i="1" s="1"/>
  <c r="AG59" i="1" s="1"/>
  <c r="AF59" i="1" s="1"/>
  <c r="AI348" i="1"/>
  <c r="AH348" i="1" s="1"/>
  <c r="AG348" i="1" s="1"/>
  <c r="AF348" i="1" s="1"/>
  <c r="AD348" i="1" s="1"/>
  <c r="AI265" i="1"/>
  <c r="AH265" i="1" s="1"/>
  <c r="AG265" i="1" s="1"/>
  <c r="AF265" i="1" s="1"/>
  <c r="AI126" i="1"/>
  <c r="AH126" i="1" s="1"/>
  <c r="AG126" i="1" s="1"/>
  <c r="AF126" i="1" s="1"/>
  <c r="AD126" i="1" s="1"/>
  <c r="AI205" i="1"/>
  <c r="AH205" i="1" s="1"/>
  <c r="AG205" i="1" s="1"/>
  <c r="AF205" i="1" s="1"/>
  <c r="AI48" i="1"/>
  <c r="AH48" i="1" s="1"/>
  <c r="AG48" i="1" s="1"/>
  <c r="AF48" i="1" s="1"/>
  <c r="AD48" i="1" s="1"/>
  <c r="AI242" i="1"/>
  <c r="AH242" i="1" s="1"/>
  <c r="AG242" i="1" s="1"/>
  <c r="AF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D35" i="1" s="1"/>
  <c r="AI256" i="1"/>
  <c r="AH256" i="1" s="1"/>
  <c r="AG256" i="1" s="1"/>
  <c r="AF256" i="1" s="1"/>
  <c r="AI162" i="1"/>
  <c r="AH162" i="1" s="1"/>
  <c r="AG162" i="1" s="1"/>
  <c r="AF162" i="1" s="1"/>
  <c r="AI166" i="1"/>
  <c r="AH166" i="1" s="1"/>
  <c r="AG166" i="1" s="1"/>
  <c r="AF166" i="1" s="1"/>
  <c r="AI239" i="1"/>
  <c r="AH239" i="1" s="1"/>
  <c r="AG239" i="1" s="1"/>
  <c r="AF239" i="1" s="1"/>
  <c r="AI77" i="1"/>
  <c r="AH77" i="1" s="1"/>
  <c r="AG77" i="1" s="1"/>
  <c r="AF77" i="1" s="1"/>
  <c r="AD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AD240" i="1" s="1"/>
  <c r="E16" i="7"/>
  <c r="AI41" i="1"/>
  <c r="AH41" i="1" s="1"/>
  <c r="AG41" i="1" s="1"/>
  <c r="AF41" i="1" s="1"/>
  <c r="AD41" i="1" s="1"/>
  <c r="AI201" i="1"/>
  <c r="AH201" i="1" s="1"/>
  <c r="AG201" i="1" s="1"/>
  <c r="AF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D318" i="1" s="1"/>
  <c r="AI283" i="1"/>
  <c r="AH283" i="1" s="1"/>
  <c r="AG283" i="1" s="1"/>
  <c r="AF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D177" i="1" s="1"/>
  <c r="AI227" i="1"/>
  <c r="AH227" i="1" s="1"/>
  <c r="AG227" i="1" s="1"/>
  <c r="AF227" i="1" s="1"/>
  <c r="AD227" i="1" s="1"/>
  <c r="AI103" i="1"/>
  <c r="AH103" i="1" s="1"/>
  <c r="AG103" i="1" s="1"/>
  <c r="AF103" i="1" s="1"/>
  <c r="AD103" i="1" s="1"/>
  <c r="AI142" i="1"/>
  <c r="AH142" i="1" s="1"/>
  <c r="AG142" i="1" s="1"/>
  <c r="AF142" i="1" s="1"/>
  <c r="AD142" i="1" s="1"/>
  <c r="AI157" i="1"/>
  <c r="AH157" i="1" s="1"/>
  <c r="AG157" i="1" s="1"/>
  <c r="AF157" i="1" s="1"/>
  <c r="AD157" i="1" s="1"/>
  <c r="AI85" i="1"/>
  <c r="AH85" i="1" s="1"/>
  <c r="AG85" i="1" s="1"/>
  <c r="AF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I327" i="1"/>
  <c r="AH327" i="1" s="1"/>
  <c r="AG327" i="1" s="1"/>
  <c r="AF327" i="1" s="1"/>
  <c r="AD327" i="1" s="1"/>
  <c r="AI173" i="1"/>
  <c r="AH173" i="1" s="1"/>
  <c r="AG173" i="1" s="1"/>
  <c r="AF173" i="1" s="1"/>
  <c r="AI271" i="1"/>
  <c r="AH271" i="1" s="1"/>
  <c r="AG271" i="1" s="1"/>
  <c r="AF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D337" i="1" s="1"/>
  <c r="AI75" i="1"/>
  <c r="AH75" i="1" s="1"/>
  <c r="AG75" i="1" s="1"/>
  <c r="AF75" i="1" s="1"/>
  <c r="AD75" i="1" s="1"/>
  <c r="AI268" i="1"/>
  <c r="AH268" i="1" s="1"/>
  <c r="AG268" i="1" s="1"/>
  <c r="AF268" i="1" s="1"/>
  <c r="AI181" i="1"/>
  <c r="AH181" i="1" s="1"/>
  <c r="AG181" i="1" s="1"/>
  <c r="AF181" i="1" s="1"/>
  <c r="AI363" i="1"/>
  <c r="AH363" i="1" s="1"/>
  <c r="AG363" i="1" s="1"/>
  <c r="AF363" i="1" s="1"/>
  <c r="AD363" i="1" s="1"/>
  <c r="AI80" i="1"/>
  <c r="AH80" i="1" s="1"/>
  <c r="AG80" i="1" s="1"/>
  <c r="AF80" i="1" s="1"/>
  <c r="AD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I222" i="1"/>
  <c r="AH222" i="1" s="1"/>
  <c r="AG222" i="1" s="1"/>
  <c r="AF222" i="1" s="1"/>
  <c r="AI45" i="1"/>
  <c r="AH45" i="1" s="1"/>
  <c r="AG45" i="1" s="1"/>
  <c r="AF45" i="1" s="1"/>
  <c r="AD45" i="1" s="1"/>
  <c r="AI179" i="1"/>
  <c r="AH179" i="1" s="1"/>
  <c r="AG179" i="1" s="1"/>
  <c r="AF179" i="1" s="1"/>
  <c r="AI165" i="1"/>
  <c r="AH165" i="1" s="1"/>
  <c r="AG165" i="1" s="1"/>
  <c r="AF165" i="1" s="1"/>
  <c r="AD165" i="1" s="1"/>
  <c r="AI204" i="1"/>
  <c r="AH204" i="1" s="1"/>
  <c r="AG204" i="1" s="1"/>
  <c r="AF204" i="1" s="1"/>
  <c r="AI255" i="1"/>
  <c r="AH255" i="1" s="1"/>
  <c r="AG255" i="1" s="1"/>
  <c r="AF255" i="1" s="1"/>
  <c r="AD255" i="1" s="1"/>
  <c r="AI121" i="1"/>
  <c r="AH121" i="1" s="1"/>
  <c r="AG121" i="1" s="1"/>
  <c r="AF121" i="1" s="1"/>
  <c r="AI300" i="1"/>
  <c r="AH300" i="1" s="1"/>
  <c r="AG300" i="1" s="1"/>
  <c r="AF300" i="1" s="1"/>
  <c r="AD300" i="1" s="1"/>
  <c r="AI153" i="1"/>
  <c r="AH153" i="1" s="1"/>
  <c r="AG153" i="1" s="1"/>
  <c r="AF153" i="1" s="1"/>
  <c r="AD153" i="1" s="1"/>
  <c r="AI104" i="1"/>
  <c r="AH104" i="1" s="1"/>
  <c r="AG104" i="1" s="1"/>
  <c r="AF104" i="1" s="1"/>
  <c r="AD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D220" i="1" s="1"/>
  <c r="AI212" i="1"/>
  <c r="AH212" i="1" s="1"/>
  <c r="AG212" i="1" s="1"/>
  <c r="AF212" i="1" s="1"/>
  <c r="AD212" i="1" s="1"/>
  <c r="AI167" i="1"/>
  <c r="AH167" i="1" s="1"/>
  <c r="AG167" i="1" s="1"/>
  <c r="AF167" i="1" s="1"/>
  <c r="AD167" i="1" s="1"/>
  <c r="AI109" i="1"/>
  <c r="AH109" i="1" s="1"/>
  <c r="AG109" i="1" s="1"/>
  <c r="AF109" i="1" s="1"/>
  <c r="AI259" i="1"/>
  <c r="AH259" i="1" s="1"/>
  <c r="AG259" i="1" s="1"/>
  <c r="AF259" i="1" s="1"/>
  <c r="AD259" i="1" s="1"/>
  <c r="BM16" i="7"/>
  <c r="AI58" i="1"/>
  <c r="AH58" i="1" s="1"/>
  <c r="AG58" i="1" s="1"/>
  <c r="AF58" i="1" s="1"/>
  <c r="AD58" i="1" s="1"/>
  <c r="AI232" i="1"/>
  <c r="AH232" i="1" s="1"/>
  <c r="AG232" i="1" s="1"/>
  <c r="AF232" i="1" s="1"/>
  <c r="AI234" i="1"/>
  <c r="AH234" i="1" s="1"/>
  <c r="AG234" i="1" s="1"/>
  <c r="AF234" i="1" s="1"/>
  <c r="AI89" i="1"/>
  <c r="AH89" i="1" s="1"/>
  <c r="AG89" i="1" s="1"/>
  <c r="AF89" i="1" s="1"/>
  <c r="AI185" i="1"/>
  <c r="AH185" i="1" s="1"/>
  <c r="AG185" i="1" s="1"/>
  <c r="AF185" i="1" s="1"/>
  <c r="AD185" i="1" s="1"/>
  <c r="AI248" i="1"/>
  <c r="AH248" i="1" s="1"/>
  <c r="AG248" i="1" s="1"/>
  <c r="AF248" i="1" s="1"/>
  <c r="AI225" i="1"/>
  <c r="AH225" i="1" s="1"/>
  <c r="AG225" i="1" s="1"/>
  <c r="AF225" i="1" s="1"/>
  <c r="AI68" i="1"/>
  <c r="AH68" i="1" s="1"/>
  <c r="AG68" i="1" s="1"/>
  <c r="AF68" i="1" s="1"/>
  <c r="AD68" i="1" s="1"/>
  <c r="AI111" i="1"/>
  <c r="AH111" i="1" s="1"/>
  <c r="AG111" i="1" s="1"/>
  <c r="AF111" i="1" s="1"/>
  <c r="AD111" i="1" s="1"/>
  <c r="AI320" i="1"/>
  <c r="AH320" i="1" s="1"/>
  <c r="AG320" i="1" s="1"/>
  <c r="AF320" i="1" s="1"/>
  <c r="AD320" i="1" s="1"/>
  <c r="AI362" i="1"/>
  <c r="AH362" i="1" s="1"/>
  <c r="AI147" i="1"/>
  <c r="AH147" i="1" s="1"/>
  <c r="AG147" i="1" s="1"/>
  <c r="AF147" i="1" s="1"/>
  <c r="AD147" i="1" s="1"/>
  <c r="AI345" i="1"/>
  <c r="AH345" i="1" s="1"/>
  <c r="AG345" i="1" s="1"/>
  <c r="AF345" i="1" s="1"/>
  <c r="AD345" i="1" s="1"/>
  <c r="AI127" i="1"/>
  <c r="AH127" i="1" s="1"/>
  <c r="AI295" i="1"/>
  <c r="AH295" i="1" s="1"/>
  <c r="AI375" i="1"/>
  <c r="AH375" i="1" s="1"/>
  <c r="AI296" i="1"/>
  <c r="AH296" i="1" s="1"/>
  <c r="AI78" i="1"/>
  <c r="AH78" i="1" s="1"/>
  <c r="AI190" i="1"/>
  <c r="AH190" i="1" s="1"/>
  <c r="AI319" i="1"/>
  <c r="AH319" i="1" s="1"/>
  <c r="AI210" i="1"/>
  <c r="AH210" i="1" s="1"/>
  <c r="AI358" i="1"/>
  <c r="AH358" i="1" s="1"/>
  <c r="AI169" i="1"/>
  <c r="AH169" i="1" s="1"/>
  <c r="AI97" i="1"/>
  <c r="AH97" i="1" s="1"/>
  <c r="AI38" i="1"/>
  <c r="AH38" i="1" s="1"/>
  <c r="AI67" i="1"/>
  <c r="AH67" i="1" s="1"/>
  <c r="AI306" i="1"/>
  <c r="AH306" i="1" s="1"/>
  <c r="AI134" i="1"/>
  <c r="AH134" i="1" s="1"/>
  <c r="AI254" i="1"/>
  <c r="AH254" i="1" s="1"/>
  <c r="AI136" i="1"/>
  <c r="AH136" i="1" s="1"/>
  <c r="AI92" i="1"/>
  <c r="AH92" i="1" s="1"/>
  <c r="AI176" i="1"/>
  <c r="AH176" i="1" s="1"/>
  <c r="AG176" i="1" s="1"/>
  <c r="AF176" i="1" s="1"/>
  <c r="AD176" i="1" s="1"/>
  <c r="AI191" i="1"/>
  <c r="AH191" i="1" s="1"/>
  <c r="AI69" i="1"/>
  <c r="AH69" i="1" s="1"/>
  <c r="AG69" i="1" s="1"/>
  <c r="AF69" i="1" s="1"/>
  <c r="AD69" i="1" s="1"/>
  <c r="AI51" i="1"/>
  <c r="AH51" i="1" s="1"/>
  <c r="AG51" i="1" s="1"/>
  <c r="AF51" i="1" s="1"/>
  <c r="AI66" i="1"/>
  <c r="AH66" i="1" s="1"/>
  <c r="AG66" i="1" s="1"/>
  <c r="AF66" i="1" s="1"/>
  <c r="AD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D351" i="1" s="1"/>
  <c r="AI151" i="1"/>
  <c r="AH151" i="1" s="1"/>
  <c r="AG151" i="1" s="1"/>
  <c r="AF151" i="1" s="1"/>
  <c r="AI317" i="1"/>
  <c r="AH317" i="1" s="1"/>
  <c r="AG317" i="1" s="1"/>
  <c r="AF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G143" i="1" s="1"/>
  <c r="AF143" i="1" s="1"/>
  <c r="AD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G74" i="1" s="1"/>
  <c r="AF74" i="1" s="1"/>
  <c r="AD74" i="1" s="1"/>
  <c r="AI370" i="1"/>
  <c r="AH370" i="1" s="1"/>
  <c r="AG370" i="1" s="1"/>
  <c r="AF370" i="1" s="1"/>
  <c r="AD370" i="1" s="1"/>
  <c r="AI83" i="1"/>
  <c r="AH83" i="1" s="1"/>
  <c r="AG83" i="1" s="1"/>
  <c r="AF83" i="1" s="1"/>
  <c r="AD83" i="1" s="1"/>
  <c r="AI39" i="1"/>
  <c r="AH39" i="1" s="1"/>
  <c r="AG39" i="1" s="1"/>
  <c r="AF39" i="1" s="1"/>
  <c r="AD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D214" i="1" s="1"/>
  <c r="AI276" i="1"/>
  <c r="AH276" i="1" s="1"/>
  <c r="AG276" i="1" s="1"/>
  <c r="AF276" i="1" s="1"/>
  <c r="AI199" i="1"/>
  <c r="AH199" i="1" s="1"/>
  <c r="AG199" i="1" s="1"/>
  <c r="AF199" i="1" s="1"/>
  <c r="AD199" i="1" s="1"/>
  <c r="AI52" i="1"/>
  <c r="AH52" i="1" s="1"/>
  <c r="AG52" i="1" s="1"/>
  <c r="AF52" i="1" s="1"/>
  <c r="AD52" i="1" s="1"/>
  <c r="AI116" i="1"/>
  <c r="AH116" i="1" s="1"/>
  <c r="AG116" i="1" s="1"/>
  <c r="AF116" i="1" s="1"/>
  <c r="AD116" i="1" s="1"/>
  <c r="AI359" i="1"/>
  <c r="AH359" i="1" s="1"/>
  <c r="AG359" i="1" s="1"/>
  <c r="AF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D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I340" i="1"/>
  <c r="AH340" i="1" s="1"/>
  <c r="AG340" i="1" s="1"/>
  <c r="AF340" i="1" s="1"/>
  <c r="AD340" i="1" s="1"/>
  <c r="AI56" i="1"/>
  <c r="AH56" i="1" s="1"/>
  <c r="AG56" i="1" s="1"/>
  <c r="AF56" i="1" s="1"/>
  <c r="AD56" i="1" s="1"/>
  <c r="AI163" i="1"/>
  <c r="AH163" i="1" s="1"/>
  <c r="AG163" i="1" s="1"/>
  <c r="AF163" i="1" s="1"/>
  <c r="AD163" i="1" s="1"/>
  <c r="AI180" i="1"/>
  <c r="AH180" i="1" s="1"/>
  <c r="AG180" i="1" s="1"/>
  <c r="AF180" i="1" s="1"/>
  <c r="AI258" i="1"/>
  <c r="AH258" i="1" s="1"/>
  <c r="AG258" i="1" s="1"/>
  <c r="AF258" i="1" s="1"/>
  <c r="AD258" i="1" s="1"/>
  <c r="AI275" i="1"/>
  <c r="AH275" i="1" s="1"/>
  <c r="AG275" i="1" s="1"/>
  <c r="AF275" i="1" s="1"/>
  <c r="AD275" i="1" s="1"/>
  <c r="AI182" i="1"/>
  <c r="AH182" i="1" s="1"/>
  <c r="AG182" i="1" s="1"/>
  <c r="AF182" i="1" s="1"/>
  <c r="AI206" i="1"/>
  <c r="AH206" i="1" s="1"/>
  <c r="AG206" i="1" s="1"/>
  <c r="AF206" i="1" s="1"/>
  <c r="AD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D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D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I158" i="1"/>
  <c r="AH158" i="1" s="1"/>
  <c r="AG158" i="1" s="1"/>
  <c r="AF158" i="1" s="1"/>
  <c r="AD158" i="1" s="1"/>
  <c r="AI261" i="1"/>
  <c r="AH261" i="1" s="1"/>
  <c r="AG261" i="1" s="1"/>
  <c r="AF261" i="1" s="1"/>
  <c r="AD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D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D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D193" i="1" s="1"/>
  <c r="AI262" i="1"/>
  <c r="AH262" i="1" s="1"/>
  <c r="AG262" i="1" s="1"/>
  <c r="AF262" i="1" s="1"/>
  <c r="AD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I202" i="1"/>
  <c r="AH202" i="1" s="1"/>
  <c r="AG202" i="1" s="1"/>
  <c r="AF202" i="1" s="1"/>
  <c r="AD202" i="1" s="1"/>
  <c r="AI223" i="1"/>
  <c r="AH223" i="1" s="1"/>
  <c r="AG223" i="1" s="1"/>
  <c r="AF223" i="1" s="1"/>
  <c r="AI314" i="1"/>
  <c r="AH314" i="1" s="1"/>
  <c r="AG314" i="1" s="1"/>
  <c r="AF314" i="1" s="1"/>
  <c r="AD314" i="1" s="1"/>
  <c r="AI219" i="1"/>
  <c r="AH219" i="1" s="1"/>
  <c r="AG219" i="1" s="1"/>
  <c r="AF219" i="1" s="1"/>
  <c r="AI289" i="1"/>
  <c r="AH289" i="1" s="1"/>
  <c r="AG289" i="1" s="1"/>
  <c r="AF289" i="1" s="1"/>
  <c r="AD289" i="1" s="1"/>
  <c r="AI364" i="1"/>
  <c r="AH364" i="1" s="1"/>
  <c r="AG364" i="1" s="1"/>
  <c r="AF364" i="1" s="1"/>
  <c r="AD364" i="1" s="1"/>
  <c r="AI132" i="1"/>
  <c r="AH132" i="1" s="1"/>
  <c r="AG132" i="1" s="1"/>
  <c r="AF132" i="1" s="1"/>
  <c r="AI335" i="1"/>
  <c r="AH335" i="1" s="1"/>
  <c r="AG335" i="1" s="1"/>
  <c r="AF335" i="1" s="1"/>
  <c r="AI203" i="1"/>
  <c r="AH203" i="1" s="1"/>
  <c r="AG203" i="1" s="1"/>
  <c r="AF203" i="1" s="1"/>
  <c r="AI31" i="1"/>
  <c r="AH31" i="1" s="1"/>
  <c r="AI303" i="1"/>
  <c r="AH303" i="1" s="1"/>
  <c r="AG303" i="1" s="1"/>
  <c r="AF303" i="1" s="1"/>
  <c r="AD303" i="1" s="1"/>
  <c r="AI183" i="1"/>
  <c r="AH183" i="1" s="1"/>
  <c r="AG183" i="1" s="1"/>
  <c r="AF183" i="1" s="1"/>
  <c r="AD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D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D156" i="1" s="1"/>
  <c r="AI137" i="1"/>
  <c r="AH137" i="1" s="1"/>
  <c r="AG137" i="1" s="1"/>
  <c r="AF137" i="1" s="1"/>
  <c r="AI164" i="1"/>
  <c r="AH164" i="1" s="1"/>
  <c r="AI25" i="1"/>
  <c r="AH25" i="1" s="1"/>
  <c r="AI194" i="1"/>
  <c r="AH194" i="1" s="1"/>
  <c r="AI250" i="1"/>
  <c r="AH250" i="1" s="1"/>
  <c r="AG250" i="1" s="1"/>
  <c r="AF250" i="1" s="1"/>
  <c r="AD250" i="1" s="1"/>
  <c r="AI334" i="1"/>
  <c r="AH334" i="1" s="1"/>
  <c r="AG334" i="1" s="1"/>
  <c r="AF334" i="1" s="1"/>
  <c r="AD334" i="1" s="1"/>
  <c r="AI149" i="1"/>
  <c r="AH149" i="1" s="1"/>
  <c r="AI238" i="1"/>
  <c r="AH238" i="1" s="1"/>
  <c r="AG238" i="1" s="1"/>
  <c r="AF238" i="1" s="1"/>
  <c r="AI372" i="1"/>
  <c r="AH372" i="1" s="1"/>
  <c r="AI264" i="1"/>
  <c r="AH264" i="1" s="1"/>
  <c r="AG264" i="1" s="1"/>
  <c r="AF264" i="1" s="1"/>
  <c r="AD264" i="1" s="1"/>
  <c r="AI287" i="1"/>
  <c r="AH287" i="1" s="1"/>
  <c r="AG287" i="1" s="1"/>
  <c r="AF287" i="1" s="1"/>
  <c r="AD287" i="1" s="1"/>
  <c r="AI102" i="1"/>
  <c r="AH102" i="1" s="1"/>
  <c r="AG102" i="1" s="1"/>
  <c r="AF102" i="1" s="1"/>
  <c r="AD102" i="1" s="1"/>
  <c r="AI125" i="1"/>
  <c r="AH125" i="1" s="1"/>
  <c r="AG125" i="1" s="1"/>
  <c r="AF125" i="1" s="1"/>
  <c r="AI308" i="1"/>
  <c r="AH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I246" i="1"/>
  <c r="AH246" i="1" s="1"/>
  <c r="AI221" i="1"/>
  <c r="AH221" i="1" s="1"/>
  <c r="AG221" i="1" s="1"/>
  <c r="AF221" i="1" s="1"/>
  <c r="AI65" i="1"/>
  <c r="AH65" i="1" s="1"/>
  <c r="AG65" i="1" s="1"/>
  <c r="AF65" i="1" s="1"/>
  <c r="AI24" i="1"/>
  <c r="AH24" i="1" s="1"/>
  <c r="AG24" i="1" s="1"/>
  <c r="AF24" i="1" s="1"/>
  <c r="AI112" i="1"/>
  <c r="AH112" i="1" s="1"/>
  <c r="AI328" i="1"/>
  <c r="AH328" i="1" s="1"/>
  <c r="AG328" i="1" s="1"/>
  <c r="AF328" i="1" s="1"/>
  <c r="AD328" i="1" s="1"/>
  <c r="AI365" i="1"/>
  <c r="AH365" i="1" s="1"/>
  <c r="AG365" i="1" s="1"/>
  <c r="AF365" i="1" s="1"/>
  <c r="AD365" i="1" s="1"/>
  <c r="AI98" i="1"/>
  <c r="AH98" i="1" s="1"/>
  <c r="AG98" i="1" s="1"/>
  <c r="AF98" i="1" s="1"/>
  <c r="AI40" i="1"/>
  <c r="AH40" i="1" s="1"/>
  <c r="AI128" i="1"/>
  <c r="AH128" i="1" s="1"/>
  <c r="AG128" i="1" s="1"/>
  <c r="AF128" i="1" s="1"/>
  <c r="AD128" i="1" s="1"/>
  <c r="AI60" i="1"/>
  <c r="AH60" i="1" s="1"/>
  <c r="AI99" i="1"/>
  <c r="AH99" i="1" s="1"/>
  <c r="AI17" i="1"/>
  <c r="AI64" i="1"/>
  <c r="AH64" i="1" s="1"/>
  <c r="AI120" i="1"/>
  <c r="AH120" i="1" s="1"/>
  <c r="AI290" i="1"/>
  <c r="AH290" i="1" s="1"/>
  <c r="AG290" i="1" s="1"/>
  <c r="AF290" i="1" s="1"/>
  <c r="AD290" i="1" s="1"/>
  <c r="AI123" i="1"/>
  <c r="AH123" i="1" s="1"/>
  <c r="AG123" i="1" s="1"/>
  <c r="AF123" i="1" s="1"/>
  <c r="AD123" i="1" s="1"/>
  <c r="AI333" i="1"/>
  <c r="AH333" i="1" s="1"/>
  <c r="AG333" i="1" s="1"/>
  <c r="AF333" i="1" s="1"/>
  <c r="AD333" i="1" s="1"/>
  <c r="AI347" i="1"/>
  <c r="AH347" i="1" s="1"/>
  <c r="AG347" i="1" s="1"/>
  <c r="AF347" i="1" s="1"/>
  <c r="AD347" i="1" s="1"/>
  <c r="AI49" i="1"/>
  <c r="AH49" i="1" s="1"/>
  <c r="AG49" i="1" s="1"/>
  <c r="AF49" i="1" s="1"/>
  <c r="AI344" i="1"/>
  <c r="AH344" i="1" s="1"/>
  <c r="AG344" i="1" s="1"/>
  <c r="AF344" i="1" s="1"/>
  <c r="AI356" i="1"/>
  <c r="AH356" i="1" s="1"/>
  <c r="AG356" i="1" s="1"/>
  <c r="AF356" i="1" s="1"/>
  <c r="AD356" i="1" s="1"/>
  <c r="AI226" i="1"/>
  <c r="AH226" i="1" s="1"/>
  <c r="AG226" i="1" s="1"/>
  <c r="AF226" i="1" s="1"/>
  <c r="AD226" i="1" s="1"/>
  <c r="AI95" i="1"/>
  <c r="AH95" i="1" s="1"/>
  <c r="AG95" i="1" s="1"/>
  <c r="AF95" i="1" s="1"/>
  <c r="AD95" i="1" s="1"/>
  <c r="AI186" i="1"/>
  <c r="AH186" i="1" s="1"/>
  <c r="AG186" i="1" s="1"/>
  <c r="AF186" i="1" s="1"/>
  <c r="AD186" i="1" s="1"/>
  <c r="AI274" i="1"/>
  <c r="AH274" i="1" s="1"/>
  <c r="AG274" i="1" s="1"/>
  <c r="AF274" i="1" s="1"/>
  <c r="AD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I192" i="1"/>
  <c r="AH192" i="1" s="1"/>
  <c r="AG192" i="1" s="1"/>
  <c r="AF192" i="1" s="1"/>
  <c r="AI28" i="1"/>
  <c r="AH28" i="1" s="1"/>
  <c r="AG28" i="1" s="1"/>
  <c r="AF28" i="1" s="1"/>
  <c r="AI160" i="1"/>
  <c r="AH160" i="1" s="1"/>
  <c r="AG160" i="1" s="1"/>
  <c r="AF160" i="1" s="1"/>
  <c r="AD160" i="1" s="1"/>
  <c r="AI55" i="1"/>
  <c r="AH55" i="1" s="1"/>
  <c r="AG55" i="1" s="1"/>
  <c r="AF55" i="1" s="1"/>
  <c r="AD55" i="1" s="1"/>
  <c r="AI378" i="1"/>
  <c r="AH378" i="1" s="1"/>
  <c r="AG378" i="1" s="1"/>
  <c r="AF378" i="1" s="1"/>
  <c r="AI47" i="1"/>
  <c r="AH47" i="1" s="1"/>
  <c r="AG47" i="1" s="1"/>
  <c r="AF47" i="1" s="1"/>
  <c r="AI21" i="1"/>
  <c r="AH21" i="1" s="1"/>
  <c r="AI140" i="1"/>
  <c r="AH140" i="1" s="1"/>
  <c r="AG140" i="1" s="1"/>
  <c r="AF140" i="1" s="1"/>
  <c r="AD140" i="1" s="1"/>
  <c r="AI178" i="1"/>
  <c r="AH178" i="1" s="1"/>
  <c r="AG178" i="1" s="1"/>
  <c r="AF178" i="1" s="1"/>
  <c r="AD178" i="1" s="1"/>
  <c r="AI367" i="1"/>
  <c r="AH367" i="1" s="1"/>
  <c r="AG367" i="1" s="1"/>
  <c r="AF367" i="1" s="1"/>
  <c r="AI61" i="1"/>
  <c r="AH61" i="1" s="1"/>
  <c r="AG61" i="1" s="1"/>
  <c r="AF61" i="1" s="1"/>
  <c r="AD61" i="1" s="1"/>
  <c r="AI305" i="1"/>
  <c r="AH305" i="1" s="1"/>
  <c r="AG305" i="1" s="1"/>
  <c r="AF305" i="1" s="1"/>
  <c r="AD305" i="1" s="1"/>
  <c r="AI237" i="1"/>
  <c r="AH237" i="1" s="1"/>
  <c r="AG237" i="1" s="1"/>
  <c r="AF237" i="1" s="1"/>
  <c r="AD237" i="1" s="1"/>
  <c r="AI228" i="1"/>
  <c r="AH228" i="1" s="1"/>
  <c r="AG228" i="1" s="1"/>
  <c r="AF228" i="1" s="1"/>
  <c r="AI304" i="1"/>
  <c r="AH304" i="1" s="1"/>
  <c r="AG304" i="1" s="1"/>
  <c r="AF304" i="1" s="1"/>
  <c r="AD304" i="1" s="1"/>
  <c r="AI233" i="1"/>
  <c r="AH233" i="1" s="1"/>
  <c r="AG233" i="1" s="1"/>
  <c r="AF233" i="1" s="1"/>
  <c r="AD233" i="1" s="1"/>
  <c r="AI341" i="1"/>
  <c r="AH341" i="1" s="1"/>
  <c r="AG341" i="1" s="1"/>
  <c r="AF341" i="1" s="1"/>
  <c r="AD341" i="1" s="1"/>
  <c r="AI20" i="1"/>
  <c r="AH20" i="1" s="1"/>
  <c r="AG20" i="1" s="1"/>
  <c r="AF20" i="1" s="1"/>
  <c r="AI301" i="1"/>
  <c r="AH301" i="1" s="1"/>
  <c r="AI273" i="1"/>
  <c r="AH273" i="1" s="1"/>
  <c r="AG273" i="1" s="1"/>
  <c r="AF273" i="1" s="1"/>
  <c r="AD273" i="1" s="1"/>
  <c r="AI297" i="1"/>
  <c r="AH297" i="1" s="1"/>
  <c r="AG297" i="1" s="1"/>
  <c r="AF297" i="1" s="1"/>
  <c r="AD297" i="1" s="1"/>
  <c r="AI71" i="1"/>
  <c r="AH71" i="1" s="1"/>
  <c r="AG71" i="1" s="1"/>
  <c r="AF71" i="1" s="1"/>
  <c r="AI209" i="1"/>
  <c r="AH209" i="1" s="1"/>
  <c r="AI244" i="1"/>
  <c r="AH244" i="1" s="1"/>
  <c r="AI46" i="1"/>
  <c r="AH46" i="1" s="1"/>
  <c r="AI174" i="1"/>
  <c r="AH174" i="1" s="1"/>
  <c r="AG174" i="1" s="1"/>
  <c r="AF174" i="1" s="1"/>
  <c r="AD174" i="1" s="1"/>
  <c r="AI30" i="1"/>
  <c r="AH30" i="1" s="1"/>
  <c r="AG30" i="1" s="1"/>
  <c r="AF30" i="1" s="1"/>
  <c r="AI376" i="1"/>
  <c r="AH376" i="1" s="1"/>
  <c r="AG376" i="1" s="1"/>
  <c r="AF376" i="1" s="1"/>
  <c r="AD376" i="1" s="1"/>
  <c r="AI245" i="1"/>
  <c r="AH245" i="1" s="1"/>
  <c r="AG245" i="1" s="1"/>
  <c r="AF245" i="1" s="1"/>
  <c r="AI257" i="1"/>
  <c r="AH257" i="1" s="1"/>
  <c r="AG257" i="1" s="1"/>
  <c r="AF257" i="1" s="1"/>
  <c r="AD257" i="1" s="1"/>
  <c r="AI360" i="1"/>
  <c r="AH360" i="1" s="1"/>
  <c r="AG360" i="1" s="1"/>
  <c r="AF360" i="1" s="1"/>
  <c r="AI218" i="1"/>
  <c r="AH218" i="1" s="1"/>
  <c r="AG218" i="1" s="1"/>
  <c r="AF218" i="1" s="1"/>
  <c r="AD218" i="1" s="1"/>
  <c r="AI247" i="1"/>
  <c r="AH247" i="1" s="1"/>
  <c r="AG247" i="1" s="1"/>
  <c r="AF247" i="1" s="1"/>
  <c r="AI294" i="1"/>
  <c r="AH294" i="1" s="1"/>
  <c r="AG294" i="1" s="1"/>
  <c r="AF294" i="1" s="1"/>
  <c r="AD294" i="1" s="1"/>
  <c r="AI96" i="1"/>
  <c r="AH96" i="1" s="1"/>
  <c r="AG96" i="1" s="1"/>
  <c r="AF96" i="1" s="1"/>
  <c r="AD96" i="1" s="1"/>
  <c r="AI161" i="1"/>
  <c r="AH161" i="1" s="1"/>
  <c r="AG161" i="1" s="1"/>
  <c r="AF161" i="1" s="1"/>
  <c r="AI34" i="1"/>
  <c r="AH34" i="1" s="1"/>
  <c r="AG34" i="1" s="1"/>
  <c r="AF34" i="1" s="1"/>
  <c r="AD34" i="1" s="1"/>
  <c r="AI159" i="1"/>
  <c r="AH159" i="1" s="1"/>
  <c r="AG159" i="1" s="1"/>
  <c r="AF159" i="1" s="1"/>
  <c r="AI208" i="1"/>
  <c r="AH208" i="1" s="1"/>
  <c r="AG208" i="1" s="1"/>
  <c r="AF208" i="1" s="1"/>
  <c r="AI87" i="1"/>
  <c r="AH87" i="1" s="1"/>
  <c r="AG87" i="1" s="1"/>
  <c r="AF87" i="1" s="1"/>
  <c r="AD87" i="1" s="1"/>
  <c r="AI171" i="1"/>
  <c r="AH171" i="1" s="1"/>
  <c r="AG171" i="1" s="1"/>
  <c r="AF171" i="1" s="1"/>
  <c r="AD171" i="1" s="1"/>
  <c r="AI110" i="1"/>
  <c r="AH110" i="1" s="1"/>
  <c r="AG110" i="1" s="1"/>
  <c r="AF110" i="1" s="1"/>
  <c r="AI309" i="1"/>
  <c r="AH309" i="1" s="1"/>
  <c r="AG309" i="1" s="1"/>
  <c r="AF309" i="1" s="1"/>
  <c r="AI325" i="1"/>
  <c r="AH325" i="1" s="1"/>
  <c r="AG325" i="1" s="1"/>
  <c r="AF325" i="1" s="1"/>
  <c r="AI369" i="1"/>
  <c r="AH369" i="1" s="1"/>
  <c r="AG369" i="1" s="1"/>
  <c r="AF369" i="1" s="1"/>
  <c r="AI172" i="1"/>
  <c r="AH172" i="1" s="1"/>
  <c r="AG172" i="1" s="1"/>
  <c r="AF172" i="1" s="1"/>
  <c r="AD172" i="1" s="1"/>
  <c r="AI366" i="1"/>
  <c r="AH366" i="1" s="1"/>
  <c r="AG366" i="1" s="1"/>
  <c r="AF366" i="1" s="1"/>
  <c r="AI50" i="1"/>
  <c r="AH50" i="1" s="1"/>
  <c r="AG50" i="1" s="1"/>
  <c r="AF50" i="1" s="1"/>
  <c r="AD50" i="1" s="1"/>
  <c r="AI129" i="1"/>
  <c r="AH129" i="1" s="1"/>
  <c r="AG129" i="1" s="1"/>
  <c r="AF129" i="1" s="1"/>
  <c r="AI146" i="1"/>
  <c r="AH146" i="1" s="1"/>
  <c r="AG146" i="1" s="1"/>
  <c r="AF146" i="1" s="1"/>
  <c r="AI36" i="1"/>
  <c r="AH36" i="1" s="1"/>
  <c r="AG36" i="1" s="1"/>
  <c r="AF36" i="1" s="1"/>
  <c r="AI281" i="1"/>
  <c r="AH281" i="1" s="1"/>
  <c r="AG281" i="1" s="1"/>
  <c r="AF281" i="1" s="1"/>
  <c r="AD281" i="1" s="1"/>
  <c r="AI135" i="1"/>
  <c r="AH135" i="1" s="1"/>
  <c r="AG135" i="1" s="1"/>
  <c r="AF135" i="1" s="1"/>
  <c r="AI81" i="1"/>
  <c r="AH81" i="1" s="1"/>
  <c r="AI312" i="1"/>
  <c r="AH312" i="1" s="1"/>
  <c r="AG312" i="1" s="1"/>
  <c r="AF312" i="1" s="1"/>
  <c r="AC16" i="15"/>
  <c r="AC15" i="15"/>
  <c r="AZ149" i="6"/>
  <c r="AY13" i="6"/>
  <c r="AZ260" i="6"/>
  <c r="AE380" i="6" s="1"/>
  <c r="AE381" i="6" s="1"/>
  <c r="AZ279" i="6"/>
  <c r="AZ254" i="6"/>
  <c r="AZ248" i="6"/>
  <c r="AY12" i="6"/>
  <c r="AZ285" i="6"/>
  <c r="AZ298" i="6"/>
  <c r="AZ288" i="6"/>
  <c r="AG380" i="6" s="1"/>
  <c r="AG381" i="6" s="1"/>
  <c r="AZ282" i="6"/>
  <c r="AZ283" i="6"/>
  <c r="AZ266" i="6"/>
  <c r="AZ280" i="6"/>
  <c r="AZ261" i="6"/>
  <c r="AZ269" i="6"/>
  <c r="AZ276" i="6"/>
  <c r="AZ234" i="6"/>
  <c r="AZ238" i="6"/>
  <c r="AZ259" i="6"/>
  <c r="AZ236" i="6"/>
  <c r="AZ223" i="6"/>
  <c r="AZ216" i="6"/>
  <c r="AZ211" i="6"/>
  <c r="AZ207" i="6"/>
  <c r="AZ190" i="6"/>
  <c r="Z380" i="6" s="1"/>
  <c r="Z381" i="6" s="1"/>
  <c r="AZ148" i="6"/>
  <c r="W380" i="6" s="1"/>
  <c r="W381" i="6" s="1"/>
  <c r="AZ164" i="6"/>
  <c r="AZ193" i="6"/>
  <c r="AZ151" i="6"/>
  <c r="AZ162" i="6"/>
  <c r="X380" i="6" s="1"/>
  <c r="X381" i="6" s="1"/>
  <c r="AZ167" i="6"/>
  <c r="AZ182" i="6"/>
  <c r="AE78" i="27"/>
  <c r="P79" i="27"/>
  <c r="G41" i="27" s="1"/>
  <c r="I17" i="1"/>
  <c r="A19" i="16"/>
  <c r="AB18" i="16"/>
  <c r="L18" i="16"/>
  <c r="D18" i="16" s="1"/>
  <c r="AK18" i="16"/>
  <c r="K18" i="16"/>
  <c r="X18" i="16"/>
  <c r="AJ18" i="16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1" i="1"/>
  <c r="AF31" i="1" s="1"/>
  <c r="AI11" i="17"/>
  <c r="P10" i="17"/>
  <c r="L14" i="19"/>
  <c r="AE11" i="17"/>
  <c r="AC12" i="18"/>
  <c r="O12" i="18"/>
  <c r="O11" i="18"/>
  <c r="AC9" i="18"/>
  <c r="K16" i="20"/>
  <c r="AB16" i="20"/>
  <c r="X16" i="20"/>
  <c r="A17" i="20"/>
  <c r="L16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152" i="1"/>
  <c r="AF152" i="1" s="1"/>
  <c r="AD152" i="1" s="1"/>
  <c r="F7" i="20"/>
  <c r="AF13" i="7"/>
  <c r="AJ380" i="20"/>
  <c r="S19" i="1"/>
  <c r="R19" i="1" s="1"/>
  <c r="P19" i="1" s="1"/>
  <c r="V19" i="1" s="1"/>
  <c r="I13" i="7"/>
  <c r="O16" i="15"/>
  <c r="E16" i="15" s="1"/>
  <c r="O18" i="15"/>
  <c r="O19" i="15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D130" i="1" l="1"/>
  <c r="AD346" i="1"/>
  <c r="AA11" i="7"/>
  <c r="Q11" i="18" s="1"/>
  <c r="AE11" i="16"/>
  <c r="AB13" i="7"/>
  <c r="W13" i="7"/>
  <c r="P13" i="7"/>
  <c r="Q13" i="7"/>
  <c r="AC13" i="7"/>
  <c r="AC17" i="16"/>
  <c r="AD146" i="1"/>
  <c r="AD325" i="1"/>
  <c r="AD110" i="1"/>
  <c r="AD159" i="1"/>
  <c r="AD161" i="1"/>
  <c r="AD71" i="1"/>
  <c r="AD20" i="1"/>
  <c r="AD228" i="1"/>
  <c r="AD367" i="1"/>
  <c r="AD47" i="1"/>
  <c r="AD28" i="1"/>
  <c r="AD43" i="1"/>
  <c r="AD344" i="1"/>
  <c r="AD65" i="1"/>
  <c r="AD216" i="1"/>
  <c r="AD238" i="1"/>
  <c r="AD155" i="1"/>
  <c r="AD285" i="1"/>
  <c r="AD279" i="1"/>
  <c r="AD260" i="1"/>
  <c r="AD19" i="1"/>
  <c r="AA19" i="1" s="1"/>
  <c r="Z19" i="1" s="1"/>
  <c r="Y19" i="1" s="1"/>
  <c r="AD70" i="1"/>
  <c r="AD63" i="1"/>
  <c r="AD203" i="1"/>
  <c r="AD132" i="1"/>
  <c r="AD18" i="1"/>
  <c r="AD196" i="1"/>
  <c r="AD101" i="1"/>
  <c r="AD307" i="1"/>
  <c r="AD266" i="1"/>
  <c r="AD189" i="1"/>
  <c r="AD42" i="1"/>
  <c r="AD53" i="1"/>
  <c r="AD207" i="1"/>
  <c r="AD326" i="1"/>
  <c r="AD88" i="1"/>
  <c r="AD182" i="1"/>
  <c r="AD57" i="1"/>
  <c r="AD321" i="1"/>
  <c r="AD139" i="1"/>
  <c r="AD151" i="1"/>
  <c r="AD355" i="1"/>
  <c r="AD198" i="1"/>
  <c r="AD51" i="1"/>
  <c r="AD225" i="1"/>
  <c r="AD234" i="1"/>
  <c r="AD121" i="1"/>
  <c r="AD204" i="1"/>
  <c r="AD179" i="1"/>
  <c r="AD222" i="1"/>
  <c r="AD292" i="1"/>
  <c r="AD268" i="1"/>
  <c r="AD173" i="1"/>
  <c r="AD141" i="1"/>
  <c r="AD23" i="1"/>
  <c r="AD231" i="1"/>
  <c r="AD108" i="1"/>
  <c r="AD201" i="1"/>
  <c r="AD316" i="1"/>
  <c r="AD332" i="1"/>
  <c r="AD62" i="1"/>
  <c r="AD166" i="1"/>
  <c r="AD256" i="1"/>
  <c r="AD76" i="1"/>
  <c r="AD242" i="1"/>
  <c r="AD205" i="1"/>
  <c r="AD265" i="1"/>
  <c r="AD59" i="1"/>
  <c r="AD343" i="1"/>
  <c r="AD263" i="1"/>
  <c r="AD29" i="1"/>
  <c r="AD215" i="1"/>
  <c r="AD230" i="1"/>
  <c r="AD329" i="1"/>
  <c r="AD371" i="1"/>
  <c r="AC15" i="16"/>
  <c r="AC18" i="16"/>
  <c r="P10" i="16"/>
  <c r="AD283" i="1"/>
  <c r="E18" i="15"/>
  <c r="O10" i="18"/>
  <c r="AA13" i="7" s="1"/>
  <c r="L13" i="19"/>
  <c r="AD270" i="1"/>
  <c r="AD249" i="1"/>
  <c r="AD162" i="1"/>
  <c r="AD31" i="1"/>
  <c r="AD144" i="1"/>
  <c r="AD276" i="1"/>
  <c r="AD315" i="1"/>
  <c r="AD359" i="1"/>
  <c r="AD239" i="1"/>
  <c r="AD312" i="1"/>
  <c r="AD135" i="1"/>
  <c r="AD36" i="1"/>
  <c r="AD129" i="1"/>
  <c r="AD366" i="1"/>
  <c r="AD369" i="1"/>
  <c r="AD309" i="1"/>
  <c r="AD208" i="1"/>
  <c r="AD247" i="1"/>
  <c r="AD360" i="1"/>
  <c r="AD245" i="1"/>
  <c r="AD30" i="1"/>
  <c r="AD378" i="1"/>
  <c r="AD192" i="1"/>
  <c r="AD49" i="1"/>
  <c r="AD98" i="1"/>
  <c r="AD24" i="1"/>
  <c r="AD221" i="1"/>
  <c r="AD54" i="1"/>
  <c r="AD125" i="1"/>
  <c r="AD137" i="1"/>
  <c r="AD105" i="1"/>
  <c r="AD175" i="1"/>
  <c r="AD350" i="1"/>
  <c r="AD310" i="1"/>
  <c r="AD335" i="1"/>
  <c r="AD219" i="1"/>
  <c r="AD223" i="1"/>
  <c r="AD313" i="1"/>
  <c r="AD187" i="1"/>
  <c r="AD280" i="1"/>
  <c r="AD253" i="1"/>
  <c r="AD184" i="1"/>
  <c r="AD374" i="1"/>
  <c r="AD180" i="1"/>
  <c r="AD241" i="1"/>
  <c r="AD27" i="1"/>
  <c r="AD117" i="1"/>
  <c r="AD317" i="1"/>
  <c r="AD311" i="1"/>
  <c r="AD293" i="1"/>
  <c r="AD248" i="1"/>
  <c r="AD89" i="1"/>
  <c r="AD232" i="1"/>
  <c r="AD109" i="1"/>
  <c r="AD82" i="1"/>
  <c r="AD181" i="1"/>
  <c r="AD271" i="1"/>
  <c r="AD85" i="1"/>
  <c r="AD342" i="1"/>
  <c r="AD91" i="1"/>
  <c r="AD131" i="1"/>
  <c r="AD235" i="1"/>
  <c r="AD26" i="1"/>
  <c r="AD168" i="1"/>
  <c r="AD229" i="1"/>
  <c r="AD338" i="1"/>
  <c r="AD124" i="1"/>
  <c r="AD200" i="1"/>
  <c r="AD298" i="1"/>
  <c r="P17" i="1"/>
  <c r="V17" i="1" s="1"/>
  <c r="P18" i="1"/>
  <c r="V18" i="1" s="1"/>
  <c r="AG46" i="1"/>
  <c r="AF46" i="1" s="1"/>
  <c r="AD46" i="1" s="1"/>
  <c r="AG209" i="1"/>
  <c r="AF209" i="1" s="1"/>
  <c r="AD209" i="1" s="1"/>
  <c r="AG301" i="1"/>
  <c r="AF301" i="1" s="1"/>
  <c r="AD301" i="1" s="1"/>
  <c r="AG21" i="1"/>
  <c r="AF21" i="1" s="1"/>
  <c r="AD21" i="1" s="1"/>
  <c r="AG64" i="1"/>
  <c r="AF64" i="1" s="1"/>
  <c r="AD64" i="1" s="1"/>
  <c r="AG99" i="1"/>
  <c r="AF99" i="1" s="1"/>
  <c r="AD99" i="1" s="1"/>
  <c r="AG322" i="1"/>
  <c r="AF322" i="1" s="1"/>
  <c r="AD322" i="1" s="1"/>
  <c r="AG372" i="1"/>
  <c r="AF372" i="1" s="1"/>
  <c r="AD372" i="1" s="1"/>
  <c r="AG149" i="1"/>
  <c r="AF149" i="1" s="1"/>
  <c r="AD149" i="1" s="1"/>
  <c r="AG25" i="1"/>
  <c r="AF25" i="1" s="1"/>
  <c r="AD25" i="1" s="1"/>
  <c r="AG136" i="1"/>
  <c r="AF136" i="1" s="1"/>
  <c r="AD136" i="1" s="1"/>
  <c r="AG134" i="1"/>
  <c r="AF134" i="1" s="1"/>
  <c r="AD134" i="1" s="1"/>
  <c r="AG67" i="1"/>
  <c r="AF67" i="1" s="1"/>
  <c r="AD67" i="1" s="1"/>
  <c r="AG97" i="1"/>
  <c r="AF97" i="1" s="1"/>
  <c r="AD97" i="1" s="1"/>
  <c r="AG358" i="1"/>
  <c r="AF358" i="1" s="1"/>
  <c r="AD358" i="1" s="1"/>
  <c r="AG319" i="1"/>
  <c r="AF319" i="1" s="1"/>
  <c r="AD319" i="1" s="1"/>
  <c r="AG78" i="1"/>
  <c r="AF78" i="1" s="1"/>
  <c r="AD78" i="1" s="1"/>
  <c r="AG375" i="1"/>
  <c r="AF375" i="1" s="1"/>
  <c r="AD375" i="1" s="1"/>
  <c r="AG127" i="1"/>
  <c r="AF127" i="1" s="1"/>
  <c r="AD127" i="1" s="1"/>
  <c r="AC19" i="15"/>
  <c r="A20" i="15"/>
  <c r="X19" i="15"/>
  <c r="K19" i="15"/>
  <c r="AB19" i="15"/>
  <c r="AK19" i="15"/>
  <c r="AJ19" i="15"/>
  <c r="L19" i="15"/>
  <c r="D19" i="15" s="1"/>
  <c r="E19" i="15" s="1"/>
  <c r="AG81" i="1"/>
  <c r="AF81" i="1" s="1"/>
  <c r="AD81" i="1" s="1"/>
  <c r="AG244" i="1"/>
  <c r="AF244" i="1" s="1"/>
  <c r="AD244" i="1" s="1"/>
  <c r="AG120" i="1"/>
  <c r="AF120" i="1" s="1"/>
  <c r="AD120" i="1" s="1"/>
  <c r="AH17" i="1"/>
  <c r="AG60" i="1"/>
  <c r="AF60" i="1" s="1"/>
  <c r="AD60" i="1" s="1"/>
  <c r="AG40" i="1"/>
  <c r="AF40" i="1" s="1"/>
  <c r="AD40" i="1" s="1"/>
  <c r="AG112" i="1"/>
  <c r="AF112" i="1" s="1"/>
  <c r="AD112" i="1" s="1"/>
  <c r="AG246" i="1"/>
  <c r="AF246" i="1" s="1"/>
  <c r="AD246" i="1" s="1"/>
  <c r="AG308" i="1"/>
  <c r="AF308" i="1" s="1"/>
  <c r="AD308" i="1" s="1"/>
  <c r="AG194" i="1"/>
  <c r="AF194" i="1" s="1"/>
  <c r="AD194" i="1" s="1"/>
  <c r="AG164" i="1"/>
  <c r="AF164" i="1" s="1"/>
  <c r="AD164" i="1" s="1"/>
  <c r="AH15" i="1"/>
  <c r="AI383" i="1"/>
  <c r="AI381" i="1"/>
  <c r="AI382" i="1"/>
  <c r="AH379" i="1"/>
  <c r="AG379" i="1" s="1"/>
  <c r="AF379" i="1" s="1"/>
  <c r="AD379" i="1" s="1"/>
  <c r="AI12" i="15"/>
  <c r="AG191" i="1"/>
  <c r="AF191" i="1" s="1"/>
  <c r="AD191" i="1" s="1"/>
  <c r="AG92" i="1"/>
  <c r="AF92" i="1" s="1"/>
  <c r="AD92" i="1" s="1"/>
  <c r="AG254" i="1"/>
  <c r="AF254" i="1" s="1"/>
  <c r="AD254" i="1" s="1"/>
  <c r="AG306" i="1"/>
  <c r="AF306" i="1" s="1"/>
  <c r="AD306" i="1" s="1"/>
  <c r="AG38" i="1"/>
  <c r="AF38" i="1" s="1"/>
  <c r="AD38" i="1" s="1"/>
  <c r="AG169" i="1"/>
  <c r="AF169" i="1" s="1"/>
  <c r="AD169" i="1" s="1"/>
  <c r="AG210" i="1"/>
  <c r="AF210" i="1" s="1"/>
  <c r="AD210" i="1" s="1"/>
  <c r="AG190" i="1"/>
  <c r="AF190" i="1" s="1"/>
  <c r="AD190" i="1" s="1"/>
  <c r="AG296" i="1"/>
  <c r="AF296" i="1" s="1"/>
  <c r="AD296" i="1" s="1"/>
  <c r="AG295" i="1"/>
  <c r="AF295" i="1" s="1"/>
  <c r="AD295" i="1" s="1"/>
  <c r="AG362" i="1"/>
  <c r="AF362" i="1" s="1"/>
  <c r="AD362" i="1" s="1"/>
  <c r="AE381" i="1"/>
  <c r="AE382" i="1"/>
  <c r="AE383" i="1"/>
  <c r="L11" i="22"/>
  <c r="P16" i="1"/>
  <c r="V16" i="1" s="1"/>
  <c r="AZ13" i="6"/>
  <c r="AZ12" i="6"/>
  <c r="AR58" i="27"/>
  <c r="AP58" i="27"/>
  <c r="AX58" i="27" s="1"/>
  <c r="AE80" i="27"/>
  <c r="AV58" i="27"/>
  <c r="AT58" i="27"/>
  <c r="AE79" i="27"/>
  <c r="P80" i="27"/>
  <c r="G42" i="27" s="1"/>
  <c r="O17" i="18"/>
  <c r="AB19" i="16"/>
  <c r="AK19" i="16"/>
  <c r="K19" i="16"/>
  <c r="X19" i="16"/>
  <c r="AJ19" i="16"/>
  <c r="AC19" i="16"/>
  <c r="A20" i="16"/>
  <c r="L19" i="16"/>
  <c r="D19" i="16" s="1"/>
  <c r="O15" i="18"/>
  <c r="I19" i="1"/>
  <c r="I18" i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AG11" i="7" l="1"/>
  <c r="Q11" i="20" s="1"/>
  <c r="AA18" i="1"/>
  <c r="Z18" i="1" s="1"/>
  <c r="Y18" i="1" s="1"/>
  <c r="AG10" i="7"/>
  <c r="E7" i="20" s="1"/>
  <c r="O10" i="20" s="1"/>
  <c r="AG13" i="7" s="1"/>
  <c r="AM10" i="7" s="1"/>
  <c r="E8" i="22" s="1"/>
  <c r="K17" i="19" s="1"/>
  <c r="K41" i="19" s="1"/>
  <c r="AI13" i="7"/>
  <c r="O18" i="18"/>
  <c r="O16" i="18"/>
  <c r="I16" i="1"/>
  <c r="AA16" i="1"/>
  <c r="Z16" i="1" s="1"/>
  <c r="Y16" i="1" s="1"/>
  <c r="AB20" i="15"/>
  <c r="AJ20" i="15"/>
  <c r="AK20" i="15"/>
  <c r="AC20" i="15"/>
  <c r="X20" i="15"/>
  <c r="A21" i="15"/>
  <c r="L20" i="15"/>
  <c r="D20" i="15" s="1"/>
  <c r="K20" i="15"/>
  <c r="O20" i="15"/>
  <c r="E20" i="15" s="1"/>
  <c r="L11" i="23"/>
  <c r="AG15" i="1"/>
  <c r="AH383" i="1"/>
  <c r="AH381" i="1"/>
  <c r="AH382" i="1"/>
  <c r="AG17" i="1"/>
  <c r="AF17" i="1" s="1"/>
  <c r="AD17" i="1" s="1"/>
  <c r="AA17" i="1" s="1"/>
  <c r="Z17" i="1" s="1"/>
  <c r="Y17" i="1" s="1"/>
  <c r="AN58" i="27"/>
  <c r="AN59" i="27" s="1"/>
  <c r="AN60" i="27" s="1"/>
  <c r="AN61" i="27" s="1"/>
  <c r="AN62" i="27" s="1"/>
  <c r="AN63" i="27" s="1"/>
  <c r="AN64" i="27" s="1"/>
  <c r="AN65" i="27" s="1"/>
  <c r="AN66" i="27" s="1"/>
  <c r="AN67" i="27" s="1"/>
  <c r="AN68" i="27" s="1"/>
  <c r="AN57" i="27"/>
  <c r="AH13" i="7"/>
  <c r="O15" i="20"/>
  <c r="K20" i="16"/>
  <c r="A21" i="16"/>
  <c r="L20" i="16"/>
  <c r="D20" i="16" s="1"/>
  <c r="AJ20" i="16"/>
  <c r="X20" i="16"/>
  <c r="AB20" i="16"/>
  <c r="AK20" i="16"/>
  <c r="AC20" i="16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L15" i="23" s="1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AM11" i="7" l="1"/>
  <c r="O17" i="20"/>
  <c r="O16" i="20"/>
  <c r="E8" i="20"/>
  <c r="K16" i="19" s="1"/>
  <c r="AO13" i="7"/>
  <c r="AN13" i="7"/>
  <c r="E7" i="22"/>
  <c r="O10" i="22" s="1"/>
  <c r="AM13" i="7" s="1"/>
  <c r="AS10" i="7" s="1"/>
  <c r="AC10" i="17"/>
  <c r="AG383" i="1"/>
  <c r="AF15" i="1"/>
  <c r="AG381" i="1"/>
  <c r="AG382" i="1"/>
  <c r="L11" i="24"/>
  <c r="X21" i="15"/>
  <c r="AJ21" i="15"/>
  <c r="A22" i="15"/>
  <c r="AC21" i="15"/>
  <c r="L21" i="15"/>
  <c r="D21" i="15" s="1"/>
  <c r="K21" i="15"/>
  <c r="AK21" i="15"/>
  <c r="AB21" i="15"/>
  <c r="O21" i="15"/>
  <c r="E21" i="15" s="1"/>
  <c r="AK69" i="27"/>
  <c r="AK68" i="27"/>
  <c r="AK70" i="27"/>
  <c r="AK71" i="27"/>
  <c r="AK57" i="27"/>
  <c r="AK73" i="27"/>
  <c r="AK74" i="27"/>
  <c r="AK72" i="27"/>
  <c r="AK75" i="27"/>
  <c r="AK76" i="27"/>
  <c r="AK77" i="27"/>
  <c r="AK78" i="27"/>
  <c r="AK79" i="27"/>
  <c r="AN69" i="27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N80" i="27" s="1"/>
  <c r="AK80" i="27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O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B20" i="18"/>
  <c r="X20" i="18"/>
  <c r="K20" i="18"/>
  <c r="A21" i="18"/>
  <c r="L20" i="18"/>
  <c r="AK20" i="18"/>
  <c r="AJ20" i="18"/>
  <c r="O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AE11" i="22"/>
  <c r="AI11" i="22"/>
  <c r="P10" i="22"/>
  <c r="L17" i="19"/>
  <c r="V22" i="1"/>
  <c r="L12" i="24"/>
  <c r="L15" i="24" s="1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K40" i="19" l="1"/>
  <c r="O16" i="22"/>
  <c r="O17" i="22"/>
  <c r="E7" i="23"/>
  <c r="O10" i="23" s="1"/>
  <c r="AS13" i="7" s="1"/>
  <c r="E8" i="23"/>
  <c r="K18" i="19" s="1"/>
  <c r="K42" i="19" s="1"/>
  <c r="AU13" i="7"/>
  <c r="O15" i="22"/>
  <c r="AY10" i="7"/>
  <c r="E8" i="24" s="1"/>
  <c r="K19" i="19" s="1"/>
  <c r="K43" i="19" s="1"/>
  <c r="E21" i="16"/>
  <c r="AY11" i="7"/>
  <c r="Q11" i="24" s="1"/>
  <c r="AC15" i="18"/>
  <c r="O17" i="23"/>
  <c r="AC10" i="18"/>
  <c r="AC18" i="18"/>
  <c r="AC17" i="18"/>
  <c r="AC16" i="18"/>
  <c r="L11" i="25"/>
  <c r="AF381" i="1"/>
  <c r="AF383" i="1"/>
  <c r="AF382" i="1"/>
  <c r="AD15" i="1"/>
  <c r="O22" i="15"/>
  <c r="L22" i="15"/>
  <c r="D22" i="15" s="1"/>
  <c r="AK22" i="15"/>
  <c r="AJ22" i="15"/>
  <c r="AC22" i="15"/>
  <c r="A23" i="15"/>
  <c r="K22" i="15"/>
  <c r="X22" i="15"/>
  <c r="AB22" i="15"/>
  <c r="AK62" i="27"/>
  <c r="AL62" i="27" s="1"/>
  <c r="AK61" i="27"/>
  <c r="AM61" i="27" s="1"/>
  <c r="AK64" i="27"/>
  <c r="AM64" i="27" s="1"/>
  <c r="AK66" i="27"/>
  <c r="AM66" i="27" s="1"/>
  <c r="AK60" i="27"/>
  <c r="AL60" i="27" s="1"/>
  <c r="AK63" i="27"/>
  <c r="AL63" i="27" s="1"/>
  <c r="AK59" i="27"/>
  <c r="AL59" i="27" s="1"/>
  <c r="AK58" i="27"/>
  <c r="AM58" i="27" s="1"/>
  <c r="AK65" i="27"/>
  <c r="AL65" i="27" s="1"/>
  <c r="AK67" i="27"/>
  <c r="AM67" i="27" s="1"/>
  <c r="AM63" i="27"/>
  <c r="AL58" i="27"/>
  <c r="AL70" i="27"/>
  <c r="AM70" i="27"/>
  <c r="AL67" i="27"/>
  <c r="AM69" i="27"/>
  <c r="AL69" i="27"/>
  <c r="AM62" i="27"/>
  <c r="AL61" i="27"/>
  <c r="AL64" i="27"/>
  <c r="AL66" i="27"/>
  <c r="AM68" i="27"/>
  <c r="AL68" i="27"/>
  <c r="AM60" i="27"/>
  <c r="AM80" i="27"/>
  <c r="AL80" i="27"/>
  <c r="AM79" i="27"/>
  <c r="AL79" i="27"/>
  <c r="AM77" i="27"/>
  <c r="AL77" i="27"/>
  <c r="AM75" i="27"/>
  <c r="AL75" i="27"/>
  <c r="AM74" i="27"/>
  <c r="AL74" i="27"/>
  <c r="AM57" i="27"/>
  <c r="AL57" i="27"/>
  <c r="AM78" i="27"/>
  <c r="AL78" i="27"/>
  <c r="AL76" i="27"/>
  <c r="AM76" i="27"/>
  <c r="AM72" i="27"/>
  <c r="AL72" i="27"/>
  <c r="AM73" i="27"/>
  <c r="AL73" i="27"/>
  <c r="AM71" i="27"/>
  <c r="AL71" i="27"/>
  <c r="L16" i="24"/>
  <c r="R21" i="1"/>
  <c r="AT13" i="7"/>
  <c r="O16" i="23"/>
  <c r="E21" i="17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L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5" i="23"/>
  <c r="BA13" i="7"/>
  <c r="E7" i="24"/>
  <c r="O10" i="24" s="1"/>
  <c r="AY13" i="7" s="1"/>
  <c r="BE10" i="7" s="1"/>
  <c r="E7" i="25" s="1"/>
  <c r="BE11" i="7"/>
  <c r="Q11" i="25" s="1"/>
  <c r="AC20" i="18"/>
  <c r="AC19" i="18"/>
  <c r="E22" i="16"/>
  <c r="AC10" i="20"/>
  <c r="AC17" i="22" s="1"/>
  <c r="L23" i="15"/>
  <c r="D23" i="15" s="1"/>
  <c r="AK23" i="15"/>
  <c r="AB23" i="15"/>
  <c r="K23" i="15"/>
  <c r="O23" i="15"/>
  <c r="E23" i="15" s="1"/>
  <c r="A24" i="15"/>
  <c r="AJ23" i="15"/>
  <c r="X23" i="15"/>
  <c r="AC23" i="15"/>
  <c r="E22" i="15"/>
  <c r="AD382" i="1"/>
  <c r="AD383" i="1"/>
  <c r="AD381" i="1"/>
  <c r="AA15" i="1"/>
  <c r="Z15" i="1" s="1"/>
  <c r="Y15" i="1" s="1"/>
  <c r="AM59" i="27"/>
  <c r="AM65" i="27"/>
  <c r="AJ64" i="27"/>
  <c r="W64" i="27" s="1"/>
  <c r="AJ61" i="27"/>
  <c r="Z61" i="27" s="1"/>
  <c r="AJ62" i="27"/>
  <c r="U62" i="27" s="1"/>
  <c r="AJ69" i="27"/>
  <c r="Z69" i="27" s="1"/>
  <c r="AJ58" i="27"/>
  <c r="Z58" i="27" s="1"/>
  <c r="AJ59" i="27"/>
  <c r="Q59" i="27" s="1"/>
  <c r="AJ63" i="27"/>
  <c r="S63" i="27" s="1"/>
  <c r="AJ70" i="27"/>
  <c r="R70" i="27" s="1"/>
  <c r="T64" i="27"/>
  <c r="R64" i="27"/>
  <c r="V64" i="27"/>
  <c r="Z64" i="27"/>
  <c r="AA64" i="27"/>
  <c r="X64" i="27"/>
  <c r="Z62" i="27"/>
  <c r="Y62" i="27"/>
  <c r="W62" i="27"/>
  <c r="Q62" i="27"/>
  <c r="X62" i="27"/>
  <c r="U70" i="27"/>
  <c r="R58" i="27"/>
  <c r="AA58" i="27"/>
  <c r="Q58" i="27"/>
  <c r="Y58" i="27"/>
  <c r="V58" i="27"/>
  <c r="AA59" i="27"/>
  <c r="T63" i="27"/>
  <c r="AA63" i="27"/>
  <c r="AB63" i="27" s="1"/>
  <c r="AC63" i="27" s="1"/>
  <c r="Y63" i="27"/>
  <c r="X63" i="27"/>
  <c r="W63" i="27"/>
  <c r="AJ71" i="27"/>
  <c r="Q71" i="27" s="1"/>
  <c r="AJ73" i="27"/>
  <c r="W73" i="27" s="1"/>
  <c r="AJ72" i="27"/>
  <c r="AA72" i="27" s="1"/>
  <c r="AJ78" i="27"/>
  <c r="Z78" i="27" s="1"/>
  <c r="AJ57" i="27"/>
  <c r="R57" i="27" s="1"/>
  <c r="AJ74" i="27"/>
  <c r="AA74" i="27" s="1"/>
  <c r="AJ75" i="27"/>
  <c r="R75" i="27" s="1"/>
  <c r="AJ77" i="27"/>
  <c r="Y77" i="27" s="1"/>
  <c r="AJ79" i="27"/>
  <c r="U79" i="27" s="1"/>
  <c r="AJ80" i="27"/>
  <c r="W80" i="27" s="1"/>
  <c r="AJ60" i="27"/>
  <c r="AJ68" i="27"/>
  <c r="AJ66" i="27"/>
  <c r="AJ67" i="27"/>
  <c r="AJ65" i="27"/>
  <c r="AJ76" i="27"/>
  <c r="U71" i="27"/>
  <c r="X78" i="27"/>
  <c r="Y78" i="27"/>
  <c r="W78" i="27"/>
  <c r="Z57" i="27"/>
  <c r="Z74" i="27"/>
  <c r="S75" i="27"/>
  <c r="Q77" i="27"/>
  <c r="W77" i="27"/>
  <c r="T80" i="27"/>
  <c r="R80" i="27"/>
  <c r="Z80" i="27"/>
  <c r="AZ13" i="7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P10" i="24"/>
  <c r="AE11" i="24"/>
  <c r="L19" i="19"/>
  <c r="AI11" i="24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 l="1"/>
  <c r="AC17" i="20"/>
  <c r="O18" i="24"/>
  <c r="O16" i="24"/>
  <c r="AC20" i="20"/>
  <c r="AC16" i="20"/>
  <c r="AC15" i="20"/>
  <c r="AC18" i="20"/>
  <c r="AC19" i="20"/>
  <c r="E8" i="25"/>
  <c r="K20" i="19" s="1"/>
  <c r="K44" i="19" s="1"/>
  <c r="O15" i="24"/>
  <c r="O17" i="24"/>
  <c r="AC15" i="22"/>
  <c r="AC20" i="22"/>
  <c r="AC18" i="22"/>
  <c r="AC19" i="22"/>
  <c r="AC10" i="22"/>
  <c r="AC18" i="23" s="1"/>
  <c r="AC16" i="22"/>
  <c r="L24" i="15"/>
  <c r="D24" i="15" s="1"/>
  <c r="AJ24" i="15"/>
  <c r="K24" i="15"/>
  <c r="AC24" i="15"/>
  <c r="AB24" i="15"/>
  <c r="AK24" i="15"/>
  <c r="X24" i="15"/>
  <c r="A25" i="15"/>
  <c r="O24" i="15"/>
  <c r="E24" i="15" s="1"/>
  <c r="V69" i="27"/>
  <c r="S61" i="27"/>
  <c r="W70" i="27"/>
  <c r="W61" i="27"/>
  <c r="X79" i="27"/>
  <c r="V63" i="27"/>
  <c r="Q63" i="27"/>
  <c r="R63" i="27"/>
  <c r="Z63" i="27"/>
  <c r="U63" i="27"/>
  <c r="S58" i="27"/>
  <c r="T58" i="27"/>
  <c r="W58" i="27"/>
  <c r="U58" i="27"/>
  <c r="X58" i="27"/>
  <c r="S62" i="27"/>
  <c r="T62" i="27"/>
  <c r="AA62" i="27"/>
  <c r="V62" i="27"/>
  <c r="R62" i="27"/>
  <c r="S64" i="27"/>
  <c r="Y64" i="27"/>
  <c r="U64" i="27"/>
  <c r="Q64" i="27"/>
  <c r="R69" i="27"/>
  <c r="U69" i="27"/>
  <c r="T70" i="27"/>
  <c r="V70" i="27"/>
  <c r="Y70" i="27"/>
  <c r="Y69" i="27"/>
  <c r="X69" i="27"/>
  <c r="W69" i="27"/>
  <c r="U59" i="27"/>
  <c r="Y61" i="27"/>
  <c r="T59" i="27"/>
  <c r="S59" i="27"/>
  <c r="V59" i="27"/>
  <c r="U61" i="27"/>
  <c r="X61" i="27"/>
  <c r="V61" i="27"/>
  <c r="V80" i="27"/>
  <c r="Y80" i="27"/>
  <c r="U80" i="27"/>
  <c r="R77" i="27"/>
  <c r="Z77" i="27"/>
  <c r="V77" i="27"/>
  <c r="U74" i="27"/>
  <c r="Q78" i="27"/>
  <c r="T78" i="27"/>
  <c r="Y59" i="27"/>
  <c r="W59" i="27"/>
  <c r="Z59" i="27"/>
  <c r="X59" i="27"/>
  <c r="R59" i="27"/>
  <c r="Q70" i="27"/>
  <c r="S70" i="27"/>
  <c r="X70" i="27"/>
  <c r="Z70" i="27"/>
  <c r="AA70" i="27"/>
  <c r="S69" i="27"/>
  <c r="T69" i="27"/>
  <c r="Q69" i="27"/>
  <c r="AA69" i="27"/>
  <c r="Q61" i="27"/>
  <c r="R61" i="27"/>
  <c r="AA61" i="27"/>
  <c r="AB61" i="27" s="1"/>
  <c r="AC61" i="27" s="1"/>
  <c r="T61" i="27"/>
  <c r="T79" i="27"/>
  <c r="V75" i="27"/>
  <c r="T57" i="27"/>
  <c r="W72" i="27"/>
  <c r="X80" i="27"/>
  <c r="S80" i="27"/>
  <c r="Q80" i="27"/>
  <c r="AA80" i="27"/>
  <c r="AB80" i="27" s="1"/>
  <c r="AC80" i="27" s="1"/>
  <c r="AD80" i="27" s="1"/>
  <c r="T77" i="27"/>
  <c r="X77" i="27"/>
  <c r="U77" i="27"/>
  <c r="S77" i="27"/>
  <c r="AA77" i="27"/>
  <c r="S74" i="27"/>
  <c r="S78" i="27"/>
  <c r="AA78" i="27"/>
  <c r="U78" i="27"/>
  <c r="R78" i="27"/>
  <c r="V78" i="27"/>
  <c r="AF64" i="27"/>
  <c r="P64" i="27" s="1"/>
  <c r="R79" i="27"/>
  <c r="U75" i="27"/>
  <c r="U57" i="27"/>
  <c r="AA71" i="27"/>
  <c r="AB71" i="27" s="1"/>
  <c r="AC71" i="27" s="1"/>
  <c r="AD71" i="27" s="1"/>
  <c r="T74" i="27"/>
  <c r="Y74" i="27"/>
  <c r="R74" i="27"/>
  <c r="Q73" i="27"/>
  <c r="Q74" i="27"/>
  <c r="V74" i="27"/>
  <c r="W74" i="27"/>
  <c r="X74" i="27"/>
  <c r="AA73" i="27"/>
  <c r="AB73" i="27" s="1"/>
  <c r="AC73" i="27" s="1"/>
  <c r="AD73" i="27" s="1"/>
  <c r="Z79" i="27"/>
  <c r="W79" i="27"/>
  <c r="S79" i="27"/>
  <c r="W75" i="27"/>
  <c r="AA75" i="27"/>
  <c r="AB74" i="27" s="1"/>
  <c r="AC74" i="27" s="1"/>
  <c r="AD74" i="27" s="1"/>
  <c r="Y75" i="27"/>
  <c r="Q57" i="27"/>
  <c r="X57" i="27"/>
  <c r="AA57" i="27"/>
  <c r="Y72" i="27"/>
  <c r="U72" i="27"/>
  <c r="Y71" i="27"/>
  <c r="Z73" i="27"/>
  <c r="V73" i="27"/>
  <c r="Y73" i="27"/>
  <c r="S73" i="27"/>
  <c r="AB57" i="27"/>
  <c r="AC57" i="27" s="1"/>
  <c r="AD57" i="27" s="1"/>
  <c r="T73" i="27"/>
  <c r="U73" i="27"/>
  <c r="R73" i="27"/>
  <c r="X73" i="27"/>
  <c r="Z72" i="27"/>
  <c r="T72" i="27"/>
  <c r="X72" i="27"/>
  <c r="R71" i="27"/>
  <c r="X71" i="27"/>
  <c r="S71" i="27"/>
  <c r="AB72" i="27"/>
  <c r="AC72" i="27" s="1"/>
  <c r="AD72" i="27" s="1"/>
  <c r="AB58" i="27"/>
  <c r="AC58" i="27" s="1"/>
  <c r="AD58" i="27" s="1"/>
  <c r="U65" i="27"/>
  <c r="AA65" i="27"/>
  <c r="AB64" i="27" s="1"/>
  <c r="AC64" i="27" s="1"/>
  <c r="Y65" i="27"/>
  <c r="R65" i="27"/>
  <c r="S65" i="27"/>
  <c r="V65" i="27"/>
  <c r="X65" i="27"/>
  <c r="Z65" i="27"/>
  <c r="W65" i="27"/>
  <c r="Q65" i="27"/>
  <c r="T65" i="27"/>
  <c r="Z66" i="27"/>
  <c r="U66" i="27"/>
  <c r="T66" i="27"/>
  <c r="V66" i="27"/>
  <c r="Y66" i="27"/>
  <c r="S66" i="27"/>
  <c r="AA66" i="27"/>
  <c r="Q66" i="27"/>
  <c r="R66" i="27"/>
  <c r="X66" i="27"/>
  <c r="W66" i="27"/>
  <c r="R60" i="27"/>
  <c r="X60" i="27"/>
  <c r="U60" i="27"/>
  <c r="Q60" i="27"/>
  <c r="W60" i="27"/>
  <c r="Z60" i="27"/>
  <c r="Y60" i="27"/>
  <c r="S60" i="27"/>
  <c r="V60" i="27"/>
  <c r="AA60" i="27"/>
  <c r="T60" i="27"/>
  <c r="AB69" i="27"/>
  <c r="AC69" i="27" s="1"/>
  <c r="AF70" i="27" s="1"/>
  <c r="P70" i="27" s="1"/>
  <c r="AB62" i="27"/>
  <c r="AC62" i="27" s="1"/>
  <c r="AF63" i="27" s="1"/>
  <c r="P63" i="27" s="1"/>
  <c r="Y79" i="27"/>
  <c r="Q79" i="27"/>
  <c r="V79" i="27"/>
  <c r="AA79" i="27"/>
  <c r="T75" i="27"/>
  <c r="Q75" i="27"/>
  <c r="Z75" i="27"/>
  <c r="X75" i="27"/>
  <c r="V57" i="27"/>
  <c r="W57" i="27"/>
  <c r="Y57" i="27"/>
  <c r="S57" i="27"/>
  <c r="R72" i="27"/>
  <c r="Q72" i="27"/>
  <c r="V72" i="27"/>
  <c r="S72" i="27"/>
  <c r="Z71" i="27"/>
  <c r="T71" i="27"/>
  <c r="V71" i="27"/>
  <c r="W71" i="27"/>
  <c r="Q67" i="27"/>
  <c r="T67" i="27"/>
  <c r="Y67" i="27"/>
  <c r="X67" i="27"/>
  <c r="AA67" i="27"/>
  <c r="Z67" i="27"/>
  <c r="W67" i="27"/>
  <c r="R67" i="27"/>
  <c r="S67" i="27"/>
  <c r="V67" i="27"/>
  <c r="U67" i="27"/>
  <c r="Q68" i="27"/>
  <c r="U68" i="27"/>
  <c r="Z68" i="27"/>
  <c r="T68" i="27"/>
  <c r="S68" i="27"/>
  <c r="V68" i="27"/>
  <c r="W68" i="27"/>
  <c r="Y68" i="27"/>
  <c r="X68" i="27"/>
  <c r="AA68" i="27"/>
  <c r="AB68" i="27" s="1"/>
  <c r="AC68" i="27" s="1"/>
  <c r="AD68" i="27" s="1"/>
  <c r="R68" i="27"/>
  <c r="X76" i="27"/>
  <c r="AA76" i="27"/>
  <c r="AB76" i="27" s="1"/>
  <c r="AC76" i="27" s="1"/>
  <c r="AD76" i="27" s="1"/>
  <c r="U76" i="27"/>
  <c r="S76" i="27"/>
  <c r="T76" i="27"/>
  <c r="V76" i="27"/>
  <c r="W76" i="27"/>
  <c r="Q76" i="27"/>
  <c r="Z76" i="27"/>
  <c r="R76" i="27"/>
  <c r="Y76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AC17" i="23"/>
  <c r="AC20" i="23"/>
  <c r="AC15" i="23"/>
  <c r="AC16" i="23"/>
  <c r="AC10" i="23"/>
  <c r="AC16" i="24" s="1"/>
  <c r="AC19" i="23"/>
  <c r="O18" i="25"/>
  <c r="E24" i="17"/>
  <c r="A26" i="15"/>
  <c r="AB25" i="15"/>
  <c r="X25" i="15"/>
  <c r="AC25" i="15"/>
  <c r="AJ25" i="15"/>
  <c r="L25" i="15"/>
  <c r="D25" i="15" s="1"/>
  <c r="K25" i="15"/>
  <c r="AK25" i="15"/>
  <c r="O25" i="15"/>
  <c r="AB79" i="27"/>
  <c r="AC79" i="27" s="1"/>
  <c r="AD79" i="27" s="1"/>
  <c r="AB60" i="27"/>
  <c r="AC60" i="27" s="1"/>
  <c r="AD60" i="27" s="1"/>
  <c r="AB70" i="27"/>
  <c r="AC70" i="27" s="1"/>
  <c r="AB77" i="27"/>
  <c r="AC77" i="27" s="1"/>
  <c r="AD77" i="27" s="1"/>
  <c r="E24" i="16"/>
  <c r="G26" i="27"/>
  <c r="AD63" i="27" s="1"/>
  <c r="G27" i="27"/>
  <c r="AD64" i="27" s="1"/>
  <c r="AB78" i="27"/>
  <c r="AC78" i="27" s="1"/>
  <c r="AD78" i="27" s="1"/>
  <c r="AF62" i="27"/>
  <c r="P62" i="27" s="1"/>
  <c r="AB59" i="27"/>
  <c r="AC59" i="27" s="1"/>
  <c r="AD59" i="27" s="1"/>
  <c r="AB67" i="27"/>
  <c r="AC67" i="27" s="1"/>
  <c r="G32" i="27"/>
  <c r="AD69" i="27" s="1"/>
  <c r="G33" i="27"/>
  <c r="AD70" i="27" s="1"/>
  <c r="AB66" i="27"/>
  <c r="AC66" i="27" s="1"/>
  <c r="AB65" i="27"/>
  <c r="AC65" i="27" s="1"/>
  <c r="AB75" i="27"/>
  <c r="AC75" i="27" s="1"/>
  <c r="AD75" i="27" s="1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C17" i="24"/>
  <c r="AC19" i="24"/>
  <c r="AC18" i="24"/>
  <c r="AC20" i="24"/>
  <c r="AC10" i="24"/>
  <c r="AC19" i="25" s="1"/>
  <c r="AC15" i="24"/>
  <c r="E25" i="15"/>
  <c r="AB26" i="15"/>
  <c r="AJ26" i="15"/>
  <c r="A27" i="15"/>
  <c r="AK26" i="15"/>
  <c r="X26" i="15"/>
  <c r="L26" i="15"/>
  <c r="D26" i="15" s="1"/>
  <c r="AC26" i="15"/>
  <c r="K26" i="15"/>
  <c r="O26" i="15"/>
  <c r="AF67" i="27"/>
  <c r="P67" i="27" s="1"/>
  <c r="G30" i="27" s="1"/>
  <c r="AD67" i="27" s="1"/>
  <c r="AF66" i="27"/>
  <c r="P66" i="27" s="1"/>
  <c r="G25" i="27"/>
  <c r="AD62" i="27" s="1"/>
  <c r="G24" i="27"/>
  <c r="AD61" i="27" s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C15" i="25" l="1"/>
  <c r="AC20" i="25"/>
  <c r="AC18" i="25"/>
  <c r="AC10" i="25"/>
  <c r="AC17" i="25"/>
  <c r="AC16" i="25"/>
  <c r="E26" i="15"/>
  <c r="AC27" i="15"/>
  <c r="AB27" i="15"/>
  <c r="AJ27" i="15"/>
  <c r="L27" i="15"/>
  <c r="D27" i="15" s="1"/>
  <c r="O27" i="15"/>
  <c r="K27" i="15"/>
  <c r="X27" i="15"/>
  <c r="A28" i="15"/>
  <c r="AK27" i="15"/>
  <c r="G28" i="27"/>
  <c r="AD65" i="27" s="1"/>
  <c r="A83" i="27" a="1"/>
  <c r="G29" i="27"/>
  <c r="AD66" i="27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E27" i="15" l="1"/>
  <c r="AA27" i="1"/>
  <c r="Z27" i="1" s="1"/>
  <c r="Y27" i="1" s="1"/>
  <c r="A29" i="15"/>
  <c r="K28" i="15"/>
  <c r="L28" i="15"/>
  <c r="D28" i="15" s="1"/>
  <c r="AJ28" i="15"/>
  <c r="O28" i="15"/>
  <c r="X28" i="15"/>
  <c r="AK28" i="15"/>
  <c r="AB28" i="15"/>
  <c r="AC28" i="15"/>
  <c r="I27" i="1"/>
  <c r="A91" i="27"/>
  <c r="P91" i="27"/>
  <c r="P85" i="27"/>
  <c r="Q84" i="27"/>
  <c r="W93" i="27"/>
  <c r="A92" i="27"/>
  <c r="R90" i="27"/>
  <c r="Y91" i="27"/>
  <c r="H84" i="27"/>
  <c r="U89" i="27"/>
  <c r="M86" i="27"/>
  <c r="F89" i="27"/>
  <c r="A87" i="27"/>
  <c r="K92" i="27"/>
  <c r="D85" i="27"/>
  <c r="N89" i="27"/>
  <c r="G85" i="27"/>
  <c r="G83" i="27"/>
  <c r="I90" i="27"/>
  <c r="W88" i="27"/>
  <c r="T83" i="27"/>
  <c r="L84" i="27"/>
  <c r="X90" i="27"/>
  <c r="Q92" i="27"/>
  <c r="Z90" i="27"/>
  <c r="G94" i="27"/>
  <c r="F84" i="27"/>
  <c r="F92" i="27"/>
  <c r="K88" i="27"/>
  <c r="S94" i="27"/>
  <c r="I91" i="27"/>
  <c r="Z91" i="27"/>
  <c r="G93" i="27"/>
  <c r="U93" i="27"/>
  <c r="E92" i="27"/>
  <c r="E88" i="27"/>
  <c r="C84" i="27"/>
  <c r="B87" i="27"/>
  <c r="K89" i="27"/>
  <c r="U84" i="27"/>
  <c r="B90" i="27"/>
  <c r="R94" i="27"/>
  <c r="Q88" i="27"/>
  <c r="O89" i="27"/>
  <c r="K87" i="27"/>
  <c r="C86" i="27"/>
  <c r="I92" i="27"/>
  <c r="Y87" i="27"/>
  <c r="I95" i="27"/>
  <c r="C92" i="27"/>
  <c r="R89" i="27"/>
  <c r="P92" i="27"/>
  <c r="U87" i="27"/>
  <c r="J85" i="27"/>
  <c r="U86" i="27"/>
  <c r="S90" i="27"/>
  <c r="E95" i="27"/>
  <c r="B86" i="27"/>
  <c r="K95" i="27"/>
  <c r="D90" i="27"/>
  <c r="P94" i="27"/>
  <c r="Q86" i="27"/>
  <c r="B92" i="27"/>
  <c r="G87" i="27"/>
  <c r="Q93" i="27"/>
  <c r="G90" i="27"/>
  <c r="S93" i="27"/>
  <c r="X93" i="27"/>
  <c r="R86" i="27"/>
  <c r="G91" i="27"/>
  <c r="M88" i="27"/>
  <c r="D91" i="27"/>
  <c r="N92" i="27"/>
  <c r="T95" i="27"/>
  <c r="F83" i="27"/>
  <c r="Q90" i="27"/>
  <c r="J84" i="27"/>
  <c r="V87" i="27"/>
  <c r="A83" i="27"/>
  <c r="M90" i="27"/>
  <c r="L95" i="27"/>
  <c r="H91" i="27"/>
  <c r="L89" i="27"/>
  <c r="M85" i="27"/>
  <c r="D84" i="27"/>
  <c r="I87" i="27"/>
  <c r="U90" i="27"/>
  <c r="L87" i="27"/>
  <c r="X91" i="27"/>
  <c r="M93" i="27"/>
  <c r="I86" i="27"/>
  <c r="B89" i="27"/>
  <c r="X86" i="27"/>
  <c r="V93" i="27"/>
  <c r="O90" i="27"/>
  <c r="T93" i="27"/>
  <c r="U92" i="27"/>
  <c r="E83" i="27"/>
  <c r="W86" i="27"/>
  <c r="L85" i="27"/>
  <c r="Y83" i="27"/>
  <c r="R91" i="27"/>
  <c r="Q87" i="27"/>
  <c r="Q89" i="27"/>
  <c r="P93" i="27"/>
  <c r="U94" i="27"/>
  <c r="U83" i="27"/>
  <c r="G88" i="27"/>
  <c r="A84" i="27"/>
  <c r="V92" i="27"/>
  <c r="B84" i="27"/>
  <c r="Y85" i="27"/>
  <c r="E90" i="27"/>
  <c r="D88" i="27"/>
  <c r="Q91" i="27"/>
  <c r="V90" i="27"/>
  <c r="S84" i="27"/>
  <c r="J88" i="27"/>
  <c r="L90" i="27"/>
  <c r="D83" i="27"/>
  <c r="Y89" i="27"/>
  <c r="T91" i="27"/>
  <c r="T87" i="27"/>
  <c r="Q85" i="27"/>
  <c r="H92" i="27"/>
  <c r="W90" i="27"/>
  <c r="Z83" i="27"/>
  <c r="P89" i="27"/>
  <c r="O87" i="27"/>
  <c r="W91" i="27"/>
  <c r="M89" i="27"/>
  <c r="L93" i="27"/>
  <c r="R87" i="27"/>
  <c r="Q94" i="27"/>
  <c r="B88" i="27"/>
  <c r="V91" i="27"/>
  <c r="O86" i="27"/>
  <c r="F86" i="27"/>
  <c r="M92" i="27"/>
  <c r="Y94" i="27"/>
  <c r="M84" i="27"/>
  <c r="C94" i="27"/>
  <c r="P90" i="27"/>
  <c r="E86" i="27"/>
  <c r="K91" i="27"/>
  <c r="C83" i="27"/>
  <c r="S95" i="27"/>
  <c r="K83" i="27"/>
  <c r="E94" i="27"/>
  <c r="A89" i="27"/>
  <c r="L92" i="27"/>
  <c r="Z87" i="27"/>
  <c r="X88" i="27"/>
  <c r="C95" i="27"/>
  <c r="D94" i="27"/>
  <c r="F85" i="27"/>
  <c r="G89" i="27"/>
  <c r="U95" i="27"/>
  <c r="K86" i="27"/>
  <c r="S91" i="27"/>
  <c r="W94" i="27"/>
  <c r="L83" i="27"/>
  <c r="K93" i="27"/>
  <c r="H88" i="27"/>
  <c r="O84" i="27"/>
  <c r="F94" i="27"/>
  <c r="Y95" i="27"/>
  <c r="V89" i="27"/>
  <c r="H83" i="27"/>
  <c r="B91" i="27"/>
  <c r="Z92" i="27"/>
  <c r="F88" i="27"/>
  <c r="S85" i="27"/>
  <c r="I94" i="27"/>
  <c r="X89" i="27"/>
  <c r="Y84" i="27"/>
  <c r="C88" i="27"/>
  <c r="W87" i="27"/>
  <c r="H85" i="27"/>
  <c r="F87" i="27"/>
  <c r="E89" i="27"/>
  <c r="X94" i="27"/>
  <c r="N95" i="27"/>
  <c r="W83" i="27"/>
  <c r="N90" i="27"/>
  <c r="X92" i="27"/>
  <c r="M94" i="27"/>
  <c r="J87" i="27"/>
  <c r="H86" i="27"/>
  <c r="D93" i="27"/>
  <c r="A86" i="27"/>
  <c r="I93" i="27"/>
  <c r="N93" i="27"/>
  <c r="A85" i="27"/>
  <c r="C89" i="27"/>
  <c r="X85" i="27"/>
  <c r="P83" i="27"/>
  <c r="V88" i="27"/>
  <c r="T89" i="27"/>
  <c r="B94" i="27"/>
  <c r="Z93" i="27"/>
  <c r="T86" i="27"/>
  <c r="R84" i="27"/>
  <c r="D92" i="27"/>
  <c r="M95" i="27"/>
  <c r="K90" i="27"/>
  <c r="X95" i="27"/>
  <c r="M91" i="27"/>
  <c r="N91" i="27"/>
  <c r="F90" i="27"/>
  <c r="D86" i="27"/>
  <c r="N85" i="27"/>
  <c r="K84" i="27"/>
  <c r="J92" i="27"/>
  <c r="N88" i="27"/>
  <c r="S89" i="27"/>
  <c r="H87" i="27"/>
  <c r="J94" i="27"/>
  <c r="B93" i="27"/>
  <c r="V83" i="27"/>
  <c r="I84" i="27"/>
  <c r="P95" i="27"/>
  <c r="Z95" i="27"/>
  <c r="P87" i="27"/>
  <c r="H93" i="27"/>
  <c r="F91" i="27"/>
  <c r="Z94" i="27"/>
  <c r="Z84" i="27"/>
  <c r="Z88" i="27"/>
  <c r="F93" i="27"/>
  <c r="T88" i="27"/>
  <c r="S86" i="27"/>
  <c r="M83" i="27"/>
  <c r="O94" i="27"/>
  <c r="L91" i="27"/>
  <c r="W89" i="27"/>
  <c r="A95" i="27"/>
  <c r="E93" i="27"/>
  <c r="D95" i="27"/>
  <c r="J86" i="27"/>
  <c r="D89" i="27"/>
  <c r="X87" i="27"/>
  <c r="Q95" i="27"/>
  <c r="R83" i="27"/>
  <c r="Y92" i="27"/>
  <c r="K85" i="27"/>
  <c r="H90" i="27"/>
  <c r="T92" i="27"/>
  <c r="H95" i="27"/>
  <c r="J93" i="27"/>
  <c r="J90" i="27"/>
  <c r="H89" i="27"/>
  <c r="O88" i="27"/>
  <c r="C90" i="27"/>
  <c r="C85" i="27"/>
  <c r="L94" i="27"/>
  <c r="Y86" i="27"/>
  <c r="N94" i="27"/>
  <c r="E91" i="27"/>
  <c r="U88" i="27"/>
  <c r="R95" i="27"/>
  <c r="F95" i="27"/>
  <c r="S88" i="27"/>
  <c r="T84" i="27"/>
  <c r="U91" i="27"/>
  <c r="W92" i="27"/>
  <c r="Y90" i="27"/>
  <c r="Y88" i="27"/>
  <c r="A88" i="27"/>
  <c r="Z85" i="27"/>
  <c r="V84" i="27"/>
  <c r="P84" i="27"/>
  <c r="B83" i="27"/>
  <c r="K94" i="27"/>
  <c r="X83" i="27"/>
  <c r="A93" i="27"/>
  <c r="E87" i="27"/>
  <c r="S87" i="27"/>
  <c r="T90" i="27"/>
  <c r="I85" i="27"/>
  <c r="N84" i="27"/>
  <c r="E85" i="27"/>
  <c r="J83" i="27"/>
  <c r="A90" i="27"/>
  <c r="X84" i="27"/>
  <c r="A94" i="27"/>
  <c r="N86" i="27"/>
  <c r="I83" i="27"/>
  <c r="W84" i="27"/>
  <c r="L88" i="27"/>
  <c r="M87" i="27"/>
  <c r="U85" i="27"/>
  <c r="O85" i="27"/>
  <c r="O91" i="27"/>
  <c r="I89" i="27"/>
  <c r="G95" i="27"/>
  <c r="N83" i="27"/>
  <c r="J91" i="27"/>
  <c r="R85" i="27"/>
  <c r="H94" i="27"/>
  <c r="O92" i="27"/>
  <c r="O83" i="27"/>
  <c r="R92" i="27"/>
  <c r="J95" i="27"/>
  <c r="S83" i="27"/>
  <c r="V85" i="27"/>
  <c r="B85" i="27"/>
  <c r="V86" i="27"/>
  <c r="B95" i="27"/>
  <c r="O95" i="27"/>
  <c r="I88" i="27"/>
  <c r="Y93" i="27"/>
  <c r="Z89" i="27"/>
  <c r="W95" i="27"/>
  <c r="P88" i="27"/>
  <c r="D87" i="27"/>
  <c r="O93" i="27"/>
  <c r="G92" i="27"/>
  <c r="C91" i="27"/>
  <c r="G84" i="27"/>
  <c r="P86" i="27"/>
  <c r="T94" i="27"/>
  <c r="Q83" i="27"/>
  <c r="G86" i="27"/>
  <c r="L86" i="27"/>
  <c r="R88" i="27"/>
  <c r="J89" i="27"/>
  <c r="N87" i="27"/>
  <c r="S92" i="27"/>
  <c r="W85" i="27"/>
  <c r="E84" i="27"/>
  <c r="C93" i="27"/>
  <c r="C87" i="27"/>
  <c r="R93" i="27"/>
  <c r="V94" i="27"/>
  <c r="T85" i="27"/>
  <c r="V95" i="27"/>
  <c r="Z86" i="27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E28" i="15" l="1"/>
  <c r="A32" i="7"/>
  <c r="A30" i="15"/>
  <c r="AC29" i="15"/>
  <c r="L29" i="15"/>
  <c r="AK29" i="15"/>
  <c r="X29" i="15"/>
  <c r="AJ29" i="15"/>
  <c r="K29" i="15"/>
  <c r="AB29" i="15"/>
  <c r="O29" i="15"/>
  <c r="C32" i="7" s="1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D29" i="15" l="1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V30" i="1"/>
  <c r="X30" i="16"/>
  <c r="AB30" i="16"/>
  <c r="A31" i="16"/>
  <c r="AJ30" i="16"/>
  <c r="O30" i="16"/>
  <c r="K30" i="16"/>
  <c r="L30" i="16"/>
  <c r="D30" i="16" s="1"/>
  <c r="E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5" l="1"/>
  <c r="L31" i="15"/>
  <c r="D31" i="15" s="1"/>
  <c r="X31" i="15"/>
  <c r="AC31" i="15"/>
  <c r="A32" i="15"/>
  <c r="O31" i="15"/>
  <c r="K31" i="15"/>
  <c r="AJ31" i="15"/>
  <c r="AB31" i="15"/>
  <c r="AK31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E31" i="15" l="1"/>
  <c r="K32" i="15"/>
  <c r="AB32" i="15"/>
  <c r="O32" i="15"/>
  <c r="A33" i="15"/>
  <c r="AC32" i="15"/>
  <c r="X32" i="15"/>
  <c r="AJ32" i="15"/>
  <c r="L32" i="15"/>
  <c r="D32" i="15" s="1"/>
  <c r="AK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E32" i="15" l="1"/>
  <c r="K33" i="15"/>
  <c r="AJ33" i="15"/>
  <c r="AB33" i="15"/>
  <c r="AK33" i="15"/>
  <c r="L33" i="15"/>
  <c r="D33" i="15" s="1"/>
  <c r="X33" i="15"/>
  <c r="AC33" i="15"/>
  <c r="A34" i="15"/>
  <c r="O33" i="15"/>
  <c r="E33" i="15" s="1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B34" i="15"/>
  <c r="AK34" i="15"/>
  <c r="L34" i="15"/>
  <c r="D34" i="15" s="1"/>
  <c r="K34" i="15"/>
  <c r="AC34" i="15"/>
  <c r="X34" i="15"/>
  <c r="O34" i="15"/>
  <c r="A35" i="15"/>
  <c r="AJ34" i="15"/>
  <c r="I31" i="1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E34" i="15" l="1"/>
  <c r="L35" i="15"/>
  <c r="D35" i="15" s="1"/>
  <c r="O35" i="15"/>
  <c r="X35" i="15"/>
  <c r="AJ35" i="15"/>
  <c r="K35" i="15"/>
  <c r="AK35" i="15"/>
  <c r="A36" i="15"/>
  <c r="AB35" i="15"/>
  <c r="AC35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E35" i="15" l="1"/>
  <c r="A37" i="15"/>
  <c r="AK36" i="15"/>
  <c r="K36" i="15"/>
  <c r="X36" i="15"/>
  <c r="AC36" i="15"/>
  <c r="AB36" i="15"/>
  <c r="O36" i="15"/>
  <c r="L36" i="15"/>
  <c r="D36" i="15" s="1"/>
  <c r="AJ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E36" i="15" l="1"/>
  <c r="L37" i="15"/>
  <c r="D37" i="15" s="1"/>
  <c r="AJ37" i="15"/>
  <c r="AB37" i="15"/>
  <c r="AK37" i="15"/>
  <c r="K37" i="15"/>
  <c r="X37" i="15"/>
  <c r="AC37" i="15"/>
  <c r="A38" i="15"/>
  <c r="O37" i="15"/>
  <c r="I37" i="1"/>
  <c r="X37" i="16"/>
  <c r="K37" i="16"/>
  <c r="A38" i="16"/>
  <c r="AJ37" i="16"/>
  <c r="O37" i="16"/>
  <c r="AB37" i="16"/>
  <c r="L37" i="16"/>
  <c r="D37" i="16" s="1"/>
  <c r="AK37" i="16"/>
  <c r="AC37" i="16"/>
  <c r="E36" i="16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E37" i="16" l="1"/>
  <c r="E37" i="15"/>
  <c r="AB38" i="15"/>
  <c r="X38" i="15"/>
  <c r="O38" i="15"/>
  <c r="K38" i="15"/>
  <c r="AC38" i="15"/>
  <c r="L38" i="15"/>
  <c r="D38" i="15" s="1"/>
  <c r="AK38" i="15"/>
  <c r="A39" i="15"/>
  <c r="AJ38" i="15"/>
  <c r="AA37" i="1"/>
  <c r="Z37" i="1" s="1"/>
  <c r="Y37" i="1" s="1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38" i="15" l="1"/>
  <c r="X39" i="15"/>
  <c r="AB39" i="15"/>
  <c r="AC39" i="15"/>
  <c r="A40" i="15"/>
  <c r="O39" i="15"/>
  <c r="K39" i="15"/>
  <c r="AJ39" i="15"/>
  <c r="L39" i="15"/>
  <c r="D39" i="15" s="1"/>
  <c r="AK39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I39" i="1" l="1"/>
  <c r="E39" i="15"/>
  <c r="K40" i="15"/>
  <c r="AJ40" i="15"/>
  <c r="A41" i="15"/>
  <c r="AK40" i="15"/>
  <c r="L40" i="15"/>
  <c r="D40" i="15" s="1"/>
  <c r="AB40" i="15"/>
  <c r="AC40" i="15"/>
  <c r="X40" i="15"/>
  <c r="O40" i="15"/>
  <c r="E40" i="15" s="1"/>
  <c r="AA39" i="1"/>
  <c r="Z39" i="1" s="1"/>
  <c r="Y39" i="1" s="1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5"/>
  <c r="AJ41" i="15"/>
  <c r="L41" i="15"/>
  <c r="D41" i="15" s="1"/>
  <c r="AK41" i="15"/>
  <c r="AB41" i="15"/>
  <c r="A42" i="15"/>
  <c r="AC41" i="15"/>
  <c r="X41" i="15"/>
  <c r="O41" i="15"/>
  <c r="E41" i="15" s="1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AB42" i="15" l="1"/>
  <c r="AK42" i="15"/>
  <c r="L42" i="15"/>
  <c r="D42" i="15" s="1"/>
  <c r="AJ42" i="15"/>
  <c r="X42" i="15"/>
  <c r="A43" i="15"/>
  <c r="O42" i="15"/>
  <c r="K42" i="15"/>
  <c r="AC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X43" i="15" l="1"/>
  <c r="AC43" i="15"/>
  <c r="A44" i="15"/>
  <c r="AJ43" i="15"/>
  <c r="AB43" i="15"/>
  <c r="AK43" i="15"/>
  <c r="L43" i="15"/>
  <c r="D43" i="15" s="1"/>
  <c r="K43" i="15"/>
  <c r="O43" i="15"/>
  <c r="E43" i="15" s="1"/>
  <c r="E42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AB44" i="15" l="1"/>
  <c r="AC44" i="15"/>
  <c r="L44" i="15"/>
  <c r="D44" i="15" s="1"/>
  <c r="AJ44" i="15"/>
  <c r="A45" i="15"/>
  <c r="AK44" i="15"/>
  <c r="X44" i="15"/>
  <c r="K44" i="15"/>
  <c r="O44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A46" i="15" l="1"/>
  <c r="AC45" i="15"/>
  <c r="L45" i="15"/>
  <c r="D45" i="15" s="1"/>
  <c r="AJ45" i="15"/>
  <c r="K45" i="15"/>
  <c r="AK45" i="15"/>
  <c r="AB45" i="15"/>
  <c r="X45" i="15"/>
  <c r="O45" i="15"/>
  <c r="E44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5" i="15" l="1"/>
  <c r="AB46" i="15"/>
  <c r="O46" i="15"/>
  <c r="L46" i="15"/>
  <c r="D46" i="15" s="1"/>
  <c r="AK46" i="15"/>
  <c r="X46" i="15"/>
  <c r="AJ46" i="15"/>
  <c r="A47" i="15"/>
  <c r="K46" i="15"/>
  <c r="AC46" i="15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5" l="1"/>
  <c r="K47" i="15"/>
  <c r="X47" i="15"/>
  <c r="AC47" i="15"/>
  <c r="AB47" i="15"/>
  <c r="O47" i="15"/>
  <c r="L47" i="15"/>
  <c r="D47" i="15" s="1"/>
  <c r="AJ47" i="15"/>
  <c r="A48" i="15"/>
  <c r="AK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7" i="15" l="1"/>
  <c r="L48" i="15"/>
  <c r="D48" i="15" s="1"/>
  <c r="O48" i="15"/>
  <c r="K48" i="15"/>
  <c r="AJ48" i="15"/>
  <c r="A49" i="15"/>
  <c r="AK48" i="15"/>
  <c r="AB48" i="15"/>
  <c r="X48" i="15"/>
  <c r="AC48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8" i="16" l="1"/>
  <c r="E48" i="15"/>
  <c r="K49" i="15"/>
  <c r="AB49" i="15"/>
  <c r="O49" i="15"/>
  <c r="A50" i="15"/>
  <c r="AC49" i="15"/>
  <c r="L49" i="15"/>
  <c r="D49" i="15" s="1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E48" i="17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49" i="15" l="1"/>
  <c r="AB50" i="15"/>
  <c r="AK50" i="15"/>
  <c r="L50" i="15"/>
  <c r="D50" i="15" s="1"/>
  <c r="A51" i="15"/>
  <c r="AC50" i="15"/>
  <c r="K50" i="15"/>
  <c r="O50" i="15"/>
  <c r="E50" i="15" s="1"/>
  <c r="X50" i="15"/>
  <c r="AJ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K51" i="15" l="1"/>
  <c r="AK51" i="15"/>
  <c r="L51" i="15"/>
  <c r="D51" i="15" s="1"/>
  <c r="X51" i="15"/>
  <c r="AC51" i="15"/>
  <c r="A52" i="15"/>
  <c r="O51" i="15"/>
  <c r="AB51" i="15"/>
  <c r="AJ51" i="15"/>
  <c r="I50" i="1"/>
  <c r="AA50" i="1"/>
  <c r="Z50" i="1" s="1"/>
  <c r="Y50" i="1" s="1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L52" i="15"/>
  <c r="D52" i="15" s="1"/>
  <c r="AK52" i="15"/>
  <c r="AB52" i="15"/>
  <c r="X52" i="15"/>
  <c r="AC52" i="15"/>
  <c r="A53" i="15"/>
  <c r="O52" i="15"/>
  <c r="E52" i="15" s="1"/>
  <c r="K52" i="15"/>
  <c r="AJ52" i="15"/>
  <c r="E51" i="15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K53" i="15" l="1"/>
  <c r="O53" i="15"/>
  <c r="A54" i="15"/>
  <c r="AJ53" i="15"/>
  <c r="L53" i="15"/>
  <c r="D53" i="15" s="1"/>
  <c r="AK53" i="15"/>
  <c r="AB53" i="15"/>
  <c r="X53" i="15"/>
  <c r="AC53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5" l="1"/>
  <c r="L54" i="15"/>
  <c r="D54" i="15" s="1"/>
  <c r="AK54" i="15"/>
  <c r="X54" i="15"/>
  <c r="AJ54" i="15"/>
  <c r="AB54" i="15"/>
  <c r="K54" i="15"/>
  <c r="AC54" i="15"/>
  <c r="A55" i="15"/>
  <c r="O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E53" i="17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E54" i="15" l="1"/>
  <c r="L55" i="15"/>
  <c r="D55" i="15" s="1"/>
  <c r="AK55" i="15"/>
  <c r="X55" i="15"/>
  <c r="AJ55" i="15"/>
  <c r="AB55" i="15"/>
  <c r="K55" i="15"/>
  <c r="AC55" i="15"/>
  <c r="A56" i="15"/>
  <c r="O55" i="15"/>
  <c r="E55" i="15" s="1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X56" i="15" l="1"/>
  <c r="O56" i="15"/>
  <c r="L56" i="15"/>
  <c r="D56" i="15" s="1"/>
  <c r="AJ56" i="15"/>
  <c r="AB56" i="15"/>
  <c r="AK56" i="15"/>
  <c r="A57" i="15"/>
  <c r="K56" i="15"/>
  <c r="AC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5" l="1"/>
  <c r="AK57" i="15"/>
  <c r="L57" i="15"/>
  <c r="D57" i="15" s="1"/>
  <c r="AJ57" i="15"/>
  <c r="K57" i="15"/>
  <c r="O57" i="15"/>
  <c r="AB57" i="15"/>
  <c r="X57" i="15"/>
  <c r="AC57" i="15"/>
  <c r="A58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E57" i="15"/>
  <c r="L58" i="15"/>
  <c r="D58" i="15" s="1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E57" i="17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8" i="15" l="1"/>
  <c r="A60" i="15"/>
  <c r="AJ59" i="15"/>
  <c r="X59" i="15"/>
  <c r="AK59" i="15"/>
  <c r="K59" i="15"/>
  <c r="AB59" i="15"/>
  <c r="AC59" i="15"/>
  <c r="L59" i="15"/>
  <c r="D59" i="15" s="1"/>
  <c r="O59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59" i="15" l="1"/>
  <c r="X60" i="15"/>
  <c r="AK60" i="15"/>
  <c r="A33" i="7"/>
  <c r="A61" i="15"/>
  <c r="O60" i="15"/>
  <c r="C33" i="7" s="1"/>
  <c r="K60" i="15"/>
  <c r="L60" i="15"/>
  <c r="AC60" i="15"/>
  <c r="AB60" i="15"/>
  <c r="AJ60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L61" i="15"/>
  <c r="D61" i="15" s="1"/>
  <c r="A62" i="15"/>
  <c r="O61" i="15"/>
  <c r="E61" i="15" s="1"/>
  <c r="X61" i="15"/>
  <c r="AC61" i="15"/>
  <c r="AB61" i="15"/>
  <c r="AK61" i="15"/>
  <c r="K61" i="15"/>
  <c r="AJ61" i="15"/>
  <c r="D60" i="15"/>
  <c r="E60" i="15" s="1"/>
  <c r="B33" i="7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B62" i="15"/>
  <c r="O62" i="15"/>
  <c r="K62" i="15"/>
  <c r="AJ62" i="15"/>
  <c r="A63" i="15"/>
  <c r="AK62" i="15"/>
  <c r="L62" i="15"/>
  <c r="D62" i="15" s="1"/>
  <c r="X62" i="15"/>
  <c r="AC62" i="15"/>
  <c r="AA62" i="1"/>
  <c r="Z62" i="1" s="1"/>
  <c r="Y62" i="1" s="1"/>
  <c r="I61" i="1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I62" i="1" l="1"/>
  <c r="E62" i="15"/>
  <c r="K63" i="15"/>
  <c r="AJ63" i="15"/>
  <c r="AB63" i="15"/>
  <c r="AK63" i="15"/>
  <c r="A64" i="15"/>
  <c r="L63" i="15"/>
  <c r="D63" i="15" s="1"/>
  <c r="AC63" i="15"/>
  <c r="X63" i="15"/>
  <c r="O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E63" i="17" s="1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B64" i="15" l="1"/>
  <c r="AK64" i="15"/>
  <c r="K64" i="15"/>
  <c r="A65" i="15"/>
  <c r="AC64" i="15"/>
  <c r="L64" i="15"/>
  <c r="D64" i="15" s="1"/>
  <c r="O64" i="15"/>
  <c r="X64" i="15"/>
  <c r="AJ64" i="15"/>
  <c r="E63" i="15"/>
  <c r="E63" i="16"/>
  <c r="I64" i="1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4" i="15" l="1"/>
  <c r="P66" i="1"/>
  <c r="L65" i="15"/>
  <c r="D65" i="15" s="1"/>
  <c r="AC65" i="15"/>
  <c r="K65" i="15"/>
  <c r="AJ65" i="15"/>
  <c r="A66" i="15"/>
  <c r="AK65" i="15"/>
  <c r="X65" i="15"/>
  <c r="AB65" i="15"/>
  <c r="O65" i="15"/>
  <c r="E65" i="15" s="1"/>
  <c r="AA64" i="1"/>
  <c r="Z64" i="1" s="1"/>
  <c r="Y64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V66" i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6" i="15" l="1"/>
  <c r="AJ66" i="15"/>
  <c r="K66" i="15"/>
  <c r="X66" i="15"/>
  <c r="AC66" i="15"/>
  <c r="L66" i="15"/>
  <c r="D66" i="15" s="1"/>
  <c r="O66" i="15"/>
  <c r="A67" i="15"/>
  <c r="AK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6" i="15" l="1"/>
  <c r="AB67" i="15"/>
  <c r="X67" i="15"/>
  <c r="O67" i="15"/>
  <c r="A68" i="15"/>
  <c r="AC67" i="15"/>
  <c r="L67" i="15"/>
  <c r="D67" i="15" s="1"/>
  <c r="AJ67" i="15"/>
  <c r="K67" i="15"/>
  <c r="AK67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5" l="1"/>
  <c r="A69" i="15"/>
  <c r="K68" i="15"/>
  <c r="AC68" i="15"/>
  <c r="AB68" i="15"/>
  <c r="O68" i="15"/>
  <c r="L68" i="15"/>
  <c r="D68" i="15" s="1"/>
  <c r="AK68" i="15"/>
  <c r="X68" i="15"/>
  <c r="AJ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5" l="1"/>
  <c r="AB69" i="15"/>
  <c r="AK69" i="15"/>
  <c r="K69" i="15"/>
  <c r="X69" i="15"/>
  <c r="O69" i="15"/>
  <c r="A70" i="15"/>
  <c r="AC69" i="15"/>
  <c r="L69" i="15"/>
  <c r="D69" i="15" s="1"/>
  <c r="AJ69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5" l="1"/>
  <c r="AB70" i="15"/>
  <c r="AJ70" i="15"/>
  <c r="K70" i="15"/>
  <c r="L70" i="15"/>
  <c r="D70" i="15" s="1"/>
  <c r="O70" i="15"/>
  <c r="X70" i="15"/>
  <c r="AC70" i="15"/>
  <c r="A71" i="15"/>
  <c r="AK70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AB71" i="15" l="1"/>
  <c r="O71" i="15"/>
  <c r="X71" i="15"/>
  <c r="AK71" i="15"/>
  <c r="L71" i="15"/>
  <c r="D71" i="15" s="1"/>
  <c r="AJ71" i="15"/>
  <c r="A72" i="15"/>
  <c r="K71" i="15"/>
  <c r="AC71" i="15"/>
  <c r="E70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1" i="15" l="1"/>
  <c r="K72" i="15"/>
  <c r="AJ72" i="15"/>
  <c r="AB72" i="15"/>
  <c r="AK72" i="15"/>
  <c r="A73" i="15"/>
  <c r="L72" i="15"/>
  <c r="D72" i="15" s="1"/>
  <c r="AC72" i="15"/>
  <c r="X72" i="15"/>
  <c r="O72" i="15"/>
  <c r="I71" i="1"/>
  <c r="AB72" i="16"/>
  <c r="X72" i="16"/>
  <c r="AK72" i="16"/>
  <c r="AC72" i="16"/>
  <c r="L72" i="16"/>
  <c r="D72" i="16" s="1"/>
  <c r="A73" i="16"/>
  <c r="K72" i="16"/>
  <c r="AJ72" i="16"/>
  <c r="O72" i="16"/>
  <c r="E71" i="16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2" i="15" l="1"/>
  <c r="A74" i="15"/>
  <c r="AJ73" i="15"/>
  <c r="K73" i="15"/>
  <c r="AB73" i="15"/>
  <c r="AC73" i="15"/>
  <c r="X73" i="15"/>
  <c r="O73" i="15"/>
  <c r="L73" i="15"/>
  <c r="D73" i="15" s="1"/>
  <c r="AK73" i="15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3" i="17" l="1"/>
  <c r="AA73" i="1"/>
  <c r="Z73" i="1" s="1"/>
  <c r="Y73" i="1" s="1"/>
  <c r="I73" i="1"/>
  <c r="E73" i="16"/>
  <c r="K74" i="15"/>
  <c r="AK74" i="15"/>
  <c r="L74" i="15"/>
  <c r="D74" i="15" s="1"/>
  <c r="X74" i="15"/>
  <c r="AC74" i="15"/>
  <c r="A75" i="15"/>
  <c r="O74" i="15"/>
  <c r="AB74" i="15"/>
  <c r="AJ74" i="15"/>
  <c r="E73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5" l="1"/>
  <c r="AK75" i="15"/>
  <c r="AB75" i="15"/>
  <c r="X75" i="15"/>
  <c r="AC75" i="15"/>
  <c r="K75" i="15"/>
  <c r="O75" i="15"/>
  <c r="L75" i="15"/>
  <c r="D75" i="15" s="1"/>
  <c r="AJ75" i="15"/>
  <c r="E74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E75" i="15"/>
  <c r="L76" i="15"/>
  <c r="D76" i="15" s="1"/>
  <c r="AK76" i="15"/>
  <c r="AB76" i="15"/>
  <c r="AJ76" i="15"/>
  <c r="A77" i="15"/>
  <c r="K76" i="15"/>
  <c r="AC76" i="15"/>
  <c r="X76" i="15"/>
  <c r="O76" i="15"/>
  <c r="E76" i="15" s="1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K77" i="15" l="1"/>
  <c r="AK77" i="15"/>
  <c r="A78" i="15"/>
  <c r="X77" i="15"/>
  <c r="AC77" i="15"/>
  <c r="L77" i="15"/>
  <c r="D77" i="15" s="1"/>
  <c r="O77" i="15"/>
  <c r="AB77" i="15"/>
  <c r="AJ77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7" i="15" l="1"/>
  <c r="X78" i="15"/>
  <c r="AJ78" i="15"/>
  <c r="K78" i="15"/>
  <c r="AB78" i="15"/>
  <c r="AC78" i="15"/>
  <c r="A79" i="15"/>
  <c r="O78" i="15"/>
  <c r="L78" i="15"/>
  <c r="D78" i="15" s="1"/>
  <c r="AK78" i="15"/>
  <c r="L78" i="16"/>
  <c r="D78" i="16" s="1"/>
  <c r="A79" i="16"/>
  <c r="AB78" i="16"/>
  <c r="AJ78" i="16"/>
  <c r="O78" i="16"/>
  <c r="X78" i="16"/>
  <c r="K78" i="16"/>
  <c r="AK78" i="16"/>
  <c r="AC78" i="16"/>
  <c r="E77" i="16"/>
  <c r="D77" i="17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E77" i="17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5" l="1"/>
  <c r="AB79" i="15"/>
  <c r="AK79" i="15"/>
  <c r="K79" i="15"/>
  <c r="X79" i="15"/>
  <c r="AC79" i="15"/>
  <c r="A80" i="15"/>
  <c r="O79" i="15"/>
  <c r="L79" i="15"/>
  <c r="D79" i="15" s="1"/>
  <c r="AJ79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E79" i="15"/>
  <c r="AB80" i="15"/>
  <c r="O80" i="15"/>
  <c r="L80" i="15"/>
  <c r="D80" i="15" s="1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80" i="16"/>
  <c r="L81" i="16"/>
  <c r="D81" i="16" s="1"/>
  <c r="AB81" i="16"/>
  <c r="A82" i="16"/>
  <c r="AK81" i="16"/>
  <c r="O81" i="16"/>
  <c r="K81" i="16"/>
  <c r="X81" i="16"/>
  <c r="AJ81" i="16"/>
  <c r="AC81" i="16"/>
  <c r="I81" i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AA81" i="1" l="1"/>
  <c r="Z81" i="1" s="1"/>
  <c r="Y81" i="1" s="1"/>
  <c r="A83" i="15"/>
  <c r="O82" i="15"/>
  <c r="AB82" i="15"/>
  <c r="AJ82" i="15"/>
  <c r="L82" i="15"/>
  <c r="D82" i="15" s="1"/>
  <c r="AK82" i="15"/>
  <c r="X82" i="15"/>
  <c r="K82" i="15"/>
  <c r="AC82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E82" i="15" l="1"/>
  <c r="AB83" i="15"/>
  <c r="AK83" i="15"/>
  <c r="A84" i="15"/>
  <c r="X83" i="15"/>
  <c r="AC83" i="15"/>
  <c r="K83" i="15"/>
  <c r="O83" i="15"/>
  <c r="L83" i="15"/>
  <c r="D83" i="15" s="1"/>
  <c r="AJ83" i="15"/>
  <c r="AA82" i="1"/>
  <c r="Z82" i="1" s="1"/>
  <c r="Y82" i="1" s="1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5" l="1"/>
  <c r="X84" i="15"/>
  <c r="AK84" i="15"/>
  <c r="A85" i="15"/>
  <c r="L84" i="15"/>
  <c r="D84" i="15" s="1"/>
  <c r="AC84" i="15"/>
  <c r="K84" i="15"/>
  <c r="O84" i="15"/>
  <c r="AB84" i="15"/>
  <c r="AJ84" i="15"/>
  <c r="E83" i="16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5" i="15"/>
  <c r="D85" i="15" s="1"/>
  <c r="AC85" i="15"/>
  <c r="X85" i="15"/>
  <c r="AJ85" i="15"/>
  <c r="K85" i="15"/>
  <c r="AK85" i="15"/>
  <c r="AB85" i="15"/>
  <c r="A86" i="15"/>
  <c r="O85" i="15"/>
  <c r="E84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X86" i="15" l="1"/>
  <c r="AJ86" i="15"/>
  <c r="A87" i="15"/>
  <c r="AK86" i="15"/>
  <c r="L86" i="15"/>
  <c r="D86" i="15" s="1"/>
  <c r="K86" i="15"/>
  <c r="AC86" i="15"/>
  <c r="AB86" i="15"/>
  <c r="O86" i="15"/>
  <c r="E85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6" i="15"/>
  <c r="L87" i="15"/>
  <c r="D87" i="15" s="1"/>
  <c r="O87" i="15"/>
  <c r="X87" i="15"/>
  <c r="AJ87" i="15"/>
  <c r="AB87" i="15"/>
  <c r="AK87" i="15"/>
  <c r="A88" i="15"/>
  <c r="K87" i="15"/>
  <c r="AC87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I89" i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E89" i="15" l="1"/>
  <c r="AB90" i="15"/>
  <c r="AK90" i="15"/>
  <c r="A91" i="15"/>
  <c r="X90" i="15"/>
  <c r="AJ90" i="15"/>
  <c r="K90" i="15"/>
  <c r="O90" i="15"/>
  <c r="AC90" i="15"/>
  <c r="L90" i="15"/>
  <c r="D90" i="15" s="1"/>
  <c r="AA89" i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0" i="15" l="1"/>
  <c r="K91" i="15"/>
  <c r="AC91" i="15"/>
  <c r="L91" i="15"/>
  <c r="D91" i="15" s="1"/>
  <c r="AJ91" i="15"/>
  <c r="X91" i="15"/>
  <c r="AK91" i="15"/>
  <c r="A92" i="15"/>
  <c r="AB91" i="15"/>
  <c r="O91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K92" i="15" l="1"/>
  <c r="AK92" i="15"/>
  <c r="AB92" i="15"/>
  <c r="A93" i="15"/>
  <c r="AC92" i="15"/>
  <c r="X92" i="15"/>
  <c r="O92" i="15"/>
  <c r="L92" i="15"/>
  <c r="D92" i="15" s="1"/>
  <c r="AJ92" i="15"/>
  <c r="E91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2" i="15" l="1"/>
  <c r="A94" i="15"/>
  <c r="AJ93" i="15"/>
  <c r="L93" i="15"/>
  <c r="D93" i="15" s="1"/>
  <c r="X93" i="15"/>
  <c r="AC93" i="15"/>
  <c r="K93" i="15"/>
  <c r="O93" i="15"/>
  <c r="AB93" i="15"/>
  <c r="AK93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E93" i="15"/>
  <c r="AB94" i="15"/>
  <c r="O94" i="15"/>
  <c r="L94" i="15"/>
  <c r="D94" i="15" s="1"/>
  <c r="AK94" i="15"/>
  <c r="K94" i="15"/>
  <c r="AJ94" i="15"/>
  <c r="X94" i="15"/>
  <c r="A95" i="15"/>
  <c r="AC94" i="15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E94" i="15" l="1"/>
  <c r="AC95" i="15"/>
  <c r="L95" i="15"/>
  <c r="D95" i="15" s="1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6" i="15" l="1"/>
  <c r="AJ96" i="15"/>
  <c r="X96" i="15"/>
  <c r="AK96" i="15"/>
  <c r="K96" i="15"/>
  <c r="A97" i="15"/>
  <c r="AC96" i="15"/>
  <c r="L96" i="15"/>
  <c r="D96" i="15" s="1"/>
  <c r="O96" i="15"/>
  <c r="E95" i="15"/>
  <c r="E95" i="16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E96" i="17" s="1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5" l="1"/>
  <c r="I97" i="1"/>
  <c r="AB97" i="15"/>
  <c r="AJ97" i="15"/>
  <c r="X97" i="15"/>
  <c r="AK97" i="15"/>
  <c r="L97" i="15"/>
  <c r="D97" i="15" s="1"/>
  <c r="K97" i="15"/>
  <c r="AC97" i="15"/>
  <c r="A98" i="15"/>
  <c r="O97" i="15"/>
  <c r="E97" i="15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5"/>
  <c r="AK98" i="15"/>
  <c r="AB98" i="15"/>
  <c r="AJ98" i="15"/>
  <c r="L98" i="15"/>
  <c r="D98" i="15" s="1"/>
  <c r="K98" i="15"/>
  <c r="O98" i="15"/>
  <c r="E98" i="15" s="1"/>
  <c r="X98" i="15"/>
  <c r="AC98" i="15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s="1"/>
  <c r="K99" i="15" l="1"/>
  <c r="AJ99" i="15"/>
  <c r="L99" i="15"/>
  <c r="D99" i="15" s="1"/>
  <c r="AK99" i="15"/>
  <c r="AB99" i="15"/>
  <c r="A100" i="15"/>
  <c r="AC99" i="15"/>
  <c r="X99" i="15"/>
  <c r="O99" i="15"/>
  <c r="E99" i="15" s="1"/>
  <c r="E98" i="16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L100" i="15" l="1"/>
  <c r="D100" i="15" s="1"/>
  <c r="O100" i="15"/>
  <c r="AB100" i="15"/>
  <c r="AJ100" i="15"/>
  <c r="A101" i="15"/>
  <c r="AK100" i="15"/>
  <c r="K100" i="15"/>
  <c r="X100" i="15"/>
  <c r="AC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0" i="15"/>
  <c r="K101" i="15"/>
  <c r="AK101" i="15"/>
  <c r="A102" i="15"/>
  <c r="AJ101" i="15"/>
  <c r="X101" i="15"/>
  <c r="L101" i="15"/>
  <c r="D101" i="15" s="1"/>
  <c r="AC101" i="15"/>
  <c r="AB101" i="15"/>
  <c r="O101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1" i="15" l="1"/>
  <c r="AB102" i="15"/>
  <c r="AC102" i="15"/>
  <c r="O102" i="15"/>
  <c r="L102" i="15"/>
  <c r="D102" i="15" s="1"/>
  <c r="A103" i="15"/>
  <c r="AK102" i="15"/>
  <c r="X102" i="15"/>
  <c r="K102" i="15"/>
  <c r="AJ102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2" i="15"/>
  <c r="AB103" i="15"/>
  <c r="K103" i="15"/>
  <c r="AC103" i="15"/>
  <c r="X103" i="15"/>
  <c r="O103" i="15"/>
  <c r="L103" i="15"/>
  <c r="D103" i="15" s="1"/>
  <c r="AJ103" i="15"/>
  <c r="A104" i="15"/>
  <c r="AK103" i="15"/>
  <c r="A104" i="16"/>
  <c r="X103" i="16"/>
  <c r="L103" i="16"/>
  <c r="D103" i="16" s="1"/>
  <c r="AJ103" i="16"/>
  <c r="O103" i="16"/>
  <c r="AB103" i="16"/>
  <c r="K103" i="16"/>
  <c r="AK103" i="16"/>
  <c r="AC103" i="16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K104" i="15" l="1"/>
  <c r="AK104" i="15"/>
  <c r="L104" i="15"/>
  <c r="D104" i="15" s="1"/>
  <c r="AJ104" i="15"/>
  <c r="AB104" i="15"/>
  <c r="A105" i="15"/>
  <c r="AC104" i="15"/>
  <c r="X104" i="15"/>
  <c r="O104" i="15"/>
  <c r="E104" i="15" s="1"/>
  <c r="E103" i="15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I104" i="1" l="1"/>
  <c r="AA104" i="1"/>
  <c r="Z104" i="1" s="1"/>
  <c r="Y104" i="1" s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E104" i="17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V107" i="1" s="1"/>
  <c r="L106" i="15"/>
  <c r="D106" i="15" s="1"/>
  <c r="K106" i="15"/>
  <c r="X106" i="15"/>
  <c r="AK106" i="15"/>
  <c r="AJ106" i="15"/>
  <c r="A107" i="15"/>
  <c r="O106" i="15"/>
  <c r="E106" i="15" s="1"/>
  <c r="AB106" i="15"/>
  <c r="AC106" i="15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6" i="17" l="1"/>
  <c r="I106" i="1"/>
  <c r="E106" i="16"/>
  <c r="K107" i="15"/>
  <c r="AC107" i="15"/>
  <c r="AB107" i="15"/>
  <c r="AJ107" i="15"/>
  <c r="A108" i="15"/>
  <c r="AK107" i="15"/>
  <c r="L107" i="15"/>
  <c r="D107" i="15" s="1"/>
  <c r="X107" i="15"/>
  <c r="O107" i="15"/>
  <c r="E107" i="15" s="1"/>
  <c r="AA106" i="1"/>
  <c r="Z106" i="1" s="1"/>
  <c r="Y106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K108" i="15" l="1"/>
  <c r="X108" i="15"/>
  <c r="AC108" i="15"/>
  <c r="AB108" i="15"/>
  <c r="O108" i="15"/>
  <c r="L108" i="15"/>
  <c r="D108" i="15" s="1"/>
  <c r="AK108" i="15"/>
  <c r="A109" i="15"/>
  <c r="AJ108" i="15"/>
  <c r="I107" i="1"/>
  <c r="AA107" i="1"/>
  <c r="Z107" i="1" s="1"/>
  <c r="Y107" i="1" s="1"/>
  <c r="E107" i="16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X109" i="15" l="1"/>
  <c r="AK109" i="15"/>
  <c r="A110" i="15"/>
  <c r="K109" i="15"/>
  <c r="AC109" i="15"/>
  <c r="AB109" i="15"/>
  <c r="O109" i="15"/>
  <c r="L109" i="15"/>
  <c r="D109" i="15" s="1"/>
  <c r="AJ109" i="15"/>
  <c r="E108" i="15"/>
  <c r="I109" i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E109" i="15"/>
  <c r="AB110" i="15"/>
  <c r="A111" i="15"/>
  <c r="O110" i="15"/>
  <c r="L110" i="15"/>
  <c r="D110" i="15" s="1"/>
  <c r="AJ110" i="15"/>
  <c r="X110" i="15"/>
  <c r="AK110" i="15"/>
  <c r="K110" i="15"/>
  <c r="AC110" i="15"/>
  <c r="AA109" i="1"/>
  <c r="Z109" i="1" s="1"/>
  <c r="Y109" i="1" s="1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5" l="1"/>
  <c r="E110" i="16"/>
  <c r="L111" i="15"/>
  <c r="D111" i="15" s="1"/>
  <c r="AK111" i="15"/>
  <c r="AB111" i="15"/>
  <c r="K111" i="15"/>
  <c r="AC111" i="15"/>
  <c r="A112" i="15"/>
  <c r="O111" i="15"/>
  <c r="E111" i="15" s="1"/>
  <c r="X111" i="15"/>
  <c r="AJ111" i="15"/>
  <c r="L111" i="16"/>
  <c r="D111" i="16" s="1"/>
  <c r="A112" i="16"/>
  <c r="K111" i="16"/>
  <c r="AJ111" i="16"/>
  <c r="O111" i="16"/>
  <c r="X111" i="16"/>
  <c r="AB111" i="16"/>
  <c r="AK111" i="16"/>
  <c r="AC111" i="16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113" i="15" l="1"/>
  <c r="AJ112" i="15"/>
  <c r="L112" i="15"/>
  <c r="D112" i="15" s="1"/>
  <c r="X112" i="15"/>
  <c r="AC112" i="15"/>
  <c r="K112" i="15"/>
  <c r="O112" i="15"/>
  <c r="AB112" i="15"/>
  <c r="AK112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5" l="1"/>
  <c r="X113" i="15"/>
  <c r="AB113" i="15"/>
  <c r="O113" i="15"/>
  <c r="L113" i="15"/>
  <c r="D113" i="15" s="1"/>
  <c r="AC113" i="15"/>
  <c r="K113" i="15"/>
  <c r="AJ113" i="15"/>
  <c r="A114" i="15"/>
  <c r="AK113" i="15"/>
  <c r="E112" i="16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3" i="17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4" i="15" l="1"/>
  <c r="E114" i="16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X116" i="15" l="1"/>
  <c r="AK116" i="15"/>
  <c r="L116" i="15"/>
  <c r="D116" i="15" s="1"/>
  <c r="AJ116" i="15"/>
  <c r="AB116" i="15"/>
  <c r="K116" i="15"/>
  <c r="AC116" i="15"/>
  <c r="A117" i="15"/>
  <c r="O116" i="15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L117" i="15" l="1"/>
  <c r="D117" i="15" s="1"/>
  <c r="AK117" i="15"/>
  <c r="X117" i="15"/>
  <c r="A118" i="15"/>
  <c r="AC117" i="15"/>
  <c r="K117" i="15"/>
  <c r="O117" i="15"/>
  <c r="E117" i="15" s="1"/>
  <c r="AB117" i="15"/>
  <c r="AJ117" i="15"/>
  <c r="E116" i="15"/>
  <c r="I116" i="1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AB118" i="15" l="1"/>
  <c r="AK118" i="15"/>
  <c r="X118" i="15"/>
  <c r="A119" i="15"/>
  <c r="O118" i="15"/>
  <c r="L118" i="15"/>
  <c r="D118" i="15" s="1"/>
  <c r="AC118" i="15"/>
  <c r="AJ118" i="15"/>
  <c r="K118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18" i="15" l="1"/>
  <c r="K119" i="15"/>
  <c r="AJ119" i="15"/>
  <c r="A120" i="15"/>
  <c r="L119" i="15"/>
  <c r="O119" i="15"/>
  <c r="C35" i="7" s="1"/>
  <c r="A35" i="7"/>
  <c r="X119" i="15"/>
  <c r="AC119" i="15"/>
  <c r="AB119" i="15"/>
  <c r="AK119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I120" i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E120" i="15"/>
  <c r="A122" i="15"/>
  <c r="O121" i="15"/>
  <c r="X121" i="15"/>
  <c r="AJ121" i="15"/>
  <c r="L121" i="15"/>
  <c r="D121" i="15" s="1"/>
  <c r="AK121" i="15"/>
  <c r="K121" i="15"/>
  <c r="AB121" i="15"/>
  <c r="AC121" i="15"/>
  <c r="AA120" i="1"/>
  <c r="Z120" i="1" s="1"/>
  <c r="Y120" i="1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L122" i="15"/>
  <c r="D122" i="15" s="1"/>
  <c r="O122" i="15"/>
  <c r="A123" i="15"/>
  <c r="AJ122" i="15"/>
  <c r="AB122" i="15"/>
  <c r="AK122" i="15"/>
  <c r="X122" i="15"/>
  <c r="K122" i="15"/>
  <c r="AC122" i="15"/>
  <c r="E121" i="15"/>
  <c r="L122" i="16"/>
  <c r="D122" i="16" s="1"/>
  <c r="X122" i="16"/>
  <c r="AJ122" i="16"/>
  <c r="AC122" i="16"/>
  <c r="AB122" i="16"/>
  <c r="A123" i="16"/>
  <c r="K122" i="16"/>
  <c r="AK122" i="16"/>
  <c r="O122" i="16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E122" i="15" l="1"/>
  <c r="X123" i="15"/>
  <c r="AK123" i="15"/>
  <c r="A124" i="15"/>
  <c r="AJ123" i="15"/>
  <c r="K123" i="15"/>
  <c r="AB123" i="15"/>
  <c r="O123" i="15"/>
  <c r="L123" i="15"/>
  <c r="D123" i="15" s="1"/>
  <c r="AC123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3" i="15" l="1"/>
  <c r="A125" i="15"/>
  <c r="AK124" i="15"/>
  <c r="L124" i="15"/>
  <c r="D124" i="15" s="1"/>
  <c r="AJ124" i="15"/>
  <c r="K124" i="15"/>
  <c r="AB124" i="15"/>
  <c r="AC124" i="15"/>
  <c r="X124" i="15"/>
  <c r="O124" i="15"/>
  <c r="E124" i="15" s="1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A126" i="15" l="1"/>
  <c r="AB125" i="15"/>
  <c r="AC125" i="15"/>
  <c r="X125" i="15"/>
  <c r="O125" i="15"/>
  <c r="L125" i="15"/>
  <c r="D125" i="15" s="1"/>
  <c r="AJ125" i="15"/>
  <c r="K125" i="15"/>
  <c r="AK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E125" i="15" l="1"/>
  <c r="X126" i="15"/>
  <c r="O126" i="15"/>
  <c r="AB126" i="15"/>
  <c r="AJ126" i="15"/>
  <c r="K126" i="15"/>
  <c r="AK126" i="15"/>
  <c r="L126" i="15"/>
  <c r="D126" i="15" s="1"/>
  <c r="A127" i="15"/>
  <c r="AC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B127" i="15" l="1"/>
  <c r="AC127" i="15"/>
  <c r="X127" i="15"/>
  <c r="AJ127" i="15"/>
  <c r="L127" i="15"/>
  <c r="D127" i="15" s="1"/>
  <c r="AK127" i="15"/>
  <c r="A128" i="15"/>
  <c r="K127" i="15"/>
  <c r="O127" i="15"/>
  <c r="E127" i="15" s="1"/>
  <c r="E126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X128" i="15" l="1"/>
  <c r="AJ128" i="15"/>
  <c r="K128" i="15"/>
  <c r="AB128" i="15"/>
  <c r="AC128" i="15"/>
  <c r="A129" i="15"/>
  <c r="O128" i="15"/>
  <c r="L128" i="15"/>
  <c r="D128" i="15" s="1"/>
  <c r="AK128" i="15"/>
  <c r="E127" i="16"/>
  <c r="X128" i="16"/>
  <c r="L128" i="16"/>
  <c r="D128" i="16" s="1"/>
  <c r="K128" i="16"/>
  <c r="AK128" i="16"/>
  <c r="O128" i="16"/>
  <c r="A129" i="16"/>
  <c r="AB128" i="16"/>
  <c r="AJ128" i="16"/>
  <c r="AC128" i="16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5" l="1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5" l="1"/>
  <c r="AJ130" i="15"/>
  <c r="K130" i="15"/>
  <c r="X130" i="15"/>
  <c r="AC130" i="15"/>
  <c r="L130" i="15"/>
  <c r="D130" i="15" s="1"/>
  <c r="O130" i="15"/>
  <c r="AB130" i="15"/>
  <c r="AK130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5" l="1"/>
  <c r="X131" i="15"/>
  <c r="O131" i="15"/>
  <c r="L131" i="15"/>
  <c r="D131" i="15" s="1"/>
  <c r="AJ131" i="15"/>
  <c r="K131" i="15"/>
  <c r="AK131" i="15"/>
  <c r="A132" i="15"/>
  <c r="AB131" i="15"/>
  <c r="AC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1" i="15" l="1"/>
  <c r="K132" i="15"/>
  <c r="O132" i="15"/>
  <c r="AB132" i="15"/>
  <c r="AJ132" i="15"/>
  <c r="A133" i="15"/>
  <c r="AK132" i="15"/>
  <c r="X132" i="15"/>
  <c r="L132" i="15"/>
  <c r="D132" i="15" s="1"/>
  <c r="E132" i="15" s="1"/>
  <c r="AC132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A134" i="15" l="1"/>
  <c r="K133" i="15"/>
  <c r="AB133" i="15"/>
  <c r="AC133" i="15"/>
  <c r="AK133" i="15"/>
  <c r="O133" i="15"/>
  <c r="L133" i="15"/>
  <c r="D133" i="15" s="1"/>
  <c r="AJ133" i="15"/>
  <c r="X133" i="15"/>
  <c r="E132" i="16"/>
  <c r="AB133" i="16"/>
  <c r="K133" i="16"/>
  <c r="X133" i="16"/>
  <c r="AJ133" i="16"/>
  <c r="O133" i="16"/>
  <c r="A134" i="16"/>
  <c r="L133" i="16"/>
  <c r="D133" i="16" s="1"/>
  <c r="E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5" l="1"/>
  <c r="K134" i="15"/>
  <c r="L134" i="15"/>
  <c r="D134" i="15" s="1"/>
  <c r="O134" i="15"/>
  <c r="A135" i="15"/>
  <c r="AC134" i="15"/>
  <c r="AB134" i="15"/>
  <c r="AJ134" i="15"/>
  <c r="X134" i="15"/>
  <c r="AK134" i="15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4" i="15" l="1"/>
  <c r="O135" i="15"/>
  <c r="AB135" i="15"/>
  <c r="AK135" i="15"/>
  <c r="K135" i="15"/>
  <c r="L135" i="15"/>
  <c r="D135" i="15" s="1"/>
  <c r="A136" i="15"/>
  <c r="X135" i="15"/>
  <c r="AC135" i="15"/>
  <c r="AJ135" i="15"/>
  <c r="X135" i="16"/>
  <c r="L135" i="16"/>
  <c r="D135" i="16" s="1"/>
  <c r="AK135" i="16"/>
  <c r="AC135" i="16"/>
  <c r="AB135" i="16"/>
  <c r="K135" i="16"/>
  <c r="A136" i="16"/>
  <c r="AJ135" i="16"/>
  <c r="O135" i="16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6" i="15" l="1"/>
  <c r="D136" i="15" s="1"/>
  <c r="AB136" i="15"/>
  <c r="AC136" i="15"/>
  <c r="A137" i="15"/>
  <c r="O136" i="15"/>
  <c r="X136" i="15"/>
  <c r="AK136" i="15"/>
  <c r="K136" i="15"/>
  <c r="AJ136" i="15"/>
  <c r="E135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K137" i="15" l="1"/>
  <c r="A138" i="15"/>
  <c r="O137" i="15"/>
  <c r="AB137" i="15"/>
  <c r="AC137" i="15"/>
  <c r="L137" i="15"/>
  <c r="D137" i="15" s="1"/>
  <c r="AJ137" i="15"/>
  <c r="X137" i="15"/>
  <c r="AK137" i="15"/>
  <c r="E136" i="15"/>
  <c r="AB137" i="16"/>
  <c r="K137" i="16"/>
  <c r="AJ137" i="16"/>
  <c r="AC137" i="16"/>
  <c r="X137" i="16"/>
  <c r="L137" i="16"/>
  <c r="D137" i="16" s="1"/>
  <c r="A138" i="16"/>
  <c r="AK137" i="16"/>
  <c r="O137" i="16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E137" i="15"/>
  <c r="AB138" i="15"/>
  <c r="AK138" i="15"/>
  <c r="X138" i="15"/>
  <c r="A139" i="15"/>
  <c r="O138" i="15"/>
  <c r="K138" i="15"/>
  <c r="AC138" i="15"/>
  <c r="L138" i="15"/>
  <c r="D138" i="15" s="1"/>
  <c r="AJ138" i="15"/>
  <c r="I137" i="1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5" l="1"/>
  <c r="A140" i="15"/>
  <c r="O139" i="15"/>
  <c r="K139" i="15"/>
  <c r="AJ139" i="15"/>
  <c r="AB139" i="15"/>
  <c r="AK139" i="15"/>
  <c r="X139" i="15"/>
  <c r="L139" i="15"/>
  <c r="D139" i="15" s="1"/>
  <c r="AC139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E139" i="15"/>
  <c r="K140" i="15"/>
  <c r="O140" i="15"/>
  <c r="A141" i="15"/>
  <c r="AJ140" i="15"/>
  <c r="L140" i="15"/>
  <c r="D140" i="15" s="1"/>
  <c r="AK140" i="15"/>
  <c r="AB140" i="15"/>
  <c r="X140" i="15"/>
  <c r="AC140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E140" i="16" l="1"/>
  <c r="P142" i="1"/>
  <c r="E140" i="15"/>
  <c r="L141" i="15"/>
  <c r="D141" i="15" s="1"/>
  <c r="AC141" i="15"/>
  <c r="K141" i="15"/>
  <c r="AK141" i="15"/>
  <c r="X141" i="15"/>
  <c r="AJ141" i="15"/>
  <c r="AB141" i="15"/>
  <c r="A142" i="15"/>
  <c r="O141" i="15"/>
  <c r="I141" i="1"/>
  <c r="A142" i="16"/>
  <c r="X141" i="16"/>
  <c r="AB141" i="16"/>
  <c r="AK141" i="16"/>
  <c r="O141" i="16"/>
  <c r="K141" i="16"/>
  <c r="L141" i="16"/>
  <c r="D141" i="16" s="1"/>
  <c r="E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V142" i="1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AB142" i="15" l="1"/>
  <c r="AK142" i="15"/>
  <c r="X142" i="15"/>
  <c r="AC142" i="15"/>
  <c r="AJ142" i="15"/>
  <c r="L142" i="15"/>
  <c r="D142" i="15" s="1"/>
  <c r="O142" i="15"/>
  <c r="A143" i="15"/>
  <c r="K142" i="15"/>
  <c r="E141" i="15"/>
  <c r="K142" i="16"/>
  <c r="A143" i="16"/>
  <c r="X142" i="16"/>
  <c r="AK142" i="16"/>
  <c r="O142" i="16"/>
  <c r="AB142" i="16"/>
  <c r="L142" i="16"/>
  <c r="D142" i="16" s="1"/>
  <c r="E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L143" i="15" l="1"/>
  <c r="D143" i="15" s="1"/>
  <c r="K143" i="15"/>
  <c r="AC143" i="15"/>
  <c r="A144" i="15"/>
  <c r="O143" i="15"/>
  <c r="AB143" i="15"/>
  <c r="AK143" i="15"/>
  <c r="X143" i="15"/>
  <c r="AJ143" i="15"/>
  <c r="E142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K144" i="15" l="1"/>
  <c r="AJ144" i="15"/>
  <c r="X144" i="15"/>
  <c r="AK144" i="15"/>
  <c r="AB144" i="15"/>
  <c r="A145" i="15"/>
  <c r="AC144" i="15"/>
  <c r="L144" i="15"/>
  <c r="D144" i="15" s="1"/>
  <c r="O144" i="15"/>
  <c r="E143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4" i="15" l="1"/>
  <c r="X145" i="15"/>
  <c r="L145" i="15"/>
  <c r="D145" i="15" s="1"/>
  <c r="AC145" i="15"/>
  <c r="A146" i="15"/>
  <c r="O145" i="15"/>
  <c r="K145" i="15"/>
  <c r="AK145" i="15"/>
  <c r="AB145" i="15"/>
  <c r="AJ145" i="15"/>
  <c r="A146" i="16"/>
  <c r="L145" i="16"/>
  <c r="D145" i="16" s="1"/>
  <c r="X145" i="16"/>
  <c r="AK145" i="16"/>
  <c r="O145" i="16"/>
  <c r="K145" i="16"/>
  <c r="AB145" i="16"/>
  <c r="AJ145" i="16"/>
  <c r="AC145" i="16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A147" i="15" l="1"/>
  <c r="X146" i="15"/>
  <c r="AC146" i="15"/>
  <c r="K146" i="15"/>
  <c r="O146" i="15"/>
  <c r="AB146" i="15"/>
  <c r="AJ146" i="15"/>
  <c r="L146" i="15"/>
  <c r="D146" i="15" s="1"/>
  <c r="AK146" i="15"/>
  <c r="E145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5" l="1"/>
  <c r="K147" i="15"/>
  <c r="X147" i="15"/>
  <c r="AC147" i="15"/>
  <c r="L147" i="15"/>
  <c r="D147" i="15" s="1"/>
  <c r="O147" i="15"/>
  <c r="A148" i="15"/>
  <c r="AK147" i="15"/>
  <c r="AB147" i="15"/>
  <c r="AJ147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5" l="1"/>
  <c r="E147" i="16"/>
  <c r="A149" i="15"/>
  <c r="L148" i="15"/>
  <c r="D148" i="15" s="1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D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8" i="16" l="1"/>
  <c r="E148" i="15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1" i="16" l="1"/>
  <c r="X152" i="15"/>
  <c r="AJ152" i="15"/>
  <c r="AB152" i="15"/>
  <c r="AK152" i="15"/>
  <c r="A153" i="15"/>
  <c r="L152" i="15"/>
  <c r="D152" i="15" s="1"/>
  <c r="O152" i="15"/>
  <c r="K152" i="15"/>
  <c r="AC152" i="15"/>
  <c r="E151" i="15"/>
  <c r="AB152" i="16"/>
  <c r="X152" i="16"/>
  <c r="A153" i="16"/>
  <c r="AK152" i="16"/>
  <c r="O152" i="16"/>
  <c r="K152" i="16"/>
  <c r="L152" i="16"/>
  <c r="D152" i="16" s="1"/>
  <c r="E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5" l="1"/>
  <c r="L153" i="15"/>
  <c r="D153" i="15" s="1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5" l="1"/>
  <c r="E153" i="16"/>
  <c r="X154" i="15"/>
  <c r="A155" i="15"/>
  <c r="AC154" i="15"/>
  <c r="AB154" i="15"/>
  <c r="O154" i="15"/>
  <c r="L154" i="15"/>
  <c r="D154" i="15" s="1"/>
  <c r="AK154" i="15"/>
  <c r="K154" i="15"/>
  <c r="AJ154" i="15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E154" i="15" l="1"/>
  <c r="X155" i="15"/>
  <c r="AJ155" i="15"/>
  <c r="L155" i="15"/>
  <c r="D155" i="15" s="1"/>
  <c r="O155" i="15"/>
  <c r="K155" i="15"/>
  <c r="A156" i="15"/>
  <c r="AB155" i="15"/>
  <c r="AK155" i="15"/>
  <c r="AC155" i="15"/>
  <c r="I155" i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AA155" i="1"/>
  <c r="Z155" i="1" s="1"/>
  <c r="Y155" i="1" s="1"/>
  <c r="E155" i="16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E156" i="15" l="1"/>
  <c r="L157" i="15"/>
  <c r="D157" i="15" s="1"/>
  <c r="AK157" i="15"/>
  <c r="AB157" i="15"/>
  <c r="AJ157" i="15"/>
  <c r="K157" i="15"/>
  <c r="X157" i="15"/>
  <c r="AC157" i="15"/>
  <c r="A158" i="15"/>
  <c r="O157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57" i="15" l="1"/>
  <c r="AB158" i="15"/>
  <c r="AK158" i="15"/>
  <c r="A159" i="15"/>
  <c r="AJ158" i="15"/>
  <c r="X158" i="15"/>
  <c r="K158" i="15"/>
  <c r="AC158" i="15"/>
  <c r="L158" i="15"/>
  <c r="D158" i="15" s="1"/>
  <c r="O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E158" i="15" l="1"/>
  <c r="AB159" i="15"/>
  <c r="AK159" i="15"/>
  <c r="K159" i="15"/>
  <c r="X159" i="15"/>
  <c r="AC159" i="15"/>
  <c r="A160" i="15"/>
  <c r="O159" i="15"/>
  <c r="L159" i="15"/>
  <c r="D159" i="15" s="1"/>
  <c r="AJ159" i="15"/>
  <c r="I159" i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59" i="15"/>
  <c r="X160" i="15"/>
  <c r="O160" i="15"/>
  <c r="A161" i="15"/>
  <c r="AK160" i="15"/>
  <c r="AB160" i="15"/>
  <c r="AJ160" i="15"/>
  <c r="K160" i="15"/>
  <c r="L160" i="15"/>
  <c r="D160" i="15" s="1"/>
  <c r="E160" i="15" s="1"/>
  <c r="AC160" i="15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X161" i="15" l="1"/>
  <c r="AK161" i="15"/>
  <c r="A162" i="15"/>
  <c r="AB161" i="15"/>
  <c r="AC161" i="15"/>
  <c r="L161" i="15"/>
  <c r="D161" i="15" s="1"/>
  <c r="O161" i="15"/>
  <c r="K161" i="15"/>
  <c r="AJ161" i="15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I161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E161" i="15"/>
  <c r="X162" i="15"/>
  <c r="AJ162" i="15"/>
  <c r="A163" i="15"/>
  <c r="AK162" i="15"/>
  <c r="AB162" i="15"/>
  <c r="K162" i="15"/>
  <c r="AC162" i="15"/>
  <c r="L162" i="15"/>
  <c r="D162" i="15" s="1"/>
  <c r="O162" i="15"/>
  <c r="AA161" i="1"/>
  <c r="Z161" i="1" s="1"/>
  <c r="Y161" i="1" s="1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E161" i="17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5" l="1"/>
  <c r="E162" i="16"/>
  <c r="X163" i="15"/>
  <c r="K163" i="15"/>
  <c r="O163" i="15"/>
  <c r="A164" i="15"/>
  <c r="AC163" i="15"/>
  <c r="L163" i="15"/>
  <c r="D163" i="15" s="1"/>
  <c r="AJ163" i="15"/>
  <c r="AB163" i="15"/>
  <c r="AK163" i="15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3" i="15" l="1"/>
  <c r="AB164" i="15"/>
  <c r="AJ164" i="15"/>
  <c r="A165" i="15"/>
  <c r="AK164" i="15"/>
  <c r="X164" i="15"/>
  <c r="K164" i="15"/>
  <c r="O164" i="15"/>
  <c r="L164" i="15"/>
  <c r="D164" i="15" s="1"/>
  <c r="AC164" i="15"/>
  <c r="I164" i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AA164" i="1" l="1"/>
  <c r="Z164" i="1" s="1"/>
  <c r="Y164" i="1" s="1"/>
  <c r="E164" i="15"/>
  <c r="A166" i="15"/>
  <c r="AK165" i="15"/>
  <c r="AB165" i="15"/>
  <c r="AJ165" i="15"/>
  <c r="X165" i="15"/>
  <c r="K165" i="15"/>
  <c r="AC165" i="15"/>
  <c r="L165" i="15"/>
  <c r="D165" i="15" s="1"/>
  <c r="O165" i="15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E165" i="15" l="1"/>
  <c r="L166" i="15"/>
  <c r="D166" i="15" s="1"/>
  <c r="K166" i="15"/>
  <c r="O166" i="15"/>
  <c r="E166" i="15" s="1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L167" i="15" l="1"/>
  <c r="D167" i="15" s="1"/>
  <c r="AK167" i="15"/>
  <c r="X167" i="15"/>
  <c r="A168" i="15"/>
  <c r="AC167" i="15"/>
  <c r="AB167" i="15"/>
  <c r="O167" i="15"/>
  <c r="E167" i="15" s="1"/>
  <c r="K167" i="15"/>
  <c r="AJ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AB168" i="15"/>
  <c r="O168" i="15"/>
  <c r="L168" i="15"/>
  <c r="D168" i="15" s="1"/>
  <c r="AJ168" i="15"/>
  <c r="K168" i="15"/>
  <c r="AK168" i="15"/>
  <c r="A169" i="15"/>
  <c r="X168" i="15"/>
  <c r="AC168" i="15"/>
  <c r="L168" i="16"/>
  <c r="D168" i="16" s="1"/>
  <c r="X168" i="16"/>
  <c r="K168" i="16"/>
  <c r="AK168" i="16"/>
  <c r="O168" i="16"/>
  <c r="AB168" i="16"/>
  <c r="A169" i="16"/>
  <c r="AJ168" i="16"/>
  <c r="AC168" i="16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68" i="15" l="1"/>
  <c r="AB169" i="15"/>
  <c r="L169" i="15"/>
  <c r="D169" i="15" s="1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5" l="1"/>
  <c r="K170" i="15"/>
  <c r="AB170" i="15"/>
  <c r="AC170" i="15"/>
  <c r="L170" i="15"/>
  <c r="D170" i="15" s="1"/>
  <c r="O170" i="15"/>
  <c r="A171" i="15"/>
  <c r="AJ170" i="15"/>
  <c r="X170" i="15"/>
  <c r="AK170" i="15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E170" i="15" l="1"/>
  <c r="I169" i="1"/>
  <c r="P172" i="1"/>
  <c r="V172" i="1" s="1"/>
  <c r="K171" i="15"/>
  <c r="AB171" i="15"/>
  <c r="O171" i="15"/>
  <c r="X171" i="15"/>
  <c r="AC171" i="15"/>
  <c r="L171" i="15"/>
  <c r="D171" i="15" s="1"/>
  <c r="AJ171" i="15"/>
  <c r="A172" i="15"/>
  <c r="AK171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E171" i="15"/>
  <c r="X172" i="15"/>
  <c r="O172" i="15"/>
  <c r="L172" i="15"/>
  <c r="D172" i="15" s="1"/>
  <c r="AK172" i="15"/>
  <c r="A173" i="15"/>
  <c r="AJ172" i="15"/>
  <c r="AB172" i="15"/>
  <c r="K172" i="15"/>
  <c r="AC172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2" i="15" l="1"/>
  <c r="A174" i="15"/>
  <c r="K173" i="15"/>
  <c r="AC173" i="15"/>
  <c r="L173" i="15"/>
  <c r="D173" i="15" s="1"/>
  <c r="O173" i="15"/>
  <c r="X173" i="15"/>
  <c r="AJ173" i="15"/>
  <c r="AB173" i="15"/>
  <c r="AK173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3" i="15" l="1"/>
  <c r="A175" i="15"/>
  <c r="AJ174" i="15"/>
  <c r="AB174" i="15"/>
  <c r="K174" i="15"/>
  <c r="AC174" i="15"/>
  <c r="L174" i="15"/>
  <c r="D174" i="15" s="1"/>
  <c r="O174" i="15"/>
  <c r="X174" i="15"/>
  <c r="AK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E174" i="15"/>
  <c r="A176" i="15"/>
  <c r="AJ175" i="15"/>
  <c r="X175" i="15"/>
  <c r="AB175" i="15"/>
  <c r="L175" i="15"/>
  <c r="D175" i="15" s="1"/>
  <c r="K175" i="15"/>
  <c r="AC175" i="15"/>
  <c r="O175" i="15"/>
  <c r="AK175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5" i="15" l="1"/>
  <c r="L176" i="15"/>
  <c r="D176" i="15" s="1"/>
  <c r="O176" i="15"/>
  <c r="A177" i="15"/>
  <c r="AK176" i="15"/>
  <c r="X176" i="15"/>
  <c r="AJ176" i="15"/>
  <c r="K176" i="15"/>
  <c r="AB176" i="15"/>
  <c r="AC176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6" i="15" l="1"/>
  <c r="A178" i="15"/>
  <c r="O177" i="15"/>
  <c r="L177" i="15"/>
  <c r="D177" i="15" s="1"/>
  <c r="AJ177" i="15"/>
  <c r="X177" i="15"/>
  <c r="AK177" i="15"/>
  <c r="K177" i="15"/>
  <c r="AB177" i="15"/>
  <c r="AC177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E177" i="16"/>
  <c r="AA178" i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A180" i="15" l="1"/>
  <c r="AJ179" i="15"/>
  <c r="K179" i="15"/>
  <c r="X179" i="15"/>
  <c r="AC179" i="15"/>
  <c r="L179" i="15"/>
  <c r="D179" i="15" s="1"/>
  <c r="O179" i="15"/>
  <c r="AB179" i="15"/>
  <c r="AK179" i="15"/>
  <c r="E178" i="15"/>
  <c r="I178" i="1"/>
  <c r="X179" i="16"/>
  <c r="K179" i="16"/>
  <c r="AJ179" i="16"/>
  <c r="AC179" i="16"/>
  <c r="A180" i="16"/>
  <c r="L179" i="16"/>
  <c r="D179" i="16" s="1"/>
  <c r="AB179" i="16"/>
  <c r="AK179" i="16"/>
  <c r="O179" i="16"/>
  <c r="E178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79" i="16" l="1"/>
  <c r="E179" i="15"/>
  <c r="AB180" i="15"/>
  <c r="AJ180" i="15"/>
  <c r="X180" i="15"/>
  <c r="A37" i="7"/>
  <c r="AC180" i="15"/>
  <c r="A181" i="15"/>
  <c r="L180" i="15"/>
  <c r="O180" i="15"/>
  <c r="C37" i="7" s="1"/>
  <c r="K180" i="15"/>
  <c r="AK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O181" i="15" l="1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5" l="1"/>
  <c r="E181" i="16"/>
  <c r="K182" i="15"/>
  <c r="X182" i="15"/>
  <c r="O182" i="15"/>
  <c r="AB182" i="15"/>
  <c r="AC182" i="15"/>
  <c r="L182" i="15"/>
  <c r="D182" i="15" s="1"/>
  <c r="AK182" i="15"/>
  <c r="A183" i="15"/>
  <c r="AJ182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E182" i="15"/>
  <c r="A184" i="15"/>
  <c r="X183" i="15"/>
  <c r="AC183" i="15"/>
  <c r="AB183" i="15"/>
  <c r="O183" i="15"/>
  <c r="L183" i="15"/>
  <c r="D183" i="15" s="1"/>
  <c r="AJ183" i="15"/>
  <c r="K183" i="15"/>
  <c r="AK183" i="15"/>
  <c r="E182" i="16"/>
  <c r="L183" i="16"/>
  <c r="D183" i="16" s="1"/>
  <c r="AB183" i="16"/>
  <c r="X183" i="16"/>
  <c r="AK183" i="16"/>
  <c r="O183" i="16"/>
  <c r="A184" i="16"/>
  <c r="K183" i="16"/>
  <c r="AJ183" i="16"/>
  <c r="AC183" i="16"/>
  <c r="AA183" i="1"/>
  <c r="Z183" i="1" s="1"/>
  <c r="Y183" i="1" s="1"/>
  <c r="I183" i="1"/>
  <c r="K181" i="20"/>
  <c r="AB181" i="20"/>
  <c r="L181" i="20"/>
  <c r="X181" i="20"/>
  <c r="A182" i="20"/>
  <c r="AJ181" i="20"/>
  <c r="AK181" i="20"/>
  <c r="O181" i="20"/>
  <c r="AC181" i="20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I184" i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B185" i="15"/>
  <c r="AK185" i="15"/>
  <c r="A186" i="15"/>
  <c r="X185" i="15"/>
  <c r="O185" i="15"/>
  <c r="L185" i="15"/>
  <c r="D185" i="15" s="1"/>
  <c r="AC185" i="15"/>
  <c r="K185" i="15"/>
  <c r="AJ185" i="15"/>
  <c r="E184" i="15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5" i="15" l="1"/>
  <c r="AB186" i="15"/>
  <c r="AJ186" i="15"/>
  <c r="X186" i="15"/>
  <c r="AK186" i="15"/>
  <c r="L186" i="15"/>
  <c r="D186" i="15" s="1"/>
  <c r="K186" i="15"/>
  <c r="O186" i="15"/>
  <c r="E186" i="15" s="1"/>
  <c r="A187" i="15"/>
  <c r="AC186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A188" i="15"/>
  <c r="K187" i="15"/>
  <c r="O187" i="15"/>
  <c r="AB187" i="15"/>
  <c r="AC187" i="15"/>
  <c r="X187" i="15"/>
  <c r="AK187" i="15"/>
  <c r="L187" i="15"/>
  <c r="D187" i="15" s="1"/>
  <c r="AJ187" i="15"/>
  <c r="AA187" i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E187" i="16" l="1"/>
  <c r="E187" i="15"/>
  <c r="A189" i="15"/>
  <c r="K188" i="15"/>
  <c r="O188" i="15"/>
  <c r="AB188" i="15"/>
  <c r="AC188" i="15"/>
  <c r="L188" i="15"/>
  <c r="D188" i="15" s="1"/>
  <c r="AJ188" i="15"/>
  <c r="X188" i="15"/>
  <c r="AK188" i="15"/>
  <c r="I187" i="1"/>
  <c r="L188" i="16"/>
  <c r="D188" i="16" s="1"/>
  <c r="K188" i="16"/>
  <c r="A189" i="16"/>
  <c r="AK188" i="16"/>
  <c r="O188" i="16"/>
  <c r="X188" i="16"/>
  <c r="AB188" i="16"/>
  <c r="AJ188" i="16"/>
  <c r="AC188" i="16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88" i="15" l="1"/>
  <c r="X189" i="15"/>
  <c r="K189" i="15"/>
  <c r="AC189" i="15"/>
  <c r="A190" i="15"/>
  <c r="O189" i="15"/>
  <c r="AB189" i="15"/>
  <c r="AK189" i="15"/>
  <c r="L189" i="15"/>
  <c r="D189" i="15" s="1"/>
  <c r="AJ189" i="15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E189" i="15"/>
  <c r="X190" i="15"/>
  <c r="L190" i="15"/>
  <c r="D190" i="15" s="1"/>
  <c r="AC190" i="15"/>
  <c r="A191" i="15"/>
  <c r="O190" i="15"/>
  <c r="AB190" i="15"/>
  <c r="AK190" i="15"/>
  <c r="K190" i="15"/>
  <c r="AJ190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5" l="1"/>
  <c r="A192" i="15"/>
  <c r="O191" i="15"/>
  <c r="X191" i="15"/>
  <c r="AJ191" i="15"/>
  <c r="K191" i="15"/>
  <c r="AK191" i="15"/>
  <c r="L191" i="15"/>
  <c r="D191" i="15" s="1"/>
  <c r="AB191" i="15"/>
  <c r="AC191" i="15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X193" i="15" l="1"/>
  <c r="O193" i="15"/>
  <c r="K193" i="15"/>
  <c r="AJ193" i="15"/>
  <c r="L193" i="15"/>
  <c r="D193" i="15" s="1"/>
  <c r="AK193" i="15"/>
  <c r="AB193" i="15"/>
  <c r="A194" i="15"/>
  <c r="AC193" i="15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I193" i="1" l="1"/>
  <c r="E193" i="15"/>
  <c r="K194" i="15"/>
  <c r="O194" i="15"/>
  <c r="AB194" i="15"/>
  <c r="AJ194" i="15"/>
  <c r="L194" i="15"/>
  <c r="D194" i="15" s="1"/>
  <c r="AK194" i="15"/>
  <c r="A195" i="15"/>
  <c r="X194" i="15"/>
  <c r="AC194" i="15"/>
  <c r="P195" i="1"/>
  <c r="V195" i="1" s="1"/>
  <c r="G61" i="19" s="1"/>
  <c r="E193" i="16"/>
  <c r="AA194" i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E193" i="17"/>
  <c r="K194" i="17"/>
  <c r="L194" i="17"/>
  <c r="X194" i="17"/>
  <c r="A195" i="17"/>
  <c r="AB194" i="17"/>
  <c r="AJ194" i="17"/>
  <c r="O194" i="17"/>
  <c r="AK194" i="17"/>
  <c r="AC194" i="17"/>
  <c r="E194" i="15" l="1"/>
  <c r="A196" i="15"/>
  <c r="X195" i="15"/>
  <c r="AC195" i="15"/>
  <c r="L195" i="15"/>
  <c r="D195" i="15" s="1"/>
  <c r="O195" i="15"/>
  <c r="AB195" i="15"/>
  <c r="AJ195" i="15"/>
  <c r="K195" i="15"/>
  <c r="AK195" i="15"/>
  <c r="E194" i="16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E195" i="15" l="1"/>
  <c r="P197" i="1"/>
  <c r="V197" i="1" s="1"/>
  <c r="AB196" i="15"/>
  <c r="O196" i="15"/>
  <c r="X196" i="15"/>
  <c r="AK196" i="15"/>
  <c r="L196" i="15"/>
  <c r="D196" i="15" s="1"/>
  <c r="AJ196" i="15"/>
  <c r="K196" i="15"/>
  <c r="A197" i="15"/>
  <c r="AC196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X197" i="15" l="1"/>
  <c r="O197" i="15"/>
  <c r="AB197" i="15"/>
  <c r="AJ197" i="15"/>
  <c r="A198" i="15"/>
  <c r="AK197" i="15"/>
  <c r="K197" i="15"/>
  <c r="L197" i="15"/>
  <c r="D197" i="15" s="1"/>
  <c r="E197" i="15" s="1"/>
  <c r="AC197" i="15"/>
  <c r="E196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AB198" i="15" l="1"/>
  <c r="K198" i="15"/>
  <c r="AC198" i="15"/>
  <c r="L198" i="15"/>
  <c r="D198" i="15" s="1"/>
  <c r="O198" i="15"/>
  <c r="X198" i="15"/>
  <c r="AK198" i="15"/>
  <c r="A199" i="15"/>
  <c r="AJ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8" i="15" l="1"/>
  <c r="L199" i="15"/>
  <c r="D199" i="15" s="1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AB200" i="15" l="1"/>
  <c r="O200" i="15"/>
  <c r="L200" i="15"/>
  <c r="D200" i="15" s="1"/>
  <c r="AJ200" i="15"/>
  <c r="X200" i="15"/>
  <c r="AK200" i="15"/>
  <c r="A201" i="15"/>
  <c r="K200" i="15"/>
  <c r="AC200" i="15"/>
  <c r="E199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E200" i="15" l="1"/>
  <c r="X201" i="15"/>
  <c r="AJ201" i="15"/>
  <c r="K201" i="15"/>
  <c r="AK201" i="15"/>
  <c r="A202" i="15"/>
  <c r="AB201" i="15"/>
  <c r="O201" i="15"/>
  <c r="L201" i="15"/>
  <c r="D201" i="15" s="1"/>
  <c r="AC201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1" i="15" l="1"/>
  <c r="AB202" i="15"/>
  <c r="K202" i="15"/>
  <c r="O202" i="15"/>
  <c r="X202" i="15"/>
  <c r="AC202" i="15"/>
  <c r="A203" i="15"/>
  <c r="AK202" i="15"/>
  <c r="L202" i="15"/>
  <c r="D202" i="15" s="1"/>
  <c r="AJ202" i="15"/>
  <c r="K202" i="16"/>
  <c r="L202" i="16"/>
  <c r="D202" i="16" s="1"/>
  <c r="AB202" i="16"/>
  <c r="AJ202" i="16"/>
  <c r="O202" i="16"/>
  <c r="X202" i="16"/>
  <c r="A203" i="16"/>
  <c r="AK202" i="16"/>
  <c r="AC202" i="16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5" l="1"/>
  <c r="A204" i="15"/>
  <c r="AK203" i="15"/>
  <c r="AB203" i="15"/>
  <c r="K203" i="15"/>
  <c r="AC203" i="15"/>
  <c r="X203" i="15"/>
  <c r="O203" i="15"/>
  <c r="L203" i="15"/>
  <c r="D203" i="15" s="1"/>
  <c r="AJ203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3" i="15" l="1"/>
  <c r="A205" i="15"/>
  <c r="O204" i="15"/>
  <c r="X204" i="15"/>
  <c r="AJ204" i="15"/>
  <c r="AB204" i="15"/>
  <c r="AK204" i="15"/>
  <c r="L204" i="15"/>
  <c r="D204" i="15" s="1"/>
  <c r="K204" i="15"/>
  <c r="AC204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4" i="15" l="1"/>
  <c r="A206" i="15"/>
  <c r="AC205" i="15"/>
  <c r="K205" i="15"/>
  <c r="AK205" i="15"/>
  <c r="AB205" i="15"/>
  <c r="AJ205" i="15"/>
  <c r="L205" i="15"/>
  <c r="D205" i="15" s="1"/>
  <c r="X205" i="15"/>
  <c r="O205" i="15"/>
  <c r="E205" i="15" s="1"/>
  <c r="I205" i="1"/>
  <c r="E204" i="16"/>
  <c r="K205" i="16"/>
  <c r="L205" i="16"/>
  <c r="D205" i="16" s="1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AA205" i="1" l="1"/>
  <c r="Z205" i="1" s="1"/>
  <c r="Y205" i="1" s="1"/>
  <c r="X206" i="15"/>
  <c r="AB206" i="15"/>
  <c r="AC206" i="15"/>
  <c r="A207" i="15"/>
  <c r="O206" i="15"/>
  <c r="L206" i="15"/>
  <c r="D206" i="15" s="1"/>
  <c r="AK206" i="15"/>
  <c r="K206" i="15"/>
  <c r="AJ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6" i="15" l="1"/>
  <c r="AB207" i="15"/>
  <c r="K207" i="15"/>
  <c r="O207" i="15"/>
  <c r="X207" i="15"/>
  <c r="AC207" i="15"/>
  <c r="A208" i="15"/>
  <c r="AJ207" i="15"/>
  <c r="L207" i="15"/>
  <c r="D207" i="15" s="1"/>
  <c r="AK207" i="15"/>
  <c r="I207" i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E207" i="15"/>
  <c r="L208" i="15"/>
  <c r="D208" i="15" s="1"/>
  <c r="K208" i="15"/>
  <c r="A209" i="15"/>
  <c r="O208" i="15"/>
  <c r="AK208" i="15"/>
  <c r="AC208" i="15"/>
  <c r="AB208" i="15"/>
  <c r="AJ208" i="15"/>
  <c r="X208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08" i="15" l="1"/>
  <c r="X209" i="15"/>
  <c r="AK209" i="15"/>
  <c r="K209" i="15"/>
  <c r="AJ209" i="15"/>
  <c r="AB209" i="15"/>
  <c r="L209" i="15"/>
  <c r="D209" i="15" s="1"/>
  <c r="AC209" i="15"/>
  <c r="A210" i="15"/>
  <c r="O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L211" i="15" l="1"/>
  <c r="D211" i="15" s="1"/>
  <c r="K211" i="15"/>
  <c r="AC211" i="15"/>
  <c r="X211" i="15"/>
  <c r="O211" i="15"/>
  <c r="A212" i="15"/>
  <c r="AJ211" i="15"/>
  <c r="AB211" i="15"/>
  <c r="AK211" i="15"/>
  <c r="B38" i="7"/>
  <c r="D210" i="15"/>
  <c r="E210" i="15" s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2" i="15"/>
  <c r="AB212" i="15"/>
  <c r="AC212" i="15"/>
  <c r="K212" i="15"/>
  <c r="O212" i="15"/>
  <c r="A213" i="15"/>
  <c r="AK212" i="15"/>
  <c r="L212" i="15"/>
  <c r="D212" i="15" s="1"/>
  <c r="AJ212" i="15"/>
  <c r="E211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2" i="15" l="1"/>
  <c r="AB213" i="15"/>
  <c r="O213" i="15"/>
  <c r="L213" i="15"/>
  <c r="D213" i="15" s="1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3" i="15" l="1"/>
  <c r="AB214" i="15"/>
  <c r="AJ214" i="15"/>
  <c r="X214" i="15"/>
  <c r="A215" i="15"/>
  <c r="AC214" i="15"/>
  <c r="L214" i="15"/>
  <c r="D214" i="15" s="1"/>
  <c r="O214" i="15"/>
  <c r="K214" i="15"/>
  <c r="AK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5" l="1"/>
  <c r="X215" i="15"/>
  <c r="L215" i="15"/>
  <c r="D215" i="15" s="1"/>
  <c r="AB215" i="15"/>
  <c r="AK215" i="15"/>
  <c r="AC215" i="15"/>
  <c r="A216" i="15"/>
  <c r="AJ215" i="15"/>
  <c r="K215" i="15"/>
  <c r="O215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6" i="15" l="1"/>
  <c r="X217" i="15"/>
  <c r="K217" i="15"/>
  <c r="O217" i="15"/>
  <c r="AB217" i="15"/>
  <c r="AK217" i="15"/>
  <c r="A218" i="15"/>
  <c r="AJ217" i="15"/>
  <c r="AC217" i="15"/>
  <c r="L217" i="15"/>
  <c r="D217" i="15" s="1"/>
  <c r="E217" i="15" s="1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5" l="1"/>
  <c r="O218" i="15"/>
  <c r="X218" i="15"/>
  <c r="AJ218" i="15"/>
  <c r="K218" i="15"/>
  <c r="AK218" i="15"/>
  <c r="L218" i="15"/>
  <c r="D218" i="15" s="1"/>
  <c r="AB218" i="15"/>
  <c r="AC218" i="15"/>
  <c r="A219" i="16"/>
  <c r="L218" i="16"/>
  <c r="D218" i="16" s="1"/>
  <c r="AJ218" i="16"/>
  <c r="AC218" i="16"/>
  <c r="K218" i="16"/>
  <c r="AB218" i="16"/>
  <c r="X218" i="16"/>
  <c r="AK218" i="16"/>
  <c r="O218" i="16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5" l="1"/>
  <c r="L219" i="15"/>
  <c r="D219" i="15" s="1"/>
  <c r="AK219" i="15"/>
  <c r="A220" i="15"/>
  <c r="AB219" i="15"/>
  <c r="AC219" i="15"/>
  <c r="K219" i="15"/>
  <c r="O219" i="15"/>
  <c r="E219" i="15" s="1"/>
  <c r="X219" i="15"/>
  <c r="AJ219" i="15"/>
  <c r="E218" i="16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AB220" i="15" l="1"/>
  <c r="AK220" i="15"/>
  <c r="X220" i="15"/>
  <c r="K220" i="15"/>
  <c r="AC220" i="15"/>
  <c r="A221" i="15"/>
  <c r="O220" i="15"/>
  <c r="L220" i="15"/>
  <c r="D220" i="15" s="1"/>
  <c r="AJ220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0" i="15" l="1"/>
  <c r="AB221" i="15"/>
  <c r="O221" i="15"/>
  <c r="L221" i="15"/>
  <c r="D221" i="15" s="1"/>
  <c r="AK221" i="15"/>
  <c r="K221" i="15"/>
  <c r="AJ221" i="15"/>
  <c r="A222" i="15"/>
  <c r="X221" i="15"/>
  <c r="AC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I221" i="1" l="1"/>
  <c r="E221" i="15"/>
  <c r="L222" i="15"/>
  <c r="D222" i="15" s="1"/>
  <c r="AK222" i="15"/>
  <c r="K222" i="15"/>
  <c r="O222" i="15"/>
  <c r="AC222" i="15"/>
  <c r="AB222" i="15"/>
  <c r="A223" i="15"/>
  <c r="AJ222" i="15"/>
  <c r="X222" i="15"/>
  <c r="AA221" i="1"/>
  <c r="Z221" i="1" s="1"/>
  <c r="Y221" i="1" s="1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E223" i="1"/>
  <c r="A217" i="25"/>
  <c r="K216" i="25"/>
  <c r="L216" i="25"/>
  <c r="AB216" i="25"/>
  <c r="X216" i="25"/>
  <c r="AJ216" i="25"/>
  <c r="O216" i="25"/>
  <c r="AK216" i="25"/>
  <c r="AC216" i="25"/>
  <c r="AB223" i="15" l="1"/>
  <c r="L223" i="15"/>
  <c r="D223" i="15" s="1"/>
  <c r="AC223" i="15"/>
  <c r="X223" i="15"/>
  <c r="O223" i="15"/>
  <c r="A224" i="15"/>
  <c r="AJ223" i="15"/>
  <c r="K223" i="15"/>
  <c r="AK223" i="15"/>
  <c r="E222" i="15"/>
  <c r="G222" i="1"/>
  <c r="BW222" i="6" s="1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X224" i="15" l="1"/>
  <c r="AJ224" i="15"/>
  <c r="L224" i="15"/>
  <c r="D224" i="15" s="1"/>
  <c r="AK224" i="15"/>
  <c r="K224" i="15"/>
  <c r="AB224" i="15"/>
  <c r="AC224" i="15"/>
  <c r="A225" i="15"/>
  <c r="O224" i="15"/>
  <c r="E223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AB229" i="15" l="1"/>
  <c r="AJ229" i="15"/>
  <c r="L229" i="15"/>
  <c r="D229" i="15" s="1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X230" i="15" l="1"/>
  <c r="AK230" i="15"/>
  <c r="AB230" i="15"/>
  <c r="AJ230" i="15"/>
  <c r="K230" i="15"/>
  <c r="A231" i="15"/>
  <c r="AC230" i="15"/>
  <c r="L230" i="15"/>
  <c r="D230" i="15" s="1"/>
  <c r="O230" i="15"/>
  <c r="E229" i="15"/>
  <c r="G228" i="1"/>
  <c r="BW228" i="6" s="1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E230" i="15" l="1"/>
  <c r="E230" i="16"/>
  <c r="AB231" i="15"/>
  <c r="AC231" i="15"/>
  <c r="K231" i="15"/>
  <c r="L231" i="15"/>
  <c r="D231" i="15" s="1"/>
  <c r="A232" i="15"/>
  <c r="AK231" i="15"/>
  <c r="X231" i="15"/>
  <c r="O231" i="15"/>
  <c r="AJ231" i="15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1" i="15" l="1"/>
  <c r="K232" i="15"/>
  <c r="O232" i="15"/>
  <c r="L232" i="15"/>
  <c r="D232" i="15" s="1"/>
  <c r="AK232" i="15"/>
  <c r="X232" i="15"/>
  <c r="AJ232" i="15"/>
  <c r="AB232" i="15"/>
  <c r="A233" i="15"/>
  <c r="AC232" i="15"/>
  <c r="F232" i="1"/>
  <c r="G232" i="1" s="1"/>
  <c r="BW232" i="6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I232" i="1" l="1"/>
  <c r="AA232" i="1"/>
  <c r="Z232" i="1" s="1"/>
  <c r="Y232" i="1" s="1"/>
  <c r="E232" i="15"/>
  <c r="A234" i="15"/>
  <c r="X233" i="15"/>
  <c r="AC233" i="15"/>
  <c r="L233" i="15"/>
  <c r="D233" i="15" s="1"/>
  <c r="O233" i="15"/>
  <c r="K233" i="15"/>
  <c r="AJ233" i="15"/>
  <c r="AB233" i="15"/>
  <c r="AK233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3" i="15" l="1"/>
  <c r="AB234" i="15"/>
  <c r="AC234" i="15"/>
  <c r="X234" i="15"/>
  <c r="AJ234" i="15"/>
  <c r="K234" i="15"/>
  <c r="AK234" i="15"/>
  <c r="A235" i="15"/>
  <c r="L234" i="15"/>
  <c r="D234" i="15" s="1"/>
  <c r="O234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I234" i="1" l="1"/>
  <c r="E234" i="16"/>
  <c r="E234" i="15"/>
  <c r="X235" i="15"/>
  <c r="AK235" i="15"/>
  <c r="A236" i="15"/>
  <c r="AB235" i="15"/>
  <c r="AC235" i="15"/>
  <c r="L235" i="15"/>
  <c r="D235" i="15" s="1"/>
  <c r="O235" i="15"/>
  <c r="K235" i="15"/>
  <c r="AJ235" i="15"/>
  <c r="AA234" i="1"/>
  <c r="Z234" i="1" s="1"/>
  <c r="Y234" i="1" s="1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AA236" i="1" s="1"/>
  <c r="Z236" i="1" s="1"/>
  <c r="Y236" i="1" s="1"/>
  <c r="E235" i="15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5" i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I236" i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G236" i="1" l="1"/>
  <c r="BW236" i="6" s="1"/>
  <c r="A238" i="15"/>
  <c r="K237" i="15"/>
  <c r="O237" i="15"/>
  <c r="AB237" i="15"/>
  <c r="AC237" i="15"/>
  <c r="X237" i="15"/>
  <c r="AJ237" i="15"/>
  <c r="L237" i="15"/>
  <c r="D237" i="15" s="1"/>
  <c r="AK237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37" i="15" l="1"/>
  <c r="AB238" i="15"/>
  <c r="A239" i="15"/>
  <c r="AC238" i="15"/>
  <c r="L238" i="15"/>
  <c r="D238" i="15" s="1"/>
  <c r="O238" i="15"/>
  <c r="K238" i="15"/>
  <c r="AJ238" i="15"/>
  <c r="X238" i="15"/>
  <c r="AK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E238" i="16" s="1"/>
  <c r="AB238" i="16"/>
  <c r="AC238" i="16"/>
  <c r="E237" i="16"/>
  <c r="S239" i="1"/>
  <c r="R239" i="1" s="1"/>
  <c r="P239" i="1" s="1"/>
  <c r="V239" i="1" s="1"/>
  <c r="D239" i="1"/>
  <c r="E239" i="1" s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I238" i="1" l="1"/>
  <c r="G238" i="1"/>
  <c r="BW238" i="6" s="1"/>
  <c r="E238" i="15"/>
  <c r="AB239" i="15"/>
  <c r="A240" i="15"/>
  <c r="AC239" i="15"/>
  <c r="X239" i="15"/>
  <c r="O239" i="15"/>
  <c r="K239" i="15"/>
  <c r="AK239" i="15"/>
  <c r="L239" i="15"/>
  <c r="D239" i="15" s="1"/>
  <c r="AJ239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G239" i="1"/>
  <c r="BW239" i="6" s="1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E240" i="1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E239" i="15"/>
  <c r="AB240" i="15"/>
  <c r="X240" i="15"/>
  <c r="AC240" i="15"/>
  <c r="A241" i="15"/>
  <c r="O240" i="15"/>
  <c r="K240" i="15"/>
  <c r="AK240" i="15"/>
  <c r="L240" i="15"/>
  <c r="D240" i="15" s="1"/>
  <c r="AJ240" i="15"/>
  <c r="I239" i="1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0" i="15" l="1"/>
  <c r="A39" i="7"/>
  <c r="A242" i="15"/>
  <c r="O241" i="15"/>
  <c r="C39" i="7" s="1"/>
  <c r="AB241" i="15"/>
  <c r="AJ241" i="15"/>
  <c r="L241" i="15"/>
  <c r="AK241" i="15"/>
  <c r="K241" i="15"/>
  <c r="X241" i="15"/>
  <c r="AC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D241" i="15" l="1"/>
  <c r="E241" i="15" s="1"/>
  <c r="B39" i="7"/>
  <c r="AB242" i="15"/>
  <c r="AK242" i="15"/>
  <c r="L242" i="15"/>
  <c r="D242" i="15" s="1"/>
  <c r="K242" i="15"/>
  <c r="AC242" i="15"/>
  <c r="A243" i="15"/>
  <c r="O242" i="15"/>
  <c r="X242" i="15"/>
  <c r="AJ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F243" i="1" l="1"/>
  <c r="G243" i="1" s="1"/>
  <c r="BW243" i="6" s="1"/>
  <c r="AB243" i="15"/>
  <c r="K243" i="15"/>
  <c r="AC243" i="15"/>
  <c r="A244" i="15"/>
  <c r="O243" i="15"/>
  <c r="L243" i="15"/>
  <c r="D243" i="15" s="1"/>
  <c r="AJ243" i="15"/>
  <c r="X243" i="15"/>
  <c r="AK243" i="15"/>
  <c r="E242" i="15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I243" i="1"/>
  <c r="E243" i="15"/>
  <c r="A245" i="15"/>
  <c r="O244" i="15"/>
  <c r="X244" i="15"/>
  <c r="AJ244" i="15"/>
  <c r="K244" i="15"/>
  <c r="AK244" i="15"/>
  <c r="L244" i="15"/>
  <c r="D244" i="15" s="1"/>
  <c r="AB244" i="15"/>
  <c r="AC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4" i="15" l="1"/>
  <c r="L245" i="15"/>
  <c r="D245" i="15" s="1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D245" i="16" s="1"/>
  <c r="E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L246" i="15" l="1"/>
  <c r="D246" i="15" s="1"/>
  <c r="AJ246" i="15"/>
  <c r="AB246" i="15"/>
  <c r="X246" i="15"/>
  <c r="O246" i="15"/>
  <c r="E246" i="15" s="1"/>
  <c r="A247" i="15"/>
  <c r="AC246" i="15"/>
  <c r="K246" i="15"/>
  <c r="AK246" i="15"/>
  <c r="E245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K247" i="15"/>
  <c r="AK247" i="15"/>
  <c r="X247" i="15"/>
  <c r="AC247" i="15"/>
  <c r="AJ247" i="15"/>
  <c r="A248" i="15"/>
  <c r="O247" i="15"/>
  <c r="AB247" i="15"/>
  <c r="L247" i="15"/>
  <c r="D247" i="15" s="1"/>
  <c r="E247" i="15" s="1"/>
  <c r="E246" i="16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D248" i="1"/>
  <c r="E248" i="1" s="1"/>
  <c r="E247" i="16" l="1"/>
  <c r="K248" i="15"/>
  <c r="AJ248" i="15"/>
  <c r="X248" i="15"/>
  <c r="AK248" i="15"/>
  <c r="AB248" i="15"/>
  <c r="A249" i="15"/>
  <c r="O248" i="15"/>
  <c r="L248" i="15"/>
  <c r="D248" i="15" s="1"/>
  <c r="AC248" i="15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E248" i="15" l="1"/>
  <c r="A250" i="15"/>
  <c r="AK249" i="15"/>
  <c r="AB249" i="15"/>
  <c r="X249" i="15"/>
  <c r="AC249" i="15"/>
  <c r="K249" i="15"/>
  <c r="O249" i="15"/>
  <c r="L249" i="15"/>
  <c r="D249" i="15" s="1"/>
  <c r="AJ249" i="15"/>
  <c r="I248" i="1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F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AA249" i="1" l="1"/>
  <c r="Z249" i="1" s="1"/>
  <c r="Y249" i="1" s="1"/>
  <c r="E249" i="15"/>
  <c r="AB250" i="15"/>
  <c r="AJ250" i="15"/>
  <c r="L250" i="15"/>
  <c r="D250" i="15" s="1"/>
  <c r="AK250" i="15"/>
  <c r="X250" i="15"/>
  <c r="K250" i="15"/>
  <c r="AC250" i="15"/>
  <c r="A251" i="15"/>
  <c r="O250" i="15"/>
  <c r="G249" i="1"/>
  <c r="BW249" i="6" s="1"/>
  <c r="A251" i="16"/>
  <c r="AB250" i="16"/>
  <c r="K250" i="16"/>
  <c r="AJ250" i="16"/>
  <c r="O250" i="16"/>
  <c r="L250" i="16"/>
  <c r="D250" i="16" s="1"/>
  <c r="X250" i="16"/>
  <c r="AK250" i="16"/>
  <c r="AC250" i="16"/>
  <c r="E249" i="16"/>
  <c r="I250" i="1"/>
  <c r="G250" i="1"/>
  <c r="BW250" i="6" s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E250" i="15"/>
  <c r="X251" i="15"/>
  <c r="AB251" i="15"/>
  <c r="AC251" i="15"/>
  <c r="K251" i="15"/>
  <c r="O251" i="15"/>
  <c r="A252" i="15"/>
  <c r="AK251" i="15"/>
  <c r="L251" i="15"/>
  <c r="D251" i="15" s="1"/>
  <c r="AJ251" i="15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G251" i="1"/>
  <c r="BW251" i="6" s="1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5" l="1"/>
  <c r="E251" i="16"/>
  <c r="L252" i="15"/>
  <c r="D252" i="15" s="1"/>
  <c r="AC252" i="15"/>
  <c r="K252" i="15"/>
  <c r="AJ252" i="15"/>
  <c r="A253" i="15"/>
  <c r="AK252" i="15"/>
  <c r="AB252" i="15"/>
  <c r="X252" i="15"/>
  <c r="O252" i="15"/>
  <c r="I251" i="1"/>
  <c r="A253" i="16"/>
  <c r="AB252" i="16"/>
  <c r="K252" i="16"/>
  <c r="AK252" i="16"/>
  <c r="O252" i="16"/>
  <c r="X252" i="16"/>
  <c r="L252" i="16"/>
  <c r="D252" i="16" s="1"/>
  <c r="E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F253" i="1" l="1"/>
  <c r="I253" i="1" s="1"/>
  <c r="AB253" i="15"/>
  <c r="AK253" i="15"/>
  <c r="A254" i="15"/>
  <c r="AJ253" i="15"/>
  <c r="X253" i="15"/>
  <c r="K253" i="15"/>
  <c r="AC253" i="15"/>
  <c r="L253" i="15"/>
  <c r="D253" i="15" s="1"/>
  <c r="O253" i="15"/>
  <c r="E252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G253" i="1" l="1"/>
  <c r="BW253" i="6" s="1"/>
  <c r="AA253" i="1"/>
  <c r="Z253" i="1" s="1"/>
  <c r="Y253" i="1" s="1"/>
  <c r="E253" i="15"/>
  <c r="AB254" i="15"/>
  <c r="AK254" i="15"/>
  <c r="X254" i="15"/>
  <c r="K254" i="15"/>
  <c r="AC254" i="15"/>
  <c r="L254" i="15"/>
  <c r="D254" i="15" s="1"/>
  <c r="O254" i="15"/>
  <c r="A255" i="15"/>
  <c r="AJ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5" i="15"/>
  <c r="AJ255" i="15"/>
  <c r="K255" i="15"/>
  <c r="L255" i="15"/>
  <c r="D255" i="15" s="1"/>
  <c r="AC255" i="15"/>
  <c r="AB255" i="15"/>
  <c r="O255" i="15"/>
  <c r="A256" i="15"/>
  <c r="AK255" i="15"/>
  <c r="E254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X256" i="15" l="1"/>
  <c r="K256" i="15"/>
  <c r="AC256" i="15"/>
  <c r="A257" i="15"/>
  <c r="O256" i="15"/>
  <c r="AB256" i="15"/>
  <c r="AJ256" i="15"/>
  <c r="L256" i="15"/>
  <c r="D256" i="15" s="1"/>
  <c r="AK256" i="15"/>
  <c r="E255" i="15"/>
  <c r="F256" i="1"/>
  <c r="AA256" i="1" s="1"/>
  <c r="Z256" i="1" s="1"/>
  <c r="Y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I256" i="1" l="1"/>
  <c r="F257" i="1"/>
  <c r="AA257" i="1" s="1"/>
  <c r="Z257" i="1" s="1"/>
  <c r="Y257" i="1" s="1"/>
  <c r="E256" i="15"/>
  <c r="G256" i="1"/>
  <c r="BW256" i="6" s="1"/>
  <c r="A258" i="15"/>
  <c r="K257" i="15"/>
  <c r="O257" i="15"/>
  <c r="X257" i="15"/>
  <c r="AC257" i="15"/>
  <c r="AB257" i="15"/>
  <c r="AJ257" i="15"/>
  <c r="L257" i="15"/>
  <c r="D257" i="15" s="1"/>
  <c r="AK257" i="15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E257" i="15"/>
  <c r="A259" i="15"/>
  <c r="AC258" i="15"/>
  <c r="AB258" i="15"/>
  <c r="AJ258" i="15"/>
  <c r="L258" i="15"/>
  <c r="D258" i="15" s="1"/>
  <c r="AK258" i="15"/>
  <c r="X258" i="15"/>
  <c r="K258" i="15"/>
  <c r="O258" i="15"/>
  <c r="E258" i="15" s="1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F259" i="1" l="1"/>
  <c r="AA259" i="1" s="1"/>
  <c r="Z259" i="1" s="1"/>
  <c r="Y259" i="1" s="1"/>
  <c r="AB259" i="15"/>
  <c r="AJ259" i="15"/>
  <c r="X259" i="15"/>
  <c r="A260" i="15"/>
  <c r="AC259" i="15"/>
  <c r="K259" i="15"/>
  <c r="O259" i="15"/>
  <c r="L259" i="15"/>
  <c r="D259" i="15" s="1"/>
  <c r="AK259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I259" i="1" l="1"/>
  <c r="E259" i="15"/>
  <c r="L260" i="15"/>
  <c r="D260" i="15" s="1"/>
  <c r="X260" i="15"/>
  <c r="AC260" i="15"/>
  <c r="K260" i="15"/>
  <c r="O260" i="15"/>
  <c r="AB260" i="15"/>
  <c r="AK260" i="15"/>
  <c r="A261" i="15"/>
  <c r="AJ260" i="15"/>
  <c r="E259" i="16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L262" i="15" l="1"/>
  <c r="D262" i="15" s="1"/>
  <c r="O262" i="15"/>
  <c r="AB262" i="15"/>
  <c r="AK262" i="15"/>
  <c r="K262" i="15"/>
  <c r="AJ262" i="15"/>
  <c r="A263" i="15"/>
  <c r="X262" i="15"/>
  <c r="AC262" i="15"/>
  <c r="E261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E262" i="15" l="1"/>
  <c r="I262" i="1"/>
  <c r="E262" i="16"/>
  <c r="K263" i="15"/>
  <c r="O263" i="15"/>
  <c r="L263" i="15"/>
  <c r="D263" i="15" s="1"/>
  <c r="AK263" i="15"/>
  <c r="AB263" i="15"/>
  <c r="AJ263" i="15"/>
  <c r="A264" i="15"/>
  <c r="X263" i="15"/>
  <c r="AC263" i="15"/>
  <c r="G262" i="1"/>
  <c r="BW262" i="6" s="1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X264" i="15"/>
  <c r="AK264" i="15"/>
  <c r="L264" i="15"/>
  <c r="D264" i="15" s="1"/>
  <c r="AB264" i="15"/>
  <c r="AC264" i="15"/>
  <c r="K264" i="15"/>
  <c r="O264" i="15"/>
  <c r="A265" i="15"/>
  <c r="AJ264" i="15"/>
  <c r="E263" i="15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A267" i="15"/>
  <c r="K266" i="15"/>
  <c r="AC266" i="15"/>
  <c r="AB266" i="15"/>
  <c r="O266" i="15"/>
  <c r="L266" i="15"/>
  <c r="D266" i="15" s="1"/>
  <c r="AJ266" i="15"/>
  <c r="X266" i="15"/>
  <c r="AK266" i="15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5" l="1"/>
  <c r="A268" i="15"/>
  <c r="AB267" i="15"/>
  <c r="AC267" i="15"/>
  <c r="K267" i="15"/>
  <c r="O267" i="15"/>
  <c r="X267" i="15"/>
  <c r="AK267" i="15"/>
  <c r="L267" i="15"/>
  <c r="D267" i="15" s="1"/>
  <c r="AJ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E267" i="15"/>
  <c r="P269" i="1"/>
  <c r="V269" i="1" s="1"/>
  <c r="A269" i="15"/>
  <c r="AJ268" i="15"/>
  <c r="X268" i="15"/>
  <c r="AB268" i="15"/>
  <c r="O268" i="15"/>
  <c r="K268" i="15"/>
  <c r="AC268" i="15"/>
  <c r="L268" i="15"/>
  <c r="D268" i="15" s="1"/>
  <c r="AK268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5" l="1"/>
  <c r="X269" i="15"/>
  <c r="AJ269" i="15"/>
  <c r="AB269" i="15"/>
  <c r="A270" i="15"/>
  <c r="AC269" i="15"/>
  <c r="K269" i="15"/>
  <c r="O269" i="15"/>
  <c r="L269" i="15"/>
  <c r="D269" i="15" s="1"/>
  <c r="AK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5" l="1"/>
  <c r="A271" i="15"/>
  <c r="AK270" i="15"/>
  <c r="L270" i="15"/>
  <c r="D270" i="15" s="1"/>
  <c r="AJ270" i="15"/>
  <c r="AB270" i="15"/>
  <c r="K270" i="15"/>
  <c r="AC270" i="15"/>
  <c r="X270" i="15"/>
  <c r="O270" i="15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E270" i="15" l="1"/>
  <c r="X271" i="15"/>
  <c r="AK271" i="15"/>
  <c r="L271" i="15"/>
  <c r="D271" i="15" s="1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5"/>
  <c r="X272" i="15"/>
  <c r="AK272" i="15"/>
  <c r="O272" i="15"/>
  <c r="C40" i="7" s="1"/>
  <c r="A40" i="7"/>
  <c r="AJ272" i="15"/>
  <c r="AB272" i="15"/>
  <c r="A273" i="15"/>
  <c r="AC272" i="15"/>
  <c r="L272" i="15"/>
  <c r="K272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D272" i="15" l="1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X274" i="15" l="1"/>
  <c r="AJ274" i="15"/>
  <c r="K274" i="15"/>
  <c r="A275" i="15"/>
  <c r="AC274" i="15"/>
  <c r="L274" i="15"/>
  <c r="D274" i="15" s="1"/>
  <c r="O274" i="15"/>
  <c r="AB274" i="15"/>
  <c r="AK274" i="15"/>
  <c r="E273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E275" i="15" l="1"/>
  <c r="A277" i="15"/>
  <c r="AC276" i="15"/>
  <c r="AB276" i="15"/>
  <c r="AK276" i="15"/>
  <c r="X276" i="15"/>
  <c r="AJ276" i="15"/>
  <c r="L276" i="15"/>
  <c r="D276" i="15" s="1"/>
  <c r="K276" i="15"/>
  <c r="O276" i="15"/>
  <c r="F276" i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AA276" i="1" l="1"/>
  <c r="Z276" i="1" s="1"/>
  <c r="Y276" i="1" s="1"/>
  <c r="E276" i="15"/>
  <c r="L277" i="15"/>
  <c r="D277" i="15" s="1"/>
  <c r="O277" i="15"/>
  <c r="X277" i="15"/>
  <c r="AK277" i="15"/>
  <c r="AB277" i="15"/>
  <c r="AJ277" i="15"/>
  <c r="K277" i="15"/>
  <c r="A278" i="15"/>
  <c r="AC277" i="15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7" i="15" l="1"/>
  <c r="AB278" i="15"/>
  <c r="AK278" i="15"/>
  <c r="L278" i="15"/>
  <c r="D278" i="15" s="1"/>
  <c r="AJ278" i="15"/>
  <c r="X278" i="15"/>
  <c r="A279" i="15"/>
  <c r="AC278" i="15"/>
  <c r="K278" i="15"/>
  <c r="O278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A280" i="15" l="1"/>
  <c r="AK279" i="15"/>
  <c r="K279" i="15"/>
  <c r="AJ279" i="15"/>
  <c r="X279" i="15"/>
  <c r="AB279" i="15"/>
  <c r="O279" i="15"/>
  <c r="L279" i="15"/>
  <c r="D279" i="15" s="1"/>
  <c r="AC279" i="15"/>
  <c r="E278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E279" i="15"/>
  <c r="X280" i="15"/>
  <c r="A281" i="15"/>
  <c r="O280" i="15"/>
  <c r="K280" i="15"/>
  <c r="AC280" i="15"/>
  <c r="L280" i="15"/>
  <c r="D280" i="15" s="1"/>
  <c r="AK280" i="15"/>
  <c r="AB280" i="15"/>
  <c r="AJ280" i="15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K281" i="15" l="1"/>
  <c r="AJ281" i="15"/>
  <c r="A282" i="15"/>
  <c r="AK281" i="15"/>
  <c r="AB281" i="15"/>
  <c r="X281" i="15"/>
  <c r="AC281" i="15"/>
  <c r="L281" i="15"/>
  <c r="D281" i="15" s="1"/>
  <c r="O281" i="15"/>
  <c r="E280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1" i="15" l="1"/>
  <c r="I281" i="1"/>
  <c r="X282" i="15"/>
  <c r="AB282" i="15"/>
  <c r="AJ282" i="15"/>
  <c r="A283" i="15"/>
  <c r="L282" i="15"/>
  <c r="D282" i="15" s="1"/>
  <c r="AK282" i="15"/>
  <c r="K282" i="15"/>
  <c r="O282" i="15"/>
  <c r="AC282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E282" i="15" l="1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F283" i="1"/>
  <c r="AA283" i="1" s="1"/>
  <c r="Z283" i="1" s="1"/>
  <c r="Y283" i="1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G283" i="1"/>
  <c r="BW283" i="6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K284" i="15"/>
  <c r="O284" i="15"/>
  <c r="X284" i="15"/>
  <c r="AK284" i="15"/>
  <c r="AB284" i="15"/>
  <c r="AJ284" i="15"/>
  <c r="L284" i="15"/>
  <c r="D284" i="15" s="1"/>
  <c r="A285" i="15"/>
  <c r="AC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4" i="15"/>
  <c r="K285" i="15"/>
  <c r="O285" i="15"/>
  <c r="L285" i="15"/>
  <c r="D285" i="15" s="1"/>
  <c r="AK285" i="15"/>
  <c r="A286" i="15"/>
  <c r="AJ285" i="15"/>
  <c r="X285" i="15"/>
  <c r="AB285" i="15"/>
  <c r="AC285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5" i="15" l="1"/>
  <c r="K286" i="15"/>
  <c r="AJ286" i="15"/>
  <c r="X286" i="15"/>
  <c r="A287" i="15"/>
  <c r="AC286" i="15"/>
  <c r="AB286" i="15"/>
  <c r="O286" i="15"/>
  <c r="L286" i="15"/>
  <c r="D286" i="15" s="1"/>
  <c r="AK286" i="15"/>
  <c r="I285" i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5" l="1"/>
  <c r="X287" i="15"/>
  <c r="AK287" i="15"/>
  <c r="K287" i="15"/>
  <c r="AJ287" i="15"/>
  <c r="AB287" i="15"/>
  <c r="L287" i="15"/>
  <c r="D287" i="15" s="1"/>
  <c r="O287" i="15"/>
  <c r="A288" i="15"/>
  <c r="AC287" i="15"/>
  <c r="E286" i="16"/>
  <c r="F287" i="1"/>
  <c r="I287" i="1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87" i="15" l="1"/>
  <c r="G287" i="1"/>
  <c r="BW287" i="6" s="1"/>
  <c r="AA287" i="1"/>
  <c r="Z287" i="1" s="1"/>
  <c r="Y287" i="1" s="1"/>
  <c r="X288" i="15"/>
  <c r="O288" i="15"/>
  <c r="AB288" i="15"/>
  <c r="AK288" i="15"/>
  <c r="K288" i="15"/>
  <c r="AJ288" i="15"/>
  <c r="A289" i="15"/>
  <c r="L288" i="15"/>
  <c r="D288" i="15" s="1"/>
  <c r="AC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88" i="15" l="1"/>
  <c r="L289" i="15"/>
  <c r="D289" i="15" s="1"/>
  <c r="AK289" i="15"/>
  <c r="A290" i="15"/>
  <c r="AJ289" i="15"/>
  <c r="AB289" i="15"/>
  <c r="X289" i="15"/>
  <c r="O289" i="15"/>
  <c r="K289" i="15"/>
  <c r="AC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K290" i="15" l="1"/>
  <c r="O290" i="15"/>
  <c r="A291" i="15"/>
  <c r="AJ290" i="15"/>
  <c r="L290" i="15"/>
  <c r="D290" i="15" s="1"/>
  <c r="AK290" i="15"/>
  <c r="X290" i="15"/>
  <c r="AB290" i="15"/>
  <c r="AC290" i="15"/>
  <c r="E289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0" i="15" l="1"/>
  <c r="A292" i="15"/>
  <c r="O291" i="15"/>
  <c r="K291" i="15"/>
  <c r="AK291" i="15"/>
  <c r="AB291" i="15"/>
  <c r="AJ291" i="15"/>
  <c r="L291" i="15"/>
  <c r="D291" i="15" s="1"/>
  <c r="X291" i="15"/>
  <c r="AC291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E291" i="15" l="1"/>
  <c r="A293" i="15"/>
  <c r="AJ292" i="15"/>
  <c r="K292" i="15"/>
  <c r="AK292" i="15"/>
  <c r="X292" i="15"/>
  <c r="L292" i="15"/>
  <c r="D292" i="15" s="1"/>
  <c r="AC292" i="15"/>
  <c r="AB292" i="15"/>
  <c r="O292" i="15"/>
  <c r="I291" i="1"/>
  <c r="G291" i="1"/>
  <c r="BW291" i="6" s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L293" i="15" l="1"/>
  <c r="D293" i="15" s="1"/>
  <c r="AJ293" i="15"/>
  <c r="A294" i="15"/>
  <c r="X293" i="15"/>
  <c r="AC293" i="15"/>
  <c r="K293" i="15"/>
  <c r="O293" i="15"/>
  <c r="E293" i="15" s="1"/>
  <c r="AB293" i="15"/>
  <c r="AK293" i="15"/>
  <c r="E292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X294" i="15"/>
  <c r="AJ294" i="15"/>
  <c r="AB294" i="15"/>
  <c r="K294" i="15"/>
  <c r="O294" i="15"/>
  <c r="A295" i="15"/>
  <c r="AC294" i="15"/>
  <c r="L294" i="15"/>
  <c r="D294" i="15" s="1"/>
  <c r="AK294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4" i="15" l="1"/>
  <c r="AA294" i="1"/>
  <c r="Z294" i="1" s="1"/>
  <c r="Y294" i="1" s="1"/>
  <c r="X295" i="15"/>
  <c r="O295" i="15"/>
  <c r="A296" i="15"/>
  <c r="AK295" i="15"/>
  <c r="K295" i="15"/>
  <c r="AJ295" i="15"/>
  <c r="AB295" i="15"/>
  <c r="L295" i="15"/>
  <c r="D295" i="15" s="1"/>
  <c r="AC295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5" i="15" l="1"/>
  <c r="A297" i="15"/>
  <c r="AK296" i="15"/>
  <c r="AC296" i="15"/>
  <c r="L296" i="15"/>
  <c r="D296" i="15" s="1"/>
  <c r="K296" i="15"/>
  <c r="AB296" i="15"/>
  <c r="O296" i="15"/>
  <c r="X296" i="15"/>
  <c r="AJ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AA297" i="1"/>
  <c r="Z297" i="1" s="1"/>
  <c r="Y297" i="1" s="1"/>
  <c r="E297" i="15"/>
  <c r="L298" i="15"/>
  <c r="D298" i="15" s="1"/>
  <c r="AJ298" i="15"/>
  <c r="AB298" i="15"/>
  <c r="AK298" i="15"/>
  <c r="A299" i="15"/>
  <c r="X298" i="15"/>
  <c r="AC298" i="15"/>
  <c r="K298" i="15"/>
  <c r="O298" i="15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300" i="15"/>
  <c r="X299" i="15"/>
  <c r="AC299" i="15"/>
  <c r="L299" i="15"/>
  <c r="D299" i="15" s="1"/>
  <c r="O299" i="15"/>
  <c r="AB299" i="15"/>
  <c r="AK299" i="15"/>
  <c r="K299" i="15"/>
  <c r="AJ299" i="15"/>
  <c r="E298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s="1"/>
  <c r="E299" i="15" l="1"/>
  <c r="K300" i="15"/>
  <c r="AK300" i="15"/>
  <c r="L300" i="15"/>
  <c r="D300" i="15" s="1"/>
  <c r="AJ300" i="15"/>
  <c r="A301" i="15"/>
  <c r="X300" i="15"/>
  <c r="AC300" i="15"/>
  <c r="AB300" i="15"/>
  <c r="O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V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I300" i="1"/>
  <c r="AB301" i="15"/>
  <c r="AK301" i="15"/>
  <c r="X301" i="15"/>
  <c r="K301" i="15"/>
  <c r="AC301" i="15"/>
  <c r="A302" i="15"/>
  <c r="O301" i="15"/>
  <c r="L301" i="15"/>
  <c r="D301" i="15" s="1"/>
  <c r="AJ301" i="15"/>
  <c r="E300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F302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AB303" i="15" l="1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X303" i="16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I304" i="1" s="1"/>
  <c r="E303" i="15"/>
  <c r="AB304" i="15"/>
  <c r="O304" i="15"/>
  <c r="L304" i="15"/>
  <c r="D304" i="15" s="1"/>
  <c r="AJ304" i="15"/>
  <c r="K304" i="15"/>
  <c r="AK304" i="15"/>
  <c r="X304" i="15"/>
  <c r="A305" i="15"/>
  <c r="AC304" i="15"/>
  <c r="F303" i="1"/>
  <c r="I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G304" i="1" l="1"/>
  <c r="BW304" i="6" s="1"/>
  <c r="AA304" i="1"/>
  <c r="Z304" i="1" s="1"/>
  <c r="Y304" i="1" s="1"/>
  <c r="G303" i="1"/>
  <c r="BW303" i="6" s="1"/>
  <c r="AA303" i="1"/>
  <c r="Z303" i="1" s="1"/>
  <c r="Y303" i="1" s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I305" i="1"/>
  <c r="L306" i="15"/>
  <c r="D306" i="15" s="1"/>
  <c r="X306" i="15"/>
  <c r="O306" i="15"/>
  <c r="E306" i="15" s="1"/>
  <c r="AB306" i="15"/>
  <c r="AC306" i="15"/>
  <c r="A307" i="15"/>
  <c r="AK306" i="15"/>
  <c r="K306" i="15"/>
  <c r="AJ306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L307" i="15" l="1"/>
  <c r="D307" i="15" s="1"/>
  <c r="AJ307" i="15"/>
  <c r="AB307" i="15"/>
  <c r="A308" i="15"/>
  <c r="AC307" i="15"/>
  <c r="X307" i="15"/>
  <c r="O307" i="15"/>
  <c r="E307" i="15" s="1"/>
  <c r="K307" i="15"/>
  <c r="AK307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K308" i="15" l="1"/>
  <c r="AJ308" i="15"/>
  <c r="L308" i="15"/>
  <c r="D308" i="15" s="1"/>
  <c r="AK308" i="15"/>
  <c r="A309" i="15"/>
  <c r="AB308" i="15"/>
  <c r="O308" i="15"/>
  <c r="X308" i="15"/>
  <c r="AC308" i="15"/>
  <c r="E307" i="16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L309" i="15" l="1"/>
  <c r="D309" i="15" s="1"/>
  <c r="AJ309" i="15"/>
  <c r="A310" i="15"/>
  <c r="AB309" i="15"/>
  <c r="AC309" i="15"/>
  <c r="X309" i="15"/>
  <c r="O309" i="15"/>
  <c r="K309" i="15"/>
  <c r="AK309" i="15"/>
  <c r="E308" i="15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F310" i="1" l="1"/>
  <c r="I310" i="1" s="1"/>
  <c r="E309" i="16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E309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AA310" i="1" l="1"/>
  <c r="Z310" i="1" s="1"/>
  <c r="Y310" i="1" s="1"/>
  <c r="G310" i="1"/>
  <c r="BW310" i="6" s="1"/>
  <c r="E310" i="16"/>
  <c r="K311" i="15"/>
  <c r="AK311" i="15"/>
  <c r="L311" i="15"/>
  <c r="D311" i="15" s="1"/>
  <c r="AJ311" i="15"/>
  <c r="A312" i="15"/>
  <c r="AB311" i="15"/>
  <c r="AC311" i="15"/>
  <c r="X311" i="15"/>
  <c r="O311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I313" i="1" s="1"/>
  <c r="L313" i="15"/>
  <c r="D313" i="15" s="1"/>
  <c r="AJ313" i="15"/>
  <c r="A314" i="15"/>
  <c r="AK313" i="15"/>
  <c r="K313" i="15"/>
  <c r="AB313" i="15"/>
  <c r="AC313" i="15"/>
  <c r="X313" i="15"/>
  <c r="O313" i="15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3" i="15" l="1"/>
  <c r="AA313" i="1"/>
  <c r="Z313" i="1" s="1"/>
  <c r="Y313" i="1" s="1"/>
  <c r="G313" i="1"/>
  <c r="BW313" i="6" s="1"/>
  <c r="K314" i="15"/>
  <c r="X314" i="15"/>
  <c r="AC314" i="15"/>
  <c r="A315" i="15"/>
  <c r="O314" i="15"/>
  <c r="AB314" i="15"/>
  <c r="AK314" i="15"/>
  <c r="L314" i="15"/>
  <c r="D314" i="15" s="1"/>
  <c r="AJ314" i="15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E314" i="15" l="1"/>
  <c r="K315" i="15"/>
  <c r="AK315" i="15"/>
  <c r="L315" i="15"/>
  <c r="D315" i="15" s="1"/>
  <c r="AB315" i="15"/>
  <c r="AC315" i="15"/>
  <c r="A316" i="15"/>
  <c r="O315" i="15"/>
  <c r="X315" i="15"/>
  <c r="AJ315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L316" i="15" l="1"/>
  <c r="D316" i="15" s="1"/>
  <c r="X316" i="15"/>
  <c r="AC316" i="15"/>
  <c r="AB316" i="15"/>
  <c r="O316" i="15"/>
  <c r="A317" i="15"/>
  <c r="AK316" i="15"/>
  <c r="K316" i="15"/>
  <c r="AJ316" i="15"/>
  <c r="E315" i="15"/>
  <c r="AA315" i="1"/>
  <c r="Z315" i="1" s="1"/>
  <c r="Y315" i="1" s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K317" i="15"/>
  <c r="O317" i="15"/>
  <c r="X317" i="15"/>
  <c r="AK317" i="15"/>
  <c r="L317" i="15"/>
  <c r="D317" i="15" s="1"/>
  <c r="AJ317" i="15"/>
  <c r="A318" i="15"/>
  <c r="AB317" i="15"/>
  <c r="AC317" i="15"/>
  <c r="E316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AB318" i="15" l="1"/>
  <c r="O318" i="15"/>
  <c r="L318" i="15"/>
  <c r="D318" i="15" s="1"/>
  <c r="AJ318" i="15"/>
  <c r="X318" i="15"/>
  <c r="AK318" i="15"/>
  <c r="K318" i="15"/>
  <c r="A319" i="15"/>
  <c r="AC318" i="15"/>
  <c r="E317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8" i="15" l="1"/>
  <c r="K319" i="15"/>
  <c r="O319" i="15"/>
  <c r="X319" i="15"/>
  <c r="AK319" i="15"/>
  <c r="A320" i="15"/>
  <c r="AJ319" i="15"/>
  <c r="L319" i="15"/>
  <c r="D319" i="15" s="1"/>
  <c r="AB319" i="15"/>
  <c r="AC319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E319" i="15" l="1"/>
  <c r="X320" i="15"/>
  <c r="AK320" i="15"/>
  <c r="A321" i="15"/>
  <c r="AJ320" i="15"/>
  <c r="L320" i="15"/>
  <c r="D320" i="15" s="1"/>
  <c r="K320" i="15"/>
  <c r="O320" i="15"/>
  <c r="E320" i="15" s="1"/>
  <c r="AB320" i="15"/>
  <c r="AC320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A322" i="15" l="1"/>
  <c r="AJ321" i="15"/>
  <c r="X321" i="15"/>
  <c r="AB321" i="15"/>
  <c r="O321" i="15"/>
  <c r="L321" i="15"/>
  <c r="D321" i="15" s="1"/>
  <c r="AC321" i="15"/>
  <c r="K321" i="15"/>
  <c r="AK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E321" i="15"/>
  <c r="AB322" i="15"/>
  <c r="AJ322" i="15"/>
  <c r="K322" i="15"/>
  <c r="A323" i="15"/>
  <c r="AC322" i="15"/>
  <c r="X322" i="15"/>
  <c r="O322" i="15"/>
  <c r="L322" i="15"/>
  <c r="D322" i="15" s="1"/>
  <c r="AK322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E322" i="15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AB324" i="15" l="1"/>
  <c r="AK324" i="15"/>
  <c r="X324" i="15"/>
  <c r="AJ324" i="15"/>
  <c r="A325" i="15"/>
  <c r="L324" i="15"/>
  <c r="D324" i="15" s="1"/>
  <c r="O324" i="15"/>
  <c r="K324" i="15"/>
  <c r="AC324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E324" i="15" l="1"/>
  <c r="K325" i="15"/>
  <c r="AK325" i="15"/>
  <c r="L325" i="15"/>
  <c r="D325" i="15" s="1"/>
  <c r="A326" i="15"/>
  <c r="AC325" i="15"/>
  <c r="AB325" i="15"/>
  <c r="O325" i="15"/>
  <c r="X325" i="15"/>
  <c r="AJ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F326" i="1"/>
  <c r="I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E326" i="16" l="1"/>
  <c r="AA326" i="1"/>
  <c r="Z326" i="1" s="1"/>
  <c r="Y326" i="1" s="1"/>
  <c r="G326" i="1"/>
  <c r="BW326" i="6" s="1"/>
  <c r="E326" i="15"/>
  <c r="A328" i="15"/>
  <c r="AJ327" i="15"/>
  <c r="X327" i="15"/>
  <c r="AB327" i="15"/>
  <c r="AC327" i="15"/>
  <c r="K327" i="15"/>
  <c r="O327" i="15"/>
  <c r="L327" i="15"/>
  <c r="D327" i="15" s="1"/>
  <c r="AK327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P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K328" i="15" l="1"/>
  <c r="AK328" i="15"/>
  <c r="AB328" i="15"/>
  <c r="X328" i="15"/>
  <c r="AC328" i="15"/>
  <c r="L328" i="15"/>
  <c r="D328" i="15" s="1"/>
  <c r="O328" i="15"/>
  <c r="A329" i="15"/>
  <c r="AJ328" i="15"/>
  <c r="E327" i="15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E328" i="15" l="1"/>
  <c r="G328" i="1"/>
  <c r="BW328" i="6" s="1"/>
  <c r="I328" i="1"/>
  <c r="L329" i="15"/>
  <c r="D329" i="15" s="1"/>
  <c r="AJ329" i="15"/>
  <c r="AB329" i="15"/>
  <c r="X329" i="15"/>
  <c r="O329" i="15"/>
  <c r="E329" i="15" s="1"/>
  <c r="K329" i="15"/>
  <c r="AC329" i="15"/>
  <c r="A330" i="15"/>
  <c r="AK329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K330" i="15" l="1"/>
  <c r="AJ330" i="15"/>
  <c r="A331" i="15"/>
  <c r="AB330" i="15"/>
  <c r="AC330" i="15"/>
  <c r="L330" i="15"/>
  <c r="D330" i="15" s="1"/>
  <c r="O330" i="15"/>
  <c r="X330" i="15"/>
  <c r="AK330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0" i="15" l="1"/>
  <c r="F331" i="1"/>
  <c r="AA331" i="1" s="1"/>
  <c r="Z331" i="1" s="1"/>
  <c r="Y331" i="1" s="1"/>
  <c r="A332" i="15"/>
  <c r="O331" i="15"/>
  <c r="L331" i="15"/>
  <c r="D331" i="15" s="1"/>
  <c r="AK331" i="15"/>
  <c r="AB331" i="15"/>
  <c r="AJ331" i="15"/>
  <c r="X331" i="15"/>
  <c r="K331" i="15"/>
  <c r="AC331" i="15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F332" i="1"/>
  <c r="AA332" i="1" s="1"/>
  <c r="Z332" i="1" s="1"/>
  <c r="Y332" i="1" s="1"/>
  <c r="E331" i="15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I332" i="1" l="1"/>
  <c r="G332" i="1"/>
  <c r="BW332" i="6" s="1"/>
  <c r="K333" i="15"/>
  <c r="AJ333" i="15"/>
  <c r="L333" i="15"/>
  <c r="A42" i="7"/>
  <c r="AC333" i="15"/>
  <c r="AB333" i="15"/>
  <c r="A334" i="15"/>
  <c r="O333" i="15"/>
  <c r="C42" i="7" s="1"/>
  <c r="X333" i="15"/>
  <c r="AK333" i="15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B334" i="15" l="1"/>
  <c r="AK334" i="15"/>
  <c r="L334" i="15"/>
  <c r="D334" i="15" s="1"/>
  <c r="AJ334" i="15"/>
  <c r="X334" i="15"/>
  <c r="A335" i="15"/>
  <c r="AC334" i="15"/>
  <c r="K334" i="15"/>
  <c r="O334" i="15"/>
  <c r="E334" i="15" s="1"/>
  <c r="D333" i="15"/>
  <c r="E333" i="15" s="1"/>
  <c r="B42" i="7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"/>
  <c r="A336" i="15" l="1"/>
  <c r="K335" i="15"/>
  <c r="L335" i="15"/>
  <c r="D335" i="15" s="1"/>
  <c r="AK335" i="15"/>
  <c r="AC335" i="15"/>
  <c r="X335" i="15"/>
  <c r="AJ335" i="15"/>
  <c r="AB335" i="15"/>
  <c r="O335" i="15"/>
  <c r="E335" i="15" s="1"/>
  <c r="A336" i="16"/>
  <c r="AB335" i="16"/>
  <c r="X335" i="16"/>
  <c r="AJ335" i="16"/>
  <c r="O335" i="16"/>
  <c r="K335" i="16"/>
  <c r="L335" i="16"/>
  <c r="D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5" i="16" l="1"/>
  <c r="A337" i="15"/>
  <c r="AJ336" i="15"/>
  <c r="L336" i="15"/>
  <c r="D336" i="15" s="1"/>
  <c r="AB336" i="15"/>
  <c r="AC336" i="15"/>
  <c r="K336" i="15"/>
  <c r="O336" i="15"/>
  <c r="X336" i="15"/>
  <c r="AK336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5" l="1"/>
  <c r="K337" i="15"/>
  <c r="AJ337" i="15"/>
  <c r="X337" i="15"/>
  <c r="A338" i="15"/>
  <c r="AC337" i="15"/>
  <c r="AB337" i="15"/>
  <c r="O337" i="15"/>
  <c r="L337" i="15"/>
  <c r="D337" i="15" s="1"/>
  <c r="AK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7" i="15" l="1"/>
  <c r="L338" i="15"/>
  <c r="D338" i="15" s="1"/>
  <c r="AJ338" i="15"/>
  <c r="A339" i="15"/>
  <c r="AB338" i="15"/>
  <c r="AC338" i="15"/>
  <c r="X338" i="15"/>
  <c r="O338" i="15"/>
  <c r="E338" i="15" s="1"/>
  <c r="K338" i="15"/>
  <c r="AK338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L339" i="15"/>
  <c r="D339" i="15" s="1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E340" i="1"/>
  <c r="D340" i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E339" i="16" l="1"/>
  <c r="I339" i="1"/>
  <c r="L340" i="15"/>
  <c r="D340" i="15" s="1"/>
  <c r="AB340" i="15"/>
  <c r="AC340" i="15"/>
  <c r="X340" i="15"/>
  <c r="O340" i="15"/>
  <c r="K340" i="15"/>
  <c r="AK340" i="15"/>
  <c r="A341" i="15"/>
  <c r="AJ340" i="15"/>
  <c r="E339" i="15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AB341" i="15"/>
  <c r="AJ341" i="15"/>
  <c r="K341" i="15"/>
  <c r="X341" i="15"/>
  <c r="AC341" i="15"/>
  <c r="L341" i="15"/>
  <c r="D341" i="15" s="1"/>
  <c r="O341" i="15"/>
  <c r="A342" i="15"/>
  <c r="AK341" i="15"/>
  <c r="E340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F342" i="1" l="1"/>
  <c r="AA342" i="1" s="1"/>
  <c r="Z342" i="1" s="1"/>
  <c r="Y342" i="1" s="1"/>
  <c r="I341" i="1"/>
  <c r="E341" i="15"/>
  <c r="X342" i="15"/>
  <c r="AK342" i="15"/>
  <c r="A343" i="15"/>
  <c r="AB342" i="15"/>
  <c r="AC342" i="15"/>
  <c r="K342" i="15"/>
  <c r="O342" i="15"/>
  <c r="L342" i="15"/>
  <c r="D342" i="15" s="1"/>
  <c r="AJ342" i="15"/>
  <c r="K342" i="16"/>
  <c r="A343" i="16"/>
  <c r="X342" i="16"/>
  <c r="AK342" i="16"/>
  <c r="O342" i="16"/>
  <c r="L342" i="16"/>
  <c r="D342" i="16" s="1"/>
  <c r="AB342" i="16"/>
  <c r="AJ342" i="16"/>
  <c r="AC342" i="16"/>
  <c r="E341" i="16"/>
  <c r="G342" i="1"/>
  <c r="BW342" i="6" s="1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I342" i="1" l="1"/>
  <c r="E342" i="15"/>
  <c r="AB343" i="15"/>
  <c r="AJ343" i="15"/>
  <c r="X343" i="15"/>
  <c r="A344" i="15"/>
  <c r="AC343" i="15"/>
  <c r="K343" i="15"/>
  <c r="O343" i="15"/>
  <c r="L343" i="15"/>
  <c r="D343" i="15" s="1"/>
  <c r="AK343" i="15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E343" i="15"/>
  <c r="A345" i="15"/>
  <c r="AC344" i="15"/>
  <c r="L344" i="15"/>
  <c r="D344" i="15" s="1"/>
  <c r="AK344" i="15"/>
  <c r="AB344" i="15"/>
  <c r="AJ344" i="15"/>
  <c r="K344" i="15"/>
  <c r="X344" i="15"/>
  <c r="O344" i="15"/>
  <c r="I343" i="1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E344" i="15"/>
  <c r="X345" i="15"/>
  <c r="AK345" i="15"/>
  <c r="K345" i="15"/>
  <c r="AJ345" i="15"/>
  <c r="L345" i="15"/>
  <c r="D345" i="15" s="1"/>
  <c r="AB345" i="15"/>
  <c r="AC345" i="15"/>
  <c r="A346" i="15"/>
  <c r="O345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5" l="1"/>
  <c r="E345" i="16"/>
  <c r="L346" i="15"/>
  <c r="D346" i="15" s="1"/>
  <c r="K346" i="15"/>
  <c r="AC346" i="15"/>
  <c r="X346" i="15"/>
  <c r="O346" i="15"/>
  <c r="E346" i="15" s="1"/>
  <c r="A347" i="15"/>
  <c r="AK346" i="15"/>
  <c r="AB346" i="15"/>
  <c r="AJ346" i="15"/>
  <c r="K346" i="16"/>
  <c r="A347" i="16"/>
  <c r="X346" i="16"/>
  <c r="AK346" i="16"/>
  <c r="O346" i="16"/>
  <c r="L346" i="16"/>
  <c r="D346" i="16" s="1"/>
  <c r="AB346" i="16"/>
  <c r="AJ346" i="16"/>
  <c r="AC346" i="16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X347" i="15" l="1"/>
  <c r="AK347" i="15"/>
  <c r="A348" i="15"/>
  <c r="AB347" i="15"/>
  <c r="AC347" i="15"/>
  <c r="L347" i="15"/>
  <c r="D347" i="15" s="1"/>
  <c r="O347" i="15"/>
  <c r="K347" i="15"/>
  <c r="AJ347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47" i="15" l="1"/>
  <c r="I347" i="1"/>
  <c r="AB348" i="15"/>
  <c r="X348" i="15"/>
  <c r="O348" i="15"/>
  <c r="K348" i="15"/>
  <c r="AC348" i="15"/>
  <c r="L348" i="15"/>
  <c r="D348" i="15" s="1"/>
  <c r="AK348" i="15"/>
  <c r="A349" i="15"/>
  <c r="AJ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8" i="15" l="1"/>
  <c r="L349" i="15"/>
  <c r="D349" i="15" s="1"/>
  <c r="AB349" i="15"/>
  <c r="AC349" i="15"/>
  <c r="K349" i="15"/>
  <c r="O349" i="15"/>
  <c r="A350" i="15"/>
  <c r="AK349" i="15"/>
  <c r="X349" i="15"/>
  <c r="AJ349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K350" i="15" l="1"/>
  <c r="AJ350" i="15"/>
  <c r="O350" i="15"/>
  <c r="A351" i="15"/>
  <c r="AC350" i="15"/>
  <c r="X350" i="15"/>
  <c r="L350" i="15"/>
  <c r="D350" i="15" s="1"/>
  <c r="E350" i="15" s="1"/>
  <c r="AB350" i="15"/>
  <c r="AK350" i="15"/>
  <c r="E349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P352" i="1" l="1"/>
  <c r="E350" i="16"/>
  <c r="A352" i="15"/>
  <c r="L351" i="15"/>
  <c r="D351" i="15" s="1"/>
  <c r="AB351" i="15"/>
  <c r="K351" i="15"/>
  <c r="AC351" i="15"/>
  <c r="AK351" i="15"/>
  <c r="O351" i="15"/>
  <c r="X351" i="15"/>
  <c r="AJ351" i="15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E351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I353" i="1" s="1"/>
  <c r="K353" i="15"/>
  <c r="O353" i="15"/>
  <c r="A354" i="15"/>
  <c r="AK353" i="15"/>
  <c r="AB353" i="15"/>
  <c r="AJ353" i="15"/>
  <c r="L353" i="15"/>
  <c r="D353" i="15" s="1"/>
  <c r="X353" i="15"/>
  <c r="AC353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G353" i="1" l="1"/>
  <c r="BW353" i="6" s="1"/>
  <c r="AA353" i="1"/>
  <c r="Z353" i="1" s="1"/>
  <c r="Y353" i="1" s="1"/>
  <c r="E353" i="16"/>
  <c r="E353" i="15"/>
  <c r="A355" i="15"/>
  <c r="AB354" i="15"/>
  <c r="AC354" i="15"/>
  <c r="AJ354" i="15"/>
  <c r="O354" i="15"/>
  <c r="L354" i="15"/>
  <c r="D354" i="15" s="1"/>
  <c r="AK354" i="15"/>
  <c r="X354" i="15"/>
  <c r="K354" i="15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P356" i="1" l="1"/>
  <c r="V356" i="1" s="1"/>
  <c r="F355" i="1"/>
  <c r="AA355" i="1" s="1"/>
  <c r="Z355" i="1" s="1"/>
  <c r="Y355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G354" i="1"/>
  <c r="BW354" i="6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5"/>
  <c r="L356" i="15"/>
  <c r="D356" i="15" s="1"/>
  <c r="A357" i="15"/>
  <c r="X356" i="15"/>
  <c r="AK356" i="15"/>
  <c r="AC356" i="15"/>
  <c r="AB356" i="15"/>
  <c r="O356" i="15"/>
  <c r="E356" i="15" s="1"/>
  <c r="K356" i="15"/>
  <c r="AJ356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A358" i="15" l="1"/>
  <c r="AK357" i="15"/>
  <c r="K357" i="15"/>
  <c r="AJ357" i="15"/>
  <c r="O357" i="15"/>
  <c r="AB357" i="15"/>
  <c r="AC357" i="15"/>
  <c r="L357" i="15"/>
  <c r="D357" i="15" s="1"/>
  <c r="X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E357" i="15" l="1"/>
  <c r="X358" i="15"/>
  <c r="AJ358" i="15"/>
  <c r="K358" i="15"/>
  <c r="L358" i="15"/>
  <c r="D358" i="15" s="1"/>
  <c r="O358" i="15"/>
  <c r="AB358" i="15"/>
  <c r="AC358" i="15"/>
  <c r="A359" i="15"/>
  <c r="AK358" i="15"/>
  <c r="F358" i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E358" i="16" l="1"/>
  <c r="E358" i="15"/>
  <c r="AB359" i="15"/>
  <c r="AJ359" i="15"/>
  <c r="L359" i="15"/>
  <c r="D359" i="15" s="1"/>
  <c r="X359" i="15"/>
  <c r="A360" i="15"/>
  <c r="K359" i="15"/>
  <c r="AC359" i="15"/>
  <c r="AK359" i="15"/>
  <c r="O359" i="15"/>
  <c r="E359" i="15" s="1"/>
  <c r="G358" i="1"/>
  <c r="BW358" i="6" s="1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AA359" i="1"/>
  <c r="Z359" i="1" s="1"/>
  <c r="Y359" i="1" s="1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AA360" i="1" s="1"/>
  <c r="Z360" i="1" s="1"/>
  <c r="Y360" i="1" s="1"/>
  <c r="P361" i="1"/>
  <c r="V361" i="1" s="1"/>
  <c r="E359" i="16"/>
  <c r="X360" i="15"/>
  <c r="O360" i="15"/>
  <c r="AJ360" i="15"/>
  <c r="AK360" i="15"/>
  <c r="AB360" i="15"/>
  <c r="K360" i="15"/>
  <c r="A361" i="15"/>
  <c r="L360" i="15"/>
  <c r="D360" i="15" s="1"/>
  <c r="E360" i="15" s="1"/>
  <c r="AC360" i="15"/>
  <c r="G359" i="1"/>
  <c r="BW359" i="6" s="1"/>
  <c r="X360" i="16"/>
  <c r="AK360" i="16"/>
  <c r="A361" i="16"/>
  <c r="AC360" i="16"/>
  <c r="AB360" i="16"/>
  <c r="AJ360" i="16"/>
  <c r="L360" i="16"/>
  <c r="D360" i="16" s="1"/>
  <c r="K360" i="16"/>
  <c r="O360" i="16"/>
  <c r="G360" i="1"/>
  <c r="BW360" i="6" s="1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AJ361" i="15"/>
  <c r="AK361" i="15"/>
  <c r="A362" i="15"/>
  <c r="X361" i="15"/>
  <c r="AB361" i="15"/>
  <c r="K361" i="15"/>
  <c r="AC361" i="15"/>
  <c r="L361" i="15"/>
  <c r="D361" i="15" s="1"/>
  <c r="O361" i="15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A361" i="1"/>
  <c r="Z361" i="1" s="1"/>
  <c r="Y361" i="1" s="1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E361" i="15" l="1"/>
  <c r="AK362" i="15"/>
  <c r="AJ362" i="15"/>
  <c r="AB362" i="15"/>
  <c r="A363" i="15"/>
  <c r="K362" i="15"/>
  <c r="X362" i="15"/>
  <c r="AC362" i="15"/>
  <c r="L362" i="15"/>
  <c r="D362" i="15" s="1"/>
  <c r="O362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5" l="1"/>
  <c r="A364" i="15"/>
  <c r="AB363" i="15"/>
  <c r="K363" i="15"/>
  <c r="L363" i="15"/>
  <c r="AC363" i="15"/>
  <c r="A43" i="7"/>
  <c r="X363" i="15"/>
  <c r="O363" i="15"/>
  <c r="C43" i="7" s="1"/>
  <c r="AJ363" i="15"/>
  <c r="AK363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4" i="15" l="1"/>
  <c r="K364" i="15"/>
  <c r="AC364" i="15"/>
  <c r="L364" i="15"/>
  <c r="D364" i="15" s="1"/>
  <c r="O364" i="15"/>
  <c r="AK364" i="15"/>
  <c r="AJ364" i="15"/>
  <c r="A365" i="15"/>
  <c r="AB364" i="15"/>
  <c r="B43" i="7"/>
  <c r="D363" i="15"/>
  <c r="E363" i="15" s="1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5"/>
  <c r="K366" i="15"/>
  <c r="L366" i="15"/>
  <c r="D366" i="15" s="1"/>
  <c r="AC366" i="15"/>
  <c r="X366" i="15"/>
  <c r="O366" i="15"/>
  <c r="AK366" i="15"/>
  <c r="AJ366" i="15"/>
  <c r="A367" i="15"/>
  <c r="AB366" i="15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E366" i="15" l="1"/>
  <c r="L367" i="15"/>
  <c r="D367" i="15" s="1"/>
  <c r="AJ367" i="15"/>
  <c r="A368" i="15"/>
  <c r="K367" i="15"/>
  <c r="AC367" i="15"/>
  <c r="AB367" i="15"/>
  <c r="O367" i="15"/>
  <c r="E367" i="15" s="1"/>
  <c r="X367" i="15"/>
  <c r="AK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L368" i="15"/>
  <c r="D368" i="15" s="1"/>
  <c r="AB368" i="15"/>
  <c r="AC368" i="15"/>
  <c r="AJ368" i="15"/>
  <c r="O368" i="15"/>
  <c r="E368" i="15" s="1"/>
  <c r="A369" i="15"/>
  <c r="AK368" i="15"/>
  <c r="X368" i="15"/>
  <c r="K368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J369" i="15" l="1"/>
  <c r="O369" i="15"/>
  <c r="L369" i="15"/>
  <c r="D369" i="15" s="1"/>
  <c r="AK369" i="15"/>
  <c r="K369" i="15"/>
  <c r="A370" i="15"/>
  <c r="AC369" i="15"/>
  <c r="AB369" i="15"/>
  <c r="X369" i="15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G370" i="1" s="1"/>
  <c r="BW370" i="6" s="1"/>
  <c r="E369" i="15"/>
  <c r="AJ370" i="15"/>
  <c r="X370" i="15"/>
  <c r="AC370" i="15"/>
  <c r="L370" i="15"/>
  <c r="D370" i="15" s="1"/>
  <c r="AK370" i="15"/>
  <c r="A371" i="15"/>
  <c r="K370" i="15"/>
  <c r="AB370" i="15"/>
  <c r="O370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I370" i="1"/>
  <c r="K371" i="15"/>
  <c r="A372" i="15"/>
  <c r="O371" i="15"/>
  <c r="AJ371" i="15"/>
  <c r="AC371" i="15"/>
  <c r="AB371" i="15"/>
  <c r="AK371" i="15"/>
  <c r="L371" i="15"/>
  <c r="D371" i="15" s="1"/>
  <c r="X371" i="15"/>
  <c r="E370" i="15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E372" i="1" s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I372" i="1"/>
  <c r="E372" i="15"/>
  <c r="AK373" i="15"/>
  <c r="AC373" i="15"/>
  <c r="X373" i="15"/>
  <c r="AJ373" i="15"/>
  <c r="L373" i="15"/>
  <c r="D373" i="15" s="1"/>
  <c r="K373" i="15"/>
  <c r="AB373" i="15"/>
  <c r="A374" i="15"/>
  <c r="O373" i="15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V375" i="1" s="1"/>
  <c r="K374" i="15"/>
  <c r="A375" i="15"/>
  <c r="X374" i="15"/>
  <c r="AK374" i="15"/>
  <c r="AC374" i="15"/>
  <c r="AJ374" i="15"/>
  <c r="O374" i="15"/>
  <c r="L374" i="15"/>
  <c r="D374" i="15" s="1"/>
  <c r="AB374" i="15"/>
  <c r="E373" i="15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5" l="1"/>
  <c r="G375" i="1"/>
  <c r="BW375" i="6" s="1"/>
  <c r="AB376" i="15"/>
  <c r="X376" i="15"/>
  <c r="K376" i="15"/>
  <c r="L376" i="15"/>
  <c r="D376" i="15" s="1"/>
  <c r="AC376" i="15"/>
  <c r="AK376" i="15"/>
  <c r="O376" i="15"/>
  <c r="AJ376" i="15"/>
  <c r="A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6" i="15" l="1"/>
  <c r="X377" i="15"/>
  <c r="L377" i="15"/>
  <c r="D377" i="15" s="1"/>
  <c r="AC377" i="15"/>
  <c r="AB377" i="15"/>
  <c r="O377" i="15"/>
  <c r="AK377" i="15"/>
  <c r="AJ377" i="15"/>
  <c r="A378" i="15"/>
  <c r="K377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78" i="15" l="1"/>
  <c r="K378" i="15"/>
  <c r="AC378" i="15"/>
  <c r="A379" i="15"/>
  <c r="O378" i="15"/>
  <c r="AJ378" i="15"/>
  <c r="AK378" i="15"/>
  <c r="X378" i="15"/>
  <c r="L378" i="15"/>
  <c r="E377" i="15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11" i="1" s="1"/>
  <c r="AJ9" i="1"/>
  <c r="AJ6" i="1"/>
  <c r="AJ5" i="1"/>
  <c r="AL7" i="1"/>
  <c r="AL11" i="1" s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G378" i="1" l="1"/>
  <c r="BW378" i="6" s="1"/>
  <c r="L35" i="19"/>
  <c r="I378" i="1"/>
  <c r="L379" i="15"/>
  <c r="O379" i="15"/>
  <c r="X379" i="15"/>
  <c r="AC379" i="15"/>
  <c r="AC383" i="15" s="1"/>
  <c r="K379" i="15"/>
  <c r="AB379" i="15"/>
  <c r="AJ379" i="15"/>
  <c r="AJ9" i="15" s="1"/>
  <c r="AK379" i="15"/>
  <c r="D378" i="15"/>
  <c r="L383" i="15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3" i="1"/>
  <c r="O11" i="19" s="1"/>
  <c r="AJ8" i="1"/>
  <c r="D383" i="1"/>
  <c r="D9" i="1"/>
  <c r="D11" i="1" s="1"/>
  <c r="E35" i="19" s="1"/>
  <c r="D382" i="1"/>
  <c r="D381" i="1"/>
  <c r="E379" i="1"/>
  <c r="I15" i="7"/>
  <c r="Q10" i="15"/>
  <c r="Q130" i="15" s="1"/>
  <c r="I16" i="7"/>
  <c r="U30" i="15"/>
  <c r="T30" i="15" s="1"/>
  <c r="U190" i="15"/>
  <c r="T190" i="15" s="1"/>
  <c r="S190" i="15" s="1"/>
  <c r="R190" i="15" s="1"/>
  <c r="U213" i="15"/>
  <c r="T213" i="15" s="1"/>
  <c r="S213" i="15" s="1"/>
  <c r="R213" i="15" s="1"/>
  <c r="U229" i="15"/>
  <c r="T229" i="15" s="1"/>
  <c r="S229" i="15" s="1"/>
  <c r="R229" i="15" s="1"/>
  <c r="U245" i="15"/>
  <c r="T245" i="15" s="1"/>
  <c r="S245" i="15" s="1"/>
  <c r="R245" i="15" s="1"/>
  <c r="U261" i="15"/>
  <c r="T261" i="15" s="1"/>
  <c r="S261" i="15" s="1"/>
  <c r="R261" i="15" s="1"/>
  <c r="U277" i="15"/>
  <c r="T277" i="15" s="1"/>
  <c r="U293" i="15"/>
  <c r="T293" i="15" s="1"/>
  <c r="S293" i="15" s="1"/>
  <c r="R293" i="15" s="1"/>
  <c r="U309" i="15"/>
  <c r="T309" i="15" s="1"/>
  <c r="S309" i="15" s="1"/>
  <c r="R309" i="15" s="1"/>
  <c r="U325" i="15"/>
  <c r="T325" i="15" s="1"/>
  <c r="S325" i="15" s="1"/>
  <c r="R325" i="15" s="1"/>
  <c r="U341" i="15"/>
  <c r="T341" i="15" s="1"/>
  <c r="S341" i="15" s="1"/>
  <c r="R341" i="15" s="1"/>
  <c r="U354" i="15"/>
  <c r="T354" i="15" s="1"/>
  <c r="S354" i="15" s="1"/>
  <c r="R354" i="15" s="1"/>
  <c r="U362" i="15"/>
  <c r="T362" i="15" s="1"/>
  <c r="U370" i="15"/>
  <c r="T370" i="15" s="1"/>
  <c r="U378" i="15"/>
  <c r="T378" i="15" s="1"/>
  <c r="S378" i="15" s="1"/>
  <c r="R378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2" i="15"/>
  <c r="AH22" i="15" s="1"/>
  <c r="AI17" i="15"/>
  <c r="AI31" i="15"/>
  <c r="AH31" i="15" s="1"/>
  <c r="AI39" i="15"/>
  <c r="AI47" i="15"/>
  <c r="AH47" i="15" s="1"/>
  <c r="AI55" i="15"/>
  <c r="AI63" i="15"/>
  <c r="AI71" i="15"/>
  <c r="AH71" i="15" s="1"/>
  <c r="AI79" i="15"/>
  <c r="AH79" i="15" s="1"/>
  <c r="AI87" i="15"/>
  <c r="AI95" i="15"/>
  <c r="AH95" i="15" s="1"/>
  <c r="AI103" i="15"/>
  <c r="AH103" i="15" s="1"/>
  <c r="AI111" i="15"/>
  <c r="AI119" i="15"/>
  <c r="AH119" i="15" s="1"/>
  <c r="AI127" i="15"/>
  <c r="AI135" i="15"/>
  <c r="AH135" i="15" s="1"/>
  <c r="AI143" i="15"/>
  <c r="AH143" i="15" s="1"/>
  <c r="AI151" i="15"/>
  <c r="AI159" i="15"/>
  <c r="AI167" i="15"/>
  <c r="AI175" i="15"/>
  <c r="AH175" i="15" s="1"/>
  <c r="AI183" i="15"/>
  <c r="AH183" i="15" s="1"/>
  <c r="AI191" i="15"/>
  <c r="AI199" i="15"/>
  <c r="AH199" i="15" s="1"/>
  <c r="AI207" i="15"/>
  <c r="AH207" i="15" s="1"/>
  <c r="AI215" i="15"/>
  <c r="AH215" i="15" s="1"/>
  <c r="AI223" i="15"/>
  <c r="AI231" i="15"/>
  <c r="AH231" i="15" s="1"/>
  <c r="AI239" i="15"/>
  <c r="AH239" i="15" s="1"/>
  <c r="AI243" i="15"/>
  <c r="AI247" i="15"/>
  <c r="AI251" i="15"/>
  <c r="AH251" i="15" s="1"/>
  <c r="AI255" i="15"/>
  <c r="AH255" i="15" s="1"/>
  <c r="AI259" i="15"/>
  <c r="AH259" i="15" s="1"/>
  <c r="AI263" i="15"/>
  <c r="AH263" i="15" s="1"/>
  <c r="AI267" i="15"/>
  <c r="AH267" i="15" s="1"/>
  <c r="AI271" i="15"/>
  <c r="AH271" i="15" s="1"/>
  <c r="AI275" i="15"/>
  <c r="AI279" i="15"/>
  <c r="AH279" i="15" s="1"/>
  <c r="AI283" i="15"/>
  <c r="AH283" i="15" s="1"/>
  <c r="AI287" i="15"/>
  <c r="AI291" i="15"/>
  <c r="AH291" i="15" s="1"/>
  <c r="AI295" i="15"/>
  <c r="AI299" i="15"/>
  <c r="AH299" i="15" s="1"/>
  <c r="AI303" i="15"/>
  <c r="AH303" i="15" s="1"/>
  <c r="AI307" i="15"/>
  <c r="AH307" i="15" s="1"/>
  <c r="AI311" i="15"/>
  <c r="AH311" i="15" s="1"/>
  <c r="AI315" i="15"/>
  <c r="AH315" i="15" s="1"/>
  <c r="AI319" i="15"/>
  <c r="AI323" i="15"/>
  <c r="AI327" i="15"/>
  <c r="AI331" i="15"/>
  <c r="AI335" i="15"/>
  <c r="AI339" i="15"/>
  <c r="AI343" i="15"/>
  <c r="AI347" i="15"/>
  <c r="AH347" i="15" s="1"/>
  <c r="AI351" i="15"/>
  <c r="AH351" i="15" s="1"/>
  <c r="AI355" i="15"/>
  <c r="AI359" i="15"/>
  <c r="AH359" i="15" s="1"/>
  <c r="AI363" i="15"/>
  <c r="AI367" i="15"/>
  <c r="AH367" i="15" s="1"/>
  <c r="AI371" i="15"/>
  <c r="AI375" i="15"/>
  <c r="AH375" i="15" s="1"/>
  <c r="AI379" i="15"/>
  <c r="D378" i="17"/>
  <c r="E378" i="17" s="1"/>
  <c r="A374" i="25"/>
  <c r="L373" i="25"/>
  <c r="K373" i="25"/>
  <c r="AJ373" i="25"/>
  <c r="AK373" i="25"/>
  <c r="X373" i="25"/>
  <c r="AB373" i="25"/>
  <c r="O373" i="25"/>
  <c r="AC373" i="25"/>
  <c r="AI377" i="15" l="1"/>
  <c r="AI373" i="15"/>
  <c r="AH373" i="15" s="1"/>
  <c r="AG373" i="15" s="1"/>
  <c r="AF373" i="15" s="1"/>
  <c r="AI369" i="15"/>
  <c r="AI365" i="15"/>
  <c r="AH365" i="15" s="1"/>
  <c r="AG365" i="15" s="1"/>
  <c r="AF365" i="15" s="1"/>
  <c r="AI361" i="15"/>
  <c r="AI357" i="15"/>
  <c r="AH357" i="15" s="1"/>
  <c r="AG357" i="15" s="1"/>
  <c r="AF357" i="15" s="1"/>
  <c r="AI353" i="15"/>
  <c r="AH353" i="15" s="1"/>
  <c r="AI349" i="15"/>
  <c r="AH349" i="15" s="1"/>
  <c r="AG349" i="15" s="1"/>
  <c r="AF349" i="15" s="1"/>
  <c r="AI345" i="15"/>
  <c r="AH345" i="15" s="1"/>
  <c r="AI341" i="15"/>
  <c r="AH341" i="15" s="1"/>
  <c r="AG341" i="15" s="1"/>
  <c r="AF341" i="15" s="1"/>
  <c r="AI337" i="15"/>
  <c r="AH337" i="15" s="1"/>
  <c r="AI333" i="15"/>
  <c r="AH333" i="15" s="1"/>
  <c r="AG333" i="15" s="1"/>
  <c r="AF333" i="15" s="1"/>
  <c r="AI329" i="15"/>
  <c r="AI325" i="15"/>
  <c r="AH325" i="15" s="1"/>
  <c r="AI321" i="15"/>
  <c r="AI317" i="15"/>
  <c r="AH317" i="15" s="1"/>
  <c r="AG317" i="15" s="1"/>
  <c r="AF317" i="15" s="1"/>
  <c r="AI313" i="15"/>
  <c r="AH313" i="15" s="1"/>
  <c r="AI309" i="15"/>
  <c r="AH309" i="15" s="1"/>
  <c r="AG309" i="15" s="1"/>
  <c r="AF309" i="15" s="1"/>
  <c r="AI305" i="15"/>
  <c r="AI301" i="15"/>
  <c r="AH301" i="15" s="1"/>
  <c r="AG301" i="15" s="1"/>
  <c r="AF301" i="15" s="1"/>
  <c r="AI297" i="15"/>
  <c r="AI293" i="15"/>
  <c r="AH293" i="15" s="1"/>
  <c r="AI289" i="15"/>
  <c r="AH289" i="15" s="1"/>
  <c r="AI285" i="15"/>
  <c r="AH285" i="15" s="1"/>
  <c r="AG285" i="15" s="1"/>
  <c r="AF285" i="15" s="1"/>
  <c r="AI281" i="15"/>
  <c r="AH281" i="15" s="1"/>
  <c r="AI277" i="15"/>
  <c r="AH277" i="15" s="1"/>
  <c r="AG277" i="15" s="1"/>
  <c r="AF277" i="15" s="1"/>
  <c r="AI273" i="15"/>
  <c r="AH273" i="15" s="1"/>
  <c r="AI269" i="15"/>
  <c r="AH269" i="15" s="1"/>
  <c r="AG269" i="15" s="1"/>
  <c r="AF269" i="15" s="1"/>
  <c r="AI265" i="15"/>
  <c r="AH265" i="15" s="1"/>
  <c r="AI261" i="15"/>
  <c r="AH261" i="15" s="1"/>
  <c r="AG261" i="15" s="1"/>
  <c r="AF261" i="15" s="1"/>
  <c r="AI257" i="15"/>
  <c r="AH257" i="15" s="1"/>
  <c r="AI253" i="15"/>
  <c r="AH253" i="15" s="1"/>
  <c r="AG253" i="15" s="1"/>
  <c r="AF253" i="15" s="1"/>
  <c r="AI249" i="15"/>
  <c r="AH249" i="15" s="1"/>
  <c r="AI245" i="15"/>
  <c r="AH245" i="15" s="1"/>
  <c r="AI241" i="15"/>
  <c r="AH241" i="15" s="1"/>
  <c r="AI235" i="15"/>
  <c r="AH235" i="15" s="1"/>
  <c r="AG235" i="15" s="1"/>
  <c r="AF235" i="15" s="1"/>
  <c r="AI227" i="15"/>
  <c r="AH227" i="15" s="1"/>
  <c r="AI219" i="15"/>
  <c r="AH219" i="15" s="1"/>
  <c r="AG219" i="15" s="1"/>
  <c r="AF219" i="15" s="1"/>
  <c r="AI211" i="15"/>
  <c r="AH211" i="15" s="1"/>
  <c r="AI203" i="15"/>
  <c r="AH203" i="15" s="1"/>
  <c r="AI195" i="15"/>
  <c r="AH195" i="15" s="1"/>
  <c r="AI187" i="15"/>
  <c r="AH187" i="15" s="1"/>
  <c r="AG187" i="15" s="1"/>
  <c r="AF187" i="15" s="1"/>
  <c r="AI179" i="15"/>
  <c r="AI171" i="15"/>
  <c r="AH171" i="15" s="1"/>
  <c r="AG171" i="15" s="1"/>
  <c r="AF171" i="15" s="1"/>
  <c r="AI163" i="15"/>
  <c r="AH163" i="15" s="1"/>
  <c r="AI155" i="15"/>
  <c r="AH155" i="15" s="1"/>
  <c r="AI147" i="15"/>
  <c r="AI139" i="15"/>
  <c r="AH139" i="15" s="1"/>
  <c r="AG139" i="15" s="1"/>
  <c r="AF139" i="15" s="1"/>
  <c r="AI131" i="15"/>
  <c r="AI123" i="15"/>
  <c r="AH123" i="15" s="1"/>
  <c r="AG123" i="15" s="1"/>
  <c r="AF123" i="15" s="1"/>
  <c r="AI115" i="15"/>
  <c r="AI107" i="15"/>
  <c r="AH107" i="15" s="1"/>
  <c r="AI99" i="15"/>
  <c r="AI91" i="15"/>
  <c r="AH91" i="15" s="1"/>
  <c r="AI83" i="15"/>
  <c r="AI75" i="15"/>
  <c r="AH75" i="15" s="1"/>
  <c r="AI67" i="15"/>
  <c r="AH67" i="15" s="1"/>
  <c r="AI59" i="15"/>
  <c r="AH59" i="15" s="1"/>
  <c r="AG59" i="15" s="1"/>
  <c r="AF59" i="15" s="1"/>
  <c r="AI51" i="15"/>
  <c r="AI43" i="15"/>
  <c r="AH43" i="15" s="1"/>
  <c r="AG43" i="15" s="1"/>
  <c r="AF43" i="15" s="1"/>
  <c r="AI35" i="15"/>
  <c r="AH35" i="15" s="1"/>
  <c r="AI19" i="15"/>
  <c r="AH19" i="15" s="1"/>
  <c r="AI23" i="15"/>
  <c r="U374" i="15"/>
  <c r="T374" i="15" s="1"/>
  <c r="S374" i="15" s="1"/>
  <c r="R374" i="15" s="1"/>
  <c r="U366" i="15"/>
  <c r="T366" i="15" s="1"/>
  <c r="S366" i="15" s="1"/>
  <c r="R366" i="15" s="1"/>
  <c r="U358" i="15"/>
  <c r="T358" i="15" s="1"/>
  <c r="S358" i="15" s="1"/>
  <c r="R358" i="15" s="1"/>
  <c r="U349" i="15"/>
  <c r="T349" i="15" s="1"/>
  <c r="S349" i="15" s="1"/>
  <c r="R349" i="15" s="1"/>
  <c r="U333" i="15"/>
  <c r="T333" i="15" s="1"/>
  <c r="U317" i="15"/>
  <c r="T317" i="15" s="1"/>
  <c r="S317" i="15" s="1"/>
  <c r="R317" i="15" s="1"/>
  <c r="U301" i="15"/>
  <c r="T301" i="15" s="1"/>
  <c r="S301" i="15" s="1"/>
  <c r="R301" i="15" s="1"/>
  <c r="U285" i="15"/>
  <c r="T285" i="15" s="1"/>
  <c r="S285" i="15" s="1"/>
  <c r="R285" i="15" s="1"/>
  <c r="U269" i="15"/>
  <c r="T269" i="15" s="1"/>
  <c r="S269" i="15" s="1"/>
  <c r="R269" i="15" s="1"/>
  <c r="U253" i="15"/>
  <c r="T253" i="15" s="1"/>
  <c r="S253" i="15" s="1"/>
  <c r="R253" i="15" s="1"/>
  <c r="U237" i="15"/>
  <c r="T237" i="15" s="1"/>
  <c r="S237" i="15" s="1"/>
  <c r="R237" i="15" s="1"/>
  <c r="U221" i="15"/>
  <c r="T221" i="15" s="1"/>
  <c r="S221" i="15" s="1"/>
  <c r="R221" i="15" s="1"/>
  <c r="U205" i="15"/>
  <c r="T205" i="15" s="1"/>
  <c r="S205" i="15" s="1"/>
  <c r="R205" i="15" s="1"/>
  <c r="U46" i="15"/>
  <c r="T46" i="15" s="1"/>
  <c r="S46" i="15" s="1"/>
  <c r="R46" i="15" s="1"/>
  <c r="U78" i="15"/>
  <c r="T78" i="15" s="1"/>
  <c r="S78" i="15" s="1"/>
  <c r="R78" i="15" s="1"/>
  <c r="U110" i="15"/>
  <c r="T110" i="15" s="1"/>
  <c r="S110" i="15" s="1"/>
  <c r="R110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4" i="15"/>
  <c r="T184" i="15" s="1"/>
  <c r="S184" i="15" s="1"/>
  <c r="R184" i="15" s="1"/>
  <c r="U188" i="15"/>
  <c r="T188" i="15" s="1"/>
  <c r="S188" i="15" s="1"/>
  <c r="R188" i="15" s="1"/>
  <c r="U192" i="15"/>
  <c r="T192" i="15" s="1"/>
  <c r="S192" i="15" s="1"/>
  <c r="R192" i="15" s="1"/>
  <c r="U196" i="15"/>
  <c r="T196" i="15" s="1"/>
  <c r="S196" i="15" s="1"/>
  <c r="R196" i="15" s="1"/>
  <c r="U200" i="15"/>
  <c r="T200" i="15" s="1"/>
  <c r="S200" i="15" s="1"/>
  <c r="R200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U296" i="15"/>
  <c r="T296" i="15" s="1"/>
  <c r="S296" i="15" s="1"/>
  <c r="R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S324" i="15" s="1"/>
  <c r="R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62" i="15"/>
  <c r="T62" i="15" s="1"/>
  <c r="S62" i="15" s="1"/>
  <c r="R62" i="15" s="1"/>
  <c r="U126" i="15"/>
  <c r="T126" i="15" s="1"/>
  <c r="S126" i="15" s="1"/>
  <c r="R126" i="15" s="1"/>
  <c r="U166" i="15"/>
  <c r="T166" i="15" s="1"/>
  <c r="S166" i="15" s="1"/>
  <c r="R166" i="15" s="1"/>
  <c r="U186" i="15"/>
  <c r="T186" i="15" s="1"/>
  <c r="S186" i="15" s="1"/>
  <c r="R186" i="15" s="1"/>
  <c r="U194" i="15"/>
  <c r="T194" i="15" s="1"/>
  <c r="S194" i="15" s="1"/>
  <c r="R194" i="15" s="1"/>
  <c r="U202" i="15"/>
  <c r="T202" i="15" s="1"/>
  <c r="S202" i="15" s="1"/>
  <c r="R202" i="15" s="1"/>
  <c r="U207" i="15"/>
  <c r="T207" i="15" s="1"/>
  <c r="S207" i="15" s="1"/>
  <c r="R207" i="15" s="1"/>
  <c r="U211" i="15"/>
  <c r="T211" i="15" s="1"/>
  <c r="S211" i="15" s="1"/>
  <c r="R211" i="15" s="1"/>
  <c r="U215" i="15"/>
  <c r="T215" i="15" s="1"/>
  <c r="S215" i="15" s="1"/>
  <c r="R215" i="15" s="1"/>
  <c r="U219" i="15"/>
  <c r="T219" i="15" s="1"/>
  <c r="S219" i="15" s="1"/>
  <c r="R219" i="15" s="1"/>
  <c r="U223" i="15"/>
  <c r="T223" i="15" s="1"/>
  <c r="S223" i="15" s="1"/>
  <c r="R223" i="15" s="1"/>
  <c r="U227" i="15"/>
  <c r="T227" i="15" s="1"/>
  <c r="U231" i="15"/>
  <c r="T231" i="15" s="1"/>
  <c r="S231" i="15" s="1"/>
  <c r="R231" i="15" s="1"/>
  <c r="U235" i="15"/>
  <c r="T235" i="15" s="1"/>
  <c r="S235" i="15" s="1"/>
  <c r="R235" i="15" s="1"/>
  <c r="U239" i="15"/>
  <c r="T239" i="15" s="1"/>
  <c r="S239" i="15" s="1"/>
  <c r="R239" i="15" s="1"/>
  <c r="U243" i="15"/>
  <c r="T243" i="15" s="1"/>
  <c r="S243" i="15" s="1"/>
  <c r="R243" i="15" s="1"/>
  <c r="U247" i="15"/>
  <c r="T247" i="15" s="1"/>
  <c r="S247" i="15" s="1"/>
  <c r="R247" i="15" s="1"/>
  <c r="U251" i="15"/>
  <c r="T251" i="15" s="1"/>
  <c r="S251" i="15" s="1"/>
  <c r="R251" i="15" s="1"/>
  <c r="U255" i="15"/>
  <c r="T255" i="15" s="1"/>
  <c r="S255" i="15" s="1"/>
  <c r="R255" i="15" s="1"/>
  <c r="U259" i="15"/>
  <c r="T259" i="15" s="1"/>
  <c r="S259" i="15" s="1"/>
  <c r="R259" i="15" s="1"/>
  <c r="U263" i="15"/>
  <c r="T263" i="15" s="1"/>
  <c r="S263" i="15" s="1"/>
  <c r="R263" i="15" s="1"/>
  <c r="U267" i="15"/>
  <c r="T267" i="15" s="1"/>
  <c r="S267" i="15" s="1"/>
  <c r="R267" i="15" s="1"/>
  <c r="U271" i="15"/>
  <c r="T271" i="15" s="1"/>
  <c r="S271" i="15" s="1"/>
  <c r="R271" i="15" s="1"/>
  <c r="U275" i="15"/>
  <c r="T275" i="15" s="1"/>
  <c r="S275" i="15" s="1"/>
  <c r="R275" i="15" s="1"/>
  <c r="U279" i="15"/>
  <c r="T279" i="15" s="1"/>
  <c r="S279" i="15" s="1"/>
  <c r="R279" i="15" s="1"/>
  <c r="U283" i="15"/>
  <c r="T283" i="15" s="1"/>
  <c r="S283" i="15" s="1"/>
  <c r="R283" i="15" s="1"/>
  <c r="U287" i="15"/>
  <c r="T287" i="15" s="1"/>
  <c r="S287" i="15" s="1"/>
  <c r="R287" i="15" s="1"/>
  <c r="U291" i="15"/>
  <c r="T291" i="15" s="1"/>
  <c r="S291" i="15" s="1"/>
  <c r="R291" i="15" s="1"/>
  <c r="U295" i="15"/>
  <c r="T295" i="15" s="1"/>
  <c r="S295" i="15" s="1"/>
  <c r="R295" i="15" s="1"/>
  <c r="U299" i="15"/>
  <c r="T299" i="15" s="1"/>
  <c r="S299" i="15" s="1"/>
  <c r="R299" i="15" s="1"/>
  <c r="U303" i="15"/>
  <c r="T303" i="15" s="1"/>
  <c r="S303" i="15" s="1"/>
  <c r="R303" i="15" s="1"/>
  <c r="U307" i="15"/>
  <c r="T307" i="15" s="1"/>
  <c r="S307" i="15" s="1"/>
  <c r="R307" i="15" s="1"/>
  <c r="U311" i="15"/>
  <c r="T311" i="15" s="1"/>
  <c r="S311" i="15" s="1"/>
  <c r="R311" i="15" s="1"/>
  <c r="U315" i="15"/>
  <c r="T315" i="15" s="1"/>
  <c r="S315" i="15" s="1"/>
  <c r="R315" i="15" s="1"/>
  <c r="U319" i="15"/>
  <c r="T319" i="15" s="1"/>
  <c r="S319" i="15" s="1"/>
  <c r="R319" i="15" s="1"/>
  <c r="U323" i="15"/>
  <c r="T323" i="15" s="1"/>
  <c r="S323" i="15" s="1"/>
  <c r="R323" i="15" s="1"/>
  <c r="U327" i="15"/>
  <c r="T327" i="15" s="1"/>
  <c r="S327" i="15" s="1"/>
  <c r="R327" i="15" s="1"/>
  <c r="U331" i="15"/>
  <c r="T331" i="15" s="1"/>
  <c r="S331" i="15" s="1"/>
  <c r="R331" i="15" s="1"/>
  <c r="U335" i="15"/>
  <c r="T335" i="15" s="1"/>
  <c r="S335" i="15" s="1"/>
  <c r="R335" i="15" s="1"/>
  <c r="U339" i="15"/>
  <c r="T339" i="15" s="1"/>
  <c r="S339" i="15" s="1"/>
  <c r="R339" i="15" s="1"/>
  <c r="U343" i="15"/>
  <c r="T343" i="15" s="1"/>
  <c r="S343" i="15" s="1"/>
  <c r="R343" i="15" s="1"/>
  <c r="U347" i="15"/>
  <c r="T347" i="15" s="1"/>
  <c r="S347" i="15" s="1"/>
  <c r="R347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I25" i="15"/>
  <c r="AH25" i="15" s="1"/>
  <c r="AG25" i="15" s="1"/>
  <c r="AF25" i="15" s="1"/>
  <c r="AI28" i="15"/>
  <c r="AI20" i="15"/>
  <c r="AH20" i="15" s="1"/>
  <c r="AG20" i="15" s="1"/>
  <c r="AF20" i="15" s="1"/>
  <c r="AI16" i="15"/>
  <c r="AI26" i="15"/>
  <c r="AH26" i="15" s="1"/>
  <c r="AI30" i="15"/>
  <c r="AI32" i="15"/>
  <c r="AH32" i="15" s="1"/>
  <c r="AI34" i="15"/>
  <c r="AH34" i="15" s="1"/>
  <c r="AI36" i="15"/>
  <c r="AH36" i="15" s="1"/>
  <c r="AG36" i="15" s="1"/>
  <c r="AF36" i="15" s="1"/>
  <c r="AI38" i="15"/>
  <c r="AI40" i="15"/>
  <c r="AH40" i="15" s="1"/>
  <c r="AI42" i="15"/>
  <c r="AH42" i="15" s="1"/>
  <c r="AI44" i="15"/>
  <c r="AH44" i="15" s="1"/>
  <c r="AG44" i="15" s="1"/>
  <c r="AF44" i="15" s="1"/>
  <c r="AI46" i="15"/>
  <c r="AI48" i="15"/>
  <c r="AH48" i="15" s="1"/>
  <c r="AI50" i="15"/>
  <c r="AH50" i="15" s="1"/>
  <c r="AI52" i="15"/>
  <c r="AH52" i="15" s="1"/>
  <c r="AI54" i="15"/>
  <c r="AI56" i="15"/>
  <c r="AH56" i="15" s="1"/>
  <c r="AI58" i="15"/>
  <c r="AH58" i="15" s="1"/>
  <c r="AI60" i="15"/>
  <c r="AH60" i="15" s="1"/>
  <c r="AI62" i="15"/>
  <c r="AI64" i="15"/>
  <c r="AH64" i="15" s="1"/>
  <c r="AG64" i="15" s="1"/>
  <c r="AF64" i="15" s="1"/>
  <c r="AI66" i="15"/>
  <c r="AI68" i="15"/>
  <c r="AH68" i="15" s="1"/>
  <c r="AG68" i="15" s="1"/>
  <c r="AF68" i="15" s="1"/>
  <c r="AI70" i="15"/>
  <c r="AH70" i="15" s="1"/>
  <c r="AI72" i="15"/>
  <c r="AH72" i="15" s="1"/>
  <c r="AG72" i="15" s="1"/>
  <c r="AF72" i="15" s="1"/>
  <c r="AI74" i="15"/>
  <c r="AI76" i="15"/>
  <c r="AH76" i="15" s="1"/>
  <c r="AG76" i="15" s="1"/>
  <c r="AF76" i="15" s="1"/>
  <c r="AI78" i="15"/>
  <c r="AH78" i="15" s="1"/>
  <c r="AI80" i="15"/>
  <c r="AH80" i="15" s="1"/>
  <c r="AI82" i="15"/>
  <c r="AI84" i="15"/>
  <c r="AH84" i="15" s="1"/>
  <c r="AI86" i="15"/>
  <c r="AI88" i="15"/>
  <c r="AH88" i="15" s="1"/>
  <c r="AI90" i="15"/>
  <c r="AI92" i="15"/>
  <c r="AH92" i="15" s="1"/>
  <c r="AG92" i="15" s="1"/>
  <c r="AF92" i="15" s="1"/>
  <c r="AI94" i="15"/>
  <c r="AI96" i="15"/>
  <c r="AH96" i="15" s="1"/>
  <c r="AI98" i="15"/>
  <c r="AH98" i="15" s="1"/>
  <c r="AI100" i="15"/>
  <c r="AH100" i="15" s="1"/>
  <c r="AI102" i="15"/>
  <c r="AH102" i="15" s="1"/>
  <c r="AI104" i="15"/>
  <c r="AH104" i="15" s="1"/>
  <c r="AG104" i="15" s="1"/>
  <c r="AF104" i="15" s="1"/>
  <c r="AI106" i="15"/>
  <c r="AI108" i="15"/>
  <c r="AH108" i="15" s="1"/>
  <c r="AI110" i="15"/>
  <c r="AI112" i="15"/>
  <c r="AH112" i="15" s="1"/>
  <c r="AG112" i="15" s="1"/>
  <c r="AF112" i="15" s="1"/>
  <c r="AI114" i="15"/>
  <c r="AI116" i="15"/>
  <c r="AH116" i="15" s="1"/>
  <c r="AI118" i="15"/>
  <c r="AI120" i="15"/>
  <c r="AH120" i="15" s="1"/>
  <c r="AI122" i="15"/>
  <c r="AI124" i="15"/>
  <c r="AH124" i="15" s="1"/>
  <c r="AG124" i="15" s="1"/>
  <c r="AF124" i="15" s="1"/>
  <c r="AI126" i="15"/>
  <c r="AI128" i="15"/>
  <c r="AH128" i="15" s="1"/>
  <c r="AI130" i="15"/>
  <c r="AH130" i="15" s="1"/>
  <c r="AI132" i="15"/>
  <c r="AH132" i="15" s="1"/>
  <c r="AI134" i="15"/>
  <c r="AH134" i="15" s="1"/>
  <c r="AI136" i="15"/>
  <c r="AH136" i="15" s="1"/>
  <c r="AG136" i="15" s="1"/>
  <c r="AF136" i="15" s="1"/>
  <c r="AI138" i="15"/>
  <c r="AH138" i="15" s="1"/>
  <c r="AI140" i="15"/>
  <c r="AH140" i="15" s="1"/>
  <c r="AG140" i="15" s="1"/>
  <c r="AF140" i="15" s="1"/>
  <c r="AI142" i="15"/>
  <c r="AH142" i="15" s="1"/>
  <c r="AI144" i="15"/>
  <c r="AH144" i="15" s="1"/>
  <c r="AI146" i="15"/>
  <c r="AI148" i="15"/>
  <c r="AH148" i="15" s="1"/>
  <c r="AI150" i="15"/>
  <c r="AH150" i="15" s="1"/>
  <c r="AI152" i="15"/>
  <c r="AH152" i="15" s="1"/>
  <c r="AI154" i="15"/>
  <c r="AI156" i="15"/>
  <c r="AH156" i="15" s="1"/>
  <c r="AG156" i="15" s="1"/>
  <c r="AF156" i="15" s="1"/>
  <c r="AI158" i="15"/>
  <c r="AI160" i="15"/>
  <c r="AH160" i="15" s="1"/>
  <c r="AG160" i="15" s="1"/>
  <c r="AF160" i="15" s="1"/>
  <c r="AI162" i="15"/>
  <c r="AH162" i="15" s="1"/>
  <c r="AI164" i="15"/>
  <c r="AH164" i="15" s="1"/>
  <c r="AG164" i="15" s="1"/>
  <c r="AF164" i="15" s="1"/>
  <c r="AI166" i="15"/>
  <c r="AH166" i="15" s="1"/>
  <c r="AI168" i="15"/>
  <c r="AH168" i="15" s="1"/>
  <c r="AI170" i="15"/>
  <c r="AH170" i="15" s="1"/>
  <c r="AI172" i="15"/>
  <c r="AH172" i="15" s="1"/>
  <c r="AI174" i="15"/>
  <c r="AI176" i="15"/>
  <c r="AH176" i="15" s="1"/>
  <c r="AG176" i="15" s="1"/>
  <c r="AF176" i="15" s="1"/>
  <c r="AI178" i="15"/>
  <c r="AI180" i="15"/>
  <c r="AH180" i="15" s="1"/>
  <c r="AI182" i="15"/>
  <c r="AH182" i="15" s="1"/>
  <c r="AI184" i="15"/>
  <c r="AH184" i="15" s="1"/>
  <c r="AG184" i="15" s="1"/>
  <c r="AF184" i="15" s="1"/>
  <c r="AI186" i="15"/>
  <c r="AI188" i="15"/>
  <c r="AH188" i="15" s="1"/>
  <c r="AI190" i="15"/>
  <c r="AI192" i="15"/>
  <c r="AH192" i="15" s="1"/>
  <c r="AG192" i="15" s="1"/>
  <c r="AF192" i="15" s="1"/>
  <c r="AI194" i="15"/>
  <c r="AI196" i="15"/>
  <c r="AH196" i="15" s="1"/>
  <c r="AI198" i="15"/>
  <c r="AI200" i="15"/>
  <c r="AH200" i="15" s="1"/>
  <c r="AG200" i="15" s="1"/>
  <c r="AF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I216" i="15"/>
  <c r="AH216" i="15" s="1"/>
  <c r="AG216" i="15" s="1"/>
  <c r="AF216" i="15" s="1"/>
  <c r="AI218" i="15"/>
  <c r="AI220" i="15"/>
  <c r="AH220" i="15" s="1"/>
  <c r="AG220" i="15" s="1"/>
  <c r="AF220" i="15" s="1"/>
  <c r="AI222" i="15"/>
  <c r="AI224" i="15"/>
  <c r="AH224" i="15" s="1"/>
  <c r="AG224" i="15" s="1"/>
  <c r="AF224" i="15" s="1"/>
  <c r="AI226" i="15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G236" i="15" s="1"/>
  <c r="AF236" i="15" s="1"/>
  <c r="AI238" i="15"/>
  <c r="AH238" i="15" s="1"/>
  <c r="AI378" i="15"/>
  <c r="AH378" i="15" s="1"/>
  <c r="AG378" i="15" s="1"/>
  <c r="AF378" i="15" s="1"/>
  <c r="AI376" i="15"/>
  <c r="AI374" i="15"/>
  <c r="AH374" i="15" s="1"/>
  <c r="AG374" i="15" s="1"/>
  <c r="AF374" i="15" s="1"/>
  <c r="AI372" i="15"/>
  <c r="AI370" i="15"/>
  <c r="AH370" i="15" s="1"/>
  <c r="AI368" i="15"/>
  <c r="AH368" i="15" s="1"/>
  <c r="AI366" i="15"/>
  <c r="AH366" i="15" s="1"/>
  <c r="AI364" i="15"/>
  <c r="AI362" i="15"/>
  <c r="AH362" i="15" s="1"/>
  <c r="AI360" i="15"/>
  <c r="AH360" i="15" s="1"/>
  <c r="AI358" i="15"/>
  <c r="AH358" i="15" s="1"/>
  <c r="AI356" i="15"/>
  <c r="AH356" i="15" s="1"/>
  <c r="AI354" i="15"/>
  <c r="AH354" i="15" s="1"/>
  <c r="AI352" i="15"/>
  <c r="AI350" i="15"/>
  <c r="AH350" i="15" s="1"/>
  <c r="AG350" i="15" s="1"/>
  <c r="AF350" i="15" s="1"/>
  <c r="AI348" i="15"/>
  <c r="AI346" i="15"/>
  <c r="AH346" i="15" s="1"/>
  <c r="AI344" i="15"/>
  <c r="AH344" i="15" s="1"/>
  <c r="AI342" i="15"/>
  <c r="AH342" i="15" s="1"/>
  <c r="AG342" i="15" s="1"/>
  <c r="AF342" i="15" s="1"/>
  <c r="AI340" i="15"/>
  <c r="AH340" i="15" s="1"/>
  <c r="AI338" i="15"/>
  <c r="AH338" i="15" s="1"/>
  <c r="AI336" i="15"/>
  <c r="AH336" i="15" s="1"/>
  <c r="AI334" i="15"/>
  <c r="AH334" i="15" s="1"/>
  <c r="AI332" i="15"/>
  <c r="AI330" i="15"/>
  <c r="AH330" i="15" s="1"/>
  <c r="AI328" i="15"/>
  <c r="AI326" i="15"/>
  <c r="AH326" i="15" s="1"/>
  <c r="AI324" i="15"/>
  <c r="AH324" i="15" s="1"/>
  <c r="AI322" i="15"/>
  <c r="AH322" i="15" s="1"/>
  <c r="AG322" i="15" s="1"/>
  <c r="AF322" i="15" s="1"/>
  <c r="AI320" i="15"/>
  <c r="AI318" i="15"/>
  <c r="AH318" i="15" s="1"/>
  <c r="AG318" i="15" s="1"/>
  <c r="AF318" i="15" s="1"/>
  <c r="AI316" i="15"/>
  <c r="AH316" i="15" s="1"/>
  <c r="AI314" i="15"/>
  <c r="AH314" i="15" s="1"/>
  <c r="AI312" i="15"/>
  <c r="AI310" i="15"/>
  <c r="AH310" i="15" s="1"/>
  <c r="AG310" i="15" s="1"/>
  <c r="AF310" i="15" s="1"/>
  <c r="AI308" i="15"/>
  <c r="AI306" i="15"/>
  <c r="AH306" i="15" s="1"/>
  <c r="AI304" i="15"/>
  <c r="AI302" i="15"/>
  <c r="AH302" i="15" s="1"/>
  <c r="AI300" i="15"/>
  <c r="AI298" i="15"/>
  <c r="AH298" i="15" s="1"/>
  <c r="AI296" i="15"/>
  <c r="AI294" i="15"/>
  <c r="AH294" i="15" s="1"/>
  <c r="AG294" i="15" s="1"/>
  <c r="AF294" i="15" s="1"/>
  <c r="AI292" i="15"/>
  <c r="AI290" i="15"/>
  <c r="AH290" i="15" s="1"/>
  <c r="AG290" i="15" s="1"/>
  <c r="AF290" i="15" s="1"/>
  <c r="AI288" i="15"/>
  <c r="AH288" i="15" s="1"/>
  <c r="AI286" i="15"/>
  <c r="AH286" i="15" s="1"/>
  <c r="AI284" i="15"/>
  <c r="AI282" i="15"/>
  <c r="AH282" i="15" s="1"/>
  <c r="AG282" i="15" s="1"/>
  <c r="AF282" i="15" s="1"/>
  <c r="AI280" i="15"/>
  <c r="AH280" i="15" s="1"/>
  <c r="AI278" i="15"/>
  <c r="AH278" i="15" s="1"/>
  <c r="AG278" i="15" s="1"/>
  <c r="AF278" i="15" s="1"/>
  <c r="AI276" i="15"/>
  <c r="AI274" i="15"/>
  <c r="AH274" i="15" s="1"/>
  <c r="AI272" i="15"/>
  <c r="AI270" i="15"/>
  <c r="AH270" i="15" s="1"/>
  <c r="AI268" i="15"/>
  <c r="AI266" i="15"/>
  <c r="AH266" i="15" s="1"/>
  <c r="AI264" i="15"/>
  <c r="AH264" i="15" s="1"/>
  <c r="AI262" i="15"/>
  <c r="AH262" i="15" s="1"/>
  <c r="AG262" i="15" s="1"/>
  <c r="AF262" i="15" s="1"/>
  <c r="AI260" i="15"/>
  <c r="AI258" i="15"/>
  <c r="AH258" i="15" s="1"/>
  <c r="AG258" i="15" s="1"/>
  <c r="AF258" i="15" s="1"/>
  <c r="AI256" i="15"/>
  <c r="AI254" i="15"/>
  <c r="AH254" i="15" s="1"/>
  <c r="AG254" i="15" s="1"/>
  <c r="AF254" i="15" s="1"/>
  <c r="AI252" i="15"/>
  <c r="AI250" i="15"/>
  <c r="AH250" i="15" s="1"/>
  <c r="AI248" i="15"/>
  <c r="AI246" i="15"/>
  <c r="AH246" i="15" s="1"/>
  <c r="AI244" i="15"/>
  <c r="AH244" i="15" s="1"/>
  <c r="AI242" i="15"/>
  <c r="AH242" i="15" s="1"/>
  <c r="AI240" i="15"/>
  <c r="AH240" i="15" s="1"/>
  <c r="AI237" i="15"/>
  <c r="AH237" i="15" s="1"/>
  <c r="AG237" i="15" s="1"/>
  <c r="AF237" i="15" s="1"/>
  <c r="AI233" i="15"/>
  <c r="AI229" i="15"/>
  <c r="AH229" i="15" s="1"/>
  <c r="AI225" i="15"/>
  <c r="AI221" i="15"/>
  <c r="AH221" i="15" s="1"/>
  <c r="AG221" i="15" s="1"/>
  <c r="AF221" i="15" s="1"/>
  <c r="AI217" i="15"/>
  <c r="AH217" i="15" s="1"/>
  <c r="AI213" i="15"/>
  <c r="AH213" i="15" s="1"/>
  <c r="AG213" i="15" s="1"/>
  <c r="AF213" i="15" s="1"/>
  <c r="AI209" i="15"/>
  <c r="AI205" i="15"/>
  <c r="AH205" i="15" s="1"/>
  <c r="AI201" i="15"/>
  <c r="AH201" i="15" s="1"/>
  <c r="AI197" i="15"/>
  <c r="AH197" i="15" s="1"/>
  <c r="AG197" i="15" s="1"/>
  <c r="AF197" i="15" s="1"/>
  <c r="AI193" i="15"/>
  <c r="AI189" i="15"/>
  <c r="AH189" i="15" s="1"/>
  <c r="AG189" i="15" s="1"/>
  <c r="AF189" i="15" s="1"/>
  <c r="AI185" i="15"/>
  <c r="AI181" i="15"/>
  <c r="AH181" i="15" s="1"/>
  <c r="AI177" i="15"/>
  <c r="AH177" i="15" s="1"/>
  <c r="AI173" i="15"/>
  <c r="AH173" i="15" s="1"/>
  <c r="AI169" i="15"/>
  <c r="AH169" i="15" s="1"/>
  <c r="AI165" i="15"/>
  <c r="AH165" i="15" s="1"/>
  <c r="AI161" i="15"/>
  <c r="AH161" i="15" s="1"/>
  <c r="AI157" i="15"/>
  <c r="AH157" i="15" s="1"/>
  <c r="AI153" i="15"/>
  <c r="AH153" i="15" s="1"/>
  <c r="AI149" i="15"/>
  <c r="AH149" i="15" s="1"/>
  <c r="AI145" i="15"/>
  <c r="AH145" i="15" s="1"/>
  <c r="AI141" i="15"/>
  <c r="AH141" i="15" s="1"/>
  <c r="AI137" i="15"/>
  <c r="AI133" i="15"/>
  <c r="AH133" i="15" s="1"/>
  <c r="AI129" i="15"/>
  <c r="AH129" i="15" s="1"/>
  <c r="AI125" i="15"/>
  <c r="AH125" i="15" s="1"/>
  <c r="AG125" i="15" s="1"/>
  <c r="AF125" i="15" s="1"/>
  <c r="AI121" i="15"/>
  <c r="AI117" i="15"/>
  <c r="AH117" i="15" s="1"/>
  <c r="AI113" i="15"/>
  <c r="AI109" i="15"/>
  <c r="AH109" i="15" s="1"/>
  <c r="AG109" i="15" s="1"/>
  <c r="AF109" i="15" s="1"/>
  <c r="AI105" i="15"/>
  <c r="AH105" i="15" s="1"/>
  <c r="AI101" i="15"/>
  <c r="AH101" i="15" s="1"/>
  <c r="AG101" i="15" s="1"/>
  <c r="AF101" i="15" s="1"/>
  <c r="AI97" i="15"/>
  <c r="AH97" i="15" s="1"/>
  <c r="AI93" i="15"/>
  <c r="AH93" i="15" s="1"/>
  <c r="AI89" i="15"/>
  <c r="AH89" i="15" s="1"/>
  <c r="AI85" i="15"/>
  <c r="AH85" i="15" s="1"/>
  <c r="AG85" i="15" s="1"/>
  <c r="AF85" i="15" s="1"/>
  <c r="AI81" i="15"/>
  <c r="AI77" i="15"/>
  <c r="AH77" i="15" s="1"/>
  <c r="AG77" i="15" s="1"/>
  <c r="AF77" i="15" s="1"/>
  <c r="AI73" i="15"/>
  <c r="AH73" i="15" s="1"/>
  <c r="AI69" i="15"/>
  <c r="AH69" i="15" s="1"/>
  <c r="AG69" i="15" s="1"/>
  <c r="AF69" i="15" s="1"/>
  <c r="AI65" i="15"/>
  <c r="AH65" i="15" s="1"/>
  <c r="AI61" i="15"/>
  <c r="AH61" i="15" s="1"/>
  <c r="AI57" i="15"/>
  <c r="AH57" i="15" s="1"/>
  <c r="AI53" i="15"/>
  <c r="AH53" i="15" s="1"/>
  <c r="AG53" i="15" s="1"/>
  <c r="AF53" i="15" s="1"/>
  <c r="AI49" i="15"/>
  <c r="AH49" i="15" s="1"/>
  <c r="AI45" i="15"/>
  <c r="AH45" i="15" s="1"/>
  <c r="AG45" i="15" s="1"/>
  <c r="AF45" i="15" s="1"/>
  <c r="AI41" i="15"/>
  <c r="AI37" i="15"/>
  <c r="AH37" i="15" s="1"/>
  <c r="AG37" i="15" s="1"/>
  <c r="AF37" i="15" s="1"/>
  <c r="AI33" i="15"/>
  <c r="AI29" i="15"/>
  <c r="AH29" i="15" s="1"/>
  <c r="AG29" i="15" s="1"/>
  <c r="AF29" i="15" s="1"/>
  <c r="AI21" i="15"/>
  <c r="AH21" i="15" s="1"/>
  <c r="AI27" i="15"/>
  <c r="AH27" i="15" s="1"/>
  <c r="AG27" i="15" s="1"/>
  <c r="AF27" i="15" s="1"/>
  <c r="AI24" i="15"/>
  <c r="AH24" i="15" s="1"/>
  <c r="U376" i="15"/>
  <c r="T376" i="15" s="1"/>
  <c r="S376" i="15" s="1"/>
  <c r="R376" i="15" s="1"/>
  <c r="U372" i="15"/>
  <c r="T372" i="15" s="1"/>
  <c r="S372" i="15" s="1"/>
  <c r="R372" i="15" s="1"/>
  <c r="U368" i="15"/>
  <c r="T368" i="15" s="1"/>
  <c r="S368" i="15" s="1"/>
  <c r="R368" i="15" s="1"/>
  <c r="U364" i="15"/>
  <c r="T364" i="15" s="1"/>
  <c r="S364" i="15" s="1"/>
  <c r="R364" i="15" s="1"/>
  <c r="U360" i="15"/>
  <c r="T360" i="15" s="1"/>
  <c r="S360" i="15" s="1"/>
  <c r="R360" i="15" s="1"/>
  <c r="U356" i="15"/>
  <c r="T356" i="15" s="1"/>
  <c r="S356" i="15" s="1"/>
  <c r="R356" i="15" s="1"/>
  <c r="U352" i="15"/>
  <c r="T352" i="15" s="1"/>
  <c r="S352" i="15" s="1"/>
  <c r="R352" i="15" s="1"/>
  <c r="U345" i="15"/>
  <c r="T345" i="15" s="1"/>
  <c r="U337" i="15"/>
  <c r="T337" i="15" s="1"/>
  <c r="S337" i="15" s="1"/>
  <c r="R337" i="15" s="1"/>
  <c r="U329" i="15"/>
  <c r="T329" i="15" s="1"/>
  <c r="S329" i="15" s="1"/>
  <c r="R329" i="15" s="1"/>
  <c r="U321" i="15"/>
  <c r="T321" i="15" s="1"/>
  <c r="S321" i="15" s="1"/>
  <c r="R321" i="15" s="1"/>
  <c r="U313" i="15"/>
  <c r="T313" i="15" s="1"/>
  <c r="S313" i="15" s="1"/>
  <c r="R313" i="15" s="1"/>
  <c r="U305" i="15"/>
  <c r="T305" i="15" s="1"/>
  <c r="S305" i="15" s="1"/>
  <c r="R305" i="15" s="1"/>
  <c r="U297" i="15"/>
  <c r="T297" i="15" s="1"/>
  <c r="U289" i="15"/>
  <c r="T289" i="15" s="1"/>
  <c r="S289" i="15" s="1"/>
  <c r="R289" i="15" s="1"/>
  <c r="U281" i="15"/>
  <c r="T281" i="15" s="1"/>
  <c r="S281" i="15" s="1"/>
  <c r="R281" i="15" s="1"/>
  <c r="U273" i="15"/>
  <c r="T273" i="15" s="1"/>
  <c r="S273" i="15" s="1"/>
  <c r="R273" i="15" s="1"/>
  <c r="U265" i="15"/>
  <c r="T265" i="15" s="1"/>
  <c r="S265" i="15" s="1"/>
  <c r="R265" i="15" s="1"/>
  <c r="U257" i="15"/>
  <c r="T257" i="15" s="1"/>
  <c r="S257" i="15" s="1"/>
  <c r="R257" i="15" s="1"/>
  <c r="U249" i="15"/>
  <c r="T249" i="15" s="1"/>
  <c r="S249" i="15" s="1"/>
  <c r="R249" i="15" s="1"/>
  <c r="U241" i="15"/>
  <c r="T241" i="15" s="1"/>
  <c r="S241" i="15" s="1"/>
  <c r="R241" i="15" s="1"/>
  <c r="U233" i="15"/>
  <c r="T233" i="15" s="1"/>
  <c r="U225" i="15"/>
  <c r="T225" i="15" s="1"/>
  <c r="S225" i="15" s="1"/>
  <c r="R225" i="15" s="1"/>
  <c r="U217" i="15"/>
  <c r="T217" i="15" s="1"/>
  <c r="S217" i="15" s="1"/>
  <c r="R217" i="15" s="1"/>
  <c r="U209" i="15"/>
  <c r="T209" i="15" s="1"/>
  <c r="S209" i="15" s="1"/>
  <c r="R209" i="15" s="1"/>
  <c r="U198" i="15"/>
  <c r="T198" i="15" s="1"/>
  <c r="S198" i="15" s="1"/>
  <c r="R198" i="15" s="1"/>
  <c r="U180" i="15"/>
  <c r="T180" i="15" s="1"/>
  <c r="S180" i="15" s="1"/>
  <c r="R180" i="15" s="1"/>
  <c r="U94" i="15"/>
  <c r="T94" i="15" s="1"/>
  <c r="S94" i="15" s="1"/>
  <c r="R94" i="15" s="1"/>
  <c r="U22" i="15"/>
  <c r="T22" i="15" s="1"/>
  <c r="S22" i="15" s="1"/>
  <c r="R22" i="15" s="1"/>
  <c r="Q338" i="15"/>
  <c r="Q274" i="15"/>
  <c r="P274" i="15" s="1"/>
  <c r="V274" i="15" s="1"/>
  <c r="F274" i="15" s="1"/>
  <c r="Q364" i="15"/>
  <c r="Q306" i="15"/>
  <c r="P306" i="15" s="1"/>
  <c r="V306" i="15" s="1"/>
  <c r="F306" i="15" s="1"/>
  <c r="Q242" i="15"/>
  <c r="Q372" i="15"/>
  <c r="P372" i="15" s="1"/>
  <c r="V372" i="15" s="1"/>
  <c r="F372" i="15" s="1"/>
  <c r="Q354" i="15"/>
  <c r="Q322" i="15"/>
  <c r="P322" i="15" s="1"/>
  <c r="V322" i="15" s="1"/>
  <c r="F322" i="15" s="1"/>
  <c r="Q290" i="15"/>
  <c r="Q258" i="15"/>
  <c r="P258" i="15" s="1"/>
  <c r="V258" i="15" s="1"/>
  <c r="F258" i="15" s="1"/>
  <c r="Q215" i="15"/>
  <c r="U203" i="15"/>
  <c r="T203" i="15" s="1"/>
  <c r="S203" i="15" s="1"/>
  <c r="R203" i="15" s="1"/>
  <c r="U201" i="15"/>
  <c r="T201" i="15" s="1"/>
  <c r="S201" i="15" s="1"/>
  <c r="R201" i="15" s="1"/>
  <c r="U199" i="15"/>
  <c r="T199" i="15" s="1"/>
  <c r="S199" i="15" s="1"/>
  <c r="R199" i="15" s="1"/>
  <c r="U197" i="15"/>
  <c r="T197" i="15" s="1"/>
  <c r="U195" i="15"/>
  <c r="T195" i="15" s="1"/>
  <c r="S195" i="15" s="1"/>
  <c r="R195" i="15" s="1"/>
  <c r="U193" i="15"/>
  <c r="T193" i="15" s="1"/>
  <c r="U191" i="15"/>
  <c r="T191" i="15" s="1"/>
  <c r="S191" i="15" s="1"/>
  <c r="R191" i="15" s="1"/>
  <c r="U189" i="15"/>
  <c r="T189" i="15" s="1"/>
  <c r="S189" i="15" s="1"/>
  <c r="R189" i="15" s="1"/>
  <c r="U187" i="15"/>
  <c r="T187" i="15" s="1"/>
  <c r="S187" i="15" s="1"/>
  <c r="R187" i="15" s="1"/>
  <c r="U185" i="15"/>
  <c r="T185" i="15" s="1"/>
  <c r="S185" i="15" s="1"/>
  <c r="R185" i="15" s="1"/>
  <c r="U182" i="15"/>
  <c r="T182" i="15" s="1"/>
  <c r="S182" i="15" s="1"/>
  <c r="R182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4" i="15"/>
  <c r="T134" i="15" s="1"/>
  <c r="S134" i="15" s="1"/>
  <c r="R134" i="15" s="1"/>
  <c r="U118" i="15"/>
  <c r="T118" i="15" s="1"/>
  <c r="S118" i="15" s="1"/>
  <c r="R118" i="15" s="1"/>
  <c r="U102" i="15"/>
  <c r="T102" i="15" s="1"/>
  <c r="S102" i="15" s="1"/>
  <c r="R102" i="15" s="1"/>
  <c r="U86" i="15"/>
  <c r="T86" i="15" s="1"/>
  <c r="S86" i="15" s="1"/>
  <c r="R86" i="15" s="1"/>
  <c r="U70" i="15"/>
  <c r="T70" i="15" s="1"/>
  <c r="S70" i="15" s="1"/>
  <c r="R70" i="15" s="1"/>
  <c r="U54" i="15"/>
  <c r="T54" i="15" s="1"/>
  <c r="S54" i="15" s="1"/>
  <c r="R54" i="15" s="1"/>
  <c r="U38" i="15"/>
  <c r="T38" i="15" s="1"/>
  <c r="S38" i="15" s="1"/>
  <c r="R38" i="15" s="1"/>
  <c r="U15" i="15"/>
  <c r="Q376" i="15"/>
  <c r="P376" i="15" s="1"/>
  <c r="V376" i="15" s="1"/>
  <c r="F376" i="15" s="1"/>
  <c r="Q368" i="15"/>
  <c r="Q360" i="15"/>
  <c r="P360" i="15" s="1"/>
  <c r="V360" i="15" s="1"/>
  <c r="F360" i="15" s="1"/>
  <c r="Q346" i="15"/>
  <c r="Q330" i="15"/>
  <c r="P330" i="15" s="1"/>
  <c r="V330" i="15" s="1"/>
  <c r="F330" i="15" s="1"/>
  <c r="Q314" i="15"/>
  <c r="Q298" i="15"/>
  <c r="Q282" i="15"/>
  <c r="Q266" i="15"/>
  <c r="P266" i="15" s="1"/>
  <c r="V266" i="15" s="1"/>
  <c r="F266" i="15" s="1"/>
  <c r="Q250" i="15"/>
  <c r="Q234" i="15"/>
  <c r="P234" i="15" s="1"/>
  <c r="V234" i="15" s="1"/>
  <c r="F234" i="15" s="1"/>
  <c r="Q183" i="15"/>
  <c r="U176" i="15"/>
  <c r="T176" i="15" s="1"/>
  <c r="S176" i="15" s="1"/>
  <c r="R176" i="15" s="1"/>
  <c r="U172" i="15"/>
  <c r="T172" i="15" s="1"/>
  <c r="U168" i="15"/>
  <c r="T168" i="15" s="1"/>
  <c r="S168" i="15" s="1"/>
  <c r="R168" i="15" s="1"/>
  <c r="U164" i="15"/>
  <c r="T164" i="15" s="1"/>
  <c r="S164" i="15" s="1"/>
  <c r="R164" i="15" s="1"/>
  <c r="U160" i="15"/>
  <c r="T160" i="15" s="1"/>
  <c r="S160" i="15" s="1"/>
  <c r="R160" i="15" s="1"/>
  <c r="U156" i="15"/>
  <c r="T156" i="15" s="1"/>
  <c r="S156" i="15" s="1"/>
  <c r="R156" i="15" s="1"/>
  <c r="U152" i="15"/>
  <c r="T152" i="15" s="1"/>
  <c r="S152" i="15" s="1"/>
  <c r="R152" i="15" s="1"/>
  <c r="U148" i="15"/>
  <c r="T148" i="15" s="1"/>
  <c r="S148" i="15" s="1"/>
  <c r="R148" i="15" s="1"/>
  <c r="U144" i="15"/>
  <c r="T144" i="15" s="1"/>
  <c r="S144" i="15" s="1"/>
  <c r="R144" i="15" s="1"/>
  <c r="U138" i="15"/>
  <c r="T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Q378" i="15"/>
  <c r="P378" i="15" s="1"/>
  <c r="V378" i="15" s="1"/>
  <c r="Q374" i="15"/>
  <c r="Q370" i="15"/>
  <c r="Q366" i="15"/>
  <c r="P366" i="15" s="1"/>
  <c r="V366" i="15" s="1"/>
  <c r="F366" i="15" s="1"/>
  <c r="Q362" i="15"/>
  <c r="Q358" i="15"/>
  <c r="Q350" i="15"/>
  <c r="P350" i="15" s="1"/>
  <c r="V350" i="15" s="1"/>
  <c r="F350" i="15" s="1"/>
  <c r="Q342" i="15"/>
  <c r="P342" i="15" s="1"/>
  <c r="V342" i="15" s="1"/>
  <c r="F342" i="15" s="1"/>
  <c r="Q334" i="15"/>
  <c r="P334" i="15" s="1"/>
  <c r="V334" i="15" s="1"/>
  <c r="F334" i="15" s="1"/>
  <c r="Q326" i="15"/>
  <c r="Q318" i="15"/>
  <c r="Q310" i="15"/>
  <c r="P310" i="15" s="1"/>
  <c r="V310" i="15" s="1"/>
  <c r="F310" i="15" s="1"/>
  <c r="Q302" i="15"/>
  <c r="P302" i="15" s="1"/>
  <c r="Q294" i="15"/>
  <c r="Q286" i="15"/>
  <c r="P286" i="15" s="1"/>
  <c r="V286" i="15" s="1"/>
  <c r="F286" i="15" s="1"/>
  <c r="Q278" i="15"/>
  <c r="P278" i="15" s="1"/>
  <c r="V278" i="15" s="1"/>
  <c r="F278" i="15" s="1"/>
  <c r="Q270" i="15"/>
  <c r="P270" i="15" s="1"/>
  <c r="V270" i="15" s="1"/>
  <c r="F270" i="15" s="1"/>
  <c r="Q262" i="15"/>
  <c r="P262" i="15" s="1"/>
  <c r="V262" i="15" s="1"/>
  <c r="F262" i="15" s="1"/>
  <c r="Q254" i="15"/>
  <c r="Q246" i="15"/>
  <c r="P246" i="15" s="1"/>
  <c r="V246" i="15" s="1"/>
  <c r="F246" i="15" s="1"/>
  <c r="Q238" i="15"/>
  <c r="P238" i="15" s="1"/>
  <c r="V238" i="15" s="1"/>
  <c r="F238" i="15" s="1"/>
  <c r="Q230" i="15"/>
  <c r="P230" i="15" s="1"/>
  <c r="V230" i="15" s="1"/>
  <c r="F230" i="15" s="1"/>
  <c r="Q199" i="15"/>
  <c r="Q152" i="15"/>
  <c r="P199" i="15"/>
  <c r="V199" i="15" s="1"/>
  <c r="F199" i="15" s="1"/>
  <c r="Q223" i="15"/>
  <c r="Q207" i="15"/>
  <c r="Q191" i="15"/>
  <c r="Q168" i="15"/>
  <c r="O382" i="15"/>
  <c r="C36" i="19"/>
  <c r="D379" i="15"/>
  <c r="B36" i="19"/>
  <c r="D379" i="16"/>
  <c r="B37" i="19"/>
  <c r="P364" i="15"/>
  <c r="V364" i="15" s="1"/>
  <c r="F364" i="15" s="1"/>
  <c r="P354" i="15"/>
  <c r="V354" i="15" s="1"/>
  <c r="F354" i="15" s="1"/>
  <c r="P346" i="15"/>
  <c r="V346" i="15" s="1"/>
  <c r="F346" i="15" s="1"/>
  <c r="P338" i="15"/>
  <c r="V338" i="15" s="1"/>
  <c r="F338" i="15" s="1"/>
  <c r="P314" i="15"/>
  <c r="V314" i="15" s="1"/>
  <c r="F314" i="15" s="1"/>
  <c r="P290" i="15"/>
  <c r="V290" i="15" s="1"/>
  <c r="F290" i="15" s="1"/>
  <c r="P282" i="15"/>
  <c r="V282" i="15" s="1"/>
  <c r="F282" i="15" s="1"/>
  <c r="P250" i="15"/>
  <c r="V250" i="15" s="1"/>
  <c r="F250" i="15" s="1"/>
  <c r="P242" i="15"/>
  <c r="V242" i="15" s="1"/>
  <c r="F242" i="15" s="1"/>
  <c r="Q114" i="15"/>
  <c r="Q144" i="15"/>
  <c r="Q160" i="15"/>
  <c r="Q176" i="15"/>
  <c r="Q187" i="15"/>
  <c r="Q195" i="15"/>
  <c r="Q203" i="15"/>
  <c r="Q211" i="15"/>
  <c r="Q219" i="15"/>
  <c r="P219" i="15" s="1"/>
  <c r="V219" i="15" s="1"/>
  <c r="F219" i="15" s="1"/>
  <c r="Q227" i="15"/>
  <c r="Q232" i="15"/>
  <c r="P232" i="15" s="1"/>
  <c r="V232" i="15" s="1"/>
  <c r="F232" i="15" s="1"/>
  <c r="Q236" i="15"/>
  <c r="Q240" i="15"/>
  <c r="P240" i="15" s="1"/>
  <c r="V240" i="15" s="1"/>
  <c r="F240" i="15" s="1"/>
  <c r="Q244" i="15"/>
  <c r="Q248" i="15"/>
  <c r="Q252" i="15"/>
  <c r="Q256" i="15"/>
  <c r="P256" i="15" s="1"/>
  <c r="V256" i="15" s="1"/>
  <c r="F256" i="15" s="1"/>
  <c r="Q260" i="15"/>
  <c r="Q264" i="15"/>
  <c r="Q268" i="15"/>
  <c r="Q272" i="15"/>
  <c r="Q276" i="15"/>
  <c r="Q280" i="15"/>
  <c r="P280" i="15" s="1"/>
  <c r="V280" i="15" s="1"/>
  <c r="F280" i="15" s="1"/>
  <c r="Q284" i="15"/>
  <c r="Q288" i="15"/>
  <c r="P288" i="15" s="1"/>
  <c r="V288" i="15" s="1"/>
  <c r="Q292" i="15"/>
  <c r="Q296" i="15"/>
  <c r="Q300" i="15"/>
  <c r="Q304" i="15"/>
  <c r="P304" i="15" s="1"/>
  <c r="V304" i="15" s="1"/>
  <c r="F304" i="15" s="1"/>
  <c r="Q308" i="15"/>
  <c r="Q312" i="15"/>
  <c r="P312" i="15" s="1"/>
  <c r="V312" i="15" s="1"/>
  <c r="F312" i="15" s="1"/>
  <c r="Q316" i="15"/>
  <c r="Q320" i="15"/>
  <c r="P320" i="15" s="1"/>
  <c r="V320" i="15" s="1"/>
  <c r="F320" i="15" s="1"/>
  <c r="Q324" i="15"/>
  <c r="Q328" i="15"/>
  <c r="P328" i="15" s="1"/>
  <c r="V328" i="15" s="1"/>
  <c r="F328" i="15" s="1"/>
  <c r="Q332" i="15"/>
  <c r="Q336" i="15"/>
  <c r="P336" i="15" s="1"/>
  <c r="V336" i="15" s="1"/>
  <c r="F336" i="15" s="1"/>
  <c r="Q340" i="15"/>
  <c r="Q344" i="15"/>
  <c r="P344" i="15" s="1"/>
  <c r="V344" i="15" s="1"/>
  <c r="F344" i="15" s="1"/>
  <c r="Q348" i="15"/>
  <c r="Q352" i="15"/>
  <c r="P352" i="15" s="1"/>
  <c r="V352" i="15" s="1"/>
  <c r="F352" i="15" s="1"/>
  <c r="Q356" i="15"/>
  <c r="P356" i="15" s="1"/>
  <c r="V356" i="15" s="1"/>
  <c r="F356" i="15" s="1"/>
  <c r="Q359" i="15"/>
  <c r="P359" i="15" s="1"/>
  <c r="V359" i="15" s="1"/>
  <c r="F359" i="15" s="1"/>
  <c r="Q361" i="15"/>
  <c r="P361" i="15" s="1"/>
  <c r="V361" i="15" s="1"/>
  <c r="F361" i="15" s="1"/>
  <c r="Q363" i="15"/>
  <c r="P363" i="15" s="1"/>
  <c r="Q365" i="15"/>
  <c r="Q367" i="15"/>
  <c r="P367" i="15" s="1"/>
  <c r="V367" i="15" s="1"/>
  <c r="F367" i="15" s="1"/>
  <c r="Q369" i="15"/>
  <c r="P369" i="15" s="1"/>
  <c r="V369" i="15" s="1"/>
  <c r="F369" i="15" s="1"/>
  <c r="Q371" i="15"/>
  <c r="P371" i="15" s="1"/>
  <c r="V371" i="15" s="1"/>
  <c r="F371" i="15" s="1"/>
  <c r="Q373" i="15"/>
  <c r="P373" i="15" s="1"/>
  <c r="V373" i="15" s="1"/>
  <c r="F373" i="15" s="1"/>
  <c r="Q375" i="15"/>
  <c r="P375" i="15" s="1"/>
  <c r="V375" i="15" s="1"/>
  <c r="F375" i="15" s="1"/>
  <c r="Q377" i="15"/>
  <c r="P377" i="15" s="1"/>
  <c r="V377" i="15" s="1"/>
  <c r="F377" i="15" s="1"/>
  <c r="Q379" i="15"/>
  <c r="Q12" i="16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S19" i="15" s="1"/>
  <c r="R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L382" i="15"/>
  <c r="L381" i="15"/>
  <c r="P211" i="15"/>
  <c r="V211" i="15" s="1"/>
  <c r="F211" i="15" s="1"/>
  <c r="P187" i="15"/>
  <c r="V187" i="15" s="1"/>
  <c r="F187" i="15" s="1"/>
  <c r="Q19" i="15"/>
  <c r="Q106" i="15"/>
  <c r="P106" i="15" s="1"/>
  <c r="V106" i="15" s="1"/>
  <c r="F106" i="15" s="1"/>
  <c r="Q122" i="15"/>
  <c r="P122" i="15" s="1"/>
  <c r="V122" i="15" s="1"/>
  <c r="F122" i="15" s="1"/>
  <c r="Q138" i="15"/>
  <c r="Q148" i="15"/>
  <c r="Q156" i="15"/>
  <c r="P156" i="15" s="1"/>
  <c r="V156" i="15" s="1"/>
  <c r="F156" i="15" s="1"/>
  <c r="Q164" i="15"/>
  <c r="Q172" i="15"/>
  <c r="Q180" i="15"/>
  <c r="Q185" i="15"/>
  <c r="P185" i="15" s="1"/>
  <c r="V185" i="15" s="1"/>
  <c r="F185" i="15" s="1"/>
  <c r="Q189" i="15"/>
  <c r="P189" i="15" s="1"/>
  <c r="V189" i="15" s="1"/>
  <c r="F189" i="15" s="1"/>
  <c r="Q193" i="15"/>
  <c r="Q197" i="15"/>
  <c r="Q201" i="15"/>
  <c r="P201" i="15" s="1"/>
  <c r="V201" i="15" s="1"/>
  <c r="F201" i="15" s="1"/>
  <c r="Q205" i="15"/>
  <c r="Q209" i="15"/>
  <c r="P209" i="15" s="1"/>
  <c r="V209" i="15" s="1"/>
  <c r="F209" i="15" s="1"/>
  <c r="Q213" i="15"/>
  <c r="P213" i="15" s="1"/>
  <c r="V213" i="15" s="1"/>
  <c r="F213" i="15" s="1"/>
  <c r="Q217" i="15"/>
  <c r="P217" i="15" s="1"/>
  <c r="V217" i="15" s="1"/>
  <c r="F217" i="15" s="1"/>
  <c r="Q221" i="15"/>
  <c r="P221" i="15" s="1"/>
  <c r="V221" i="15" s="1"/>
  <c r="F221" i="15" s="1"/>
  <c r="Q225" i="15"/>
  <c r="P225" i="15" s="1"/>
  <c r="V225" i="15" s="1"/>
  <c r="F225" i="15" s="1"/>
  <c r="Q229" i="15"/>
  <c r="P229" i="15" s="1"/>
  <c r="V229" i="15" s="1"/>
  <c r="F229" i="15" s="1"/>
  <c r="Q231" i="15"/>
  <c r="Q233" i="15"/>
  <c r="Q235" i="15"/>
  <c r="P235" i="15" s="1"/>
  <c r="V235" i="15" s="1"/>
  <c r="F235" i="15" s="1"/>
  <c r="Q237" i="15"/>
  <c r="Q239" i="15"/>
  <c r="P239" i="15" s="1"/>
  <c r="V239" i="15" s="1"/>
  <c r="F239" i="15" s="1"/>
  <c r="Q241" i="15"/>
  <c r="Q243" i="15"/>
  <c r="P243" i="15" s="1"/>
  <c r="V243" i="15" s="1"/>
  <c r="F243" i="15" s="1"/>
  <c r="Q245" i="15"/>
  <c r="P245" i="15" s="1"/>
  <c r="V245" i="15" s="1"/>
  <c r="F245" i="15" s="1"/>
  <c r="Q247" i="15"/>
  <c r="P247" i="15" s="1"/>
  <c r="V247" i="15" s="1"/>
  <c r="F247" i="15" s="1"/>
  <c r="Q249" i="15"/>
  <c r="P249" i="15" s="1"/>
  <c r="V249" i="15" s="1"/>
  <c r="F249" i="15" s="1"/>
  <c r="Q251" i="15"/>
  <c r="P251" i="15" s="1"/>
  <c r="V251" i="15" s="1"/>
  <c r="F251" i="15" s="1"/>
  <c r="Q253" i="15"/>
  <c r="P253" i="15" s="1"/>
  <c r="V253" i="15" s="1"/>
  <c r="F253" i="15" s="1"/>
  <c r="Q255" i="15"/>
  <c r="P255" i="15" s="1"/>
  <c r="V255" i="15" s="1"/>
  <c r="F255" i="15" s="1"/>
  <c r="Q257" i="15"/>
  <c r="Q259" i="15"/>
  <c r="P259" i="15" s="1"/>
  <c r="V259" i="15" s="1"/>
  <c r="F259" i="15" s="1"/>
  <c r="Q261" i="15"/>
  <c r="P261" i="15" s="1"/>
  <c r="V261" i="15" s="1"/>
  <c r="F261" i="15" s="1"/>
  <c r="Q263" i="15"/>
  <c r="P263" i="15" s="1"/>
  <c r="V263" i="15" s="1"/>
  <c r="F263" i="15" s="1"/>
  <c r="Q265" i="15"/>
  <c r="P265" i="15" s="1"/>
  <c r="V265" i="15" s="1"/>
  <c r="F265" i="15" s="1"/>
  <c r="Q267" i="15"/>
  <c r="P267" i="15" s="1"/>
  <c r="V267" i="15" s="1"/>
  <c r="F267" i="15" s="1"/>
  <c r="Q269" i="15"/>
  <c r="Q271" i="15"/>
  <c r="Q273" i="15"/>
  <c r="Q275" i="15"/>
  <c r="P275" i="15" s="1"/>
  <c r="V275" i="15" s="1"/>
  <c r="F275" i="15" s="1"/>
  <c r="Q277" i="15"/>
  <c r="Q279" i="15"/>
  <c r="P279" i="15" s="1"/>
  <c r="V279" i="15" s="1"/>
  <c r="F279" i="15" s="1"/>
  <c r="Q281" i="15"/>
  <c r="P281" i="15" s="1"/>
  <c r="V281" i="15" s="1"/>
  <c r="F281" i="15" s="1"/>
  <c r="Q283" i="15"/>
  <c r="P283" i="15" s="1"/>
  <c r="V283" i="15" s="1"/>
  <c r="F283" i="15" s="1"/>
  <c r="Q285" i="15"/>
  <c r="P285" i="15" s="1"/>
  <c r="V285" i="15" s="1"/>
  <c r="F285" i="15" s="1"/>
  <c r="Q287" i="15"/>
  <c r="P287" i="15" s="1"/>
  <c r="V287" i="15" s="1"/>
  <c r="F287" i="15" s="1"/>
  <c r="Q289" i="15"/>
  <c r="Q291" i="15"/>
  <c r="P291" i="15" s="1"/>
  <c r="V291" i="15" s="1"/>
  <c r="F291" i="15" s="1"/>
  <c r="Q293" i="15"/>
  <c r="P293" i="15" s="1"/>
  <c r="V293" i="15" s="1"/>
  <c r="F293" i="15" s="1"/>
  <c r="Q295" i="15"/>
  <c r="P295" i="15" s="1"/>
  <c r="V295" i="15" s="1"/>
  <c r="F295" i="15" s="1"/>
  <c r="Q297" i="15"/>
  <c r="Q299" i="15"/>
  <c r="P299" i="15" s="1"/>
  <c r="V299" i="15" s="1"/>
  <c r="F299" i="15" s="1"/>
  <c r="Q301" i="15"/>
  <c r="Q303" i="15"/>
  <c r="P303" i="15" s="1"/>
  <c r="V303" i="15" s="1"/>
  <c r="F303" i="15" s="1"/>
  <c r="Q305" i="15"/>
  <c r="Q307" i="15"/>
  <c r="P307" i="15" s="1"/>
  <c r="V307" i="15" s="1"/>
  <c r="F307" i="15" s="1"/>
  <c r="Q309" i="15"/>
  <c r="P309" i="15" s="1"/>
  <c r="V309" i="15" s="1"/>
  <c r="F309" i="15" s="1"/>
  <c r="Q311" i="15"/>
  <c r="P311" i="15" s="1"/>
  <c r="V311" i="15" s="1"/>
  <c r="F311" i="15" s="1"/>
  <c r="Q313" i="15"/>
  <c r="P313" i="15" s="1"/>
  <c r="V313" i="15" s="1"/>
  <c r="F313" i="15" s="1"/>
  <c r="Q315" i="15"/>
  <c r="P315" i="15" s="1"/>
  <c r="V315" i="15" s="1"/>
  <c r="F315" i="15" s="1"/>
  <c r="Q317" i="15"/>
  <c r="P317" i="15" s="1"/>
  <c r="V317" i="15" s="1"/>
  <c r="F317" i="15" s="1"/>
  <c r="Q319" i="15"/>
  <c r="P319" i="15" s="1"/>
  <c r="V319" i="15" s="1"/>
  <c r="F319" i="15" s="1"/>
  <c r="Q321" i="15"/>
  <c r="Q323" i="15"/>
  <c r="P323" i="15" s="1"/>
  <c r="V323" i="15" s="1"/>
  <c r="F323" i="15" s="1"/>
  <c r="Q325" i="15"/>
  <c r="P325" i="15" s="1"/>
  <c r="V325" i="15" s="1"/>
  <c r="F325" i="15" s="1"/>
  <c r="Q327" i="15"/>
  <c r="P327" i="15" s="1"/>
  <c r="V327" i="15" s="1"/>
  <c r="F327" i="15" s="1"/>
  <c r="Q329" i="15"/>
  <c r="P329" i="15" s="1"/>
  <c r="V329" i="15" s="1"/>
  <c r="F329" i="15" s="1"/>
  <c r="Q331" i="15"/>
  <c r="P331" i="15" s="1"/>
  <c r="V331" i="15" s="1"/>
  <c r="F331" i="15" s="1"/>
  <c r="Q333" i="15"/>
  <c r="Q335" i="15"/>
  <c r="P335" i="15" s="1"/>
  <c r="V335" i="15" s="1"/>
  <c r="F335" i="15" s="1"/>
  <c r="Q337" i="15"/>
  <c r="Q339" i="15"/>
  <c r="P339" i="15" s="1"/>
  <c r="V339" i="15" s="1"/>
  <c r="F339" i="15" s="1"/>
  <c r="Q341" i="15"/>
  <c r="P341" i="15" s="1"/>
  <c r="V341" i="15" s="1"/>
  <c r="F341" i="15" s="1"/>
  <c r="Q343" i="15"/>
  <c r="P343" i="15" s="1"/>
  <c r="V343" i="15" s="1"/>
  <c r="F343" i="15" s="1"/>
  <c r="Q345" i="15"/>
  <c r="Q347" i="15"/>
  <c r="P347" i="15" s="1"/>
  <c r="V347" i="15" s="1"/>
  <c r="F347" i="15" s="1"/>
  <c r="Q349" i="15"/>
  <c r="P349" i="15" s="1"/>
  <c r="V349" i="15" s="1"/>
  <c r="F349" i="15" s="1"/>
  <c r="Q351" i="15"/>
  <c r="P351" i="15" s="1"/>
  <c r="V351" i="15" s="1"/>
  <c r="F351" i="15" s="1"/>
  <c r="Q353" i="15"/>
  <c r="P353" i="15" s="1"/>
  <c r="V353" i="15" s="1"/>
  <c r="F353" i="15" s="1"/>
  <c r="Q355" i="15"/>
  <c r="P355" i="15" s="1"/>
  <c r="V355" i="15" s="1"/>
  <c r="F355" i="15" s="1"/>
  <c r="Q357" i="15"/>
  <c r="P357" i="15" s="1"/>
  <c r="V357" i="15" s="1"/>
  <c r="F357" i="15" s="1"/>
  <c r="P164" i="15"/>
  <c r="V164" i="15" s="1"/>
  <c r="F164" i="15" s="1"/>
  <c r="P148" i="15"/>
  <c r="V148" i="15" s="1"/>
  <c r="F148" i="15" s="1"/>
  <c r="AM7" i="15"/>
  <c r="AM11" i="15" s="1"/>
  <c r="AM9" i="15"/>
  <c r="Q90" i="15"/>
  <c r="P90" i="15" s="1"/>
  <c r="V90" i="15" s="1"/>
  <c r="F90" i="15" s="1"/>
  <c r="AK5" i="15"/>
  <c r="O381" i="15"/>
  <c r="AC382" i="15"/>
  <c r="O383" i="15"/>
  <c r="L36" i="19" s="1"/>
  <c r="Q228" i="15"/>
  <c r="Q226" i="15"/>
  <c r="P226" i="15" s="1"/>
  <c r="V226" i="15" s="1"/>
  <c r="F226" i="15" s="1"/>
  <c r="Q224" i="15"/>
  <c r="Q222" i="15"/>
  <c r="P222" i="15" s="1"/>
  <c r="V222" i="15" s="1"/>
  <c r="F222" i="15" s="1"/>
  <c r="Q220" i="15"/>
  <c r="Q218" i="15"/>
  <c r="P218" i="15" s="1"/>
  <c r="V218" i="15" s="1"/>
  <c r="F218" i="15" s="1"/>
  <c r="Q216" i="15"/>
  <c r="Q214" i="15"/>
  <c r="Q212" i="15"/>
  <c r="Q210" i="15"/>
  <c r="P210" i="15" s="1"/>
  <c r="D38" i="7" s="1"/>
  <c r="Q208" i="15"/>
  <c r="Q206" i="15"/>
  <c r="P206" i="15" s="1"/>
  <c r="V206" i="15" s="1"/>
  <c r="F206" i="15" s="1"/>
  <c r="Q204" i="15"/>
  <c r="Q202" i="15"/>
  <c r="P202" i="15" s="1"/>
  <c r="V202" i="15" s="1"/>
  <c r="F202" i="15" s="1"/>
  <c r="Q200" i="15"/>
  <c r="P200" i="15" s="1"/>
  <c r="V200" i="15" s="1"/>
  <c r="F200" i="15" s="1"/>
  <c r="Q198" i="15"/>
  <c r="P198" i="15" s="1"/>
  <c r="V198" i="15" s="1"/>
  <c r="F198" i="15" s="1"/>
  <c r="Q196" i="15"/>
  <c r="Q194" i="15"/>
  <c r="P194" i="15" s="1"/>
  <c r="V194" i="15" s="1"/>
  <c r="F194" i="15" s="1"/>
  <c r="Q192" i="15"/>
  <c r="P192" i="15" s="1"/>
  <c r="V192" i="15" s="1"/>
  <c r="F192" i="15" s="1"/>
  <c r="Q190" i="15"/>
  <c r="P190" i="15" s="1"/>
  <c r="V190" i="15" s="1"/>
  <c r="F190" i="15" s="1"/>
  <c r="Q188" i="15"/>
  <c r="Q186" i="15"/>
  <c r="P186" i="15" s="1"/>
  <c r="V186" i="15" s="1"/>
  <c r="F186" i="15" s="1"/>
  <c r="Q184" i="15"/>
  <c r="P184" i="15" s="1"/>
  <c r="V184" i="15" s="1"/>
  <c r="F184" i="15" s="1"/>
  <c r="Q182" i="15"/>
  <c r="P182" i="15" s="1"/>
  <c r="V182" i="15" s="1"/>
  <c r="F182" i="15" s="1"/>
  <c r="Q178" i="15"/>
  <c r="P178" i="15" s="1"/>
  <c r="V178" i="15" s="1"/>
  <c r="F178" i="15" s="1"/>
  <c r="Q174" i="15"/>
  <c r="P174" i="15" s="1"/>
  <c r="V174" i="15" s="1"/>
  <c r="F174" i="15" s="1"/>
  <c r="Q170" i="15"/>
  <c r="Q166" i="15"/>
  <c r="P166" i="15" s="1"/>
  <c r="V166" i="15" s="1"/>
  <c r="F166" i="15" s="1"/>
  <c r="Q162" i="15"/>
  <c r="P162" i="15" s="1"/>
  <c r="V162" i="15" s="1"/>
  <c r="F162" i="15" s="1"/>
  <c r="Q158" i="15"/>
  <c r="P158" i="15" s="1"/>
  <c r="V158" i="15" s="1"/>
  <c r="F158" i="15" s="1"/>
  <c r="Q154" i="15"/>
  <c r="Q150" i="15"/>
  <c r="Q146" i="15"/>
  <c r="P146" i="15" s="1"/>
  <c r="V146" i="15" s="1"/>
  <c r="F146" i="15" s="1"/>
  <c r="Q142" i="15"/>
  <c r="P142" i="15" s="1"/>
  <c r="V142" i="15" s="1"/>
  <c r="F142" i="15" s="1"/>
  <c r="Q134" i="15"/>
  <c r="Q126" i="15"/>
  <c r="P126" i="15" s="1"/>
  <c r="V126" i="15" s="1"/>
  <c r="F126" i="15" s="1"/>
  <c r="Q118" i="15"/>
  <c r="P118" i="15" s="1"/>
  <c r="V118" i="15" s="1"/>
  <c r="F118" i="15" s="1"/>
  <c r="Q110" i="15"/>
  <c r="P110" i="15" s="1"/>
  <c r="V110" i="15" s="1"/>
  <c r="F110" i="15" s="1"/>
  <c r="Q98" i="15"/>
  <c r="Q75" i="15"/>
  <c r="AK6" i="15"/>
  <c r="AK7" i="15"/>
  <c r="AK11" i="15" s="1"/>
  <c r="AM5" i="15"/>
  <c r="Q140" i="15"/>
  <c r="Q136" i="15"/>
  <c r="Q132" i="15"/>
  <c r="Q128" i="15"/>
  <c r="Q124" i="15"/>
  <c r="Q120" i="15"/>
  <c r="Q116" i="15"/>
  <c r="Q112" i="15"/>
  <c r="Q108" i="15"/>
  <c r="Q102" i="15"/>
  <c r="Q94" i="15"/>
  <c r="P94" i="15" s="1"/>
  <c r="V94" i="15" s="1"/>
  <c r="F94" i="15" s="1"/>
  <c r="Q86" i="15"/>
  <c r="P86" i="15" s="1"/>
  <c r="V86" i="15" s="1"/>
  <c r="F86" i="15" s="1"/>
  <c r="Q53" i="15"/>
  <c r="AK9" i="15"/>
  <c r="Q181" i="15"/>
  <c r="Q179" i="15"/>
  <c r="Q177" i="15"/>
  <c r="Q175" i="15"/>
  <c r="Q173" i="15"/>
  <c r="Q171" i="15"/>
  <c r="Q169" i="15"/>
  <c r="Q167" i="15"/>
  <c r="Q165" i="15"/>
  <c r="Q163" i="15"/>
  <c r="Q161" i="15"/>
  <c r="Q159" i="15"/>
  <c r="Q157" i="15"/>
  <c r="Q155" i="15"/>
  <c r="Q153" i="15"/>
  <c r="Q151" i="15"/>
  <c r="Q149" i="15"/>
  <c r="Q147" i="15"/>
  <c r="Q145" i="15"/>
  <c r="Q143" i="15"/>
  <c r="Q141" i="15"/>
  <c r="Q139" i="15"/>
  <c r="Q137" i="15"/>
  <c r="Q135" i="15"/>
  <c r="Q133" i="15"/>
  <c r="Q131" i="15"/>
  <c r="Q129" i="15"/>
  <c r="Q127" i="15"/>
  <c r="Q125" i="15"/>
  <c r="Q123" i="15"/>
  <c r="Q121" i="15"/>
  <c r="Q119" i="15"/>
  <c r="Q117" i="15"/>
  <c r="Q115" i="15"/>
  <c r="Q113" i="15"/>
  <c r="Q111" i="15"/>
  <c r="Q109" i="15"/>
  <c r="Q107" i="15"/>
  <c r="Q104" i="15"/>
  <c r="P104" i="15" s="1"/>
  <c r="V104" i="15" s="1"/>
  <c r="F104" i="15" s="1"/>
  <c r="Q100" i="15"/>
  <c r="Q96" i="15"/>
  <c r="P96" i="15" s="1"/>
  <c r="V96" i="15" s="1"/>
  <c r="F96" i="15" s="1"/>
  <c r="Q92" i="15"/>
  <c r="Q88" i="15"/>
  <c r="P88" i="15" s="1"/>
  <c r="Q83" i="15"/>
  <c r="Q67" i="15"/>
  <c r="Q37" i="15"/>
  <c r="AC381" i="15"/>
  <c r="Q105" i="15"/>
  <c r="Q103" i="15"/>
  <c r="Q101" i="15"/>
  <c r="Q99" i="15"/>
  <c r="Q97" i="15"/>
  <c r="Q95" i="15"/>
  <c r="Q93" i="15"/>
  <c r="Q91" i="15"/>
  <c r="Q89" i="15"/>
  <c r="Q87" i="15"/>
  <c r="Q85" i="15"/>
  <c r="Q79" i="15"/>
  <c r="Q71" i="15"/>
  <c r="Q61" i="15"/>
  <c r="Q45" i="15"/>
  <c r="Q29" i="15"/>
  <c r="AL5" i="15"/>
  <c r="AJ6" i="15"/>
  <c r="AL7" i="15"/>
  <c r="AL11" i="15" s="1"/>
  <c r="AL9" i="15"/>
  <c r="E378" i="15"/>
  <c r="D383" i="15"/>
  <c r="D381" i="15"/>
  <c r="D9" i="15"/>
  <c r="D11" i="15" s="1"/>
  <c r="E36" i="19" s="1"/>
  <c r="D382" i="15"/>
  <c r="E379" i="15"/>
  <c r="AJ8" i="15"/>
  <c r="AJ5" i="15"/>
  <c r="AJ7" i="15"/>
  <c r="AJ11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P45" i="15" s="1"/>
  <c r="V45" i="15" s="1"/>
  <c r="F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P67" i="15" s="1"/>
  <c r="V67" i="15" s="1"/>
  <c r="F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P75" i="15" s="1"/>
  <c r="U77" i="15"/>
  <c r="T77" i="15" s="1"/>
  <c r="S77" i="15" s="1"/>
  <c r="R77" i="15" s="1"/>
  <c r="U79" i="15"/>
  <c r="T79" i="15" s="1"/>
  <c r="S79" i="15" s="1"/>
  <c r="R79" i="15" s="1"/>
  <c r="P79" i="15" s="1"/>
  <c r="V79" i="15" s="1"/>
  <c r="F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P85" i="15" s="1"/>
  <c r="V85" i="15" s="1"/>
  <c r="F85" i="15" s="1"/>
  <c r="U87" i="15"/>
  <c r="T87" i="15" s="1"/>
  <c r="S87" i="15" s="1"/>
  <c r="R87" i="15" s="1"/>
  <c r="P87" i="15" s="1"/>
  <c r="V87" i="15" s="1"/>
  <c r="F87" i="15" s="1"/>
  <c r="U89" i="15"/>
  <c r="T89" i="15" s="1"/>
  <c r="S89" i="15" s="1"/>
  <c r="R89" i="15" s="1"/>
  <c r="P89" i="15" s="1"/>
  <c r="V89" i="15" s="1"/>
  <c r="F89" i="15" s="1"/>
  <c r="U91" i="15"/>
  <c r="T91" i="15" s="1"/>
  <c r="S91" i="15" s="1"/>
  <c r="R91" i="15" s="1"/>
  <c r="P91" i="15" s="1"/>
  <c r="V91" i="15" s="1"/>
  <c r="F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P95" i="15" s="1"/>
  <c r="V95" i="15" s="1"/>
  <c r="F95" i="15" s="1"/>
  <c r="U97" i="15"/>
  <c r="T97" i="15" s="1"/>
  <c r="S97" i="15" s="1"/>
  <c r="R97" i="15" s="1"/>
  <c r="P97" i="15" s="1"/>
  <c r="V97" i="15" s="1"/>
  <c r="F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P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P105" i="15" s="1"/>
  <c r="V105" i="15" s="1"/>
  <c r="F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U181" i="15"/>
  <c r="T181" i="15" s="1"/>
  <c r="S181" i="15" s="1"/>
  <c r="R181" i="15" s="1"/>
  <c r="U183" i="15"/>
  <c r="T183" i="15" s="1"/>
  <c r="S183" i="15" s="1"/>
  <c r="R183" i="15" s="1"/>
  <c r="P183" i="15" s="1"/>
  <c r="V183" i="15" s="1"/>
  <c r="F183" i="15" s="1"/>
  <c r="Q81" i="15"/>
  <c r="P81" i="15" s="1"/>
  <c r="V81" i="15" s="1"/>
  <c r="F81" i="15" s="1"/>
  <c r="Q77" i="15"/>
  <c r="Q73" i="15"/>
  <c r="Q69" i="15"/>
  <c r="Q65" i="15"/>
  <c r="P65" i="15" s="1"/>
  <c r="V65" i="15" s="1"/>
  <c r="F65" i="15" s="1"/>
  <c r="Q57" i="15"/>
  <c r="Q49" i="15"/>
  <c r="P49" i="15" s="1"/>
  <c r="V49" i="15" s="1"/>
  <c r="F49" i="15" s="1"/>
  <c r="Q41" i="15"/>
  <c r="Q33" i="15"/>
  <c r="P33" i="15" s="1"/>
  <c r="V33" i="15" s="1"/>
  <c r="F33" i="15" s="1"/>
  <c r="Q25" i="15"/>
  <c r="Q84" i="15"/>
  <c r="Q82" i="15"/>
  <c r="Q80" i="15"/>
  <c r="Q78" i="15"/>
  <c r="P78" i="15" s="1"/>
  <c r="Q76" i="15"/>
  <c r="Q74" i="15"/>
  <c r="P74" i="15" s="1"/>
  <c r="Q72" i="15"/>
  <c r="Q70" i="15"/>
  <c r="Q68" i="15"/>
  <c r="Q66" i="15"/>
  <c r="Q63" i="15"/>
  <c r="Q59" i="15"/>
  <c r="P59" i="15" s="1"/>
  <c r="V59" i="15" s="1"/>
  <c r="F59" i="15" s="1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I12" i="16"/>
  <c r="AH379" i="15"/>
  <c r="AH376" i="15"/>
  <c r="AH372" i="15"/>
  <c r="AG368" i="15"/>
  <c r="AF368" i="15" s="1"/>
  <c r="AH364" i="15"/>
  <c r="AG360" i="15"/>
  <c r="AF360" i="15" s="1"/>
  <c r="AG356" i="15"/>
  <c r="AF356" i="15" s="1"/>
  <c r="AH352" i="15"/>
  <c r="AH348" i="15"/>
  <c r="AG344" i="15"/>
  <c r="AF344" i="15" s="1"/>
  <c r="AG340" i="15"/>
  <c r="AF340" i="15" s="1"/>
  <c r="AG336" i="15"/>
  <c r="AF336" i="15" s="1"/>
  <c r="AH332" i="15"/>
  <c r="AH328" i="15"/>
  <c r="AG324" i="15"/>
  <c r="AF324" i="15" s="1"/>
  <c r="AH320" i="15"/>
  <c r="AG316" i="15"/>
  <c r="AF316" i="15" s="1"/>
  <c r="AH312" i="15"/>
  <c r="AH308" i="15"/>
  <c r="AH304" i="15"/>
  <c r="AH300" i="15"/>
  <c r="AH296" i="15"/>
  <c r="AH292" i="15"/>
  <c r="AG288" i="15"/>
  <c r="AF288" i="15" s="1"/>
  <c r="AH284" i="15"/>
  <c r="AG280" i="15"/>
  <c r="AF280" i="15" s="1"/>
  <c r="AH276" i="15"/>
  <c r="AH272" i="15"/>
  <c r="AH268" i="15"/>
  <c r="AG264" i="15"/>
  <c r="AF264" i="15" s="1"/>
  <c r="AH260" i="15"/>
  <c r="AH256" i="15"/>
  <c r="AH252" i="15"/>
  <c r="AH248" i="15"/>
  <c r="AG244" i="15"/>
  <c r="AF244" i="15" s="1"/>
  <c r="AG240" i="15"/>
  <c r="AF240" i="15" s="1"/>
  <c r="AG238" i="15"/>
  <c r="AF238" i="15" s="1"/>
  <c r="AG234" i="15"/>
  <c r="AF234" i="15" s="1"/>
  <c r="AG230" i="15"/>
  <c r="AF230" i="15" s="1"/>
  <c r="AH226" i="15"/>
  <c r="AH222" i="15"/>
  <c r="AH218" i="15"/>
  <c r="AH214" i="15"/>
  <c r="AG210" i="15"/>
  <c r="AF210" i="15" s="1"/>
  <c r="AG206" i="15"/>
  <c r="AF206" i="15" s="1"/>
  <c r="AG202" i="15"/>
  <c r="AF202" i="15" s="1"/>
  <c r="AH198" i="15"/>
  <c r="AH194" i="15"/>
  <c r="AH190" i="15"/>
  <c r="AH186" i="15"/>
  <c r="AG182" i="15"/>
  <c r="AF182" i="15" s="1"/>
  <c r="AH178" i="15"/>
  <c r="AH174" i="15"/>
  <c r="AG170" i="15"/>
  <c r="AF170" i="15" s="1"/>
  <c r="AG166" i="15"/>
  <c r="AF166" i="15" s="1"/>
  <c r="AG162" i="15"/>
  <c r="AF162" i="15" s="1"/>
  <c r="AH158" i="15"/>
  <c r="AH154" i="15"/>
  <c r="AG150" i="15"/>
  <c r="AF150" i="15" s="1"/>
  <c r="AH146" i="15"/>
  <c r="AG142" i="15"/>
  <c r="AF142" i="15" s="1"/>
  <c r="AG138" i="15"/>
  <c r="AF138" i="15" s="1"/>
  <c r="AG134" i="15"/>
  <c r="AF134" i="15" s="1"/>
  <c r="AG130" i="15"/>
  <c r="AF130" i="15" s="1"/>
  <c r="AH126" i="15"/>
  <c r="AH122" i="15"/>
  <c r="AH118" i="15"/>
  <c r="AH114" i="15"/>
  <c r="AH110" i="15"/>
  <c r="AH106" i="15"/>
  <c r="AG102" i="15"/>
  <c r="AF102" i="15" s="1"/>
  <c r="AG98" i="15"/>
  <c r="AF98" i="15" s="1"/>
  <c r="AH94" i="15"/>
  <c r="AH90" i="15"/>
  <c r="AH86" i="15"/>
  <c r="AH82" i="15"/>
  <c r="AG78" i="15"/>
  <c r="AF78" i="15" s="1"/>
  <c r="AH74" i="15"/>
  <c r="AG70" i="15"/>
  <c r="AF70" i="15" s="1"/>
  <c r="AH66" i="15"/>
  <c r="AH62" i="15"/>
  <c r="AG58" i="15"/>
  <c r="AF58" i="15" s="1"/>
  <c r="AH54" i="15"/>
  <c r="AG50" i="15"/>
  <c r="AF50" i="15" s="1"/>
  <c r="AH46" i="15"/>
  <c r="AG42" i="15"/>
  <c r="AF42" i="15" s="1"/>
  <c r="AH38" i="15"/>
  <c r="AG34" i="15"/>
  <c r="AF34" i="15" s="1"/>
  <c r="AH30" i="15"/>
  <c r="AH16" i="15"/>
  <c r="AH28" i="15"/>
  <c r="AH18" i="15"/>
  <c r="AI382" i="15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S365" i="15"/>
  <c r="R365" i="15" s="1"/>
  <c r="S345" i="15"/>
  <c r="R345" i="15" s="1"/>
  <c r="S333" i="15"/>
  <c r="R333" i="15" s="1"/>
  <c r="S297" i="15"/>
  <c r="R297" i="15" s="1"/>
  <c r="P297" i="15" s="1"/>
  <c r="S277" i="15"/>
  <c r="R277" i="15" s="1"/>
  <c r="S233" i="15"/>
  <c r="R233" i="15" s="1"/>
  <c r="P233" i="15" s="1"/>
  <c r="S227" i="15"/>
  <c r="R227" i="15" s="1"/>
  <c r="S197" i="15"/>
  <c r="R197" i="15" s="1"/>
  <c r="P197" i="15" s="1"/>
  <c r="S193" i="15"/>
  <c r="R193" i="15" s="1"/>
  <c r="S137" i="15"/>
  <c r="R137" i="15" s="1"/>
  <c r="S37" i="15"/>
  <c r="R37" i="15" s="1"/>
  <c r="P37" i="15" s="1"/>
  <c r="V37" i="15" s="1"/>
  <c r="F37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77" i="15"/>
  <c r="AG375" i="15"/>
  <c r="AF375" i="15" s="1"/>
  <c r="AD375" i="15" s="1"/>
  <c r="AH371" i="15"/>
  <c r="AH369" i="15"/>
  <c r="AG367" i="15"/>
  <c r="AF367" i="15" s="1"/>
  <c r="AD367" i="15" s="1"/>
  <c r="AH363" i="15"/>
  <c r="AH361" i="15"/>
  <c r="AG359" i="15"/>
  <c r="AF359" i="15" s="1"/>
  <c r="AD359" i="15" s="1"/>
  <c r="AH355" i="15"/>
  <c r="AG353" i="15"/>
  <c r="AF353" i="15" s="1"/>
  <c r="AG351" i="15"/>
  <c r="AF351" i="15" s="1"/>
  <c r="AD351" i="15" s="1"/>
  <c r="AG347" i="15"/>
  <c r="AF347" i="15" s="1"/>
  <c r="AD347" i="15" s="1"/>
  <c r="AG345" i="15"/>
  <c r="AF345" i="15" s="1"/>
  <c r="AH343" i="15"/>
  <c r="AH339" i="15"/>
  <c r="AG337" i="15"/>
  <c r="AF337" i="15" s="1"/>
  <c r="AH335" i="15"/>
  <c r="AH331" i="15"/>
  <c r="AH329" i="15"/>
  <c r="AH327" i="15"/>
  <c r="AH323" i="15"/>
  <c r="AH321" i="15"/>
  <c r="AH319" i="15"/>
  <c r="AG315" i="15"/>
  <c r="AF315" i="15" s="1"/>
  <c r="AD315" i="15" s="1"/>
  <c r="AG313" i="15"/>
  <c r="AF313" i="15" s="1"/>
  <c r="AG311" i="15"/>
  <c r="AF311" i="15" s="1"/>
  <c r="AD311" i="15" s="1"/>
  <c r="AG307" i="15"/>
  <c r="AF307" i="15" s="1"/>
  <c r="AD307" i="15" s="1"/>
  <c r="AH305" i="15"/>
  <c r="AG303" i="15"/>
  <c r="AF303" i="15" s="1"/>
  <c r="AD303" i="15" s="1"/>
  <c r="AG299" i="15"/>
  <c r="AF299" i="15" s="1"/>
  <c r="AD299" i="15" s="1"/>
  <c r="AH297" i="15"/>
  <c r="AH295" i="15"/>
  <c r="AG291" i="15"/>
  <c r="AF291" i="15" s="1"/>
  <c r="AD291" i="15" s="1"/>
  <c r="AG289" i="15"/>
  <c r="AF289" i="15" s="1"/>
  <c r="AH287" i="15"/>
  <c r="AG283" i="15"/>
  <c r="AF283" i="15" s="1"/>
  <c r="AD283" i="15" s="1"/>
  <c r="AG281" i="15"/>
  <c r="AF281" i="15" s="1"/>
  <c r="AG279" i="15"/>
  <c r="AF279" i="15" s="1"/>
  <c r="AD279" i="15" s="1"/>
  <c r="AH275" i="15"/>
  <c r="AG273" i="15"/>
  <c r="AF273" i="15" s="1"/>
  <c r="AG271" i="15"/>
  <c r="AF271" i="15" s="1"/>
  <c r="AD271" i="15" s="1"/>
  <c r="AG267" i="15"/>
  <c r="AF267" i="15" s="1"/>
  <c r="AD267" i="15" s="1"/>
  <c r="AG265" i="15"/>
  <c r="AF265" i="15" s="1"/>
  <c r="AG263" i="15"/>
  <c r="AF263" i="15" s="1"/>
  <c r="AD263" i="15" s="1"/>
  <c r="AG259" i="15"/>
  <c r="AF259" i="15" s="1"/>
  <c r="AD259" i="15" s="1"/>
  <c r="AG257" i="15"/>
  <c r="AF257" i="15" s="1"/>
  <c r="AG255" i="15"/>
  <c r="AF255" i="15" s="1"/>
  <c r="AD255" i="15" s="1"/>
  <c r="AG251" i="15"/>
  <c r="AF251" i="15" s="1"/>
  <c r="AD251" i="15" s="1"/>
  <c r="AG249" i="15"/>
  <c r="AF249" i="15" s="1"/>
  <c r="AH247" i="15"/>
  <c r="AH243" i="15"/>
  <c r="AG241" i="15"/>
  <c r="AF241" i="15" s="1"/>
  <c r="AG239" i="15"/>
  <c r="AF239" i="15" s="1"/>
  <c r="AD239" i="15" s="1"/>
  <c r="AH233" i="15"/>
  <c r="AG231" i="15"/>
  <c r="AF231" i="15" s="1"/>
  <c r="AG227" i="15"/>
  <c r="AF227" i="15" s="1"/>
  <c r="AD227" i="15" s="1"/>
  <c r="AH225" i="15"/>
  <c r="AH223" i="15"/>
  <c r="AG217" i="15"/>
  <c r="AF217" i="15" s="1"/>
  <c r="AG215" i="15"/>
  <c r="AF215" i="15" s="1"/>
  <c r="AG211" i="15"/>
  <c r="AF211" i="15" s="1"/>
  <c r="AD211" i="15" s="1"/>
  <c r="AH209" i="15"/>
  <c r="AG207" i="15"/>
  <c r="AF207" i="15" s="1"/>
  <c r="AD207" i="15" s="1"/>
  <c r="AG201" i="15"/>
  <c r="AF201" i="15" s="1"/>
  <c r="AG199" i="15"/>
  <c r="AF199" i="15" s="1"/>
  <c r="AG195" i="15"/>
  <c r="AF195" i="15" s="1"/>
  <c r="AD195" i="15" s="1"/>
  <c r="AH193" i="15"/>
  <c r="AH191" i="15"/>
  <c r="AH185" i="15"/>
  <c r="AG183" i="15"/>
  <c r="AF183" i="15" s="1"/>
  <c r="AH179" i="15"/>
  <c r="AG177" i="15"/>
  <c r="AF177" i="15" s="1"/>
  <c r="AG175" i="15"/>
  <c r="AF175" i="15" s="1"/>
  <c r="AD175" i="15" s="1"/>
  <c r="AG169" i="15"/>
  <c r="AF169" i="15" s="1"/>
  <c r="AH167" i="15"/>
  <c r="AG163" i="15"/>
  <c r="AF163" i="15" s="1"/>
  <c r="AD163" i="15" s="1"/>
  <c r="AG161" i="15"/>
  <c r="AF161" i="15" s="1"/>
  <c r="AH159" i="15"/>
  <c r="AG153" i="15"/>
  <c r="AF153" i="15" s="1"/>
  <c r="AH151" i="15"/>
  <c r="AH147" i="15"/>
  <c r="AG145" i="15"/>
  <c r="AF145" i="15" s="1"/>
  <c r="AG143" i="15"/>
  <c r="AF143" i="15" s="1"/>
  <c r="AD143" i="15" s="1"/>
  <c r="AH137" i="15"/>
  <c r="AG135" i="15"/>
  <c r="AF135" i="15" s="1"/>
  <c r="AH131" i="15"/>
  <c r="AG129" i="15"/>
  <c r="AF129" i="15" s="1"/>
  <c r="AH127" i="15"/>
  <c r="AH121" i="15"/>
  <c r="AG119" i="15"/>
  <c r="AF119" i="15" s="1"/>
  <c r="AH115" i="15"/>
  <c r="AH113" i="15"/>
  <c r="AH111" i="15"/>
  <c r="AG105" i="15"/>
  <c r="AF105" i="15" s="1"/>
  <c r="AG103" i="15"/>
  <c r="AF103" i="15" s="1"/>
  <c r="AH99" i="15"/>
  <c r="AG97" i="15"/>
  <c r="AF97" i="15" s="1"/>
  <c r="AG95" i="15"/>
  <c r="AF95" i="15" s="1"/>
  <c r="AD95" i="15" s="1"/>
  <c r="AG89" i="15"/>
  <c r="AF89" i="15" s="1"/>
  <c r="AH87" i="15"/>
  <c r="AH83" i="15"/>
  <c r="AH81" i="15"/>
  <c r="AG79" i="15"/>
  <c r="AF79" i="15" s="1"/>
  <c r="AD79" i="15" s="1"/>
  <c r="AG73" i="15"/>
  <c r="AF73" i="15" s="1"/>
  <c r="AG71" i="15"/>
  <c r="AF71" i="15" s="1"/>
  <c r="AG67" i="15"/>
  <c r="AF67" i="15" s="1"/>
  <c r="AD67" i="15" s="1"/>
  <c r="AG65" i="15"/>
  <c r="AF65" i="15" s="1"/>
  <c r="AH63" i="15"/>
  <c r="AG57" i="15"/>
  <c r="AF57" i="15" s="1"/>
  <c r="AH55" i="15"/>
  <c r="AH51" i="15"/>
  <c r="AG49" i="15"/>
  <c r="AF49" i="15" s="1"/>
  <c r="AG47" i="15"/>
  <c r="AF47" i="15" s="1"/>
  <c r="AD47" i="15" s="1"/>
  <c r="AH41" i="15"/>
  <c r="AH39" i="15"/>
  <c r="AG35" i="15"/>
  <c r="AF35" i="15" s="1"/>
  <c r="AD35" i="15" s="1"/>
  <c r="AH33" i="15"/>
  <c r="AG31" i="15"/>
  <c r="AF31" i="15" s="1"/>
  <c r="AD31" i="15" s="1"/>
  <c r="AG21" i="15"/>
  <c r="AF21" i="15" s="1"/>
  <c r="AH17" i="15"/>
  <c r="AH23" i="15"/>
  <c r="AG24" i="15"/>
  <c r="AF24" i="15" s="1"/>
  <c r="AG22" i="15"/>
  <c r="AF22" i="15" s="1"/>
  <c r="AD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E379" i="17"/>
  <c r="AJ10" i="17" s="1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70" i="15"/>
  <c r="R370" i="15" s="1"/>
  <c r="S362" i="15"/>
  <c r="R362" i="15" s="1"/>
  <c r="S326" i="15"/>
  <c r="R326" i="15" s="1"/>
  <c r="P326" i="15" s="1"/>
  <c r="V326" i="15" s="1"/>
  <c r="F326" i="15" s="1"/>
  <c r="S318" i="15"/>
  <c r="R318" i="15" s="1"/>
  <c r="S298" i="15"/>
  <c r="R298" i="15" s="1"/>
  <c r="S294" i="15"/>
  <c r="R294" i="15" s="1"/>
  <c r="P294" i="15" s="1"/>
  <c r="V294" i="15" s="1"/>
  <c r="F294" i="15" s="1"/>
  <c r="S264" i="15"/>
  <c r="R264" i="15" s="1"/>
  <c r="S254" i="15"/>
  <c r="R254" i="15" s="1"/>
  <c r="S252" i="15"/>
  <c r="R252" i="15" s="1"/>
  <c r="P252" i="15" s="1"/>
  <c r="V252" i="15" s="1"/>
  <c r="F252" i="15" s="1"/>
  <c r="S214" i="15"/>
  <c r="R214" i="15" s="1"/>
  <c r="S172" i="15"/>
  <c r="R172" i="15" s="1"/>
  <c r="S150" i="15"/>
  <c r="R150" i="15" s="1"/>
  <c r="S138" i="15"/>
  <c r="R138" i="15" s="1"/>
  <c r="S30" i="15"/>
  <c r="R30" i="15" s="1"/>
  <c r="T15" i="15"/>
  <c r="Q64" i="15"/>
  <c r="P64" i="15" s="1"/>
  <c r="Q62" i="15"/>
  <c r="Q60" i="15"/>
  <c r="Q58" i="15"/>
  <c r="P58" i="15" s="1"/>
  <c r="Q56" i="15"/>
  <c r="Q54" i="15"/>
  <c r="P54" i="15" s="1"/>
  <c r="Q52" i="15"/>
  <c r="Q50" i="15"/>
  <c r="Q48" i="15"/>
  <c r="P48" i="15" s="1"/>
  <c r="Q46" i="15"/>
  <c r="P46" i="15" s="1"/>
  <c r="Q44" i="15"/>
  <c r="Q42" i="15"/>
  <c r="P42" i="15" s="1"/>
  <c r="Q40" i="15"/>
  <c r="P40" i="15" s="1"/>
  <c r="Q38" i="15"/>
  <c r="Q36" i="15"/>
  <c r="Q34" i="15"/>
  <c r="Q32" i="15"/>
  <c r="P32" i="15" s="1"/>
  <c r="Q30" i="15"/>
  <c r="Q28" i="15"/>
  <c r="Q26" i="15"/>
  <c r="P26" i="15" s="1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223" i="15" l="1"/>
  <c r="V223" i="15" s="1"/>
  <c r="F223" i="15" s="1"/>
  <c r="P358" i="15"/>
  <c r="AD43" i="15"/>
  <c r="AD59" i="15"/>
  <c r="AD123" i="15"/>
  <c r="AD139" i="15"/>
  <c r="AD171" i="15"/>
  <c r="AD71" i="15"/>
  <c r="AD103" i="15"/>
  <c r="AD119" i="15"/>
  <c r="AD135" i="15"/>
  <c r="J16" i="7"/>
  <c r="P11" i="7" s="1"/>
  <c r="U11" i="16" s="1"/>
  <c r="P301" i="15"/>
  <c r="V301" i="15" s="1"/>
  <c r="F301" i="15" s="1"/>
  <c r="H301" i="15" s="1"/>
  <c r="P237" i="15"/>
  <c r="V237" i="15" s="1"/>
  <c r="F237" i="15" s="1"/>
  <c r="P205" i="15"/>
  <c r="V205" i="15" s="1"/>
  <c r="F205" i="15" s="1"/>
  <c r="G205" i="15" s="1"/>
  <c r="BX205" i="6" s="1"/>
  <c r="P374" i="15"/>
  <c r="V374" i="15" s="1"/>
  <c r="F374" i="15" s="1"/>
  <c r="AD183" i="15"/>
  <c r="AD187" i="15"/>
  <c r="AD199" i="15"/>
  <c r="AD215" i="15"/>
  <c r="AD219" i="15"/>
  <c r="AD231" i="15"/>
  <c r="AD235" i="15"/>
  <c r="P108" i="15"/>
  <c r="P92" i="15"/>
  <c r="V92" i="15" s="1"/>
  <c r="F92" i="15" s="1"/>
  <c r="H92" i="15" s="1"/>
  <c r="P337" i="15"/>
  <c r="V337" i="15" s="1"/>
  <c r="F337" i="15" s="1"/>
  <c r="P316" i="15"/>
  <c r="V316" i="15" s="1"/>
  <c r="F316" i="15" s="1"/>
  <c r="H316" i="15" s="1"/>
  <c r="P284" i="15"/>
  <c r="V284" i="15" s="1"/>
  <c r="F284" i="15" s="1"/>
  <c r="AD27" i="15"/>
  <c r="P379" i="15"/>
  <c r="D36" i="19" s="1"/>
  <c r="P207" i="15"/>
  <c r="V207" i="15" s="1"/>
  <c r="F207" i="15" s="1"/>
  <c r="AA207" i="15" s="1"/>
  <c r="Z207" i="15" s="1"/>
  <c r="Y207" i="15" s="1"/>
  <c r="P62" i="15"/>
  <c r="V62" i="15" s="1"/>
  <c r="F62" i="15" s="1"/>
  <c r="AD21" i="15"/>
  <c r="P137" i="15"/>
  <c r="V137" i="15" s="1"/>
  <c r="F137" i="15" s="1"/>
  <c r="G137" i="15" s="1"/>
  <c r="BX137" i="6" s="1"/>
  <c r="U12" i="16"/>
  <c r="AI383" i="15"/>
  <c r="P23" i="15"/>
  <c r="V23" i="15" s="1"/>
  <c r="F23" i="15" s="1"/>
  <c r="P16" i="15"/>
  <c r="P20" i="15"/>
  <c r="V20" i="15" s="1"/>
  <c r="F20" i="15" s="1"/>
  <c r="AI381" i="15"/>
  <c r="P165" i="15"/>
  <c r="V165" i="15" s="1"/>
  <c r="F165" i="15" s="1"/>
  <c r="P102" i="15"/>
  <c r="V102" i="15" s="1"/>
  <c r="F102" i="15" s="1"/>
  <c r="H102" i="15" s="1"/>
  <c r="P216" i="15"/>
  <c r="V216" i="15" s="1"/>
  <c r="F216" i="15" s="1"/>
  <c r="H216" i="15" s="1"/>
  <c r="P220" i="15"/>
  <c r="V220" i="15" s="1"/>
  <c r="F220" i="15" s="1"/>
  <c r="G220" i="15" s="1"/>
  <c r="BX220" i="6" s="1"/>
  <c r="P224" i="15"/>
  <c r="V224" i="15" s="1"/>
  <c r="F224" i="15" s="1"/>
  <c r="P228" i="15"/>
  <c r="V228" i="15" s="1"/>
  <c r="F228" i="15" s="1"/>
  <c r="H228" i="15" s="1"/>
  <c r="P188" i="15"/>
  <c r="V188" i="15" s="1"/>
  <c r="F188" i="15" s="1"/>
  <c r="G188" i="15" s="1"/>
  <c r="BX188" i="6" s="1"/>
  <c r="P196" i="15"/>
  <c r="V196" i="15" s="1"/>
  <c r="F196" i="15" s="1"/>
  <c r="G196" i="15" s="1"/>
  <c r="BX196" i="6" s="1"/>
  <c r="P204" i="15"/>
  <c r="V204" i="15" s="1"/>
  <c r="F204" i="15" s="1"/>
  <c r="G204" i="15" s="1"/>
  <c r="BX204" i="6" s="1"/>
  <c r="P208" i="15"/>
  <c r="V208" i="15" s="1"/>
  <c r="F208" i="15" s="1"/>
  <c r="G208" i="15" s="1"/>
  <c r="BX208" i="6" s="1"/>
  <c r="P212" i="15"/>
  <c r="V212" i="15" s="1"/>
  <c r="F212" i="15" s="1"/>
  <c r="P321" i="15"/>
  <c r="V321" i="15" s="1"/>
  <c r="F321" i="15" s="1"/>
  <c r="H321" i="15" s="1"/>
  <c r="P305" i="15"/>
  <c r="V305" i="15" s="1"/>
  <c r="F305" i="15" s="1"/>
  <c r="G305" i="15" s="1"/>
  <c r="BX305" i="6" s="1"/>
  <c r="P289" i="15"/>
  <c r="V289" i="15" s="1"/>
  <c r="F289" i="15" s="1"/>
  <c r="H289" i="15" s="1"/>
  <c r="P273" i="15"/>
  <c r="V273" i="15" s="1"/>
  <c r="F273" i="15" s="1"/>
  <c r="G273" i="15" s="1"/>
  <c r="BX273" i="6" s="1"/>
  <c r="P257" i="15"/>
  <c r="V257" i="15" s="1"/>
  <c r="F257" i="15" s="1"/>
  <c r="G257" i="15" s="1"/>
  <c r="BX257" i="6" s="1"/>
  <c r="P241" i="15"/>
  <c r="P180" i="15"/>
  <c r="D37" i="7" s="1"/>
  <c r="P348" i="15"/>
  <c r="V348" i="15" s="1"/>
  <c r="F348" i="15" s="1"/>
  <c r="P340" i="15"/>
  <c r="V340" i="15" s="1"/>
  <c r="F340" i="15" s="1"/>
  <c r="H340" i="15" s="1"/>
  <c r="P332" i="15"/>
  <c r="V332" i="15" s="1"/>
  <c r="F332" i="15" s="1"/>
  <c r="P308" i="15"/>
  <c r="V308" i="15" s="1"/>
  <c r="F308" i="15" s="1"/>
  <c r="G308" i="15" s="1"/>
  <c r="BX308" i="6" s="1"/>
  <c r="P300" i="15"/>
  <c r="V300" i="15" s="1"/>
  <c r="F300" i="15" s="1"/>
  <c r="P292" i="15"/>
  <c r="V292" i="15" s="1"/>
  <c r="F292" i="15" s="1"/>
  <c r="H292" i="15" s="1"/>
  <c r="P268" i="15"/>
  <c r="V268" i="15" s="1"/>
  <c r="F268" i="15" s="1"/>
  <c r="H268" i="15" s="1"/>
  <c r="P260" i="15"/>
  <c r="V260" i="15" s="1"/>
  <c r="F260" i="15" s="1"/>
  <c r="G260" i="15" s="1"/>
  <c r="BX260" i="6" s="1"/>
  <c r="P244" i="15"/>
  <c r="V244" i="15" s="1"/>
  <c r="F244" i="15" s="1"/>
  <c r="P236" i="15"/>
  <c r="V236" i="15" s="1"/>
  <c r="F236" i="15" s="1"/>
  <c r="H236" i="15" s="1"/>
  <c r="P368" i="15"/>
  <c r="V368" i="15" s="1"/>
  <c r="F368" i="15" s="1"/>
  <c r="H368" i="15" s="1"/>
  <c r="P215" i="15"/>
  <c r="V215" i="15" s="1"/>
  <c r="F215" i="15" s="1"/>
  <c r="H215" i="15" s="1"/>
  <c r="P24" i="15"/>
  <c r="V24" i="15" s="1"/>
  <c r="F24" i="15" s="1"/>
  <c r="P22" i="15"/>
  <c r="P38" i="15"/>
  <c r="V38" i="15" s="1"/>
  <c r="F38" i="15" s="1"/>
  <c r="P50" i="15"/>
  <c r="U382" i="15"/>
  <c r="U383" i="15"/>
  <c r="P138" i="15"/>
  <c r="V138" i="15" s="1"/>
  <c r="F138" i="15" s="1"/>
  <c r="P248" i="15"/>
  <c r="V248" i="15" s="1"/>
  <c r="F248" i="15" s="1"/>
  <c r="H248" i="15" s="1"/>
  <c r="P254" i="15"/>
  <c r="V254" i="15" s="1"/>
  <c r="F254" i="15" s="1"/>
  <c r="P272" i="15"/>
  <c r="D40" i="7" s="1"/>
  <c r="P296" i="15"/>
  <c r="V296" i="15" s="1"/>
  <c r="F296" i="15" s="1"/>
  <c r="P370" i="15"/>
  <c r="V370" i="15" s="1"/>
  <c r="F370" i="15" s="1"/>
  <c r="G370" i="15" s="1"/>
  <c r="BX370" i="6" s="1"/>
  <c r="AD24" i="15"/>
  <c r="AD29" i="15"/>
  <c r="AD37" i="15"/>
  <c r="AA37" i="15" s="1"/>
  <c r="Z37" i="15" s="1"/>
  <c r="Y37" i="15" s="1"/>
  <c r="AD45" i="15"/>
  <c r="AD49" i="15"/>
  <c r="AA49" i="15" s="1"/>
  <c r="Z49" i="15" s="1"/>
  <c r="Y49" i="15" s="1"/>
  <c r="AD53" i="15"/>
  <c r="AD57" i="15"/>
  <c r="AD65" i="15"/>
  <c r="AD69" i="15"/>
  <c r="AD73" i="15"/>
  <c r="AD77" i="15"/>
  <c r="AD85" i="15"/>
  <c r="AA85" i="15" s="1"/>
  <c r="Z85" i="15" s="1"/>
  <c r="Y85" i="15" s="1"/>
  <c r="AD89" i="15"/>
  <c r="AA89" i="15" s="1"/>
  <c r="Z89" i="15" s="1"/>
  <c r="Y89" i="15" s="1"/>
  <c r="AD97" i="15"/>
  <c r="AA97" i="15" s="1"/>
  <c r="Z97" i="15" s="1"/>
  <c r="Y97" i="15" s="1"/>
  <c r="P18" i="15"/>
  <c r="V18" i="15" s="1"/>
  <c r="F18" i="15" s="1"/>
  <c r="P71" i="15"/>
  <c r="V71" i="15" s="1"/>
  <c r="F71" i="15" s="1"/>
  <c r="G71" i="15" s="1"/>
  <c r="BX71" i="6" s="1"/>
  <c r="P73" i="15"/>
  <c r="V73" i="15" s="1"/>
  <c r="F73" i="15" s="1"/>
  <c r="AA73" i="15" s="1"/>
  <c r="Z73" i="15" s="1"/>
  <c r="Y73" i="15" s="1"/>
  <c r="P100" i="15"/>
  <c r="V100" i="15" s="1"/>
  <c r="F100" i="15" s="1"/>
  <c r="H100" i="15" s="1"/>
  <c r="P134" i="15"/>
  <c r="V134" i="15" s="1"/>
  <c r="F134" i="15" s="1"/>
  <c r="G134" i="15" s="1"/>
  <c r="BX134" i="6" s="1"/>
  <c r="P203" i="15"/>
  <c r="V203" i="15" s="1"/>
  <c r="F203" i="15" s="1"/>
  <c r="G203" i="15" s="1"/>
  <c r="BX203" i="6" s="1"/>
  <c r="AK3" i="15"/>
  <c r="Q12" i="19" s="1"/>
  <c r="P21" i="15"/>
  <c r="V21" i="15" s="1"/>
  <c r="F21" i="15" s="1"/>
  <c r="P36" i="15"/>
  <c r="P44" i="15"/>
  <c r="V44" i="15" s="1"/>
  <c r="F44" i="15" s="1"/>
  <c r="P52" i="15"/>
  <c r="P60" i="15"/>
  <c r="V60" i="15" s="1"/>
  <c r="F60" i="15" s="1"/>
  <c r="P150" i="15"/>
  <c r="V150" i="15" s="1"/>
  <c r="F150" i="15" s="1"/>
  <c r="H150" i="15" s="1"/>
  <c r="P214" i="15"/>
  <c r="V214" i="15" s="1"/>
  <c r="F214" i="15" s="1"/>
  <c r="H214" i="15" s="1"/>
  <c r="P264" i="15"/>
  <c r="V264" i="15" s="1"/>
  <c r="P298" i="15"/>
  <c r="P318" i="15"/>
  <c r="V318" i="15" s="1"/>
  <c r="F318" i="15" s="1"/>
  <c r="H318" i="15" s="1"/>
  <c r="P362" i="15"/>
  <c r="V362" i="15" s="1"/>
  <c r="F362" i="15" s="1"/>
  <c r="P193" i="15"/>
  <c r="V193" i="15" s="1"/>
  <c r="F193" i="15" s="1"/>
  <c r="G193" i="15" s="1"/>
  <c r="BX193" i="6" s="1"/>
  <c r="P231" i="15"/>
  <c r="V231" i="15" s="1"/>
  <c r="F231" i="15" s="1"/>
  <c r="H231" i="15" s="1"/>
  <c r="P66" i="15"/>
  <c r="V66" i="15" s="1"/>
  <c r="F66" i="15" s="1"/>
  <c r="P70" i="15"/>
  <c r="V70" i="15" s="1"/>
  <c r="F70" i="15" s="1"/>
  <c r="P82" i="15"/>
  <c r="V82" i="15" s="1"/>
  <c r="F82" i="15" s="1"/>
  <c r="P25" i="15"/>
  <c r="V25" i="15" s="1"/>
  <c r="F25" i="15" s="1"/>
  <c r="G25" i="15" s="1"/>
  <c r="BX25" i="6" s="1"/>
  <c r="P41" i="15"/>
  <c r="V41" i="15" s="1"/>
  <c r="F41" i="15" s="1"/>
  <c r="G41" i="15" s="1"/>
  <c r="BX41" i="6" s="1"/>
  <c r="P57" i="15"/>
  <c r="V57" i="15" s="1"/>
  <c r="F57" i="15" s="1"/>
  <c r="P69" i="15"/>
  <c r="V69" i="15" s="1"/>
  <c r="F69" i="15" s="1"/>
  <c r="AA69" i="15" s="1"/>
  <c r="Z69" i="15" s="1"/>
  <c r="Y69" i="15" s="1"/>
  <c r="P77" i="15"/>
  <c r="V77" i="15" s="1"/>
  <c r="F77" i="15" s="1"/>
  <c r="P179" i="15"/>
  <c r="V179" i="15" s="1"/>
  <c r="F179" i="15" s="1"/>
  <c r="G179" i="15" s="1"/>
  <c r="BX179" i="6" s="1"/>
  <c r="P175" i="15"/>
  <c r="V175" i="15" s="1"/>
  <c r="F175" i="15" s="1"/>
  <c r="G175" i="15" s="1"/>
  <c r="BX175" i="6" s="1"/>
  <c r="P171" i="15"/>
  <c r="V171" i="15" s="1"/>
  <c r="P167" i="15"/>
  <c r="V167" i="15" s="1"/>
  <c r="F167" i="15" s="1"/>
  <c r="G167" i="15" s="1"/>
  <c r="BX167" i="6" s="1"/>
  <c r="P163" i="15"/>
  <c r="V163" i="15" s="1"/>
  <c r="F163" i="15" s="1"/>
  <c r="G163" i="15" s="1"/>
  <c r="BX163" i="6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47" i="15"/>
  <c r="V147" i="15" s="1"/>
  <c r="F147" i="15" s="1"/>
  <c r="H147" i="15" s="1"/>
  <c r="P143" i="15"/>
  <c r="V143" i="15" s="1"/>
  <c r="F143" i="15" s="1"/>
  <c r="AA143" i="15" s="1"/>
  <c r="Z143" i="15" s="1"/>
  <c r="Y143" i="15" s="1"/>
  <c r="P139" i="15"/>
  <c r="V139" i="15" s="1"/>
  <c r="F139" i="15" s="1"/>
  <c r="AA139" i="15" s="1"/>
  <c r="Z139" i="15" s="1"/>
  <c r="Y139" i="15" s="1"/>
  <c r="P135" i="15"/>
  <c r="V135" i="15" s="1"/>
  <c r="F135" i="15" s="1"/>
  <c r="H135" i="15" s="1"/>
  <c r="P131" i="15"/>
  <c r="V131" i="15" s="1"/>
  <c r="F131" i="15" s="1"/>
  <c r="H131" i="15" s="1"/>
  <c r="P127" i="15"/>
  <c r="V127" i="15" s="1"/>
  <c r="F127" i="15" s="1"/>
  <c r="G127" i="15" s="1"/>
  <c r="BX127" i="6" s="1"/>
  <c r="P123" i="15"/>
  <c r="V123" i="15" s="1"/>
  <c r="F123" i="15" s="1"/>
  <c r="P119" i="15"/>
  <c r="D35" i="7" s="1"/>
  <c r="P115" i="15"/>
  <c r="V115" i="15" s="1"/>
  <c r="F115" i="15" s="1"/>
  <c r="H115" i="15" s="1"/>
  <c r="P111" i="15"/>
  <c r="V111" i="15" s="1"/>
  <c r="F111" i="15" s="1"/>
  <c r="H111" i="15" s="1"/>
  <c r="P107" i="15"/>
  <c r="V107" i="15" s="1"/>
  <c r="F107" i="15" s="1"/>
  <c r="H107" i="15" s="1"/>
  <c r="P83" i="15"/>
  <c r="V83" i="15" s="1"/>
  <c r="F83" i="15" s="1"/>
  <c r="G83" i="15" s="1"/>
  <c r="BX83" i="6" s="1"/>
  <c r="P116" i="15"/>
  <c r="V116" i="15" s="1"/>
  <c r="F116" i="15" s="1"/>
  <c r="H116" i="15" s="1"/>
  <c r="P124" i="15"/>
  <c r="V124" i="15" s="1"/>
  <c r="F124" i="15" s="1"/>
  <c r="G124" i="15" s="1"/>
  <c r="BX124" i="6" s="1"/>
  <c r="P132" i="15"/>
  <c r="V132" i="15" s="1"/>
  <c r="F132" i="15" s="1"/>
  <c r="P140" i="15"/>
  <c r="V140" i="15" s="1"/>
  <c r="F140" i="15" s="1"/>
  <c r="H140" i="15" s="1"/>
  <c r="P98" i="15"/>
  <c r="V98" i="15" s="1"/>
  <c r="F98" i="15" s="1"/>
  <c r="H98" i="15" s="1"/>
  <c r="P154" i="15"/>
  <c r="V154" i="15" s="1"/>
  <c r="F154" i="15" s="1"/>
  <c r="H154" i="15" s="1"/>
  <c r="P170" i="15"/>
  <c r="V170" i="15" s="1"/>
  <c r="F170" i="15" s="1"/>
  <c r="P195" i="15"/>
  <c r="V195" i="15" s="1"/>
  <c r="F195" i="15" s="1"/>
  <c r="H195" i="15" s="1"/>
  <c r="P176" i="15"/>
  <c r="V176" i="15" s="1"/>
  <c r="F176" i="15" s="1"/>
  <c r="H176" i="15" s="1"/>
  <c r="P144" i="15"/>
  <c r="V144" i="15" s="1"/>
  <c r="F144" i="15" s="1"/>
  <c r="H144" i="15" s="1"/>
  <c r="P130" i="15"/>
  <c r="V130" i="15" s="1"/>
  <c r="F130" i="15" s="1"/>
  <c r="P191" i="15"/>
  <c r="V191" i="15" s="1"/>
  <c r="F191" i="15" s="1"/>
  <c r="H191" i="15" s="1"/>
  <c r="J15" i="7"/>
  <c r="P152" i="15"/>
  <c r="V152" i="15" s="1"/>
  <c r="F152" i="15" s="1"/>
  <c r="H152" i="15" s="1"/>
  <c r="D41" i="7"/>
  <c r="V302" i="15"/>
  <c r="F302" i="15" s="1"/>
  <c r="G302" i="15" s="1"/>
  <c r="BX302" i="6" s="1"/>
  <c r="AD101" i="15"/>
  <c r="AD105" i="15"/>
  <c r="AA105" i="15" s="1"/>
  <c r="Z105" i="15" s="1"/>
  <c r="Y105" i="15" s="1"/>
  <c r="AD109" i="15"/>
  <c r="AD125" i="15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A201" i="15" s="1"/>
  <c r="Z201" i="15" s="1"/>
  <c r="Y201" i="15" s="1"/>
  <c r="AD213" i="15"/>
  <c r="AA213" i="15" s="1"/>
  <c r="Z213" i="15" s="1"/>
  <c r="Y213" i="15" s="1"/>
  <c r="P160" i="15"/>
  <c r="V160" i="15" s="1"/>
  <c r="F160" i="15" s="1"/>
  <c r="H160" i="15" s="1"/>
  <c r="P114" i="15"/>
  <c r="V114" i="15" s="1"/>
  <c r="F114" i="15" s="1"/>
  <c r="G114" i="15" s="1"/>
  <c r="BX114" i="6" s="1"/>
  <c r="P168" i="15"/>
  <c r="V168" i="15" s="1"/>
  <c r="F168" i="15" s="1"/>
  <c r="H168" i="15" s="1"/>
  <c r="P136" i="15"/>
  <c r="V136" i="15" s="1"/>
  <c r="P19" i="15"/>
  <c r="V19" i="15" s="1"/>
  <c r="F19" i="15" s="1"/>
  <c r="H19" i="15" s="1"/>
  <c r="L38" i="19"/>
  <c r="P56" i="15"/>
  <c r="V56" i="15" s="1"/>
  <c r="F56" i="15" s="1"/>
  <c r="P17" i="15"/>
  <c r="V17" i="15" s="1"/>
  <c r="F17" i="15" s="1"/>
  <c r="P172" i="15"/>
  <c r="V172" i="15" s="1"/>
  <c r="F172" i="15" s="1"/>
  <c r="H172" i="15" s="1"/>
  <c r="P276" i="15"/>
  <c r="V276" i="15" s="1"/>
  <c r="F276" i="15" s="1"/>
  <c r="G276" i="15" s="1"/>
  <c r="BX276" i="6" s="1"/>
  <c r="P324" i="15"/>
  <c r="V324" i="15" s="1"/>
  <c r="P227" i="15"/>
  <c r="V227" i="15" s="1"/>
  <c r="P271" i="15"/>
  <c r="V271" i="15" s="1"/>
  <c r="F271" i="15" s="1"/>
  <c r="AA271" i="15" s="1"/>
  <c r="Z271" i="15" s="1"/>
  <c r="Y271" i="15" s="1"/>
  <c r="P365" i="15"/>
  <c r="V365" i="15" s="1"/>
  <c r="F365" i="15" s="1"/>
  <c r="G365" i="15" s="1"/>
  <c r="BX365" i="6" s="1"/>
  <c r="P72" i="15"/>
  <c r="P80" i="15"/>
  <c r="V80" i="15" s="1"/>
  <c r="F80" i="15" s="1"/>
  <c r="H80" i="15" s="1"/>
  <c r="P112" i="15"/>
  <c r="V112" i="15" s="1"/>
  <c r="F112" i="15" s="1"/>
  <c r="H112" i="15" s="1"/>
  <c r="P120" i="15"/>
  <c r="V120" i="15" s="1"/>
  <c r="F120" i="15" s="1"/>
  <c r="H120" i="15" s="1"/>
  <c r="P128" i="15"/>
  <c r="V128" i="15" s="1"/>
  <c r="F128" i="15" s="1"/>
  <c r="H128" i="15" s="1"/>
  <c r="D43" i="7"/>
  <c r="V363" i="15"/>
  <c r="F363" i="15" s="1"/>
  <c r="G363" i="15" s="1"/>
  <c r="BX363" i="6" s="1"/>
  <c r="P145" i="15"/>
  <c r="V145" i="15" s="1"/>
  <c r="F145" i="15" s="1"/>
  <c r="H145" i="15" s="1"/>
  <c r="P269" i="15"/>
  <c r="V269" i="15" s="1"/>
  <c r="F269" i="15" s="1"/>
  <c r="H269" i="15" s="1"/>
  <c r="P277" i="15"/>
  <c r="V277" i="15" s="1"/>
  <c r="F277" i="15" s="1"/>
  <c r="H277" i="15" s="1"/>
  <c r="P333" i="15"/>
  <c r="V333" i="15" s="1"/>
  <c r="F333" i="15" s="1"/>
  <c r="P345" i="15"/>
  <c r="V345" i="15" s="1"/>
  <c r="F345" i="15" s="1"/>
  <c r="H345" i="15" s="1"/>
  <c r="P31" i="15"/>
  <c r="V31" i="15" s="1"/>
  <c r="F31" i="15" s="1"/>
  <c r="G31" i="15" s="1"/>
  <c r="BX31" i="6" s="1"/>
  <c r="P68" i="15"/>
  <c r="V68" i="15" s="1"/>
  <c r="F68" i="15" s="1"/>
  <c r="H68" i="15" s="1"/>
  <c r="P76" i="15"/>
  <c r="V76" i="15" s="1"/>
  <c r="F76" i="15" s="1"/>
  <c r="G76" i="15" s="1"/>
  <c r="BX76" i="6" s="1"/>
  <c r="P84" i="15"/>
  <c r="V84" i="15" s="1"/>
  <c r="F84" i="15" s="1"/>
  <c r="G84" i="15" s="1"/>
  <c r="BX84" i="6" s="1"/>
  <c r="P181" i="15"/>
  <c r="V181" i="15" s="1"/>
  <c r="F181" i="15" s="1"/>
  <c r="H181" i="15" s="1"/>
  <c r="P177" i="15"/>
  <c r="V177" i="15" s="1"/>
  <c r="F177" i="15" s="1"/>
  <c r="H177" i="15" s="1"/>
  <c r="P173" i="15"/>
  <c r="V173" i="15" s="1"/>
  <c r="F173" i="15" s="1"/>
  <c r="H173" i="15" s="1"/>
  <c r="P169" i="15"/>
  <c r="V169" i="15" s="1"/>
  <c r="F169" i="15" s="1"/>
  <c r="P161" i="15"/>
  <c r="V161" i="15" s="1"/>
  <c r="F161" i="15" s="1"/>
  <c r="P157" i="15"/>
  <c r="V157" i="15" s="1"/>
  <c r="F157" i="15" s="1"/>
  <c r="G157" i="15" s="1"/>
  <c r="BX157" i="6" s="1"/>
  <c r="P153" i="15"/>
  <c r="V153" i="15" s="1"/>
  <c r="F153" i="15" s="1"/>
  <c r="AA153" i="15" s="1"/>
  <c r="Z153" i="15" s="1"/>
  <c r="Y153" i="15" s="1"/>
  <c r="P149" i="15"/>
  <c r="V149" i="15" s="1"/>
  <c r="F149" i="15" s="1"/>
  <c r="H149" i="15" s="1"/>
  <c r="P141" i="15"/>
  <c r="V141" i="15" s="1"/>
  <c r="F141" i="15" s="1"/>
  <c r="H141" i="15" s="1"/>
  <c r="P133" i="15"/>
  <c r="V133" i="15" s="1"/>
  <c r="F133" i="15" s="1"/>
  <c r="H133" i="15" s="1"/>
  <c r="P129" i="15"/>
  <c r="V129" i="15" s="1"/>
  <c r="F129" i="15" s="1"/>
  <c r="AA129" i="15" s="1"/>
  <c r="Z129" i="15" s="1"/>
  <c r="Y129" i="15" s="1"/>
  <c r="P125" i="15"/>
  <c r="V125" i="15" s="1"/>
  <c r="F125" i="15" s="1"/>
  <c r="H125" i="15" s="1"/>
  <c r="P121" i="15"/>
  <c r="V121" i="15" s="1"/>
  <c r="F121" i="15" s="1"/>
  <c r="G121" i="15" s="1"/>
  <c r="BX121" i="6" s="1"/>
  <c r="P117" i="15"/>
  <c r="V117" i="15" s="1"/>
  <c r="F117" i="15" s="1"/>
  <c r="H117" i="15" s="1"/>
  <c r="P113" i="15"/>
  <c r="V113" i="15" s="1"/>
  <c r="F113" i="15" s="1"/>
  <c r="G113" i="15" s="1"/>
  <c r="BX113" i="6" s="1"/>
  <c r="P109" i="15"/>
  <c r="V109" i="15" s="1"/>
  <c r="F109" i="15" s="1"/>
  <c r="P61" i="15"/>
  <c r="V61" i="15" s="1"/>
  <c r="F61" i="15" s="1"/>
  <c r="H61" i="15" s="1"/>
  <c r="P53" i="15"/>
  <c r="V53" i="15" s="1"/>
  <c r="F53" i="15" s="1"/>
  <c r="H53" i="15" s="1"/>
  <c r="P29" i="15"/>
  <c r="V29" i="15" s="1"/>
  <c r="F29" i="15" s="1"/>
  <c r="V180" i="15"/>
  <c r="F180" i="15" s="1"/>
  <c r="G180" i="15" s="1"/>
  <c r="BX180" i="6" s="1"/>
  <c r="V210" i="15"/>
  <c r="F210" i="15" s="1"/>
  <c r="H210" i="15" s="1"/>
  <c r="P47" i="15"/>
  <c r="V47" i="15" s="1"/>
  <c r="F47" i="15" s="1"/>
  <c r="AA47" i="15" s="1"/>
  <c r="Z47" i="15" s="1"/>
  <c r="Y47" i="15" s="1"/>
  <c r="AJ12" i="17"/>
  <c r="F378" i="15"/>
  <c r="G378" i="15" s="1"/>
  <c r="BX378" i="6" s="1"/>
  <c r="AJ10" i="15"/>
  <c r="AJ12" i="15" s="1"/>
  <c r="AJ13" i="15" s="1"/>
  <c r="AD217" i="15"/>
  <c r="AA217" i="15" s="1"/>
  <c r="Z217" i="15" s="1"/>
  <c r="Y217" i="15" s="1"/>
  <c r="AD221" i="15"/>
  <c r="AA221" i="15" s="1"/>
  <c r="Z221" i="15" s="1"/>
  <c r="Y221" i="15" s="1"/>
  <c r="AD237" i="15"/>
  <c r="AA237" i="15" s="1"/>
  <c r="Z237" i="15" s="1"/>
  <c r="Y237" i="15" s="1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A257" i="15" s="1"/>
  <c r="Z257" i="15" s="1"/>
  <c r="Y257" i="15" s="1"/>
  <c r="AD261" i="15"/>
  <c r="AA261" i="15" s="1"/>
  <c r="Z261" i="15" s="1"/>
  <c r="Y261" i="15" s="1"/>
  <c r="AD265" i="15"/>
  <c r="AA265" i="15" s="1"/>
  <c r="Z265" i="15" s="1"/>
  <c r="Y265" i="15" s="1"/>
  <c r="AD269" i="15"/>
  <c r="AA269" i="15" s="1"/>
  <c r="Z269" i="15" s="1"/>
  <c r="Y269" i="15" s="1"/>
  <c r="AD273" i="15"/>
  <c r="AD277" i="15"/>
  <c r="AD281" i="15"/>
  <c r="AA281" i="15" s="1"/>
  <c r="Z281" i="15" s="1"/>
  <c r="Y281" i="15" s="1"/>
  <c r="AD285" i="15"/>
  <c r="AA285" i="15" s="1"/>
  <c r="Z285" i="15" s="1"/>
  <c r="Y285" i="15" s="1"/>
  <c r="AD289" i="15"/>
  <c r="AA289" i="15" s="1"/>
  <c r="Z289" i="15" s="1"/>
  <c r="Y289" i="15" s="1"/>
  <c r="V88" i="15"/>
  <c r="F88" i="15" s="1"/>
  <c r="H88" i="15" s="1"/>
  <c r="D34" i="7"/>
  <c r="AD301" i="15"/>
  <c r="AA301" i="15" s="1"/>
  <c r="Z301" i="15" s="1"/>
  <c r="Y301" i="15" s="1"/>
  <c r="AD309" i="15"/>
  <c r="AA309" i="15" s="1"/>
  <c r="Z309" i="15" s="1"/>
  <c r="Y309" i="15" s="1"/>
  <c r="AD313" i="15"/>
  <c r="AA313" i="15" s="1"/>
  <c r="Z313" i="15" s="1"/>
  <c r="Y313" i="15" s="1"/>
  <c r="AD317" i="15"/>
  <c r="AA317" i="15" s="1"/>
  <c r="Z317" i="15" s="1"/>
  <c r="Y317" i="15" s="1"/>
  <c r="AD333" i="15"/>
  <c r="AD337" i="15"/>
  <c r="AA337" i="15" s="1"/>
  <c r="Z337" i="15" s="1"/>
  <c r="Y337" i="15" s="1"/>
  <c r="AD341" i="15"/>
  <c r="AA341" i="15" s="1"/>
  <c r="Z341" i="15" s="1"/>
  <c r="Y341" i="15" s="1"/>
  <c r="AD345" i="15"/>
  <c r="AA345" i="15" s="1"/>
  <c r="Z345" i="15" s="1"/>
  <c r="Y345" i="15" s="1"/>
  <c r="AD349" i="15"/>
  <c r="AA349" i="15" s="1"/>
  <c r="Z349" i="15" s="1"/>
  <c r="Y349" i="15" s="1"/>
  <c r="AD353" i="15"/>
  <c r="AA353" i="15" s="1"/>
  <c r="Z353" i="15" s="1"/>
  <c r="Y353" i="15" s="1"/>
  <c r="AD357" i="15"/>
  <c r="AA357" i="15" s="1"/>
  <c r="Z357" i="15" s="1"/>
  <c r="Y357" i="15" s="1"/>
  <c r="AD365" i="15"/>
  <c r="AA365" i="15" s="1"/>
  <c r="Z365" i="15" s="1"/>
  <c r="Y365" i="15" s="1"/>
  <c r="AD373" i="15"/>
  <c r="AA373" i="15" s="1"/>
  <c r="Z373" i="15" s="1"/>
  <c r="Y373" i="15" s="1"/>
  <c r="D36" i="7"/>
  <c r="P51" i="15"/>
  <c r="V51" i="15" s="1"/>
  <c r="P39" i="15"/>
  <c r="V39" i="15" s="1"/>
  <c r="F39" i="15" s="1"/>
  <c r="G39" i="15" s="1"/>
  <c r="BX39" i="6" s="1"/>
  <c r="P35" i="15"/>
  <c r="V35" i="15" s="1"/>
  <c r="F35" i="15" s="1"/>
  <c r="AA35" i="15" s="1"/>
  <c r="Z35" i="15" s="1"/>
  <c r="Y35" i="15" s="1"/>
  <c r="E383" i="15"/>
  <c r="AK8" i="15"/>
  <c r="E381" i="15"/>
  <c r="E9" i="15"/>
  <c r="E11" i="15" s="1"/>
  <c r="E382" i="15"/>
  <c r="AJ3" i="15"/>
  <c r="O12" i="19" s="1"/>
  <c r="P34" i="15"/>
  <c r="V34" i="15" s="1"/>
  <c r="F34" i="15" s="1"/>
  <c r="G34" i="15" s="1"/>
  <c r="BX34" i="6" s="1"/>
  <c r="U381" i="15"/>
  <c r="P27" i="15"/>
  <c r="V27" i="15" s="1"/>
  <c r="F27" i="15" s="1"/>
  <c r="H27" i="15" s="1"/>
  <c r="P43" i="15"/>
  <c r="V43" i="15" s="1"/>
  <c r="F43" i="15" s="1"/>
  <c r="AA43" i="15" s="1"/>
  <c r="Z43" i="15" s="1"/>
  <c r="Y43" i="15" s="1"/>
  <c r="P55" i="15"/>
  <c r="V55" i="15" s="1"/>
  <c r="F55" i="15" s="1"/>
  <c r="G55" i="15" s="1"/>
  <c r="BX55" i="6" s="1"/>
  <c r="P63" i="15"/>
  <c r="V63" i="15" s="1"/>
  <c r="F63" i="15" s="1"/>
  <c r="H63" i="15" s="1"/>
  <c r="V74" i="15"/>
  <c r="F74" i="15" s="1"/>
  <c r="V78" i="15"/>
  <c r="F78" i="15" s="1"/>
  <c r="V72" i="15"/>
  <c r="F72" i="15" s="1"/>
  <c r="H72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A104" i="15" s="1"/>
  <c r="Z104" i="15" s="1"/>
  <c r="Y104" i="15" s="1"/>
  <c r="AD112" i="15"/>
  <c r="AD124" i="15"/>
  <c r="AA124" i="15" s="1"/>
  <c r="Z124" i="15" s="1"/>
  <c r="Y124" i="15" s="1"/>
  <c r="AD136" i="15"/>
  <c r="AD140" i="15"/>
  <c r="AA140" i="15" s="1"/>
  <c r="Z140" i="15" s="1"/>
  <c r="Y140" i="15" s="1"/>
  <c r="AD156" i="15"/>
  <c r="AA156" i="15" s="1"/>
  <c r="Z156" i="15" s="1"/>
  <c r="Y156" i="15" s="1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A192" i="15" s="1"/>
  <c r="Z192" i="15" s="1"/>
  <c r="Y192" i="15" s="1"/>
  <c r="AD200" i="15"/>
  <c r="AA200" i="15" s="1"/>
  <c r="Z200" i="15" s="1"/>
  <c r="Y200" i="15" s="1"/>
  <c r="AD216" i="15"/>
  <c r="AD220" i="15"/>
  <c r="AD224" i="15"/>
  <c r="AD236" i="15"/>
  <c r="AD240" i="15"/>
  <c r="AA240" i="15" s="1"/>
  <c r="Z240" i="15" s="1"/>
  <c r="Y240" i="15" s="1"/>
  <c r="AD244" i="15"/>
  <c r="AD264" i="15"/>
  <c r="AD280" i="15"/>
  <c r="AA280" i="15" s="1"/>
  <c r="Z280" i="15" s="1"/>
  <c r="Y280" i="15" s="1"/>
  <c r="AD288" i="15"/>
  <c r="AD316" i="15"/>
  <c r="AD324" i="15"/>
  <c r="AD336" i="15"/>
  <c r="AA336" i="15" s="1"/>
  <c r="Z336" i="15" s="1"/>
  <c r="Y336" i="15" s="1"/>
  <c r="AD340" i="15"/>
  <c r="AA340" i="15" s="1"/>
  <c r="Z340" i="15" s="1"/>
  <c r="Y340" i="15" s="1"/>
  <c r="AD344" i="15"/>
  <c r="AA344" i="15" s="1"/>
  <c r="Z344" i="15" s="1"/>
  <c r="Y344" i="15" s="1"/>
  <c r="AD356" i="15"/>
  <c r="AA356" i="15" s="1"/>
  <c r="Z356" i="15" s="1"/>
  <c r="Y356" i="15" s="1"/>
  <c r="AD360" i="15"/>
  <c r="AA360" i="15" s="1"/>
  <c r="Z360" i="15" s="1"/>
  <c r="Y360" i="15" s="1"/>
  <c r="AD368" i="15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A102" i="15" s="1"/>
  <c r="Z102" i="15" s="1"/>
  <c r="Y102" i="15" s="1"/>
  <c r="AD130" i="15"/>
  <c r="AD134" i="15"/>
  <c r="AD138" i="15"/>
  <c r="AD142" i="15"/>
  <c r="AA142" i="15" s="1"/>
  <c r="Z142" i="15" s="1"/>
  <c r="Y142" i="15" s="1"/>
  <c r="AD150" i="15"/>
  <c r="AD162" i="15"/>
  <c r="AA162" i="15" s="1"/>
  <c r="Z162" i="15" s="1"/>
  <c r="Y162" i="15" s="1"/>
  <c r="AD166" i="15"/>
  <c r="AA166" i="15" s="1"/>
  <c r="Z166" i="15" s="1"/>
  <c r="Y166" i="15" s="1"/>
  <c r="AD170" i="15"/>
  <c r="AD182" i="15"/>
  <c r="AA182" i="15" s="1"/>
  <c r="Z182" i="15" s="1"/>
  <c r="Y182" i="15" s="1"/>
  <c r="AD202" i="15"/>
  <c r="AA202" i="15" s="1"/>
  <c r="Z202" i="15" s="1"/>
  <c r="Y202" i="15" s="1"/>
  <c r="AD206" i="15"/>
  <c r="AA206" i="15" s="1"/>
  <c r="Z206" i="15" s="1"/>
  <c r="Y206" i="15" s="1"/>
  <c r="AD210" i="15"/>
  <c r="AD230" i="15"/>
  <c r="AA230" i="15" s="1"/>
  <c r="Z230" i="15" s="1"/>
  <c r="Y230" i="15" s="1"/>
  <c r="AD234" i="15"/>
  <c r="AA234" i="15" s="1"/>
  <c r="Z234" i="15" s="1"/>
  <c r="Y234" i="15" s="1"/>
  <c r="AD238" i="15"/>
  <c r="AA238" i="15" s="1"/>
  <c r="Z238" i="15" s="1"/>
  <c r="Y238" i="15" s="1"/>
  <c r="AD254" i="15"/>
  <c r="AD258" i="15"/>
  <c r="AA258" i="15" s="1"/>
  <c r="Z258" i="15" s="1"/>
  <c r="Y258" i="15" s="1"/>
  <c r="AD262" i="15"/>
  <c r="AA262" i="15" s="1"/>
  <c r="Z262" i="15" s="1"/>
  <c r="Y262" i="15" s="1"/>
  <c r="AD278" i="15"/>
  <c r="AA278" i="15" s="1"/>
  <c r="Z278" i="15" s="1"/>
  <c r="Y278" i="15" s="1"/>
  <c r="AD282" i="15"/>
  <c r="AA282" i="15" s="1"/>
  <c r="Z282" i="15" s="1"/>
  <c r="Y282" i="15" s="1"/>
  <c r="AD290" i="15"/>
  <c r="AA290" i="15" s="1"/>
  <c r="Z290" i="15" s="1"/>
  <c r="Y290" i="15" s="1"/>
  <c r="AD294" i="15"/>
  <c r="AA294" i="15" s="1"/>
  <c r="Z294" i="15" s="1"/>
  <c r="Y294" i="15" s="1"/>
  <c r="AD310" i="15"/>
  <c r="AA310" i="15" s="1"/>
  <c r="Z310" i="15" s="1"/>
  <c r="Y310" i="15" s="1"/>
  <c r="AD318" i="15"/>
  <c r="AD322" i="15"/>
  <c r="AA322" i="15" s="1"/>
  <c r="Z322" i="15" s="1"/>
  <c r="Y322" i="15" s="1"/>
  <c r="AD342" i="15"/>
  <c r="AA342" i="15" s="1"/>
  <c r="Z342" i="15" s="1"/>
  <c r="Y342" i="15" s="1"/>
  <c r="AD350" i="15"/>
  <c r="AA350" i="15" s="1"/>
  <c r="Z350" i="15" s="1"/>
  <c r="Y350" i="15" s="1"/>
  <c r="AD374" i="15"/>
  <c r="AA374" i="15" s="1"/>
  <c r="Z374" i="15" s="1"/>
  <c r="Y374" i="15" s="1"/>
  <c r="AD378" i="15"/>
  <c r="AC382" i="16"/>
  <c r="AC381" i="16"/>
  <c r="AC383" i="16"/>
  <c r="O383" i="16"/>
  <c r="O382" i="16"/>
  <c r="O381" i="16"/>
  <c r="V26" i="15"/>
  <c r="F26" i="15" s="1"/>
  <c r="V46" i="15"/>
  <c r="F46" i="15" s="1"/>
  <c r="V50" i="15"/>
  <c r="F50" i="15" s="1"/>
  <c r="V58" i="15"/>
  <c r="F58" i="15" s="1"/>
  <c r="G100" i="15"/>
  <c r="BX100" i="6" s="1"/>
  <c r="V108" i="15"/>
  <c r="H124" i="15"/>
  <c r="G144" i="15"/>
  <c r="BX144" i="6" s="1"/>
  <c r="G164" i="15"/>
  <c r="BX164" i="6" s="1"/>
  <c r="H164" i="15"/>
  <c r="G222" i="15"/>
  <c r="BX222" i="6" s="1"/>
  <c r="H222" i="15"/>
  <c r="G230" i="15"/>
  <c r="BX230" i="6" s="1"/>
  <c r="H230" i="15"/>
  <c r="H238" i="15"/>
  <c r="G238" i="15"/>
  <c r="BX238" i="6" s="1"/>
  <c r="H262" i="15"/>
  <c r="G262" i="15"/>
  <c r="BX262" i="6" s="1"/>
  <c r="H270" i="15"/>
  <c r="G270" i="15"/>
  <c r="BX270" i="6" s="1"/>
  <c r="G278" i="15"/>
  <c r="BX278" i="6" s="1"/>
  <c r="H278" i="15"/>
  <c r="H294" i="15"/>
  <c r="G294" i="15"/>
  <c r="BX294" i="6" s="1"/>
  <c r="G243" i="15"/>
  <c r="BX243" i="6" s="1"/>
  <c r="H243" i="15"/>
  <c r="H251" i="15"/>
  <c r="G251" i="15"/>
  <c r="BX251" i="6" s="1"/>
  <c r="AA251" i="15"/>
  <c r="Z251" i="15" s="1"/>
  <c r="Y251" i="15" s="1"/>
  <c r="G259" i="15"/>
  <c r="BX259" i="6" s="1"/>
  <c r="AA259" i="15"/>
  <c r="Z259" i="15" s="1"/>
  <c r="Y259" i="15" s="1"/>
  <c r="H259" i="15"/>
  <c r="AA263" i="15"/>
  <c r="Z263" i="15" s="1"/>
  <c r="Y263" i="15" s="1"/>
  <c r="G263" i="15"/>
  <c r="BX263" i="6" s="1"/>
  <c r="H263" i="15"/>
  <c r="G267" i="15"/>
  <c r="BX267" i="6" s="1"/>
  <c r="H267" i="15"/>
  <c r="AA267" i="15"/>
  <c r="Z267" i="15" s="1"/>
  <c r="Y267" i="15" s="1"/>
  <c r="G275" i="15"/>
  <c r="BX275" i="6" s="1"/>
  <c r="H275" i="15"/>
  <c r="AA283" i="15"/>
  <c r="Z283" i="15" s="1"/>
  <c r="Y283" i="15" s="1"/>
  <c r="G283" i="15"/>
  <c r="BX283" i="6" s="1"/>
  <c r="H283" i="15"/>
  <c r="G291" i="15"/>
  <c r="BX291" i="6" s="1"/>
  <c r="AA291" i="15"/>
  <c r="Z291" i="15" s="1"/>
  <c r="Y291" i="15" s="1"/>
  <c r="H291" i="15"/>
  <c r="G299" i="15"/>
  <c r="BX299" i="6" s="1"/>
  <c r="AA299" i="15"/>
  <c r="Z299" i="15" s="1"/>
  <c r="Y299" i="15" s="1"/>
  <c r="H299" i="15"/>
  <c r="AA307" i="15"/>
  <c r="Z307" i="15" s="1"/>
  <c r="Y307" i="15" s="1"/>
  <c r="H307" i="15"/>
  <c r="G307" i="15"/>
  <c r="BX307" i="6" s="1"/>
  <c r="AA315" i="15"/>
  <c r="Z315" i="15" s="1"/>
  <c r="Y315" i="15" s="1"/>
  <c r="H315" i="15"/>
  <c r="G315" i="15"/>
  <c r="BX315" i="6" s="1"/>
  <c r="G323" i="15"/>
  <c r="BX323" i="6" s="1"/>
  <c r="H323" i="15"/>
  <c r="G331" i="15"/>
  <c r="BX331" i="6" s="1"/>
  <c r="H331" i="15"/>
  <c r="H339" i="15"/>
  <c r="G339" i="15"/>
  <c r="BX339" i="6" s="1"/>
  <c r="H347" i="15"/>
  <c r="AA347" i="15"/>
  <c r="Z347" i="15" s="1"/>
  <c r="Y347" i="15" s="1"/>
  <c r="G347" i="15"/>
  <c r="BX347" i="6" s="1"/>
  <c r="H355" i="15"/>
  <c r="G355" i="15"/>
  <c r="BX355" i="6" s="1"/>
  <c r="V16" i="15"/>
  <c r="F16" i="15" s="1"/>
  <c r="V32" i="15"/>
  <c r="F32" i="15" s="1"/>
  <c r="D33" i="7"/>
  <c r="V64" i="15"/>
  <c r="F64" i="15" s="1"/>
  <c r="G90" i="15"/>
  <c r="BX90" i="6" s="1"/>
  <c r="H90" i="15"/>
  <c r="G94" i="15"/>
  <c r="BX94" i="6" s="1"/>
  <c r="H94" i="15"/>
  <c r="G102" i="15"/>
  <c r="BX102" i="6" s="1"/>
  <c r="G106" i="15"/>
  <c r="BX106" i="6" s="1"/>
  <c r="H106" i="15"/>
  <c r="G110" i="15"/>
  <c r="BX110" i="6" s="1"/>
  <c r="H110" i="15"/>
  <c r="G118" i="15"/>
  <c r="BX118" i="6" s="1"/>
  <c r="H118" i="15"/>
  <c r="G122" i="15"/>
  <c r="BX122" i="6" s="1"/>
  <c r="H122" i="15"/>
  <c r="G126" i="15"/>
  <c r="BX126" i="6" s="1"/>
  <c r="H126" i="15"/>
  <c r="G142" i="15"/>
  <c r="BX142" i="6" s="1"/>
  <c r="H142" i="15"/>
  <c r="G146" i="15"/>
  <c r="BX146" i="6" s="1"/>
  <c r="H146" i="15"/>
  <c r="G158" i="15"/>
  <c r="BX158" i="6" s="1"/>
  <c r="H158" i="15"/>
  <c r="G162" i="15"/>
  <c r="BX162" i="6" s="1"/>
  <c r="H162" i="15"/>
  <c r="G166" i="15"/>
  <c r="BX166" i="6" s="1"/>
  <c r="H166" i="15"/>
  <c r="H174" i="15"/>
  <c r="G174" i="15"/>
  <c r="BX174" i="6" s="1"/>
  <c r="G178" i="15"/>
  <c r="BX178" i="6" s="1"/>
  <c r="H178" i="15"/>
  <c r="G216" i="15"/>
  <c r="BX216" i="6" s="1"/>
  <c r="H220" i="15"/>
  <c r="G228" i="15"/>
  <c r="BX228" i="6" s="1"/>
  <c r="G232" i="15"/>
  <c r="BX232" i="6" s="1"/>
  <c r="H232" i="15"/>
  <c r="G236" i="15"/>
  <c r="BX236" i="6" s="1"/>
  <c r="H240" i="15"/>
  <c r="G240" i="15"/>
  <c r="BX240" i="6" s="1"/>
  <c r="G248" i="15"/>
  <c r="BX248" i="6" s="1"/>
  <c r="G252" i="15"/>
  <c r="BX252" i="6" s="1"/>
  <c r="H252" i="15"/>
  <c r="G256" i="15"/>
  <c r="BX256" i="6" s="1"/>
  <c r="H256" i="15"/>
  <c r="H260" i="15"/>
  <c r="G268" i="15"/>
  <c r="BX268" i="6" s="1"/>
  <c r="V272" i="15"/>
  <c r="F272" i="15" s="1"/>
  <c r="H280" i="15"/>
  <c r="G280" i="15"/>
  <c r="BX280" i="6" s="1"/>
  <c r="G284" i="15"/>
  <c r="BX284" i="6" s="1"/>
  <c r="H284" i="15"/>
  <c r="G292" i="15"/>
  <c r="BX292" i="6" s="1"/>
  <c r="H137" i="15"/>
  <c r="G245" i="15"/>
  <c r="BX245" i="6" s="1"/>
  <c r="H245" i="15"/>
  <c r="G249" i="15"/>
  <c r="BX249" i="6" s="1"/>
  <c r="H249" i="15"/>
  <c r="G253" i="15"/>
  <c r="BX253" i="6" s="1"/>
  <c r="H253" i="15"/>
  <c r="H257" i="15"/>
  <c r="H261" i="15"/>
  <c r="G261" i="15"/>
  <c r="BX261" i="6" s="1"/>
  <c r="H265" i="15"/>
  <c r="G265" i="15"/>
  <c r="BX265" i="6" s="1"/>
  <c r="H281" i="15"/>
  <c r="G281" i="15"/>
  <c r="BX281" i="6" s="1"/>
  <c r="G285" i="15"/>
  <c r="BX285" i="6" s="1"/>
  <c r="H285" i="15"/>
  <c r="G289" i="15"/>
  <c r="BX289" i="6" s="1"/>
  <c r="G293" i="15"/>
  <c r="BX293" i="6" s="1"/>
  <c r="H293" i="15"/>
  <c r="V297" i="15"/>
  <c r="F297" i="15" s="1"/>
  <c r="G301" i="15"/>
  <c r="BX301" i="6" s="1"/>
  <c r="H305" i="15"/>
  <c r="G309" i="15"/>
  <c r="BX309" i="6" s="1"/>
  <c r="H309" i="15"/>
  <c r="H313" i="15"/>
  <c r="G313" i="15"/>
  <c r="BX313" i="6" s="1"/>
  <c r="G317" i="15"/>
  <c r="BX317" i="6" s="1"/>
  <c r="H317" i="15"/>
  <c r="G321" i="15"/>
  <c r="BX321" i="6" s="1"/>
  <c r="G325" i="15"/>
  <c r="BX325" i="6" s="1"/>
  <c r="H325" i="15"/>
  <c r="G329" i="15"/>
  <c r="BX329" i="6" s="1"/>
  <c r="H329" i="15"/>
  <c r="H337" i="15"/>
  <c r="G337" i="15"/>
  <c r="BX337" i="6" s="1"/>
  <c r="G341" i="15"/>
  <c r="BX341" i="6" s="1"/>
  <c r="H341" i="15"/>
  <c r="H349" i="15"/>
  <c r="G349" i="15"/>
  <c r="BX349" i="6" s="1"/>
  <c r="G353" i="15"/>
  <c r="BX353" i="6" s="1"/>
  <c r="H353" i="15"/>
  <c r="G357" i="15"/>
  <c r="BX357" i="6" s="1"/>
  <c r="H357" i="15"/>
  <c r="H361" i="15"/>
  <c r="G361" i="15"/>
  <c r="BX361" i="6" s="1"/>
  <c r="V22" i="15"/>
  <c r="F22" i="15" s="1"/>
  <c r="V42" i="15"/>
  <c r="F42" i="15" s="1"/>
  <c r="V54" i="15"/>
  <c r="F54" i="15" s="1"/>
  <c r="G92" i="15"/>
  <c r="BX92" i="6" s="1"/>
  <c r="H96" i="15"/>
  <c r="G96" i="15"/>
  <c r="BX96" i="6" s="1"/>
  <c r="G104" i="15"/>
  <c r="BX104" i="6" s="1"/>
  <c r="H104" i="15"/>
  <c r="H148" i="15"/>
  <c r="G148" i="15"/>
  <c r="BX148" i="6" s="1"/>
  <c r="G156" i="15"/>
  <c r="BX156" i="6" s="1"/>
  <c r="H156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H246" i="15"/>
  <c r="G246" i="15"/>
  <c r="BX246" i="6" s="1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H282" i="15"/>
  <c r="G282" i="15"/>
  <c r="BX282" i="6" s="1"/>
  <c r="H286" i="15"/>
  <c r="G286" i="15"/>
  <c r="BX286" i="6" s="1"/>
  <c r="G290" i="15"/>
  <c r="BX290" i="6" s="1"/>
  <c r="H290" i="15"/>
  <c r="V298" i="15"/>
  <c r="F298" i="15" s="1"/>
  <c r="G247" i="15"/>
  <c r="BX247" i="6" s="1"/>
  <c r="H247" i="15"/>
  <c r="G255" i="15"/>
  <c r="BX255" i="6" s="1"/>
  <c r="AA255" i="15"/>
  <c r="Z255" i="15" s="1"/>
  <c r="Y255" i="15" s="1"/>
  <c r="H255" i="15"/>
  <c r="G279" i="15"/>
  <c r="BX279" i="6" s="1"/>
  <c r="H279" i="15"/>
  <c r="AA279" i="15"/>
  <c r="Z279" i="15" s="1"/>
  <c r="Y279" i="15" s="1"/>
  <c r="H287" i="15"/>
  <c r="G287" i="15"/>
  <c r="BX287" i="6" s="1"/>
  <c r="H295" i="15"/>
  <c r="G295" i="15"/>
  <c r="BX295" i="6" s="1"/>
  <c r="G303" i="15"/>
  <c r="BX303" i="6" s="1"/>
  <c r="AA303" i="15"/>
  <c r="Z303" i="15" s="1"/>
  <c r="Y303" i="15" s="1"/>
  <c r="H303" i="15"/>
  <c r="H311" i="15"/>
  <c r="AA311" i="15"/>
  <c r="Z311" i="15" s="1"/>
  <c r="Y311" i="15" s="1"/>
  <c r="G311" i="15"/>
  <c r="BX311" i="6" s="1"/>
  <c r="G319" i="15"/>
  <c r="BX319" i="6" s="1"/>
  <c r="H319" i="15"/>
  <c r="G327" i="15"/>
  <c r="BX327" i="6" s="1"/>
  <c r="H327" i="15"/>
  <c r="G335" i="15"/>
  <c r="BX335" i="6" s="1"/>
  <c r="H335" i="15"/>
  <c r="G343" i="15"/>
  <c r="BX343" i="6" s="1"/>
  <c r="H343" i="15"/>
  <c r="G351" i="15"/>
  <c r="BX351" i="6" s="1"/>
  <c r="AA351" i="15"/>
  <c r="Z351" i="15" s="1"/>
  <c r="Y351" i="15" s="1"/>
  <c r="H351" i="15"/>
  <c r="AA359" i="15"/>
  <c r="Z359" i="15" s="1"/>
  <c r="Y359" i="15" s="1"/>
  <c r="G359" i="15"/>
  <c r="BX359" i="6" s="1"/>
  <c r="H359" i="15"/>
  <c r="V40" i="15"/>
  <c r="F40" i="15" s="1"/>
  <c r="G86" i="15"/>
  <c r="BX86" i="6" s="1"/>
  <c r="H86" i="15"/>
  <c r="G182" i="15"/>
  <c r="BX182" i="6" s="1"/>
  <c r="H182" i="15"/>
  <c r="H186" i="15"/>
  <c r="G186" i="15"/>
  <c r="BX186" i="6" s="1"/>
  <c r="G190" i="15"/>
  <c r="BX190" i="6" s="1"/>
  <c r="H190" i="15"/>
  <c r="G194" i="15"/>
  <c r="BX194" i="6" s="1"/>
  <c r="H194" i="15"/>
  <c r="H198" i="15"/>
  <c r="G198" i="15"/>
  <c r="BX198" i="6" s="1"/>
  <c r="G202" i="15"/>
  <c r="BX202" i="6" s="1"/>
  <c r="H202" i="15"/>
  <c r="G206" i="15"/>
  <c r="BX206" i="6" s="1"/>
  <c r="H206" i="15"/>
  <c r="H304" i="15"/>
  <c r="G304" i="15"/>
  <c r="BX304" i="6" s="1"/>
  <c r="G306" i="15"/>
  <c r="BX306" i="6" s="1"/>
  <c r="H306" i="15"/>
  <c r="H308" i="15"/>
  <c r="H310" i="15"/>
  <c r="G310" i="15"/>
  <c r="BX310" i="6" s="1"/>
  <c r="H312" i="15"/>
  <c r="G312" i="15"/>
  <c r="BX312" i="6" s="1"/>
  <c r="H314" i="15"/>
  <c r="G314" i="15"/>
  <c r="BX314" i="6" s="1"/>
  <c r="G316" i="15"/>
  <c r="BX316" i="6" s="1"/>
  <c r="G320" i="15"/>
  <c r="BX320" i="6" s="1"/>
  <c r="H320" i="15"/>
  <c r="H322" i="15"/>
  <c r="G322" i="15"/>
  <c r="BX322" i="6" s="1"/>
  <c r="G326" i="15"/>
  <c r="BX326" i="6" s="1"/>
  <c r="H326" i="15"/>
  <c r="G328" i="15"/>
  <c r="BX328" i="6" s="1"/>
  <c r="H328" i="15"/>
  <c r="H330" i="15"/>
  <c r="G330" i="15"/>
  <c r="BX330" i="6" s="1"/>
  <c r="G334" i="15"/>
  <c r="BX334" i="6" s="1"/>
  <c r="H334" i="15"/>
  <c r="H336" i="15"/>
  <c r="G336" i="15"/>
  <c r="BX336" i="6" s="1"/>
  <c r="H338" i="15"/>
  <c r="G338" i="15"/>
  <c r="BX338" i="6" s="1"/>
  <c r="G340" i="15"/>
  <c r="BX340" i="6" s="1"/>
  <c r="H342" i="15"/>
  <c r="G342" i="15"/>
  <c r="BX342" i="6" s="1"/>
  <c r="G344" i="15"/>
  <c r="BX344" i="6" s="1"/>
  <c r="H344" i="15"/>
  <c r="H346" i="15"/>
  <c r="G346" i="15"/>
  <c r="BX346" i="6" s="1"/>
  <c r="G350" i="15"/>
  <c r="BX350" i="6" s="1"/>
  <c r="H350" i="15"/>
  <c r="G352" i="15"/>
  <c r="BX352" i="6" s="1"/>
  <c r="H352" i="15"/>
  <c r="G354" i="15"/>
  <c r="BX354" i="6" s="1"/>
  <c r="H354" i="15"/>
  <c r="G356" i="15"/>
  <c r="BX356" i="6" s="1"/>
  <c r="H356" i="15"/>
  <c r="V358" i="15"/>
  <c r="G360" i="15"/>
  <c r="BX360" i="6" s="1"/>
  <c r="H360" i="15"/>
  <c r="G364" i="15"/>
  <c r="BX364" i="6" s="1"/>
  <c r="H364" i="15"/>
  <c r="G366" i="15"/>
  <c r="BX366" i="6" s="1"/>
  <c r="H366" i="15"/>
  <c r="G368" i="15"/>
  <c r="BX368" i="6" s="1"/>
  <c r="H370" i="15"/>
  <c r="G372" i="15"/>
  <c r="BX372" i="6" s="1"/>
  <c r="H372" i="15"/>
  <c r="G374" i="15"/>
  <c r="BX374" i="6" s="1"/>
  <c r="H37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E9" i="17"/>
  <c r="AK8" i="17"/>
  <c r="E383" i="17"/>
  <c r="E382" i="17"/>
  <c r="E381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O15" i="7"/>
  <c r="Q10" i="16"/>
  <c r="Q75" i="16" s="1"/>
  <c r="Q210" i="16"/>
  <c r="Q274" i="16"/>
  <c r="Q295" i="16"/>
  <c r="Q303" i="16"/>
  <c r="Q311" i="16"/>
  <c r="Q319" i="16"/>
  <c r="Q327" i="16"/>
  <c r="Q335" i="16"/>
  <c r="Q343" i="16"/>
  <c r="Q351" i="16"/>
  <c r="Q359" i="16"/>
  <c r="Q367" i="16"/>
  <c r="Q375" i="16"/>
  <c r="H33" i="15"/>
  <c r="G33" i="15"/>
  <c r="BX33" i="6" s="1"/>
  <c r="G37" i="15"/>
  <c r="BX37" i="6" s="1"/>
  <c r="H37" i="15"/>
  <c r="G45" i="15"/>
  <c r="BX45" i="6" s="1"/>
  <c r="AA45" i="15"/>
  <c r="Z45" i="15" s="1"/>
  <c r="Y45" i="15" s="1"/>
  <c r="H45" i="15"/>
  <c r="H49" i="15"/>
  <c r="G49" i="15"/>
  <c r="BX49" i="6" s="1"/>
  <c r="G57" i="15"/>
  <c r="BX57" i="6" s="1"/>
  <c r="G59" i="15"/>
  <c r="BX59" i="6" s="1"/>
  <c r="AA59" i="15"/>
  <c r="Z59" i="15" s="1"/>
  <c r="Y59" i="15" s="1"/>
  <c r="H59" i="15"/>
  <c r="H65" i="15"/>
  <c r="G65" i="15"/>
  <c r="BX65" i="6" s="1"/>
  <c r="AA65" i="15"/>
  <c r="Z65" i="15" s="1"/>
  <c r="Y65" i="15" s="1"/>
  <c r="AA67" i="15"/>
  <c r="Z67" i="15" s="1"/>
  <c r="Y67" i="15" s="1"/>
  <c r="G67" i="15"/>
  <c r="BX67" i="6" s="1"/>
  <c r="H67" i="15"/>
  <c r="AA71" i="15"/>
  <c r="Z71" i="15" s="1"/>
  <c r="Y71" i="15" s="1"/>
  <c r="V75" i="15"/>
  <c r="F75" i="15" s="1"/>
  <c r="H77" i="15"/>
  <c r="G79" i="15"/>
  <c r="BX79" i="6" s="1"/>
  <c r="AA79" i="15"/>
  <c r="Z79" i="15" s="1"/>
  <c r="Y79" i="15" s="1"/>
  <c r="H79" i="15"/>
  <c r="H81" i="15"/>
  <c r="G81" i="15"/>
  <c r="BX81" i="6" s="1"/>
  <c r="H83" i="15"/>
  <c r="G85" i="15"/>
  <c r="BX85" i="6" s="1"/>
  <c r="H85" i="15"/>
  <c r="H87" i="15"/>
  <c r="G87" i="15"/>
  <c r="BX87" i="6" s="1"/>
  <c r="H89" i="15"/>
  <c r="G89" i="15"/>
  <c r="BX89" i="6" s="1"/>
  <c r="G91" i="15"/>
  <c r="BX91" i="6" s="1"/>
  <c r="H91" i="15"/>
  <c r="H93" i="15"/>
  <c r="G93" i="15"/>
  <c r="BX93" i="6" s="1"/>
  <c r="AA95" i="15"/>
  <c r="Z95" i="15" s="1"/>
  <c r="Y95" i="15" s="1"/>
  <c r="G95" i="15"/>
  <c r="BX95" i="6" s="1"/>
  <c r="H95" i="15"/>
  <c r="H97" i="15"/>
  <c r="G97" i="15"/>
  <c r="BX97" i="6" s="1"/>
  <c r="G99" i="15"/>
  <c r="BX99" i="6" s="1"/>
  <c r="H99" i="15"/>
  <c r="V101" i="15"/>
  <c r="F101" i="15" s="1"/>
  <c r="H103" i="15"/>
  <c r="G103" i="15"/>
  <c r="BX103" i="6" s="1"/>
  <c r="AA103" i="15"/>
  <c r="Z103" i="15" s="1"/>
  <c r="Y103" i="15" s="1"/>
  <c r="H105" i="15"/>
  <c r="G105" i="15"/>
  <c r="BX105" i="6" s="1"/>
  <c r="G111" i="15"/>
  <c r="BX111" i="6" s="1"/>
  <c r="H159" i="15"/>
  <c r="AA175" i="15"/>
  <c r="Z175" i="15" s="1"/>
  <c r="Y175" i="15" s="1"/>
  <c r="G183" i="15"/>
  <c r="BX183" i="6" s="1"/>
  <c r="H183" i="15"/>
  <c r="AA183" i="15"/>
  <c r="Z183" i="15" s="1"/>
  <c r="Y183" i="15" s="1"/>
  <c r="G185" i="15"/>
  <c r="BX185" i="6" s="1"/>
  <c r="H185" i="15"/>
  <c r="G187" i="15"/>
  <c r="BX187" i="6" s="1"/>
  <c r="AA187" i="15"/>
  <c r="Z187" i="15" s="1"/>
  <c r="Y187" i="15" s="1"/>
  <c r="H187" i="15"/>
  <c r="G189" i="15"/>
  <c r="BX189" i="6" s="1"/>
  <c r="H189" i="15"/>
  <c r="G195" i="15"/>
  <c r="BX195" i="6" s="1"/>
  <c r="V197" i="15"/>
  <c r="G199" i="15"/>
  <c r="BX199" i="6" s="1"/>
  <c r="H199" i="15"/>
  <c r="AA199" i="15"/>
  <c r="Z199" i="15" s="1"/>
  <c r="Y199" i="15" s="1"/>
  <c r="G201" i="15"/>
  <c r="BX201" i="6" s="1"/>
  <c r="H201" i="15"/>
  <c r="H205" i="15"/>
  <c r="G209" i="15"/>
  <c r="BX209" i="6" s="1"/>
  <c r="H209" i="15"/>
  <c r="G211" i="15"/>
  <c r="BX211" i="6" s="1"/>
  <c r="AA211" i="15"/>
  <c r="Z211" i="15" s="1"/>
  <c r="Y211" i="15" s="1"/>
  <c r="H211" i="15"/>
  <c r="G213" i="15"/>
  <c r="BX213" i="6" s="1"/>
  <c r="H213" i="15"/>
  <c r="AA215" i="15"/>
  <c r="Z215" i="15" s="1"/>
  <c r="Y215" i="15" s="1"/>
  <c r="G215" i="15"/>
  <c r="BX215" i="6" s="1"/>
  <c r="G217" i="15"/>
  <c r="BX217" i="6" s="1"/>
  <c r="H217" i="15"/>
  <c r="G219" i="15"/>
  <c r="BX219" i="6" s="1"/>
  <c r="AA219" i="15"/>
  <c r="Z219" i="15" s="1"/>
  <c r="Y219" i="15" s="1"/>
  <c r="H219" i="15"/>
  <c r="G221" i="15"/>
  <c r="BX221" i="6" s="1"/>
  <c r="H221" i="15"/>
  <c r="G223" i="15"/>
  <c r="BX223" i="6" s="1"/>
  <c r="H223" i="15"/>
  <c r="G225" i="15"/>
  <c r="BX225" i="6" s="1"/>
  <c r="H225" i="15"/>
  <c r="G229" i="15"/>
  <c r="BX229" i="6" s="1"/>
  <c r="H229" i="15"/>
  <c r="V233" i="15"/>
  <c r="F233" i="15" s="1"/>
  <c r="AA235" i="15"/>
  <c r="Z235" i="15" s="1"/>
  <c r="Y235" i="15" s="1"/>
  <c r="G235" i="15"/>
  <c r="BX235" i="6" s="1"/>
  <c r="H235" i="15"/>
  <c r="G237" i="15"/>
  <c r="BX237" i="6" s="1"/>
  <c r="H237" i="15"/>
  <c r="H239" i="15"/>
  <c r="G239" i="15"/>
  <c r="BX239" i="6" s="1"/>
  <c r="AA239" i="15"/>
  <c r="Z239" i="15" s="1"/>
  <c r="Y239" i="15" s="1"/>
  <c r="G367" i="15"/>
  <c r="BX367" i="6" s="1"/>
  <c r="AA367" i="15"/>
  <c r="Z367" i="15" s="1"/>
  <c r="Y367" i="15" s="1"/>
  <c r="H367" i="15"/>
  <c r="G369" i="15"/>
  <c r="BX369" i="6" s="1"/>
  <c r="H369" i="15"/>
  <c r="H371" i="15"/>
  <c r="G371" i="15"/>
  <c r="BX371" i="6" s="1"/>
  <c r="G373" i="15"/>
  <c r="BX373" i="6" s="1"/>
  <c r="H373" i="15"/>
  <c r="AA375" i="15"/>
  <c r="Z375" i="15" s="1"/>
  <c r="Y375" i="15" s="1"/>
  <c r="G375" i="15"/>
  <c r="BX375" i="6" s="1"/>
  <c r="H375" i="15"/>
  <c r="H377" i="15"/>
  <c r="G377" i="15"/>
  <c r="BX377" i="6" s="1"/>
  <c r="D9" i="17"/>
  <c r="D11" i="17" s="1"/>
  <c r="E38" i="19" s="1"/>
  <c r="D381" i="17"/>
  <c r="D383" i="17"/>
  <c r="D382" i="17"/>
  <c r="AJ7" i="17"/>
  <c r="AK3" i="17"/>
  <c r="Q14" i="19" s="1"/>
  <c r="AH383" i="15"/>
  <c r="AG15" i="15"/>
  <c r="AH381" i="15"/>
  <c r="AH382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V48" i="15"/>
  <c r="F48" i="15" s="1"/>
  <c r="V52" i="15"/>
  <c r="F52" i="15" s="1"/>
  <c r="G184" i="15"/>
  <c r="BX184" i="6" s="1"/>
  <c r="H184" i="15"/>
  <c r="H188" i="15"/>
  <c r="G192" i="15"/>
  <c r="BX192" i="6" s="1"/>
  <c r="H192" i="15"/>
  <c r="H196" i="15"/>
  <c r="G200" i="15"/>
  <c r="BX200" i="6" s="1"/>
  <c r="H200" i="15"/>
  <c r="H204" i="15"/>
  <c r="H208" i="15"/>
  <c r="AJ13" i="1"/>
  <c r="F288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A33" i="15" s="1"/>
  <c r="Z33" i="15" s="1"/>
  <c r="Y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A87" i="15" s="1"/>
  <c r="Z87" i="15" s="1"/>
  <c r="Y87" i="15" s="1"/>
  <c r="AG91" i="15"/>
  <c r="AF91" i="15" s="1"/>
  <c r="AD91" i="15" s="1"/>
  <c r="AA91" i="15" s="1"/>
  <c r="Z91" i="15" s="1"/>
  <c r="Y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A137" i="15" s="1"/>
  <c r="Z137" i="15" s="1"/>
  <c r="Y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A185" i="15" s="1"/>
  <c r="Z185" i="15" s="1"/>
  <c r="Y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A203" i="15" s="1"/>
  <c r="Z203" i="15" s="1"/>
  <c r="Y203" i="15" s="1"/>
  <c r="AG205" i="15"/>
  <c r="AF205" i="15" s="1"/>
  <c r="AD205" i="15" s="1"/>
  <c r="AG209" i="15"/>
  <c r="AF209" i="15" s="1"/>
  <c r="AD209" i="15" s="1"/>
  <c r="AA209" i="15" s="1"/>
  <c r="Z209" i="15" s="1"/>
  <c r="Y209" i="15" s="1"/>
  <c r="AG223" i="15"/>
  <c r="AF223" i="15" s="1"/>
  <c r="AD223" i="15" s="1"/>
  <c r="AA223" i="15" s="1"/>
  <c r="Z223" i="15" s="1"/>
  <c r="Y223" i="15" s="1"/>
  <c r="AG225" i="15"/>
  <c r="AF225" i="15" s="1"/>
  <c r="AD225" i="15" s="1"/>
  <c r="AA225" i="15" s="1"/>
  <c r="Z225" i="15" s="1"/>
  <c r="Y225" i="15" s="1"/>
  <c r="AG229" i="15"/>
  <c r="AF229" i="15" s="1"/>
  <c r="AD229" i="15" s="1"/>
  <c r="AA229" i="15" s="1"/>
  <c r="Z229" i="15" s="1"/>
  <c r="Y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A245" i="15" s="1"/>
  <c r="Z245" i="15" s="1"/>
  <c r="Y245" i="15" s="1"/>
  <c r="AG247" i="15"/>
  <c r="AF247" i="15" s="1"/>
  <c r="AD247" i="15" s="1"/>
  <c r="AA247" i="15" s="1"/>
  <c r="Z247" i="15" s="1"/>
  <c r="Y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A287" i="15" s="1"/>
  <c r="Z287" i="15" s="1"/>
  <c r="Y287" i="15" s="1"/>
  <c r="AG293" i="15"/>
  <c r="AF293" i="15" s="1"/>
  <c r="AD293" i="15" s="1"/>
  <c r="AA293" i="15" s="1"/>
  <c r="Z293" i="15" s="1"/>
  <c r="Y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A319" i="15" s="1"/>
  <c r="Z319" i="15" s="1"/>
  <c r="Y319" i="15" s="1"/>
  <c r="AG321" i="15"/>
  <c r="AF321" i="15" s="1"/>
  <c r="AD321" i="15" s="1"/>
  <c r="AA321" i="15" s="1"/>
  <c r="Z321" i="15" s="1"/>
  <c r="Y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A325" i="15" s="1"/>
  <c r="Z325" i="15" s="1"/>
  <c r="Y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A329" i="15" s="1"/>
  <c r="Z329" i="15" s="1"/>
  <c r="Y329" i="15" s="1"/>
  <c r="AG331" i="15"/>
  <c r="AF331" i="15" s="1"/>
  <c r="AD331" i="15" s="1"/>
  <c r="AA331" i="15" s="1"/>
  <c r="Z331" i="15" s="1"/>
  <c r="Y331" i="15" s="1"/>
  <c r="AG335" i="15"/>
  <c r="AF335" i="15" s="1"/>
  <c r="AD335" i="15" s="1"/>
  <c r="AA335" i="15" s="1"/>
  <c r="Z335" i="15" s="1"/>
  <c r="Y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A343" i="15" s="1"/>
  <c r="Z343" i="15" s="1"/>
  <c r="Y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A361" i="15" s="1"/>
  <c r="Z361" i="15" s="1"/>
  <c r="Y361" i="15" s="1"/>
  <c r="AG363" i="15"/>
  <c r="AF363" i="15" s="1"/>
  <c r="AD363" i="15" s="1"/>
  <c r="AG369" i="15"/>
  <c r="AF369" i="15" s="1"/>
  <c r="AD369" i="15" s="1"/>
  <c r="AA369" i="15" s="1"/>
  <c r="Z369" i="15" s="1"/>
  <c r="Y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AA377" i="15" s="1"/>
  <c r="Z377" i="15" s="1"/>
  <c r="Y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V379" i="15"/>
  <c r="F379" i="15" s="1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A86" i="15" s="1"/>
  <c r="Z86" i="15" s="1"/>
  <c r="Y86" i="15" s="1"/>
  <c r="AG88" i="15"/>
  <c r="AF88" i="15" s="1"/>
  <c r="AD88" i="15" s="1"/>
  <c r="AG90" i="15"/>
  <c r="AF90" i="15" s="1"/>
  <c r="AD90" i="15" s="1"/>
  <c r="AA90" i="15" s="1"/>
  <c r="Z90" i="15" s="1"/>
  <c r="Y90" i="15" s="1"/>
  <c r="AG94" i="15"/>
  <c r="AF94" i="15" s="1"/>
  <c r="AD94" i="15" s="1"/>
  <c r="AA94" i="15" s="1"/>
  <c r="Z94" i="15" s="1"/>
  <c r="Y94" i="15" s="1"/>
  <c r="AG96" i="15"/>
  <c r="AF96" i="15" s="1"/>
  <c r="AD96" i="15" s="1"/>
  <c r="AA96" i="15" s="1"/>
  <c r="Z96" i="15" s="1"/>
  <c r="Y96" i="15" s="1"/>
  <c r="AG100" i="15"/>
  <c r="AF100" i="15" s="1"/>
  <c r="AD100" i="15" s="1"/>
  <c r="AA100" i="15" s="1"/>
  <c r="Z100" i="15" s="1"/>
  <c r="Y100" i="15" s="1"/>
  <c r="AG106" i="15"/>
  <c r="AF106" i="15" s="1"/>
  <c r="AD106" i="15" s="1"/>
  <c r="AA106" i="15" s="1"/>
  <c r="Z106" i="15" s="1"/>
  <c r="Y106" i="15" s="1"/>
  <c r="AG108" i="15"/>
  <c r="AF108" i="15" s="1"/>
  <c r="AD108" i="15" s="1"/>
  <c r="AG110" i="15"/>
  <c r="AF110" i="15" s="1"/>
  <c r="AD110" i="15" s="1"/>
  <c r="AA110" i="15" s="1"/>
  <c r="Z110" i="15" s="1"/>
  <c r="Y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A122" i="15" s="1"/>
  <c r="Z122" i="15" s="1"/>
  <c r="Y122" i="15" s="1"/>
  <c r="AG126" i="15"/>
  <c r="AF126" i="15" s="1"/>
  <c r="AD126" i="15" s="1"/>
  <c r="AA126" i="15" s="1"/>
  <c r="Z126" i="15" s="1"/>
  <c r="Y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A146" i="15" s="1"/>
  <c r="Z146" i="15" s="1"/>
  <c r="Y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A158" i="15" s="1"/>
  <c r="Z158" i="15" s="1"/>
  <c r="Y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A174" i="15" s="1"/>
  <c r="Z174" i="15" s="1"/>
  <c r="Y174" i="15" s="1"/>
  <c r="AG178" i="15"/>
  <c r="AF178" i="15" s="1"/>
  <c r="AD178" i="15" s="1"/>
  <c r="AA178" i="15" s="1"/>
  <c r="Z178" i="15" s="1"/>
  <c r="Y178" i="15" s="1"/>
  <c r="AG180" i="15"/>
  <c r="AF180" i="15" s="1"/>
  <c r="AD180" i="15" s="1"/>
  <c r="AG186" i="15"/>
  <c r="AF186" i="15" s="1"/>
  <c r="AD186" i="15" s="1"/>
  <c r="AA186" i="15" s="1"/>
  <c r="Z186" i="15" s="1"/>
  <c r="Y186" i="15" s="1"/>
  <c r="AG188" i="15"/>
  <c r="AF188" i="15" s="1"/>
  <c r="AD188" i="15" s="1"/>
  <c r="AG190" i="15"/>
  <c r="AF190" i="15" s="1"/>
  <c r="AD190" i="15" s="1"/>
  <c r="AA190" i="15" s="1"/>
  <c r="Z190" i="15" s="1"/>
  <c r="Y190" i="15" s="1"/>
  <c r="AG194" i="15"/>
  <c r="AF194" i="15" s="1"/>
  <c r="AD194" i="15" s="1"/>
  <c r="AA194" i="15" s="1"/>
  <c r="Z194" i="15" s="1"/>
  <c r="Y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A198" i="15" s="1"/>
  <c r="Z198" i="15" s="1"/>
  <c r="Y198" i="15" s="1"/>
  <c r="AG204" i="15"/>
  <c r="AF204" i="15" s="1"/>
  <c r="AD204" i="15" s="1"/>
  <c r="AG208" i="15"/>
  <c r="AF208" i="15" s="1"/>
  <c r="AD208" i="15" s="1"/>
  <c r="AA208" i="15" s="1"/>
  <c r="Z208" i="15" s="1"/>
  <c r="Y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A218" i="15" s="1"/>
  <c r="Z218" i="15" s="1"/>
  <c r="Y218" i="15" s="1"/>
  <c r="AG222" i="15"/>
  <c r="AF222" i="15" s="1"/>
  <c r="AD222" i="15" s="1"/>
  <c r="AA222" i="15" s="1"/>
  <c r="Z222" i="15" s="1"/>
  <c r="Y222" i="15" s="1"/>
  <c r="AG226" i="15"/>
  <c r="AF226" i="15" s="1"/>
  <c r="AD226" i="15" s="1"/>
  <c r="AA226" i="15" s="1"/>
  <c r="Z226" i="15" s="1"/>
  <c r="Y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A242" i="15" s="1"/>
  <c r="Z242" i="15" s="1"/>
  <c r="Y242" i="15" s="1"/>
  <c r="AG246" i="15"/>
  <c r="AF246" i="15" s="1"/>
  <c r="AD246" i="15" s="1"/>
  <c r="AA246" i="15" s="1"/>
  <c r="Z246" i="15" s="1"/>
  <c r="Y246" i="15" s="1"/>
  <c r="AG248" i="15"/>
  <c r="AF248" i="15" s="1"/>
  <c r="AD248" i="15" s="1"/>
  <c r="AA248" i="15" s="1"/>
  <c r="Z248" i="15" s="1"/>
  <c r="Y248" i="15" s="1"/>
  <c r="AG250" i="15"/>
  <c r="AF250" i="15" s="1"/>
  <c r="AD250" i="15" s="1"/>
  <c r="AA250" i="15" s="1"/>
  <c r="Z250" i="15" s="1"/>
  <c r="Y250" i="15" s="1"/>
  <c r="AG252" i="15"/>
  <c r="AF252" i="15" s="1"/>
  <c r="AD252" i="15" s="1"/>
  <c r="AA252" i="15" s="1"/>
  <c r="Z252" i="15" s="1"/>
  <c r="Y252" i="15" s="1"/>
  <c r="AG256" i="15"/>
  <c r="AF256" i="15" s="1"/>
  <c r="AD256" i="15" s="1"/>
  <c r="AA256" i="15" s="1"/>
  <c r="Z256" i="15" s="1"/>
  <c r="Y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A266" i="15" s="1"/>
  <c r="Z266" i="15" s="1"/>
  <c r="Y266" i="15" s="1"/>
  <c r="AG268" i="15"/>
  <c r="AF268" i="15" s="1"/>
  <c r="AD268" i="15" s="1"/>
  <c r="AG270" i="15"/>
  <c r="AF270" i="15" s="1"/>
  <c r="AD270" i="15" s="1"/>
  <c r="AA270" i="15" s="1"/>
  <c r="Z270" i="15" s="1"/>
  <c r="Y270" i="15" s="1"/>
  <c r="AG272" i="15"/>
  <c r="AF272" i="15" s="1"/>
  <c r="AD272" i="15" s="1"/>
  <c r="AG274" i="15"/>
  <c r="AF274" i="15" s="1"/>
  <c r="AD274" i="15" s="1"/>
  <c r="AA274" i="15" s="1"/>
  <c r="Z274" i="15" s="1"/>
  <c r="Y274" i="15" s="1"/>
  <c r="AG276" i="15"/>
  <c r="AF276" i="15" s="1"/>
  <c r="AD276" i="15" s="1"/>
  <c r="AG284" i="15"/>
  <c r="AF284" i="15" s="1"/>
  <c r="AD284" i="15" s="1"/>
  <c r="AA284" i="15" s="1"/>
  <c r="Z284" i="15" s="1"/>
  <c r="Y284" i="15" s="1"/>
  <c r="AG286" i="15"/>
  <c r="AF286" i="15" s="1"/>
  <c r="AD286" i="15" s="1"/>
  <c r="AA286" i="15" s="1"/>
  <c r="Z286" i="15" s="1"/>
  <c r="Y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A304" i="15" s="1"/>
  <c r="Z304" i="15" s="1"/>
  <c r="Y304" i="15" s="1"/>
  <c r="AG306" i="15"/>
  <c r="AF306" i="15" s="1"/>
  <c r="AD306" i="15" s="1"/>
  <c r="AA306" i="15" s="1"/>
  <c r="Z306" i="15" s="1"/>
  <c r="Y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A314" i="15" s="1"/>
  <c r="Z314" i="15" s="1"/>
  <c r="Y314" i="15" s="1"/>
  <c r="AG320" i="15"/>
  <c r="AF320" i="15" s="1"/>
  <c r="AD320" i="15" s="1"/>
  <c r="AA320" i="15" s="1"/>
  <c r="Z320" i="15" s="1"/>
  <c r="Y320" i="15" s="1"/>
  <c r="AG326" i="15"/>
  <c r="AF326" i="15" s="1"/>
  <c r="AD326" i="15" s="1"/>
  <c r="AA326" i="15" s="1"/>
  <c r="Z326" i="15" s="1"/>
  <c r="Y326" i="15" s="1"/>
  <c r="AG328" i="15"/>
  <c r="AF328" i="15" s="1"/>
  <c r="AD328" i="15" s="1"/>
  <c r="AA328" i="15" s="1"/>
  <c r="Z328" i="15" s="1"/>
  <c r="Y328" i="15" s="1"/>
  <c r="AG330" i="15"/>
  <c r="AF330" i="15" s="1"/>
  <c r="AD330" i="15" s="1"/>
  <c r="AA330" i="15" s="1"/>
  <c r="Z330" i="15" s="1"/>
  <c r="Y330" i="15" s="1"/>
  <c r="AG332" i="15"/>
  <c r="AF332" i="15" s="1"/>
  <c r="AD332" i="15" s="1"/>
  <c r="AG334" i="15"/>
  <c r="AF334" i="15" s="1"/>
  <c r="AD334" i="15" s="1"/>
  <c r="AA334" i="15" s="1"/>
  <c r="Z334" i="15" s="1"/>
  <c r="Y334" i="15" s="1"/>
  <c r="AG338" i="15"/>
  <c r="AF338" i="15" s="1"/>
  <c r="AD338" i="15" s="1"/>
  <c r="AA338" i="15" s="1"/>
  <c r="Z338" i="15" s="1"/>
  <c r="Y338" i="15" s="1"/>
  <c r="AG346" i="15"/>
  <c r="AF346" i="15" s="1"/>
  <c r="AD346" i="15" s="1"/>
  <c r="AA346" i="15" s="1"/>
  <c r="Z346" i="15" s="1"/>
  <c r="Y346" i="15" s="1"/>
  <c r="AG348" i="15"/>
  <c r="AF348" i="15" s="1"/>
  <c r="AD348" i="15" s="1"/>
  <c r="AG352" i="15"/>
  <c r="AF352" i="15" s="1"/>
  <c r="AD352" i="15" s="1"/>
  <c r="AA352" i="15" s="1"/>
  <c r="Z352" i="15" s="1"/>
  <c r="Y352" i="15" s="1"/>
  <c r="AG354" i="15"/>
  <c r="AF354" i="15" s="1"/>
  <c r="AD354" i="15" s="1"/>
  <c r="AA354" i="15" s="1"/>
  <c r="Z354" i="15" s="1"/>
  <c r="Y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A364" i="15" s="1"/>
  <c r="Z364" i="15" s="1"/>
  <c r="Y364" i="15" s="1"/>
  <c r="AG366" i="15"/>
  <c r="AF366" i="15" s="1"/>
  <c r="AD366" i="15" s="1"/>
  <c r="AA366" i="15" s="1"/>
  <c r="Z366" i="15" s="1"/>
  <c r="Y366" i="15" s="1"/>
  <c r="AG370" i="15"/>
  <c r="AF370" i="15" s="1"/>
  <c r="AD370" i="15" s="1"/>
  <c r="AA370" i="15" s="1"/>
  <c r="Z370" i="15" s="1"/>
  <c r="Y370" i="15" s="1"/>
  <c r="AG372" i="15"/>
  <c r="AF372" i="15" s="1"/>
  <c r="AD372" i="15" s="1"/>
  <c r="AA372" i="15" s="1"/>
  <c r="Z372" i="15" s="1"/>
  <c r="Y372" i="15" s="1"/>
  <c r="AG376" i="15"/>
  <c r="AF376" i="15" s="1"/>
  <c r="AD376" i="15" s="1"/>
  <c r="AA376" i="15" s="1"/>
  <c r="Z376" i="15" s="1"/>
  <c r="Y376" i="15" s="1"/>
  <c r="AA348" i="15" l="1"/>
  <c r="Z348" i="15" s="1"/>
  <c r="Y348" i="15" s="1"/>
  <c r="AA332" i="15"/>
  <c r="Z332" i="15" s="1"/>
  <c r="Y332" i="15" s="1"/>
  <c r="AA212" i="15"/>
  <c r="Z212" i="15" s="1"/>
  <c r="Y212" i="15" s="1"/>
  <c r="AA204" i="15"/>
  <c r="Z204" i="15" s="1"/>
  <c r="Y204" i="15" s="1"/>
  <c r="AA305" i="15"/>
  <c r="Z305" i="15" s="1"/>
  <c r="Y305" i="15" s="1"/>
  <c r="AA205" i="15"/>
  <c r="Z205" i="15" s="1"/>
  <c r="Y205" i="15" s="1"/>
  <c r="G69" i="15"/>
  <c r="BX69" i="6" s="1"/>
  <c r="H273" i="15"/>
  <c r="I273" i="15" s="1"/>
  <c r="H134" i="15"/>
  <c r="AA316" i="15"/>
  <c r="Z316" i="15" s="1"/>
  <c r="Y316" i="15" s="1"/>
  <c r="AA92" i="15"/>
  <c r="Z92" i="15" s="1"/>
  <c r="Y92" i="15" s="1"/>
  <c r="Q379" i="16"/>
  <c r="Q371" i="16"/>
  <c r="Q363" i="16"/>
  <c r="Q355" i="16"/>
  <c r="Q347" i="16"/>
  <c r="Q339" i="16"/>
  <c r="Q331" i="16"/>
  <c r="Q323" i="16"/>
  <c r="Q315" i="16"/>
  <c r="Q307" i="16"/>
  <c r="Q299" i="16"/>
  <c r="Q290" i="16"/>
  <c r="Q242" i="16"/>
  <c r="Q165" i="16"/>
  <c r="G139" i="15"/>
  <c r="BX139" i="6" s="1"/>
  <c r="AA160" i="15"/>
  <c r="Z160" i="15" s="1"/>
  <c r="Y160" i="15" s="1"/>
  <c r="AA273" i="15"/>
  <c r="Z273" i="15" s="1"/>
  <c r="Y273" i="15" s="1"/>
  <c r="H203" i="15"/>
  <c r="G191" i="15"/>
  <c r="BX191" i="6" s="1"/>
  <c r="H167" i="15"/>
  <c r="H151" i="15"/>
  <c r="I151" i="15" s="1"/>
  <c r="H71" i="15"/>
  <c r="AA236" i="15"/>
  <c r="Z236" i="15" s="1"/>
  <c r="Y236" i="15" s="1"/>
  <c r="AA220" i="15"/>
  <c r="Z220" i="15" s="1"/>
  <c r="Y220" i="15" s="1"/>
  <c r="AA29" i="15"/>
  <c r="Z29" i="15" s="1"/>
  <c r="Y29" i="15" s="1"/>
  <c r="Q258" i="16"/>
  <c r="Q226" i="16"/>
  <c r="Q194" i="16"/>
  <c r="Q133" i="16"/>
  <c r="H130" i="15"/>
  <c r="G130" i="15"/>
  <c r="BX130" i="6" s="1"/>
  <c r="H170" i="15"/>
  <c r="G170" i="15"/>
  <c r="BX170" i="6" s="1"/>
  <c r="G132" i="15"/>
  <c r="BX132" i="6" s="1"/>
  <c r="H132" i="15"/>
  <c r="J132" i="15" s="1"/>
  <c r="H123" i="15"/>
  <c r="G123" i="15"/>
  <c r="BX123" i="6" s="1"/>
  <c r="H73" i="15"/>
  <c r="G73" i="15"/>
  <c r="BX73" i="6" s="1"/>
  <c r="G296" i="15"/>
  <c r="BX296" i="6" s="1"/>
  <c r="H296" i="15"/>
  <c r="I296" i="15" s="1"/>
  <c r="G254" i="15"/>
  <c r="BX254" i="6" s="1"/>
  <c r="H254" i="15"/>
  <c r="I254" i="15" s="1"/>
  <c r="G138" i="15"/>
  <c r="BX138" i="6" s="1"/>
  <c r="H138" i="15"/>
  <c r="I138" i="15" s="1"/>
  <c r="H244" i="15"/>
  <c r="G244" i="15"/>
  <c r="BX244" i="6" s="1"/>
  <c r="H300" i="15"/>
  <c r="G300" i="15"/>
  <c r="BX300" i="6" s="1"/>
  <c r="H332" i="15"/>
  <c r="G332" i="15"/>
  <c r="BX332" i="6" s="1"/>
  <c r="H348" i="15"/>
  <c r="G348" i="15"/>
  <c r="BX348" i="6" s="1"/>
  <c r="V241" i="15"/>
  <c r="F241" i="15" s="1"/>
  <c r="H241" i="15" s="1"/>
  <c r="D39" i="7"/>
  <c r="G212" i="15"/>
  <c r="BX212" i="6" s="1"/>
  <c r="H212" i="15"/>
  <c r="J212" i="15" s="1"/>
  <c r="G224" i="15"/>
  <c r="BX224" i="6" s="1"/>
  <c r="H224" i="15"/>
  <c r="J224" i="15" s="1"/>
  <c r="H165" i="15"/>
  <c r="G165" i="15"/>
  <c r="BX165" i="6" s="1"/>
  <c r="U10" i="16"/>
  <c r="U16" i="16" s="1"/>
  <c r="T16" i="16" s="1"/>
  <c r="S16" i="16" s="1"/>
  <c r="R16" i="16" s="1"/>
  <c r="O16" i="7"/>
  <c r="U17" i="16"/>
  <c r="T17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U38" i="16"/>
  <c r="T38" i="16" s="1"/>
  <c r="U40" i="16"/>
  <c r="T40" i="16" s="1"/>
  <c r="U42" i="16"/>
  <c r="T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U52" i="16"/>
  <c r="T52" i="16" s="1"/>
  <c r="S52" i="16" s="1"/>
  <c r="R52" i="16" s="1"/>
  <c r="U54" i="16"/>
  <c r="T54" i="16" s="1"/>
  <c r="U56" i="16"/>
  <c r="T56" i="16" s="1"/>
  <c r="U58" i="16"/>
  <c r="T58" i="16" s="1"/>
  <c r="U60" i="16"/>
  <c r="T60" i="16" s="1"/>
  <c r="S60" i="16" s="1"/>
  <c r="R60" i="16" s="1"/>
  <c r="U62" i="16"/>
  <c r="T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U90" i="16"/>
  <c r="T90" i="16" s="1"/>
  <c r="U92" i="16"/>
  <c r="T92" i="16" s="1"/>
  <c r="U94" i="16"/>
  <c r="T94" i="16" s="1"/>
  <c r="U96" i="16"/>
  <c r="T96" i="16" s="1"/>
  <c r="S96" i="16" s="1"/>
  <c r="R96" i="16" s="1"/>
  <c r="U98" i="16"/>
  <c r="T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U110" i="16"/>
  <c r="T110" i="16" s="1"/>
  <c r="S110" i="16" s="1"/>
  <c r="R110" i="16" s="1"/>
  <c r="U112" i="16"/>
  <c r="T112" i="16" s="1"/>
  <c r="U114" i="16"/>
  <c r="T114" i="16" s="1"/>
  <c r="U116" i="16"/>
  <c r="T116" i="16" s="1"/>
  <c r="S116" i="16" s="1"/>
  <c r="R116" i="16" s="1"/>
  <c r="U118" i="16"/>
  <c r="T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8" i="16"/>
  <c r="T18" i="16" s="1"/>
  <c r="U21" i="16"/>
  <c r="T21" i="16" s="1"/>
  <c r="U25" i="16"/>
  <c r="T25" i="16" s="1"/>
  <c r="U29" i="16"/>
  <c r="T29" i="16" s="1"/>
  <c r="S29" i="16" s="1"/>
  <c r="R29" i="16" s="1"/>
  <c r="U33" i="16"/>
  <c r="T33" i="16" s="1"/>
  <c r="U37" i="16"/>
  <c r="T37" i="16" s="1"/>
  <c r="U41" i="16"/>
  <c r="T41" i="16" s="1"/>
  <c r="S41" i="16" s="1"/>
  <c r="R41" i="16" s="1"/>
  <c r="U45" i="16"/>
  <c r="T45" i="16" s="1"/>
  <c r="U49" i="16"/>
  <c r="T49" i="16" s="1"/>
  <c r="S49" i="16" s="1"/>
  <c r="R49" i="16" s="1"/>
  <c r="U53" i="16"/>
  <c r="T53" i="16" s="1"/>
  <c r="U57" i="16"/>
  <c r="T57" i="16" s="1"/>
  <c r="U61" i="16"/>
  <c r="T61" i="16" s="1"/>
  <c r="S61" i="16" s="1"/>
  <c r="R61" i="16" s="1"/>
  <c r="U65" i="16"/>
  <c r="T65" i="16" s="1"/>
  <c r="S65" i="16" s="1"/>
  <c r="R65" i="16" s="1"/>
  <c r="U69" i="16"/>
  <c r="T69" i="16" s="1"/>
  <c r="U73" i="16"/>
  <c r="T73" i="16" s="1"/>
  <c r="U77" i="16"/>
  <c r="T77" i="16" s="1"/>
  <c r="S77" i="16" s="1"/>
  <c r="R77" i="16" s="1"/>
  <c r="U81" i="16"/>
  <c r="T81" i="16" s="1"/>
  <c r="U85" i="16"/>
  <c r="T85" i="16" s="1"/>
  <c r="S85" i="16" s="1"/>
  <c r="R85" i="16" s="1"/>
  <c r="U89" i="16"/>
  <c r="T89" i="16" s="1"/>
  <c r="U93" i="16"/>
  <c r="T93" i="16" s="1"/>
  <c r="U97" i="16"/>
  <c r="T97" i="16" s="1"/>
  <c r="U101" i="16"/>
  <c r="T101" i="16" s="1"/>
  <c r="U105" i="16"/>
  <c r="T105" i="16" s="1"/>
  <c r="S105" i="16" s="1"/>
  <c r="R105" i="16" s="1"/>
  <c r="U109" i="16"/>
  <c r="T109" i="16" s="1"/>
  <c r="S109" i="16" s="1"/>
  <c r="R109" i="16" s="1"/>
  <c r="U113" i="16"/>
  <c r="T113" i="16" s="1"/>
  <c r="S113" i="16" s="1"/>
  <c r="R113" i="16" s="1"/>
  <c r="U117" i="16"/>
  <c r="T117" i="16" s="1"/>
  <c r="S117" i="16" s="1"/>
  <c r="R117" i="16" s="1"/>
  <c r="U121" i="16"/>
  <c r="T121" i="16" s="1"/>
  <c r="U125" i="16"/>
  <c r="T125" i="16" s="1"/>
  <c r="S125" i="16" s="1"/>
  <c r="R125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U137" i="16"/>
  <c r="T137" i="16" s="1"/>
  <c r="S137" i="16" s="1"/>
  <c r="R137" i="16" s="1"/>
  <c r="U139" i="16"/>
  <c r="T139" i="16" s="1"/>
  <c r="U141" i="16"/>
  <c r="T141" i="16" s="1"/>
  <c r="U143" i="16"/>
  <c r="T143" i="16" s="1"/>
  <c r="U145" i="16"/>
  <c r="T145" i="16" s="1"/>
  <c r="S145" i="16" s="1"/>
  <c r="R145" i="16" s="1"/>
  <c r="U147" i="16"/>
  <c r="T147" i="16" s="1"/>
  <c r="U149" i="16"/>
  <c r="T149" i="16" s="1"/>
  <c r="U151" i="16"/>
  <c r="T151" i="16" s="1"/>
  <c r="U153" i="16"/>
  <c r="T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U163" i="16"/>
  <c r="T163" i="16" s="1"/>
  <c r="S163" i="16" s="1"/>
  <c r="R163" i="16" s="1"/>
  <c r="U165" i="16"/>
  <c r="T165" i="16" s="1"/>
  <c r="S165" i="16" s="1"/>
  <c r="R165" i="16" s="1"/>
  <c r="U167" i="16"/>
  <c r="T167" i="16" s="1"/>
  <c r="S167" i="16" s="1"/>
  <c r="R167" i="16" s="1"/>
  <c r="U169" i="16"/>
  <c r="T169" i="16" s="1"/>
  <c r="U171" i="16"/>
  <c r="T171" i="16" s="1"/>
  <c r="S171" i="16" s="1"/>
  <c r="R171" i="16" s="1"/>
  <c r="U173" i="16"/>
  <c r="T173" i="16" s="1"/>
  <c r="U175" i="16"/>
  <c r="T175" i="16" s="1"/>
  <c r="S175" i="16" s="1"/>
  <c r="R175" i="16" s="1"/>
  <c r="U177" i="16"/>
  <c r="T177" i="16" s="1"/>
  <c r="S177" i="16" s="1"/>
  <c r="R177" i="16" s="1"/>
  <c r="U179" i="16"/>
  <c r="T179" i="16" s="1"/>
  <c r="S179" i="16" s="1"/>
  <c r="R179" i="16" s="1"/>
  <c r="U181" i="16"/>
  <c r="T181" i="16" s="1"/>
  <c r="S181" i="16" s="1"/>
  <c r="R181" i="16" s="1"/>
  <c r="U183" i="16"/>
  <c r="T183" i="16" s="1"/>
  <c r="S183" i="16" s="1"/>
  <c r="R183" i="16" s="1"/>
  <c r="U185" i="16"/>
  <c r="T185" i="16" s="1"/>
  <c r="U187" i="16"/>
  <c r="T187" i="16" s="1"/>
  <c r="S187" i="16" s="1"/>
  <c r="R187" i="16" s="1"/>
  <c r="U189" i="16"/>
  <c r="T189" i="16" s="1"/>
  <c r="S189" i="16" s="1"/>
  <c r="R189" i="16" s="1"/>
  <c r="U191" i="16"/>
  <c r="T191" i="16" s="1"/>
  <c r="S191" i="16" s="1"/>
  <c r="R191" i="16" s="1"/>
  <c r="U193" i="16"/>
  <c r="T193" i="16" s="1"/>
  <c r="S193" i="16" s="1"/>
  <c r="R193" i="16" s="1"/>
  <c r="U195" i="16"/>
  <c r="T195" i="16" s="1"/>
  <c r="S195" i="16" s="1"/>
  <c r="R195" i="16" s="1"/>
  <c r="U197" i="16"/>
  <c r="T197" i="16" s="1"/>
  <c r="U199" i="16"/>
  <c r="T199" i="16" s="1"/>
  <c r="U201" i="16"/>
  <c r="T201" i="16" s="1"/>
  <c r="S201" i="16" s="1"/>
  <c r="R201" i="16" s="1"/>
  <c r="U203" i="16"/>
  <c r="T203" i="16" s="1"/>
  <c r="S203" i="16" s="1"/>
  <c r="R203" i="16" s="1"/>
  <c r="U205" i="16"/>
  <c r="T205" i="16" s="1"/>
  <c r="S205" i="16" s="1"/>
  <c r="R205" i="16" s="1"/>
  <c r="U207" i="16"/>
  <c r="T207" i="16" s="1"/>
  <c r="U209" i="16"/>
  <c r="T209" i="16" s="1"/>
  <c r="S209" i="16" s="1"/>
  <c r="R209" i="16" s="1"/>
  <c r="U211" i="16"/>
  <c r="T211" i="16" s="1"/>
  <c r="S211" i="16" s="1"/>
  <c r="R211" i="16" s="1"/>
  <c r="U213" i="16"/>
  <c r="T213" i="16" s="1"/>
  <c r="G207" i="15"/>
  <c r="BX207" i="6" s="1"/>
  <c r="H207" i="15"/>
  <c r="AA378" i="15"/>
  <c r="Z378" i="15" s="1"/>
  <c r="Y378" i="15" s="1"/>
  <c r="AA150" i="15"/>
  <c r="Z150" i="15" s="1"/>
  <c r="Y150" i="15" s="1"/>
  <c r="AA138" i="15"/>
  <c r="Z138" i="15" s="1"/>
  <c r="Y138" i="15" s="1"/>
  <c r="AA130" i="15"/>
  <c r="Z130" i="15" s="1"/>
  <c r="Y130" i="15" s="1"/>
  <c r="AA98" i="15"/>
  <c r="Z98" i="15" s="1"/>
  <c r="Y98" i="15" s="1"/>
  <c r="AA244" i="15"/>
  <c r="Z244" i="15" s="1"/>
  <c r="Y244" i="15" s="1"/>
  <c r="AA241" i="15"/>
  <c r="Z241" i="15" s="1"/>
  <c r="Y241" i="15" s="1"/>
  <c r="AA77" i="15"/>
  <c r="Z77" i="15" s="1"/>
  <c r="Y77" i="15" s="1"/>
  <c r="AA57" i="15"/>
  <c r="Z57" i="15" s="1"/>
  <c r="Y57" i="15" s="1"/>
  <c r="AA300" i="15"/>
  <c r="Z300" i="15" s="1"/>
  <c r="Y300" i="15" s="1"/>
  <c r="AA296" i="15"/>
  <c r="Z296" i="15" s="1"/>
  <c r="Y296" i="15" s="1"/>
  <c r="AA268" i="15"/>
  <c r="Z268" i="15" s="1"/>
  <c r="Y268" i="15" s="1"/>
  <c r="AA188" i="15"/>
  <c r="Z188" i="15" s="1"/>
  <c r="Y188" i="15" s="1"/>
  <c r="AA165" i="15"/>
  <c r="Z165" i="15" s="1"/>
  <c r="Y165" i="15" s="1"/>
  <c r="AA147" i="15"/>
  <c r="Z147" i="15" s="1"/>
  <c r="Y147" i="15" s="1"/>
  <c r="AA131" i="15"/>
  <c r="Z131" i="15" s="1"/>
  <c r="Y131" i="15" s="1"/>
  <c r="AA115" i="15"/>
  <c r="Z115" i="15" s="1"/>
  <c r="Y115" i="15" s="1"/>
  <c r="H193" i="15"/>
  <c r="I193" i="15" s="1"/>
  <c r="H179" i="15"/>
  <c r="J179" i="15" s="1"/>
  <c r="H163" i="15"/>
  <c r="I163" i="15" s="1"/>
  <c r="G155" i="15"/>
  <c r="BX155" i="6" s="1"/>
  <c r="G115" i="15"/>
  <c r="BX115" i="6" s="1"/>
  <c r="G107" i="15"/>
  <c r="BX107" i="6" s="1"/>
  <c r="H41" i="15"/>
  <c r="J41" i="15" s="1"/>
  <c r="G318" i="15"/>
  <c r="BX318" i="6" s="1"/>
  <c r="G147" i="15"/>
  <c r="BX147" i="6" s="1"/>
  <c r="G131" i="15"/>
  <c r="BX131" i="6" s="1"/>
  <c r="AA123" i="15"/>
  <c r="Z123" i="15" s="1"/>
  <c r="Y123" i="15" s="1"/>
  <c r="G176" i="15"/>
  <c r="BX176" i="6" s="1"/>
  <c r="G150" i="15"/>
  <c r="BX150" i="6" s="1"/>
  <c r="G98" i="15"/>
  <c r="BX98" i="6" s="1"/>
  <c r="G116" i="15"/>
  <c r="BX116" i="6" s="1"/>
  <c r="AA254" i="15"/>
  <c r="Z254" i="15" s="1"/>
  <c r="Y254" i="15" s="1"/>
  <c r="AA134" i="15"/>
  <c r="Z134" i="15" s="1"/>
  <c r="Y134" i="15" s="1"/>
  <c r="AA368" i="15"/>
  <c r="Z368" i="15" s="1"/>
  <c r="Y368" i="15" s="1"/>
  <c r="AA224" i="15"/>
  <c r="Z224" i="15" s="1"/>
  <c r="Y224" i="15" s="1"/>
  <c r="AA216" i="15"/>
  <c r="Z216" i="15" s="1"/>
  <c r="Y216" i="15" s="1"/>
  <c r="G135" i="15"/>
  <c r="BX135" i="6" s="1"/>
  <c r="H127" i="15"/>
  <c r="I127" i="15" s="1"/>
  <c r="Q282" i="16"/>
  <c r="Q266" i="16"/>
  <c r="Q250" i="16"/>
  <c r="Q234" i="16"/>
  <c r="Q218" i="16"/>
  <c r="Q202" i="16"/>
  <c r="Q181" i="16"/>
  <c r="P181" i="16" s="1"/>
  <c r="V181" i="16" s="1"/>
  <c r="F181" i="16" s="1"/>
  <c r="G181" i="16" s="1"/>
  <c r="BY181" i="6" s="1"/>
  <c r="Q149" i="16"/>
  <c r="Q117" i="16"/>
  <c r="G231" i="15"/>
  <c r="BX231" i="6" s="1"/>
  <c r="G214" i="15"/>
  <c r="BX214" i="6" s="1"/>
  <c r="AA167" i="15"/>
  <c r="Z167" i="15" s="1"/>
  <c r="Y167" i="15" s="1"/>
  <c r="AA159" i="15"/>
  <c r="Z159" i="15" s="1"/>
  <c r="Y159" i="15" s="1"/>
  <c r="AA127" i="15"/>
  <c r="Z127" i="15" s="1"/>
  <c r="Y127" i="15" s="1"/>
  <c r="AA195" i="15"/>
  <c r="Z195" i="15" s="1"/>
  <c r="Y195" i="15" s="1"/>
  <c r="AA135" i="15"/>
  <c r="Z135" i="15" s="1"/>
  <c r="Y135" i="15" s="1"/>
  <c r="G140" i="15"/>
  <c r="BX140" i="6" s="1"/>
  <c r="G154" i="15"/>
  <c r="BX154" i="6" s="1"/>
  <c r="G143" i="15"/>
  <c r="BX143" i="6" s="1"/>
  <c r="H25" i="15"/>
  <c r="I25" i="15" s="1"/>
  <c r="G160" i="15"/>
  <c r="BX160" i="6" s="1"/>
  <c r="AA132" i="15"/>
  <c r="Z132" i="15" s="1"/>
  <c r="Y132" i="15" s="1"/>
  <c r="AA116" i="15"/>
  <c r="Z116" i="15" s="1"/>
  <c r="Y116" i="15" s="1"/>
  <c r="AA193" i="15"/>
  <c r="Z193" i="15" s="1"/>
  <c r="Y193" i="15" s="1"/>
  <c r="AA179" i="15"/>
  <c r="Z179" i="15" s="1"/>
  <c r="Y179" i="15" s="1"/>
  <c r="AA155" i="15"/>
  <c r="Z155" i="15" s="1"/>
  <c r="Y155" i="15" s="1"/>
  <c r="AA107" i="15"/>
  <c r="Z107" i="15" s="1"/>
  <c r="Y107" i="15" s="1"/>
  <c r="AA41" i="15"/>
  <c r="Z41" i="15" s="1"/>
  <c r="Y41" i="15" s="1"/>
  <c r="AA163" i="15"/>
  <c r="Z163" i="15" s="1"/>
  <c r="Y163" i="15" s="1"/>
  <c r="H69" i="15"/>
  <c r="J69" i="15" s="1"/>
  <c r="H139" i="15"/>
  <c r="J139" i="15" s="1"/>
  <c r="AA318" i="15"/>
  <c r="Z318" i="15" s="1"/>
  <c r="Y318" i="15" s="1"/>
  <c r="AA170" i="15"/>
  <c r="Z170" i="15" s="1"/>
  <c r="Y170" i="15" s="1"/>
  <c r="AA176" i="15"/>
  <c r="Z176" i="15" s="1"/>
  <c r="Y176" i="15" s="1"/>
  <c r="AA214" i="15"/>
  <c r="Z214" i="15" s="1"/>
  <c r="Y214" i="15" s="1"/>
  <c r="AA154" i="15"/>
  <c r="Z154" i="15" s="1"/>
  <c r="Y154" i="15" s="1"/>
  <c r="AA144" i="15"/>
  <c r="Z144" i="15" s="1"/>
  <c r="Y144" i="15" s="1"/>
  <c r="AA191" i="15"/>
  <c r="Z191" i="15" s="1"/>
  <c r="Y191" i="15" s="1"/>
  <c r="AA151" i="15"/>
  <c r="Z151" i="15" s="1"/>
  <c r="Y151" i="15" s="1"/>
  <c r="AA111" i="15"/>
  <c r="Z111" i="15" s="1"/>
  <c r="Y111" i="15" s="1"/>
  <c r="AA83" i="15"/>
  <c r="Z83" i="15" s="1"/>
  <c r="Y83" i="15" s="1"/>
  <c r="AA231" i="15"/>
  <c r="Z231" i="15" s="1"/>
  <c r="Y231" i="15" s="1"/>
  <c r="H175" i="15"/>
  <c r="I175" i="15" s="1"/>
  <c r="G77" i="15"/>
  <c r="BX77" i="6" s="1"/>
  <c r="H57" i="15"/>
  <c r="J57" i="15" s="1"/>
  <c r="H143" i="15"/>
  <c r="I143" i="15" s="1"/>
  <c r="AA25" i="15"/>
  <c r="Z25" i="15" s="1"/>
  <c r="Y25" i="15" s="1"/>
  <c r="V119" i="15"/>
  <c r="F119" i="15" s="1"/>
  <c r="AA119" i="15" s="1"/>
  <c r="Z119" i="15" s="1"/>
  <c r="Y119" i="15" s="1"/>
  <c r="P165" i="16"/>
  <c r="V165" i="16" s="1"/>
  <c r="F165" i="16" s="1"/>
  <c r="G165" i="16" s="1"/>
  <c r="BY165" i="6" s="1"/>
  <c r="P133" i="16"/>
  <c r="V133" i="16" s="1"/>
  <c r="F133" i="16" s="1"/>
  <c r="G133" i="16" s="1"/>
  <c r="BY133" i="6" s="1"/>
  <c r="Q377" i="16"/>
  <c r="Q373" i="16"/>
  <c r="Q369" i="16"/>
  <c r="Q365" i="16"/>
  <c r="Q361" i="16"/>
  <c r="Q357" i="16"/>
  <c r="Q353" i="16"/>
  <c r="Q349" i="16"/>
  <c r="Q345" i="16"/>
  <c r="Q341" i="16"/>
  <c r="Q337" i="16"/>
  <c r="Q333" i="16"/>
  <c r="Q329" i="16"/>
  <c r="Q325" i="16"/>
  <c r="Q321" i="16"/>
  <c r="Q317" i="16"/>
  <c r="Q313" i="16"/>
  <c r="Q309" i="16"/>
  <c r="Q305" i="16"/>
  <c r="Q301" i="16"/>
  <c r="Q297" i="16"/>
  <c r="Q293" i="16"/>
  <c r="Q286" i="16"/>
  <c r="Q278" i="16"/>
  <c r="Q270" i="16"/>
  <c r="Q262" i="16"/>
  <c r="Q254" i="16"/>
  <c r="Q246" i="16"/>
  <c r="Q238" i="16"/>
  <c r="Q230" i="16"/>
  <c r="Q222" i="16"/>
  <c r="Q214" i="16"/>
  <c r="Q206" i="16"/>
  <c r="Q198" i="16"/>
  <c r="Q189" i="16"/>
  <c r="P189" i="16" s="1"/>
  <c r="V189" i="16" s="1"/>
  <c r="F189" i="16" s="1"/>
  <c r="G189" i="16" s="1"/>
  <c r="BY189" i="6" s="1"/>
  <c r="Q173" i="16"/>
  <c r="Q157" i="16"/>
  <c r="P157" i="16" s="1"/>
  <c r="V157" i="16" s="1"/>
  <c r="F157" i="16" s="1"/>
  <c r="G157" i="16" s="1"/>
  <c r="BY157" i="6" s="1"/>
  <c r="Q141" i="16"/>
  <c r="Q125" i="16"/>
  <c r="P125" i="16" s="1"/>
  <c r="V125" i="16" s="1"/>
  <c r="F125" i="16" s="1"/>
  <c r="Q93" i="16"/>
  <c r="W2" i="7"/>
  <c r="Q109" i="16"/>
  <c r="G152" i="15"/>
  <c r="BX152" i="6" s="1"/>
  <c r="AA152" i="15"/>
  <c r="Z152" i="15" s="1"/>
  <c r="Y152" i="15" s="1"/>
  <c r="Q31" i="16"/>
  <c r="Q59" i="16"/>
  <c r="Q85" i="16"/>
  <c r="P85" i="16" s="1"/>
  <c r="V85" i="16" s="1"/>
  <c r="F85" i="16" s="1"/>
  <c r="G85" i="16" s="1"/>
  <c r="BY85" i="6" s="1"/>
  <c r="Q101" i="16"/>
  <c r="Q113" i="16"/>
  <c r="Q121" i="16"/>
  <c r="Q129" i="16"/>
  <c r="P129" i="16" s="1"/>
  <c r="V129" i="16" s="1"/>
  <c r="F129" i="16" s="1"/>
  <c r="G129" i="16" s="1"/>
  <c r="BY129" i="6" s="1"/>
  <c r="Q137" i="16"/>
  <c r="Q145" i="16"/>
  <c r="P145" i="16" s="1"/>
  <c r="V145" i="16" s="1"/>
  <c r="F145" i="16" s="1"/>
  <c r="G145" i="16" s="1"/>
  <c r="BY145" i="6" s="1"/>
  <c r="Q153" i="16"/>
  <c r="Q161" i="16"/>
  <c r="Q169" i="16"/>
  <c r="Q177" i="16"/>
  <c r="Q185" i="16"/>
  <c r="Q192" i="16"/>
  <c r="Q196" i="16"/>
  <c r="Q200" i="16"/>
  <c r="Q204" i="16"/>
  <c r="Q208" i="16"/>
  <c r="Q212" i="16"/>
  <c r="Q216" i="16"/>
  <c r="Q220" i="16"/>
  <c r="Q224" i="16"/>
  <c r="Q228" i="16"/>
  <c r="Q232" i="16"/>
  <c r="Q236" i="16"/>
  <c r="Q240" i="16"/>
  <c r="Q244" i="16"/>
  <c r="Q248" i="16"/>
  <c r="Q252" i="16"/>
  <c r="Q256" i="16"/>
  <c r="Q260" i="16"/>
  <c r="Q264" i="16"/>
  <c r="Q268" i="16"/>
  <c r="Q272" i="16"/>
  <c r="Q276" i="16"/>
  <c r="Q280" i="16"/>
  <c r="Q284" i="16"/>
  <c r="Q288" i="16"/>
  <c r="Q292" i="16"/>
  <c r="Q294" i="16"/>
  <c r="Q296" i="16"/>
  <c r="Q298" i="16"/>
  <c r="Q300" i="16"/>
  <c r="Q302" i="16"/>
  <c r="Q304" i="16"/>
  <c r="Q306" i="16"/>
  <c r="Q308" i="16"/>
  <c r="Q310" i="16"/>
  <c r="Q312" i="16"/>
  <c r="Q314" i="16"/>
  <c r="Q316" i="16"/>
  <c r="Q318" i="16"/>
  <c r="Q320" i="16"/>
  <c r="Q322" i="16"/>
  <c r="Q324" i="16"/>
  <c r="Q326" i="16"/>
  <c r="Q328" i="16"/>
  <c r="Q330" i="16"/>
  <c r="Q332" i="16"/>
  <c r="Q334" i="16"/>
  <c r="Q336" i="16"/>
  <c r="Q338" i="16"/>
  <c r="Q340" i="16"/>
  <c r="Q342" i="16"/>
  <c r="Q344" i="16"/>
  <c r="Q346" i="16"/>
  <c r="Q348" i="16"/>
  <c r="Q350" i="16"/>
  <c r="Q352" i="16"/>
  <c r="Q354" i="16"/>
  <c r="Q356" i="16"/>
  <c r="Q358" i="16"/>
  <c r="Q360" i="16"/>
  <c r="Q362" i="16"/>
  <c r="Q364" i="16"/>
  <c r="Q366" i="16"/>
  <c r="Q368" i="16"/>
  <c r="Q370" i="16"/>
  <c r="Q372" i="16"/>
  <c r="Q374" i="16"/>
  <c r="Q376" i="16"/>
  <c r="Q378" i="16"/>
  <c r="Q380" i="16"/>
  <c r="Q43" i="16"/>
  <c r="G181" i="15"/>
  <c r="BX181" i="6" s="1"/>
  <c r="H153" i="15"/>
  <c r="J153" i="15" s="1"/>
  <c r="AA31" i="15"/>
  <c r="Z31" i="15" s="1"/>
  <c r="Y31" i="15" s="1"/>
  <c r="H129" i="15"/>
  <c r="I129" i="15" s="1"/>
  <c r="H271" i="15"/>
  <c r="J271" i="15" s="1"/>
  <c r="G128" i="15"/>
  <c r="BX128" i="6" s="1"/>
  <c r="G141" i="15"/>
  <c r="BX141" i="6" s="1"/>
  <c r="G145" i="15"/>
  <c r="BX145" i="6" s="1"/>
  <c r="G133" i="15"/>
  <c r="BX133" i="6" s="1"/>
  <c r="G125" i="15"/>
  <c r="BX125" i="6" s="1"/>
  <c r="AA172" i="15"/>
  <c r="Z172" i="15" s="1"/>
  <c r="Y172" i="15" s="1"/>
  <c r="AA141" i="15"/>
  <c r="Z141" i="15" s="1"/>
  <c r="Y141" i="15" s="1"/>
  <c r="AA113" i="15"/>
  <c r="Z113" i="15" s="1"/>
  <c r="Y113" i="15" s="1"/>
  <c r="G19" i="15"/>
  <c r="BX19" i="6" s="1"/>
  <c r="D42" i="7"/>
  <c r="H363" i="15"/>
  <c r="J363" i="15" s="1"/>
  <c r="G168" i="15"/>
  <c r="BX168" i="6" s="1"/>
  <c r="AA109" i="15"/>
  <c r="Z109" i="15" s="1"/>
  <c r="Y109" i="15" s="1"/>
  <c r="AA169" i="15"/>
  <c r="Z169" i="15" s="1"/>
  <c r="Y169" i="15" s="1"/>
  <c r="AA177" i="15"/>
  <c r="Z177" i="15" s="1"/>
  <c r="Y177" i="15" s="1"/>
  <c r="AA276" i="15"/>
  <c r="Z276" i="15" s="1"/>
  <c r="Y276" i="15" s="1"/>
  <c r="AA114" i="15"/>
  <c r="Z114" i="15" s="1"/>
  <c r="Y114" i="15" s="1"/>
  <c r="AA157" i="15"/>
  <c r="Z157" i="15" s="1"/>
  <c r="Y157" i="15" s="1"/>
  <c r="G277" i="15"/>
  <c r="BX277" i="6" s="1"/>
  <c r="H169" i="15"/>
  <c r="J169" i="15" s="1"/>
  <c r="G53" i="15"/>
  <c r="BX53" i="6" s="1"/>
  <c r="G149" i="15"/>
  <c r="BX149" i="6" s="1"/>
  <c r="H114" i="15"/>
  <c r="I114" i="15" s="1"/>
  <c r="H302" i="15"/>
  <c r="J302" i="15" s="1"/>
  <c r="AA161" i="15"/>
  <c r="Z161" i="15" s="1"/>
  <c r="Y161" i="15" s="1"/>
  <c r="AA168" i="15"/>
  <c r="Z168" i="15" s="1"/>
  <c r="Y168" i="15" s="1"/>
  <c r="AA19" i="15"/>
  <c r="Z19" i="15" s="1"/>
  <c r="Y19" i="15" s="1"/>
  <c r="G173" i="15"/>
  <c r="BX173" i="6" s="1"/>
  <c r="G161" i="15"/>
  <c r="BX161" i="6" s="1"/>
  <c r="H113" i="15"/>
  <c r="J113" i="15" s="1"/>
  <c r="G61" i="15"/>
  <c r="BX61" i="6" s="1"/>
  <c r="G271" i="15"/>
  <c r="BX271" i="6" s="1"/>
  <c r="G29" i="15"/>
  <c r="BX29" i="6" s="1"/>
  <c r="G172" i="15"/>
  <c r="BX172" i="6" s="1"/>
  <c r="G112" i="15"/>
  <c r="BX112" i="6" s="1"/>
  <c r="G269" i="15"/>
  <c r="BX269" i="6" s="1"/>
  <c r="G129" i="15"/>
  <c r="BX129" i="6" s="1"/>
  <c r="H121" i="15"/>
  <c r="J121" i="15" s="1"/>
  <c r="F62" i="19"/>
  <c r="AA112" i="15"/>
  <c r="Z112" i="15" s="1"/>
  <c r="Y112" i="15" s="1"/>
  <c r="AA302" i="15"/>
  <c r="Z302" i="15" s="1"/>
  <c r="Y302" i="15" s="1"/>
  <c r="H365" i="15"/>
  <c r="J365" i="15" s="1"/>
  <c r="G177" i="15"/>
  <c r="BX177" i="6" s="1"/>
  <c r="H157" i="15"/>
  <c r="J157" i="15" s="1"/>
  <c r="G117" i="15"/>
  <c r="BX117" i="6" s="1"/>
  <c r="G109" i="15"/>
  <c r="BX109" i="6" s="1"/>
  <c r="G120" i="15"/>
  <c r="BX120" i="6" s="1"/>
  <c r="G345" i="15"/>
  <c r="BX345" i="6" s="1"/>
  <c r="AA145" i="15"/>
  <c r="Z145" i="15" s="1"/>
  <c r="Y145" i="15" s="1"/>
  <c r="AA125" i="15"/>
  <c r="Z125" i="15" s="1"/>
  <c r="Y125" i="15" s="1"/>
  <c r="H276" i="15"/>
  <c r="J276" i="15" s="1"/>
  <c r="Q105" i="16"/>
  <c r="Q97" i="16"/>
  <c r="Q89" i="16"/>
  <c r="Q81" i="16"/>
  <c r="Q67" i="16"/>
  <c r="Q51" i="16"/>
  <c r="AA128" i="15"/>
  <c r="Z128" i="15" s="1"/>
  <c r="Y128" i="15" s="1"/>
  <c r="AA363" i="15"/>
  <c r="Z363" i="15" s="1"/>
  <c r="Y363" i="15" s="1"/>
  <c r="AA181" i="15"/>
  <c r="Z181" i="15" s="1"/>
  <c r="Y181" i="15" s="1"/>
  <c r="AA173" i="15"/>
  <c r="Z173" i="15" s="1"/>
  <c r="Y173" i="15" s="1"/>
  <c r="AA121" i="15"/>
  <c r="Z121" i="15" s="1"/>
  <c r="Y121" i="15" s="1"/>
  <c r="AA61" i="15"/>
  <c r="Z61" i="15" s="1"/>
  <c r="Y61" i="15" s="1"/>
  <c r="H161" i="15"/>
  <c r="I161" i="15" s="1"/>
  <c r="G153" i="15"/>
  <c r="BX153" i="6" s="1"/>
  <c r="H31" i="15"/>
  <c r="J31" i="15" s="1"/>
  <c r="H29" i="15"/>
  <c r="I29" i="15" s="1"/>
  <c r="L37" i="19"/>
  <c r="C12" i="19"/>
  <c r="F36" i="19"/>
  <c r="AA120" i="15"/>
  <c r="Z120" i="15" s="1"/>
  <c r="Y120" i="15" s="1"/>
  <c r="AA149" i="15"/>
  <c r="Z149" i="15" s="1"/>
  <c r="Y149" i="15" s="1"/>
  <c r="AA133" i="15"/>
  <c r="Z133" i="15" s="1"/>
  <c r="Y133" i="15" s="1"/>
  <c r="AA117" i="15"/>
  <c r="Z117" i="15" s="1"/>
  <c r="Y117" i="15" s="1"/>
  <c r="P177" i="16"/>
  <c r="V177" i="16" s="1"/>
  <c r="F177" i="16" s="1"/>
  <c r="G177" i="16" s="1"/>
  <c r="BY177" i="6" s="1"/>
  <c r="P137" i="16"/>
  <c r="V137" i="16" s="1"/>
  <c r="F137" i="16" s="1"/>
  <c r="P113" i="16"/>
  <c r="V113" i="16" s="1"/>
  <c r="F113" i="16" s="1"/>
  <c r="G113" i="16" s="1"/>
  <c r="BY113" i="6" s="1"/>
  <c r="P105" i="16"/>
  <c r="V105" i="16" s="1"/>
  <c r="F105" i="16" s="1"/>
  <c r="G105" i="16" s="1"/>
  <c r="BY105" i="6" s="1"/>
  <c r="G169" i="15"/>
  <c r="BX169" i="6" s="1"/>
  <c r="H109" i="15"/>
  <c r="J109" i="15" s="1"/>
  <c r="AA53" i="15"/>
  <c r="Z53" i="15" s="1"/>
  <c r="Y53" i="15" s="1"/>
  <c r="AA277" i="15"/>
  <c r="Z277" i="15" s="1"/>
  <c r="Y277" i="15" s="1"/>
  <c r="D32" i="7"/>
  <c r="AJ11" i="16"/>
  <c r="G62" i="19"/>
  <c r="H180" i="15"/>
  <c r="I180" i="15" s="1"/>
  <c r="AA180" i="15"/>
  <c r="Z180" i="15" s="1"/>
  <c r="Y180" i="15" s="1"/>
  <c r="AA210" i="15"/>
  <c r="Z210" i="15" s="1"/>
  <c r="Y210" i="15" s="1"/>
  <c r="G241" i="15"/>
  <c r="BX241" i="6" s="1"/>
  <c r="G210" i="15"/>
  <c r="BX210" i="6" s="1"/>
  <c r="H62" i="19"/>
  <c r="G47" i="15"/>
  <c r="BX47" i="6" s="1"/>
  <c r="H47" i="15"/>
  <c r="J47" i="15" s="1"/>
  <c r="Q23" i="16"/>
  <c r="Q39" i="16"/>
  <c r="Q47" i="16"/>
  <c r="Q55" i="16"/>
  <c r="Q63" i="16"/>
  <c r="Q71" i="16"/>
  <c r="Q79" i="16"/>
  <c r="Q83" i="16"/>
  <c r="Q87" i="16"/>
  <c r="Q91" i="16"/>
  <c r="Q95" i="16"/>
  <c r="Q99" i="16"/>
  <c r="Q103" i="16"/>
  <c r="Q107" i="16"/>
  <c r="Q111" i="16"/>
  <c r="Q115" i="16"/>
  <c r="Q119" i="16"/>
  <c r="Q123" i="16"/>
  <c r="Q127" i="16"/>
  <c r="Q131" i="16"/>
  <c r="Q135" i="16"/>
  <c r="Q139" i="16"/>
  <c r="Q143" i="16"/>
  <c r="Q147" i="16"/>
  <c r="Q151" i="16"/>
  <c r="Q155" i="16"/>
  <c r="Q159" i="16"/>
  <c r="P159" i="16" s="1"/>
  <c r="V159" i="16" s="1"/>
  <c r="F159" i="16" s="1"/>
  <c r="G159" i="16" s="1"/>
  <c r="BY159" i="6" s="1"/>
  <c r="Q163" i="16"/>
  <c r="Q167" i="16"/>
  <c r="P167" i="16" s="1"/>
  <c r="V167" i="16" s="1"/>
  <c r="Q171" i="16"/>
  <c r="Q175" i="16"/>
  <c r="P175" i="16" s="1"/>
  <c r="V175" i="16" s="1"/>
  <c r="F175" i="16" s="1"/>
  <c r="G175" i="16" s="1"/>
  <c r="BY175" i="6" s="1"/>
  <c r="Q179" i="16"/>
  <c r="Q183" i="16"/>
  <c r="P183" i="16" s="1"/>
  <c r="V183" i="16" s="1"/>
  <c r="F183" i="16" s="1"/>
  <c r="G183" i="16" s="1"/>
  <c r="BY183" i="6" s="1"/>
  <c r="Q187" i="16"/>
  <c r="Q191" i="16"/>
  <c r="P191" i="16" s="1"/>
  <c r="V191" i="16" s="1"/>
  <c r="F191" i="16" s="1"/>
  <c r="Q193" i="16"/>
  <c r="P193" i="16" s="1"/>
  <c r="V193" i="16" s="1"/>
  <c r="F193" i="16" s="1"/>
  <c r="G193" i="16" s="1"/>
  <c r="BY193" i="6" s="1"/>
  <c r="Q195" i="16"/>
  <c r="P195" i="16" s="1"/>
  <c r="V195" i="16" s="1"/>
  <c r="F195" i="16" s="1"/>
  <c r="G195" i="16" s="1"/>
  <c r="BY195" i="6" s="1"/>
  <c r="Q197" i="16"/>
  <c r="Q199" i="16"/>
  <c r="Q201" i="16"/>
  <c r="P201" i="16" s="1"/>
  <c r="V201" i="16" s="1"/>
  <c r="F201" i="16" s="1"/>
  <c r="G201" i="16" s="1"/>
  <c r="BY201" i="6" s="1"/>
  <c r="Q203" i="16"/>
  <c r="P203" i="16" s="1"/>
  <c r="V203" i="16" s="1"/>
  <c r="F203" i="16" s="1"/>
  <c r="G203" i="16" s="1"/>
  <c r="BY203" i="6" s="1"/>
  <c r="Q205" i="16"/>
  <c r="P205" i="16" s="1"/>
  <c r="V205" i="16" s="1"/>
  <c r="F205" i="16" s="1"/>
  <c r="Q207" i="16"/>
  <c r="Q209" i="16"/>
  <c r="P209" i="16" s="1"/>
  <c r="V209" i="16" s="1"/>
  <c r="F209" i="16" s="1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H378" i="15"/>
  <c r="I378" i="15" s="1"/>
  <c r="G88" i="15"/>
  <c r="BX88" i="6" s="1"/>
  <c r="AA88" i="15"/>
  <c r="Z88" i="15" s="1"/>
  <c r="Y88" i="15" s="1"/>
  <c r="H39" i="15"/>
  <c r="J39" i="15" s="1"/>
  <c r="G63" i="15"/>
  <c r="BX63" i="6" s="1"/>
  <c r="G27" i="15"/>
  <c r="BX27" i="6" s="1"/>
  <c r="AA84" i="15"/>
  <c r="Z84" i="15" s="1"/>
  <c r="Y84" i="15" s="1"/>
  <c r="AA39" i="15"/>
  <c r="Z39" i="15" s="1"/>
  <c r="Y39" i="15" s="1"/>
  <c r="H84" i="15"/>
  <c r="I84" i="15" s="1"/>
  <c r="G68" i="15"/>
  <c r="BX68" i="6" s="1"/>
  <c r="G43" i="15"/>
  <c r="BX43" i="6" s="1"/>
  <c r="L62" i="19"/>
  <c r="G35" i="15"/>
  <c r="BX35" i="6" s="1"/>
  <c r="AA80" i="15"/>
  <c r="Z80" i="15" s="1"/>
  <c r="Y80" i="15" s="1"/>
  <c r="AA66" i="15"/>
  <c r="Z66" i="15" s="1"/>
  <c r="Y66" i="15" s="1"/>
  <c r="G80" i="15"/>
  <c r="BX80" i="6" s="1"/>
  <c r="G72" i="15"/>
  <c r="BX72" i="6" s="1"/>
  <c r="H35" i="15"/>
  <c r="I35" i="15" s="1"/>
  <c r="H55" i="15"/>
  <c r="I55" i="15" s="1"/>
  <c r="AA27" i="15"/>
  <c r="Z27" i="15" s="1"/>
  <c r="Y27" i="15" s="1"/>
  <c r="AA76" i="15"/>
  <c r="Z76" i="15" s="1"/>
  <c r="Y76" i="15" s="1"/>
  <c r="AA63" i="15"/>
  <c r="Z63" i="15" s="1"/>
  <c r="Y63" i="15" s="1"/>
  <c r="H76" i="15"/>
  <c r="J76" i="15" s="1"/>
  <c r="AA68" i="15"/>
  <c r="Z68" i="15" s="1"/>
  <c r="Y68" i="15" s="1"/>
  <c r="H43" i="15"/>
  <c r="J43" i="15" s="1"/>
  <c r="AA34" i="15"/>
  <c r="Z34" i="15" s="1"/>
  <c r="Y34" i="15" s="1"/>
  <c r="AA82" i="15"/>
  <c r="Z82" i="15" s="1"/>
  <c r="Y82" i="15" s="1"/>
  <c r="AA74" i="15"/>
  <c r="Z74" i="15" s="1"/>
  <c r="Y74" i="15" s="1"/>
  <c r="AA55" i="15"/>
  <c r="Z55" i="15" s="1"/>
  <c r="Y55" i="15" s="1"/>
  <c r="AA72" i="15"/>
  <c r="Z72" i="15" s="1"/>
  <c r="Y72" i="15" s="1"/>
  <c r="H34" i="15"/>
  <c r="I34" i="15" s="1"/>
  <c r="H82" i="15"/>
  <c r="J82" i="15" s="1"/>
  <c r="G82" i="15"/>
  <c r="BX82" i="6" s="1"/>
  <c r="H74" i="15"/>
  <c r="I74" i="15" s="1"/>
  <c r="G74" i="15"/>
  <c r="BX74" i="6" s="1"/>
  <c r="H66" i="15"/>
  <c r="I66" i="15" s="1"/>
  <c r="G66" i="15"/>
  <c r="BX66" i="6" s="1"/>
  <c r="P211" i="16"/>
  <c r="V211" i="16" s="1"/>
  <c r="F211" i="16" s="1"/>
  <c r="G211" i="16" s="1"/>
  <c r="BY211" i="6" s="1"/>
  <c r="P155" i="16"/>
  <c r="V155" i="16" s="1"/>
  <c r="F155" i="16" s="1"/>
  <c r="G155" i="16" s="1"/>
  <c r="BY155" i="6" s="1"/>
  <c r="Q15" i="7"/>
  <c r="Q19" i="16"/>
  <c r="Q27" i="16"/>
  <c r="Q35" i="16"/>
  <c r="Q41" i="16"/>
  <c r="P41" i="16" s="1"/>
  <c r="V41" i="16" s="1"/>
  <c r="F41" i="16" s="1"/>
  <c r="G41" i="16" s="1"/>
  <c r="BY41" i="6" s="1"/>
  <c r="Q45" i="16"/>
  <c r="Q49" i="16"/>
  <c r="P49" i="16" s="1"/>
  <c r="V49" i="16" s="1"/>
  <c r="F49" i="16" s="1"/>
  <c r="G49" i="16" s="1"/>
  <c r="BY49" i="6" s="1"/>
  <c r="Q53" i="16"/>
  <c r="Q57" i="16"/>
  <c r="Q61" i="16"/>
  <c r="P61" i="16" s="1"/>
  <c r="V61" i="16" s="1"/>
  <c r="F61" i="16" s="1"/>
  <c r="Q65" i="16"/>
  <c r="P65" i="16" s="1"/>
  <c r="V65" i="16" s="1"/>
  <c r="F65" i="16" s="1"/>
  <c r="Q69" i="16"/>
  <c r="Q73" i="16"/>
  <c r="Q77" i="16"/>
  <c r="P77" i="16" s="1"/>
  <c r="V77" i="16" s="1"/>
  <c r="F77" i="16" s="1"/>
  <c r="G77" i="16" s="1"/>
  <c r="BY77" i="6" s="1"/>
  <c r="Q80" i="16"/>
  <c r="Q82" i="16"/>
  <c r="P82" i="16" s="1"/>
  <c r="V82" i="16" s="1"/>
  <c r="F82" i="16" s="1"/>
  <c r="G82" i="16" s="1"/>
  <c r="BY82" i="6" s="1"/>
  <c r="Q84" i="16"/>
  <c r="Q86" i="16"/>
  <c r="P86" i="16" s="1"/>
  <c r="V86" i="16" s="1"/>
  <c r="F86" i="16" s="1"/>
  <c r="Q88" i="16"/>
  <c r="Q90" i="16"/>
  <c r="Q92" i="16"/>
  <c r="Q94" i="16"/>
  <c r="Q96" i="16"/>
  <c r="Q98" i="16"/>
  <c r="Q100" i="16"/>
  <c r="Q102" i="16"/>
  <c r="P102" i="16" s="1"/>
  <c r="V102" i="16" s="1"/>
  <c r="F102" i="16" s="1"/>
  <c r="G102" i="16" s="1"/>
  <c r="BY102" i="6" s="1"/>
  <c r="Q104" i="16"/>
  <c r="Q106" i="16"/>
  <c r="P106" i="16" s="1"/>
  <c r="V106" i="16" s="1"/>
  <c r="F106" i="16" s="1"/>
  <c r="Q108" i="16"/>
  <c r="Q110" i="16"/>
  <c r="P110" i="16" s="1"/>
  <c r="V110" i="16" s="1"/>
  <c r="F110" i="16" s="1"/>
  <c r="G110" i="16" s="1"/>
  <c r="BY110" i="6" s="1"/>
  <c r="Q112" i="16"/>
  <c r="Q114" i="16"/>
  <c r="Q116" i="16"/>
  <c r="Q118" i="16"/>
  <c r="Q120" i="16"/>
  <c r="Q122" i="16"/>
  <c r="P122" i="16" s="1"/>
  <c r="V122" i="16" s="1"/>
  <c r="F122" i="16" s="1"/>
  <c r="G122" i="16" s="1"/>
  <c r="BY122" i="6" s="1"/>
  <c r="Q124" i="16"/>
  <c r="Q126" i="16"/>
  <c r="P126" i="16" s="1"/>
  <c r="V126" i="16" s="1"/>
  <c r="F126" i="16" s="1"/>
  <c r="G126" i="16" s="1"/>
  <c r="BY126" i="6" s="1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AA78" i="15"/>
  <c r="Z78" i="15" s="1"/>
  <c r="Y78" i="15" s="1"/>
  <c r="G78" i="15"/>
  <c r="BX78" i="6" s="1"/>
  <c r="H78" i="15"/>
  <c r="I78" i="15" s="1"/>
  <c r="AA70" i="15"/>
  <c r="Z70" i="15" s="1"/>
  <c r="Y70" i="15" s="1"/>
  <c r="H70" i="15"/>
  <c r="J70" i="15" s="1"/>
  <c r="G70" i="15"/>
  <c r="BX70" i="6" s="1"/>
  <c r="F136" i="15"/>
  <c r="AA136" i="15" s="1"/>
  <c r="Z136" i="15" s="1"/>
  <c r="Y136" i="15" s="1"/>
  <c r="AC383" i="20"/>
  <c r="AC382" i="20"/>
  <c r="AC381" i="20"/>
  <c r="I62" i="19"/>
  <c r="C62" i="19"/>
  <c r="Q37" i="16"/>
  <c r="Q33" i="16"/>
  <c r="Q29" i="16"/>
  <c r="Q25" i="16"/>
  <c r="Q21" i="16"/>
  <c r="Q17" i="16"/>
  <c r="M62" i="19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E380" i="16"/>
  <c r="G379" i="15"/>
  <c r="BX379" i="6" s="1"/>
  <c r="AA379" i="15"/>
  <c r="Z379" i="15" s="1"/>
  <c r="Y379" i="15" s="1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J208" i="15"/>
  <c r="I208" i="15"/>
  <c r="I204" i="15"/>
  <c r="J204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S213" i="16"/>
  <c r="R213" i="16" s="1"/>
  <c r="P213" i="16" s="1"/>
  <c r="V213" i="16" s="1"/>
  <c r="F213" i="16" s="1"/>
  <c r="S207" i="16"/>
  <c r="R207" i="16" s="1"/>
  <c r="P207" i="16" s="1"/>
  <c r="V207" i="16" s="1"/>
  <c r="F207" i="16" s="1"/>
  <c r="S199" i="16"/>
  <c r="R199" i="16" s="1"/>
  <c r="S197" i="16"/>
  <c r="R197" i="16" s="1"/>
  <c r="S185" i="16"/>
  <c r="R185" i="16" s="1"/>
  <c r="P185" i="16" s="1"/>
  <c r="V185" i="16" s="1"/>
  <c r="F185" i="16" s="1"/>
  <c r="S173" i="16"/>
  <c r="R173" i="16" s="1"/>
  <c r="P173" i="16" s="1"/>
  <c r="S169" i="16"/>
  <c r="R169" i="16" s="1"/>
  <c r="P169" i="16" s="1"/>
  <c r="V169" i="16" s="1"/>
  <c r="F169" i="16" s="1"/>
  <c r="S161" i="16"/>
  <c r="R161" i="16" s="1"/>
  <c r="P161" i="16" s="1"/>
  <c r="V161" i="16" s="1"/>
  <c r="F161" i="16" s="1"/>
  <c r="S153" i="16"/>
  <c r="R153" i="16" s="1"/>
  <c r="P153" i="16" s="1"/>
  <c r="V153" i="16" s="1"/>
  <c r="F153" i="16" s="1"/>
  <c r="S151" i="16"/>
  <c r="R151" i="16" s="1"/>
  <c r="P151" i="16" s="1"/>
  <c r="V151" i="16" s="1"/>
  <c r="F151" i="16" s="1"/>
  <c r="S149" i="16"/>
  <c r="R149" i="16" s="1"/>
  <c r="P149" i="16" s="1"/>
  <c r="S147" i="16"/>
  <c r="R147" i="16" s="1"/>
  <c r="P147" i="16" s="1"/>
  <c r="V147" i="16" s="1"/>
  <c r="F147" i="16" s="1"/>
  <c r="S143" i="16"/>
  <c r="R143" i="16" s="1"/>
  <c r="S141" i="16"/>
  <c r="R141" i="16" s="1"/>
  <c r="P141" i="16" s="1"/>
  <c r="V141" i="16" s="1"/>
  <c r="F141" i="16" s="1"/>
  <c r="S139" i="16"/>
  <c r="R139" i="16" s="1"/>
  <c r="S135" i="16"/>
  <c r="R135" i="16" s="1"/>
  <c r="P135" i="16" s="1"/>
  <c r="V135" i="16" s="1"/>
  <c r="F135" i="16" s="1"/>
  <c r="S121" i="16"/>
  <c r="R121" i="16" s="1"/>
  <c r="P121" i="16" s="1"/>
  <c r="V121" i="16" s="1"/>
  <c r="F121" i="16" s="1"/>
  <c r="S101" i="16"/>
  <c r="R101" i="16" s="1"/>
  <c r="P101" i="16" s="1"/>
  <c r="V101" i="16" s="1"/>
  <c r="F101" i="16" s="1"/>
  <c r="S97" i="16"/>
  <c r="R97" i="16" s="1"/>
  <c r="S93" i="16"/>
  <c r="R93" i="16" s="1"/>
  <c r="P93" i="16" s="1"/>
  <c r="S89" i="16"/>
  <c r="R89" i="16" s="1"/>
  <c r="S81" i="16"/>
  <c r="R81" i="16" s="1"/>
  <c r="P81" i="16" s="1"/>
  <c r="V81" i="16" s="1"/>
  <c r="F81" i="16" s="1"/>
  <c r="S73" i="16"/>
  <c r="R73" i="16" s="1"/>
  <c r="S69" i="16"/>
  <c r="R69" i="16" s="1"/>
  <c r="S57" i="16"/>
  <c r="R57" i="16" s="1"/>
  <c r="P57" i="16" s="1"/>
  <c r="S53" i="16"/>
  <c r="R53" i="16" s="1"/>
  <c r="S45" i="16"/>
  <c r="R45" i="16" s="1"/>
  <c r="S37" i="16"/>
  <c r="R37" i="16" s="1"/>
  <c r="S33" i="16"/>
  <c r="R33" i="16" s="1"/>
  <c r="S25" i="16"/>
  <c r="R25" i="16" s="1"/>
  <c r="S21" i="16"/>
  <c r="R21" i="16" s="1"/>
  <c r="S18" i="16"/>
  <c r="R18" i="16" s="1"/>
  <c r="I377" i="15"/>
  <c r="J377" i="15"/>
  <c r="J373" i="15"/>
  <c r="I373" i="15"/>
  <c r="I239" i="15"/>
  <c r="J239" i="15"/>
  <c r="J235" i="15"/>
  <c r="I235" i="15"/>
  <c r="I229" i="15"/>
  <c r="J229" i="15"/>
  <c r="J225" i="15"/>
  <c r="I225" i="15"/>
  <c r="J223" i="15"/>
  <c r="I223" i="15"/>
  <c r="I219" i="15"/>
  <c r="J219" i="15"/>
  <c r="J217" i="15"/>
  <c r="I217" i="15"/>
  <c r="J211" i="15"/>
  <c r="I211" i="15"/>
  <c r="J207" i="15"/>
  <c r="I207" i="15"/>
  <c r="J205" i="15"/>
  <c r="I205" i="15"/>
  <c r="J203" i="15"/>
  <c r="I203" i="15"/>
  <c r="J195" i="15"/>
  <c r="I195" i="15"/>
  <c r="J193" i="15"/>
  <c r="I189" i="15"/>
  <c r="J189" i="15"/>
  <c r="J185" i="15"/>
  <c r="I185" i="15"/>
  <c r="I183" i="15"/>
  <c r="J183" i="15"/>
  <c r="J181" i="15"/>
  <c r="I181" i="15"/>
  <c r="I173" i="15"/>
  <c r="J173" i="15"/>
  <c r="I167" i="15"/>
  <c r="J167" i="15"/>
  <c r="J165" i="15"/>
  <c r="I165" i="15"/>
  <c r="I159" i="15"/>
  <c r="J159" i="15"/>
  <c r="J155" i="15"/>
  <c r="I155" i="15"/>
  <c r="J151" i="15"/>
  <c r="I111" i="15"/>
  <c r="J111" i="15"/>
  <c r="J105" i="15"/>
  <c r="I105" i="15"/>
  <c r="H101" i="15"/>
  <c r="G101" i="15"/>
  <c r="BX101" i="6" s="1"/>
  <c r="AA101" i="15"/>
  <c r="Z101" i="15" s="1"/>
  <c r="Y101" i="15" s="1"/>
  <c r="I99" i="15"/>
  <c r="J99" i="15"/>
  <c r="I97" i="15"/>
  <c r="J97" i="15"/>
  <c r="I95" i="15"/>
  <c r="J95" i="15"/>
  <c r="J93" i="15"/>
  <c r="I93" i="15"/>
  <c r="I91" i="15"/>
  <c r="J91" i="15"/>
  <c r="J89" i="15"/>
  <c r="I89" i="15"/>
  <c r="I83" i="15"/>
  <c r="J83" i="15"/>
  <c r="J79" i="15"/>
  <c r="I79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I57" i="15"/>
  <c r="J53" i="15"/>
  <c r="I53" i="15"/>
  <c r="P15" i="7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72" i="15"/>
  <c r="J372" i="15"/>
  <c r="I368" i="15"/>
  <c r="J368" i="15"/>
  <c r="J366" i="15"/>
  <c r="I366" i="15"/>
  <c r="J364" i="15"/>
  <c r="I364" i="15"/>
  <c r="F358" i="15"/>
  <c r="I356" i="15"/>
  <c r="J356" i="15"/>
  <c r="I352" i="15"/>
  <c r="J352" i="15"/>
  <c r="I346" i="15"/>
  <c r="J346" i="15"/>
  <c r="J344" i="15"/>
  <c r="I344" i="15"/>
  <c r="I340" i="15"/>
  <c r="J340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I210" i="15"/>
  <c r="J210" i="15"/>
  <c r="J202" i="15"/>
  <c r="I202" i="15"/>
  <c r="J182" i="15"/>
  <c r="I182" i="15"/>
  <c r="J86" i="15"/>
  <c r="I86" i="15"/>
  <c r="J19" i="15"/>
  <c r="I19" i="15"/>
  <c r="I351" i="15"/>
  <c r="J351" i="15"/>
  <c r="J335" i="15"/>
  <c r="I335" i="15"/>
  <c r="I303" i="15"/>
  <c r="J303" i="15"/>
  <c r="J295" i="15"/>
  <c r="I295" i="15"/>
  <c r="I287" i="15"/>
  <c r="J287" i="15"/>
  <c r="I279" i="15"/>
  <c r="J279" i="15"/>
  <c r="I247" i="15"/>
  <c r="J247" i="15"/>
  <c r="I139" i="15"/>
  <c r="J135" i="15"/>
  <c r="I135" i="15"/>
  <c r="I131" i="15"/>
  <c r="J131" i="15"/>
  <c r="J123" i="15"/>
  <c r="I123" i="15"/>
  <c r="J290" i="15"/>
  <c r="I290" i="15"/>
  <c r="J282" i="15"/>
  <c r="I282" i="15"/>
  <c r="I274" i="15"/>
  <c r="J274" i="15"/>
  <c r="I266" i="15"/>
  <c r="J266" i="15"/>
  <c r="J234" i="15"/>
  <c r="I234" i="15"/>
  <c r="I156" i="15"/>
  <c r="J156" i="15"/>
  <c r="I140" i="15"/>
  <c r="J140" i="15"/>
  <c r="I132" i="15"/>
  <c r="J128" i="15"/>
  <c r="I128" i="15"/>
  <c r="I120" i="15"/>
  <c r="J120" i="15"/>
  <c r="I96" i="15"/>
  <c r="J96" i="15"/>
  <c r="I92" i="15"/>
  <c r="J92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I357" i="15"/>
  <c r="J357" i="15"/>
  <c r="J345" i="15"/>
  <c r="I345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I313" i="15"/>
  <c r="J313" i="15"/>
  <c r="J301" i="15"/>
  <c r="I301" i="15"/>
  <c r="J273" i="15"/>
  <c r="J261" i="15"/>
  <c r="I261" i="15"/>
  <c r="I257" i="15"/>
  <c r="J257" i="15"/>
  <c r="I253" i="15"/>
  <c r="J253" i="15"/>
  <c r="I149" i="15"/>
  <c r="J149" i="15"/>
  <c r="J145" i="15"/>
  <c r="I145" i="15"/>
  <c r="J133" i="15"/>
  <c r="I133" i="15"/>
  <c r="J296" i="15"/>
  <c r="I292" i="15"/>
  <c r="J292" i="15"/>
  <c r="J280" i="15"/>
  <c r="I280" i="15"/>
  <c r="I256" i="15"/>
  <c r="J256" i="15"/>
  <c r="I248" i="15"/>
  <c r="J248" i="15"/>
  <c r="I244" i="15"/>
  <c r="J244" i="15"/>
  <c r="I224" i="15"/>
  <c r="J220" i="15"/>
  <c r="I220" i="15"/>
  <c r="I216" i="15"/>
  <c r="J216" i="15"/>
  <c r="I178" i="15"/>
  <c r="J178" i="15"/>
  <c r="I162" i="15"/>
  <c r="J162" i="15"/>
  <c r="J154" i="15"/>
  <c r="I154" i="15"/>
  <c r="I146" i="15"/>
  <c r="J146" i="15"/>
  <c r="J138" i="15"/>
  <c r="I134" i="15"/>
  <c r="J134" i="15"/>
  <c r="I130" i="15"/>
  <c r="J130" i="15"/>
  <c r="I90" i="15"/>
  <c r="J90" i="15"/>
  <c r="J355" i="15"/>
  <c r="I355" i="15"/>
  <c r="I347" i="15"/>
  <c r="J347" i="15"/>
  <c r="J339" i="15"/>
  <c r="I339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J278" i="15"/>
  <c r="I278" i="15"/>
  <c r="I222" i="15"/>
  <c r="J222" i="15"/>
  <c r="J214" i="15"/>
  <c r="I214" i="15"/>
  <c r="J168" i="15"/>
  <c r="I168" i="15"/>
  <c r="I164" i="15"/>
  <c r="J164" i="15"/>
  <c r="I160" i="15"/>
  <c r="J160" i="15"/>
  <c r="I116" i="15"/>
  <c r="J116" i="15"/>
  <c r="AG382" i="15"/>
  <c r="AF17" i="15"/>
  <c r="I200" i="15"/>
  <c r="J200" i="15"/>
  <c r="I192" i="15"/>
  <c r="J192" i="15"/>
  <c r="I184" i="15"/>
  <c r="J184" i="15"/>
  <c r="J88" i="15"/>
  <c r="I88" i="15"/>
  <c r="J80" i="15"/>
  <c r="I80" i="15"/>
  <c r="J68" i="15"/>
  <c r="I68" i="15"/>
  <c r="S382" i="15"/>
  <c r="S383" i="15"/>
  <c r="S381" i="15"/>
  <c r="R15" i="15"/>
  <c r="S118" i="16"/>
  <c r="R118" i="16" s="1"/>
  <c r="S114" i="16"/>
  <c r="R114" i="16" s="1"/>
  <c r="S112" i="16"/>
  <c r="R112" i="16" s="1"/>
  <c r="S108" i="16"/>
  <c r="R108" i="16" s="1"/>
  <c r="S98" i="16"/>
  <c r="R98" i="16" s="1"/>
  <c r="S94" i="16"/>
  <c r="R94" i="16" s="1"/>
  <c r="S92" i="16"/>
  <c r="R92" i="16" s="1"/>
  <c r="S90" i="16"/>
  <c r="R90" i="16" s="1"/>
  <c r="S88" i="16"/>
  <c r="R88" i="16" s="1"/>
  <c r="S84" i="16"/>
  <c r="R84" i="16" s="1"/>
  <c r="S70" i="16"/>
  <c r="R70" i="16" s="1"/>
  <c r="S62" i="16"/>
  <c r="R62" i="16" s="1"/>
  <c r="S58" i="16"/>
  <c r="R58" i="16" s="1"/>
  <c r="S56" i="16"/>
  <c r="R56" i="16" s="1"/>
  <c r="S54" i="16"/>
  <c r="R54" i="16" s="1"/>
  <c r="S50" i="16"/>
  <c r="R50" i="16" s="1"/>
  <c r="S42" i="16"/>
  <c r="R42" i="16" s="1"/>
  <c r="S40" i="16"/>
  <c r="R40" i="16" s="1"/>
  <c r="S38" i="16"/>
  <c r="R38" i="16" s="1"/>
  <c r="S36" i="16"/>
  <c r="R36" i="16" s="1"/>
  <c r="S17" i="16"/>
  <c r="R17" i="16" s="1"/>
  <c r="J375" i="15"/>
  <c r="I375" i="15"/>
  <c r="J371" i="15"/>
  <c r="I371" i="15"/>
  <c r="J369" i="15"/>
  <c r="I369" i="15"/>
  <c r="I367" i="15"/>
  <c r="J367" i="15"/>
  <c r="I241" i="15"/>
  <c r="J241" i="15"/>
  <c r="I237" i="15"/>
  <c r="J237" i="15"/>
  <c r="I231" i="15"/>
  <c r="J231" i="15"/>
  <c r="F227" i="15"/>
  <c r="J221" i="15"/>
  <c r="I221" i="15"/>
  <c r="J215" i="15"/>
  <c r="I215" i="15"/>
  <c r="J213" i="15"/>
  <c r="I213" i="15"/>
  <c r="I209" i="15"/>
  <c r="J209" i="15"/>
  <c r="I201" i="15"/>
  <c r="J201" i="15"/>
  <c r="J199" i="15"/>
  <c r="I199" i="15"/>
  <c r="F197" i="15"/>
  <c r="J191" i="15"/>
  <c r="I191" i="15"/>
  <c r="J187" i="15"/>
  <c r="I187" i="15"/>
  <c r="I179" i="15"/>
  <c r="I177" i="15"/>
  <c r="J177" i="15"/>
  <c r="F171" i="15"/>
  <c r="J163" i="15"/>
  <c r="J117" i="15"/>
  <c r="I117" i="15"/>
  <c r="J115" i="15"/>
  <c r="I115" i="15"/>
  <c r="J107" i="15"/>
  <c r="I107" i="15"/>
  <c r="J103" i="15"/>
  <c r="I103" i="15"/>
  <c r="J87" i="15"/>
  <c r="I87" i="15"/>
  <c r="J85" i="15"/>
  <c r="I85" i="15"/>
  <c r="J81" i="15"/>
  <c r="I81" i="15"/>
  <c r="J73" i="15"/>
  <c r="I73" i="15"/>
  <c r="I71" i="15"/>
  <c r="J71" i="15"/>
  <c r="I67" i="15"/>
  <c r="J67" i="15"/>
  <c r="J63" i="15"/>
  <c r="I63" i="15"/>
  <c r="J59" i="15"/>
  <c r="I59" i="15"/>
  <c r="F51" i="15"/>
  <c r="J49" i="15"/>
  <c r="I49" i="15"/>
  <c r="J45" i="15"/>
  <c r="I45" i="15"/>
  <c r="I41" i="15"/>
  <c r="J37" i="15"/>
  <c r="I37" i="15"/>
  <c r="I33" i="15"/>
  <c r="J33" i="15"/>
  <c r="Q78" i="16"/>
  <c r="P78" i="16" s="1"/>
  <c r="Q76" i="16"/>
  <c r="P76" i="16" s="1"/>
  <c r="V76" i="16" s="1"/>
  <c r="F76" i="16" s="1"/>
  <c r="Q74" i="16"/>
  <c r="P74" i="16" s="1"/>
  <c r="Q72" i="16"/>
  <c r="P72" i="16" s="1"/>
  <c r="V72" i="16" s="1"/>
  <c r="F72" i="16" s="1"/>
  <c r="Q70" i="16"/>
  <c r="Q68" i="16"/>
  <c r="P68" i="16" s="1"/>
  <c r="V68" i="16" s="1"/>
  <c r="F68" i="16" s="1"/>
  <c r="Q66" i="16"/>
  <c r="P66" i="16" s="1"/>
  <c r="V66" i="16" s="1"/>
  <c r="F66" i="16" s="1"/>
  <c r="Q64" i="16"/>
  <c r="P64" i="16" s="1"/>
  <c r="V64" i="16" s="1"/>
  <c r="F64" i="16" s="1"/>
  <c r="Q62" i="16"/>
  <c r="Q60" i="16"/>
  <c r="P60" i="16" s="1"/>
  <c r="Q58" i="16"/>
  <c r="Q56" i="16"/>
  <c r="Q54" i="16"/>
  <c r="Q52" i="16"/>
  <c r="P52" i="16" s="1"/>
  <c r="Q50" i="16"/>
  <c r="Q48" i="16"/>
  <c r="P48" i="16" s="1"/>
  <c r="Q46" i="16"/>
  <c r="P46" i="16" s="1"/>
  <c r="Q44" i="16"/>
  <c r="P44" i="16" s="1"/>
  <c r="V44" i="16" s="1"/>
  <c r="F44" i="16" s="1"/>
  <c r="Q42" i="16"/>
  <c r="Q40" i="16"/>
  <c r="Q38" i="16"/>
  <c r="Q36" i="16"/>
  <c r="Q34" i="16"/>
  <c r="P34" i="16" s="1"/>
  <c r="V34" i="16" s="1"/>
  <c r="F34" i="16" s="1"/>
  <c r="Q32" i="16"/>
  <c r="P32" i="16" s="1"/>
  <c r="V32" i="16" s="1"/>
  <c r="F32" i="16" s="1"/>
  <c r="Q30" i="16"/>
  <c r="Q28" i="16"/>
  <c r="P28" i="16" s="1"/>
  <c r="Q26" i="16"/>
  <c r="Q24" i="16"/>
  <c r="P24" i="16" s="1"/>
  <c r="V24" i="16" s="1"/>
  <c r="F24" i="16" s="1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E11" i="17"/>
  <c r="I374" i="15"/>
  <c r="J374" i="15"/>
  <c r="I370" i="15"/>
  <c r="J370" i="15"/>
  <c r="AA362" i="15"/>
  <c r="Z362" i="15" s="1"/>
  <c r="Y362" i="15" s="1"/>
  <c r="H362" i="15"/>
  <c r="G362" i="15"/>
  <c r="BX362" i="6" s="1"/>
  <c r="I360" i="15"/>
  <c r="J360" i="15"/>
  <c r="I354" i="15"/>
  <c r="J354" i="15"/>
  <c r="J350" i="15"/>
  <c r="I350" i="15"/>
  <c r="I348" i="15"/>
  <c r="J348" i="15"/>
  <c r="I342" i="15"/>
  <c r="J342" i="15"/>
  <c r="J338" i="15"/>
  <c r="I338" i="15"/>
  <c r="J336" i="15"/>
  <c r="I336" i="15"/>
  <c r="J334" i="15"/>
  <c r="I334" i="15"/>
  <c r="I332" i="15"/>
  <c r="J332" i="15"/>
  <c r="J330" i="15"/>
  <c r="I330" i="15"/>
  <c r="J326" i="15"/>
  <c r="I326" i="15"/>
  <c r="J320" i="15"/>
  <c r="I320" i="15"/>
  <c r="I314" i="15"/>
  <c r="J314" i="15"/>
  <c r="J310" i="15"/>
  <c r="I310" i="15"/>
  <c r="I308" i="15"/>
  <c r="J308" i="15"/>
  <c r="I304" i="15"/>
  <c r="J304" i="15"/>
  <c r="J206" i="15"/>
  <c r="I206" i="15"/>
  <c r="I198" i="15"/>
  <c r="J198" i="15"/>
  <c r="J194" i="15"/>
  <c r="I194" i="15"/>
  <c r="J190" i="15"/>
  <c r="I190" i="15"/>
  <c r="I186" i="15"/>
  <c r="J186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I343" i="15"/>
  <c r="J343" i="15"/>
  <c r="J327" i="15"/>
  <c r="I327" i="15"/>
  <c r="J319" i="15"/>
  <c r="I319" i="15"/>
  <c r="I311" i="15"/>
  <c r="J311" i="15"/>
  <c r="J255" i="15"/>
  <c r="I255" i="15"/>
  <c r="J147" i="15"/>
  <c r="I147" i="15"/>
  <c r="J286" i="15"/>
  <c r="I286" i="15"/>
  <c r="J258" i="15"/>
  <c r="I258" i="15"/>
  <c r="J250" i="15"/>
  <c r="I250" i="15"/>
  <c r="I246" i="15"/>
  <c r="J246" i="15"/>
  <c r="J242" i="15"/>
  <c r="I242" i="15"/>
  <c r="I226" i="15"/>
  <c r="J226" i="15"/>
  <c r="I218" i="15"/>
  <c r="J218" i="15"/>
  <c r="I176" i="15"/>
  <c r="J176" i="15"/>
  <c r="J172" i="15"/>
  <c r="I172" i="15"/>
  <c r="J148" i="15"/>
  <c r="I148" i="15"/>
  <c r="I112" i="15"/>
  <c r="J112" i="15"/>
  <c r="J104" i="15"/>
  <c r="I104" i="15"/>
  <c r="J361" i="15"/>
  <c r="I361" i="15"/>
  <c r="I353" i="15"/>
  <c r="J353" i="15"/>
  <c r="I349" i="15"/>
  <c r="J349" i="15"/>
  <c r="I341" i="15"/>
  <c r="J341" i="15"/>
  <c r="J337" i="15"/>
  <c r="I337" i="15"/>
  <c r="J329" i="15"/>
  <c r="I329" i="15"/>
  <c r="J309" i="15"/>
  <c r="I309" i="15"/>
  <c r="J305" i="15"/>
  <c r="I305" i="15"/>
  <c r="J293" i="15"/>
  <c r="I293" i="15"/>
  <c r="I289" i="15"/>
  <c r="J289" i="15"/>
  <c r="J285" i="15"/>
  <c r="I285" i="15"/>
  <c r="J281" i="15"/>
  <c r="I281" i="15"/>
  <c r="I277" i="15"/>
  <c r="J277" i="15"/>
  <c r="J269" i="15"/>
  <c r="I269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I27" i="15"/>
  <c r="J27" i="15"/>
  <c r="J300" i="15"/>
  <c r="I300" i="15"/>
  <c r="J284" i="15"/>
  <c r="I284" i="15"/>
  <c r="I268" i="15"/>
  <c r="J268" i="15"/>
  <c r="F264" i="15"/>
  <c r="I260" i="15"/>
  <c r="J260" i="15"/>
  <c r="J252" i="15"/>
  <c r="I252" i="15"/>
  <c r="I240" i="15"/>
  <c r="J240" i="15"/>
  <c r="J236" i="15"/>
  <c r="I236" i="15"/>
  <c r="J232" i="15"/>
  <c r="I232" i="15"/>
  <c r="J228" i="15"/>
  <c r="I228" i="15"/>
  <c r="I212" i="15"/>
  <c r="J174" i="15"/>
  <c r="I174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63" i="15"/>
  <c r="J263" i="15"/>
  <c r="I251" i="15"/>
  <c r="J251" i="15"/>
  <c r="J243" i="15"/>
  <c r="I243" i="15"/>
  <c r="J25" i="15"/>
  <c r="I294" i="15"/>
  <c r="J294" i="15"/>
  <c r="J270" i="15"/>
  <c r="I270" i="15"/>
  <c r="I262" i="15"/>
  <c r="J262" i="15"/>
  <c r="J254" i="15"/>
  <c r="I238" i="15"/>
  <c r="J238" i="15"/>
  <c r="I230" i="15"/>
  <c r="J230" i="15"/>
  <c r="J152" i="15"/>
  <c r="I152" i="15"/>
  <c r="I144" i="15"/>
  <c r="J144" i="15"/>
  <c r="J124" i="15"/>
  <c r="I124" i="15"/>
  <c r="J100" i="15"/>
  <c r="I100" i="15"/>
  <c r="J143" i="15" l="1"/>
  <c r="J127" i="15"/>
  <c r="P97" i="16"/>
  <c r="P143" i="16"/>
  <c r="V143" i="16" s="1"/>
  <c r="F143" i="16" s="1"/>
  <c r="P29" i="16"/>
  <c r="V29" i="16" s="1"/>
  <c r="P128" i="16"/>
  <c r="V128" i="16" s="1"/>
  <c r="F128" i="16" s="1"/>
  <c r="P124" i="16"/>
  <c r="P120" i="16"/>
  <c r="V120" i="16" s="1"/>
  <c r="F120" i="16" s="1"/>
  <c r="P116" i="16"/>
  <c r="V116" i="16" s="1"/>
  <c r="F116" i="16" s="1"/>
  <c r="G116" i="16" s="1"/>
  <c r="BY116" i="6" s="1"/>
  <c r="P104" i="16"/>
  <c r="V104" i="16" s="1"/>
  <c r="F104" i="16" s="1"/>
  <c r="G104" i="16" s="1"/>
  <c r="BY104" i="6" s="1"/>
  <c r="P100" i="16"/>
  <c r="V100" i="16" s="1"/>
  <c r="F100" i="16" s="1"/>
  <c r="G100" i="16" s="1"/>
  <c r="BY100" i="6" s="1"/>
  <c r="P96" i="16"/>
  <c r="V96" i="16" s="1"/>
  <c r="F96" i="16" s="1"/>
  <c r="P80" i="16"/>
  <c r="V80" i="16" s="1"/>
  <c r="F80" i="16" s="1"/>
  <c r="P187" i="16"/>
  <c r="V187" i="16" s="1"/>
  <c r="F187" i="16" s="1"/>
  <c r="G187" i="16" s="1"/>
  <c r="BY187" i="6" s="1"/>
  <c r="P179" i="16"/>
  <c r="V179" i="16" s="1"/>
  <c r="F179" i="16" s="1"/>
  <c r="G179" i="16" s="1"/>
  <c r="BY179" i="6" s="1"/>
  <c r="P171" i="16"/>
  <c r="V171" i="16" s="1"/>
  <c r="F171" i="16" s="1"/>
  <c r="P163" i="16"/>
  <c r="V163" i="16" s="1"/>
  <c r="F163" i="16" s="1"/>
  <c r="G163" i="16" s="1"/>
  <c r="BY163" i="6" s="1"/>
  <c r="P131" i="16"/>
  <c r="V131" i="16" s="1"/>
  <c r="F131" i="16" s="1"/>
  <c r="G131" i="16" s="1"/>
  <c r="BY131" i="6" s="1"/>
  <c r="E62" i="19"/>
  <c r="P109" i="16"/>
  <c r="V109" i="16" s="1"/>
  <c r="F109" i="16" s="1"/>
  <c r="P117" i="16"/>
  <c r="V117" i="16" s="1"/>
  <c r="F117" i="16" s="1"/>
  <c r="G117" i="16" s="1"/>
  <c r="BY117" i="6" s="1"/>
  <c r="U30" i="16"/>
  <c r="T30" i="16" s="1"/>
  <c r="S30" i="16" s="1"/>
  <c r="R30" i="16" s="1"/>
  <c r="U26" i="16"/>
  <c r="T26" i="16" s="1"/>
  <c r="S26" i="16" s="1"/>
  <c r="R26" i="16" s="1"/>
  <c r="U22" i="16"/>
  <c r="T22" i="16" s="1"/>
  <c r="S22" i="16" s="1"/>
  <c r="R22" i="16" s="1"/>
  <c r="U20" i="16"/>
  <c r="T20" i="16" s="1"/>
  <c r="S20" i="16" s="1"/>
  <c r="R20" i="16" s="1"/>
  <c r="Q16" i="7"/>
  <c r="U15" i="16"/>
  <c r="U23" i="16"/>
  <c r="T23" i="16" s="1"/>
  <c r="U31" i="16"/>
  <c r="T31" i="16" s="1"/>
  <c r="S31" i="16" s="1"/>
  <c r="R31" i="16" s="1"/>
  <c r="P31" i="16" s="1"/>
  <c r="U39" i="16"/>
  <c r="T39" i="16" s="1"/>
  <c r="U47" i="16"/>
  <c r="T47" i="16" s="1"/>
  <c r="U55" i="16"/>
  <c r="T55" i="16" s="1"/>
  <c r="U63" i="16"/>
  <c r="T63" i="16" s="1"/>
  <c r="U71" i="16"/>
  <c r="T71" i="16" s="1"/>
  <c r="S71" i="16" s="1"/>
  <c r="R71" i="16" s="1"/>
  <c r="P71" i="16" s="1"/>
  <c r="V71" i="16" s="1"/>
  <c r="F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P111" i="16" s="1"/>
  <c r="U119" i="16"/>
  <c r="T119" i="16" s="1"/>
  <c r="S119" i="16" s="1"/>
  <c r="R119" i="16" s="1"/>
  <c r="U127" i="16"/>
  <c r="T127" i="16" s="1"/>
  <c r="S127" i="16" s="1"/>
  <c r="R127" i="16" s="1"/>
  <c r="U132" i="16"/>
  <c r="T132" i="16" s="1"/>
  <c r="S132" i="16" s="1"/>
  <c r="R132" i="16" s="1"/>
  <c r="U136" i="16"/>
  <c r="T136" i="16" s="1"/>
  <c r="S136" i="16" s="1"/>
  <c r="R136" i="16" s="1"/>
  <c r="U140" i="16"/>
  <c r="T140" i="16" s="1"/>
  <c r="S140" i="16" s="1"/>
  <c r="R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S156" i="16" s="1"/>
  <c r="R156" i="16" s="1"/>
  <c r="U160" i="16"/>
  <c r="T160" i="16" s="1"/>
  <c r="S160" i="16" s="1"/>
  <c r="R160" i="16" s="1"/>
  <c r="U164" i="16"/>
  <c r="T164" i="16" s="1"/>
  <c r="S164" i="16" s="1"/>
  <c r="R164" i="16" s="1"/>
  <c r="U168" i="16"/>
  <c r="T168" i="16" s="1"/>
  <c r="S168" i="16" s="1"/>
  <c r="R168" i="16" s="1"/>
  <c r="U172" i="16"/>
  <c r="T172" i="16" s="1"/>
  <c r="S172" i="16" s="1"/>
  <c r="R172" i="16" s="1"/>
  <c r="U176" i="16"/>
  <c r="T176" i="16" s="1"/>
  <c r="S176" i="16" s="1"/>
  <c r="R176" i="16" s="1"/>
  <c r="U180" i="16"/>
  <c r="T180" i="16" s="1"/>
  <c r="S180" i="16" s="1"/>
  <c r="R180" i="16" s="1"/>
  <c r="U184" i="16"/>
  <c r="T184" i="16" s="1"/>
  <c r="S184" i="16" s="1"/>
  <c r="R184" i="16" s="1"/>
  <c r="U188" i="16"/>
  <c r="T188" i="16" s="1"/>
  <c r="S188" i="16" s="1"/>
  <c r="R188" i="16" s="1"/>
  <c r="U192" i="16"/>
  <c r="T192" i="16" s="1"/>
  <c r="U196" i="16"/>
  <c r="T196" i="16" s="1"/>
  <c r="S196" i="16" s="1"/>
  <c r="R196" i="16" s="1"/>
  <c r="U200" i="16"/>
  <c r="T200" i="16" s="1"/>
  <c r="S200" i="16" s="1"/>
  <c r="R200" i="16" s="1"/>
  <c r="P200" i="16" s="1"/>
  <c r="V200" i="16" s="1"/>
  <c r="F200" i="16" s="1"/>
  <c r="U204" i="16"/>
  <c r="T204" i="16" s="1"/>
  <c r="S204" i="16" s="1"/>
  <c r="R204" i="16" s="1"/>
  <c r="U208" i="16"/>
  <c r="T208" i="16" s="1"/>
  <c r="S208" i="16" s="1"/>
  <c r="R208" i="16" s="1"/>
  <c r="P208" i="16" s="1"/>
  <c r="V208" i="16" s="1"/>
  <c r="F208" i="16" s="1"/>
  <c r="U212" i="16"/>
  <c r="T212" i="16" s="1"/>
  <c r="S212" i="16" s="1"/>
  <c r="R212" i="16" s="1"/>
  <c r="P212" i="16" s="1"/>
  <c r="U215" i="16"/>
  <c r="T215" i="16" s="1"/>
  <c r="S215" i="16" s="1"/>
  <c r="R215" i="16" s="1"/>
  <c r="U217" i="16"/>
  <c r="T217" i="16" s="1"/>
  <c r="S217" i="16" s="1"/>
  <c r="R217" i="16" s="1"/>
  <c r="U219" i="16"/>
  <c r="T219" i="16" s="1"/>
  <c r="S219" i="16" s="1"/>
  <c r="R219" i="16" s="1"/>
  <c r="U221" i="16"/>
  <c r="T221" i="16" s="1"/>
  <c r="U223" i="16"/>
  <c r="T223" i="16" s="1"/>
  <c r="S223" i="16" s="1"/>
  <c r="R223" i="16" s="1"/>
  <c r="U225" i="16"/>
  <c r="T225" i="16" s="1"/>
  <c r="S225" i="16" s="1"/>
  <c r="R225" i="16" s="1"/>
  <c r="U227" i="16"/>
  <c r="T227" i="16" s="1"/>
  <c r="S227" i="16" s="1"/>
  <c r="R227" i="16" s="1"/>
  <c r="U229" i="16"/>
  <c r="T229" i="16" s="1"/>
  <c r="S229" i="16" s="1"/>
  <c r="R229" i="16" s="1"/>
  <c r="U231" i="16"/>
  <c r="T231" i="16" s="1"/>
  <c r="S231" i="16" s="1"/>
  <c r="R231" i="16" s="1"/>
  <c r="U233" i="16"/>
  <c r="T233" i="16" s="1"/>
  <c r="S233" i="16" s="1"/>
  <c r="R233" i="16" s="1"/>
  <c r="P233" i="16" s="1"/>
  <c r="U235" i="16"/>
  <c r="T235" i="16" s="1"/>
  <c r="S235" i="16" s="1"/>
  <c r="R235" i="16" s="1"/>
  <c r="U237" i="16"/>
  <c r="T237" i="16" s="1"/>
  <c r="S237" i="16" s="1"/>
  <c r="R237" i="16" s="1"/>
  <c r="U239" i="16"/>
  <c r="T239" i="16" s="1"/>
  <c r="U241" i="16"/>
  <c r="T241" i="16" s="1"/>
  <c r="S241" i="16" s="1"/>
  <c r="R241" i="16" s="1"/>
  <c r="U243" i="16"/>
  <c r="T243" i="16" s="1"/>
  <c r="S243" i="16" s="1"/>
  <c r="R243" i="16" s="1"/>
  <c r="U245" i="16"/>
  <c r="T245" i="16" s="1"/>
  <c r="S245" i="16" s="1"/>
  <c r="R245" i="16" s="1"/>
  <c r="U247" i="16"/>
  <c r="T247" i="16" s="1"/>
  <c r="S247" i="16" s="1"/>
  <c r="R247" i="16" s="1"/>
  <c r="P247" i="16" s="1"/>
  <c r="V247" i="16" s="1"/>
  <c r="F247" i="16" s="1"/>
  <c r="U249" i="16"/>
  <c r="T249" i="16" s="1"/>
  <c r="U251" i="16"/>
  <c r="T251" i="16" s="1"/>
  <c r="U253" i="16"/>
  <c r="T253" i="16" s="1"/>
  <c r="U255" i="16"/>
  <c r="T255" i="16" s="1"/>
  <c r="U257" i="16"/>
  <c r="T257" i="16" s="1"/>
  <c r="S257" i="16" s="1"/>
  <c r="R257" i="16" s="1"/>
  <c r="P257" i="16" s="1"/>
  <c r="V257" i="16" s="1"/>
  <c r="F257" i="16" s="1"/>
  <c r="U259" i="16"/>
  <c r="T259" i="16" s="1"/>
  <c r="S259" i="16" s="1"/>
  <c r="R259" i="16" s="1"/>
  <c r="U261" i="16"/>
  <c r="T261" i="16" s="1"/>
  <c r="U263" i="16"/>
  <c r="T263" i="16" s="1"/>
  <c r="S263" i="16" s="1"/>
  <c r="R263" i="16" s="1"/>
  <c r="U265" i="16"/>
  <c r="T265" i="16" s="1"/>
  <c r="S265" i="16" s="1"/>
  <c r="R265" i="16" s="1"/>
  <c r="U267" i="16"/>
  <c r="T267" i="16" s="1"/>
  <c r="S267" i="16" s="1"/>
  <c r="R267" i="16" s="1"/>
  <c r="U269" i="16"/>
  <c r="T269" i="16" s="1"/>
  <c r="S269" i="16" s="1"/>
  <c r="R269" i="16" s="1"/>
  <c r="U271" i="16"/>
  <c r="T271" i="16" s="1"/>
  <c r="S271" i="16" s="1"/>
  <c r="R271" i="16" s="1"/>
  <c r="U273" i="16"/>
  <c r="T273" i="16" s="1"/>
  <c r="S273" i="16" s="1"/>
  <c r="R273" i="16" s="1"/>
  <c r="U275" i="16"/>
  <c r="T275" i="16" s="1"/>
  <c r="S275" i="16" s="1"/>
  <c r="R275" i="16" s="1"/>
  <c r="P275" i="16" s="1"/>
  <c r="U277" i="16"/>
  <c r="T277" i="16" s="1"/>
  <c r="S277" i="16" s="1"/>
  <c r="R277" i="16" s="1"/>
  <c r="U279" i="16"/>
  <c r="T279" i="16" s="1"/>
  <c r="S279" i="16" s="1"/>
  <c r="R279" i="16" s="1"/>
  <c r="U281" i="16"/>
  <c r="T281" i="16" s="1"/>
  <c r="S281" i="16" s="1"/>
  <c r="R281" i="16" s="1"/>
  <c r="U283" i="16"/>
  <c r="T283" i="16" s="1"/>
  <c r="S283" i="16" s="1"/>
  <c r="R283" i="16" s="1"/>
  <c r="U285" i="16"/>
  <c r="T285" i="16" s="1"/>
  <c r="U287" i="16"/>
  <c r="T287" i="16" s="1"/>
  <c r="S287" i="16" s="1"/>
  <c r="R287" i="16" s="1"/>
  <c r="U289" i="16"/>
  <c r="T289" i="16" s="1"/>
  <c r="S289" i="16" s="1"/>
  <c r="R289" i="16" s="1"/>
  <c r="U291" i="16"/>
  <c r="T291" i="16" s="1"/>
  <c r="S291" i="16" s="1"/>
  <c r="R291" i="16" s="1"/>
  <c r="U293" i="16"/>
  <c r="T293" i="16" s="1"/>
  <c r="S293" i="16" s="1"/>
  <c r="R293" i="16" s="1"/>
  <c r="P293" i="16" s="1"/>
  <c r="V293" i="16" s="1"/>
  <c r="F293" i="16" s="1"/>
  <c r="U295" i="16"/>
  <c r="T295" i="16" s="1"/>
  <c r="U297" i="16"/>
  <c r="T297" i="16" s="1"/>
  <c r="S297" i="16" s="1"/>
  <c r="R297" i="16" s="1"/>
  <c r="P297" i="16" s="1"/>
  <c r="V297" i="16" s="1"/>
  <c r="F297" i="16" s="1"/>
  <c r="U299" i="16"/>
  <c r="T299" i="16" s="1"/>
  <c r="S299" i="16" s="1"/>
  <c r="R299" i="16" s="1"/>
  <c r="P299" i="16" s="1"/>
  <c r="U301" i="16"/>
  <c r="T301" i="16" s="1"/>
  <c r="U303" i="16"/>
  <c r="T303" i="16" s="1"/>
  <c r="U305" i="16"/>
  <c r="T305" i="16" s="1"/>
  <c r="S305" i="16" s="1"/>
  <c r="R305" i="16" s="1"/>
  <c r="P305" i="16" s="1"/>
  <c r="V305" i="16" s="1"/>
  <c r="F305" i="16" s="1"/>
  <c r="U307" i="16"/>
  <c r="T307" i="16" s="1"/>
  <c r="S307" i="16" s="1"/>
  <c r="R307" i="16" s="1"/>
  <c r="P307" i="16" s="1"/>
  <c r="V307" i="16" s="1"/>
  <c r="F307" i="16" s="1"/>
  <c r="U309" i="16"/>
  <c r="T309" i="16" s="1"/>
  <c r="S309" i="16" s="1"/>
  <c r="R309" i="16" s="1"/>
  <c r="P309" i="16" s="1"/>
  <c r="V309" i="16" s="1"/>
  <c r="F309" i="16" s="1"/>
  <c r="U311" i="16"/>
  <c r="T311" i="16" s="1"/>
  <c r="U313" i="16"/>
  <c r="T313" i="16" s="1"/>
  <c r="S313" i="16" s="1"/>
  <c r="R313" i="16" s="1"/>
  <c r="P313" i="16" s="1"/>
  <c r="V313" i="16" s="1"/>
  <c r="F313" i="16" s="1"/>
  <c r="U315" i="16"/>
  <c r="T315" i="16" s="1"/>
  <c r="S315" i="16" s="1"/>
  <c r="R315" i="16" s="1"/>
  <c r="P315" i="16" s="1"/>
  <c r="V315" i="16" s="1"/>
  <c r="F315" i="16" s="1"/>
  <c r="U317" i="16"/>
  <c r="T317" i="16" s="1"/>
  <c r="U319" i="16"/>
  <c r="T319" i="16" s="1"/>
  <c r="U321" i="16"/>
  <c r="T321" i="16" s="1"/>
  <c r="S321" i="16" s="1"/>
  <c r="R321" i="16" s="1"/>
  <c r="P321" i="16" s="1"/>
  <c r="V321" i="16" s="1"/>
  <c r="U323" i="16"/>
  <c r="T323" i="16" s="1"/>
  <c r="U325" i="16"/>
  <c r="T325" i="16" s="1"/>
  <c r="S325" i="16" s="1"/>
  <c r="R325" i="16" s="1"/>
  <c r="P325" i="16" s="1"/>
  <c r="V325" i="16" s="1"/>
  <c r="F325" i="16" s="1"/>
  <c r="U327" i="16"/>
  <c r="T327" i="16" s="1"/>
  <c r="U329" i="16"/>
  <c r="T329" i="16" s="1"/>
  <c r="U331" i="16"/>
  <c r="T331" i="16" s="1"/>
  <c r="U333" i="16"/>
  <c r="T333" i="16" s="1"/>
  <c r="S333" i="16" s="1"/>
  <c r="R333" i="16" s="1"/>
  <c r="P333" i="16" s="1"/>
  <c r="U335" i="16"/>
  <c r="T335" i="16" s="1"/>
  <c r="U337" i="16"/>
  <c r="T337" i="16" s="1"/>
  <c r="S337" i="16" s="1"/>
  <c r="R337" i="16" s="1"/>
  <c r="P337" i="16" s="1"/>
  <c r="V337" i="16" s="1"/>
  <c r="F337" i="16" s="1"/>
  <c r="U339" i="16"/>
  <c r="T339" i="16" s="1"/>
  <c r="U341" i="16"/>
  <c r="T341" i="16" s="1"/>
  <c r="S341" i="16" s="1"/>
  <c r="R341" i="16" s="1"/>
  <c r="P341" i="16" s="1"/>
  <c r="U343" i="16"/>
  <c r="T343" i="16" s="1"/>
  <c r="U345" i="16"/>
  <c r="T345" i="16" s="1"/>
  <c r="U347" i="16"/>
  <c r="T347" i="16" s="1"/>
  <c r="S347" i="16" s="1"/>
  <c r="R347" i="16" s="1"/>
  <c r="P347" i="16" s="1"/>
  <c r="V347" i="16" s="1"/>
  <c r="F347" i="16" s="1"/>
  <c r="U349" i="16"/>
  <c r="T349" i="16" s="1"/>
  <c r="U351" i="16"/>
  <c r="T351" i="16" s="1"/>
  <c r="U353" i="16"/>
  <c r="T353" i="16" s="1"/>
  <c r="U355" i="16"/>
  <c r="T355" i="16" s="1"/>
  <c r="S355" i="16" s="1"/>
  <c r="R355" i="16" s="1"/>
  <c r="P355" i="16" s="1"/>
  <c r="V355" i="16" s="1"/>
  <c r="F355" i="16" s="1"/>
  <c r="U357" i="16"/>
  <c r="T357" i="16" s="1"/>
  <c r="U359" i="16"/>
  <c r="T359" i="16" s="1"/>
  <c r="S359" i="16" s="1"/>
  <c r="R359" i="16" s="1"/>
  <c r="P359" i="16" s="1"/>
  <c r="V359" i="16" s="1"/>
  <c r="F359" i="16" s="1"/>
  <c r="U361" i="16"/>
  <c r="T361" i="16" s="1"/>
  <c r="U363" i="16"/>
  <c r="T363" i="16" s="1"/>
  <c r="S363" i="16" s="1"/>
  <c r="R363" i="16" s="1"/>
  <c r="P363" i="16" s="1"/>
  <c r="U365" i="16"/>
  <c r="T365" i="16" s="1"/>
  <c r="U367" i="16"/>
  <c r="T367" i="16" s="1"/>
  <c r="U369" i="16"/>
  <c r="T369" i="16" s="1"/>
  <c r="S369" i="16" s="1"/>
  <c r="R369" i="16" s="1"/>
  <c r="P369" i="16" s="1"/>
  <c r="V369" i="16" s="1"/>
  <c r="F369" i="16" s="1"/>
  <c r="U371" i="16"/>
  <c r="T371" i="16" s="1"/>
  <c r="U373" i="16"/>
  <c r="T373" i="16" s="1"/>
  <c r="U375" i="16"/>
  <c r="T375" i="16" s="1"/>
  <c r="U377" i="16"/>
  <c r="T377" i="16" s="1"/>
  <c r="U379" i="16"/>
  <c r="AI18" i="16"/>
  <c r="AH18" i="16" s="1"/>
  <c r="AG18" i="16" s="1"/>
  <c r="AF18" i="16" s="1"/>
  <c r="AI16" i="16"/>
  <c r="AH16" i="16" s="1"/>
  <c r="AG16" i="16" s="1"/>
  <c r="AF16" i="16" s="1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AI63" i="16"/>
  <c r="AH63" i="16" s="1"/>
  <c r="AG63" i="16" s="1"/>
  <c r="AF63" i="16" s="1"/>
  <c r="AI65" i="16"/>
  <c r="AH65" i="16" s="1"/>
  <c r="AG65" i="16" s="1"/>
  <c r="AF65" i="16" s="1"/>
  <c r="AI67" i="16"/>
  <c r="AH67" i="16" s="1"/>
  <c r="AG67" i="16" s="1"/>
  <c r="AF67" i="16" s="1"/>
  <c r="AI69" i="16"/>
  <c r="AH69" i="16" s="1"/>
  <c r="AG69" i="16" s="1"/>
  <c r="AF69" i="16" s="1"/>
  <c r="AI71" i="16"/>
  <c r="AH71" i="16" s="1"/>
  <c r="AG71" i="16" s="1"/>
  <c r="AF71" i="16" s="1"/>
  <c r="AI73" i="16"/>
  <c r="AH73" i="16" s="1"/>
  <c r="AG73" i="16" s="1"/>
  <c r="AF73" i="16" s="1"/>
  <c r="AI75" i="16"/>
  <c r="AH75" i="16" s="1"/>
  <c r="AG75" i="16" s="1"/>
  <c r="AF75" i="16" s="1"/>
  <c r="AI77" i="16"/>
  <c r="AH77" i="16" s="1"/>
  <c r="AG77" i="16" s="1"/>
  <c r="AF77" i="16" s="1"/>
  <c r="AI79" i="16"/>
  <c r="AH79" i="16" s="1"/>
  <c r="AG79" i="16" s="1"/>
  <c r="AF79" i="16" s="1"/>
  <c r="AI81" i="16"/>
  <c r="AH81" i="16" s="1"/>
  <c r="AG81" i="16" s="1"/>
  <c r="AF81" i="16" s="1"/>
  <c r="AI83" i="16"/>
  <c r="AH83" i="16" s="1"/>
  <c r="AG83" i="16" s="1"/>
  <c r="AF83" i="16" s="1"/>
  <c r="AI85" i="16"/>
  <c r="AH85" i="16" s="1"/>
  <c r="AG85" i="16" s="1"/>
  <c r="AF85" i="16" s="1"/>
  <c r="AI87" i="16"/>
  <c r="AH87" i="16" s="1"/>
  <c r="AG87" i="16" s="1"/>
  <c r="AF87" i="16" s="1"/>
  <c r="AI89" i="16"/>
  <c r="AH89" i="16" s="1"/>
  <c r="AG89" i="16" s="1"/>
  <c r="AF89" i="16" s="1"/>
  <c r="AI91" i="16"/>
  <c r="AH91" i="16" s="1"/>
  <c r="AG91" i="16" s="1"/>
  <c r="AF91" i="16" s="1"/>
  <c r="AI93" i="16"/>
  <c r="AH93" i="16" s="1"/>
  <c r="AG93" i="16" s="1"/>
  <c r="AF93" i="16" s="1"/>
  <c r="AI95" i="16"/>
  <c r="AH95" i="16" s="1"/>
  <c r="AG95" i="16" s="1"/>
  <c r="AF95" i="16" s="1"/>
  <c r="AI97" i="16"/>
  <c r="AH97" i="16" s="1"/>
  <c r="AG97" i="16" s="1"/>
  <c r="AF97" i="16" s="1"/>
  <c r="AI99" i="16"/>
  <c r="AH99" i="16" s="1"/>
  <c r="AG99" i="16" s="1"/>
  <c r="AF99" i="16" s="1"/>
  <c r="AI101" i="16"/>
  <c r="AH101" i="16" s="1"/>
  <c r="AG101" i="16" s="1"/>
  <c r="AF101" i="16" s="1"/>
  <c r="AI103" i="16"/>
  <c r="AH103" i="16" s="1"/>
  <c r="AG103" i="16" s="1"/>
  <c r="AF103" i="16" s="1"/>
  <c r="U27" i="16"/>
  <c r="T27" i="16" s="1"/>
  <c r="S27" i="16" s="1"/>
  <c r="R27" i="16" s="1"/>
  <c r="U43" i="16"/>
  <c r="T43" i="16" s="1"/>
  <c r="S43" i="16" s="1"/>
  <c r="R43" i="16" s="1"/>
  <c r="U59" i="16"/>
  <c r="T59" i="16" s="1"/>
  <c r="S59" i="16" s="1"/>
  <c r="R59" i="16" s="1"/>
  <c r="P59" i="16" s="1"/>
  <c r="V59" i="16" s="1"/>
  <c r="F59" i="16" s="1"/>
  <c r="U75" i="16"/>
  <c r="T75" i="16" s="1"/>
  <c r="S75" i="16" s="1"/>
  <c r="R75" i="16" s="1"/>
  <c r="P75" i="16" s="1"/>
  <c r="U91" i="16"/>
  <c r="T91" i="16" s="1"/>
  <c r="S91" i="16" s="1"/>
  <c r="R91" i="16" s="1"/>
  <c r="U107" i="16"/>
  <c r="T107" i="16" s="1"/>
  <c r="S107" i="16" s="1"/>
  <c r="R107" i="16" s="1"/>
  <c r="U123" i="16"/>
  <c r="T123" i="16" s="1"/>
  <c r="S123" i="16" s="1"/>
  <c r="R123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F198" i="16" s="1"/>
  <c r="U206" i="16"/>
  <c r="T206" i="16" s="1"/>
  <c r="S206" i="16" s="1"/>
  <c r="R206" i="16" s="1"/>
  <c r="U214" i="16"/>
  <c r="T214" i="16" s="1"/>
  <c r="U218" i="16"/>
  <c r="T218" i="16" s="1"/>
  <c r="U222" i="16"/>
  <c r="T222" i="16" s="1"/>
  <c r="S222" i="16" s="1"/>
  <c r="R222" i="16" s="1"/>
  <c r="P222" i="16" s="1"/>
  <c r="U226" i="16"/>
  <c r="T226" i="16" s="1"/>
  <c r="S226" i="16" s="1"/>
  <c r="R226" i="16" s="1"/>
  <c r="P226" i="16" s="1"/>
  <c r="V226" i="16" s="1"/>
  <c r="F226" i="16" s="1"/>
  <c r="U230" i="16"/>
  <c r="T230" i="16" s="1"/>
  <c r="S230" i="16" s="1"/>
  <c r="R230" i="16" s="1"/>
  <c r="P230" i="16" s="1"/>
  <c r="V230" i="16" s="1"/>
  <c r="F230" i="16" s="1"/>
  <c r="U234" i="16"/>
  <c r="T234" i="16" s="1"/>
  <c r="U238" i="16"/>
  <c r="T238" i="16" s="1"/>
  <c r="S238" i="16" s="1"/>
  <c r="R238" i="16" s="1"/>
  <c r="P238" i="16" s="1"/>
  <c r="V238" i="16" s="1"/>
  <c r="F238" i="16" s="1"/>
  <c r="U242" i="16"/>
  <c r="T242" i="16" s="1"/>
  <c r="S242" i="16" s="1"/>
  <c r="R242" i="16" s="1"/>
  <c r="P242" i="16" s="1"/>
  <c r="V242" i="16" s="1"/>
  <c r="F242" i="16" s="1"/>
  <c r="U246" i="16"/>
  <c r="T246" i="16" s="1"/>
  <c r="U250" i="16"/>
  <c r="T250" i="16" s="1"/>
  <c r="U254" i="16"/>
  <c r="T254" i="16" s="1"/>
  <c r="U258" i="16"/>
  <c r="T258" i="16" s="1"/>
  <c r="S258" i="16" s="1"/>
  <c r="R258" i="16" s="1"/>
  <c r="P258" i="16" s="1"/>
  <c r="V258" i="16" s="1"/>
  <c r="F258" i="16" s="1"/>
  <c r="G258" i="16" s="1"/>
  <c r="BY258" i="6" s="1"/>
  <c r="U262" i="16"/>
  <c r="T262" i="16" s="1"/>
  <c r="S262" i="16" s="1"/>
  <c r="R262" i="16" s="1"/>
  <c r="P262" i="16" s="1"/>
  <c r="V262" i="16" s="1"/>
  <c r="F262" i="16" s="1"/>
  <c r="U266" i="16"/>
  <c r="T266" i="16" s="1"/>
  <c r="S266" i="16" s="1"/>
  <c r="R266" i="16" s="1"/>
  <c r="P266" i="16" s="1"/>
  <c r="U270" i="16"/>
  <c r="T270" i="16" s="1"/>
  <c r="S270" i="16" s="1"/>
  <c r="R270" i="16" s="1"/>
  <c r="U274" i="16"/>
  <c r="T274" i="16" s="1"/>
  <c r="S274" i="16" s="1"/>
  <c r="R274" i="16" s="1"/>
  <c r="P274" i="16" s="1"/>
  <c r="U278" i="16"/>
  <c r="T278" i="16" s="1"/>
  <c r="S278" i="16" s="1"/>
  <c r="R278" i="16" s="1"/>
  <c r="P278" i="16" s="1"/>
  <c r="V278" i="16" s="1"/>
  <c r="F278" i="16" s="1"/>
  <c r="U282" i="16"/>
  <c r="T282" i="16" s="1"/>
  <c r="U286" i="16"/>
  <c r="T286" i="16" s="1"/>
  <c r="U290" i="16"/>
  <c r="T290" i="16" s="1"/>
  <c r="S290" i="16" s="1"/>
  <c r="R290" i="16" s="1"/>
  <c r="P290" i="16" s="1"/>
  <c r="V290" i="16" s="1"/>
  <c r="F290" i="16" s="1"/>
  <c r="G290" i="16" s="1"/>
  <c r="BY290" i="6" s="1"/>
  <c r="U294" i="16"/>
  <c r="T294" i="16" s="1"/>
  <c r="S294" i="16" s="1"/>
  <c r="R294" i="16" s="1"/>
  <c r="P294" i="16" s="1"/>
  <c r="V294" i="16" s="1"/>
  <c r="F294" i="16" s="1"/>
  <c r="U298" i="16"/>
  <c r="T298" i="16" s="1"/>
  <c r="S298" i="16" s="1"/>
  <c r="R298" i="16" s="1"/>
  <c r="U302" i="16"/>
  <c r="T302" i="16" s="1"/>
  <c r="S302" i="16" s="1"/>
  <c r="R302" i="16" s="1"/>
  <c r="U306" i="16"/>
  <c r="T306" i="16" s="1"/>
  <c r="S306" i="16" s="1"/>
  <c r="R306" i="16" s="1"/>
  <c r="U310" i="16"/>
  <c r="T310" i="16" s="1"/>
  <c r="S310" i="16" s="1"/>
  <c r="R310" i="16" s="1"/>
  <c r="P310" i="16" s="1"/>
  <c r="U314" i="16"/>
  <c r="T314" i="16" s="1"/>
  <c r="S314" i="16" s="1"/>
  <c r="R314" i="16" s="1"/>
  <c r="U318" i="16"/>
  <c r="T318" i="16" s="1"/>
  <c r="S318" i="16" s="1"/>
  <c r="R318" i="16" s="1"/>
  <c r="P318" i="16" s="1"/>
  <c r="V318" i="16" s="1"/>
  <c r="F318" i="16" s="1"/>
  <c r="U322" i="16"/>
  <c r="T322" i="16" s="1"/>
  <c r="S322" i="16" s="1"/>
  <c r="R322" i="16" s="1"/>
  <c r="P322" i="16" s="1"/>
  <c r="U326" i="16"/>
  <c r="T326" i="16" s="1"/>
  <c r="S326" i="16" s="1"/>
  <c r="R326" i="16" s="1"/>
  <c r="P326" i="16" s="1"/>
  <c r="V326" i="16" s="1"/>
  <c r="F326" i="16" s="1"/>
  <c r="U330" i="16"/>
  <c r="T330" i="16" s="1"/>
  <c r="S330" i="16" s="1"/>
  <c r="R330" i="16" s="1"/>
  <c r="U334" i="16"/>
  <c r="T334" i="16" s="1"/>
  <c r="S334" i="16" s="1"/>
  <c r="R334" i="16" s="1"/>
  <c r="U338" i="16"/>
  <c r="T338" i="16" s="1"/>
  <c r="S338" i="16" s="1"/>
  <c r="R338" i="16" s="1"/>
  <c r="U342" i="16"/>
  <c r="T342" i="16" s="1"/>
  <c r="S342" i="16" s="1"/>
  <c r="R342" i="16" s="1"/>
  <c r="P342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P358" i="16" s="1"/>
  <c r="V358" i="16" s="1"/>
  <c r="F358" i="16" s="1"/>
  <c r="U362" i="16"/>
  <c r="T362" i="16" s="1"/>
  <c r="S362" i="16" s="1"/>
  <c r="R362" i="16" s="1"/>
  <c r="P362" i="16" s="1"/>
  <c r="V362" i="16" s="1"/>
  <c r="F362" i="16" s="1"/>
  <c r="U366" i="16"/>
  <c r="T366" i="16" s="1"/>
  <c r="S366" i="16" s="1"/>
  <c r="R366" i="16" s="1"/>
  <c r="U370" i="16"/>
  <c r="T370" i="16" s="1"/>
  <c r="S370" i="16" s="1"/>
  <c r="R370" i="16" s="1"/>
  <c r="U374" i="16"/>
  <c r="T374" i="16" s="1"/>
  <c r="S374" i="16" s="1"/>
  <c r="R374" i="16" s="1"/>
  <c r="P374" i="16" s="1"/>
  <c r="U378" i="16"/>
  <c r="T378" i="16" s="1"/>
  <c r="S378" i="16" s="1"/>
  <c r="R378" i="16" s="1"/>
  <c r="P378" i="16" s="1"/>
  <c r="AI15" i="16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44" i="16"/>
  <c r="AH44" i="16" s="1"/>
  <c r="AG44" i="16" s="1"/>
  <c r="AF44" i="16" s="1"/>
  <c r="AI48" i="16"/>
  <c r="AH48" i="16" s="1"/>
  <c r="AG48" i="16" s="1"/>
  <c r="AF48" i="16" s="1"/>
  <c r="AI52" i="16"/>
  <c r="AH52" i="16" s="1"/>
  <c r="AG52" i="16" s="1"/>
  <c r="AF52" i="16" s="1"/>
  <c r="AI56" i="16"/>
  <c r="AH56" i="16" s="1"/>
  <c r="AG56" i="16" s="1"/>
  <c r="AF56" i="16" s="1"/>
  <c r="AI60" i="16"/>
  <c r="AH60" i="16" s="1"/>
  <c r="AG60" i="16" s="1"/>
  <c r="AF60" i="16" s="1"/>
  <c r="AI64" i="16"/>
  <c r="AH64" i="16" s="1"/>
  <c r="AG64" i="16" s="1"/>
  <c r="AF64" i="16" s="1"/>
  <c r="AI68" i="16"/>
  <c r="AH68" i="16" s="1"/>
  <c r="AG68" i="16" s="1"/>
  <c r="AF68" i="16" s="1"/>
  <c r="AI72" i="16"/>
  <c r="AH72" i="16" s="1"/>
  <c r="AG72" i="16" s="1"/>
  <c r="AF72" i="16" s="1"/>
  <c r="AI76" i="16"/>
  <c r="AH76" i="16" s="1"/>
  <c r="AG76" i="16" s="1"/>
  <c r="AF76" i="16" s="1"/>
  <c r="AI80" i="16"/>
  <c r="AH80" i="16" s="1"/>
  <c r="AG80" i="16" s="1"/>
  <c r="AF80" i="16" s="1"/>
  <c r="AI84" i="16"/>
  <c r="AH84" i="16" s="1"/>
  <c r="AG84" i="16" s="1"/>
  <c r="AF84" i="16" s="1"/>
  <c r="AI88" i="16"/>
  <c r="AH88" i="16" s="1"/>
  <c r="AG88" i="16" s="1"/>
  <c r="AF88" i="16" s="1"/>
  <c r="AI92" i="16"/>
  <c r="AH92" i="16" s="1"/>
  <c r="AG92" i="16" s="1"/>
  <c r="AF92" i="16" s="1"/>
  <c r="AI96" i="16"/>
  <c r="AH96" i="16" s="1"/>
  <c r="AG96" i="16" s="1"/>
  <c r="AF96" i="16" s="1"/>
  <c r="AI100" i="16"/>
  <c r="AH100" i="16" s="1"/>
  <c r="AG100" i="16" s="1"/>
  <c r="AF100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50" i="16"/>
  <c r="AH50" i="16" s="1"/>
  <c r="AG50" i="16" s="1"/>
  <c r="AF50" i="16" s="1"/>
  <c r="AI58" i="16"/>
  <c r="AH58" i="16" s="1"/>
  <c r="AG58" i="16" s="1"/>
  <c r="AF58" i="16" s="1"/>
  <c r="AI66" i="16"/>
  <c r="AH66" i="16" s="1"/>
  <c r="AG66" i="16" s="1"/>
  <c r="AF66" i="16" s="1"/>
  <c r="AI74" i="16"/>
  <c r="AH74" i="16" s="1"/>
  <c r="AG74" i="16" s="1"/>
  <c r="AF74" i="16" s="1"/>
  <c r="AI82" i="16"/>
  <c r="AH82" i="16" s="1"/>
  <c r="AG82" i="16" s="1"/>
  <c r="AF82" i="16" s="1"/>
  <c r="AI90" i="16"/>
  <c r="AH90" i="16" s="1"/>
  <c r="AG90" i="16" s="1"/>
  <c r="AF90" i="16" s="1"/>
  <c r="AI98" i="16"/>
  <c r="AH98" i="16" s="1"/>
  <c r="AG98" i="16" s="1"/>
  <c r="AF98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9" i="16"/>
  <c r="AH149" i="16" s="1"/>
  <c r="AG149" i="16" s="1"/>
  <c r="AF149" i="16" s="1"/>
  <c r="AI157" i="16"/>
  <c r="AH157" i="16" s="1"/>
  <c r="AG157" i="16" s="1"/>
  <c r="AF157" i="16" s="1"/>
  <c r="AI165" i="16"/>
  <c r="AH165" i="16" s="1"/>
  <c r="AG165" i="16" s="1"/>
  <c r="AF165" i="16" s="1"/>
  <c r="AI173" i="16"/>
  <c r="AH173" i="16" s="1"/>
  <c r="AG173" i="16" s="1"/>
  <c r="AF173" i="16" s="1"/>
  <c r="AI181" i="16"/>
  <c r="AH181" i="16" s="1"/>
  <c r="AG181" i="16" s="1"/>
  <c r="AF181" i="16" s="1"/>
  <c r="AI189" i="16"/>
  <c r="AH189" i="16" s="1"/>
  <c r="AG189" i="16" s="1"/>
  <c r="AF189" i="16" s="1"/>
  <c r="AI197" i="16"/>
  <c r="AH197" i="16" s="1"/>
  <c r="AG197" i="16" s="1"/>
  <c r="AF197" i="16" s="1"/>
  <c r="AI205" i="16"/>
  <c r="AH205" i="16" s="1"/>
  <c r="AG205" i="16" s="1"/>
  <c r="AF205" i="16" s="1"/>
  <c r="AI213" i="16"/>
  <c r="AH213" i="16" s="1"/>
  <c r="AG213" i="16" s="1"/>
  <c r="AF213" i="16" s="1"/>
  <c r="AI221" i="16"/>
  <c r="AH221" i="16" s="1"/>
  <c r="AG221" i="16" s="1"/>
  <c r="AF221" i="16" s="1"/>
  <c r="AI229" i="16"/>
  <c r="AH229" i="16" s="1"/>
  <c r="AG229" i="16" s="1"/>
  <c r="AF229" i="16" s="1"/>
  <c r="AI237" i="16"/>
  <c r="AH237" i="16" s="1"/>
  <c r="AG237" i="16" s="1"/>
  <c r="AF237" i="16" s="1"/>
  <c r="AI245" i="16"/>
  <c r="AH245" i="16" s="1"/>
  <c r="AG245" i="16" s="1"/>
  <c r="AF245" i="16" s="1"/>
  <c r="AI253" i="16"/>
  <c r="AH253" i="16" s="1"/>
  <c r="AG253" i="16" s="1"/>
  <c r="AF253" i="16" s="1"/>
  <c r="AI261" i="16"/>
  <c r="AH261" i="16" s="1"/>
  <c r="AI269" i="16"/>
  <c r="AH269" i="16" s="1"/>
  <c r="AG269" i="16" s="1"/>
  <c r="AF269" i="16" s="1"/>
  <c r="AI277" i="16"/>
  <c r="AH277" i="16" s="1"/>
  <c r="AG277" i="16" s="1"/>
  <c r="AF277" i="16" s="1"/>
  <c r="AD277" i="16" s="1"/>
  <c r="AI283" i="16"/>
  <c r="AH283" i="16" s="1"/>
  <c r="AG283" i="16" s="1"/>
  <c r="AF283" i="16" s="1"/>
  <c r="AI287" i="16"/>
  <c r="AH287" i="16" s="1"/>
  <c r="AG287" i="16" s="1"/>
  <c r="AF287" i="16" s="1"/>
  <c r="AI293" i="16"/>
  <c r="AH293" i="16" s="1"/>
  <c r="AG293" i="16" s="1"/>
  <c r="AF293" i="16" s="1"/>
  <c r="AI297" i="16"/>
  <c r="AH297" i="16" s="1"/>
  <c r="AG297" i="16" s="1"/>
  <c r="AF297" i="16" s="1"/>
  <c r="AI299" i="16"/>
  <c r="AH299" i="16" s="1"/>
  <c r="AG299" i="16" s="1"/>
  <c r="AF299" i="16" s="1"/>
  <c r="AI303" i="16"/>
  <c r="AH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G335" i="16" s="1"/>
  <c r="AF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5" i="16"/>
  <c r="AH375" i="16" s="1"/>
  <c r="AG375" i="16" s="1"/>
  <c r="AF375" i="16" s="1"/>
  <c r="AI379" i="16"/>
  <c r="U35" i="16"/>
  <c r="T35" i="16" s="1"/>
  <c r="S35" i="16" s="1"/>
  <c r="R35" i="16" s="1"/>
  <c r="U67" i="16"/>
  <c r="T67" i="16" s="1"/>
  <c r="S67" i="16" s="1"/>
  <c r="R67" i="16" s="1"/>
  <c r="P67" i="16" s="1"/>
  <c r="V67" i="16" s="1"/>
  <c r="F67" i="16" s="1"/>
  <c r="G67" i="16" s="1"/>
  <c r="BY67" i="6" s="1"/>
  <c r="U99" i="16"/>
  <c r="T99" i="16" s="1"/>
  <c r="U130" i="16"/>
  <c r="T130" i="16" s="1"/>
  <c r="S130" i="16" s="1"/>
  <c r="R130" i="16" s="1"/>
  <c r="U146" i="16"/>
  <c r="T146" i="16" s="1"/>
  <c r="S146" i="16" s="1"/>
  <c r="R146" i="16" s="1"/>
  <c r="U162" i="16"/>
  <c r="T162" i="16" s="1"/>
  <c r="S162" i="16" s="1"/>
  <c r="R162" i="16" s="1"/>
  <c r="U178" i="16"/>
  <c r="T178" i="16" s="1"/>
  <c r="S178" i="16" s="1"/>
  <c r="R178" i="16" s="1"/>
  <c r="U194" i="16"/>
  <c r="T194" i="16" s="1"/>
  <c r="U210" i="16"/>
  <c r="T210" i="16" s="1"/>
  <c r="S210" i="16" s="1"/>
  <c r="R210" i="16" s="1"/>
  <c r="P210" i="16" s="1"/>
  <c r="U220" i="16"/>
  <c r="T220" i="16" s="1"/>
  <c r="S220" i="16" s="1"/>
  <c r="R220" i="16" s="1"/>
  <c r="U228" i="16"/>
  <c r="T228" i="16" s="1"/>
  <c r="S228" i="16" s="1"/>
  <c r="R228" i="16" s="1"/>
  <c r="P228" i="16" s="1"/>
  <c r="U236" i="16"/>
  <c r="T236" i="16" s="1"/>
  <c r="S236" i="16" s="1"/>
  <c r="R236" i="16" s="1"/>
  <c r="U244" i="16"/>
  <c r="T244" i="16" s="1"/>
  <c r="S244" i="16" s="1"/>
  <c r="R244" i="16" s="1"/>
  <c r="U252" i="16"/>
  <c r="T252" i="16" s="1"/>
  <c r="S252" i="16" s="1"/>
  <c r="R252" i="16" s="1"/>
  <c r="U260" i="16"/>
  <c r="T260" i="16" s="1"/>
  <c r="S260" i="16" s="1"/>
  <c r="R260" i="16" s="1"/>
  <c r="P260" i="16" s="1"/>
  <c r="V260" i="16" s="1"/>
  <c r="F260" i="16" s="1"/>
  <c r="U268" i="16"/>
  <c r="T268" i="16" s="1"/>
  <c r="S268" i="16" s="1"/>
  <c r="R268" i="16" s="1"/>
  <c r="U276" i="16"/>
  <c r="T276" i="16" s="1"/>
  <c r="S276" i="16" s="1"/>
  <c r="R276" i="16" s="1"/>
  <c r="U284" i="16"/>
  <c r="T284" i="16" s="1"/>
  <c r="S284" i="16" s="1"/>
  <c r="R284" i="16" s="1"/>
  <c r="P284" i="16" s="1"/>
  <c r="V284" i="16" s="1"/>
  <c r="F284" i="16" s="1"/>
  <c r="H284" i="16" s="1"/>
  <c r="U292" i="16"/>
  <c r="T292" i="16" s="1"/>
  <c r="S292" i="16" s="1"/>
  <c r="R292" i="16" s="1"/>
  <c r="U300" i="16"/>
  <c r="T300" i="16" s="1"/>
  <c r="S300" i="16" s="1"/>
  <c r="R300" i="16" s="1"/>
  <c r="P300" i="16" s="1"/>
  <c r="V300" i="16" s="1"/>
  <c r="F300" i="16" s="1"/>
  <c r="G300" i="16" s="1"/>
  <c r="BY300" i="6" s="1"/>
  <c r="U308" i="16"/>
  <c r="T308" i="16" s="1"/>
  <c r="S308" i="16" s="1"/>
  <c r="R308" i="16" s="1"/>
  <c r="P308" i="16" s="1"/>
  <c r="U316" i="16"/>
  <c r="T316" i="16" s="1"/>
  <c r="S316" i="16" s="1"/>
  <c r="R316" i="16" s="1"/>
  <c r="P316" i="16" s="1"/>
  <c r="V316" i="16" s="1"/>
  <c r="F316" i="16" s="1"/>
  <c r="H316" i="16" s="1"/>
  <c r="U324" i="16"/>
  <c r="T324" i="16" s="1"/>
  <c r="S324" i="16" s="1"/>
  <c r="R324" i="16" s="1"/>
  <c r="U332" i="16"/>
  <c r="T332" i="16" s="1"/>
  <c r="S332" i="16" s="1"/>
  <c r="R332" i="16" s="1"/>
  <c r="U340" i="16"/>
  <c r="T340" i="16" s="1"/>
  <c r="S340" i="16" s="1"/>
  <c r="R340" i="16" s="1"/>
  <c r="U348" i="16"/>
  <c r="T348" i="16" s="1"/>
  <c r="S348" i="16" s="1"/>
  <c r="R348" i="16" s="1"/>
  <c r="U356" i="16"/>
  <c r="T356" i="16" s="1"/>
  <c r="S356" i="16" s="1"/>
  <c r="R356" i="16" s="1"/>
  <c r="U364" i="16"/>
  <c r="T364" i="16" s="1"/>
  <c r="S364" i="16" s="1"/>
  <c r="R364" i="16" s="1"/>
  <c r="P364" i="16" s="1"/>
  <c r="V364" i="16" s="1"/>
  <c r="F364" i="16" s="1"/>
  <c r="G364" i="16" s="1"/>
  <c r="BY364" i="6" s="1"/>
  <c r="U372" i="16"/>
  <c r="T372" i="16" s="1"/>
  <c r="S372" i="16" s="1"/>
  <c r="R372" i="16" s="1"/>
  <c r="P372" i="16" s="1"/>
  <c r="U380" i="16"/>
  <c r="T380" i="16" s="1"/>
  <c r="S380" i="16" s="1"/>
  <c r="R380" i="16" s="1"/>
  <c r="AI22" i="16"/>
  <c r="AH22" i="16" s="1"/>
  <c r="AG22" i="16" s="1"/>
  <c r="AF22" i="16" s="1"/>
  <c r="AI30" i="16"/>
  <c r="AH30" i="16" s="1"/>
  <c r="AG30" i="16" s="1"/>
  <c r="AF30" i="16" s="1"/>
  <c r="AI38" i="16"/>
  <c r="AH38" i="16" s="1"/>
  <c r="AG38" i="16" s="1"/>
  <c r="AF38" i="16" s="1"/>
  <c r="AI46" i="16"/>
  <c r="AH46" i="16" s="1"/>
  <c r="AG46" i="16" s="1"/>
  <c r="AF46" i="16" s="1"/>
  <c r="AI54" i="16"/>
  <c r="AH54" i="16" s="1"/>
  <c r="AG54" i="16" s="1"/>
  <c r="AF54" i="16" s="1"/>
  <c r="AI62" i="16"/>
  <c r="AH62" i="16" s="1"/>
  <c r="AG62" i="16" s="1"/>
  <c r="AF62" i="16" s="1"/>
  <c r="AI70" i="16"/>
  <c r="AH70" i="16" s="1"/>
  <c r="AG70" i="16" s="1"/>
  <c r="AF70" i="16" s="1"/>
  <c r="AI78" i="16"/>
  <c r="AH78" i="16" s="1"/>
  <c r="AG78" i="16" s="1"/>
  <c r="AF78" i="16" s="1"/>
  <c r="AI86" i="16"/>
  <c r="AH86" i="16" s="1"/>
  <c r="AG86" i="16" s="1"/>
  <c r="AF86" i="16" s="1"/>
  <c r="AI94" i="16"/>
  <c r="AH94" i="16" s="1"/>
  <c r="AG94" i="16" s="1"/>
  <c r="AF94" i="16" s="1"/>
  <c r="AI102" i="16"/>
  <c r="AH102" i="16" s="1"/>
  <c r="AG102" i="16" s="1"/>
  <c r="AF102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D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D211" i="16" s="1"/>
  <c r="AA211" i="16" s="1"/>
  <c r="Z211" i="16" s="1"/>
  <c r="Y211" i="16" s="1"/>
  <c r="AI215" i="16"/>
  <c r="AH215" i="16" s="1"/>
  <c r="AG215" i="16" s="1"/>
  <c r="AF215" i="16" s="1"/>
  <c r="AI219" i="16"/>
  <c r="AH219" i="16" s="1"/>
  <c r="AI223" i="16"/>
  <c r="AH223" i="16" s="1"/>
  <c r="AG223" i="16" s="1"/>
  <c r="AF223" i="16" s="1"/>
  <c r="AD223" i="16" s="1"/>
  <c r="AI227" i="16"/>
  <c r="AH227" i="16" s="1"/>
  <c r="AG227" i="16" s="1"/>
  <c r="AF227" i="16" s="1"/>
  <c r="AD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AI380" i="16"/>
  <c r="AH380" i="16" s="1"/>
  <c r="AG380" i="16" s="1"/>
  <c r="AF380" i="16" s="1"/>
  <c r="U19" i="16"/>
  <c r="T19" i="16" s="1"/>
  <c r="S19" i="16" s="1"/>
  <c r="R19" i="16" s="1"/>
  <c r="U51" i="16"/>
  <c r="T51" i="16" s="1"/>
  <c r="S51" i="16" s="1"/>
  <c r="R51" i="16" s="1"/>
  <c r="P51" i="16" s="1"/>
  <c r="V51" i="16" s="1"/>
  <c r="F51" i="16" s="1"/>
  <c r="U83" i="16"/>
  <c r="T83" i="16" s="1"/>
  <c r="S83" i="16" s="1"/>
  <c r="R83" i="16" s="1"/>
  <c r="U115" i="16"/>
  <c r="T115" i="16" s="1"/>
  <c r="S115" i="16" s="1"/>
  <c r="R115" i="16" s="1"/>
  <c r="U138" i="16"/>
  <c r="T138" i="16" s="1"/>
  <c r="S138" i="16" s="1"/>
  <c r="R138" i="16" s="1"/>
  <c r="U154" i="16"/>
  <c r="T154" i="16" s="1"/>
  <c r="S154" i="16" s="1"/>
  <c r="R154" i="16" s="1"/>
  <c r="U170" i="16"/>
  <c r="T170" i="16" s="1"/>
  <c r="S170" i="16" s="1"/>
  <c r="R170" i="16" s="1"/>
  <c r="U186" i="16"/>
  <c r="T186" i="16" s="1"/>
  <c r="S186" i="16" s="1"/>
  <c r="R186" i="16" s="1"/>
  <c r="U202" i="16"/>
  <c r="T202" i="16" s="1"/>
  <c r="U216" i="16"/>
  <c r="T216" i="16" s="1"/>
  <c r="S216" i="16" s="1"/>
  <c r="R216" i="16" s="1"/>
  <c r="U224" i="16"/>
  <c r="T224" i="16" s="1"/>
  <c r="S224" i="16" s="1"/>
  <c r="R224" i="16" s="1"/>
  <c r="P224" i="16" s="1"/>
  <c r="V224" i="16" s="1"/>
  <c r="F224" i="16" s="1"/>
  <c r="H224" i="16" s="1"/>
  <c r="U232" i="16"/>
  <c r="T232" i="16" s="1"/>
  <c r="S232" i="16" s="1"/>
  <c r="R232" i="16" s="1"/>
  <c r="U240" i="16"/>
  <c r="T240" i="16" s="1"/>
  <c r="S240" i="16" s="1"/>
  <c r="R240" i="16" s="1"/>
  <c r="U248" i="16"/>
  <c r="T248" i="16" s="1"/>
  <c r="S248" i="16" s="1"/>
  <c r="R248" i="16" s="1"/>
  <c r="U256" i="16"/>
  <c r="T256" i="16" s="1"/>
  <c r="S256" i="16" s="1"/>
  <c r="R256" i="16" s="1"/>
  <c r="U264" i="16"/>
  <c r="T264" i="16" s="1"/>
  <c r="S264" i="16" s="1"/>
  <c r="R264" i="16" s="1"/>
  <c r="U272" i="16"/>
  <c r="T272" i="16" s="1"/>
  <c r="S272" i="16" s="1"/>
  <c r="R272" i="16" s="1"/>
  <c r="U280" i="16"/>
  <c r="T280" i="16" s="1"/>
  <c r="S280" i="16" s="1"/>
  <c r="R280" i="16" s="1"/>
  <c r="U288" i="16"/>
  <c r="T288" i="16" s="1"/>
  <c r="S288" i="16" s="1"/>
  <c r="R288" i="16" s="1"/>
  <c r="U296" i="16"/>
  <c r="T296" i="16" s="1"/>
  <c r="S296" i="16" s="1"/>
  <c r="R296" i="16" s="1"/>
  <c r="P296" i="16" s="1"/>
  <c r="U304" i="16"/>
  <c r="T304" i="16" s="1"/>
  <c r="S304" i="16" s="1"/>
  <c r="R304" i="16" s="1"/>
  <c r="P304" i="16" s="1"/>
  <c r="V304" i="16" s="1"/>
  <c r="F304" i="16" s="1"/>
  <c r="G304" i="16" s="1"/>
  <c r="BY304" i="6" s="1"/>
  <c r="U312" i="16"/>
  <c r="T312" i="16" s="1"/>
  <c r="S312" i="16" s="1"/>
  <c r="R312" i="16" s="1"/>
  <c r="U320" i="16"/>
  <c r="T320" i="16" s="1"/>
  <c r="S320" i="16" s="1"/>
  <c r="R320" i="16" s="1"/>
  <c r="U328" i="16"/>
  <c r="T328" i="16" s="1"/>
  <c r="S328" i="16" s="1"/>
  <c r="R328" i="16" s="1"/>
  <c r="P328" i="16" s="1"/>
  <c r="V328" i="16" s="1"/>
  <c r="F328" i="16" s="1"/>
  <c r="U336" i="16"/>
  <c r="T336" i="16" s="1"/>
  <c r="S336" i="16" s="1"/>
  <c r="R336" i="16" s="1"/>
  <c r="U344" i="16"/>
  <c r="T344" i="16" s="1"/>
  <c r="S344" i="16" s="1"/>
  <c r="R344" i="16" s="1"/>
  <c r="U352" i="16"/>
  <c r="T352" i="16" s="1"/>
  <c r="S352" i="16" s="1"/>
  <c r="R352" i="16" s="1"/>
  <c r="U360" i="16"/>
  <c r="T360" i="16" s="1"/>
  <c r="S360" i="16" s="1"/>
  <c r="R360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76" i="16"/>
  <c r="T376" i="16" s="1"/>
  <c r="S376" i="16" s="1"/>
  <c r="R376" i="16" s="1"/>
  <c r="P376" i="16" s="1"/>
  <c r="V376" i="16" s="1"/>
  <c r="F376" i="16" s="1"/>
  <c r="AI125" i="16"/>
  <c r="AH125" i="16" s="1"/>
  <c r="AG125" i="16" s="1"/>
  <c r="AF125" i="16" s="1"/>
  <c r="AI145" i="16"/>
  <c r="AH145" i="16" s="1"/>
  <c r="AG145" i="16" s="1"/>
  <c r="AF145" i="16" s="1"/>
  <c r="AI153" i="16"/>
  <c r="AH153" i="16" s="1"/>
  <c r="AG153" i="16" s="1"/>
  <c r="AF153" i="16" s="1"/>
  <c r="AI161" i="16"/>
  <c r="AH161" i="16" s="1"/>
  <c r="AG161" i="16" s="1"/>
  <c r="AF161" i="16" s="1"/>
  <c r="AI169" i="16"/>
  <c r="AH169" i="16" s="1"/>
  <c r="AG169" i="16" s="1"/>
  <c r="AF169" i="16" s="1"/>
  <c r="AI177" i="16"/>
  <c r="AH177" i="16" s="1"/>
  <c r="AG177" i="16" s="1"/>
  <c r="AF177" i="16" s="1"/>
  <c r="AI185" i="16"/>
  <c r="AH185" i="16" s="1"/>
  <c r="AG185" i="16" s="1"/>
  <c r="AF185" i="16" s="1"/>
  <c r="AI193" i="16"/>
  <c r="AH193" i="16" s="1"/>
  <c r="AG193" i="16" s="1"/>
  <c r="AF193" i="16" s="1"/>
  <c r="AI201" i="16"/>
  <c r="AH201" i="16" s="1"/>
  <c r="AG201" i="16" s="1"/>
  <c r="AF201" i="16" s="1"/>
  <c r="AI209" i="16"/>
  <c r="AH209" i="16" s="1"/>
  <c r="AG209" i="16" s="1"/>
  <c r="AF209" i="16" s="1"/>
  <c r="AI217" i="16"/>
  <c r="AH217" i="16" s="1"/>
  <c r="AG217" i="16" s="1"/>
  <c r="AF217" i="16" s="1"/>
  <c r="AI225" i="16"/>
  <c r="AH225" i="16" s="1"/>
  <c r="AG225" i="16" s="1"/>
  <c r="AF225" i="16" s="1"/>
  <c r="AI233" i="16"/>
  <c r="AH233" i="16" s="1"/>
  <c r="AG233" i="16" s="1"/>
  <c r="AF233" i="16" s="1"/>
  <c r="AI241" i="16"/>
  <c r="AH241" i="16" s="1"/>
  <c r="AG241" i="16" s="1"/>
  <c r="AF241" i="16" s="1"/>
  <c r="AI249" i="16"/>
  <c r="AH249" i="16" s="1"/>
  <c r="AG249" i="16" s="1"/>
  <c r="AF249" i="16" s="1"/>
  <c r="AI257" i="16"/>
  <c r="AH257" i="16" s="1"/>
  <c r="AG257" i="16" s="1"/>
  <c r="AF257" i="16" s="1"/>
  <c r="AI265" i="16"/>
  <c r="AH265" i="16" s="1"/>
  <c r="AI273" i="16"/>
  <c r="AH273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1" i="16"/>
  <c r="AH291" i="16" s="1"/>
  <c r="AG291" i="16" s="1"/>
  <c r="AF291" i="16" s="1"/>
  <c r="AI295" i="16"/>
  <c r="AH295" i="16" s="1"/>
  <c r="AG295" i="16" s="1"/>
  <c r="AF295" i="16" s="1"/>
  <c r="AD295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D309" i="16" s="1"/>
  <c r="AI313" i="16"/>
  <c r="AH313" i="16" s="1"/>
  <c r="AG313" i="16" s="1"/>
  <c r="AF313" i="16" s="1"/>
  <c r="AI317" i="16"/>
  <c r="AH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D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H165" i="16"/>
  <c r="I165" i="16" s="1"/>
  <c r="G119" i="15"/>
  <c r="BX119" i="6" s="1"/>
  <c r="H119" i="15"/>
  <c r="J119" i="15" s="1"/>
  <c r="J175" i="15"/>
  <c r="I69" i="15"/>
  <c r="P88" i="16"/>
  <c r="D46" i="7" s="1"/>
  <c r="P92" i="16"/>
  <c r="V92" i="16" s="1"/>
  <c r="F92" i="16" s="1"/>
  <c r="P112" i="16"/>
  <c r="V112" i="16" s="1"/>
  <c r="F112" i="16" s="1"/>
  <c r="G112" i="16" s="1"/>
  <c r="BY112" i="6" s="1"/>
  <c r="P140" i="16"/>
  <c r="V140" i="16" s="1"/>
  <c r="F140" i="16" s="1"/>
  <c r="H140" i="16" s="1"/>
  <c r="P172" i="16"/>
  <c r="V172" i="16" s="1"/>
  <c r="P184" i="16"/>
  <c r="P21" i="16"/>
  <c r="V21" i="16" s="1"/>
  <c r="F21" i="16" s="1"/>
  <c r="P27" i="16"/>
  <c r="V27" i="16" s="1"/>
  <c r="F27" i="16" s="1"/>
  <c r="G27" i="16" s="1"/>
  <c r="BY27" i="6" s="1"/>
  <c r="P89" i="16"/>
  <c r="V89" i="16" s="1"/>
  <c r="F89" i="16" s="1"/>
  <c r="G89" i="16" s="1"/>
  <c r="BY89" i="6" s="1"/>
  <c r="P139" i="16"/>
  <c r="H133" i="16"/>
  <c r="I133" i="16" s="1"/>
  <c r="H181" i="16"/>
  <c r="J181" i="16" s="1"/>
  <c r="H189" i="16"/>
  <c r="I189" i="16" s="1"/>
  <c r="I153" i="15"/>
  <c r="J129" i="15"/>
  <c r="H85" i="16"/>
  <c r="J85" i="16" s="1"/>
  <c r="J114" i="15"/>
  <c r="I363" i="15"/>
  <c r="I271" i="15"/>
  <c r="J180" i="15"/>
  <c r="J29" i="15"/>
  <c r="H105" i="16"/>
  <c r="J105" i="16" s="1"/>
  <c r="I109" i="15"/>
  <c r="H109" i="16" s="1"/>
  <c r="I121" i="15"/>
  <c r="H121" i="16" s="1"/>
  <c r="I302" i="15"/>
  <c r="I169" i="15"/>
  <c r="H169" i="16" s="1"/>
  <c r="I276" i="15"/>
  <c r="J161" i="15"/>
  <c r="I113" i="15"/>
  <c r="H113" i="16" s="1"/>
  <c r="H177" i="16"/>
  <c r="I177" i="16" s="1"/>
  <c r="I157" i="15"/>
  <c r="H157" i="16" s="1"/>
  <c r="J157" i="16" s="1"/>
  <c r="I31" i="15"/>
  <c r="I365" i="15"/>
  <c r="C14" i="19"/>
  <c r="F38" i="19"/>
  <c r="L40" i="19"/>
  <c r="H129" i="16"/>
  <c r="J129" i="16" s="1"/>
  <c r="AD126" i="16"/>
  <c r="AA126" i="16" s="1"/>
  <c r="Z126" i="16" s="1"/>
  <c r="Y126" i="16" s="1"/>
  <c r="AD142" i="16"/>
  <c r="AD186" i="16"/>
  <c r="AD246" i="16"/>
  <c r="AD338" i="16"/>
  <c r="P84" i="16"/>
  <c r="V84" i="16" s="1"/>
  <c r="F84" i="16" s="1"/>
  <c r="H84" i="16" s="1"/>
  <c r="P108" i="16"/>
  <c r="V108" i="16" s="1"/>
  <c r="F108" i="16" s="1"/>
  <c r="P152" i="16"/>
  <c r="V152" i="16" s="1"/>
  <c r="F152" i="16" s="1"/>
  <c r="P176" i="16"/>
  <c r="V176" i="16" s="1"/>
  <c r="F176" i="16" s="1"/>
  <c r="G176" i="16" s="1"/>
  <c r="BY176" i="6" s="1"/>
  <c r="P188" i="16"/>
  <c r="V188" i="16" s="1"/>
  <c r="F188" i="16" s="1"/>
  <c r="H188" i="16" s="1"/>
  <c r="AD43" i="16"/>
  <c r="AD51" i="16"/>
  <c r="AA51" i="16" s="1"/>
  <c r="Z51" i="16" s="1"/>
  <c r="Y51" i="16" s="1"/>
  <c r="AD55" i="16"/>
  <c r="AD63" i="16"/>
  <c r="AD355" i="16"/>
  <c r="AA355" i="16" s="1"/>
  <c r="Z355" i="16" s="1"/>
  <c r="Y355" i="16" s="1"/>
  <c r="H145" i="16"/>
  <c r="I145" i="16" s="1"/>
  <c r="I47" i="15"/>
  <c r="P37" i="16"/>
  <c r="V37" i="16" s="1"/>
  <c r="F37" i="16" s="1"/>
  <c r="H37" i="16" s="1"/>
  <c r="P73" i="16"/>
  <c r="V73" i="16" s="1"/>
  <c r="F73" i="16" s="1"/>
  <c r="P91" i="16"/>
  <c r="V91" i="16" s="1"/>
  <c r="F91" i="16" s="1"/>
  <c r="G91" i="16" s="1"/>
  <c r="BY91" i="6" s="1"/>
  <c r="P123" i="16"/>
  <c r="V123" i="16" s="1"/>
  <c r="F123" i="16" s="1"/>
  <c r="H123" i="16" s="1"/>
  <c r="P197" i="16"/>
  <c r="V197" i="16" s="1"/>
  <c r="F197" i="16" s="1"/>
  <c r="P217" i="16"/>
  <c r="V217" i="16" s="1"/>
  <c r="F217" i="16" s="1"/>
  <c r="P237" i="16"/>
  <c r="V237" i="16" s="1"/>
  <c r="F237" i="16" s="1"/>
  <c r="H237" i="16" s="1"/>
  <c r="P269" i="16"/>
  <c r="V269" i="16" s="1"/>
  <c r="F269" i="16" s="1"/>
  <c r="H269" i="16" s="1"/>
  <c r="P289" i="16"/>
  <c r="V289" i="16" s="1"/>
  <c r="F289" i="16" s="1"/>
  <c r="P90" i="16"/>
  <c r="V90" i="16" s="1"/>
  <c r="F90" i="16" s="1"/>
  <c r="H90" i="16" s="1"/>
  <c r="P94" i="16"/>
  <c r="V94" i="16" s="1"/>
  <c r="F94" i="16" s="1"/>
  <c r="H94" i="16" s="1"/>
  <c r="P114" i="16"/>
  <c r="V114" i="16" s="1"/>
  <c r="F114" i="16" s="1"/>
  <c r="G114" i="16" s="1"/>
  <c r="BY114" i="6" s="1"/>
  <c r="P182" i="16"/>
  <c r="V182" i="16" s="1"/>
  <c r="F182" i="16" s="1"/>
  <c r="P33" i="16"/>
  <c r="V33" i="16" s="1"/>
  <c r="F33" i="16" s="1"/>
  <c r="G33" i="16" s="1"/>
  <c r="BY33" i="6" s="1"/>
  <c r="P199" i="16"/>
  <c r="V199" i="16" s="1"/>
  <c r="F199" i="16" s="1"/>
  <c r="P219" i="16"/>
  <c r="V219" i="16" s="1"/>
  <c r="F219" i="16" s="1"/>
  <c r="G219" i="16" s="1"/>
  <c r="BY219" i="6" s="1"/>
  <c r="P287" i="16"/>
  <c r="V287" i="16" s="1"/>
  <c r="F287" i="16" s="1"/>
  <c r="G287" i="16" s="1"/>
  <c r="BY287" i="6" s="1"/>
  <c r="J378" i="15"/>
  <c r="I39" i="15"/>
  <c r="AD19" i="16"/>
  <c r="AD23" i="16"/>
  <c r="AD83" i="16"/>
  <c r="AD91" i="16"/>
  <c r="AA91" i="16" s="1"/>
  <c r="Z91" i="16" s="1"/>
  <c r="Y91" i="16" s="1"/>
  <c r="AD103" i="16"/>
  <c r="AD111" i="16"/>
  <c r="AD131" i="16"/>
  <c r="AA131" i="16" s="1"/>
  <c r="Z131" i="16" s="1"/>
  <c r="Y131" i="16" s="1"/>
  <c r="AD135" i="16"/>
  <c r="AA135" i="16" s="1"/>
  <c r="Z135" i="16" s="1"/>
  <c r="Y135" i="16" s="1"/>
  <c r="AD143" i="16"/>
  <c r="AA143" i="16" s="1"/>
  <c r="Z143" i="16" s="1"/>
  <c r="Y143" i="16" s="1"/>
  <c r="AD151" i="16"/>
  <c r="AA151" i="16" s="1"/>
  <c r="Z151" i="16" s="1"/>
  <c r="Y151" i="16" s="1"/>
  <c r="AD159" i="16"/>
  <c r="AA159" i="16" s="1"/>
  <c r="Z159" i="16" s="1"/>
  <c r="Y159" i="16" s="1"/>
  <c r="AD263" i="16"/>
  <c r="AD275" i="16"/>
  <c r="AD287" i="16"/>
  <c r="AA287" i="16" s="1"/>
  <c r="Z287" i="16" s="1"/>
  <c r="Y287" i="16" s="1"/>
  <c r="P79" i="16"/>
  <c r="V79" i="16" s="1"/>
  <c r="F79" i="16" s="1"/>
  <c r="P87" i="16"/>
  <c r="V87" i="16" s="1"/>
  <c r="F87" i="16" s="1"/>
  <c r="P103" i="16"/>
  <c r="V103" i="16" s="1"/>
  <c r="F103" i="16" s="1"/>
  <c r="P119" i="16"/>
  <c r="V119" i="16" s="1"/>
  <c r="F119" i="16" s="1"/>
  <c r="P127" i="16"/>
  <c r="V127" i="16" s="1"/>
  <c r="F127" i="16" s="1"/>
  <c r="P231" i="16"/>
  <c r="V231" i="16" s="1"/>
  <c r="F231" i="16" s="1"/>
  <c r="P243" i="16"/>
  <c r="V243" i="16" s="1"/>
  <c r="F243" i="16" s="1"/>
  <c r="H243" i="16" s="1"/>
  <c r="P271" i="16"/>
  <c r="V271" i="16" s="1"/>
  <c r="F271" i="16" s="1"/>
  <c r="AD128" i="16"/>
  <c r="AA128" i="16" s="1"/>
  <c r="Z128" i="16" s="1"/>
  <c r="Y128" i="16" s="1"/>
  <c r="AD248" i="16"/>
  <c r="AD340" i="16"/>
  <c r="AD344" i="16"/>
  <c r="AD376" i="16"/>
  <c r="AA376" i="16" s="1"/>
  <c r="Z376" i="16" s="1"/>
  <c r="Y376" i="16" s="1"/>
  <c r="P17" i="16"/>
  <c r="V17" i="16" s="1"/>
  <c r="F17" i="16" s="1"/>
  <c r="G17" i="16" s="1"/>
  <c r="BY17" i="6" s="1"/>
  <c r="P98" i="16"/>
  <c r="V98" i="16" s="1"/>
  <c r="F98" i="16" s="1"/>
  <c r="G98" i="16" s="1"/>
  <c r="BY98" i="6" s="1"/>
  <c r="P118" i="16"/>
  <c r="V118" i="16" s="1"/>
  <c r="F118" i="16" s="1"/>
  <c r="P178" i="16"/>
  <c r="V178" i="16" s="1"/>
  <c r="F178" i="16" s="1"/>
  <c r="G178" i="16" s="1"/>
  <c r="BY178" i="6" s="1"/>
  <c r="AD27" i="16"/>
  <c r="AA27" i="16" s="1"/>
  <c r="Z27" i="16" s="1"/>
  <c r="Y27" i="16" s="1"/>
  <c r="AD35" i="16"/>
  <c r="AD75" i="16"/>
  <c r="AD87" i="16"/>
  <c r="AD99" i="16"/>
  <c r="AD139" i="16"/>
  <c r="AD183" i="16"/>
  <c r="AA183" i="16" s="1"/>
  <c r="Z183" i="16" s="1"/>
  <c r="Y183" i="16" s="1"/>
  <c r="AD207" i="16"/>
  <c r="AA207" i="16" s="1"/>
  <c r="Z207" i="16" s="1"/>
  <c r="Y207" i="16" s="1"/>
  <c r="AD247" i="16"/>
  <c r="AA247" i="16" s="1"/>
  <c r="Z247" i="16" s="1"/>
  <c r="Y247" i="16" s="1"/>
  <c r="AD251" i="16"/>
  <c r="AD255" i="16"/>
  <c r="AD327" i="16"/>
  <c r="AD339" i="16"/>
  <c r="P19" i="16"/>
  <c r="V19" i="16" s="1"/>
  <c r="F19" i="16" s="1"/>
  <c r="AA19" i="16" s="1"/>
  <c r="Z19" i="16" s="1"/>
  <c r="Y19" i="16" s="1"/>
  <c r="P25" i="16"/>
  <c r="V25" i="16" s="1"/>
  <c r="F25" i="16" s="1"/>
  <c r="P45" i="16"/>
  <c r="V45" i="16" s="1"/>
  <c r="F45" i="16" s="1"/>
  <c r="P53" i="16"/>
  <c r="V53" i="16" s="1"/>
  <c r="F53" i="16" s="1"/>
  <c r="P69" i="16"/>
  <c r="V69" i="16" s="1"/>
  <c r="F69" i="16" s="1"/>
  <c r="G69" i="16" s="1"/>
  <c r="BY69" i="6" s="1"/>
  <c r="AD29" i="16"/>
  <c r="AD37" i="16"/>
  <c r="AA37" i="16" s="1"/>
  <c r="Z37" i="16" s="1"/>
  <c r="Y37" i="16" s="1"/>
  <c r="AD133" i="16"/>
  <c r="AA133" i="16" s="1"/>
  <c r="Z133" i="16" s="1"/>
  <c r="Y133" i="16" s="1"/>
  <c r="AD185" i="16"/>
  <c r="AA185" i="16" s="1"/>
  <c r="Z185" i="16" s="1"/>
  <c r="Y185" i="16" s="1"/>
  <c r="AD253" i="16"/>
  <c r="J84" i="15"/>
  <c r="I70" i="15"/>
  <c r="H136" i="15"/>
  <c r="J136" i="15" s="1"/>
  <c r="J74" i="15"/>
  <c r="J55" i="15"/>
  <c r="H163" i="16"/>
  <c r="I163" i="16" s="1"/>
  <c r="H179" i="16"/>
  <c r="J179" i="16" s="1"/>
  <c r="H187" i="16"/>
  <c r="I187" i="16" s="1"/>
  <c r="H201" i="16"/>
  <c r="I201" i="16" s="1"/>
  <c r="J35" i="15"/>
  <c r="I76" i="15"/>
  <c r="H76" i="16" s="1"/>
  <c r="H155" i="16"/>
  <c r="I155" i="16" s="1"/>
  <c r="H193" i="16"/>
  <c r="I193" i="16" s="1"/>
  <c r="H211" i="16"/>
  <c r="J211" i="16" s="1"/>
  <c r="AA108" i="15"/>
  <c r="Z108" i="15" s="1"/>
  <c r="Y108" i="15" s="1"/>
  <c r="G136" i="15"/>
  <c r="BX136" i="6" s="1"/>
  <c r="J66" i="15"/>
  <c r="I82" i="15"/>
  <c r="H82" i="16" s="1"/>
  <c r="I82" i="16" s="1"/>
  <c r="I43" i="15"/>
  <c r="J34" i="15"/>
  <c r="AA175" i="16"/>
  <c r="Z175" i="16" s="1"/>
  <c r="Y175" i="16" s="1"/>
  <c r="H131" i="16"/>
  <c r="J131" i="16" s="1"/>
  <c r="J78" i="15"/>
  <c r="H159" i="16"/>
  <c r="I159" i="16" s="1"/>
  <c r="H183" i="16"/>
  <c r="I183" i="16" s="1"/>
  <c r="H108" i="15"/>
  <c r="I108" i="15" s="1"/>
  <c r="H175" i="16"/>
  <c r="J175" i="16" s="1"/>
  <c r="H195" i="16"/>
  <c r="J195" i="16" s="1"/>
  <c r="H203" i="16"/>
  <c r="J203" i="16" s="1"/>
  <c r="F167" i="16"/>
  <c r="AD26" i="16"/>
  <c r="AD34" i="16"/>
  <c r="AA34" i="16" s="1"/>
  <c r="Z34" i="16" s="1"/>
  <c r="Y34" i="16" s="1"/>
  <c r="AD46" i="16"/>
  <c r="AD50" i="16"/>
  <c r="AD154" i="16"/>
  <c r="AD158" i="16"/>
  <c r="AD222" i="16"/>
  <c r="AD258" i="16"/>
  <c r="AA258" i="16" s="1"/>
  <c r="Z258" i="16" s="1"/>
  <c r="Y258" i="16" s="1"/>
  <c r="AD322" i="16"/>
  <c r="AD370" i="16"/>
  <c r="P18" i="16"/>
  <c r="V18" i="16" s="1"/>
  <c r="F18" i="16" s="1"/>
  <c r="G18" i="16" s="1"/>
  <c r="BY18" i="6" s="1"/>
  <c r="AD323" i="16"/>
  <c r="V124" i="16"/>
  <c r="F124" i="16" s="1"/>
  <c r="G120" i="16"/>
  <c r="BY120" i="6" s="1"/>
  <c r="H120" i="16"/>
  <c r="I120" i="16" s="1"/>
  <c r="G80" i="16"/>
  <c r="BY80" i="6" s="1"/>
  <c r="H80" i="16"/>
  <c r="I80" i="16" s="1"/>
  <c r="H100" i="16"/>
  <c r="J100" i="16" s="1"/>
  <c r="H104" i="16"/>
  <c r="J104" i="16" s="1"/>
  <c r="H110" i="16"/>
  <c r="J110" i="16" s="1"/>
  <c r="H122" i="16"/>
  <c r="J122" i="16" s="1"/>
  <c r="H126" i="16"/>
  <c r="I126" i="16" s="1"/>
  <c r="P38" i="16"/>
  <c r="V38" i="16" s="1"/>
  <c r="F38" i="16" s="1"/>
  <c r="G38" i="16" s="1"/>
  <c r="BY38" i="6" s="1"/>
  <c r="P54" i="16"/>
  <c r="V54" i="16" s="1"/>
  <c r="F54" i="16" s="1"/>
  <c r="G54" i="16" s="1"/>
  <c r="BY54" i="6" s="1"/>
  <c r="H41" i="16"/>
  <c r="I41" i="16" s="1"/>
  <c r="P40" i="16"/>
  <c r="V40" i="16" s="1"/>
  <c r="F40" i="16" s="1"/>
  <c r="P56" i="16"/>
  <c r="V56" i="16" s="1"/>
  <c r="F56" i="16" s="1"/>
  <c r="G56" i="16" s="1"/>
  <c r="BY56" i="6" s="1"/>
  <c r="H77" i="16"/>
  <c r="J77" i="16" s="1"/>
  <c r="H102" i="16"/>
  <c r="I102" i="16" s="1"/>
  <c r="H49" i="16"/>
  <c r="J49" i="16" s="1"/>
  <c r="H116" i="16"/>
  <c r="J116" i="16" s="1"/>
  <c r="AD61" i="16"/>
  <c r="AA61" i="16" s="1"/>
  <c r="Z61" i="16" s="1"/>
  <c r="Y61" i="16" s="1"/>
  <c r="AD65" i="16"/>
  <c r="AA65" i="16" s="1"/>
  <c r="Z65" i="16" s="1"/>
  <c r="Y65" i="16" s="1"/>
  <c r="AD93" i="16"/>
  <c r="AD217" i="16"/>
  <c r="AD237" i="16"/>
  <c r="AD301" i="16"/>
  <c r="AD305" i="16"/>
  <c r="AA305" i="16" s="1"/>
  <c r="Z305" i="16" s="1"/>
  <c r="Y305" i="16" s="1"/>
  <c r="P36" i="16"/>
  <c r="V36" i="16" s="1"/>
  <c r="F36" i="16" s="1"/>
  <c r="G36" i="16" s="1"/>
  <c r="BY36" i="6" s="1"/>
  <c r="P30" i="16"/>
  <c r="V30" i="16" s="1"/>
  <c r="F30" i="16" s="1"/>
  <c r="P42" i="16"/>
  <c r="V42" i="16" s="1"/>
  <c r="F42" i="16" s="1"/>
  <c r="P58" i="16"/>
  <c r="V58" i="16" s="1"/>
  <c r="F58" i="16" s="1"/>
  <c r="G58" i="16" s="1"/>
  <c r="BY58" i="6" s="1"/>
  <c r="P70" i="16"/>
  <c r="V70" i="16" s="1"/>
  <c r="F70" i="16" s="1"/>
  <c r="P50" i="16"/>
  <c r="V50" i="16" s="1"/>
  <c r="F50" i="16" s="1"/>
  <c r="P62" i="16"/>
  <c r="V62" i="16" s="1"/>
  <c r="F62" i="16" s="1"/>
  <c r="G62" i="16" s="1"/>
  <c r="BY62" i="6" s="1"/>
  <c r="AD49" i="16"/>
  <c r="AA49" i="16" s="1"/>
  <c r="Z49" i="16" s="1"/>
  <c r="Y49" i="16" s="1"/>
  <c r="AD53" i="16"/>
  <c r="AD73" i="16"/>
  <c r="AD109" i="16"/>
  <c r="AA109" i="16" s="1"/>
  <c r="Z109" i="16" s="1"/>
  <c r="Y109" i="16" s="1"/>
  <c r="AD165" i="16"/>
  <c r="AA165" i="16" s="1"/>
  <c r="Z165" i="16" s="1"/>
  <c r="Y165" i="16" s="1"/>
  <c r="AD17" i="16"/>
  <c r="AD56" i="16"/>
  <c r="AD164" i="16"/>
  <c r="AD192" i="16"/>
  <c r="D44" i="7"/>
  <c r="F29" i="16"/>
  <c r="P16" i="16"/>
  <c r="V16" i="16" s="1"/>
  <c r="F16" i="16" s="1"/>
  <c r="G16" i="16" s="1"/>
  <c r="BY16" i="6" s="1"/>
  <c r="AD16" i="16"/>
  <c r="F321" i="16"/>
  <c r="AD18" i="16"/>
  <c r="AD21" i="16"/>
  <c r="AD33" i="16"/>
  <c r="AD41" i="16"/>
  <c r="AA41" i="16" s="1"/>
  <c r="Z41" i="16" s="1"/>
  <c r="Y41" i="16" s="1"/>
  <c r="AD69" i="16"/>
  <c r="AD77" i="16"/>
  <c r="AA77" i="16" s="1"/>
  <c r="Z77" i="16" s="1"/>
  <c r="Y77" i="16" s="1"/>
  <c r="AD153" i="16"/>
  <c r="AA153" i="16" s="1"/>
  <c r="Z153" i="16" s="1"/>
  <c r="Y153" i="16" s="1"/>
  <c r="AD225" i="16"/>
  <c r="AD229" i="16"/>
  <c r="AD20" i="16"/>
  <c r="AD44" i="16"/>
  <c r="AA44" i="16" s="1"/>
  <c r="Z44" i="16" s="1"/>
  <c r="Y44" i="16" s="1"/>
  <c r="AD48" i="16"/>
  <c r="AD54" i="16"/>
  <c r="AD88" i="16"/>
  <c r="AD102" i="16"/>
  <c r="AA102" i="16" s="1"/>
  <c r="Z102" i="16" s="1"/>
  <c r="Y102" i="16" s="1"/>
  <c r="AD114" i="16"/>
  <c r="AD120" i="16"/>
  <c r="AA120" i="16" s="1"/>
  <c r="Z120" i="16" s="1"/>
  <c r="Y120" i="16" s="1"/>
  <c r="AD146" i="16"/>
  <c r="AD156" i="16"/>
  <c r="AD200" i="16"/>
  <c r="AA200" i="16" s="1"/>
  <c r="Z200" i="16" s="1"/>
  <c r="Y200" i="16" s="1"/>
  <c r="AD220" i="16"/>
  <c r="AD242" i="16"/>
  <c r="AA242" i="16" s="1"/>
  <c r="Z242" i="16" s="1"/>
  <c r="Y242" i="16" s="1"/>
  <c r="AD254" i="16"/>
  <c r="AD286" i="16"/>
  <c r="AD304" i="16"/>
  <c r="AA304" i="16" s="1"/>
  <c r="Z304" i="16" s="1"/>
  <c r="Y304" i="16" s="1"/>
  <c r="AD346" i="16"/>
  <c r="AD380" i="16"/>
  <c r="AD333" i="16"/>
  <c r="F379" i="1"/>
  <c r="V382" i="1"/>
  <c r="V383" i="1"/>
  <c r="V381" i="1"/>
  <c r="M61" i="19"/>
  <c r="AD24" i="16"/>
  <c r="AA24" i="16" s="1"/>
  <c r="Z24" i="16" s="1"/>
  <c r="Y24" i="16" s="1"/>
  <c r="AD60" i="16"/>
  <c r="AD68" i="16"/>
  <c r="AA68" i="16" s="1"/>
  <c r="Z68" i="16" s="1"/>
  <c r="Y68" i="16" s="1"/>
  <c r="AD84" i="16"/>
  <c r="AD96" i="16"/>
  <c r="AA96" i="16" s="1"/>
  <c r="Z96" i="16" s="1"/>
  <c r="Y96" i="16" s="1"/>
  <c r="AD110" i="16"/>
  <c r="AA110" i="16" s="1"/>
  <c r="Z110" i="16" s="1"/>
  <c r="Y110" i="16" s="1"/>
  <c r="AD140" i="16"/>
  <c r="AA140" i="16" s="1"/>
  <c r="Z140" i="16" s="1"/>
  <c r="Y140" i="16" s="1"/>
  <c r="AD168" i="16"/>
  <c r="AD206" i="16"/>
  <c r="AD244" i="16"/>
  <c r="AD250" i="16"/>
  <c r="AD256" i="16"/>
  <c r="AD270" i="16"/>
  <c r="AD274" i="16"/>
  <c r="AD306" i="16"/>
  <c r="AD328" i="16"/>
  <c r="AA328" i="16" s="1"/>
  <c r="Z328" i="16" s="1"/>
  <c r="Y328" i="16" s="1"/>
  <c r="AD358" i="16"/>
  <c r="AA358" i="16" s="1"/>
  <c r="Z358" i="16" s="1"/>
  <c r="Y358" i="16" s="1"/>
  <c r="AD341" i="16"/>
  <c r="AD367" i="16"/>
  <c r="AD373" i="16"/>
  <c r="AK8" i="16"/>
  <c r="E9" i="16"/>
  <c r="E11" i="16" s="1"/>
  <c r="AJ10" i="16"/>
  <c r="AJ12" i="16" s="1"/>
  <c r="AJ13" i="16" s="1"/>
  <c r="E381" i="16"/>
  <c r="E382" i="16"/>
  <c r="E383" i="16"/>
  <c r="G32" i="16"/>
  <c r="BY32" i="6" s="1"/>
  <c r="G44" i="16"/>
  <c r="BY44" i="6" s="1"/>
  <c r="V48" i="16"/>
  <c r="F48" i="16" s="1"/>
  <c r="D45" i="7"/>
  <c r="V60" i="16"/>
  <c r="F60" i="16" s="1"/>
  <c r="G72" i="16"/>
  <c r="BY72" i="6" s="1"/>
  <c r="H72" i="16"/>
  <c r="G76" i="16"/>
  <c r="BY76" i="6" s="1"/>
  <c r="G86" i="16"/>
  <c r="BY86" i="6" s="1"/>
  <c r="H86" i="16"/>
  <c r="G140" i="16"/>
  <c r="BY140" i="6" s="1"/>
  <c r="G200" i="16"/>
  <c r="BY200" i="6" s="1"/>
  <c r="H200" i="16"/>
  <c r="D50" i="7"/>
  <c r="V210" i="16"/>
  <c r="F210" i="16" s="1"/>
  <c r="V266" i="16"/>
  <c r="G284" i="16"/>
  <c r="BY284" i="6" s="1"/>
  <c r="G358" i="16"/>
  <c r="BY358" i="6" s="1"/>
  <c r="H364" i="16"/>
  <c r="J133" i="16"/>
  <c r="G59" i="16"/>
  <c r="BY59" i="6" s="1"/>
  <c r="H59" i="16"/>
  <c r="G65" i="16"/>
  <c r="BY65" i="6" s="1"/>
  <c r="H65" i="16"/>
  <c r="G101" i="16"/>
  <c r="BY101" i="6" s="1"/>
  <c r="V111" i="16"/>
  <c r="F111" i="16" s="1"/>
  <c r="G125" i="16"/>
  <c r="BY125" i="6" s="1"/>
  <c r="H125" i="16"/>
  <c r="V139" i="16"/>
  <c r="F139" i="16" s="1"/>
  <c r="G143" i="16"/>
  <c r="BY143" i="6" s="1"/>
  <c r="H143" i="16"/>
  <c r="H161" i="16"/>
  <c r="G161" i="16"/>
  <c r="BY161" i="6" s="1"/>
  <c r="V173" i="16"/>
  <c r="F173" i="16" s="1"/>
  <c r="G205" i="16"/>
  <c r="BY205" i="6" s="1"/>
  <c r="H205" i="16"/>
  <c r="H247" i="16"/>
  <c r="G247" i="16"/>
  <c r="BY247" i="6" s="1"/>
  <c r="H293" i="16"/>
  <c r="G293" i="16"/>
  <c r="BY293" i="6" s="1"/>
  <c r="V299" i="16"/>
  <c r="F299" i="16" s="1"/>
  <c r="G305" i="16"/>
  <c r="BY305" i="6" s="1"/>
  <c r="H305" i="16"/>
  <c r="AA309" i="16"/>
  <c r="Z309" i="16" s="1"/>
  <c r="Y309" i="16" s="1"/>
  <c r="G309" i="16"/>
  <c r="BY309" i="6" s="1"/>
  <c r="H309" i="16"/>
  <c r="V341" i="16"/>
  <c r="F341" i="16" s="1"/>
  <c r="H359" i="16"/>
  <c r="G359" i="16"/>
  <c r="BY359" i="6" s="1"/>
  <c r="H34" i="16"/>
  <c r="G34" i="16"/>
  <c r="BY34" i="6" s="1"/>
  <c r="V46" i="16"/>
  <c r="G66" i="16"/>
  <c r="BY66" i="6" s="1"/>
  <c r="H66" i="16"/>
  <c r="V74" i="16"/>
  <c r="F74" i="16" s="1"/>
  <c r="V78" i="16"/>
  <c r="F78" i="16" s="1"/>
  <c r="G96" i="16"/>
  <c r="BY96" i="6" s="1"/>
  <c r="H96" i="16"/>
  <c r="G128" i="16"/>
  <c r="BY128" i="6" s="1"/>
  <c r="H128" i="16"/>
  <c r="G198" i="16"/>
  <c r="BY198" i="6" s="1"/>
  <c r="H198" i="16"/>
  <c r="G208" i="16"/>
  <c r="BY208" i="6" s="1"/>
  <c r="H208" i="16"/>
  <c r="V212" i="16"/>
  <c r="F212" i="16" s="1"/>
  <c r="H238" i="16"/>
  <c r="G238" i="16"/>
  <c r="BY238" i="6" s="1"/>
  <c r="H300" i="16"/>
  <c r="G362" i="16"/>
  <c r="BY362" i="6" s="1"/>
  <c r="H368" i="16"/>
  <c r="J165" i="16"/>
  <c r="G51" i="16"/>
  <c r="BY51" i="6" s="1"/>
  <c r="V57" i="16"/>
  <c r="F57" i="16" s="1"/>
  <c r="G81" i="16"/>
  <c r="BY81" i="6" s="1"/>
  <c r="H81" i="16"/>
  <c r="G135" i="16"/>
  <c r="BY135" i="6" s="1"/>
  <c r="H135" i="16"/>
  <c r="G141" i="16"/>
  <c r="BY141" i="6" s="1"/>
  <c r="H141" i="16"/>
  <c r="G169" i="16"/>
  <c r="BY169" i="6" s="1"/>
  <c r="H191" i="16"/>
  <c r="G191" i="16"/>
  <c r="BY191" i="6" s="1"/>
  <c r="G209" i="16"/>
  <c r="BY209" i="6" s="1"/>
  <c r="H209" i="16"/>
  <c r="G213" i="16"/>
  <c r="BY213" i="6" s="1"/>
  <c r="H213" i="16"/>
  <c r="V233" i="16"/>
  <c r="F233" i="16" s="1"/>
  <c r="G257" i="16"/>
  <c r="BY257" i="6" s="1"/>
  <c r="H257" i="16"/>
  <c r="V275" i="16"/>
  <c r="F275" i="16" s="1"/>
  <c r="G297" i="16"/>
  <c r="BY297" i="6" s="1"/>
  <c r="G307" i="16"/>
  <c r="BY307" i="6" s="1"/>
  <c r="H307" i="16"/>
  <c r="G325" i="16"/>
  <c r="BY325" i="6" s="1"/>
  <c r="H325" i="16"/>
  <c r="G337" i="16"/>
  <c r="BY337" i="6" s="1"/>
  <c r="H337" i="16"/>
  <c r="J64" i="15"/>
  <c r="I64" i="15"/>
  <c r="H64" i="16" s="1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G24" i="16"/>
  <c r="BY24" i="6" s="1"/>
  <c r="H68" i="16"/>
  <c r="G68" i="16"/>
  <c r="BY68" i="6" s="1"/>
  <c r="H112" i="16"/>
  <c r="G224" i="16"/>
  <c r="BY224" i="6" s="1"/>
  <c r="G230" i="16"/>
  <c r="BY230" i="6" s="1"/>
  <c r="H230" i="16"/>
  <c r="G242" i="16"/>
  <c r="BY242" i="6" s="1"/>
  <c r="H242" i="16"/>
  <c r="G262" i="16"/>
  <c r="BY262" i="6" s="1"/>
  <c r="H262" i="16"/>
  <c r="H278" i="16"/>
  <c r="G278" i="16"/>
  <c r="BY278" i="6" s="1"/>
  <c r="V296" i="16"/>
  <c r="F296" i="16" s="1"/>
  <c r="V310" i="16"/>
  <c r="F310" i="16" s="1"/>
  <c r="G316" i="16"/>
  <c r="BY316" i="6" s="1"/>
  <c r="G328" i="16"/>
  <c r="BY328" i="6" s="1"/>
  <c r="H328" i="16"/>
  <c r="H376" i="16"/>
  <c r="G376" i="16"/>
  <c r="BY376" i="6" s="1"/>
  <c r="AF381" i="15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V31" i="16"/>
  <c r="F31" i="16" s="1"/>
  <c r="H67" i="16"/>
  <c r="H71" i="16"/>
  <c r="G71" i="16"/>
  <c r="BY71" i="6" s="1"/>
  <c r="V75" i="16"/>
  <c r="V97" i="16"/>
  <c r="F97" i="16" s="1"/>
  <c r="G137" i="16"/>
  <c r="BY137" i="6" s="1"/>
  <c r="H137" i="16"/>
  <c r="G147" i="16"/>
  <c r="BY147" i="6" s="1"/>
  <c r="H147" i="16"/>
  <c r="G151" i="16"/>
  <c r="BY151" i="6" s="1"/>
  <c r="H151" i="16"/>
  <c r="G207" i="16"/>
  <c r="BY207" i="6" s="1"/>
  <c r="H207" i="16"/>
  <c r="G315" i="16"/>
  <c r="BY315" i="6" s="1"/>
  <c r="H315" i="16"/>
  <c r="D54" i="7"/>
  <c r="V333" i="16"/>
  <c r="F333" i="16" s="1"/>
  <c r="G347" i="16"/>
  <c r="BY347" i="6" s="1"/>
  <c r="H347" i="16"/>
  <c r="D55" i="7"/>
  <c r="V363" i="16"/>
  <c r="F363" i="16" s="1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H32" i="16" s="1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V28" i="16"/>
  <c r="F28" i="16" s="1"/>
  <c r="V52" i="16"/>
  <c r="F52" i="16" s="1"/>
  <c r="G64" i="16"/>
  <c r="BY64" i="6" s="1"/>
  <c r="V88" i="16"/>
  <c r="F88" i="16" s="1"/>
  <c r="H106" i="16"/>
  <c r="G106" i="16"/>
  <c r="BY106" i="6" s="1"/>
  <c r="V184" i="16"/>
  <c r="F184" i="16" s="1"/>
  <c r="V222" i="16"/>
  <c r="F222" i="16" s="1"/>
  <c r="G226" i="16"/>
  <c r="BY226" i="6" s="1"/>
  <c r="H226" i="16"/>
  <c r="V228" i="16"/>
  <c r="G260" i="16"/>
  <c r="BY260" i="6" s="1"/>
  <c r="H260" i="16"/>
  <c r="V274" i="16"/>
  <c r="F274" i="16" s="1"/>
  <c r="G294" i="16"/>
  <c r="BY294" i="6" s="1"/>
  <c r="H294" i="16"/>
  <c r="H304" i="16"/>
  <c r="V308" i="16"/>
  <c r="F308" i="16" s="1"/>
  <c r="H318" i="16"/>
  <c r="G318" i="16"/>
  <c r="BY318" i="6" s="1"/>
  <c r="V322" i="16"/>
  <c r="F322" i="16" s="1"/>
  <c r="H326" i="16"/>
  <c r="G326" i="16"/>
  <c r="BY326" i="6" s="1"/>
  <c r="V342" i="16"/>
  <c r="F342" i="16" s="1"/>
  <c r="V372" i="16"/>
  <c r="F372" i="16" s="1"/>
  <c r="V374" i="16"/>
  <c r="F374" i="16" s="1"/>
  <c r="V378" i="16"/>
  <c r="F378" i="16" s="1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G61" i="16"/>
  <c r="BY61" i="6" s="1"/>
  <c r="H61" i="16"/>
  <c r="H89" i="16"/>
  <c r="V93" i="16"/>
  <c r="F93" i="16" s="1"/>
  <c r="G109" i="16"/>
  <c r="BY109" i="6" s="1"/>
  <c r="G121" i="16"/>
  <c r="BY121" i="6" s="1"/>
  <c r="D48" i="7"/>
  <c r="V149" i="16"/>
  <c r="F149" i="16" s="1"/>
  <c r="H153" i="16"/>
  <c r="G153" i="16"/>
  <c r="BY153" i="6" s="1"/>
  <c r="G171" i="16"/>
  <c r="BY171" i="6" s="1"/>
  <c r="G185" i="16"/>
  <c r="BY185" i="6" s="1"/>
  <c r="H185" i="16"/>
  <c r="H313" i="16"/>
  <c r="G313" i="16"/>
  <c r="BY313" i="6" s="1"/>
  <c r="G355" i="16"/>
  <c r="BY355" i="6" s="1"/>
  <c r="H355" i="16"/>
  <c r="H369" i="16"/>
  <c r="G369" i="16"/>
  <c r="BY369" i="6" s="1"/>
  <c r="AF382" i="15"/>
  <c r="AF383" i="15"/>
  <c r="AD15" i="15"/>
  <c r="J288" i="15"/>
  <c r="I288" i="15"/>
  <c r="J30" i="15"/>
  <c r="I30" i="15"/>
  <c r="J18" i="15"/>
  <c r="I18" i="15"/>
  <c r="J362" i="15"/>
  <c r="I362" i="15"/>
  <c r="H362" i="16" s="1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3" i="17" s="1"/>
  <c r="J101" i="15"/>
  <c r="I101" i="15"/>
  <c r="H101" i="16" s="1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H24" i="16" s="1"/>
  <c r="J24" i="15"/>
  <c r="I16" i="15"/>
  <c r="J16" i="15"/>
  <c r="J44" i="15"/>
  <c r="I44" i="15"/>
  <c r="H44" i="16" s="1"/>
  <c r="J46" i="15"/>
  <c r="I46" i="15"/>
  <c r="J58" i="15"/>
  <c r="I58" i="15"/>
  <c r="I23" i="15"/>
  <c r="J23" i="15"/>
  <c r="J272" i="15"/>
  <c r="I272" i="15"/>
  <c r="I297" i="15"/>
  <c r="H297" i="16" s="1"/>
  <c r="J297" i="15"/>
  <c r="I298" i="15"/>
  <c r="J298" i="15"/>
  <c r="J40" i="15"/>
  <c r="I40" i="15"/>
  <c r="AD302" i="16" l="1"/>
  <c r="AD232" i="16"/>
  <c r="AD196" i="16"/>
  <c r="AD144" i="16"/>
  <c r="AD116" i="16"/>
  <c r="AA116" i="16" s="1"/>
  <c r="Z116" i="16" s="1"/>
  <c r="Y116" i="16" s="1"/>
  <c r="AD345" i="16"/>
  <c r="AD318" i="16"/>
  <c r="AA318" i="16" s="1"/>
  <c r="Z318" i="16" s="1"/>
  <c r="Y318" i="16" s="1"/>
  <c r="AD298" i="16"/>
  <c r="AD224" i="16"/>
  <c r="AA224" i="16" s="1"/>
  <c r="Z224" i="16" s="1"/>
  <c r="Y224" i="16" s="1"/>
  <c r="AD212" i="16"/>
  <c r="AD188" i="16"/>
  <c r="AA188" i="16" s="1"/>
  <c r="Z188" i="16" s="1"/>
  <c r="Y188" i="16" s="1"/>
  <c r="AD94" i="16"/>
  <c r="AA94" i="16" s="1"/>
  <c r="Z94" i="16" s="1"/>
  <c r="Y94" i="16" s="1"/>
  <c r="AD74" i="16"/>
  <c r="AD30" i="16"/>
  <c r="AA30" i="16" s="1"/>
  <c r="Z30" i="16" s="1"/>
  <c r="Y30" i="16" s="1"/>
  <c r="AD221" i="16"/>
  <c r="AD105" i="16"/>
  <c r="AA105" i="16" s="1"/>
  <c r="Z105" i="16" s="1"/>
  <c r="Y105" i="16" s="1"/>
  <c r="AD260" i="16"/>
  <c r="AA260" i="16" s="1"/>
  <c r="Z260" i="16" s="1"/>
  <c r="Y260" i="16" s="1"/>
  <c r="AD176" i="16"/>
  <c r="AD132" i="16"/>
  <c r="AD233" i="16"/>
  <c r="AD205" i="16"/>
  <c r="AA205" i="16" s="1"/>
  <c r="Z205" i="16" s="1"/>
  <c r="Y205" i="16" s="1"/>
  <c r="AD366" i="16"/>
  <c r="AD249" i="16"/>
  <c r="AD173" i="16"/>
  <c r="AD125" i="16"/>
  <c r="AA125" i="16" s="1"/>
  <c r="Z125" i="16" s="1"/>
  <c r="Y125" i="16" s="1"/>
  <c r="AD363" i="16"/>
  <c r="AD331" i="16"/>
  <c r="AD203" i="16"/>
  <c r="AA203" i="16" s="1"/>
  <c r="Z203" i="16" s="1"/>
  <c r="Y203" i="16" s="1"/>
  <c r="AD147" i="16"/>
  <c r="AA147" i="16" s="1"/>
  <c r="Z147" i="16" s="1"/>
  <c r="Y147" i="16" s="1"/>
  <c r="AD115" i="16"/>
  <c r="AD184" i="16"/>
  <c r="AD267" i="16"/>
  <c r="AD259" i="16"/>
  <c r="AD123" i="16"/>
  <c r="AA123" i="16" s="1"/>
  <c r="Z123" i="16" s="1"/>
  <c r="Y123" i="16" s="1"/>
  <c r="AD107" i="16"/>
  <c r="AD329" i="16"/>
  <c r="P138" i="16"/>
  <c r="V138" i="16" s="1"/>
  <c r="F138" i="16" s="1"/>
  <c r="G138" i="16" s="1"/>
  <c r="BY138" i="6" s="1"/>
  <c r="AD90" i="16"/>
  <c r="H117" i="16"/>
  <c r="P26" i="16"/>
  <c r="V26" i="16" s="1"/>
  <c r="F26" i="16" s="1"/>
  <c r="G26" i="16" s="1"/>
  <c r="BY26" i="6" s="1"/>
  <c r="P22" i="16"/>
  <c r="V22" i="16" s="1"/>
  <c r="F22" i="16" s="1"/>
  <c r="G22" i="16" s="1"/>
  <c r="BY22" i="6" s="1"/>
  <c r="P20" i="16"/>
  <c r="V20" i="16" s="1"/>
  <c r="F20" i="16" s="1"/>
  <c r="G20" i="16" s="1"/>
  <c r="BY20" i="6" s="1"/>
  <c r="P215" i="16"/>
  <c r="V215" i="16" s="1"/>
  <c r="F215" i="16" s="1"/>
  <c r="P259" i="16"/>
  <c r="V259" i="16" s="1"/>
  <c r="F259" i="16" s="1"/>
  <c r="P283" i="16"/>
  <c r="V283" i="16" s="1"/>
  <c r="F283" i="16" s="1"/>
  <c r="P160" i="16"/>
  <c r="V160" i="16" s="1"/>
  <c r="F160" i="16" s="1"/>
  <c r="P227" i="16"/>
  <c r="V227" i="16" s="1"/>
  <c r="F227" i="16" s="1"/>
  <c r="P267" i="16"/>
  <c r="V267" i="16" s="1"/>
  <c r="F267" i="16" s="1"/>
  <c r="AA267" i="16" s="1"/>
  <c r="Z267" i="16" s="1"/>
  <c r="Y267" i="16" s="1"/>
  <c r="P136" i="16"/>
  <c r="P168" i="16"/>
  <c r="V168" i="16" s="1"/>
  <c r="F168" i="16" s="1"/>
  <c r="AG265" i="16"/>
  <c r="AF265" i="16" s="1"/>
  <c r="AD265" i="16" s="1"/>
  <c r="S202" i="16"/>
  <c r="R202" i="16" s="1"/>
  <c r="P202" i="16" s="1"/>
  <c r="V202" i="16" s="1"/>
  <c r="F202" i="16" s="1"/>
  <c r="AG219" i="16"/>
  <c r="AF219" i="16" s="1"/>
  <c r="AD219" i="16" s="1"/>
  <c r="AA219" i="16" s="1"/>
  <c r="Z219" i="16" s="1"/>
  <c r="Y219" i="16" s="1"/>
  <c r="S194" i="16"/>
  <c r="R194" i="16" s="1"/>
  <c r="P194" i="16" s="1"/>
  <c r="V194" i="16" s="1"/>
  <c r="F194" i="16" s="1"/>
  <c r="AH379" i="16"/>
  <c r="AI12" i="17"/>
  <c r="AH15" i="16"/>
  <c r="AI383" i="16"/>
  <c r="AI381" i="16"/>
  <c r="AI382" i="16"/>
  <c r="S286" i="16"/>
  <c r="R286" i="16" s="1"/>
  <c r="P286" i="16"/>
  <c r="V286" i="16" s="1"/>
  <c r="F286" i="16" s="1"/>
  <c r="S254" i="16"/>
  <c r="R254" i="16" s="1"/>
  <c r="P254" i="16"/>
  <c r="V254" i="16" s="1"/>
  <c r="F254" i="16" s="1"/>
  <c r="AA254" i="16" s="1"/>
  <c r="Z254" i="16" s="1"/>
  <c r="Y254" i="16" s="1"/>
  <c r="S246" i="16"/>
  <c r="R246" i="16" s="1"/>
  <c r="P246" i="16"/>
  <c r="V246" i="16" s="1"/>
  <c r="F246" i="16" s="1"/>
  <c r="AA246" i="16" s="1"/>
  <c r="Z246" i="16" s="1"/>
  <c r="Y246" i="16" s="1"/>
  <c r="S214" i="16"/>
  <c r="R214" i="16" s="1"/>
  <c r="P214" i="16"/>
  <c r="V214" i="16" s="1"/>
  <c r="F214" i="16" s="1"/>
  <c r="S377" i="16"/>
  <c r="R377" i="16" s="1"/>
  <c r="P377" i="16"/>
  <c r="V377" i="16" s="1"/>
  <c r="F377" i="16" s="1"/>
  <c r="S373" i="16"/>
  <c r="R373" i="16" s="1"/>
  <c r="P373" i="16"/>
  <c r="V373" i="16" s="1"/>
  <c r="F373" i="16" s="1"/>
  <c r="S365" i="16"/>
  <c r="R365" i="16" s="1"/>
  <c r="P365" i="16"/>
  <c r="V365" i="16" s="1"/>
  <c r="F365" i="16" s="1"/>
  <c r="S361" i="16"/>
  <c r="R361" i="16" s="1"/>
  <c r="P361" i="16"/>
  <c r="V361" i="16" s="1"/>
  <c r="F361" i="16" s="1"/>
  <c r="S357" i="16"/>
  <c r="R357" i="16" s="1"/>
  <c r="P357" i="16"/>
  <c r="V357" i="16" s="1"/>
  <c r="F357" i="16" s="1"/>
  <c r="S353" i="16"/>
  <c r="R353" i="16" s="1"/>
  <c r="P353" i="16"/>
  <c r="V353" i="16" s="1"/>
  <c r="F353" i="16" s="1"/>
  <c r="S349" i="16"/>
  <c r="R349" i="16" s="1"/>
  <c r="P349" i="16"/>
  <c r="V349" i="16" s="1"/>
  <c r="F349" i="16" s="1"/>
  <c r="S345" i="16"/>
  <c r="R345" i="16" s="1"/>
  <c r="P345" i="16"/>
  <c r="V345" i="16" s="1"/>
  <c r="F345" i="16" s="1"/>
  <c r="AA345" i="16" s="1"/>
  <c r="Z345" i="16" s="1"/>
  <c r="Y345" i="16" s="1"/>
  <c r="S329" i="16"/>
  <c r="R329" i="16" s="1"/>
  <c r="P329" i="16"/>
  <c r="V329" i="16" s="1"/>
  <c r="F329" i="16" s="1"/>
  <c r="S317" i="16"/>
  <c r="R317" i="16" s="1"/>
  <c r="P317" i="16"/>
  <c r="V317" i="16" s="1"/>
  <c r="F317" i="16" s="1"/>
  <c r="S301" i="16"/>
  <c r="R301" i="16" s="1"/>
  <c r="P301" i="16"/>
  <c r="V301" i="16" s="1"/>
  <c r="F301" i="16" s="1"/>
  <c r="AA301" i="16" s="1"/>
  <c r="Z301" i="16" s="1"/>
  <c r="Y301" i="16" s="1"/>
  <c r="S285" i="16"/>
  <c r="R285" i="16" s="1"/>
  <c r="P285" i="16"/>
  <c r="V285" i="16" s="1"/>
  <c r="F285" i="16" s="1"/>
  <c r="S261" i="16"/>
  <c r="R261" i="16" s="1"/>
  <c r="P261" i="16"/>
  <c r="V261" i="16" s="1"/>
  <c r="F261" i="16" s="1"/>
  <c r="S253" i="16"/>
  <c r="R253" i="16" s="1"/>
  <c r="P253" i="16"/>
  <c r="V253" i="16" s="1"/>
  <c r="F253" i="16" s="1"/>
  <c r="AA253" i="16" s="1"/>
  <c r="Z253" i="16" s="1"/>
  <c r="Y253" i="16" s="1"/>
  <c r="S249" i="16"/>
  <c r="R249" i="16" s="1"/>
  <c r="P249" i="16"/>
  <c r="V249" i="16" s="1"/>
  <c r="F249" i="16" s="1"/>
  <c r="S221" i="16"/>
  <c r="R221" i="16" s="1"/>
  <c r="P221" i="16"/>
  <c r="V221" i="16" s="1"/>
  <c r="F221" i="16" s="1"/>
  <c r="S55" i="16"/>
  <c r="R55" i="16" s="1"/>
  <c r="P55" i="16"/>
  <c r="V55" i="16" s="1"/>
  <c r="F55" i="16" s="1"/>
  <c r="S39" i="16"/>
  <c r="R39" i="16" s="1"/>
  <c r="P39" i="16"/>
  <c r="V39" i="16" s="1"/>
  <c r="F39" i="16" s="1"/>
  <c r="S23" i="16"/>
  <c r="R23" i="16" s="1"/>
  <c r="P23" i="16"/>
  <c r="V23" i="16" s="1"/>
  <c r="F23" i="16" s="1"/>
  <c r="G23" i="16" s="1"/>
  <c r="BY23" i="6" s="1"/>
  <c r="P206" i="16"/>
  <c r="V206" i="16" s="1"/>
  <c r="F206" i="16" s="1"/>
  <c r="AA206" i="16" s="1"/>
  <c r="Z206" i="16" s="1"/>
  <c r="Y206" i="16" s="1"/>
  <c r="P232" i="16"/>
  <c r="V232" i="16" s="1"/>
  <c r="F232" i="16" s="1"/>
  <c r="AA232" i="16" s="1"/>
  <c r="Z232" i="16" s="1"/>
  <c r="Y232" i="16" s="1"/>
  <c r="P248" i="16"/>
  <c r="V248" i="16" s="1"/>
  <c r="F248" i="16" s="1"/>
  <c r="P264" i="16"/>
  <c r="V264" i="16" s="1"/>
  <c r="F264" i="16" s="1"/>
  <c r="P280" i="16"/>
  <c r="V280" i="16" s="1"/>
  <c r="F280" i="16" s="1"/>
  <c r="P298" i="16"/>
  <c r="V298" i="16" s="1"/>
  <c r="F298" i="16" s="1"/>
  <c r="G298" i="16" s="1"/>
  <c r="BY298" i="6" s="1"/>
  <c r="P306" i="16"/>
  <c r="V306" i="16" s="1"/>
  <c r="F306" i="16" s="1"/>
  <c r="P330" i="16"/>
  <c r="V330" i="16" s="1"/>
  <c r="F330" i="16" s="1"/>
  <c r="P338" i="16"/>
  <c r="V338" i="16" s="1"/>
  <c r="F338" i="16" s="1"/>
  <c r="AA338" i="16" s="1"/>
  <c r="Z338" i="16" s="1"/>
  <c r="Y338" i="16" s="1"/>
  <c r="P350" i="16"/>
  <c r="P366" i="16"/>
  <c r="V366" i="16" s="1"/>
  <c r="F366" i="16" s="1"/>
  <c r="P43" i="16"/>
  <c r="V43" i="16" s="1"/>
  <c r="F43" i="16" s="1"/>
  <c r="G43" i="16" s="1"/>
  <c r="BY43" i="6" s="1"/>
  <c r="P35" i="16"/>
  <c r="V35" i="16" s="1"/>
  <c r="F35" i="16" s="1"/>
  <c r="P134" i="16"/>
  <c r="V134" i="16" s="1"/>
  <c r="F134" i="16" s="1"/>
  <c r="P146" i="16"/>
  <c r="V146" i="16" s="1"/>
  <c r="F146" i="16" s="1"/>
  <c r="P154" i="16"/>
  <c r="V154" i="16" s="1"/>
  <c r="F154" i="16" s="1"/>
  <c r="P162" i="16"/>
  <c r="V162" i="16" s="1"/>
  <c r="F162" i="16" s="1"/>
  <c r="P170" i="16"/>
  <c r="V170" i="16" s="1"/>
  <c r="F170" i="16" s="1"/>
  <c r="P186" i="16"/>
  <c r="V186" i="16" s="1"/>
  <c r="F186" i="16" s="1"/>
  <c r="AD377" i="16"/>
  <c r="AD361" i="16"/>
  <c r="AD353" i="16"/>
  <c r="AD325" i="16"/>
  <c r="AA325" i="16" s="1"/>
  <c r="Z325" i="16" s="1"/>
  <c r="Y325" i="16" s="1"/>
  <c r="AD313" i="16"/>
  <c r="AA313" i="16" s="1"/>
  <c r="Z313" i="16" s="1"/>
  <c r="Y313" i="16" s="1"/>
  <c r="AD293" i="16"/>
  <c r="AA293" i="16" s="1"/>
  <c r="Z293" i="16" s="1"/>
  <c r="Y293" i="16" s="1"/>
  <c r="AD285" i="16"/>
  <c r="AD269" i="16"/>
  <c r="AD245" i="16"/>
  <c r="AD213" i="16"/>
  <c r="AA213" i="16" s="1"/>
  <c r="Z213" i="16" s="1"/>
  <c r="Y213" i="16" s="1"/>
  <c r="AD201" i="16"/>
  <c r="AA201" i="16" s="1"/>
  <c r="Z201" i="16" s="1"/>
  <c r="Y201" i="16" s="1"/>
  <c r="AD193" i="16"/>
  <c r="AA193" i="16" s="1"/>
  <c r="Z193" i="16" s="1"/>
  <c r="Y193" i="16" s="1"/>
  <c r="AD181" i="16"/>
  <c r="AA181" i="16" s="1"/>
  <c r="Z181" i="16" s="1"/>
  <c r="Y181" i="16" s="1"/>
  <c r="AD169" i="16"/>
  <c r="AA169" i="16" s="1"/>
  <c r="Z169" i="16" s="1"/>
  <c r="Y169" i="16" s="1"/>
  <c r="AD157" i="16"/>
  <c r="AA157" i="16" s="1"/>
  <c r="Z157" i="16" s="1"/>
  <c r="Y157" i="16" s="1"/>
  <c r="AD145" i="16"/>
  <c r="AA145" i="16" s="1"/>
  <c r="Z145" i="16" s="1"/>
  <c r="Y145" i="16" s="1"/>
  <c r="AD137" i="16"/>
  <c r="AA137" i="16" s="1"/>
  <c r="Z137" i="16" s="1"/>
  <c r="Y137" i="16" s="1"/>
  <c r="AD121" i="16"/>
  <c r="AA121" i="16" s="1"/>
  <c r="Z121" i="16" s="1"/>
  <c r="Y121" i="16" s="1"/>
  <c r="AD113" i="16"/>
  <c r="AA113" i="16" s="1"/>
  <c r="Z113" i="16" s="1"/>
  <c r="Y113" i="16" s="1"/>
  <c r="AD97" i="16"/>
  <c r="AD85" i="16"/>
  <c r="AA85" i="16" s="1"/>
  <c r="Z85" i="16" s="1"/>
  <c r="Y85" i="16" s="1"/>
  <c r="AD57" i="16"/>
  <c r="AD25" i="16"/>
  <c r="AA25" i="16" s="1"/>
  <c r="Z25" i="16" s="1"/>
  <c r="Y25" i="16" s="1"/>
  <c r="AD368" i="16"/>
  <c r="AA368" i="16" s="1"/>
  <c r="Z368" i="16" s="1"/>
  <c r="Y368" i="16" s="1"/>
  <c r="AD360" i="16"/>
  <c r="AD352" i="16"/>
  <c r="AD336" i="16"/>
  <c r="AD324" i="16"/>
  <c r="AD316" i="16"/>
  <c r="AA316" i="16" s="1"/>
  <c r="Z316" i="16" s="1"/>
  <c r="Y316" i="16" s="1"/>
  <c r="AD308" i="16"/>
  <c r="AD296" i="16"/>
  <c r="AD288" i="16"/>
  <c r="AD280" i="16"/>
  <c r="AD272" i="16"/>
  <c r="AD264" i="16"/>
  <c r="AD240" i="16"/>
  <c r="AD228" i="16"/>
  <c r="AD208" i="16"/>
  <c r="AA208" i="16" s="1"/>
  <c r="Z208" i="16" s="1"/>
  <c r="Y208" i="16" s="1"/>
  <c r="AD180" i="16"/>
  <c r="AD160" i="16"/>
  <c r="AD148" i="16"/>
  <c r="AD124" i="16"/>
  <c r="AA124" i="16" s="1"/>
  <c r="Z124" i="16" s="1"/>
  <c r="Y124" i="16" s="1"/>
  <c r="AD108" i="16"/>
  <c r="AA108" i="16" s="1"/>
  <c r="Z108" i="16" s="1"/>
  <c r="Y108" i="16" s="1"/>
  <c r="AD100" i="16"/>
  <c r="AA100" i="16" s="1"/>
  <c r="Z100" i="16" s="1"/>
  <c r="Y100" i="16" s="1"/>
  <c r="AD80" i="16"/>
  <c r="AA80" i="16" s="1"/>
  <c r="Z80" i="16" s="1"/>
  <c r="Y80" i="16" s="1"/>
  <c r="AD72" i="16"/>
  <c r="AA72" i="16" s="1"/>
  <c r="Z72" i="16" s="1"/>
  <c r="Y72" i="16" s="1"/>
  <c r="AD52" i="16"/>
  <c r="AD36" i="16"/>
  <c r="AD28" i="16"/>
  <c r="P196" i="16"/>
  <c r="V196" i="16" s="1"/>
  <c r="F196" i="16" s="1"/>
  <c r="P220" i="16"/>
  <c r="V220" i="16" s="1"/>
  <c r="F220" i="16" s="1"/>
  <c r="P244" i="16"/>
  <c r="V244" i="16" s="1"/>
  <c r="F244" i="16" s="1"/>
  <c r="P268" i="16"/>
  <c r="V268" i="16" s="1"/>
  <c r="F268" i="16" s="1"/>
  <c r="P292" i="16"/>
  <c r="V292" i="16" s="1"/>
  <c r="F292" i="16" s="1"/>
  <c r="P320" i="16"/>
  <c r="V320" i="16" s="1"/>
  <c r="F320" i="16" s="1"/>
  <c r="G320" i="16" s="1"/>
  <c r="BY320" i="6" s="1"/>
  <c r="P332" i="16"/>
  <c r="V332" i="16" s="1"/>
  <c r="F332" i="16" s="1"/>
  <c r="P340" i="16"/>
  <c r="V340" i="16" s="1"/>
  <c r="F340" i="16" s="1"/>
  <c r="P348" i="16"/>
  <c r="V348" i="16" s="1"/>
  <c r="F348" i="16" s="1"/>
  <c r="P356" i="16"/>
  <c r="V356" i="16" s="1"/>
  <c r="F356" i="16" s="1"/>
  <c r="P380" i="16"/>
  <c r="P115" i="16"/>
  <c r="V115" i="16" s="1"/>
  <c r="F115" i="16" s="1"/>
  <c r="P229" i="16"/>
  <c r="V229" i="16" s="1"/>
  <c r="F229" i="16" s="1"/>
  <c r="P245" i="16"/>
  <c r="V245" i="16" s="1"/>
  <c r="F245" i="16" s="1"/>
  <c r="P273" i="16"/>
  <c r="V273" i="16" s="1"/>
  <c r="F273" i="16" s="1"/>
  <c r="P281" i="16"/>
  <c r="V281" i="16" s="1"/>
  <c r="F281" i="16" s="1"/>
  <c r="P148" i="16"/>
  <c r="V148" i="16" s="1"/>
  <c r="F148" i="16" s="1"/>
  <c r="AD375" i="16"/>
  <c r="AD359" i="16"/>
  <c r="AA359" i="16" s="1"/>
  <c r="Z359" i="16" s="1"/>
  <c r="Y359" i="16" s="1"/>
  <c r="AD347" i="16"/>
  <c r="AA347" i="16" s="1"/>
  <c r="Z347" i="16" s="1"/>
  <c r="Y347" i="16" s="1"/>
  <c r="AD335" i="16"/>
  <c r="AD315" i="16"/>
  <c r="AA315" i="16" s="1"/>
  <c r="Z315" i="16" s="1"/>
  <c r="Y315" i="16" s="1"/>
  <c r="AD307" i="16"/>
  <c r="AA307" i="16" s="1"/>
  <c r="Z307" i="16" s="1"/>
  <c r="Y307" i="16" s="1"/>
  <c r="AD291" i="16"/>
  <c r="AD279" i="16"/>
  <c r="AD243" i="16"/>
  <c r="AA243" i="16" s="1"/>
  <c r="Z243" i="16" s="1"/>
  <c r="Y243" i="16" s="1"/>
  <c r="AD235" i="16"/>
  <c r="AD215" i="16"/>
  <c r="AA215" i="16" s="1"/>
  <c r="Z215" i="16" s="1"/>
  <c r="Y215" i="16" s="1"/>
  <c r="AD195" i="16"/>
  <c r="AA195" i="16" s="1"/>
  <c r="Z195" i="16" s="1"/>
  <c r="Y195" i="16" s="1"/>
  <c r="AD187" i="16"/>
  <c r="AA187" i="16" s="1"/>
  <c r="Z187" i="16" s="1"/>
  <c r="Y187" i="16" s="1"/>
  <c r="AD171" i="16"/>
  <c r="AA171" i="16" s="1"/>
  <c r="Z171" i="16" s="1"/>
  <c r="Y171" i="16" s="1"/>
  <c r="AD163" i="16"/>
  <c r="AA163" i="16" s="1"/>
  <c r="Z163" i="16" s="1"/>
  <c r="Y163" i="16" s="1"/>
  <c r="AD127" i="16"/>
  <c r="AD95" i="16"/>
  <c r="AD71" i="16"/>
  <c r="AA71" i="16" s="1"/>
  <c r="Z71" i="16" s="1"/>
  <c r="Y71" i="16" s="1"/>
  <c r="AD59" i="16"/>
  <c r="AA59" i="16" s="1"/>
  <c r="Z59" i="16" s="1"/>
  <c r="Y59" i="16" s="1"/>
  <c r="AD39" i="16"/>
  <c r="H290" i="16"/>
  <c r="AD374" i="16"/>
  <c r="AD354" i="16"/>
  <c r="AD334" i="16"/>
  <c r="AD326" i="16"/>
  <c r="AA326" i="16" s="1"/>
  <c r="Z326" i="16" s="1"/>
  <c r="Y326" i="16" s="1"/>
  <c r="AD310" i="16"/>
  <c r="AD290" i="16"/>
  <c r="AA290" i="16" s="1"/>
  <c r="Z290" i="16" s="1"/>
  <c r="Y290" i="16" s="1"/>
  <c r="AD278" i="16"/>
  <c r="AA278" i="16" s="1"/>
  <c r="Z278" i="16" s="1"/>
  <c r="Y278" i="16" s="1"/>
  <c r="AD262" i="16"/>
  <c r="AA262" i="16" s="1"/>
  <c r="Z262" i="16" s="1"/>
  <c r="Y262" i="16" s="1"/>
  <c r="AD234" i="16"/>
  <c r="AD226" i="16"/>
  <c r="AA226" i="16" s="1"/>
  <c r="Z226" i="16" s="1"/>
  <c r="Y226" i="16" s="1"/>
  <c r="AD214" i="16"/>
  <c r="AD202" i="16"/>
  <c r="AD194" i="16"/>
  <c r="AD182" i="16"/>
  <c r="AA182" i="16" s="1"/>
  <c r="Z182" i="16" s="1"/>
  <c r="Y182" i="16" s="1"/>
  <c r="AD174" i="16"/>
  <c r="AD166" i="16"/>
  <c r="AD150" i="16"/>
  <c r="AD134" i="16"/>
  <c r="AD122" i="16"/>
  <c r="AA122" i="16" s="1"/>
  <c r="Z122" i="16" s="1"/>
  <c r="Y122" i="16" s="1"/>
  <c r="AD106" i="16"/>
  <c r="AA106" i="16" s="1"/>
  <c r="Z106" i="16" s="1"/>
  <c r="Y106" i="16" s="1"/>
  <c r="AD86" i="16"/>
  <c r="AA86" i="16" s="1"/>
  <c r="Z86" i="16" s="1"/>
  <c r="Y86" i="16" s="1"/>
  <c r="AD78" i="16"/>
  <c r="AD66" i="16"/>
  <c r="AA66" i="16" s="1"/>
  <c r="Z66" i="16" s="1"/>
  <c r="Y66" i="16" s="1"/>
  <c r="AD58" i="16"/>
  <c r="AA58" i="16" s="1"/>
  <c r="Z58" i="16" s="1"/>
  <c r="Y58" i="16" s="1"/>
  <c r="AD38" i="16"/>
  <c r="AA373" i="16"/>
  <c r="Z373" i="16" s="1"/>
  <c r="Y373" i="16" s="1"/>
  <c r="AA196" i="16"/>
  <c r="Z196" i="16" s="1"/>
  <c r="Y196" i="16" s="1"/>
  <c r="AA298" i="16"/>
  <c r="Z298" i="16" s="1"/>
  <c r="Y298" i="16" s="1"/>
  <c r="AA146" i="16"/>
  <c r="Z146" i="16" s="1"/>
  <c r="Y146" i="16" s="1"/>
  <c r="AA229" i="16"/>
  <c r="Z229" i="16" s="1"/>
  <c r="Y229" i="16" s="1"/>
  <c r="AA221" i="16"/>
  <c r="Z221" i="16" s="1"/>
  <c r="Y221" i="16" s="1"/>
  <c r="AA154" i="16"/>
  <c r="Z154" i="16" s="1"/>
  <c r="Y154" i="16" s="1"/>
  <c r="AA248" i="16"/>
  <c r="Z248" i="16" s="1"/>
  <c r="Y248" i="16" s="1"/>
  <c r="AA127" i="16"/>
  <c r="Z127" i="16" s="1"/>
  <c r="Y127" i="16" s="1"/>
  <c r="P83" i="16"/>
  <c r="V83" i="16" s="1"/>
  <c r="F83" i="16" s="1"/>
  <c r="G83" i="16" s="1"/>
  <c r="BY83" i="6" s="1"/>
  <c r="AD369" i="16"/>
  <c r="AA369" i="16" s="1"/>
  <c r="Z369" i="16" s="1"/>
  <c r="Y369" i="16" s="1"/>
  <c r="AA55" i="16"/>
  <c r="Z55" i="16" s="1"/>
  <c r="Y55" i="16" s="1"/>
  <c r="AD342" i="16"/>
  <c r="AG317" i="16"/>
  <c r="AF317" i="16" s="1"/>
  <c r="AD317" i="16" s="1"/>
  <c r="AG273" i="16"/>
  <c r="AF273" i="16" s="1"/>
  <c r="AD273" i="16" s="1"/>
  <c r="S99" i="16"/>
  <c r="R99" i="16" s="1"/>
  <c r="P99" i="16" s="1"/>
  <c r="V99" i="16" s="1"/>
  <c r="F99" i="16" s="1"/>
  <c r="AG303" i="16"/>
  <c r="AF303" i="16" s="1"/>
  <c r="AD303" i="16" s="1"/>
  <c r="AG261" i="16"/>
  <c r="AF261" i="16" s="1"/>
  <c r="AD261" i="16" s="1"/>
  <c r="S282" i="16"/>
  <c r="R282" i="16" s="1"/>
  <c r="P282" i="16" s="1"/>
  <c r="V282" i="16" s="1"/>
  <c r="F282" i="16" s="1"/>
  <c r="S250" i="16"/>
  <c r="R250" i="16" s="1"/>
  <c r="P250" i="16" s="1"/>
  <c r="V250" i="16" s="1"/>
  <c r="F250" i="16" s="1"/>
  <c r="S234" i="16"/>
  <c r="R234" i="16" s="1"/>
  <c r="P234" i="16" s="1"/>
  <c r="V234" i="16" s="1"/>
  <c r="F234" i="16" s="1"/>
  <c r="S218" i="16"/>
  <c r="R218" i="16" s="1"/>
  <c r="P218" i="16" s="1"/>
  <c r="V218" i="16" s="1"/>
  <c r="F218" i="16" s="1"/>
  <c r="U12" i="17"/>
  <c r="U16" i="7" s="1"/>
  <c r="P16" i="7"/>
  <c r="V11" i="7" s="1"/>
  <c r="U11" i="17" s="1"/>
  <c r="T379" i="16"/>
  <c r="S379" i="16" s="1"/>
  <c r="R379" i="16" s="1"/>
  <c r="P379" i="16" s="1"/>
  <c r="S375" i="16"/>
  <c r="R375" i="16" s="1"/>
  <c r="P375" i="16" s="1"/>
  <c r="V375" i="16" s="1"/>
  <c r="F375" i="16" s="1"/>
  <c r="S371" i="16"/>
  <c r="R371" i="16" s="1"/>
  <c r="P371" i="16" s="1"/>
  <c r="V371" i="16" s="1"/>
  <c r="F371" i="16" s="1"/>
  <c r="S367" i="16"/>
  <c r="R367" i="16" s="1"/>
  <c r="P367" i="16" s="1"/>
  <c r="V367" i="16" s="1"/>
  <c r="F367" i="16" s="1"/>
  <c r="S351" i="16"/>
  <c r="R351" i="16" s="1"/>
  <c r="P351" i="16" s="1"/>
  <c r="V351" i="16" s="1"/>
  <c r="F351" i="16" s="1"/>
  <c r="S343" i="16"/>
  <c r="R343" i="16" s="1"/>
  <c r="P343" i="16" s="1"/>
  <c r="V343" i="16" s="1"/>
  <c r="F343" i="16" s="1"/>
  <c r="S339" i="16"/>
  <c r="R339" i="16" s="1"/>
  <c r="P339" i="16" s="1"/>
  <c r="V339" i="16" s="1"/>
  <c r="F339" i="16" s="1"/>
  <c r="S335" i="16"/>
  <c r="R335" i="16" s="1"/>
  <c r="P335" i="16" s="1"/>
  <c r="V335" i="16" s="1"/>
  <c r="F335" i="16" s="1"/>
  <c r="S331" i="16"/>
  <c r="R331" i="16" s="1"/>
  <c r="P331" i="16" s="1"/>
  <c r="V331" i="16" s="1"/>
  <c r="F331" i="16" s="1"/>
  <c r="S327" i="16"/>
  <c r="R327" i="16" s="1"/>
  <c r="P327" i="16" s="1"/>
  <c r="V327" i="16" s="1"/>
  <c r="F327" i="16" s="1"/>
  <c r="S323" i="16"/>
  <c r="R323" i="16" s="1"/>
  <c r="P323" i="16" s="1"/>
  <c r="V323" i="16" s="1"/>
  <c r="S319" i="16"/>
  <c r="R319" i="16" s="1"/>
  <c r="P319" i="16" s="1"/>
  <c r="V319" i="16" s="1"/>
  <c r="F319" i="16" s="1"/>
  <c r="S311" i="16"/>
  <c r="R311" i="16" s="1"/>
  <c r="P311" i="16" s="1"/>
  <c r="V311" i="16" s="1"/>
  <c r="F311" i="16" s="1"/>
  <c r="S303" i="16"/>
  <c r="R303" i="16" s="1"/>
  <c r="P303" i="16" s="1"/>
  <c r="V303" i="16" s="1"/>
  <c r="F303" i="16" s="1"/>
  <c r="S295" i="16"/>
  <c r="R295" i="16" s="1"/>
  <c r="P295" i="16" s="1"/>
  <c r="V295" i="16" s="1"/>
  <c r="S255" i="16"/>
  <c r="R255" i="16" s="1"/>
  <c r="P255" i="16" s="1"/>
  <c r="V255" i="16" s="1"/>
  <c r="F255" i="16" s="1"/>
  <c r="S251" i="16"/>
  <c r="R251" i="16" s="1"/>
  <c r="P251" i="16" s="1"/>
  <c r="V251" i="16" s="1"/>
  <c r="F251" i="16" s="1"/>
  <c r="S239" i="16"/>
  <c r="R239" i="16" s="1"/>
  <c r="P239" i="16" s="1"/>
  <c r="V239" i="16" s="1"/>
  <c r="S192" i="16"/>
  <c r="R192" i="16" s="1"/>
  <c r="P192" i="16" s="1"/>
  <c r="V192" i="16" s="1"/>
  <c r="F192" i="16" s="1"/>
  <c r="S63" i="16"/>
  <c r="R63" i="16" s="1"/>
  <c r="P63" i="16" s="1"/>
  <c r="V63" i="16" s="1"/>
  <c r="F63" i="16" s="1"/>
  <c r="S47" i="16"/>
  <c r="R47" i="16" s="1"/>
  <c r="P47" i="16" s="1"/>
  <c r="V47" i="16" s="1"/>
  <c r="U381" i="16"/>
  <c r="U382" i="16"/>
  <c r="U383" i="16"/>
  <c r="T15" i="16"/>
  <c r="P270" i="16"/>
  <c r="V270" i="16" s="1"/>
  <c r="F270" i="16" s="1"/>
  <c r="P216" i="16"/>
  <c r="V216" i="16" s="1"/>
  <c r="F216" i="16" s="1"/>
  <c r="P240" i="16"/>
  <c r="V240" i="16" s="1"/>
  <c r="F240" i="16" s="1"/>
  <c r="P256" i="16"/>
  <c r="V256" i="16" s="1"/>
  <c r="F256" i="16" s="1"/>
  <c r="AA256" i="16" s="1"/>
  <c r="Z256" i="16" s="1"/>
  <c r="Y256" i="16" s="1"/>
  <c r="P272" i="16"/>
  <c r="P288" i="16"/>
  <c r="V288" i="16" s="1"/>
  <c r="F288" i="16" s="1"/>
  <c r="H288" i="16" s="1"/>
  <c r="P302" i="16"/>
  <c r="P314" i="16"/>
  <c r="V314" i="16" s="1"/>
  <c r="F314" i="16" s="1"/>
  <c r="P334" i="16"/>
  <c r="V334" i="16" s="1"/>
  <c r="F334" i="16" s="1"/>
  <c r="P346" i="16"/>
  <c r="V346" i="16" s="1"/>
  <c r="F346" i="16" s="1"/>
  <c r="P354" i="16"/>
  <c r="V354" i="16" s="1"/>
  <c r="F354" i="16" s="1"/>
  <c r="P370" i="16"/>
  <c r="V370" i="16" s="1"/>
  <c r="F370" i="16" s="1"/>
  <c r="P95" i="16"/>
  <c r="V95" i="16" s="1"/>
  <c r="F95" i="16" s="1"/>
  <c r="P223" i="16"/>
  <c r="V223" i="16" s="1"/>
  <c r="F223" i="16" s="1"/>
  <c r="P235" i="16"/>
  <c r="V235" i="16" s="1"/>
  <c r="F235" i="16" s="1"/>
  <c r="P263" i="16"/>
  <c r="V263" i="16" s="1"/>
  <c r="F263" i="16" s="1"/>
  <c r="P279" i="16"/>
  <c r="V279" i="16" s="1"/>
  <c r="F279" i="16" s="1"/>
  <c r="P291" i="16"/>
  <c r="V291" i="16" s="1"/>
  <c r="F291" i="16" s="1"/>
  <c r="P130" i="16"/>
  <c r="V130" i="16" s="1"/>
  <c r="F130" i="16" s="1"/>
  <c r="P142" i="16"/>
  <c r="V142" i="16" s="1"/>
  <c r="F142" i="16" s="1"/>
  <c r="P150" i="16"/>
  <c r="V150" i="16" s="1"/>
  <c r="F150" i="16" s="1"/>
  <c r="P158" i="16"/>
  <c r="V158" i="16" s="1"/>
  <c r="F158" i="16" s="1"/>
  <c r="P166" i="16"/>
  <c r="V166" i="16" s="1"/>
  <c r="F166" i="16" s="1"/>
  <c r="P174" i="16"/>
  <c r="V174" i="16" s="1"/>
  <c r="F174" i="16" s="1"/>
  <c r="P190" i="16"/>
  <c r="V190" i="16" s="1"/>
  <c r="F190" i="16" s="1"/>
  <c r="AD365" i="16"/>
  <c r="AD357" i="16"/>
  <c r="AD337" i="16"/>
  <c r="AA337" i="16" s="1"/>
  <c r="Z337" i="16" s="1"/>
  <c r="Y337" i="16" s="1"/>
  <c r="AD321" i="16"/>
  <c r="AA321" i="16" s="1"/>
  <c r="Z321" i="16" s="1"/>
  <c r="Y321" i="16" s="1"/>
  <c r="AD297" i="16"/>
  <c r="AA297" i="16" s="1"/>
  <c r="Z297" i="16" s="1"/>
  <c r="Y297" i="16" s="1"/>
  <c r="AD289" i="16"/>
  <c r="AD281" i="16"/>
  <c r="AD257" i="16"/>
  <c r="AA257" i="16" s="1"/>
  <c r="Z257" i="16" s="1"/>
  <c r="Y257" i="16" s="1"/>
  <c r="AD241" i="16"/>
  <c r="AD209" i="16"/>
  <c r="AA209" i="16" s="1"/>
  <c r="Z209" i="16" s="1"/>
  <c r="Y209" i="16" s="1"/>
  <c r="AD197" i="16"/>
  <c r="AD189" i="16"/>
  <c r="AA189" i="16" s="1"/>
  <c r="Z189" i="16" s="1"/>
  <c r="Y189" i="16" s="1"/>
  <c r="AD177" i="16"/>
  <c r="AA177" i="16" s="1"/>
  <c r="Z177" i="16" s="1"/>
  <c r="Y177" i="16" s="1"/>
  <c r="AD161" i="16"/>
  <c r="AA161" i="16" s="1"/>
  <c r="Z161" i="16" s="1"/>
  <c r="Y161" i="16" s="1"/>
  <c r="AD149" i="16"/>
  <c r="AD141" i="16"/>
  <c r="AA141" i="16" s="1"/>
  <c r="Z141" i="16" s="1"/>
  <c r="Y141" i="16" s="1"/>
  <c r="AD129" i="16"/>
  <c r="AA129" i="16" s="1"/>
  <c r="Z129" i="16" s="1"/>
  <c r="Y129" i="16" s="1"/>
  <c r="AD117" i="16"/>
  <c r="AA117" i="16" s="1"/>
  <c r="Z117" i="16" s="1"/>
  <c r="Y117" i="16" s="1"/>
  <c r="AD101" i="16"/>
  <c r="AA101" i="16" s="1"/>
  <c r="Z101" i="16" s="1"/>
  <c r="Y101" i="16" s="1"/>
  <c r="AD89" i="16"/>
  <c r="AA89" i="16" s="1"/>
  <c r="Z89" i="16" s="1"/>
  <c r="Y89" i="16" s="1"/>
  <c r="AD81" i="16"/>
  <c r="AA81" i="16" s="1"/>
  <c r="Z81" i="16" s="1"/>
  <c r="Y81" i="16" s="1"/>
  <c r="AD45" i="16"/>
  <c r="AA45" i="16" s="1"/>
  <c r="Z45" i="16" s="1"/>
  <c r="Y45" i="16" s="1"/>
  <c r="AD372" i="16"/>
  <c r="AD364" i="16"/>
  <c r="AA364" i="16" s="1"/>
  <c r="Z364" i="16" s="1"/>
  <c r="Y364" i="16" s="1"/>
  <c r="AD356" i="16"/>
  <c r="AD348" i="16"/>
  <c r="AD332" i="16"/>
  <c r="AD320" i="16"/>
  <c r="AD312" i="16"/>
  <c r="AD300" i="16"/>
  <c r="AA300" i="16" s="1"/>
  <c r="Z300" i="16" s="1"/>
  <c r="Y300" i="16" s="1"/>
  <c r="AD292" i="16"/>
  <c r="AD284" i="16"/>
  <c r="AA284" i="16" s="1"/>
  <c r="Z284" i="16" s="1"/>
  <c r="Y284" i="16" s="1"/>
  <c r="AD276" i="16"/>
  <c r="AD268" i="16"/>
  <c r="AD252" i="16"/>
  <c r="AD236" i="16"/>
  <c r="AD216" i="16"/>
  <c r="AD204" i="16"/>
  <c r="AD172" i="16"/>
  <c r="AD152" i="16"/>
  <c r="AA152" i="16" s="1"/>
  <c r="Z152" i="16" s="1"/>
  <c r="Y152" i="16" s="1"/>
  <c r="AD136" i="16"/>
  <c r="AD112" i="16"/>
  <c r="AA112" i="16" s="1"/>
  <c r="Z112" i="16" s="1"/>
  <c r="Y112" i="16" s="1"/>
  <c r="AD104" i="16"/>
  <c r="AA104" i="16" s="1"/>
  <c r="Z104" i="16" s="1"/>
  <c r="Y104" i="16" s="1"/>
  <c r="AD92" i="16"/>
  <c r="AA92" i="16" s="1"/>
  <c r="Z92" i="16" s="1"/>
  <c r="Y92" i="16" s="1"/>
  <c r="AD76" i="16"/>
  <c r="AA76" i="16" s="1"/>
  <c r="Z76" i="16" s="1"/>
  <c r="Y76" i="16" s="1"/>
  <c r="AD64" i="16"/>
  <c r="AA64" i="16" s="1"/>
  <c r="Z64" i="16" s="1"/>
  <c r="Y64" i="16" s="1"/>
  <c r="AD40" i="16"/>
  <c r="AA40" i="16" s="1"/>
  <c r="Z40" i="16" s="1"/>
  <c r="Y40" i="16" s="1"/>
  <c r="AD32" i="16"/>
  <c r="AA32" i="16" s="1"/>
  <c r="Z32" i="16" s="1"/>
  <c r="Y32" i="16" s="1"/>
  <c r="H258" i="16"/>
  <c r="P204" i="16"/>
  <c r="V204" i="16" s="1"/>
  <c r="F204" i="16" s="1"/>
  <c r="P236" i="16"/>
  <c r="V236" i="16" s="1"/>
  <c r="F236" i="16" s="1"/>
  <c r="P252" i="16"/>
  <c r="V252" i="16" s="1"/>
  <c r="F252" i="16" s="1"/>
  <c r="P276" i="16"/>
  <c r="V276" i="16" s="1"/>
  <c r="F276" i="16" s="1"/>
  <c r="P312" i="16"/>
  <c r="V312" i="16" s="1"/>
  <c r="F312" i="16" s="1"/>
  <c r="P324" i="16"/>
  <c r="V324" i="16" s="1"/>
  <c r="F324" i="16" s="1"/>
  <c r="P336" i="16"/>
  <c r="V336" i="16" s="1"/>
  <c r="F336" i="16" s="1"/>
  <c r="P344" i="16"/>
  <c r="V344" i="16" s="1"/>
  <c r="F344" i="16" s="1"/>
  <c r="P352" i="16"/>
  <c r="V352" i="16" s="1"/>
  <c r="F352" i="16" s="1"/>
  <c r="P360" i="16"/>
  <c r="V360" i="16" s="1"/>
  <c r="F360" i="16" s="1"/>
  <c r="P107" i="16"/>
  <c r="V107" i="16" s="1"/>
  <c r="F107" i="16" s="1"/>
  <c r="P225" i="16"/>
  <c r="V225" i="16" s="1"/>
  <c r="F225" i="16" s="1"/>
  <c r="P241" i="16"/>
  <c r="P265" i="16"/>
  <c r="V265" i="16" s="1"/>
  <c r="F265" i="16" s="1"/>
  <c r="P277" i="16"/>
  <c r="V277" i="16" s="1"/>
  <c r="F277" i="16" s="1"/>
  <c r="P132" i="16"/>
  <c r="V132" i="16" s="1"/>
  <c r="F132" i="16" s="1"/>
  <c r="P144" i="16"/>
  <c r="V144" i="16" s="1"/>
  <c r="F144" i="16" s="1"/>
  <c r="P156" i="16"/>
  <c r="V156" i="16" s="1"/>
  <c r="F156" i="16" s="1"/>
  <c r="AA156" i="16" s="1"/>
  <c r="Z156" i="16" s="1"/>
  <c r="Y156" i="16" s="1"/>
  <c r="P164" i="16"/>
  <c r="V164" i="16" s="1"/>
  <c r="F164" i="16" s="1"/>
  <c r="P180" i="16"/>
  <c r="AD371" i="16"/>
  <c r="AD351" i="16"/>
  <c r="AD343" i="16"/>
  <c r="AD319" i="16"/>
  <c r="AD311" i="16"/>
  <c r="AD299" i="16"/>
  <c r="AD283" i="16"/>
  <c r="AA283" i="16" s="1"/>
  <c r="Z283" i="16" s="1"/>
  <c r="Y283" i="16" s="1"/>
  <c r="AD271" i="16"/>
  <c r="AA271" i="16" s="1"/>
  <c r="Z271" i="16" s="1"/>
  <c r="Y271" i="16" s="1"/>
  <c r="AD239" i="16"/>
  <c r="AD231" i="16"/>
  <c r="AA231" i="16" s="1"/>
  <c r="Z231" i="16" s="1"/>
  <c r="Y231" i="16" s="1"/>
  <c r="AD199" i="16"/>
  <c r="AD191" i="16"/>
  <c r="AA191" i="16" s="1"/>
  <c r="Z191" i="16" s="1"/>
  <c r="Y191" i="16" s="1"/>
  <c r="AD179" i="16"/>
  <c r="AA179" i="16" s="1"/>
  <c r="Z179" i="16" s="1"/>
  <c r="Y179" i="16" s="1"/>
  <c r="AD167" i="16"/>
  <c r="AA167" i="16" s="1"/>
  <c r="Z167" i="16" s="1"/>
  <c r="Y167" i="16" s="1"/>
  <c r="AD155" i="16"/>
  <c r="AA155" i="16" s="1"/>
  <c r="Z155" i="16" s="1"/>
  <c r="Y155" i="16" s="1"/>
  <c r="AD119" i="16"/>
  <c r="AD79" i="16"/>
  <c r="AA79" i="16" s="1"/>
  <c r="Z79" i="16" s="1"/>
  <c r="Y79" i="16" s="1"/>
  <c r="AD67" i="16"/>
  <c r="AA67" i="16" s="1"/>
  <c r="Z67" i="16" s="1"/>
  <c r="Y67" i="16" s="1"/>
  <c r="AD47" i="16"/>
  <c r="AD31" i="16"/>
  <c r="AD378" i="16"/>
  <c r="AD362" i="16"/>
  <c r="AA362" i="16" s="1"/>
  <c r="Z362" i="16" s="1"/>
  <c r="Y362" i="16" s="1"/>
  <c r="AD350" i="16"/>
  <c r="AD330" i="16"/>
  <c r="AD314" i="16"/>
  <c r="AD294" i="16"/>
  <c r="AA294" i="16" s="1"/>
  <c r="Z294" i="16" s="1"/>
  <c r="Y294" i="16" s="1"/>
  <c r="AD282" i="16"/>
  <c r="AD266" i="16"/>
  <c r="AD238" i="16"/>
  <c r="AA238" i="16" s="1"/>
  <c r="Z238" i="16" s="1"/>
  <c r="Y238" i="16" s="1"/>
  <c r="AD230" i="16"/>
  <c r="AA230" i="16" s="1"/>
  <c r="Z230" i="16" s="1"/>
  <c r="Y230" i="16" s="1"/>
  <c r="AD218" i="16"/>
  <c r="AD210" i="16"/>
  <c r="AD198" i="16"/>
  <c r="AA198" i="16" s="1"/>
  <c r="Z198" i="16" s="1"/>
  <c r="Y198" i="16" s="1"/>
  <c r="AD190" i="16"/>
  <c r="AD178" i="16"/>
  <c r="AA178" i="16" s="1"/>
  <c r="Z178" i="16" s="1"/>
  <c r="Y178" i="16" s="1"/>
  <c r="AD170" i="16"/>
  <c r="AD162" i="16"/>
  <c r="AD138" i="16"/>
  <c r="AD130" i="16"/>
  <c r="AD118" i="16"/>
  <c r="AD98" i="16"/>
  <c r="AA98" i="16" s="1"/>
  <c r="Z98" i="16" s="1"/>
  <c r="Y98" i="16" s="1"/>
  <c r="AD82" i="16"/>
  <c r="AA82" i="16" s="1"/>
  <c r="Z82" i="16" s="1"/>
  <c r="Y82" i="16" s="1"/>
  <c r="AD70" i="16"/>
  <c r="AA70" i="16" s="1"/>
  <c r="Z70" i="16" s="1"/>
  <c r="Y70" i="16" s="1"/>
  <c r="AD62" i="16"/>
  <c r="AD42" i="16"/>
  <c r="AA42" i="16" s="1"/>
  <c r="Z42" i="16" s="1"/>
  <c r="Y42" i="16" s="1"/>
  <c r="AD22" i="16"/>
  <c r="AA22" i="16" s="1"/>
  <c r="Z22" i="16" s="1"/>
  <c r="Y22" i="16" s="1"/>
  <c r="G92" i="16"/>
  <c r="BY92" i="6" s="1"/>
  <c r="I181" i="16"/>
  <c r="I119" i="15"/>
  <c r="H92" i="16"/>
  <c r="H27" i="16"/>
  <c r="J27" i="16" s="1"/>
  <c r="J189" i="16"/>
  <c r="I85" i="16"/>
  <c r="H287" i="16"/>
  <c r="J287" i="16" s="1"/>
  <c r="I105" i="16"/>
  <c r="J177" i="16"/>
  <c r="AA320" i="16"/>
  <c r="Z320" i="16" s="1"/>
  <c r="Y320" i="16" s="1"/>
  <c r="H320" i="16"/>
  <c r="I320" i="16" s="1"/>
  <c r="J145" i="16"/>
  <c r="G84" i="16"/>
  <c r="BY84" i="6" s="1"/>
  <c r="I129" i="16"/>
  <c r="H91" i="16"/>
  <c r="I91" i="16" s="1"/>
  <c r="G188" i="16"/>
  <c r="BY188" i="6" s="1"/>
  <c r="G237" i="16"/>
  <c r="BY237" i="6" s="1"/>
  <c r="G152" i="16"/>
  <c r="BY152" i="6" s="1"/>
  <c r="G94" i="16"/>
  <c r="BY94" i="6" s="1"/>
  <c r="H138" i="16"/>
  <c r="J138" i="16" s="1"/>
  <c r="I113" i="16"/>
  <c r="J113" i="16"/>
  <c r="H108" i="16"/>
  <c r="I108" i="16" s="1"/>
  <c r="H152" i="16"/>
  <c r="I152" i="16" s="1"/>
  <c r="AA138" i="16"/>
  <c r="Z138" i="16" s="1"/>
  <c r="Y138" i="16" s="1"/>
  <c r="AA84" i="16"/>
  <c r="Z84" i="16" s="1"/>
  <c r="Y84" i="16" s="1"/>
  <c r="AA237" i="16"/>
  <c r="Z237" i="16" s="1"/>
  <c r="Y237" i="16" s="1"/>
  <c r="I157" i="16"/>
  <c r="H114" i="16"/>
  <c r="J114" i="16" s="1"/>
  <c r="G37" i="16"/>
  <c r="BY37" i="6" s="1"/>
  <c r="H83" i="16"/>
  <c r="I83" i="16" s="1"/>
  <c r="G269" i="16"/>
  <c r="BY269" i="6" s="1"/>
  <c r="AA90" i="16"/>
  <c r="Z90" i="16" s="1"/>
  <c r="Y90" i="16" s="1"/>
  <c r="G108" i="16"/>
  <c r="BY108" i="6" s="1"/>
  <c r="V379" i="16"/>
  <c r="F379" i="16" s="1"/>
  <c r="D37" i="19"/>
  <c r="AA269" i="16"/>
  <c r="Z269" i="16" s="1"/>
  <c r="Y269" i="16" s="1"/>
  <c r="H33" i="16"/>
  <c r="J33" i="16" s="1"/>
  <c r="H219" i="16"/>
  <c r="I219" i="16" s="1"/>
  <c r="G123" i="16"/>
  <c r="BY123" i="6" s="1"/>
  <c r="G182" i="16"/>
  <c r="BY182" i="6" s="1"/>
  <c r="G90" i="16"/>
  <c r="BY90" i="6" s="1"/>
  <c r="H176" i="16"/>
  <c r="I176" i="16" s="1"/>
  <c r="AA114" i="16"/>
  <c r="Z114" i="16" s="1"/>
  <c r="Y114" i="16" s="1"/>
  <c r="AA69" i="16"/>
  <c r="Z69" i="16" s="1"/>
  <c r="Y69" i="16" s="1"/>
  <c r="AA33" i="16"/>
  <c r="Z33" i="16" s="1"/>
  <c r="Y33" i="16" s="1"/>
  <c r="AA176" i="16"/>
  <c r="Z176" i="16" s="1"/>
  <c r="Y176" i="16" s="1"/>
  <c r="AA17" i="16"/>
  <c r="Z17" i="16" s="1"/>
  <c r="Y17" i="16" s="1"/>
  <c r="C13" i="19"/>
  <c r="F37" i="19"/>
  <c r="Q372" i="17"/>
  <c r="Q244" i="17"/>
  <c r="G127" i="16"/>
  <c r="BY127" i="6" s="1"/>
  <c r="H17" i="16"/>
  <c r="I17" i="16" s="1"/>
  <c r="H182" i="16"/>
  <c r="I182" i="16" s="1"/>
  <c r="Q308" i="17"/>
  <c r="Q159" i="17"/>
  <c r="Q340" i="17"/>
  <c r="Q276" i="17"/>
  <c r="Q212" i="17"/>
  <c r="Q95" i="17"/>
  <c r="Q356" i="17"/>
  <c r="Q324" i="17"/>
  <c r="Q292" i="17"/>
  <c r="Q260" i="17"/>
  <c r="Q228" i="17"/>
  <c r="Q191" i="17"/>
  <c r="Q127" i="17"/>
  <c r="Q63" i="17"/>
  <c r="G271" i="16"/>
  <c r="BY271" i="6" s="1"/>
  <c r="G231" i="16"/>
  <c r="BY231" i="6" s="1"/>
  <c r="D47" i="7"/>
  <c r="H231" i="16"/>
  <c r="J231" i="16" s="1"/>
  <c r="H271" i="16"/>
  <c r="J271" i="16" s="1"/>
  <c r="G25" i="16"/>
  <c r="BY25" i="6" s="1"/>
  <c r="G243" i="16"/>
  <c r="BY243" i="6" s="1"/>
  <c r="H127" i="16"/>
  <c r="I127" i="16" s="1"/>
  <c r="H79" i="16"/>
  <c r="I79" i="16" s="1"/>
  <c r="G79" i="16"/>
  <c r="BY79" i="6" s="1"/>
  <c r="Q364" i="17"/>
  <c r="Q348" i="17"/>
  <c r="Q332" i="17"/>
  <c r="Q316" i="17"/>
  <c r="Q300" i="17"/>
  <c r="Q284" i="17"/>
  <c r="Q268" i="17"/>
  <c r="Q252" i="17"/>
  <c r="Q236" i="17"/>
  <c r="Q220" i="17"/>
  <c r="Q204" i="17"/>
  <c r="Q175" i="17"/>
  <c r="Q143" i="17"/>
  <c r="Q111" i="17"/>
  <c r="Q79" i="17"/>
  <c r="Q47" i="17"/>
  <c r="H98" i="16"/>
  <c r="J98" i="16" s="1"/>
  <c r="H25" i="16"/>
  <c r="I25" i="16" s="1"/>
  <c r="H69" i="16"/>
  <c r="I69" i="16" s="1"/>
  <c r="H19" i="16"/>
  <c r="I19" i="16" s="1"/>
  <c r="G45" i="16"/>
  <c r="BY45" i="6" s="1"/>
  <c r="G19" i="16"/>
  <c r="BY19" i="6" s="1"/>
  <c r="H45" i="16"/>
  <c r="J45" i="16" s="1"/>
  <c r="AA50" i="16"/>
  <c r="Z50" i="16" s="1"/>
  <c r="Y50" i="1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72" i="17"/>
  <c r="Q264" i="17"/>
  <c r="Q256" i="17"/>
  <c r="Q248" i="17"/>
  <c r="Q240" i="17"/>
  <c r="Q232" i="17"/>
  <c r="Q224" i="17"/>
  <c r="Q216" i="17"/>
  <c r="Q208" i="17"/>
  <c r="Q199" i="17"/>
  <c r="Q183" i="17"/>
  <c r="Q167" i="17"/>
  <c r="Q151" i="17"/>
  <c r="Q135" i="17"/>
  <c r="Q119" i="17"/>
  <c r="Q103" i="17"/>
  <c r="Q87" i="17"/>
  <c r="Q71" i="17"/>
  <c r="Q55" i="17"/>
  <c r="Q39" i="17"/>
  <c r="H178" i="16"/>
  <c r="I178" i="16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6" i="17"/>
  <c r="Q282" i="17"/>
  <c r="Q278" i="17"/>
  <c r="Q274" i="17"/>
  <c r="Q270" i="17"/>
  <c r="Q266" i="17"/>
  <c r="Q262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6" i="17"/>
  <c r="Q202" i="17"/>
  <c r="Q195" i="17"/>
  <c r="Q187" i="17"/>
  <c r="Q179" i="17"/>
  <c r="Q171" i="17"/>
  <c r="Q163" i="17"/>
  <c r="Q155" i="17"/>
  <c r="Q147" i="17"/>
  <c r="Q139" i="17"/>
  <c r="Q131" i="17"/>
  <c r="Q123" i="17"/>
  <c r="Q115" i="17"/>
  <c r="Q107" i="17"/>
  <c r="Q99" i="17"/>
  <c r="Q91" i="17"/>
  <c r="Q83" i="17"/>
  <c r="Q75" i="17"/>
  <c r="Q67" i="17"/>
  <c r="Q59" i="17"/>
  <c r="Q51" i="17"/>
  <c r="Q43" i="17"/>
  <c r="AA29" i="16"/>
  <c r="Z29" i="16" s="1"/>
  <c r="Y29" i="16" s="1"/>
  <c r="J201" i="16"/>
  <c r="H124" i="16"/>
  <c r="J124" i="16" s="1"/>
  <c r="H36" i="16"/>
  <c r="J36" i="16" s="1"/>
  <c r="J108" i="15"/>
  <c r="I136" i="15"/>
  <c r="I49" i="16"/>
  <c r="J155" i="16"/>
  <c r="I179" i="16"/>
  <c r="AA38" i="16"/>
  <c r="Z38" i="16" s="1"/>
  <c r="Y38" i="16" s="1"/>
  <c r="J159" i="16"/>
  <c r="H62" i="16"/>
  <c r="I62" i="16" s="1"/>
  <c r="G29" i="16"/>
  <c r="BY29" i="6" s="1"/>
  <c r="J120" i="16"/>
  <c r="I211" i="16"/>
  <c r="AA62" i="16"/>
  <c r="Z62" i="16" s="1"/>
  <c r="Y62" i="16" s="1"/>
  <c r="G70" i="16"/>
  <c r="BY70" i="6" s="1"/>
  <c r="J82" i="16"/>
  <c r="J163" i="16"/>
  <c r="H29" i="16"/>
  <c r="I29" i="16" s="1"/>
  <c r="AA36" i="16"/>
  <c r="Z36" i="16" s="1"/>
  <c r="Y36" i="16" s="1"/>
  <c r="H70" i="16"/>
  <c r="I70" i="16" s="1"/>
  <c r="G42" i="16"/>
  <c r="BY42" i="6" s="1"/>
  <c r="J126" i="16"/>
  <c r="J193" i="16"/>
  <c r="J187" i="16"/>
  <c r="J183" i="16"/>
  <c r="H42" i="16"/>
  <c r="J42" i="16" s="1"/>
  <c r="J102" i="16"/>
  <c r="H56" i="16"/>
  <c r="J56" i="16" s="1"/>
  <c r="H38" i="16"/>
  <c r="J38" i="16" s="1"/>
  <c r="G124" i="16"/>
  <c r="BY124" i="6" s="1"/>
  <c r="J80" i="16"/>
  <c r="I195" i="16"/>
  <c r="I175" i="16"/>
  <c r="J41" i="16"/>
  <c r="I110" i="16"/>
  <c r="I104" i="16"/>
  <c r="AA56" i="16"/>
  <c r="Z56" i="16" s="1"/>
  <c r="Y56" i="16" s="1"/>
  <c r="W15" i="7"/>
  <c r="Q21" i="17"/>
  <c r="Q29" i="17"/>
  <c r="Q35" i="17"/>
  <c r="Q38" i="17"/>
  <c r="Q40" i="17"/>
  <c r="Q42" i="17"/>
  <c r="Q44" i="17"/>
  <c r="Q46" i="17"/>
  <c r="Q48" i="17"/>
  <c r="Q50" i="17"/>
  <c r="Q52" i="17"/>
  <c r="Q54" i="17"/>
  <c r="Q56" i="17"/>
  <c r="Q58" i="17"/>
  <c r="Q60" i="17"/>
  <c r="Q62" i="17"/>
  <c r="Q64" i="17"/>
  <c r="Q66" i="17"/>
  <c r="Q68" i="17"/>
  <c r="Q70" i="17"/>
  <c r="Q72" i="17"/>
  <c r="Q74" i="17"/>
  <c r="Q76" i="17"/>
  <c r="Q78" i="17"/>
  <c r="Q80" i="17"/>
  <c r="Q82" i="17"/>
  <c r="Q84" i="17"/>
  <c r="Q86" i="17"/>
  <c r="Q88" i="17"/>
  <c r="Q90" i="17"/>
  <c r="Q92" i="17"/>
  <c r="Q94" i="17"/>
  <c r="Q96" i="17"/>
  <c r="Q98" i="17"/>
  <c r="Q100" i="17"/>
  <c r="Q102" i="17"/>
  <c r="Q104" i="17"/>
  <c r="Q106" i="17"/>
  <c r="Q108" i="17"/>
  <c r="Q110" i="17"/>
  <c r="Q112" i="17"/>
  <c r="Q114" i="17"/>
  <c r="Q116" i="17"/>
  <c r="Q118" i="17"/>
  <c r="Q120" i="17"/>
  <c r="Q122" i="17"/>
  <c r="Q124" i="17"/>
  <c r="Q126" i="17"/>
  <c r="Q128" i="17"/>
  <c r="Q130" i="17"/>
  <c r="Q132" i="17"/>
  <c r="Q134" i="17"/>
  <c r="Q136" i="17"/>
  <c r="Q138" i="17"/>
  <c r="Q140" i="17"/>
  <c r="Q142" i="17"/>
  <c r="Q144" i="17"/>
  <c r="Q146" i="17"/>
  <c r="Q148" i="17"/>
  <c r="Q150" i="17"/>
  <c r="Q152" i="17"/>
  <c r="Q154" i="17"/>
  <c r="Q156" i="17"/>
  <c r="Q158" i="17"/>
  <c r="Q160" i="17"/>
  <c r="Q162" i="17"/>
  <c r="Q164" i="17"/>
  <c r="Q166" i="17"/>
  <c r="Q168" i="17"/>
  <c r="Q170" i="17"/>
  <c r="Q172" i="17"/>
  <c r="Q174" i="17"/>
  <c r="Q176" i="17"/>
  <c r="Q178" i="17"/>
  <c r="Q180" i="17"/>
  <c r="Q182" i="17"/>
  <c r="Q184" i="17"/>
  <c r="Q186" i="17"/>
  <c r="Q188" i="17"/>
  <c r="Q190" i="17"/>
  <c r="Q192" i="17"/>
  <c r="Q194" i="17"/>
  <c r="Q196" i="17"/>
  <c r="Q198" i="17"/>
  <c r="Q200" i="17"/>
  <c r="Q379" i="17"/>
  <c r="Q377" i="17"/>
  <c r="Q375" i="17"/>
  <c r="Q373" i="17"/>
  <c r="Q371" i="17"/>
  <c r="Q369" i="17"/>
  <c r="Q367" i="17"/>
  <c r="Q365" i="17"/>
  <c r="Q363" i="17"/>
  <c r="Q361" i="17"/>
  <c r="Q359" i="17"/>
  <c r="Q357" i="17"/>
  <c r="Q355" i="17"/>
  <c r="Q353" i="17"/>
  <c r="Q351" i="17"/>
  <c r="Q349" i="17"/>
  <c r="Q347" i="17"/>
  <c r="Q345" i="17"/>
  <c r="Q343" i="17"/>
  <c r="Q341" i="17"/>
  <c r="Q339" i="17"/>
  <c r="Q337" i="17"/>
  <c r="Q335" i="17"/>
  <c r="Q333" i="17"/>
  <c r="Q331" i="17"/>
  <c r="Q329" i="17"/>
  <c r="Q327" i="17"/>
  <c r="Q325" i="17"/>
  <c r="Q323" i="17"/>
  <c r="Q321" i="17"/>
  <c r="Q319" i="17"/>
  <c r="Q317" i="17"/>
  <c r="Q315" i="17"/>
  <c r="Q313" i="17"/>
  <c r="Q311" i="17"/>
  <c r="Q309" i="17"/>
  <c r="Q307" i="17"/>
  <c r="Q305" i="17"/>
  <c r="Q303" i="17"/>
  <c r="Q301" i="17"/>
  <c r="Q299" i="17"/>
  <c r="Q297" i="17"/>
  <c r="Q295" i="17"/>
  <c r="Q293" i="17"/>
  <c r="Q291" i="17"/>
  <c r="Q289" i="17"/>
  <c r="Q287" i="17"/>
  <c r="Q285" i="17"/>
  <c r="Q283" i="17"/>
  <c r="Q281" i="17"/>
  <c r="Q279" i="17"/>
  <c r="Q277" i="17"/>
  <c r="Q275" i="17"/>
  <c r="Q273" i="17"/>
  <c r="Q271" i="17"/>
  <c r="Q269" i="17"/>
  <c r="Q267" i="17"/>
  <c r="Q265" i="17"/>
  <c r="Q263" i="17"/>
  <c r="Q261" i="17"/>
  <c r="Q259" i="17"/>
  <c r="Q257" i="17"/>
  <c r="Q255" i="17"/>
  <c r="Q253" i="17"/>
  <c r="Q251" i="17"/>
  <c r="Q249" i="17"/>
  <c r="Q247" i="17"/>
  <c r="Q245" i="17"/>
  <c r="Q243" i="17"/>
  <c r="Q241" i="17"/>
  <c r="Q239" i="17"/>
  <c r="Q237" i="17"/>
  <c r="Q235" i="17"/>
  <c r="Q233" i="17"/>
  <c r="Q231" i="17"/>
  <c r="Q229" i="17"/>
  <c r="Q227" i="17"/>
  <c r="Q225" i="17"/>
  <c r="Q223" i="17"/>
  <c r="Q221" i="17"/>
  <c r="Q219" i="17"/>
  <c r="Q217" i="17"/>
  <c r="Q215" i="17"/>
  <c r="Q213" i="17"/>
  <c r="Q211" i="17"/>
  <c r="Q209" i="17"/>
  <c r="Q207" i="17"/>
  <c r="Q205" i="17"/>
  <c r="Q203" i="17"/>
  <c r="Q201" i="17"/>
  <c r="Q197" i="17"/>
  <c r="Q193" i="17"/>
  <c r="Q189" i="17"/>
  <c r="Q185" i="17"/>
  <c r="Q181" i="17"/>
  <c r="Q177" i="17"/>
  <c r="Q173" i="17"/>
  <c r="Q169" i="17"/>
  <c r="Q165" i="17"/>
  <c r="Q161" i="17"/>
  <c r="Q157" i="17"/>
  <c r="Q153" i="17"/>
  <c r="Q149" i="17"/>
  <c r="Q145" i="17"/>
  <c r="Q141" i="17"/>
  <c r="Q137" i="17"/>
  <c r="Q133" i="17"/>
  <c r="Q129" i="17"/>
  <c r="Q125" i="17"/>
  <c r="Q121" i="17"/>
  <c r="Q117" i="17"/>
  <c r="Q113" i="17"/>
  <c r="Q109" i="17"/>
  <c r="Q105" i="17"/>
  <c r="Q101" i="17"/>
  <c r="Q97" i="17"/>
  <c r="Q93" i="17"/>
  <c r="Q89" i="17"/>
  <c r="Q85" i="17"/>
  <c r="Q81" i="17"/>
  <c r="Q77" i="17"/>
  <c r="Q73" i="17"/>
  <c r="Q69" i="17"/>
  <c r="Q65" i="17"/>
  <c r="Q61" i="17"/>
  <c r="Q57" i="17"/>
  <c r="Q53" i="17"/>
  <c r="Q49" i="17"/>
  <c r="Q45" i="17"/>
  <c r="Q41" i="17"/>
  <c r="Q37" i="17"/>
  <c r="Q25" i="17"/>
  <c r="I203" i="16"/>
  <c r="I131" i="16"/>
  <c r="AA18" i="16"/>
  <c r="Z18" i="16" s="1"/>
  <c r="Y18" i="16" s="1"/>
  <c r="H167" i="16"/>
  <c r="J167" i="16" s="1"/>
  <c r="G321" i="16"/>
  <c r="BY321" i="6" s="1"/>
  <c r="I100" i="16"/>
  <c r="H16" i="16"/>
  <c r="J16" i="16" s="1"/>
  <c r="G167" i="16"/>
  <c r="BY167" i="6" s="1"/>
  <c r="H54" i="16"/>
  <c r="I54" i="16" s="1"/>
  <c r="I116" i="16"/>
  <c r="H18" i="16"/>
  <c r="J18" i="16" s="1"/>
  <c r="AA54" i="16"/>
  <c r="Z54" i="16" s="1"/>
  <c r="Y54" i="16" s="1"/>
  <c r="H40" i="16"/>
  <c r="J40" i="16" s="1"/>
  <c r="H58" i="16"/>
  <c r="I58" i="16" s="1"/>
  <c r="H321" i="16"/>
  <c r="J321" i="16" s="1"/>
  <c r="H50" i="16"/>
  <c r="J50" i="16" s="1"/>
  <c r="G40" i="16"/>
  <c r="BY40" i="6" s="1"/>
  <c r="I77" i="16"/>
  <c r="G50" i="16"/>
  <c r="BY50" i="6" s="1"/>
  <c r="G30" i="16"/>
  <c r="BY30" i="6" s="1"/>
  <c r="AA16" i="16"/>
  <c r="Z16" i="16" s="1"/>
  <c r="Y16" i="16" s="1"/>
  <c r="I122" i="16"/>
  <c r="H30" i="16"/>
  <c r="J30" i="16" s="1"/>
  <c r="Q36" i="17"/>
  <c r="Q34" i="17"/>
  <c r="Q31" i="17"/>
  <c r="Q27" i="17"/>
  <c r="Q23" i="17"/>
  <c r="Q15" i="17"/>
  <c r="Q17" i="17"/>
  <c r="F266" i="16"/>
  <c r="AA266" i="16" s="1"/>
  <c r="Z266" i="16" s="1"/>
  <c r="Y266" i="16" s="1"/>
  <c r="O381" i="23"/>
  <c r="O382" i="23"/>
  <c r="O383" i="23"/>
  <c r="D63" i="19"/>
  <c r="AC383" i="22"/>
  <c r="AC381" i="22"/>
  <c r="AC382" i="22"/>
  <c r="F172" i="16"/>
  <c r="G172" i="16" s="1"/>
  <c r="BY172" i="6" s="1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H63" i="19"/>
  <c r="F75" i="16"/>
  <c r="G75" i="16" s="1"/>
  <c r="BY75" i="6" s="1"/>
  <c r="O382" i="22"/>
  <c r="O383" i="22"/>
  <c r="O381" i="22"/>
  <c r="I297" i="16"/>
  <c r="J297" i="16"/>
  <c r="I24" i="16"/>
  <c r="J24" i="16"/>
  <c r="J101" i="16"/>
  <c r="I101" i="16"/>
  <c r="G93" i="16"/>
  <c r="BY93" i="6" s="1"/>
  <c r="AA93" i="16"/>
  <c r="Z93" i="16" s="1"/>
  <c r="Y93" i="16" s="1"/>
  <c r="H93" i="16"/>
  <c r="G378" i="16"/>
  <c r="BY378" i="6" s="1"/>
  <c r="H378" i="16"/>
  <c r="AA378" i="16"/>
  <c r="Z378" i="16" s="1"/>
  <c r="Y378" i="16" s="1"/>
  <c r="AA372" i="16"/>
  <c r="Z372" i="16" s="1"/>
  <c r="Y372" i="16" s="1"/>
  <c r="G372" i="16"/>
  <c r="BY372" i="6" s="1"/>
  <c r="H372" i="16"/>
  <c r="I44" i="16"/>
  <c r="J44" i="16"/>
  <c r="J362" i="16"/>
  <c r="I362" i="16"/>
  <c r="AA149" i="16"/>
  <c r="Z149" i="16" s="1"/>
  <c r="Y149" i="16" s="1"/>
  <c r="H149" i="16"/>
  <c r="G149" i="16"/>
  <c r="BY149" i="6" s="1"/>
  <c r="AA374" i="16"/>
  <c r="Z374" i="16" s="1"/>
  <c r="Y374" i="16" s="1"/>
  <c r="G374" i="16"/>
  <c r="BY374" i="6" s="1"/>
  <c r="H374" i="16"/>
  <c r="G322" i="16"/>
  <c r="BY322" i="6" s="1"/>
  <c r="AA322" i="16"/>
  <c r="Z322" i="16" s="1"/>
  <c r="Y322" i="16" s="1"/>
  <c r="H322" i="16"/>
  <c r="G97" i="16"/>
  <c r="BY97" i="6" s="1"/>
  <c r="H97" i="16"/>
  <c r="AA97" i="16"/>
  <c r="Z97" i="16" s="1"/>
  <c r="Y97" i="16" s="1"/>
  <c r="AA21" i="16"/>
  <c r="Z21" i="16" s="1"/>
  <c r="Y21" i="16" s="1"/>
  <c r="G21" i="16"/>
  <c r="BY21" i="6" s="1"/>
  <c r="H21" i="16"/>
  <c r="AA296" i="16"/>
  <c r="Z296" i="16" s="1"/>
  <c r="Y296" i="16" s="1"/>
  <c r="H296" i="16"/>
  <c r="G296" i="16"/>
  <c r="BY296" i="6" s="1"/>
  <c r="AA233" i="16"/>
  <c r="Z233" i="16" s="1"/>
  <c r="Y233" i="16" s="1"/>
  <c r="H233" i="16"/>
  <c r="G233" i="16"/>
  <c r="BY233" i="6" s="1"/>
  <c r="AA74" i="16"/>
  <c r="Z74" i="16" s="1"/>
  <c r="Y74" i="16" s="1"/>
  <c r="G74" i="16"/>
  <c r="BY74" i="6" s="1"/>
  <c r="H74" i="16"/>
  <c r="AA341" i="16"/>
  <c r="Z341" i="16" s="1"/>
  <c r="Y341" i="16" s="1"/>
  <c r="H341" i="16"/>
  <c r="G341" i="16"/>
  <c r="BY341" i="6" s="1"/>
  <c r="G173" i="16"/>
  <c r="BY173" i="6" s="1"/>
  <c r="H173" i="16"/>
  <c r="AA173" i="16"/>
  <c r="Z173" i="16" s="1"/>
  <c r="Y173" i="16" s="1"/>
  <c r="AA60" i="16"/>
  <c r="Z60" i="16" s="1"/>
  <c r="Y60" i="16" s="1"/>
  <c r="H60" i="16"/>
  <c r="G60" i="16"/>
  <c r="BY60" i="6" s="1"/>
  <c r="AA52" i="16"/>
  <c r="Z52" i="16" s="1"/>
  <c r="Y52" i="16" s="1"/>
  <c r="G52" i="16"/>
  <c r="BY52" i="6" s="1"/>
  <c r="H52" i="16"/>
  <c r="I32" i="16"/>
  <c r="J32" i="16"/>
  <c r="AA333" i="16"/>
  <c r="Z333" i="16" s="1"/>
  <c r="Y333" i="16" s="1"/>
  <c r="H333" i="16"/>
  <c r="G333" i="16"/>
  <c r="BY333" i="6" s="1"/>
  <c r="AA31" i="16"/>
  <c r="Z31" i="16" s="1"/>
  <c r="Y31" i="16" s="1"/>
  <c r="G31" i="16"/>
  <c r="BY31" i="6" s="1"/>
  <c r="H31" i="16"/>
  <c r="AA103" i="16"/>
  <c r="Z103" i="16" s="1"/>
  <c r="Y103" i="16" s="1"/>
  <c r="G103" i="16"/>
  <c r="BY103" i="6" s="1"/>
  <c r="H103" i="16"/>
  <c r="G78" i="16"/>
  <c r="BY78" i="6" s="1"/>
  <c r="AA78" i="16"/>
  <c r="Z78" i="16" s="1"/>
  <c r="Y78" i="16" s="1"/>
  <c r="H78" i="16"/>
  <c r="G299" i="16"/>
  <c r="BY299" i="6" s="1"/>
  <c r="AA299" i="16"/>
  <c r="Z299" i="16" s="1"/>
  <c r="Y299" i="16" s="1"/>
  <c r="H299" i="16"/>
  <c r="AA139" i="16"/>
  <c r="Z139" i="16" s="1"/>
  <c r="Y139" i="16" s="1"/>
  <c r="G139" i="16"/>
  <c r="BY139" i="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H171" i="16" s="1"/>
  <c r="I369" i="16"/>
  <c r="J369" i="16"/>
  <c r="I355" i="16"/>
  <c r="J355" i="16"/>
  <c r="J313" i="16"/>
  <c r="I313" i="16"/>
  <c r="I269" i="16"/>
  <c r="J269" i="16"/>
  <c r="G217" i="16"/>
  <c r="BY217" i="6" s="1"/>
  <c r="H217" i="16"/>
  <c r="AA217" i="16"/>
  <c r="Z217" i="16" s="1"/>
  <c r="Y217" i="16" s="1"/>
  <c r="AA199" i="16"/>
  <c r="Z199" i="16" s="1"/>
  <c r="Y199" i="16" s="1"/>
  <c r="G199" i="16"/>
  <c r="BY199" i="6" s="1"/>
  <c r="H199" i="16"/>
  <c r="J185" i="16"/>
  <c r="I185" i="16"/>
  <c r="I153" i="16"/>
  <c r="J153" i="16"/>
  <c r="G73" i="16"/>
  <c r="BY73" i="6" s="1"/>
  <c r="AA73" i="16"/>
  <c r="Z73" i="16" s="1"/>
  <c r="Y73" i="16" s="1"/>
  <c r="H73" i="16"/>
  <c r="I61" i="16"/>
  <c r="J61" i="16"/>
  <c r="I358" i="15"/>
  <c r="H358" i="16" s="1"/>
  <c r="J358" i="15"/>
  <c r="G342" i="16"/>
  <c r="BY342" i="6" s="1"/>
  <c r="H342" i="16"/>
  <c r="AA342" i="16"/>
  <c r="Z342" i="16" s="1"/>
  <c r="Y342" i="16" s="1"/>
  <c r="J318" i="16"/>
  <c r="I318" i="16"/>
  <c r="AA308" i="16"/>
  <c r="Z308" i="16" s="1"/>
  <c r="Y308" i="16" s="1"/>
  <c r="G308" i="16"/>
  <c r="BY308" i="6" s="1"/>
  <c r="H308" i="16"/>
  <c r="J304" i="16"/>
  <c r="I304" i="16"/>
  <c r="I294" i="16"/>
  <c r="J294" i="16"/>
  <c r="G274" i="16"/>
  <c r="BY274" i="6" s="1"/>
  <c r="H274" i="16"/>
  <c r="AA274" i="16"/>
  <c r="Z274" i="16" s="1"/>
  <c r="Y274" i="16" s="1"/>
  <c r="J260" i="16"/>
  <c r="I260" i="16"/>
  <c r="J226" i="16"/>
  <c r="I226" i="16"/>
  <c r="AA222" i="16"/>
  <c r="Z222" i="16" s="1"/>
  <c r="Y222" i="16" s="1"/>
  <c r="H222" i="16"/>
  <c r="G222" i="16"/>
  <c r="BY222" i="6" s="1"/>
  <c r="G184" i="16"/>
  <c r="BY184" i="6" s="1"/>
  <c r="AA184" i="16"/>
  <c r="Z184" i="16" s="1"/>
  <c r="Y184" i="16" s="1"/>
  <c r="H184" i="16"/>
  <c r="AA88" i="16"/>
  <c r="Z88" i="16" s="1"/>
  <c r="Y88" i="16" s="1"/>
  <c r="G88" i="16"/>
  <c r="BY88" i="6" s="1"/>
  <c r="H88" i="16"/>
  <c r="I64" i="16"/>
  <c r="J64" i="16"/>
  <c r="H28" i="16"/>
  <c r="G28" i="16"/>
  <c r="BY28" i="6" s="1"/>
  <c r="AA28" i="16"/>
  <c r="Z28" i="16" s="1"/>
  <c r="Y28" i="16" s="1"/>
  <c r="AA363" i="16"/>
  <c r="Z363" i="16" s="1"/>
  <c r="Y363" i="16" s="1"/>
  <c r="G363" i="16"/>
  <c r="BY363" i="6" s="1"/>
  <c r="H363" i="16"/>
  <c r="I315" i="16"/>
  <c r="J315" i="16"/>
  <c r="J237" i="16"/>
  <c r="I237" i="16"/>
  <c r="G197" i="16"/>
  <c r="BY197" i="6" s="1"/>
  <c r="AA197" i="16"/>
  <c r="Z197" i="16" s="1"/>
  <c r="Y197" i="16" s="1"/>
  <c r="J151" i="16"/>
  <c r="I151" i="16"/>
  <c r="J123" i="16"/>
  <c r="I123" i="16"/>
  <c r="H119" i="16"/>
  <c r="G119" i="16"/>
  <c r="BY119" i="6" s="1"/>
  <c r="AA119" i="16"/>
  <c r="Z119" i="16" s="1"/>
  <c r="Y119" i="16" s="1"/>
  <c r="AA87" i="16"/>
  <c r="Z87" i="16" s="1"/>
  <c r="Y87" i="16" s="1"/>
  <c r="G87" i="16"/>
  <c r="BY87" i="6" s="1"/>
  <c r="H87" i="16"/>
  <c r="I37" i="16"/>
  <c r="J37" i="16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376" i="16"/>
  <c r="J376" i="16"/>
  <c r="G310" i="16"/>
  <c r="BY310" i="6" s="1"/>
  <c r="AA310" i="16"/>
  <c r="Z310" i="16" s="1"/>
  <c r="Y310" i="16" s="1"/>
  <c r="H310" i="16"/>
  <c r="J224" i="16"/>
  <c r="I224" i="16"/>
  <c r="I112" i="16"/>
  <c r="J112" i="16"/>
  <c r="I197" i="15"/>
  <c r="H197" i="16" s="1"/>
  <c r="J197" i="15"/>
  <c r="I337" i="16"/>
  <c r="J337" i="16"/>
  <c r="J307" i="16"/>
  <c r="I307" i="16"/>
  <c r="AA289" i="16"/>
  <c r="Z289" i="16" s="1"/>
  <c r="Y289" i="16" s="1"/>
  <c r="G289" i="16"/>
  <c r="BY289" i="6" s="1"/>
  <c r="H289" i="16"/>
  <c r="G275" i="16"/>
  <c r="BY275" i="6" s="1"/>
  <c r="H275" i="16"/>
  <c r="AA275" i="16"/>
  <c r="Z275" i="16" s="1"/>
  <c r="Y275" i="16" s="1"/>
  <c r="J257" i="16"/>
  <c r="I257" i="16"/>
  <c r="J209" i="16"/>
  <c r="I209" i="16"/>
  <c r="J191" i="16"/>
  <c r="I191" i="16"/>
  <c r="I141" i="16"/>
  <c r="J141" i="16"/>
  <c r="AA57" i="16"/>
  <c r="Z57" i="16" s="1"/>
  <c r="Y57" i="16" s="1"/>
  <c r="H57" i="16"/>
  <c r="G57" i="16"/>
  <c r="BY57" i="6" s="1"/>
  <c r="AA212" i="16"/>
  <c r="Z212" i="16" s="1"/>
  <c r="Y212" i="16" s="1"/>
  <c r="G212" i="16"/>
  <c r="BY212" i="6" s="1"/>
  <c r="H212" i="16"/>
  <c r="I208" i="16"/>
  <c r="J208" i="16"/>
  <c r="J128" i="16"/>
  <c r="I128" i="16"/>
  <c r="I66" i="16"/>
  <c r="J66" i="16"/>
  <c r="J34" i="16"/>
  <c r="I34" i="16"/>
  <c r="J359" i="16"/>
  <c r="I359" i="16"/>
  <c r="J305" i="16"/>
  <c r="I305" i="16"/>
  <c r="I293" i="16"/>
  <c r="J293" i="16"/>
  <c r="J247" i="16"/>
  <c r="I247" i="16"/>
  <c r="I205" i="16"/>
  <c r="J205" i="16"/>
  <c r="J161" i="16"/>
  <c r="I161" i="16"/>
  <c r="J143" i="16"/>
  <c r="I143" i="16"/>
  <c r="G111" i="16"/>
  <c r="BY111" i="6" s="1"/>
  <c r="AA111" i="16"/>
  <c r="Z111" i="16" s="1"/>
  <c r="Y111" i="16" s="1"/>
  <c r="H111" i="16"/>
  <c r="I59" i="16"/>
  <c r="J59" i="16"/>
  <c r="AA53" i="16"/>
  <c r="Z53" i="16" s="1"/>
  <c r="Y53" i="16" s="1"/>
  <c r="G53" i="16"/>
  <c r="BY53" i="6" s="1"/>
  <c r="H53" i="16"/>
  <c r="I27" i="16"/>
  <c r="AA210" i="16"/>
  <c r="Z210" i="16" s="1"/>
  <c r="Y210" i="16" s="1"/>
  <c r="G210" i="16"/>
  <c r="BY210" i="6" s="1"/>
  <c r="H210" i="16"/>
  <c r="AA118" i="16"/>
  <c r="Z118" i="16" s="1"/>
  <c r="Y118" i="16" s="1"/>
  <c r="H118" i="16"/>
  <c r="G118" i="16"/>
  <c r="BY118" i="6" s="1"/>
  <c r="I86" i="16"/>
  <c r="J86" i="16"/>
  <c r="J76" i="16"/>
  <c r="I76" i="16"/>
  <c r="J72" i="16"/>
  <c r="I72" i="16"/>
  <c r="G48" i="16"/>
  <c r="BY48" i="6" s="1"/>
  <c r="AA48" i="16"/>
  <c r="Z48" i="16" s="1"/>
  <c r="Y48" i="16" s="1"/>
  <c r="H48" i="16"/>
  <c r="I324" i="15"/>
  <c r="H324" i="16" s="1"/>
  <c r="J324" i="15"/>
  <c r="I227" i="15"/>
  <c r="H227" i="16" s="1"/>
  <c r="J227" i="15"/>
  <c r="I51" i="15"/>
  <c r="H51" i="16" s="1"/>
  <c r="J51" i="15"/>
  <c r="AD381" i="15"/>
  <c r="AD382" i="15"/>
  <c r="AD383" i="15"/>
  <c r="I243" i="16"/>
  <c r="J243" i="16"/>
  <c r="J121" i="16"/>
  <c r="I121" i="16"/>
  <c r="I109" i="16"/>
  <c r="J109" i="16"/>
  <c r="J89" i="16"/>
  <c r="I89" i="16"/>
  <c r="P383" i="15"/>
  <c r="P381" i="15"/>
  <c r="V15" i="15"/>
  <c r="P382" i="15"/>
  <c r="F15" i="15"/>
  <c r="I326" i="16"/>
  <c r="J326" i="16"/>
  <c r="F228" i="16"/>
  <c r="J106" i="16"/>
  <c r="I106" i="16"/>
  <c r="J92" i="16"/>
  <c r="I92" i="16"/>
  <c r="I84" i="16"/>
  <c r="J84" i="16"/>
  <c r="X378" i="25"/>
  <c r="L378" i="25"/>
  <c r="AB378" i="25"/>
  <c r="AJ378" i="25"/>
  <c r="K378" i="25"/>
  <c r="A379" i="25"/>
  <c r="AK378" i="25"/>
  <c r="O378" i="25"/>
  <c r="AC378" i="25"/>
  <c r="J347" i="16"/>
  <c r="I347" i="16"/>
  <c r="I207" i="16"/>
  <c r="J207" i="16"/>
  <c r="J147" i="16"/>
  <c r="I147" i="16"/>
  <c r="I137" i="16"/>
  <c r="J137" i="16"/>
  <c r="I71" i="16"/>
  <c r="J71" i="16"/>
  <c r="I67" i="16"/>
  <c r="J67" i="16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328" i="16"/>
  <c r="J328" i="16"/>
  <c r="I316" i="16"/>
  <c r="J316" i="16"/>
  <c r="J278" i="16"/>
  <c r="I278" i="16"/>
  <c r="J262" i="16"/>
  <c r="I262" i="16"/>
  <c r="J242" i="16"/>
  <c r="I242" i="16"/>
  <c r="J230" i="16"/>
  <c r="I230" i="16"/>
  <c r="I94" i="16"/>
  <c r="J94" i="16"/>
  <c r="I90" i="16"/>
  <c r="J90" i="16"/>
  <c r="J68" i="16"/>
  <c r="I68" i="16"/>
  <c r="I264" i="15"/>
  <c r="H264" i="16" s="1"/>
  <c r="J264" i="15"/>
  <c r="J325" i="16"/>
  <c r="I325" i="16"/>
  <c r="I213" i="16"/>
  <c r="J213" i="16"/>
  <c r="I169" i="16"/>
  <c r="J169" i="16"/>
  <c r="J135" i="16"/>
  <c r="I135" i="16"/>
  <c r="J81" i="16"/>
  <c r="I81" i="16"/>
  <c r="J368" i="16"/>
  <c r="I368" i="16"/>
  <c r="I300" i="16"/>
  <c r="J300" i="16"/>
  <c r="J238" i="16"/>
  <c r="I238" i="16"/>
  <c r="J198" i="16"/>
  <c r="I198" i="16"/>
  <c r="J188" i="16"/>
  <c r="I188" i="16"/>
  <c r="I96" i="16"/>
  <c r="J96" i="16"/>
  <c r="F46" i="16"/>
  <c r="I309" i="16"/>
  <c r="J309" i="16"/>
  <c r="J125" i="16"/>
  <c r="I125" i="16"/>
  <c r="J65" i="16"/>
  <c r="I65" i="16"/>
  <c r="I364" i="16"/>
  <c r="J364" i="16"/>
  <c r="J284" i="16"/>
  <c r="I284" i="16"/>
  <c r="I200" i="16"/>
  <c r="J200" i="16"/>
  <c r="I140" i="16"/>
  <c r="J140" i="16"/>
  <c r="E63" i="19" l="1"/>
  <c r="AA160" i="16"/>
  <c r="Z160" i="16" s="1"/>
  <c r="Y160" i="16" s="1"/>
  <c r="AA366" i="16"/>
  <c r="Z366" i="16" s="1"/>
  <c r="Y366" i="16" s="1"/>
  <c r="J117" i="16"/>
  <c r="I117" i="16"/>
  <c r="AA26" i="16"/>
  <c r="Z26" i="16" s="1"/>
  <c r="Y26" i="16" s="1"/>
  <c r="H26" i="16"/>
  <c r="H22" i="16"/>
  <c r="AA20" i="16"/>
  <c r="Z20" i="16" s="1"/>
  <c r="Y20" i="16" s="1"/>
  <c r="H20" i="16"/>
  <c r="V136" i="16"/>
  <c r="F63" i="19" s="1"/>
  <c r="G227" i="16"/>
  <c r="BY227" i="6" s="1"/>
  <c r="AA227" i="16"/>
  <c r="Z227" i="16" s="1"/>
  <c r="Y227" i="16" s="1"/>
  <c r="G283" i="16"/>
  <c r="BY283" i="6" s="1"/>
  <c r="H283" i="16"/>
  <c r="G215" i="16"/>
  <c r="BY215" i="6" s="1"/>
  <c r="H215" i="16"/>
  <c r="U10" i="17"/>
  <c r="G168" i="16"/>
  <c r="BY168" i="6" s="1"/>
  <c r="H168" i="16"/>
  <c r="G267" i="16"/>
  <c r="BY267" i="6" s="1"/>
  <c r="H267" i="16"/>
  <c r="G160" i="16"/>
  <c r="BY160" i="6" s="1"/>
  <c r="H160" i="16"/>
  <c r="G259" i="16"/>
  <c r="BY259" i="6" s="1"/>
  <c r="H259" i="16"/>
  <c r="AA259" i="16"/>
  <c r="Z259" i="16" s="1"/>
  <c r="Y259" i="16" s="1"/>
  <c r="AA168" i="16"/>
  <c r="Z168" i="16" s="1"/>
  <c r="Y168" i="16" s="1"/>
  <c r="G63" i="16"/>
  <c r="BY63" i="6" s="1"/>
  <c r="H63" i="16"/>
  <c r="AA63" i="16"/>
  <c r="Z63" i="16" s="1"/>
  <c r="Y63" i="16" s="1"/>
  <c r="F239" i="16"/>
  <c r="G255" i="16"/>
  <c r="BY255" i="6" s="1"/>
  <c r="H255" i="16"/>
  <c r="AA255" i="16"/>
  <c r="Z255" i="16" s="1"/>
  <c r="Y255" i="16" s="1"/>
  <c r="G303" i="16"/>
  <c r="BY303" i="6" s="1"/>
  <c r="H303" i="16"/>
  <c r="AA303" i="16"/>
  <c r="Z303" i="16" s="1"/>
  <c r="Y303" i="16" s="1"/>
  <c r="G319" i="16"/>
  <c r="BY319" i="6" s="1"/>
  <c r="AA319" i="16"/>
  <c r="Z319" i="16" s="1"/>
  <c r="Y319" i="16" s="1"/>
  <c r="H319" i="16"/>
  <c r="G327" i="16"/>
  <c r="BY327" i="6" s="1"/>
  <c r="H327" i="16"/>
  <c r="AA327" i="16"/>
  <c r="Z327" i="16" s="1"/>
  <c r="Y327" i="16" s="1"/>
  <c r="G335" i="16"/>
  <c r="BY335" i="6" s="1"/>
  <c r="AA335" i="16"/>
  <c r="Z335" i="16" s="1"/>
  <c r="Y335" i="16" s="1"/>
  <c r="H335" i="16"/>
  <c r="AA343" i="16"/>
  <c r="Z343" i="16" s="1"/>
  <c r="Y343" i="16" s="1"/>
  <c r="H343" i="16"/>
  <c r="G343" i="16"/>
  <c r="BY343" i="6" s="1"/>
  <c r="G367" i="16"/>
  <c r="BY367" i="6" s="1"/>
  <c r="H367" i="16"/>
  <c r="AA367" i="16"/>
  <c r="Z367" i="16" s="1"/>
  <c r="Y367" i="16" s="1"/>
  <c r="G375" i="16"/>
  <c r="BY375" i="6" s="1"/>
  <c r="H375" i="16"/>
  <c r="AA375" i="16"/>
  <c r="Z375" i="16" s="1"/>
  <c r="Y375" i="16" s="1"/>
  <c r="J288" i="16"/>
  <c r="I288" i="16"/>
  <c r="F47" i="16"/>
  <c r="C63" i="19"/>
  <c r="G192" i="16"/>
  <c r="BY192" i="6" s="1"/>
  <c r="H192" i="16"/>
  <c r="AA192" i="16"/>
  <c r="Z192" i="16" s="1"/>
  <c r="Y192" i="16" s="1"/>
  <c r="G251" i="16"/>
  <c r="BY251" i="6" s="1"/>
  <c r="H251" i="16"/>
  <c r="AA251" i="16"/>
  <c r="Z251" i="16" s="1"/>
  <c r="Y251" i="16" s="1"/>
  <c r="F295" i="16"/>
  <c r="G311" i="16"/>
  <c r="BY311" i="6" s="1"/>
  <c r="AA311" i="16"/>
  <c r="Z311" i="16" s="1"/>
  <c r="Y311" i="16" s="1"/>
  <c r="H311" i="16"/>
  <c r="F323" i="16"/>
  <c r="L63" i="19"/>
  <c r="G331" i="16"/>
  <c r="BY331" i="6" s="1"/>
  <c r="H331" i="16"/>
  <c r="AA331" i="16"/>
  <c r="Z331" i="16" s="1"/>
  <c r="Y331" i="16" s="1"/>
  <c r="H339" i="16"/>
  <c r="G339" i="16"/>
  <c r="BY339" i="6" s="1"/>
  <c r="AA339" i="16"/>
  <c r="Z339" i="16" s="1"/>
  <c r="Y339" i="16" s="1"/>
  <c r="H351" i="16"/>
  <c r="AA351" i="16"/>
  <c r="Z351" i="16" s="1"/>
  <c r="Y351" i="16" s="1"/>
  <c r="G351" i="16"/>
  <c r="BY351" i="6" s="1"/>
  <c r="G371" i="16"/>
  <c r="BY371" i="6" s="1"/>
  <c r="H371" i="16"/>
  <c r="AA371" i="16"/>
  <c r="Z371" i="16" s="1"/>
  <c r="Y371" i="16" s="1"/>
  <c r="H164" i="16"/>
  <c r="G164" i="16"/>
  <c r="BY164" i="6" s="1"/>
  <c r="G144" i="16"/>
  <c r="BY144" i="6" s="1"/>
  <c r="H144" i="16"/>
  <c r="G277" i="16"/>
  <c r="BY277" i="6" s="1"/>
  <c r="AA277" i="16"/>
  <c r="Z277" i="16" s="1"/>
  <c r="Y277" i="16" s="1"/>
  <c r="H277" i="16"/>
  <c r="V241" i="16"/>
  <c r="F241" i="16" s="1"/>
  <c r="D51" i="7"/>
  <c r="G107" i="16"/>
  <c r="BY107" i="6" s="1"/>
  <c r="H107" i="16"/>
  <c r="G352" i="16"/>
  <c r="BY352" i="6" s="1"/>
  <c r="AA352" i="16"/>
  <c r="Z352" i="16" s="1"/>
  <c r="Y352" i="16" s="1"/>
  <c r="H352" i="16"/>
  <c r="G336" i="16"/>
  <c r="BY336" i="6" s="1"/>
  <c r="AA336" i="16"/>
  <c r="Z336" i="16" s="1"/>
  <c r="Y336" i="16" s="1"/>
  <c r="H336" i="16"/>
  <c r="G312" i="16"/>
  <c r="BY312" i="6" s="1"/>
  <c r="H312" i="16"/>
  <c r="AA312" i="16"/>
  <c r="Z312" i="16" s="1"/>
  <c r="Y312" i="16" s="1"/>
  <c r="G252" i="16"/>
  <c r="BY252" i="6" s="1"/>
  <c r="AA252" i="16"/>
  <c r="Z252" i="16" s="1"/>
  <c r="Y252" i="16" s="1"/>
  <c r="H252" i="16"/>
  <c r="H204" i="16"/>
  <c r="AA204" i="16"/>
  <c r="Z204" i="16" s="1"/>
  <c r="Y204" i="16" s="1"/>
  <c r="G204" i="16"/>
  <c r="BY204" i="6" s="1"/>
  <c r="G190" i="16"/>
  <c r="BY190" i="6" s="1"/>
  <c r="H190" i="16"/>
  <c r="AA190" i="16"/>
  <c r="Z190" i="16" s="1"/>
  <c r="Y190" i="16" s="1"/>
  <c r="G166" i="16"/>
  <c r="BY166" i="6" s="1"/>
  <c r="AA166" i="16"/>
  <c r="Z166" i="16" s="1"/>
  <c r="Y166" i="16" s="1"/>
  <c r="H166" i="16"/>
  <c r="G150" i="16"/>
  <c r="BY150" i="6" s="1"/>
  <c r="AA150" i="16"/>
  <c r="Z150" i="16" s="1"/>
  <c r="Y150" i="16" s="1"/>
  <c r="H150" i="16"/>
  <c r="G130" i="16"/>
  <c r="BY130" i="6" s="1"/>
  <c r="AA130" i="16"/>
  <c r="Z130" i="16" s="1"/>
  <c r="Y130" i="16" s="1"/>
  <c r="H130" i="16"/>
  <c r="G279" i="16"/>
  <c r="BY279" i="6" s="1"/>
  <c r="H279" i="16"/>
  <c r="AA279" i="16"/>
  <c r="Z279" i="16" s="1"/>
  <c r="Y279" i="16" s="1"/>
  <c r="G235" i="16"/>
  <c r="BY235" i="6" s="1"/>
  <c r="AA235" i="16"/>
  <c r="Z235" i="16" s="1"/>
  <c r="Y235" i="16" s="1"/>
  <c r="H235" i="16"/>
  <c r="AA95" i="16"/>
  <c r="Z95" i="16" s="1"/>
  <c r="Y95" i="16" s="1"/>
  <c r="G95" i="16"/>
  <c r="BY95" i="6" s="1"/>
  <c r="H95" i="16"/>
  <c r="G354" i="16"/>
  <c r="BY354" i="6" s="1"/>
  <c r="H354" i="16"/>
  <c r="AA354" i="16"/>
  <c r="Z354" i="16" s="1"/>
  <c r="Y354" i="16" s="1"/>
  <c r="G334" i="16"/>
  <c r="BY334" i="6" s="1"/>
  <c r="H334" i="16"/>
  <c r="AA334" i="16"/>
  <c r="Z334" i="16" s="1"/>
  <c r="Y334" i="16" s="1"/>
  <c r="D53" i="7"/>
  <c r="V302" i="16"/>
  <c r="F302" i="16" s="1"/>
  <c r="D52" i="7"/>
  <c r="V272" i="16"/>
  <c r="G240" i="16"/>
  <c r="BY240" i="6" s="1"/>
  <c r="H240" i="16"/>
  <c r="AA240" i="16"/>
  <c r="Z240" i="16" s="1"/>
  <c r="Y240" i="16" s="1"/>
  <c r="G270" i="16"/>
  <c r="BY270" i="6" s="1"/>
  <c r="H270" i="16"/>
  <c r="AA218" i="16"/>
  <c r="Z218" i="16" s="1"/>
  <c r="Y218" i="16" s="1"/>
  <c r="G218" i="16"/>
  <c r="BY218" i="6" s="1"/>
  <c r="H218" i="16"/>
  <c r="G234" i="16"/>
  <c r="BY234" i="6" s="1"/>
  <c r="H234" i="16"/>
  <c r="AA234" i="16"/>
  <c r="Z234" i="16" s="1"/>
  <c r="Y234" i="16" s="1"/>
  <c r="G250" i="16"/>
  <c r="BY250" i="6" s="1"/>
  <c r="H250" i="16"/>
  <c r="G282" i="16"/>
  <c r="BY282" i="6" s="1"/>
  <c r="AA282" i="16"/>
  <c r="Z282" i="16" s="1"/>
  <c r="Y282" i="16" s="1"/>
  <c r="H282" i="16"/>
  <c r="G99" i="16"/>
  <c r="BY99" i="6" s="1"/>
  <c r="H99" i="16"/>
  <c r="AA83" i="16"/>
  <c r="Z83" i="16" s="1"/>
  <c r="Y83" i="16" s="1"/>
  <c r="AA99" i="16"/>
  <c r="Z99" i="16" s="1"/>
  <c r="Y99" i="16" s="1"/>
  <c r="AA144" i="16"/>
  <c r="Z144" i="16" s="1"/>
  <c r="Y144" i="16" s="1"/>
  <c r="AA270" i="16"/>
  <c r="Z270" i="16" s="1"/>
  <c r="Y270" i="16" s="1"/>
  <c r="I290" i="16"/>
  <c r="J290" i="16"/>
  <c r="G281" i="16"/>
  <c r="BY281" i="6" s="1"/>
  <c r="AA281" i="16"/>
  <c r="Z281" i="16" s="1"/>
  <c r="Y281" i="16" s="1"/>
  <c r="H281" i="16"/>
  <c r="G245" i="16"/>
  <c r="BY245" i="6" s="1"/>
  <c r="AA245" i="16"/>
  <c r="Z245" i="16" s="1"/>
  <c r="Y245" i="16" s="1"/>
  <c r="H245" i="16"/>
  <c r="G115" i="16"/>
  <c r="BY115" i="6" s="1"/>
  <c r="H115" i="16"/>
  <c r="G356" i="16"/>
  <c r="BY356" i="6" s="1"/>
  <c r="H356" i="16"/>
  <c r="AA356" i="16"/>
  <c r="Z356" i="16" s="1"/>
  <c r="Y356" i="16" s="1"/>
  <c r="G340" i="16"/>
  <c r="BY340" i="6" s="1"/>
  <c r="H340" i="16"/>
  <c r="G268" i="16"/>
  <c r="BY268" i="6" s="1"/>
  <c r="H268" i="16"/>
  <c r="AA268" i="16"/>
  <c r="Z268" i="16" s="1"/>
  <c r="Y268" i="16" s="1"/>
  <c r="G220" i="16"/>
  <c r="BY220" i="6" s="1"/>
  <c r="H220" i="16"/>
  <c r="G170" i="16"/>
  <c r="BY170" i="6" s="1"/>
  <c r="H170" i="16"/>
  <c r="AA170" i="16"/>
  <c r="Z170" i="16" s="1"/>
  <c r="Y170" i="16" s="1"/>
  <c r="G154" i="16"/>
  <c r="BY154" i="6" s="1"/>
  <c r="H154" i="16"/>
  <c r="H134" i="16"/>
  <c r="G134" i="16"/>
  <c r="BY134" i="6" s="1"/>
  <c r="AA134" i="16"/>
  <c r="Z134" i="16" s="1"/>
  <c r="Y134" i="16" s="1"/>
  <c r="V350" i="16"/>
  <c r="G330" i="16"/>
  <c r="BY330" i="6" s="1"/>
  <c r="H330" i="16"/>
  <c r="AA330" i="16"/>
  <c r="Z330" i="16" s="1"/>
  <c r="Y330" i="16" s="1"/>
  <c r="G264" i="16"/>
  <c r="BY264" i="6" s="1"/>
  <c r="AA264" i="16"/>
  <c r="Z264" i="16" s="1"/>
  <c r="Y264" i="16" s="1"/>
  <c r="G232" i="16"/>
  <c r="BY232" i="6" s="1"/>
  <c r="H232" i="16"/>
  <c r="G39" i="16"/>
  <c r="BY39" i="6" s="1"/>
  <c r="AA39" i="16"/>
  <c r="Z39" i="16" s="1"/>
  <c r="Y39" i="16" s="1"/>
  <c r="H55" i="16"/>
  <c r="G55" i="16"/>
  <c r="BY55" i="6" s="1"/>
  <c r="G221" i="16"/>
  <c r="BY221" i="6" s="1"/>
  <c r="H221" i="16"/>
  <c r="G249" i="16"/>
  <c r="BY249" i="6" s="1"/>
  <c r="H249" i="16"/>
  <c r="G253" i="16"/>
  <c r="BY253" i="6" s="1"/>
  <c r="H253" i="16"/>
  <c r="G261" i="16"/>
  <c r="BY261" i="6" s="1"/>
  <c r="AA261" i="16"/>
  <c r="Z261" i="16" s="1"/>
  <c r="Y261" i="16" s="1"/>
  <c r="H261" i="16"/>
  <c r="G285" i="16"/>
  <c r="BY285" i="6" s="1"/>
  <c r="H285" i="16"/>
  <c r="AA285" i="16"/>
  <c r="Z285" i="16" s="1"/>
  <c r="Y285" i="16" s="1"/>
  <c r="G301" i="16"/>
  <c r="BY301" i="6" s="1"/>
  <c r="H301" i="16"/>
  <c r="G317" i="16"/>
  <c r="BY317" i="6" s="1"/>
  <c r="AA317" i="16"/>
  <c r="Z317" i="16" s="1"/>
  <c r="Y317" i="16" s="1"/>
  <c r="H317" i="16"/>
  <c r="G329" i="16"/>
  <c r="BY329" i="6" s="1"/>
  <c r="H329" i="16"/>
  <c r="G345" i="16"/>
  <c r="BY345" i="6" s="1"/>
  <c r="H345" i="16"/>
  <c r="G349" i="16"/>
  <c r="BY349" i="6" s="1"/>
  <c r="H349" i="16"/>
  <c r="AA349" i="16"/>
  <c r="Z349" i="16" s="1"/>
  <c r="Y349" i="16" s="1"/>
  <c r="G353" i="16"/>
  <c r="BY353" i="6" s="1"/>
  <c r="H353" i="16"/>
  <c r="AA353" i="16"/>
  <c r="Z353" i="16" s="1"/>
  <c r="Y353" i="16" s="1"/>
  <c r="G357" i="16"/>
  <c r="BY357" i="6" s="1"/>
  <c r="H357" i="16"/>
  <c r="AA357" i="16"/>
  <c r="Z357" i="16" s="1"/>
  <c r="Y357" i="16" s="1"/>
  <c r="G361" i="16"/>
  <c r="BY361" i="6" s="1"/>
  <c r="AA361" i="16"/>
  <c r="Z361" i="16" s="1"/>
  <c r="Y361" i="16" s="1"/>
  <c r="H361" i="16"/>
  <c r="G365" i="16"/>
  <c r="BY365" i="6" s="1"/>
  <c r="H365" i="16"/>
  <c r="AA365" i="16"/>
  <c r="Z365" i="16" s="1"/>
  <c r="Y365" i="16" s="1"/>
  <c r="G373" i="16"/>
  <c r="BY373" i="6" s="1"/>
  <c r="H373" i="16"/>
  <c r="G377" i="16"/>
  <c r="BY377" i="6" s="1"/>
  <c r="H377" i="16"/>
  <c r="AA377" i="16"/>
  <c r="Z377" i="16" s="1"/>
  <c r="Y377" i="16" s="1"/>
  <c r="G214" i="16"/>
  <c r="BY214" i="6" s="1"/>
  <c r="AA214" i="16"/>
  <c r="Z214" i="16" s="1"/>
  <c r="Y214" i="16" s="1"/>
  <c r="H214" i="16"/>
  <c r="G246" i="16"/>
  <c r="BY246" i="6" s="1"/>
  <c r="H246" i="16"/>
  <c r="G254" i="16"/>
  <c r="BY254" i="6" s="1"/>
  <c r="H254" i="16"/>
  <c r="G286" i="16"/>
  <c r="BY286" i="6" s="1"/>
  <c r="H286" i="16"/>
  <c r="G194" i="16"/>
  <c r="BY194" i="6" s="1"/>
  <c r="H194" i="16"/>
  <c r="AA194" i="16"/>
  <c r="Z194" i="16" s="1"/>
  <c r="Y194" i="16" s="1"/>
  <c r="G202" i="16"/>
  <c r="BY202" i="6" s="1"/>
  <c r="AA202" i="16"/>
  <c r="Z202" i="16" s="1"/>
  <c r="Y202" i="16" s="1"/>
  <c r="H202" i="16"/>
  <c r="AA329" i="16"/>
  <c r="Z329" i="16" s="1"/>
  <c r="Y329" i="16" s="1"/>
  <c r="AA23" i="16"/>
  <c r="Z23" i="16" s="1"/>
  <c r="Y23" i="16" s="1"/>
  <c r="AA340" i="16"/>
  <c r="Z340" i="16" s="1"/>
  <c r="Y340" i="16" s="1"/>
  <c r="AA115" i="16"/>
  <c r="Z115" i="16" s="1"/>
  <c r="Y115" i="16" s="1"/>
  <c r="AA249" i="16"/>
  <c r="Z249" i="16" s="1"/>
  <c r="Y249" i="16" s="1"/>
  <c r="AA164" i="16"/>
  <c r="Z164" i="16" s="1"/>
  <c r="Y164" i="16" s="1"/>
  <c r="AA286" i="16"/>
  <c r="Z286" i="16" s="1"/>
  <c r="Y286" i="16" s="1"/>
  <c r="V180" i="16"/>
  <c r="D49" i="7"/>
  <c r="H156" i="16"/>
  <c r="G156" i="16"/>
  <c r="BY156" i="6" s="1"/>
  <c r="H132" i="16"/>
  <c r="G132" i="16"/>
  <c r="BY132" i="6" s="1"/>
  <c r="G265" i="16"/>
  <c r="BY265" i="6" s="1"/>
  <c r="H265" i="16"/>
  <c r="AA265" i="16"/>
  <c r="Z265" i="16" s="1"/>
  <c r="Y265" i="16" s="1"/>
  <c r="G225" i="16"/>
  <c r="BY225" i="6" s="1"/>
  <c r="H225" i="16"/>
  <c r="G360" i="16"/>
  <c r="BY360" i="6" s="1"/>
  <c r="H360" i="16"/>
  <c r="AA360" i="16"/>
  <c r="Z360" i="16" s="1"/>
  <c r="Y360" i="16" s="1"/>
  <c r="G344" i="16"/>
  <c r="BY344" i="6" s="1"/>
  <c r="H344" i="16"/>
  <c r="AA324" i="16"/>
  <c r="Z324" i="16" s="1"/>
  <c r="Y324" i="16" s="1"/>
  <c r="G324" i="16"/>
  <c r="BY324" i="6" s="1"/>
  <c r="AA276" i="16"/>
  <c r="Z276" i="16" s="1"/>
  <c r="Y276" i="16" s="1"/>
  <c r="G276" i="16"/>
  <c r="BY276" i="6" s="1"/>
  <c r="G236" i="16"/>
  <c r="BY236" i="6" s="1"/>
  <c r="H236" i="16"/>
  <c r="AA236" i="16"/>
  <c r="Z236" i="16" s="1"/>
  <c r="Y236" i="16" s="1"/>
  <c r="J258" i="16"/>
  <c r="I258" i="16"/>
  <c r="G174" i="16"/>
  <c r="BY174" i="6" s="1"/>
  <c r="H174" i="16"/>
  <c r="AA174" i="16"/>
  <c r="Z174" i="16" s="1"/>
  <c r="Y174" i="16" s="1"/>
  <c r="G158" i="16"/>
  <c r="BY158" i="6" s="1"/>
  <c r="H158" i="16"/>
  <c r="G142" i="16"/>
  <c r="BY142" i="6" s="1"/>
  <c r="H142" i="16"/>
  <c r="AA291" i="16"/>
  <c r="Z291" i="16" s="1"/>
  <c r="Y291" i="16" s="1"/>
  <c r="G291" i="16"/>
  <c r="BY291" i="6" s="1"/>
  <c r="H291" i="16"/>
  <c r="H263" i="16"/>
  <c r="G263" i="16"/>
  <c r="BY263" i="6" s="1"/>
  <c r="G223" i="16"/>
  <c r="BY223" i="6" s="1"/>
  <c r="AA223" i="16"/>
  <c r="Z223" i="16" s="1"/>
  <c r="Y223" i="16" s="1"/>
  <c r="H223" i="16"/>
  <c r="G370" i="16"/>
  <c r="BY370" i="6" s="1"/>
  <c r="H370" i="16"/>
  <c r="G346" i="16"/>
  <c r="BY346" i="6" s="1"/>
  <c r="H346" i="16"/>
  <c r="G314" i="16"/>
  <c r="BY314" i="6" s="1"/>
  <c r="AA314" i="16"/>
  <c r="Z314" i="16" s="1"/>
  <c r="Y314" i="16" s="1"/>
  <c r="H314" i="16"/>
  <c r="G288" i="16"/>
  <c r="BY288" i="6" s="1"/>
  <c r="AA288" i="16"/>
  <c r="Z288" i="16" s="1"/>
  <c r="Y288" i="16" s="1"/>
  <c r="G256" i="16"/>
  <c r="BY256" i="6" s="1"/>
  <c r="H256" i="16"/>
  <c r="G216" i="16"/>
  <c r="BY216" i="6" s="1"/>
  <c r="H216" i="16"/>
  <c r="AA216" i="16"/>
  <c r="Z216" i="16" s="1"/>
  <c r="Y216" i="16" s="1"/>
  <c r="T382" i="16"/>
  <c r="S15" i="16"/>
  <c r="T383" i="16"/>
  <c r="T381" i="16"/>
  <c r="AA142" i="16"/>
  <c r="Z142" i="16" s="1"/>
  <c r="Y142" i="16" s="1"/>
  <c r="AA43" i="16"/>
  <c r="Z43" i="16" s="1"/>
  <c r="Y43" i="16" s="1"/>
  <c r="AA263" i="16"/>
  <c r="Z263" i="16" s="1"/>
  <c r="Y263" i="16" s="1"/>
  <c r="AA344" i="16"/>
  <c r="Z344" i="16" s="1"/>
  <c r="Y344" i="16" s="1"/>
  <c r="AA370" i="16"/>
  <c r="Z370" i="16" s="1"/>
  <c r="Y370" i="16" s="1"/>
  <c r="AA132" i="16"/>
  <c r="Z132" i="16" s="1"/>
  <c r="Y132" i="16" s="1"/>
  <c r="AA250" i="16"/>
  <c r="Z250" i="16" s="1"/>
  <c r="Y250" i="16" s="1"/>
  <c r="G148" i="16"/>
  <c r="BY148" i="6" s="1"/>
  <c r="AA148" i="16"/>
  <c r="Z148" i="16" s="1"/>
  <c r="Y148" i="16" s="1"/>
  <c r="H148" i="16"/>
  <c r="G273" i="16"/>
  <c r="BY273" i="6" s="1"/>
  <c r="AA273" i="16"/>
  <c r="Z273" i="16" s="1"/>
  <c r="Y273" i="16" s="1"/>
  <c r="H273" i="16"/>
  <c r="G229" i="16"/>
  <c r="BY229" i="6" s="1"/>
  <c r="H229" i="16"/>
  <c r="V380" i="16"/>
  <c r="F380" i="16"/>
  <c r="G348" i="16"/>
  <c r="BY348" i="6" s="1"/>
  <c r="H348" i="16"/>
  <c r="AA348" i="16"/>
  <c r="Z348" i="16" s="1"/>
  <c r="Y348" i="16" s="1"/>
  <c r="G332" i="16"/>
  <c r="BY332" i="6" s="1"/>
  <c r="H332" i="16"/>
  <c r="AA332" i="16"/>
  <c r="Z332" i="16" s="1"/>
  <c r="Y332" i="16" s="1"/>
  <c r="G292" i="16"/>
  <c r="BY292" i="6" s="1"/>
  <c r="AA292" i="16"/>
  <c r="Z292" i="16" s="1"/>
  <c r="Y292" i="16" s="1"/>
  <c r="H292" i="16"/>
  <c r="G244" i="16"/>
  <c r="BY244" i="6" s="1"/>
  <c r="H244" i="16"/>
  <c r="G196" i="16"/>
  <c r="BY196" i="6" s="1"/>
  <c r="H196" i="16"/>
  <c r="G186" i="16"/>
  <c r="BY186" i="6" s="1"/>
  <c r="AA186" i="16"/>
  <c r="Z186" i="16" s="1"/>
  <c r="Y186" i="16" s="1"/>
  <c r="H186" i="16"/>
  <c r="G162" i="16"/>
  <c r="BY162" i="6" s="1"/>
  <c r="AA162" i="16"/>
  <c r="Z162" i="16" s="1"/>
  <c r="Y162" i="16" s="1"/>
  <c r="H162" i="16"/>
  <c r="G146" i="16"/>
  <c r="BY146" i="6" s="1"/>
  <c r="H146" i="16"/>
  <c r="G35" i="16"/>
  <c r="BY35" i="6" s="1"/>
  <c r="H35" i="16"/>
  <c r="G366" i="16"/>
  <c r="BY366" i="6" s="1"/>
  <c r="H366" i="16"/>
  <c r="G338" i="16"/>
  <c r="BY338" i="6" s="1"/>
  <c r="H338" i="16"/>
  <c r="G306" i="16"/>
  <c r="BY306" i="6" s="1"/>
  <c r="H306" i="16"/>
  <c r="AA280" i="16"/>
  <c r="Z280" i="16" s="1"/>
  <c r="Y280" i="16" s="1"/>
  <c r="G280" i="16"/>
  <c r="BY280" i="6" s="1"/>
  <c r="H280" i="16"/>
  <c r="G248" i="16"/>
  <c r="BY248" i="6" s="1"/>
  <c r="H248" i="16"/>
  <c r="G206" i="16"/>
  <c r="BY206" i="6" s="1"/>
  <c r="H206" i="16"/>
  <c r="AG15" i="16"/>
  <c r="AH383" i="16"/>
  <c r="AH381" i="16"/>
  <c r="AH382" i="16"/>
  <c r="AG379" i="16"/>
  <c r="AF379" i="16" s="1"/>
  <c r="AD379" i="16" s="1"/>
  <c r="AA379" i="16" s="1"/>
  <c r="Z379" i="16" s="1"/>
  <c r="Y379" i="16" s="1"/>
  <c r="H276" i="16"/>
  <c r="H39" i="16"/>
  <c r="AA107" i="16"/>
  <c r="Z107" i="16" s="1"/>
  <c r="Y107" i="16" s="1"/>
  <c r="AA35" i="16"/>
  <c r="Z35" i="16" s="1"/>
  <c r="Y35" i="16" s="1"/>
  <c r="H43" i="16"/>
  <c r="AA158" i="16"/>
  <c r="Z158" i="16" s="1"/>
  <c r="Y158" i="16" s="1"/>
  <c r="AA225" i="16"/>
  <c r="Z225" i="16" s="1"/>
  <c r="Y225" i="16" s="1"/>
  <c r="AA220" i="16"/>
  <c r="Z220" i="16" s="1"/>
  <c r="Y220" i="16" s="1"/>
  <c r="AA346" i="16"/>
  <c r="Z346" i="16" s="1"/>
  <c r="Y346" i="16" s="1"/>
  <c r="AA244" i="16"/>
  <c r="Z244" i="16" s="1"/>
  <c r="Y244" i="16" s="1"/>
  <c r="AA306" i="16"/>
  <c r="Z306" i="16" s="1"/>
  <c r="Y306" i="16" s="1"/>
  <c r="H298" i="16"/>
  <c r="H23" i="16"/>
  <c r="L42" i="19"/>
  <c r="Q12" i="18"/>
  <c r="J320" i="16"/>
  <c r="I287" i="16"/>
  <c r="J91" i="16"/>
  <c r="I114" i="16"/>
  <c r="J83" i="16"/>
  <c r="J219" i="16"/>
  <c r="I138" i="16"/>
  <c r="J152" i="16"/>
  <c r="J108" i="16"/>
  <c r="J176" i="16"/>
  <c r="I271" i="16"/>
  <c r="G379" i="16"/>
  <c r="BY379" i="6" s="1"/>
  <c r="J182" i="16"/>
  <c r="I33" i="16"/>
  <c r="J17" i="16"/>
  <c r="J127" i="16"/>
  <c r="L41" i="19"/>
  <c r="V15" i="7"/>
  <c r="J79" i="16"/>
  <c r="I231" i="16"/>
  <c r="I98" i="16"/>
  <c r="J69" i="16"/>
  <c r="I45" i="16"/>
  <c r="J25" i="16"/>
  <c r="J19" i="16"/>
  <c r="J178" i="16"/>
  <c r="I36" i="16"/>
  <c r="Q382" i="17"/>
  <c r="I42" i="16"/>
  <c r="I124" i="16"/>
  <c r="J62" i="16"/>
  <c r="I16" i="16"/>
  <c r="J70" i="16"/>
  <c r="J29" i="16"/>
  <c r="I38" i="16"/>
  <c r="I40" i="16"/>
  <c r="I56" i="16"/>
  <c r="J58" i="16"/>
  <c r="I167" i="16"/>
  <c r="I50" i="16"/>
  <c r="I18" i="16"/>
  <c r="J54" i="16"/>
  <c r="I30" i="16"/>
  <c r="H266" i="16"/>
  <c r="J266" i="16" s="1"/>
  <c r="H75" i="16"/>
  <c r="J75" i="16" s="1"/>
  <c r="AA172" i="16"/>
  <c r="Z172" i="16" s="1"/>
  <c r="Y172" i="16" s="1"/>
  <c r="I321" i="16"/>
  <c r="Q383" i="17"/>
  <c r="Q381" i="17"/>
  <c r="H172" i="16"/>
  <c r="J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I197" i="16"/>
  <c r="J197" i="16"/>
  <c r="I324" i="16"/>
  <c r="J324" i="16"/>
  <c r="J48" i="16"/>
  <c r="I48" i="16"/>
  <c r="I53" i="16"/>
  <c r="J53" i="16"/>
  <c r="J57" i="16"/>
  <c r="I57" i="16"/>
  <c r="I87" i="16"/>
  <c r="J87" i="16"/>
  <c r="J88" i="16"/>
  <c r="I88" i="16"/>
  <c r="I184" i="16"/>
  <c r="J184" i="16"/>
  <c r="I308" i="16"/>
  <c r="J308" i="16"/>
  <c r="I342" i="16"/>
  <c r="J342" i="16"/>
  <c r="I358" i="16"/>
  <c r="J358" i="16"/>
  <c r="J199" i="16"/>
  <c r="I199" i="16"/>
  <c r="I217" i="16"/>
  <c r="J217" i="16"/>
  <c r="I171" i="16"/>
  <c r="J171" i="16"/>
  <c r="AK5" i="24"/>
  <c r="AM5" i="24"/>
  <c r="AK7" i="24"/>
  <c r="AK11" i="24" s="1"/>
  <c r="AM9" i="24"/>
  <c r="AK9" i="24"/>
  <c r="AM7" i="24"/>
  <c r="AM11" i="24" s="1"/>
  <c r="J299" i="16"/>
  <c r="I299" i="16"/>
  <c r="J31" i="16"/>
  <c r="I31" i="16"/>
  <c r="I333" i="16"/>
  <c r="J333" i="16"/>
  <c r="I52" i="16"/>
  <c r="J52" i="16"/>
  <c r="J60" i="16"/>
  <c r="I60" i="16"/>
  <c r="J341" i="16"/>
  <c r="I341" i="16"/>
  <c r="I74" i="16"/>
  <c r="J74" i="16"/>
  <c r="I233" i="16"/>
  <c r="J233" i="16"/>
  <c r="I374" i="16"/>
  <c r="J374" i="16"/>
  <c r="I149" i="16"/>
  <c r="J149" i="16"/>
  <c r="J372" i="16"/>
  <c r="I372" i="16"/>
  <c r="I378" i="16"/>
  <c r="J378" i="16"/>
  <c r="J93" i="16"/>
  <c r="I93" i="16"/>
  <c r="J264" i="16"/>
  <c r="I264" i="16"/>
  <c r="G46" i="16"/>
  <c r="BY46" i="6" s="1"/>
  <c r="AA46" i="16"/>
  <c r="Z46" i="16" s="1"/>
  <c r="Y46" i="16" s="1"/>
  <c r="H46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AA15" i="7"/>
  <c r="Q10" i="18"/>
  <c r="AE18" i="18" s="1"/>
  <c r="J118" i="16"/>
  <c r="I118" i="16"/>
  <c r="I210" i="16"/>
  <c r="J210" i="16"/>
  <c r="J111" i="16"/>
  <c r="I111" i="16"/>
  <c r="I212" i="16"/>
  <c r="J212" i="16"/>
  <c r="I275" i="16"/>
  <c r="J275" i="16"/>
  <c r="J289" i="16"/>
  <c r="I289" i="16"/>
  <c r="I310" i="16"/>
  <c r="J310" i="16"/>
  <c r="AK3" i="22"/>
  <c r="Q17" i="19" s="1"/>
  <c r="I119" i="16"/>
  <c r="J119" i="16"/>
  <c r="J363" i="16"/>
  <c r="I363" i="16"/>
  <c r="J28" i="16"/>
  <c r="I28" i="16"/>
  <c r="I222" i="16"/>
  <c r="J222" i="16"/>
  <c r="J274" i="16"/>
  <c r="I274" i="16"/>
  <c r="I73" i="16"/>
  <c r="J73" i="16"/>
  <c r="L381" i="24"/>
  <c r="L382" i="24"/>
  <c r="L383" i="24"/>
  <c r="I139" i="16"/>
  <c r="J139" i="16"/>
  <c r="J78" i="16"/>
  <c r="I78" i="16"/>
  <c r="I103" i="16"/>
  <c r="J103" i="16"/>
  <c r="J173" i="16"/>
  <c r="I173" i="16"/>
  <c r="J296" i="16"/>
  <c r="I296" i="16"/>
  <c r="J21" i="16"/>
  <c r="I21" i="16"/>
  <c r="I97" i="16"/>
  <c r="J97" i="16"/>
  <c r="J322" i="16"/>
  <c r="I322" i="16"/>
  <c r="I26" i="16" l="1"/>
  <c r="J26" i="16"/>
  <c r="J22" i="16"/>
  <c r="I22" i="16"/>
  <c r="I20" i="16"/>
  <c r="J20" i="16"/>
  <c r="J259" i="16"/>
  <c r="I259" i="16"/>
  <c r="J160" i="16"/>
  <c r="I160" i="16"/>
  <c r="I267" i="16"/>
  <c r="J267" i="16"/>
  <c r="I168" i="16"/>
  <c r="J168" i="16"/>
  <c r="AI15" i="17"/>
  <c r="AI18" i="17"/>
  <c r="AH18" i="17" s="1"/>
  <c r="AI336" i="17"/>
  <c r="AH336" i="17" s="1"/>
  <c r="AI368" i="17"/>
  <c r="AH368" i="17" s="1"/>
  <c r="AI207" i="17"/>
  <c r="AH207" i="17" s="1"/>
  <c r="AI352" i="17"/>
  <c r="AH352" i="17" s="1"/>
  <c r="AI288" i="17"/>
  <c r="AH288" i="17" s="1"/>
  <c r="AI175" i="17"/>
  <c r="AH175" i="17" s="1"/>
  <c r="AI47" i="17"/>
  <c r="AH47" i="17" s="1"/>
  <c r="AI376" i="17"/>
  <c r="AH376" i="17" s="1"/>
  <c r="AI344" i="17"/>
  <c r="AH344" i="17" s="1"/>
  <c r="AI312" i="17"/>
  <c r="AH312" i="17" s="1"/>
  <c r="AI280" i="17"/>
  <c r="AH280" i="17" s="1"/>
  <c r="AI223" i="17"/>
  <c r="AH223" i="17" s="1"/>
  <c r="AI159" i="17"/>
  <c r="AH159" i="17" s="1"/>
  <c r="AI95" i="17"/>
  <c r="AH95" i="17" s="1"/>
  <c r="AI31" i="17"/>
  <c r="AH31" i="17" s="1"/>
  <c r="AI372" i="17"/>
  <c r="AH372" i="17" s="1"/>
  <c r="AI356" i="17"/>
  <c r="AH356" i="17" s="1"/>
  <c r="AI340" i="17"/>
  <c r="AH340" i="17" s="1"/>
  <c r="AI324" i="17"/>
  <c r="AH324" i="17" s="1"/>
  <c r="AI308" i="17"/>
  <c r="AH308" i="17" s="1"/>
  <c r="AI292" i="17"/>
  <c r="AH292" i="17" s="1"/>
  <c r="AI276" i="17"/>
  <c r="AH276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4" i="17"/>
  <c r="AH374" i="17" s="1"/>
  <c r="AI366" i="17"/>
  <c r="AH366" i="17" s="1"/>
  <c r="AI358" i="17"/>
  <c r="AH358" i="17" s="1"/>
  <c r="AI350" i="17"/>
  <c r="AH350" i="17" s="1"/>
  <c r="AI342" i="17"/>
  <c r="AH342" i="17" s="1"/>
  <c r="AI334" i="17"/>
  <c r="AH334" i="17" s="1"/>
  <c r="AI326" i="17"/>
  <c r="AH326" i="17" s="1"/>
  <c r="AI318" i="17"/>
  <c r="AH318" i="17" s="1"/>
  <c r="AI310" i="17"/>
  <c r="AH310" i="17" s="1"/>
  <c r="AI302" i="17"/>
  <c r="AH302" i="17" s="1"/>
  <c r="AI294" i="17"/>
  <c r="AH294" i="17" s="1"/>
  <c r="AI286" i="17"/>
  <c r="AH286" i="17" s="1"/>
  <c r="AI278" i="17"/>
  <c r="AH278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271" i="17"/>
  <c r="AH271" i="17" s="1"/>
  <c r="AI143" i="17"/>
  <c r="AH143" i="17" s="1"/>
  <c r="AI304" i="17"/>
  <c r="AH304" i="17" s="1"/>
  <c r="AI79" i="17"/>
  <c r="AH79" i="17" s="1"/>
  <c r="AI320" i="17"/>
  <c r="AH320" i="17" s="1"/>
  <c r="AI239" i="17"/>
  <c r="AH239" i="17" s="1"/>
  <c r="AI111" i="17"/>
  <c r="AH111" i="17" s="1"/>
  <c r="AI360" i="17"/>
  <c r="AH360" i="17" s="1"/>
  <c r="AI328" i="17"/>
  <c r="AH328" i="17" s="1"/>
  <c r="AI296" i="17"/>
  <c r="AH296" i="17" s="1"/>
  <c r="AI255" i="17"/>
  <c r="AH255" i="17" s="1"/>
  <c r="AI191" i="17"/>
  <c r="AH191" i="17" s="1"/>
  <c r="AI127" i="17"/>
  <c r="AH127" i="17" s="1"/>
  <c r="AI63" i="17"/>
  <c r="AH63" i="17" s="1"/>
  <c r="AI364" i="17"/>
  <c r="AH364" i="17" s="1"/>
  <c r="AI348" i="17"/>
  <c r="AH348" i="17" s="1"/>
  <c r="AI332" i="17"/>
  <c r="AH332" i="17" s="1"/>
  <c r="AI316" i="17"/>
  <c r="AH316" i="17" s="1"/>
  <c r="AI300" i="17"/>
  <c r="AH300" i="17" s="1"/>
  <c r="AI284" i="17"/>
  <c r="AH284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22" i="17"/>
  <c r="AH322" i="17" s="1"/>
  <c r="AI314" i="17"/>
  <c r="AH314" i="17" s="1"/>
  <c r="AI306" i="17"/>
  <c r="AH306" i="17" s="1"/>
  <c r="AI298" i="17"/>
  <c r="AH298" i="17" s="1"/>
  <c r="AI290" i="17"/>
  <c r="AH290" i="17" s="1"/>
  <c r="AI282" i="17"/>
  <c r="AH282" i="17" s="1"/>
  <c r="AI274" i="17"/>
  <c r="AH274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6" i="17"/>
  <c r="AH16" i="17" s="1"/>
  <c r="AI26" i="17"/>
  <c r="AH26" i="17" s="1"/>
  <c r="AI34" i="17"/>
  <c r="AH34" i="17" s="1"/>
  <c r="AI42" i="17"/>
  <c r="AH42" i="17" s="1"/>
  <c r="AI50" i="17"/>
  <c r="AH50" i="17" s="1"/>
  <c r="AI58" i="17"/>
  <c r="AH58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W16" i="7"/>
  <c r="AI22" i="17"/>
  <c r="AH22" i="17" s="1"/>
  <c r="AI30" i="17"/>
  <c r="AH30" i="17" s="1"/>
  <c r="AI38" i="17"/>
  <c r="AH38" i="17" s="1"/>
  <c r="AI46" i="17"/>
  <c r="AH46" i="17" s="1"/>
  <c r="AI54" i="17"/>
  <c r="AH54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69" i="17"/>
  <c r="AH269" i="17" s="1"/>
  <c r="AI261" i="17"/>
  <c r="AH261" i="17" s="1"/>
  <c r="AI253" i="17"/>
  <c r="AH253" i="17" s="1"/>
  <c r="AI245" i="17"/>
  <c r="AH245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F337" i="17" s="1"/>
  <c r="H337" i="17" s="1"/>
  <c r="U333" i="17"/>
  <c r="T333" i="17" s="1"/>
  <c r="U329" i="17"/>
  <c r="T329" i="17" s="1"/>
  <c r="S329" i="17" s="1"/>
  <c r="R329" i="17" s="1"/>
  <c r="P329" i="17" s="1"/>
  <c r="V329" i="17" s="1"/>
  <c r="F329" i="17" s="1"/>
  <c r="U325" i="17"/>
  <c r="T325" i="17" s="1"/>
  <c r="S325" i="17" s="1"/>
  <c r="R325" i="17" s="1"/>
  <c r="P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F301" i="17" s="1"/>
  <c r="U297" i="17"/>
  <c r="T297" i="17" s="1"/>
  <c r="S297" i="17" s="1"/>
  <c r="R297" i="17" s="1"/>
  <c r="P297" i="17" s="1"/>
  <c r="V297" i="17" s="1"/>
  <c r="F297" i="17" s="1"/>
  <c r="H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F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U213" i="17"/>
  <c r="T213" i="17" s="1"/>
  <c r="U209" i="17"/>
  <c r="T209" i="17" s="1"/>
  <c r="S209" i="17" s="1"/>
  <c r="R209" i="17" s="1"/>
  <c r="P209" i="17" s="1"/>
  <c r="V209" i="17" s="1"/>
  <c r="F209" i="17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U157" i="17"/>
  <c r="T157" i="17" s="1"/>
  <c r="S157" i="17" s="1"/>
  <c r="R157" i="17" s="1"/>
  <c r="P157" i="17" s="1"/>
  <c r="V157" i="17" s="1"/>
  <c r="F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U137" i="17"/>
  <c r="T137" i="17" s="1"/>
  <c r="U133" i="17"/>
  <c r="T133" i="17" s="1"/>
  <c r="U129" i="17"/>
  <c r="T129" i="17" s="1"/>
  <c r="S129" i="17" s="1"/>
  <c r="R129" i="17" s="1"/>
  <c r="P129" i="17" s="1"/>
  <c r="U125" i="17"/>
  <c r="T125" i="17" s="1"/>
  <c r="U121" i="17"/>
  <c r="T121" i="17" s="1"/>
  <c r="U117" i="17"/>
  <c r="T117" i="17" s="1"/>
  <c r="S117" i="17" s="1"/>
  <c r="R117" i="17" s="1"/>
  <c r="P117" i="17" s="1"/>
  <c r="U113" i="17"/>
  <c r="T113" i="17" s="1"/>
  <c r="S113" i="17" s="1"/>
  <c r="R113" i="17" s="1"/>
  <c r="P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U85" i="17"/>
  <c r="T85" i="17" s="1"/>
  <c r="S85" i="17" s="1"/>
  <c r="R85" i="17" s="1"/>
  <c r="P85" i="17" s="1"/>
  <c r="U81" i="17"/>
  <c r="T81" i="17" s="1"/>
  <c r="U77" i="17"/>
  <c r="T77" i="17" s="1"/>
  <c r="U73" i="17"/>
  <c r="T73" i="17" s="1"/>
  <c r="S73" i="17" s="1"/>
  <c r="R73" i="17" s="1"/>
  <c r="P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U61" i="17"/>
  <c r="T61" i="17" s="1"/>
  <c r="S61" i="17" s="1"/>
  <c r="R61" i="17" s="1"/>
  <c r="P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U29" i="17"/>
  <c r="T29" i="17" s="1"/>
  <c r="U25" i="17"/>
  <c r="T25" i="17" s="1"/>
  <c r="S25" i="17" s="1"/>
  <c r="R25" i="17" s="1"/>
  <c r="P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U370" i="17"/>
  <c r="T370" i="17" s="1"/>
  <c r="S370" i="17" s="1"/>
  <c r="R370" i="17" s="1"/>
  <c r="P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U358" i="17"/>
  <c r="T358" i="17" s="1"/>
  <c r="S358" i="17" s="1"/>
  <c r="R358" i="17" s="1"/>
  <c r="P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U310" i="17"/>
  <c r="T310" i="17" s="1"/>
  <c r="S310" i="17" s="1"/>
  <c r="R310" i="17" s="1"/>
  <c r="P310" i="17" s="1"/>
  <c r="U306" i="17"/>
  <c r="T306" i="17" s="1"/>
  <c r="S306" i="17" s="1"/>
  <c r="R306" i="17" s="1"/>
  <c r="P306" i="17" s="1"/>
  <c r="V306" i="17" s="1"/>
  <c r="F306" i="17" s="1"/>
  <c r="U302" i="17"/>
  <c r="T302" i="17" s="1"/>
  <c r="S302" i="17" s="1"/>
  <c r="R302" i="17" s="1"/>
  <c r="P302" i="17" s="1"/>
  <c r="U298" i="17"/>
  <c r="T298" i="17" s="1"/>
  <c r="S298" i="17" s="1"/>
  <c r="R298" i="17" s="1"/>
  <c r="P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AI275" i="17"/>
  <c r="AH275" i="17" s="1"/>
  <c r="AI265" i="17"/>
  <c r="AH265" i="17" s="1"/>
  <c r="AI257" i="17"/>
  <c r="AH257" i="17" s="1"/>
  <c r="AI249" i="17"/>
  <c r="AH249" i="17" s="1"/>
  <c r="AI241" i="17"/>
  <c r="AH241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U379" i="17"/>
  <c r="U375" i="17"/>
  <c r="T375" i="17" s="1"/>
  <c r="S375" i="17" s="1"/>
  <c r="R375" i="17" s="1"/>
  <c r="P375" i="17" s="1"/>
  <c r="U371" i="17"/>
  <c r="T371" i="17" s="1"/>
  <c r="S371" i="17" s="1"/>
  <c r="R371" i="17" s="1"/>
  <c r="P371" i="17" s="1"/>
  <c r="U367" i="17"/>
  <c r="T367" i="17" s="1"/>
  <c r="U363" i="17"/>
  <c r="T363" i="17" s="1"/>
  <c r="U359" i="17"/>
  <c r="T359" i="17" s="1"/>
  <c r="S359" i="17" s="1"/>
  <c r="R359" i="17" s="1"/>
  <c r="P359" i="17" s="1"/>
  <c r="U355" i="17"/>
  <c r="T355" i="17" s="1"/>
  <c r="S355" i="17" s="1"/>
  <c r="R355" i="17" s="1"/>
  <c r="P355" i="17" s="1"/>
  <c r="U351" i="17"/>
  <c r="T351" i="17" s="1"/>
  <c r="U347" i="17"/>
  <c r="T347" i="17" s="1"/>
  <c r="U343" i="17"/>
  <c r="T343" i="17" s="1"/>
  <c r="S343" i="17" s="1"/>
  <c r="R343" i="17" s="1"/>
  <c r="P343" i="17" s="1"/>
  <c r="U339" i="17"/>
  <c r="T339" i="17" s="1"/>
  <c r="S339" i="17" s="1"/>
  <c r="R339" i="17" s="1"/>
  <c r="P339" i="17" s="1"/>
  <c r="U335" i="17"/>
  <c r="T335" i="17" s="1"/>
  <c r="S335" i="17" s="1"/>
  <c r="R335" i="17" s="1"/>
  <c r="P335" i="17" s="1"/>
  <c r="V335" i="17" s="1"/>
  <c r="F335" i="17" s="1"/>
  <c r="U331" i="17"/>
  <c r="T331" i="17" s="1"/>
  <c r="S331" i="17" s="1"/>
  <c r="R331" i="17" s="1"/>
  <c r="P331" i="17" s="1"/>
  <c r="U327" i="17"/>
  <c r="T327" i="17" s="1"/>
  <c r="S327" i="17" s="1"/>
  <c r="R327" i="17" s="1"/>
  <c r="P327" i="17" s="1"/>
  <c r="U323" i="17"/>
  <c r="T323" i="17" s="1"/>
  <c r="U319" i="17"/>
  <c r="T319" i="17" s="1"/>
  <c r="S319" i="17" s="1"/>
  <c r="R319" i="17" s="1"/>
  <c r="P319" i="17" s="1"/>
  <c r="U315" i="17"/>
  <c r="T315" i="17" s="1"/>
  <c r="S315" i="17" s="1"/>
  <c r="R315" i="17" s="1"/>
  <c r="P315" i="17" s="1"/>
  <c r="U311" i="17"/>
  <c r="T311" i="17" s="1"/>
  <c r="S311" i="17" s="1"/>
  <c r="R311" i="17" s="1"/>
  <c r="P311" i="17" s="1"/>
  <c r="V311" i="17" s="1"/>
  <c r="U307" i="17"/>
  <c r="T307" i="17" s="1"/>
  <c r="U303" i="17"/>
  <c r="T303" i="17" s="1"/>
  <c r="U299" i="17"/>
  <c r="T299" i="17" s="1"/>
  <c r="S299" i="17" s="1"/>
  <c r="R299" i="17" s="1"/>
  <c r="P299" i="17" s="1"/>
  <c r="U295" i="17"/>
  <c r="T295" i="17" s="1"/>
  <c r="U291" i="17"/>
  <c r="T291" i="17" s="1"/>
  <c r="U287" i="17"/>
  <c r="T287" i="17" s="1"/>
  <c r="S287" i="17" s="1"/>
  <c r="R287" i="17" s="1"/>
  <c r="P287" i="17" s="1"/>
  <c r="U283" i="17"/>
  <c r="T283" i="17" s="1"/>
  <c r="S283" i="17" s="1"/>
  <c r="R283" i="17" s="1"/>
  <c r="P283" i="17" s="1"/>
  <c r="U279" i="17"/>
  <c r="T279" i="17" s="1"/>
  <c r="S279" i="17" s="1"/>
  <c r="R279" i="17" s="1"/>
  <c r="P279" i="17" s="1"/>
  <c r="V279" i="17" s="1"/>
  <c r="U275" i="17"/>
  <c r="T275" i="17" s="1"/>
  <c r="U271" i="17"/>
  <c r="T271" i="17" s="1"/>
  <c r="S271" i="17" s="1"/>
  <c r="R271" i="17" s="1"/>
  <c r="P271" i="17" s="1"/>
  <c r="U267" i="17"/>
  <c r="T267" i="17" s="1"/>
  <c r="U263" i="17"/>
  <c r="T263" i="17" s="1"/>
  <c r="S263" i="17" s="1"/>
  <c r="R263" i="17" s="1"/>
  <c r="P263" i="17" s="1"/>
  <c r="V263" i="17" s="1"/>
  <c r="U259" i="17"/>
  <c r="T259" i="17" s="1"/>
  <c r="S259" i="17" s="1"/>
  <c r="R259" i="17" s="1"/>
  <c r="P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U215" i="17"/>
  <c r="T215" i="17" s="1"/>
  <c r="S215" i="17" s="1"/>
  <c r="R215" i="17" s="1"/>
  <c r="P215" i="17" s="1"/>
  <c r="V215" i="17" s="1"/>
  <c r="F215" i="17" s="1"/>
  <c r="U211" i="17"/>
  <c r="T211" i="17" s="1"/>
  <c r="S211" i="17" s="1"/>
  <c r="R211" i="17" s="1"/>
  <c r="P211" i="17" s="1"/>
  <c r="U207" i="17"/>
  <c r="T207" i="17" s="1"/>
  <c r="U203" i="17"/>
  <c r="T203" i="17" s="1"/>
  <c r="S203" i="17" s="1"/>
  <c r="R203" i="17" s="1"/>
  <c r="P203" i="17" s="1"/>
  <c r="V203" i="17" s="1"/>
  <c r="F203" i="17" s="1"/>
  <c r="U199" i="17"/>
  <c r="T199" i="17" s="1"/>
  <c r="S199" i="17" s="1"/>
  <c r="R199" i="17" s="1"/>
  <c r="P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H191" i="17" s="1"/>
  <c r="U187" i="17"/>
  <c r="T187" i="17" s="1"/>
  <c r="S187" i="17" s="1"/>
  <c r="R187" i="17" s="1"/>
  <c r="P187" i="17" s="1"/>
  <c r="U183" i="17"/>
  <c r="T183" i="17" s="1"/>
  <c r="U179" i="17"/>
  <c r="T179" i="17" s="1"/>
  <c r="U175" i="17"/>
  <c r="T175" i="17" s="1"/>
  <c r="S175" i="17" s="1"/>
  <c r="R175" i="17" s="1"/>
  <c r="P175" i="17" s="1"/>
  <c r="U171" i="17"/>
  <c r="T171" i="17" s="1"/>
  <c r="U167" i="17"/>
  <c r="T167" i="17" s="1"/>
  <c r="S167" i="17" s="1"/>
  <c r="R167" i="17" s="1"/>
  <c r="P167" i="17" s="1"/>
  <c r="V167" i="17" s="1"/>
  <c r="U163" i="17"/>
  <c r="T163" i="17" s="1"/>
  <c r="U159" i="17"/>
  <c r="T159" i="17" s="1"/>
  <c r="S159" i="17" s="1"/>
  <c r="R159" i="17" s="1"/>
  <c r="P159" i="17" s="1"/>
  <c r="V159" i="17" s="1"/>
  <c r="F159" i="17" s="1"/>
  <c r="U155" i="17"/>
  <c r="T155" i="17" s="1"/>
  <c r="U151" i="17"/>
  <c r="T151" i="17" s="1"/>
  <c r="S151" i="17" s="1"/>
  <c r="R151" i="17" s="1"/>
  <c r="P151" i="17" s="1"/>
  <c r="U147" i="17"/>
  <c r="T147" i="17" s="1"/>
  <c r="U143" i="17"/>
  <c r="T143" i="17" s="1"/>
  <c r="S143" i="17" s="1"/>
  <c r="R143" i="17" s="1"/>
  <c r="P143" i="17" s="1"/>
  <c r="U139" i="17"/>
  <c r="T139" i="17" s="1"/>
  <c r="S139" i="17" s="1"/>
  <c r="R139" i="17" s="1"/>
  <c r="P139" i="17" s="1"/>
  <c r="U135" i="17"/>
  <c r="T135" i="17" s="1"/>
  <c r="U131" i="17"/>
  <c r="T131" i="17" s="1"/>
  <c r="U127" i="17"/>
  <c r="T127" i="17" s="1"/>
  <c r="S127" i="17" s="1"/>
  <c r="R127" i="17" s="1"/>
  <c r="P127" i="17" s="1"/>
  <c r="U123" i="17"/>
  <c r="T123" i="17" s="1"/>
  <c r="S123" i="17" s="1"/>
  <c r="R123" i="17" s="1"/>
  <c r="P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U103" i="17"/>
  <c r="T103" i="17" s="1"/>
  <c r="S103" i="17" s="1"/>
  <c r="R103" i="17" s="1"/>
  <c r="P103" i="17" s="1"/>
  <c r="U99" i="17"/>
  <c r="T99" i="17" s="1"/>
  <c r="S99" i="17" s="1"/>
  <c r="R99" i="17" s="1"/>
  <c r="P99" i="17" s="1"/>
  <c r="U95" i="17"/>
  <c r="T95" i="17" s="1"/>
  <c r="S95" i="17" s="1"/>
  <c r="R95" i="17" s="1"/>
  <c r="P95" i="17" s="1"/>
  <c r="U91" i="17"/>
  <c r="T91" i="17" s="1"/>
  <c r="U87" i="17"/>
  <c r="T87" i="17" s="1"/>
  <c r="U83" i="17"/>
  <c r="T83" i="17" s="1"/>
  <c r="S83" i="17" s="1"/>
  <c r="R83" i="17" s="1"/>
  <c r="P83" i="17" s="1"/>
  <c r="U79" i="17"/>
  <c r="T79" i="17" s="1"/>
  <c r="S79" i="17" s="1"/>
  <c r="R79" i="17" s="1"/>
  <c r="P79" i="17" s="1"/>
  <c r="U75" i="17"/>
  <c r="T75" i="17" s="1"/>
  <c r="U71" i="17"/>
  <c r="T71" i="17" s="1"/>
  <c r="U67" i="17"/>
  <c r="T67" i="17" s="1"/>
  <c r="S67" i="17" s="1"/>
  <c r="R67" i="17" s="1"/>
  <c r="P67" i="17" s="1"/>
  <c r="U63" i="17"/>
  <c r="T63" i="17" s="1"/>
  <c r="S63" i="17" s="1"/>
  <c r="R63" i="17" s="1"/>
  <c r="P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U43" i="17"/>
  <c r="T43" i="17" s="1"/>
  <c r="U39" i="17"/>
  <c r="T39" i="17" s="1"/>
  <c r="S39" i="17" s="1"/>
  <c r="R39" i="17" s="1"/>
  <c r="P39" i="17" s="1"/>
  <c r="U35" i="17"/>
  <c r="T35" i="17" s="1"/>
  <c r="S35" i="17" s="1"/>
  <c r="R35" i="17" s="1"/>
  <c r="P35" i="17" s="1"/>
  <c r="U31" i="17"/>
  <c r="T31" i="17" s="1"/>
  <c r="U27" i="17"/>
  <c r="T27" i="17" s="1"/>
  <c r="U23" i="17"/>
  <c r="T23" i="17" s="1"/>
  <c r="S23" i="17" s="1"/>
  <c r="R23" i="17" s="1"/>
  <c r="P23" i="17" s="1"/>
  <c r="U15" i="17"/>
  <c r="U19" i="17"/>
  <c r="T19" i="17" s="1"/>
  <c r="S19" i="17" s="1"/>
  <c r="R19" i="17" s="1"/>
  <c r="P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F344" i="17" s="1"/>
  <c r="U340" i="17"/>
  <c r="T340" i="17" s="1"/>
  <c r="S340" i="17" s="1"/>
  <c r="R340" i="17" s="1"/>
  <c r="P340" i="17" s="1"/>
  <c r="V340" i="17" s="1"/>
  <c r="U336" i="17"/>
  <c r="T33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8" i="17"/>
  <c r="T328" i="17" s="1"/>
  <c r="S328" i="17" s="1"/>
  <c r="R328" i="17" s="1"/>
  <c r="P328" i="17" s="1"/>
  <c r="V328" i="17" s="1"/>
  <c r="F328" i="17" s="1"/>
  <c r="U324" i="17"/>
  <c r="T324" i="17" s="1"/>
  <c r="S324" i="17" s="1"/>
  <c r="R324" i="17" s="1"/>
  <c r="P324" i="17" s="1"/>
  <c r="V324" i="17" s="1"/>
  <c r="F324" i="17" s="1"/>
  <c r="U320" i="17"/>
  <c r="T320" i="17" s="1"/>
  <c r="S320" i="17" s="1"/>
  <c r="R320" i="17" s="1"/>
  <c r="P320" i="17" s="1"/>
  <c r="V320" i="17" s="1"/>
  <c r="F320" i="17" s="1"/>
  <c r="U316" i="17"/>
  <c r="T316" i="17" s="1"/>
  <c r="U312" i="17"/>
  <c r="T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F300" i="17" s="1"/>
  <c r="U296" i="17"/>
  <c r="T296" i="17" s="1"/>
  <c r="U292" i="17"/>
  <c r="T292" i="17" s="1"/>
  <c r="S292" i="17" s="1"/>
  <c r="R292" i="17" s="1"/>
  <c r="P292" i="17" s="1"/>
  <c r="U288" i="17"/>
  <c r="T288" i="17" s="1"/>
  <c r="S288" i="17" s="1"/>
  <c r="R288" i="17" s="1"/>
  <c r="P288" i="17" s="1"/>
  <c r="U284" i="17"/>
  <c r="T284" i="17" s="1"/>
  <c r="U280" i="17"/>
  <c r="T280" i="17" s="1"/>
  <c r="U276" i="17"/>
  <c r="T276" i="17" s="1"/>
  <c r="S276" i="17" s="1"/>
  <c r="R276" i="17" s="1"/>
  <c r="P276" i="17" s="1"/>
  <c r="U272" i="17"/>
  <c r="T272" i="17" s="1"/>
  <c r="U268" i="17"/>
  <c r="T268" i="17" s="1"/>
  <c r="S268" i="17" s="1"/>
  <c r="R268" i="17" s="1"/>
  <c r="P268" i="17" s="1"/>
  <c r="V268" i="17" s="1"/>
  <c r="F268" i="17" s="1"/>
  <c r="G268" i="17" s="1"/>
  <c r="BZ268" i="6" s="1"/>
  <c r="U264" i="17"/>
  <c r="T264" i="17" s="1"/>
  <c r="S264" i="17" s="1"/>
  <c r="R264" i="17" s="1"/>
  <c r="P264" i="17" s="1"/>
  <c r="U260" i="17"/>
  <c r="T260" i="17" s="1"/>
  <c r="U256" i="17"/>
  <c r="T256" i="17" s="1"/>
  <c r="U252" i="17"/>
  <c r="T252" i="17" s="1"/>
  <c r="S252" i="17" s="1"/>
  <c r="R252" i="17" s="1"/>
  <c r="P252" i="17" s="1"/>
  <c r="U248" i="17"/>
  <c r="T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F240" i="17" s="1"/>
  <c r="U238" i="17"/>
  <c r="T238" i="17" s="1"/>
  <c r="S238" i="17" s="1"/>
  <c r="R238" i="17" s="1"/>
  <c r="P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U190" i="17"/>
  <c r="T190" i="17" s="1"/>
  <c r="U186" i="17"/>
  <c r="T186" i="17" s="1"/>
  <c r="S186" i="17" s="1"/>
  <c r="R186" i="17" s="1"/>
  <c r="P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F15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U102" i="17"/>
  <c r="T102" i="17" s="1"/>
  <c r="U98" i="17"/>
  <c r="T98" i="17" s="1"/>
  <c r="S98" i="17" s="1"/>
  <c r="R98" i="17" s="1"/>
  <c r="P98" i="17" s="1"/>
  <c r="U94" i="17"/>
  <c r="T94" i="17" s="1"/>
  <c r="U90" i="17"/>
  <c r="T90" i="17" s="1"/>
  <c r="S90" i="17" s="1"/>
  <c r="R90" i="17" s="1"/>
  <c r="P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U74" i="17"/>
  <c r="T74" i="17" s="1"/>
  <c r="S74" i="17" s="1"/>
  <c r="R74" i="17" s="1"/>
  <c r="P74" i="17" s="1"/>
  <c r="U70" i="17"/>
  <c r="T70" i="17" s="1"/>
  <c r="S70" i="17" s="1"/>
  <c r="R70" i="17" s="1"/>
  <c r="P70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U236" i="17"/>
  <c r="T236" i="17" s="1"/>
  <c r="S236" i="17" s="1"/>
  <c r="R236" i="17" s="1"/>
  <c r="P236" i="17" s="1"/>
  <c r="V236" i="17" s="1"/>
  <c r="F236" i="17" s="1"/>
  <c r="U232" i="17"/>
  <c r="T232" i="17" s="1"/>
  <c r="S232" i="17" s="1"/>
  <c r="R232" i="17" s="1"/>
  <c r="P232" i="17" s="1"/>
  <c r="V232" i="17" s="1"/>
  <c r="F232" i="17" s="1"/>
  <c r="U228" i="17"/>
  <c r="T228" i="17" s="1"/>
  <c r="S228" i="17" s="1"/>
  <c r="R228" i="17" s="1"/>
  <c r="P228" i="17" s="1"/>
  <c r="U224" i="17"/>
  <c r="T224" i="17" s="1"/>
  <c r="S224" i="17" s="1"/>
  <c r="R224" i="17" s="1"/>
  <c r="P224" i="17" s="1"/>
  <c r="V224" i="17" s="1"/>
  <c r="F224" i="17" s="1"/>
  <c r="H224" i="17" s="1"/>
  <c r="U220" i="17"/>
  <c r="T220" i="17" s="1"/>
  <c r="U216" i="17"/>
  <c r="T216" i="17" s="1"/>
  <c r="U212" i="17"/>
  <c r="T212" i="17" s="1"/>
  <c r="S212" i="17" s="1"/>
  <c r="R212" i="17" s="1"/>
  <c r="P212" i="17" s="1"/>
  <c r="U208" i="17"/>
  <c r="T208" i="17" s="1"/>
  <c r="U204" i="17"/>
  <c r="T204" i="17" s="1"/>
  <c r="S204" i="17" s="1"/>
  <c r="R204" i="17" s="1"/>
  <c r="P204" i="17" s="1"/>
  <c r="V204" i="17" s="1"/>
  <c r="F204" i="17" s="1"/>
  <c r="U200" i="17"/>
  <c r="T200" i="17" s="1"/>
  <c r="U196" i="17"/>
  <c r="T196" i="17" s="1"/>
  <c r="U192" i="17"/>
  <c r="T192" i="17" s="1"/>
  <c r="S192" i="17" s="1"/>
  <c r="R192" i="17" s="1"/>
  <c r="P192" i="17" s="1"/>
  <c r="U188" i="17"/>
  <c r="T188" i="17" s="1"/>
  <c r="S188" i="17" s="1"/>
  <c r="R188" i="17" s="1"/>
  <c r="P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F164" i="17" s="1"/>
  <c r="G164" i="17" s="1"/>
  <c r="BZ164" i="6" s="1"/>
  <c r="U160" i="17"/>
  <c r="T160" i="17" s="1"/>
  <c r="S160" i="17" s="1"/>
  <c r="R160" i="17" s="1"/>
  <c r="P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U100" i="17"/>
  <c r="T100" i="17" s="1"/>
  <c r="S100" i="17" s="1"/>
  <c r="R100" i="17" s="1"/>
  <c r="P100" i="17" s="1"/>
  <c r="U96" i="17"/>
  <c r="T96" i="17" s="1"/>
  <c r="S96" i="17" s="1"/>
  <c r="R96" i="17" s="1"/>
  <c r="P96" i="17" s="1"/>
  <c r="U92" i="17"/>
  <c r="T92" i="17" s="1"/>
  <c r="U88" i="17"/>
  <c r="T88" i="17" s="1"/>
  <c r="U84" i="17"/>
  <c r="T84" i="17" s="1"/>
  <c r="S84" i="17" s="1"/>
  <c r="R84" i="17" s="1"/>
  <c r="P84" i="17" s="1"/>
  <c r="U80" i="17"/>
  <c r="T80" i="17" s="1"/>
  <c r="S80" i="17" s="1"/>
  <c r="R80" i="17" s="1"/>
  <c r="P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H60" i="17" s="1"/>
  <c r="U56" i="17"/>
  <c r="T56" i="17" s="1"/>
  <c r="U52" i="17"/>
  <c r="T52" i="17" s="1"/>
  <c r="S52" i="17" s="1"/>
  <c r="R52" i="17" s="1"/>
  <c r="P52" i="17" s="1"/>
  <c r="U48" i="17"/>
  <c r="T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U20" i="17"/>
  <c r="T20" i="17" s="1"/>
  <c r="S20" i="17" s="1"/>
  <c r="R20" i="17" s="1"/>
  <c r="P20" i="17" s="1"/>
  <c r="U18" i="17"/>
  <c r="T18" i="17" s="1"/>
  <c r="S18" i="17" s="1"/>
  <c r="R18" i="17" s="1"/>
  <c r="P18" i="17" s="1"/>
  <c r="J215" i="16"/>
  <c r="I215" i="16"/>
  <c r="I283" i="16"/>
  <c r="J283" i="16"/>
  <c r="F136" i="16"/>
  <c r="J23" i="16"/>
  <c r="I23" i="16"/>
  <c r="J43" i="16"/>
  <c r="I43" i="16"/>
  <c r="J276" i="16"/>
  <c r="I276" i="16"/>
  <c r="AG381" i="16"/>
  <c r="AF15" i="16"/>
  <c r="AG383" i="16"/>
  <c r="AG382" i="16"/>
  <c r="I306" i="16"/>
  <c r="H306" i="17" s="1"/>
  <c r="J306" i="16"/>
  <c r="I338" i="16"/>
  <c r="J338" i="16"/>
  <c r="I366" i="16"/>
  <c r="J366" i="16"/>
  <c r="I35" i="16"/>
  <c r="J35" i="16"/>
  <c r="J146" i="16"/>
  <c r="I146" i="16"/>
  <c r="I162" i="16"/>
  <c r="J162" i="16"/>
  <c r="J196" i="16"/>
  <c r="I196" i="16"/>
  <c r="J244" i="16"/>
  <c r="I244" i="16"/>
  <c r="I292" i="16"/>
  <c r="J292" i="16"/>
  <c r="J332" i="16"/>
  <c r="I332" i="16"/>
  <c r="I148" i="16"/>
  <c r="J148" i="16"/>
  <c r="S383" i="16"/>
  <c r="R15" i="16"/>
  <c r="S382" i="16"/>
  <c r="S381" i="16"/>
  <c r="J346" i="16"/>
  <c r="I346" i="16"/>
  <c r="I370" i="16"/>
  <c r="J370" i="16"/>
  <c r="I223" i="16"/>
  <c r="J223" i="16"/>
  <c r="I263" i="16"/>
  <c r="J263" i="16"/>
  <c r="J142" i="16"/>
  <c r="I142" i="16"/>
  <c r="I158" i="16"/>
  <c r="J158" i="16"/>
  <c r="J236" i="16"/>
  <c r="I236" i="16"/>
  <c r="I344" i="16"/>
  <c r="J344" i="16"/>
  <c r="I265" i="16"/>
  <c r="J265" i="16"/>
  <c r="I202" i="16"/>
  <c r="J202" i="16"/>
  <c r="J194" i="16"/>
  <c r="I194" i="16"/>
  <c r="J286" i="16"/>
  <c r="I286" i="16"/>
  <c r="J254" i="16"/>
  <c r="I254" i="16"/>
  <c r="J246" i="16"/>
  <c r="I246" i="16"/>
  <c r="J214" i="16"/>
  <c r="I214" i="16"/>
  <c r="H214" i="17" s="1"/>
  <c r="I377" i="16"/>
  <c r="J377" i="16"/>
  <c r="J373" i="16"/>
  <c r="I373" i="16"/>
  <c r="H373" i="17" s="1"/>
  <c r="J353" i="16"/>
  <c r="I353" i="16"/>
  <c r="I301" i="16"/>
  <c r="J301" i="16"/>
  <c r="J253" i="16"/>
  <c r="I253" i="16"/>
  <c r="I249" i="16"/>
  <c r="J249" i="16"/>
  <c r="I221" i="16"/>
  <c r="J221" i="16"/>
  <c r="I232" i="16"/>
  <c r="J232" i="16"/>
  <c r="M63" i="19"/>
  <c r="I154" i="16"/>
  <c r="J154" i="16"/>
  <c r="J268" i="16"/>
  <c r="I268" i="16"/>
  <c r="J340" i="16"/>
  <c r="I340" i="16"/>
  <c r="J281" i="16"/>
  <c r="I281" i="16"/>
  <c r="I250" i="16"/>
  <c r="J250" i="16"/>
  <c r="J270" i="16"/>
  <c r="I270" i="16"/>
  <c r="J334" i="16"/>
  <c r="I334" i="16"/>
  <c r="I235" i="16"/>
  <c r="J235" i="16"/>
  <c r="I279" i="16"/>
  <c r="J279" i="16"/>
  <c r="J130" i="16"/>
  <c r="I130" i="16"/>
  <c r="I166" i="16"/>
  <c r="J166" i="16"/>
  <c r="I190" i="16"/>
  <c r="J190" i="16"/>
  <c r="J204" i="16"/>
  <c r="I204" i="16"/>
  <c r="J352" i="16"/>
  <c r="I352" i="16"/>
  <c r="AA241" i="16"/>
  <c r="Z241" i="16" s="1"/>
  <c r="Y241" i="16" s="1"/>
  <c r="H241" i="16"/>
  <c r="G241" i="16"/>
  <c r="BY241" i="6" s="1"/>
  <c r="J144" i="16"/>
  <c r="I144" i="16"/>
  <c r="J339" i="16"/>
  <c r="I339" i="16"/>
  <c r="I331" i="16"/>
  <c r="J331" i="16"/>
  <c r="I311" i="16"/>
  <c r="J311" i="16"/>
  <c r="AA295" i="16"/>
  <c r="Z295" i="16" s="1"/>
  <c r="Y295" i="16" s="1"/>
  <c r="G295" i="16"/>
  <c r="BY295" i="6" s="1"/>
  <c r="H295" i="16"/>
  <c r="I251" i="16"/>
  <c r="J251" i="16"/>
  <c r="G47" i="16"/>
  <c r="BY47" i="6" s="1"/>
  <c r="AA47" i="16"/>
  <c r="Z47" i="16" s="1"/>
  <c r="Y47" i="16" s="1"/>
  <c r="H47" i="16"/>
  <c r="I375" i="16"/>
  <c r="J375" i="16"/>
  <c r="I343" i="16"/>
  <c r="J343" i="16"/>
  <c r="I335" i="16"/>
  <c r="J335" i="16"/>
  <c r="J327" i="16"/>
  <c r="I327" i="16"/>
  <c r="J319" i="16"/>
  <c r="I319" i="16"/>
  <c r="I303" i="16"/>
  <c r="J303" i="16"/>
  <c r="G239" i="16"/>
  <c r="BY239" i="6" s="1"/>
  <c r="AA239" i="16"/>
  <c r="Z239" i="16" s="1"/>
  <c r="Y239" i="16" s="1"/>
  <c r="H239" i="16"/>
  <c r="J63" i="16"/>
  <c r="I63" i="16"/>
  <c r="H154" i="17"/>
  <c r="I154" i="17" s="1"/>
  <c r="I298" i="16"/>
  <c r="J298" i="16"/>
  <c r="J39" i="16"/>
  <c r="I39" i="16"/>
  <c r="J206" i="16"/>
  <c r="I206" i="16"/>
  <c r="I248" i="16"/>
  <c r="J248" i="16"/>
  <c r="I280" i="16"/>
  <c r="J280" i="16"/>
  <c r="J186" i="16"/>
  <c r="I186" i="16"/>
  <c r="J348" i="16"/>
  <c r="I348" i="16"/>
  <c r="G380" i="16"/>
  <c r="BY380" i="6" s="1"/>
  <c r="AA380" i="16"/>
  <c r="Z380" i="16" s="1"/>
  <c r="Y380" i="16" s="1"/>
  <c r="H380" i="16"/>
  <c r="I229" i="16"/>
  <c r="J229" i="16"/>
  <c r="J273" i="16"/>
  <c r="I273" i="16"/>
  <c r="I216" i="16"/>
  <c r="J216" i="16"/>
  <c r="I256" i="16"/>
  <c r="J256" i="16"/>
  <c r="J314" i="16"/>
  <c r="I314" i="16"/>
  <c r="J291" i="16"/>
  <c r="I291" i="16"/>
  <c r="J174" i="16"/>
  <c r="I174" i="16"/>
  <c r="I360" i="16"/>
  <c r="J360" i="16"/>
  <c r="I225" i="16"/>
  <c r="J225" i="16"/>
  <c r="J132" i="16"/>
  <c r="I132" i="16"/>
  <c r="J156" i="16"/>
  <c r="I156" i="16"/>
  <c r="F180" i="16"/>
  <c r="G63" i="19"/>
  <c r="I365" i="16"/>
  <c r="J365" i="16"/>
  <c r="J361" i="16"/>
  <c r="I361" i="16"/>
  <c r="J357" i="16"/>
  <c r="I357" i="16"/>
  <c r="I349" i="16"/>
  <c r="J349" i="16"/>
  <c r="I345" i="16"/>
  <c r="J345" i="16"/>
  <c r="J329" i="16"/>
  <c r="I329" i="16"/>
  <c r="J317" i="16"/>
  <c r="I317" i="16"/>
  <c r="I285" i="16"/>
  <c r="H285" i="17" s="1"/>
  <c r="J285" i="16"/>
  <c r="I261" i="16"/>
  <c r="J261" i="16"/>
  <c r="I55" i="16"/>
  <c r="J55" i="16"/>
  <c r="J330" i="16"/>
  <c r="I330" i="16"/>
  <c r="F350" i="16"/>
  <c r="J134" i="16"/>
  <c r="I134" i="16"/>
  <c r="J170" i="16"/>
  <c r="I170" i="16"/>
  <c r="J220" i="16"/>
  <c r="I220" i="16"/>
  <c r="I356" i="16"/>
  <c r="J356" i="16"/>
  <c r="I115" i="16"/>
  <c r="J115" i="16"/>
  <c r="J245" i="16"/>
  <c r="I245" i="16"/>
  <c r="J99" i="16"/>
  <c r="I99" i="16"/>
  <c r="I282" i="16"/>
  <c r="J282" i="16"/>
  <c r="J234" i="16"/>
  <c r="I234" i="16"/>
  <c r="J218" i="16"/>
  <c r="I218" i="16"/>
  <c r="J240" i="16"/>
  <c r="I240" i="16"/>
  <c r="H240" i="17" s="1"/>
  <c r="F272" i="16"/>
  <c r="J63" i="19"/>
  <c r="G302" i="16"/>
  <c r="BY302" i="6" s="1"/>
  <c r="AA302" i="16"/>
  <c r="Z302" i="16" s="1"/>
  <c r="Y302" i="16" s="1"/>
  <c r="H302" i="16"/>
  <c r="J354" i="16"/>
  <c r="I354" i="16"/>
  <c r="I95" i="16"/>
  <c r="J95" i="16"/>
  <c r="J150" i="16"/>
  <c r="I150" i="16"/>
  <c r="J252" i="16"/>
  <c r="I252" i="16"/>
  <c r="I312" i="16"/>
  <c r="J312" i="16"/>
  <c r="I336" i="16"/>
  <c r="J336" i="16"/>
  <c r="J107" i="16"/>
  <c r="I107" i="16"/>
  <c r="I277" i="16"/>
  <c r="J277" i="16"/>
  <c r="I164" i="16"/>
  <c r="J164" i="16"/>
  <c r="I371" i="16"/>
  <c r="J371" i="16"/>
  <c r="J351" i="16"/>
  <c r="I351" i="16"/>
  <c r="G323" i="16"/>
  <c r="BY323" i="6" s="1"/>
  <c r="H323" i="16"/>
  <c r="AA323" i="16"/>
  <c r="Z323" i="16" s="1"/>
  <c r="Y323" i="16" s="1"/>
  <c r="K63" i="19"/>
  <c r="I192" i="16"/>
  <c r="J192" i="16"/>
  <c r="J367" i="16"/>
  <c r="I367" i="16"/>
  <c r="J255" i="16"/>
  <c r="I255" i="16"/>
  <c r="I63" i="19"/>
  <c r="D11" i="19"/>
  <c r="E11" i="19" s="1"/>
  <c r="G35" i="19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I266" i="16"/>
  <c r="I75" i="16"/>
  <c r="I172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13" i="17"/>
  <c r="F113" i="17" s="1"/>
  <c r="V105" i="17"/>
  <c r="F105" i="17" s="1"/>
  <c r="V89" i="17"/>
  <c r="F89" i="17" s="1"/>
  <c r="V73" i="17"/>
  <c r="F73" i="17" s="1"/>
  <c r="V65" i="17"/>
  <c r="F65" i="17" s="1"/>
  <c r="V49" i="17"/>
  <c r="F49" i="17" s="1"/>
  <c r="V33" i="17"/>
  <c r="F33" i="17" s="1"/>
  <c r="J362" i="17"/>
  <c r="I362" i="17"/>
  <c r="V186" i="17"/>
  <c r="F186" i="17" s="1"/>
  <c r="V170" i="17"/>
  <c r="F170" i="17" s="1"/>
  <c r="J154" i="17"/>
  <c r="V359" i="17"/>
  <c r="F359" i="17" s="1"/>
  <c r="V343" i="17"/>
  <c r="F343" i="17" s="1"/>
  <c r="G335" i="17"/>
  <c r="BZ335" i="6" s="1"/>
  <c r="H335" i="17"/>
  <c r="V327" i="17"/>
  <c r="F327" i="17" s="1"/>
  <c r="V315" i="17"/>
  <c r="F315" i="17" s="1"/>
  <c r="V283" i="17"/>
  <c r="F283" i="17" s="1"/>
  <c r="V259" i="17"/>
  <c r="F259" i="17" s="1"/>
  <c r="V247" i="17"/>
  <c r="J219" i="17"/>
  <c r="I219" i="17"/>
  <c r="H159" i="17"/>
  <c r="G159" i="17"/>
  <c r="BZ159" i="6" s="1"/>
  <c r="V127" i="17"/>
  <c r="F127" i="17" s="1"/>
  <c r="V19" i="17"/>
  <c r="F19" i="17" s="1"/>
  <c r="G368" i="17"/>
  <c r="BZ368" i="6" s="1"/>
  <c r="H368" i="17"/>
  <c r="V348" i="17"/>
  <c r="F348" i="17" s="1"/>
  <c r="F340" i="17"/>
  <c r="G328" i="17"/>
  <c r="BZ328" i="6" s="1"/>
  <c r="H328" i="17"/>
  <c r="G320" i="17"/>
  <c r="BZ320" i="6" s="1"/>
  <c r="H320" i="17"/>
  <c r="G236" i="17"/>
  <c r="BZ236" i="6" s="1"/>
  <c r="G204" i="17"/>
  <c r="BZ204" i="6" s="1"/>
  <c r="V80" i="17"/>
  <c r="F80" i="17" s="1"/>
  <c r="V40" i="17"/>
  <c r="F40" i="17" s="1"/>
  <c r="V20" i="17"/>
  <c r="F20" i="17" s="1"/>
  <c r="J337" i="17"/>
  <c r="I337" i="17"/>
  <c r="V141" i="17"/>
  <c r="F141" i="17" s="1"/>
  <c r="V129" i="17"/>
  <c r="F129" i="17" s="1"/>
  <c r="V117" i="17"/>
  <c r="F117" i="17" s="1"/>
  <c r="V93" i="17"/>
  <c r="F93" i="17" s="1"/>
  <c r="H93" i="17" s="1"/>
  <c r="V85" i="17"/>
  <c r="F85" i="17" s="1"/>
  <c r="V69" i="17"/>
  <c r="F69" i="17" s="1"/>
  <c r="V61" i="17"/>
  <c r="F61" i="17" s="1"/>
  <c r="V45" i="17"/>
  <c r="F45" i="17" s="1"/>
  <c r="V194" i="17"/>
  <c r="V355" i="17"/>
  <c r="F355" i="17" s="1"/>
  <c r="V339" i="17"/>
  <c r="F339" i="17" s="1"/>
  <c r="V331" i="17"/>
  <c r="F331" i="17" s="1"/>
  <c r="V319" i="17"/>
  <c r="F319" i="17" s="1"/>
  <c r="F311" i="17"/>
  <c r="V299" i="17"/>
  <c r="F299" i="17" s="1"/>
  <c r="H299" i="17" s="1"/>
  <c r="V287" i="17"/>
  <c r="F287" i="17" s="1"/>
  <c r="F279" i="17"/>
  <c r="V271" i="17"/>
  <c r="F271" i="17" s="1"/>
  <c r="F263" i="17"/>
  <c r="F255" i="17"/>
  <c r="J191" i="17"/>
  <c r="I191" i="17"/>
  <c r="V123" i="17"/>
  <c r="F123" i="17" s="1"/>
  <c r="V352" i="17"/>
  <c r="G344" i="17"/>
  <c r="BZ344" i="6" s="1"/>
  <c r="H344" i="17"/>
  <c r="V304" i="17"/>
  <c r="F304" i="17" s="1"/>
  <c r="V288" i="17"/>
  <c r="F288" i="17" s="1"/>
  <c r="V84" i="17"/>
  <c r="F84" i="17" s="1"/>
  <c r="V52" i="17"/>
  <c r="F52" i="17" s="1"/>
  <c r="H52" i="17" s="1"/>
  <c r="V24" i="17"/>
  <c r="F24" i="17" s="1"/>
  <c r="V18" i="17"/>
  <c r="F18" i="17" s="1"/>
  <c r="I297" i="17"/>
  <c r="J297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L382" i="25"/>
  <c r="L383" i="25"/>
  <c r="L381" i="25"/>
  <c r="AK3" i="24"/>
  <c r="Q19" i="19" s="1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F377" i="17"/>
  <c r="G373" i="17"/>
  <c r="BZ373" i="6" s="1"/>
  <c r="F369" i="17"/>
  <c r="G361" i="17"/>
  <c r="BZ361" i="6" s="1"/>
  <c r="H361" i="17"/>
  <c r="F353" i="17"/>
  <c r="V341" i="17"/>
  <c r="F341" i="17" s="1"/>
  <c r="G337" i="17"/>
  <c r="BZ337" i="6" s="1"/>
  <c r="G329" i="17"/>
  <c r="BZ329" i="6" s="1"/>
  <c r="H329" i="17"/>
  <c r="V325" i="17"/>
  <c r="F325" i="17" s="1"/>
  <c r="V317" i="17"/>
  <c r="F317" i="17" s="1"/>
  <c r="V313" i="17"/>
  <c r="F313" i="17" s="1"/>
  <c r="F309" i="17"/>
  <c r="G301" i="17"/>
  <c r="BZ301" i="6" s="1"/>
  <c r="H301" i="17"/>
  <c r="G297" i="17"/>
  <c r="BZ297" i="6" s="1"/>
  <c r="V293" i="17"/>
  <c r="F293" i="17" s="1"/>
  <c r="G285" i="17"/>
  <c r="BZ285" i="6" s="1"/>
  <c r="F281" i="17"/>
  <c r="F253" i="17"/>
  <c r="V249" i="17"/>
  <c r="F249" i="17" s="1"/>
  <c r="D63" i="7"/>
  <c r="V241" i="17"/>
  <c r="F241" i="17" s="1"/>
  <c r="F237" i="17"/>
  <c r="V229" i="17"/>
  <c r="F229" i="17" s="1"/>
  <c r="F225" i="17"/>
  <c r="G217" i="17"/>
  <c r="BZ217" i="6" s="1"/>
  <c r="G209" i="17"/>
  <c r="BZ209" i="6" s="1"/>
  <c r="V193" i="17"/>
  <c r="F193" i="17" s="1"/>
  <c r="F181" i="17"/>
  <c r="V161" i="17"/>
  <c r="F161" i="17" s="1"/>
  <c r="G157" i="17"/>
  <c r="BZ157" i="6" s="1"/>
  <c r="H157" i="17"/>
  <c r="V25" i="17"/>
  <c r="F25" i="17" s="1"/>
  <c r="V21" i="17"/>
  <c r="F21" i="17" s="1"/>
  <c r="J224" i="17"/>
  <c r="I224" i="17"/>
  <c r="Q12" i="20"/>
  <c r="Q237" i="18"/>
  <c r="AC15" i="7"/>
  <c r="F11" i="15"/>
  <c r="G12" i="19"/>
  <c r="AB9" i="15"/>
  <c r="J15" i="15"/>
  <c r="I15" i="15"/>
  <c r="AA383" i="15"/>
  <c r="AL10" i="15"/>
  <c r="AM8" i="15"/>
  <c r="Z15" i="15"/>
  <c r="AA382" i="15"/>
  <c r="AA9" i="15"/>
  <c r="AA381" i="15"/>
  <c r="F378" i="17"/>
  <c r="H378" i="17" s="1"/>
  <c r="V374" i="17"/>
  <c r="F374" i="17" s="1"/>
  <c r="V370" i="17"/>
  <c r="F370" i="17" s="1"/>
  <c r="G362" i="17"/>
  <c r="BZ362" i="6" s="1"/>
  <c r="V358" i="17"/>
  <c r="F358" i="17" s="1"/>
  <c r="V342" i="17"/>
  <c r="F342" i="17" s="1"/>
  <c r="V338" i="17"/>
  <c r="F338" i="17" s="1"/>
  <c r="V314" i="17"/>
  <c r="F314" i="17" s="1"/>
  <c r="V310" i="17"/>
  <c r="F310" i="17" s="1"/>
  <c r="G306" i="17"/>
  <c r="BZ306" i="6" s="1"/>
  <c r="D65" i="7"/>
  <c r="V302" i="17"/>
  <c r="F302" i="17" s="1"/>
  <c r="V298" i="17"/>
  <c r="F298" i="17" s="1"/>
  <c r="F294" i="17"/>
  <c r="V290" i="17"/>
  <c r="F290" i="17" s="1"/>
  <c r="F286" i="17"/>
  <c r="V278" i="17"/>
  <c r="F278" i="17" s="1"/>
  <c r="V274" i="17"/>
  <c r="F274" i="17" s="1"/>
  <c r="V270" i="17"/>
  <c r="F270" i="17" s="1"/>
  <c r="F258" i="17"/>
  <c r="V254" i="17"/>
  <c r="F254" i="17" s="1"/>
  <c r="V250" i="17"/>
  <c r="F250" i="17" s="1"/>
  <c r="V242" i="17"/>
  <c r="F242" i="17" s="1"/>
  <c r="V238" i="17"/>
  <c r="F238" i="17" s="1"/>
  <c r="V226" i="17"/>
  <c r="F226" i="17" s="1"/>
  <c r="G214" i="17"/>
  <c r="BZ214" i="6" s="1"/>
  <c r="F162" i="17"/>
  <c r="G154" i="17"/>
  <c r="BZ154" i="6" s="1"/>
  <c r="H150" i="17"/>
  <c r="F134" i="17"/>
  <c r="V122" i="17"/>
  <c r="F122" i="17" s="1"/>
  <c r="V106" i="17"/>
  <c r="F106" i="17" s="1"/>
  <c r="V98" i="17"/>
  <c r="F98" i="17" s="1"/>
  <c r="V90" i="17"/>
  <c r="F90" i="17" s="1"/>
  <c r="V78" i="17"/>
  <c r="F78" i="17" s="1"/>
  <c r="V74" i="17"/>
  <c r="F74" i="17" s="1"/>
  <c r="V70" i="17"/>
  <c r="F70" i="17" s="1"/>
  <c r="V66" i="17"/>
  <c r="F66" i="17" s="1"/>
  <c r="V62" i="17"/>
  <c r="F62" i="17" s="1"/>
  <c r="V58" i="17"/>
  <c r="F58" i="17" s="1"/>
  <c r="V50" i="17"/>
  <c r="F50" i="17" s="1"/>
  <c r="V34" i="17"/>
  <c r="F34" i="17" s="1"/>
  <c r="V17" i="17"/>
  <c r="F17" i="17" s="1"/>
  <c r="J46" i="16"/>
  <c r="I46" i="16"/>
  <c r="H217" i="17"/>
  <c r="V375" i="17"/>
  <c r="F375" i="17" s="1"/>
  <c r="V371" i="17"/>
  <c r="F371" i="17" s="1"/>
  <c r="G219" i="17"/>
  <c r="BZ219" i="6" s="1"/>
  <c r="G215" i="17"/>
  <c r="BZ215" i="6" s="1"/>
  <c r="H215" i="17"/>
  <c r="V211" i="17"/>
  <c r="F211" i="17" s="1"/>
  <c r="G203" i="17"/>
  <c r="BZ203" i="6" s="1"/>
  <c r="H203" i="17"/>
  <c r="V199" i="17"/>
  <c r="F199" i="17" s="1"/>
  <c r="F195" i="17"/>
  <c r="G191" i="17"/>
  <c r="BZ191" i="6" s="1"/>
  <c r="V187" i="17"/>
  <c r="F187" i="17" s="1"/>
  <c r="V175" i="17"/>
  <c r="F175" i="17" s="1"/>
  <c r="F167" i="17"/>
  <c r="V151" i="17"/>
  <c r="F151" i="17" s="1"/>
  <c r="V139" i="17"/>
  <c r="V107" i="17"/>
  <c r="F107" i="17" s="1"/>
  <c r="V103" i="17"/>
  <c r="F103" i="17" s="1"/>
  <c r="V99" i="17"/>
  <c r="F99" i="17" s="1"/>
  <c r="V83" i="17"/>
  <c r="F83" i="17" s="1"/>
  <c r="V67" i="17"/>
  <c r="F67" i="17" s="1"/>
  <c r="V63" i="17"/>
  <c r="F63" i="17" s="1"/>
  <c r="V47" i="17"/>
  <c r="V39" i="17"/>
  <c r="F39" i="17" s="1"/>
  <c r="V35" i="17"/>
  <c r="F35" i="17" s="1"/>
  <c r="V23" i="17"/>
  <c r="F23" i="17" s="1"/>
  <c r="H209" i="17"/>
  <c r="V264" i="17"/>
  <c r="F264" i="17" s="1"/>
  <c r="V252" i="17"/>
  <c r="F252" i="17" s="1"/>
  <c r="G240" i="17"/>
  <c r="BZ240" i="6" s="1"/>
  <c r="G232" i="17"/>
  <c r="BZ232" i="6" s="1"/>
  <c r="H232" i="17"/>
  <c r="G224" i="17"/>
  <c r="BZ224" i="6" s="1"/>
  <c r="V212" i="17"/>
  <c r="F212" i="17" s="1"/>
  <c r="V192" i="17"/>
  <c r="F192" i="17" s="1"/>
  <c r="V188" i="17"/>
  <c r="F188" i="17" s="1"/>
  <c r="F184" i="17"/>
  <c r="H184" i="17" s="1"/>
  <c r="D61" i="7"/>
  <c r="V168" i="17"/>
  <c r="F168" i="17" s="1"/>
  <c r="V160" i="17"/>
  <c r="F160" i="17" s="1"/>
  <c r="V144" i="17"/>
  <c r="F144" i="17" s="1"/>
  <c r="F124" i="17"/>
  <c r="V120" i="17"/>
  <c r="F120" i="17" s="1"/>
  <c r="V112" i="17"/>
  <c r="F112" i="17" s="1"/>
  <c r="V104" i="17"/>
  <c r="F104" i="17" s="1"/>
  <c r="V100" i="17"/>
  <c r="F100" i="17" s="1"/>
  <c r="V96" i="17"/>
  <c r="F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H140" i="17"/>
  <c r="H204" i="17" l="1"/>
  <c r="H236" i="17"/>
  <c r="H332" i="17"/>
  <c r="H164" i="17"/>
  <c r="F244" i="17"/>
  <c r="F142" i="17"/>
  <c r="D57" i="7"/>
  <c r="H356" i="17"/>
  <c r="I356" i="17" s="1"/>
  <c r="H268" i="17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V82" i="17" s="1"/>
  <c r="F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H218" i="17" s="1"/>
  <c r="S234" i="17"/>
  <c r="R234" i="17" s="1"/>
  <c r="P234" i="17" s="1"/>
  <c r="V234" i="17" s="1"/>
  <c r="F234" i="17" s="1"/>
  <c r="S248" i="17"/>
  <c r="R248" i="17" s="1"/>
  <c r="P248" i="17" s="1"/>
  <c r="V248" i="17" s="1"/>
  <c r="F248" i="17" s="1"/>
  <c r="S256" i="17"/>
  <c r="R256" i="17" s="1"/>
  <c r="P256" i="17" s="1"/>
  <c r="V256" i="17" s="1"/>
  <c r="F256" i="17" s="1"/>
  <c r="S272" i="17"/>
  <c r="R272" i="17" s="1"/>
  <c r="P272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36" i="17"/>
  <c r="R336" i="17" s="1"/>
  <c r="P336" i="17" s="1"/>
  <c r="V336" i="17" s="1"/>
  <c r="F336" i="17" s="1"/>
  <c r="S360" i="17"/>
  <c r="R360" i="17" s="1"/>
  <c r="P360" i="17" s="1"/>
  <c r="V360" i="17" s="1"/>
  <c r="F360" i="17" s="1"/>
  <c r="H360" i="17" s="1"/>
  <c r="S376" i="17"/>
  <c r="R376" i="17" s="1"/>
  <c r="P376" i="17" s="1"/>
  <c r="V376" i="17" s="1"/>
  <c r="F376" i="17" s="1"/>
  <c r="U381" i="17"/>
  <c r="U383" i="17"/>
  <c r="T15" i="17"/>
  <c r="U382" i="17"/>
  <c r="S27" i="17"/>
  <c r="R27" i="17" s="1"/>
  <c r="P27" i="17"/>
  <c r="V27" i="17" s="1"/>
  <c r="F27" i="17" s="1"/>
  <c r="S43" i="17"/>
  <c r="R43" i="17" s="1"/>
  <c r="P43" i="17"/>
  <c r="V43" i="17" s="1"/>
  <c r="F43" i="17" s="1"/>
  <c r="S51" i="17"/>
  <c r="R51" i="17" s="1"/>
  <c r="P51" i="17"/>
  <c r="V51" i="17" s="1"/>
  <c r="F51" i="17" s="1"/>
  <c r="S59" i="17"/>
  <c r="R59" i="17" s="1"/>
  <c r="P59" i="17"/>
  <c r="V59" i="17" s="1"/>
  <c r="F59" i="17" s="1"/>
  <c r="S75" i="17"/>
  <c r="R75" i="17" s="1"/>
  <c r="P75" i="17"/>
  <c r="V75" i="17" s="1"/>
  <c r="F75" i="17" s="1"/>
  <c r="S91" i="17"/>
  <c r="R91" i="17" s="1"/>
  <c r="P91" i="17"/>
  <c r="V91" i="17" s="1"/>
  <c r="F91" i="17" s="1"/>
  <c r="S115" i="17"/>
  <c r="R115" i="17" s="1"/>
  <c r="P115" i="17"/>
  <c r="V115" i="17" s="1"/>
  <c r="F115" i="17" s="1"/>
  <c r="S131" i="17"/>
  <c r="R131" i="17" s="1"/>
  <c r="P131" i="17"/>
  <c r="V131" i="17" s="1"/>
  <c r="F131" i="17" s="1"/>
  <c r="S147" i="17"/>
  <c r="R147" i="17" s="1"/>
  <c r="P147" i="17"/>
  <c r="V147" i="17" s="1"/>
  <c r="F147" i="17" s="1"/>
  <c r="S155" i="17"/>
  <c r="R155" i="17" s="1"/>
  <c r="P155" i="17"/>
  <c r="S163" i="17"/>
  <c r="R163" i="17" s="1"/>
  <c r="P163" i="17"/>
  <c r="V163" i="17" s="1"/>
  <c r="F163" i="17" s="1"/>
  <c r="S171" i="17"/>
  <c r="R171" i="17" s="1"/>
  <c r="P171" i="17"/>
  <c r="V171" i="17" s="1"/>
  <c r="F171" i="17" s="1"/>
  <c r="S179" i="17"/>
  <c r="R179" i="17" s="1"/>
  <c r="P179" i="17"/>
  <c r="V179" i="17" s="1"/>
  <c r="F179" i="17" s="1"/>
  <c r="S227" i="17"/>
  <c r="R227" i="17" s="1"/>
  <c r="P227" i="17"/>
  <c r="S235" i="17"/>
  <c r="R235" i="17" s="1"/>
  <c r="P235" i="17"/>
  <c r="V235" i="17" s="1"/>
  <c r="F235" i="17" s="1"/>
  <c r="S243" i="17"/>
  <c r="R243" i="17" s="1"/>
  <c r="P243" i="17"/>
  <c r="V243" i="17" s="1"/>
  <c r="F243" i="17" s="1"/>
  <c r="S251" i="17"/>
  <c r="R251" i="17" s="1"/>
  <c r="P251" i="17"/>
  <c r="V251" i="17" s="1"/>
  <c r="F251" i="17" s="1"/>
  <c r="S267" i="17"/>
  <c r="R267" i="17" s="1"/>
  <c r="P267" i="17"/>
  <c r="S275" i="17"/>
  <c r="R275" i="17" s="1"/>
  <c r="P275" i="17"/>
  <c r="V275" i="17" s="1"/>
  <c r="F275" i="17" s="1"/>
  <c r="S291" i="17"/>
  <c r="R291" i="17" s="1"/>
  <c r="P291" i="17"/>
  <c r="S307" i="17"/>
  <c r="R307" i="17" s="1"/>
  <c r="P307" i="17"/>
  <c r="V307" i="17" s="1"/>
  <c r="F307" i="17" s="1"/>
  <c r="S323" i="17"/>
  <c r="R323" i="17" s="1"/>
  <c r="P323" i="17"/>
  <c r="V323" i="17" s="1"/>
  <c r="F323" i="17" s="1"/>
  <c r="S347" i="17"/>
  <c r="R347" i="17" s="1"/>
  <c r="P347" i="17"/>
  <c r="V347" i="17" s="1"/>
  <c r="F347" i="17" s="1"/>
  <c r="S363" i="17"/>
  <c r="R363" i="17" s="1"/>
  <c r="P363" i="17"/>
  <c r="T379" i="17"/>
  <c r="S379" i="17" s="1"/>
  <c r="R379" i="17" s="1"/>
  <c r="P379" i="17" s="1"/>
  <c r="D38" i="19" s="1"/>
  <c r="V16" i="7"/>
  <c r="AB11" i="7" s="1"/>
  <c r="U11" i="18" s="1"/>
  <c r="U10" i="18" s="1"/>
  <c r="U12" i="18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G249" i="17"/>
  <c r="AF249" i="17" s="1"/>
  <c r="AD249" i="17" s="1"/>
  <c r="AG265" i="17"/>
  <c r="AF265" i="17" s="1"/>
  <c r="AD265" i="17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30" i="17"/>
  <c r="R330" i="17" s="1"/>
  <c r="P330" i="17" s="1"/>
  <c r="V330" i="17" s="1"/>
  <c r="F330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S29" i="17"/>
  <c r="R29" i="17" s="1"/>
  <c r="P29" i="17" s="1"/>
  <c r="S37" i="17"/>
  <c r="R37" i="17" s="1"/>
  <c r="P37" i="17" s="1"/>
  <c r="V37" i="17" s="1"/>
  <c r="F37" i="17" s="1"/>
  <c r="S53" i="17"/>
  <c r="R53" i="17" s="1"/>
  <c r="P53" i="17" s="1"/>
  <c r="V53" i="17" s="1"/>
  <c r="F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V109" i="17" s="1"/>
  <c r="F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V357" i="17" s="1"/>
  <c r="F357" i="17" s="1"/>
  <c r="S365" i="17"/>
  <c r="R365" i="17" s="1"/>
  <c r="P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G245" i="17"/>
  <c r="AF245" i="17" s="1"/>
  <c r="AD245" i="17" s="1"/>
  <c r="AG261" i="17"/>
  <c r="AF261" i="17" s="1"/>
  <c r="AD261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A335" i="17" s="1"/>
  <c r="Z335" i="17" s="1"/>
  <c r="Y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270" i="17"/>
  <c r="AF270" i="17" s="1"/>
  <c r="AD270" i="17" s="1"/>
  <c r="AG262" i="17"/>
  <c r="AF262" i="17" s="1"/>
  <c r="AD262" i="17" s="1"/>
  <c r="AG254" i="17"/>
  <c r="AF254" i="17" s="1"/>
  <c r="AD254" i="17" s="1"/>
  <c r="AG246" i="17"/>
  <c r="AF246" i="17" s="1"/>
  <c r="AD246" i="17" s="1"/>
  <c r="AG238" i="17"/>
  <c r="AF238" i="17" s="1"/>
  <c r="AD238" i="17" s="1"/>
  <c r="AG230" i="17"/>
  <c r="AF230" i="17" s="1"/>
  <c r="AD230" i="17" s="1"/>
  <c r="AG222" i="17"/>
  <c r="AF222" i="17" s="1"/>
  <c r="AD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46" i="17"/>
  <c r="AF46" i="17" s="1"/>
  <c r="AD46" i="17" s="1"/>
  <c r="AG30" i="17"/>
  <c r="AF30" i="17" s="1"/>
  <c r="AD30" i="17" s="1"/>
  <c r="AG277" i="17"/>
  <c r="AF277" i="17" s="1"/>
  <c r="AD277" i="17" s="1"/>
  <c r="AG285" i="17"/>
  <c r="AF285" i="17" s="1"/>
  <c r="AD285" i="17" s="1"/>
  <c r="AA285" i="17" s="1"/>
  <c r="Z285" i="17" s="1"/>
  <c r="Y285" i="17" s="1"/>
  <c r="AG293" i="17"/>
  <c r="AF293" i="17" s="1"/>
  <c r="AD293" i="17" s="1"/>
  <c r="AG301" i="17"/>
  <c r="AF301" i="17" s="1"/>
  <c r="AD301" i="17" s="1"/>
  <c r="AA301" i="17" s="1"/>
  <c r="Z301" i="17" s="1"/>
  <c r="Y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A373" i="17" s="1"/>
  <c r="Z373" i="17" s="1"/>
  <c r="Y373" i="17" s="1"/>
  <c r="AG272" i="17"/>
  <c r="AF272" i="17" s="1"/>
  <c r="AD272" i="17" s="1"/>
  <c r="AG264" i="17"/>
  <c r="AF264" i="17" s="1"/>
  <c r="AD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G184" i="17"/>
  <c r="AF184" i="17" s="1"/>
  <c r="AD184" i="17" s="1"/>
  <c r="AG176" i="17"/>
  <c r="AF176" i="17" s="1"/>
  <c r="AD176" i="17" s="1"/>
  <c r="AG168" i="17"/>
  <c r="AF168" i="17" s="1"/>
  <c r="AD168" i="17" s="1"/>
  <c r="AG160" i="17"/>
  <c r="AF160" i="17" s="1"/>
  <c r="AD160" i="17" s="1"/>
  <c r="AG152" i="17"/>
  <c r="AF152" i="17" s="1"/>
  <c r="AD152" i="17" s="1"/>
  <c r="AG144" i="17"/>
  <c r="AF144" i="17" s="1"/>
  <c r="AD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0" i="17"/>
  <c r="AF50" i="17" s="1"/>
  <c r="AD50" i="17" s="1"/>
  <c r="AG34" i="17"/>
  <c r="AF34" i="17" s="1"/>
  <c r="AD34" i="17" s="1"/>
  <c r="AG16" i="17"/>
  <c r="AF16" i="17" s="1"/>
  <c r="AD16" i="17" s="1"/>
  <c r="AG51" i="17"/>
  <c r="AF51" i="17" s="1"/>
  <c r="AD51" i="17" s="1"/>
  <c r="AG83" i="17"/>
  <c r="AF83" i="17" s="1"/>
  <c r="AD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G243" i="17"/>
  <c r="AF243" i="17" s="1"/>
  <c r="AD243" i="17" s="1"/>
  <c r="AG274" i="17"/>
  <c r="AF274" i="17" s="1"/>
  <c r="AD274" i="17" s="1"/>
  <c r="AG290" i="17"/>
  <c r="AF290" i="17" s="1"/>
  <c r="AD290" i="17" s="1"/>
  <c r="AG306" i="17"/>
  <c r="AF306" i="17" s="1"/>
  <c r="AD306" i="17" s="1"/>
  <c r="AA306" i="17" s="1"/>
  <c r="Z306" i="17" s="1"/>
  <c r="Y306" i="17" s="1"/>
  <c r="AG322" i="17"/>
  <c r="AF322" i="17" s="1"/>
  <c r="AD322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9" i="17"/>
  <c r="AF39" i="17" s="1"/>
  <c r="AD39" i="17" s="1"/>
  <c r="AG103" i="17"/>
  <c r="AF103" i="17" s="1"/>
  <c r="AD103" i="17" s="1"/>
  <c r="AG167" i="17"/>
  <c r="AF167" i="17" s="1"/>
  <c r="AD167" i="17" s="1"/>
  <c r="AG231" i="17"/>
  <c r="AF231" i="17" s="1"/>
  <c r="AD231" i="17" s="1"/>
  <c r="AG284" i="17"/>
  <c r="AF284" i="17" s="1"/>
  <c r="AD284" i="17" s="1"/>
  <c r="AG316" i="17"/>
  <c r="AF316" i="17" s="1"/>
  <c r="AD316" i="17" s="1"/>
  <c r="AG348" i="17"/>
  <c r="AF348" i="17" s="1"/>
  <c r="AD348" i="17" s="1"/>
  <c r="AG63" i="17"/>
  <c r="AF63" i="17" s="1"/>
  <c r="AD63" i="17" s="1"/>
  <c r="AG191" i="17"/>
  <c r="AF191" i="17" s="1"/>
  <c r="AD191" i="17" s="1"/>
  <c r="AA191" i="17" s="1"/>
  <c r="Z191" i="17" s="1"/>
  <c r="Y191" i="17" s="1"/>
  <c r="AG296" i="17"/>
  <c r="AF296" i="17" s="1"/>
  <c r="AD296" i="17" s="1"/>
  <c r="AG360" i="17"/>
  <c r="AF360" i="17" s="1"/>
  <c r="AD360" i="17" s="1"/>
  <c r="AG239" i="17"/>
  <c r="AF239" i="17" s="1"/>
  <c r="AD239" i="17" s="1"/>
  <c r="AG79" i="17"/>
  <c r="AF79" i="17" s="1"/>
  <c r="AD79" i="17" s="1"/>
  <c r="AG143" i="17"/>
  <c r="AF143" i="17" s="1"/>
  <c r="AD143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G155" i="17"/>
  <c r="AF155" i="17" s="1"/>
  <c r="AD155" i="17" s="1"/>
  <c r="AG187" i="17"/>
  <c r="AF187" i="17" s="1"/>
  <c r="AD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78" i="17"/>
  <c r="AF278" i="17" s="1"/>
  <c r="AD278" i="17" s="1"/>
  <c r="AG294" i="17"/>
  <c r="AF294" i="17" s="1"/>
  <c r="AD294" i="17" s="1"/>
  <c r="AG310" i="17"/>
  <c r="AF310" i="17" s="1"/>
  <c r="AD310" i="17" s="1"/>
  <c r="AG326" i="17"/>
  <c r="AF326" i="17" s="1"/>
  <c r="AD326" i="17" s="1"/>
  <c r="AG342" i="17"/>
  <c r="AF342" i="17" s="1"/>
  <c r="AD342" i="17" s="1"/>
  <c r="AG358" i="17"/>
  <c r="AF358" i="17" s="1"/>
  <c r="AD358" i="17" s="1"/>
  <c r="AG374" i="17"/>
  <c r="AF374" i="17" s="1"/>
  <c r="AD374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292" i="17"/>
  <c r="AF292" i="17" s="1"/>
  <c r="AD292" i="17" s="1"/>
  <c r="AG324" i="17"/>
  <c r="AF324" i="17" s="1"/>
  <c r="AD324" i="17" s="1"/>
  <c r="AG356" i="17"/>
  <c r="AF356" i="17" s="1"/>
  <c r="AD356" i="17" s="1"/>
  <c r="AG31" i="17"/>
  <c r="AF31" i="17" s="1"/>
  <c r="AD31" i="17" s="1"/>
  <c r="AG159" i="17"/>
  <c r="AF159" i="17" s="1"/>
  <c r="AD159" i="17" s="1"/>
  <c r="AA159" i="17" s="1"/>
  <c r="Z159" i="17" s="1"/>
  <c r="Y159" i="17" s="1"/>
  <c r="AG280" i="17"/>
  <c r="AF280" i="17" s="1"/>
  <c r="AD280" i="17" s="1"/>
  <c r="AG344" i="17"/>
  <c r="AF344" i="17" s="1"/>
  <c r="AD344" i="17" s="1"/>
  <c r="AA344" i="17" s="1"/>
  <c r="Z344" i="17" s="1"/>
  <c r="Y344" i="17" s="1"/>
  <c r="AG47" i="17"/>
  <c r="AF47" i="17" s="1"/>
  <c r="AD47" i="17" s="1"/>
  <c r="AG288" i="17"/>
  <c r="AF288" i="17" s="1"/>
  <c r="AD288" i="17" s="1"/>
  <c r="AG207" i="17"/>
  <c r="AF207" i="17" s="1"/>
  <c r="AD207" i="17" s="1"/>
  <c r="AG336" i="17"/>
  <c r="AF336" i="17" s="1"/>
  <c r="AD336" i="17" s="1"/>
  <c r="AH15" i="17"/>
  <c r="AI381" i="17"/>
  <c r="AI383" i="17"/>
  <c r="AI382" i="17"/>
  <c r="H75" i="17"/>
  <c r="G136" i="16"/>
  <c r="BY136" i="6" s="1"/>
  <c r="AA136" i="16"/>
  <c r="Z136" i="16" s="1"/>
  <c r="Y136" i="16" s="1"/>
  <c r="H136" i="16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V68" i="17" s="1"/>
  <c r="F68" i="17" s="1"/>
  <c r="S92" i="17"/>
  <c r="R92" i="17" s="1"/>
  <c r="P92" i="17" s="1"/>
  <c r="V92" i="17" s="1"/>
  <c r="F92" i="17" s="1"/>
  <c r="S108" i="17"/>
  <c r="R108" i="17" s="1"/>
  <c r="P108" i="17" s="1"/>
  <c r="V108" i="17" s="1"/>
  <c r="F108" i="17" s="1"/>
  <c r="S116" i="17"/>
  <c r="R116" i="17" s="1"/>
  <c r="P116" i="17" s="1"/>
  <c r="V116" i="17" s="1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20" i="17"/>
  <c r="R220" i="17" s="1"/>
  <c r="P220" i="17" s="1"/>
  <c r="V220" i="17" s="1"/>
  <c r="F220" i="17" s="1"/>
  <c r="V228" i="17"/>
  <c r="F228" i="17" s="1"/>
  <c r="S22" i="17"/>
  <c r="R22" i="17" s="1"/>
  <c r="P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V110" i="17" s="1"/>
  <c r="F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60" i="17"/>
  <c r="R260" i="17" s="1"/>
  <c r="P260" i="17" s="1"/>
  <c r="V260" i="17" s="1"/>
  <c r="F260" i="17" s="1"/>
  <c r="V276" i="17"/>
  <c r="F276" i="17" s="1"/>
  <c r="S284" i="17"/>
  <c r="R284" i="17" s="1"/>
  <c r="P284" i="17" s="1"/>
  <c r="V284" i="17" s="1"/>
  <c r="F284" i="17" s="1"/>
  <c r="V292" i="17"/>
  <c r="F292" i="17" s="1"/>
  <c r="G300" i="17"/>
  <c r="BZ300" i="6" s="1"/>
  <c r="H300" i="17"/>
  <c r="S308" i="17"/>
  <c r="R308" i="17" s="1"/>
  <c r="P308" i="17" s="1"/>
  <c r="V308" i="17" s="1"/>
  <c r="F308" i="17" s="1"/>
  <c r="S316" i="17"/>
  <c r="R316" i="17" s="1"/>
  <c r="P316" i="17" s="1"/>
  <c r="V316" i="17" s="1"/>
  <c r="F316" i="17" s="1"/>
  <c r="AA356" i="17"/>
  <c r="Z356" i="17" s="1"/>
  <c r="Y356" i="17" s="1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V71" i="17" s="1"/>
  <c r="F71" i="17" s="1"/>
  <c r="V79" i="17"/>
  <c r="F79" i="17" s="1"/>
  <c r="S87" i="17"/>
  <c r="R87" i="17" s="1"/>
  <c r="P87" i="17" s="1"/>
  <c r="V87" i="17" s="1"/>
  <c r="F87" i="17" s="1"/>
  <c r="V95" i="17"/>
  <c r="F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V135" i="17" s="1"/>
  <c r="F135" i="17" s="1"/>
  <c r="V143" i="17"/>
  <c r="F143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V231" i="17" s="1"/>
  <c r="F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19" i="17"/>
  <c r="AF19" i="17" s="1"/>
  <c r="AD19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45" i="17"/>
  <c r="AF145" i="17" s="1"/>
  <c r="AD145" i="17" s="1"/>
  <c r="AG161" i="17"/>
  <c r="AF161" i="17" s="1"/>
  <c r="AD161" i="17" s="1"/>
  <c r="AG177" i="17"/>
  <c r="AF177" i="17" s="1"/>
  <c r="AD177" i="17" s="1"/>
  <c r="AG193" i="17"/>
  <c r="AF193" i="17" s="1"/>
  <c r="AD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1" i="17"/>
  <c r="AF241" i="17" s="1"/>
  <c r="AD241" i="17" s="1"/>
  <c r="AG257" i="17"/>
  <c r="AF257" i="17" s="1"/>
  <c r="AD257" i="17" s="1"/>
  <c r="AG275" i="17"/>
  <c r="AF275" i="17" s="1"/>
  <c r="AD275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V350" i="17" s="1"/>
  <c r="F350" i="17" s="1"/>
  <c r="S366" i="17"/>
  <c r="R366" i="17" s="1"/>
  <c r="P366" i="17" s="1"/>
  <c r="V366" i="17" s="1"/>
  <c r="F366" i="17" s="1"/>
  <c r="S16" i="17"/>
  <c r="R16" i="17" s="1"/>
  <c r="P16" i="17" s="1"/>
  <c r="S41" i="17"/>
  <c r="R41" i="17" s="1"/>
  <c r="P41" i="17" s="1"/>
  <c r="V41" i="17" s="1"/>
  <c r="F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V121" i="17" s="1"/>
  <c r="F121" i="17" s="1"/>
  <c r="S137" i="17"/>
  <c r="R137" i="17" s="1"/>
  <c r="P137" i="17" s="1"/>
  <c r="V137" i="17" s="1"/>
  <c r="F137" i="17" s="1"/>
  <c r="S145" i="17"/>
  <c r="R145" i="17" s="1"/>
  <c r="P145" i="17" s="1"/>
  <c r="V145" i="17" s="1"/>
  <c r="F145" i="17" s="1"/>
  <c r="S153" i="17"/>
  <c r="R153" i="17" s="1"/>
  <c r="P153" i="17" s="1"/>
  <c r="V153" i="17" s="1"/>
  <c r="F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V185" i="17" s="1"/>
  <c r="F185" i="17" s="1"/>
  <c r="S201" i="17"/>
  <c r="R201" i="17" s="1"/>
  <c r="P201" i="17" s="1"/>
  <c r="V201" i="17" s="1"/>
  <c r="F201" i="17" s="1"/>
  <c r="S233" i="17"/>
  <c r="R233" i="17" s="1"/>
  <c r="P233" i="17" s="1"/>
  <c r="V233" i="17" s="1"/>
  <c r="F233" i="17" s="1"/>
  <c r="S257" i="17"/>
  <c r="R257" i="17" s="1"/>
  <c r="P257" i="17" s="1"/>
  <c r="V257" i="17" s="1"/>
  <c r="F257" i="17" s="1"/>
  <c r="S265" i="17"/>
  <c r="R265" i="17" s="1"/>
  <c r="P265" i="17" s="1"/>
  <c r="V265" i="17" s="1"/>
  <c r="F265" i="17" s="1"/>
  <c r="S273" i="17"/>
  <c r="R273" i="17" s="1"/>
  <c r="P273" i="17" s="1"/>
  <c r="V273" i="17" s="1"/>
  <c r="F273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G253" i="17"/>
  <c r="AF253" i="17" s="1"/>
  <c r="AD253" i="17" s="1"/>
  <c r="AG269" i="17"/>
  <c r="AF269" i="17" s="1"/>
  <c r="AD269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A371" i="17" s="1"/>
  <c r="Z371" i="17" s="1"/>
  <c r="Y371" i="17" s="1"/>
  <c r="AH379" i="17"/>
  <c r="AI12" i="18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4" i="17"/>
  <c r="AF54" i="17" s="1"/>
  <c r="AD54" i="17" s="1"/>
  <c r="AG38" i="17"/>
  <c r="AF38" i="17" s="1"/>
  <c r="AD38" i="17" s="1"/>
  <c r="AG22" i="17"/>
  <c r="AF22" i="17" s="1"/>
  <c r="AD22" i="17" s="1"/>
  <c r="AG273" i="17"/>
  <c r="AF273" i="17" s="1"/>
  <c r="AD273" i="17" s="1"/>
  <c r="AG281" i="17"/>
  <c r="AF281" i="17" s="1"/>
  <c r="AD281" i="17" s="1"/>
  <c r="AA281" i="17" s="1"/>
  <c r="Z281" i="17" s="1"/>
  <c r="Y281" i="17" s="1"/>
  <c r="AG289" i="17"/>
  <c r="AF289" i="17" s="1"/>
  <c r="AD289" i="17" s="1"/>
  <c r="AG297" i="17"/>
  <c r="AF297" i="17" s="1"/>
  <c r="AD297" i="17" s="1"/>
  <c r="AA297" i="17" s="1"/>
  <c r="Z297" i="17" s="1"/>
  <c r="Y297" i="17" s="1"/>
  <c r="AG305" i="17"/>
  <c r="AF305" i="17" s="1"/>
  <c r="AD305" i="17" s="1"/>
  <c r="AG313" i="17"/>
  <c r="AF313" i="17" s="1"/>
  <c r="AD313" i="17" s="1"/>
  <c r="AA313" i="17" s="1"/>
  <c r="Z313" i="17" s="1"/>
  <c r="Y313" i="17" s="1"/>
  <c r="AG321" i="17"/>
  <c r="AF321" i="17" s="1"/>
  <c r="AD321" i="17" s="1"/>
  <c r="AG329" i="17"/>
  <c r="AF329" i="17" s="1"/>
  <c r="AD329" i="17" s="1"/>
  <c r="AA329" i="17" s="1"/>
  <c r="Z329" i="17" s="1"/>
  <c r="Y329" i="17" s="1"/>
  <c r="AG337" i="17"/>
  <c r="AF337" i="17" s="1"/>
  <c r="AD337" i="17" s="1"/>
  <c r="AA337" i="17" s="1"/>
  <c r="Z337" i="17" s="1"/>
  <c r="Y337" i="17" s="1"/>
  <c r="AG345" i="17"/>
  <c r="AF345" i="17" s="1"/>
  <c r="AD345" i="17" s="1"/>
  <c r="AG353" i="17"/>
  <c r="AF353" i="17" s="1"/>
  <c r="AD353" i="17" s="1"/>
  <c r="AA353" i="17" s="1"/>
  <c r="Z353" i="17" s="1"/>
  <c r="Y353" i="17" s="1"/>
  <c r="AG361" i="17"/>
  <c r="AF361" i="17" s="1"/>
  <c r="AD361" i="17" s="1"/>
  <c r="AA361" i="17" s="1"/>
  <c r="Z361" i="17" s="1"/>
  <c r="Y361" i="17" s="1"/>
  <c r="AG369" i="17"/>
  <c r="AF369" i="17" s="1"/>
  <c r="AD369" i="17" s="1"/>
  <c r="AA369" i="17" s="1"/>
  <c r="Z369" i="17" s="1"/>
  <c r="Y369" i="17" s="1"/>
  <c r="AG377" i="17"/>
  <c r="AF377" i="17" s="1"/>
  <c r="AD377" i="17" s="1"/>
  <c r="AA377" i="17" s="1"/>
  <c r="Z377" i="17" s="1"/>
  <c r="Y377" i="17" s="1"/>
  <c r="AG268" i="17"/>
  <c r="AF268" i="17" s="1"/>
  <c r="AD268" i="17" s="1"/>
  <c r="AA268" i="17" s="1"/>
  <c r="Z268" i="17" s="1"/>
  <c r="Y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A236" i="17" s="1"/>
  <c r="Z236" i="17" s="1"/>
  <c r="Y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A204" i="17" s="1"/>
  <c r="Z204" i="17" s="1"/>
  <c r="Y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A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58" i="17"/>
  <c r="AF58" i="17" s="1"/>
  <c r="AD58" i="17" s="1"/>
  <c r="AA58" i="17" s="1"/>
  <c r="Z58" i="17" s="1"/>
  <c r="Y58" i="17" s="1"/>
  <c r="AG42" i="17"/>
  <c r="AF42" i="17" s="1"/>
  <c r="AD42" i="17" s="1"/>
  <c r="AG26" i="17"/>
  <c r="AF26" i="17" s="1"/>
  <c r="AD2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A195" i="17" s="1"/>
  <c r="Z195" i="17" s="1"/>
  <c r="Y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82" i="17"/>
  <c r="AF282" i="17" s="1"/>
  <c r="AD282" i="17" s="1"/>
  <c r="AG298" i="17"/>
  <c r="AF298" i="17" s="1"/>
  <c r="AD298" i="17" s="1"/>
  <c r="AA298" i="17" s="1"/>
  <c r="Z298" i="17" s="1"/>
  <c r="Y298" i="17" s="1"/>
  <c r="AG314" i="17"/>
  <c r="AF314" i="17" s="1"/>
  <c r="AD314" i="17" s="1"/>
  <c r="AA314" i="17" s="1"/>
  <c r="Z314" i="17" s="1"/>
  <c r="Y314" i="17" s="1"/>
  <c r="AG330" i="17"/>
  <c r="AF330" i="17" s="1"/>
  <c r="AD330" i="17" s="1"/>
  <c r="AG346" i="17"/>
  <c r="AF346" i="17" s="1"/>
  <c r="AD346" i="17" s="1"/>
  <c r="AG362" i="17"/>
  <c r="AF362" i="17" s="1"/>
  <c r="AD362" i="17" s="1"/>
  <c r="AA362" i="17" s="1"/>
  <c r="Z362" i="17" s="1"/>
  <c r="Y362" i="17" s="1"/>
  <c r="AG378" i="17"/>
  <c r="AF378" i="17" s="1"/>
  <c r="AD378" i="17" s="1"/>
  <c r="AA378" i="17" s="1"/>
  <c r="Z378" i="17" s="1"/>
  <c r="Y378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A263" i="17" s="1"/>
  <c r="Z263" i="17" s="1"/>
  <c r="Y263" i="17" s="1"/>
  <c r="AG300" i="17"/>
  <c r="AF300" i="17" s="1"/>
  <c r="AD300" i="17" s="1"/>
  <c r="AA300" i="17" s="1"/>
  <c r="Z300" i="17" s="1"/>
  <c r="Y300" i="17" s="1"/>
  <c r="AG332" i="17"/>
  <c r="AF332" i="17" s="1"/>
  <c r="AD332" i="17" s="1"/>
  <c r="AA332" i="17" s="1"/>
  <c r="Z332" i="17" s="1"/>
  <c r="Y332" i="17" s="1"/>
  <c r="AG364" i="17"/>
  <c r="AF364" i="17" s="1"/>
  <c r="AD364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A255" i="17" s="1"/>
  <c r="Z255" i="17" s="1"/>
  <c r="Y255" i="17" s="1"/>
  <c r="AG328" i="17"/>
  <c r="AF328" i="17" s="1"/>
  <c r="AD328" i="17" s="1"/>
  <c r="AA328" i="17" s="1"/>
  <c r="Z328" i="17" s="1"/>
  <c r="Y328" i="17" s="1"/>
  <c r="AG111" i="17"/>
  <c r="AF111" i="17" s="1"/>
  <c r="AD111" i="17" s="1"/>
  <c r="AG320" i="17"/>
  <c r="AF320" i="17" s="1"/>
  <c r="AD320" i="17" s="1"/>
  <c r="AA320" i="17" s="1"/>
  <c r="Z320" i="17" s="1"/>
  <c r="Y320" i="17" s="1"/>
  <c r="AG304" i="17"/>
  <c r="AF304" i="17" s="1"/>
  <c r="AD304" i="17" s="1"/>
  <c r="AA304" i="17" s="1"/>
  <c r="Z304" i="17" s="1"/>
  <c r="Y304" i="17" s="1"/>
  <c r="AG271" i="17"/>
  <c r="AF271" i="17" s="1"/>
  <c r="AD271" i="17" s="1"/>
  <c r="AA271" i="17" s="1"/>
  <c r="Z271" i="17" s="1"/>
  <c r="Y271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86" i="17"/>
  <c r="AF286" i="17" s="1"/>
  <c r="AD286" i="17" s="1"/>
  <c r="AA286" i="17" s="1"/>
  <c r="Z286" i="17" s="1"/>
  <c r="Y286" i="17" s="1"/>
  <c r="AG302" i="17"/>
  <c r="AF302" i="17" s="1"/>
  <c r="AD302" i="17" s="1"/>
  <c r="AA302" i="17" s="1"/>
  <c r="Z302" i="17" s="1"/>
  <c r="Y302" i="17" s="1"/>
  <c r="AG318" i="17"/>
  <c r="AF318" i="17" s="1"/>
  <c r="AD318" i="17" s="1"/>
  <c r="AG334" i="17"/>
  <c r="AF334" i="17" s="1"/>
  <c r="AD334" i="17" s="1"/>
  <c r="AG350" i="17"/>
  <c r="AF350" i="17" s="1"/>
  <c r="AD350" i="17" s="1"/>
  <c r="AG366" i="17"/>
  <c r="AF366" i="17" s="1"/>
  <c r="AD366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6" i="17"/>
  <c r="AF276" i="17" s="1"/>
  <c r="AD276" i="17" s="1"/>
  <c r="AG308" i="17"/>
  <c r="AF308" i="17" s="1"/>
  <c r="AD308" i="17" s="1"/>
  <c r="AG340" i="17"/>
  <c r="AF340" i="17" s="1"/>
  <c r="AD340" i="17" s="1"/>
  <c r="AA340" i="17" s="1"/>
  <c r="Z340" i="17" s="1"/>
  <c r="Y340" i="17" s="1"/>
  <c r="AG372" i="17"/>
  <c r="AF372" i="17" s="1"/>
  <c r="AD372" i="17" s="1"/>
  <c r="AG95" i="17"/>
  <c r="AF95" i="17" s="1"/>
  <c r="AD95" i="17" s="1"/>
  <c r="AG223" i="17"/>
  <c r="AF223" i="17" s="1"/>
  <c r="AD223" i="17" s="1"/>
  <c r="AG312" i="17"/>
  <c r="AF312" i="17" s="1"/>
  <c r="AD312" i="17" s="1"/>
  <c r="AG376" i="17"/>
  <c r="AF376" i="17" s="1"/>
  <c r="AD376" i="17" s="1"/>
  <c r="AG175" i="17"/>
  <c r="AF175" i="17" s="1"/>
  <c r="AD175" i="17" s="1"/>
  <c r="AA175" i="17" s="1"/>
  <c r="Z175" i="17" s="1"/>
  <c r="Y175" i="17" s="1"/>
  <c r="AG352" i="17"/>
  <c r="AF352" i="17" s="1"/>
  <c r="AD352" i="17" s="1"/>
  <c r="AG368" i="17"/>
  <c r="AF368" i="17" s="1"/>
  <c r="AD368" i="17" s="1"/>
  <c r="AA368" i="17" s="1"/>
  <c r="Z368" i="17" s="1"/>
  <c r="Y368" i="17" s="1"/>
  <c r="AG18" i="17"/>
  <c r="AF18" i="17" s="1"/>
  <c r="AD18" i="17" s="1"/>
  <c r="AA18" i="17" s="1"/>
  <c r="Z18" i="17" s="1"/>
  <c r="Y18" i="17" s="1"/>
  <c r="I306" i="17"/>
  <c r="J306" i="17"/>
  <c r="I323" i="16"/>
  <c r="H323" i="17" s="1"/>
  <c r="J323" i="16"/>
  <c r="J302" i="16"/>
  <c r="I302" i="16"/>
  <c r="G272" i="16"/>
  <c r="BY272" i="6" s="1"/>
  <c r="AA272" i="16"/>
  <c r="Z272" i="16" s="1"/>
  <c r="Y272" i="16" s="1"/>
  <c r="H272" i="16"/>
  <c r="J380" i="16"/>
  <c r="I380" i="16"/>
  <c r="H380" i="17" s="1"/>
  <c r="I47" i="16"/>
  <c r="J47" i="16"/>
  <c r="R382" i="16"/>
  <c r="R383" i="16"/>
  <c r="R381" i="16"/>
  <c r="P15" i="16"/>
  <c r="AF382" i="16"/>
  <c r="AF383" i="16"/>
  <c r="AF381" i="16"/>
  <c r="AD15" i="16"/>
  <c r="G350" i="16"/>
  <c r="BY350" i="6" s="1"/>
  <c r="H350" i="16"/>
  <c r="AA350" i="16"/>
  <c r="Z350" i="16" s="1"/>
  <c r="Y350" i="16" s="1"/>
  <c r="G180" i="16"/>
  <c r="BY180" i="6" s="1"/>
  <c r="AA180" i="16"/>
  <c r="Z180" i="16" s="1"/>
  <c r="Y180" i="16" s="1"/>
  <c r="H180" i="16"/>
  <c r="I239" i="16"/>
  <c r="H239" i="17" s="1"/>
  <c r="J239" i="16"/>
  <c r="I295" i="16"/>
  <c r="H295" i="17" s="1"/>
  <c r="J295" i="16"/>
  <c r="I241" i="16"/>
  <c r="J241" i="16"/>
  <c r="U21" i="18"/>
  <c r="T21" i="18" s="1"/>
  <c r="S21" i="18" s="1"/>
  <c r="R21" i="18" s="1"/>
  <c r="AB15" i="7"/>
  <c r="U373" i="18"/>
  <c r="T373" i="18" s="1"/>
  <c r="S373" i="18" s="1"/>
  <c r="R373" i="18" s="1"/>
  <c r="P373" i="18" s="1"/>
  <c r="V373" i="18" s="1"/>
  <c r="U357" i="18"/>
  <c r="T357" i="18" s="1"/>
  <c r="U341" i="18"/>
  <c r="T341" i="18" s="1"/>
  <c r="S341" i="18" s="1"/>
  <c r="R341" i="18" s="1"/>
  <c r="P341" i="18" s="1"/>
  <c r="V341" i="18" s="1"/>
  <c r="U325" i="18"/>
  <c r="T325" i="18" s="1"/>
  <c r="S325" i="18" s="1"/>
  <c r="R325" i="18" s="1"/>
  <c r="P325" i="18" s="1"/>
  <c r="V325" i="18" s="1"/>
  <c r="U309" i="18"/>
  <c r="T309" i="18" s="1"/>
  <c r="S309" i="18" s="1"/>
  <c r="R309" i="18" s="1"/>
  <c r="P309" i="18" s="1"/>
  <c r="V309" i="18" s="1"/>
  <c r="U293" i="18"/>
  <c r="T293" i="18" s="1"/>
  <c r="U277" i="18"/>
  <c r="T277" i="18" s="1"/>
  <c r="S277" i="18" s="1"/>
  <c r="R277" i="18" s="1"/>
  <c r="P277" i="18" s="1"/>
  <c r="V277" i="18" s="1"/>
  <c r="U261" i="18"/>
  <c r="T261" i="18" s="1"/>
  <c r="U245" i="18"/>
  <c r="T245" i="18" s="1"/>
  <c r="U229" i="18"/>
  <c r="T229" i="18" s="1"/>
  <c r="S229" i="18" s="1"/>
  <c r="R229" i="18" s="1"/>
  <c r="P229" i="18" s="1"/>
  <c r="V229" i="18" s="1"/>
  <c r="U213" i="18"/>
  <c r="T213" i="18" s="1"/>
  <c r="S213" i="18" s="1"/>
  <c r="R213" i="18" s="1"/>
  <c r="P213" i="18" s="1"/>
  <c r="V213" i="18" s="1"/>
  <c r="U197" i="18"/>
  <c r="T197" i="18" s="1"/>
  <c r="S197" i="18" s="1"/>
  <c r="R197" i="18" s="1"/>
  <c r="P197" i="18" s="1"/>
  <c r="V197" i="18" s="1"/>
  <c r="U181" i="18"/>
  <c r="T181" i="18" s="1"/>
  <c r="U165" i="18"/>
  <c r="T165" i="18" s="1"/>
  <c r="S165" i="18" s="1"/>
  <c r="R165" i="18" s="1"/>
  <c r="P165" i="18" s="1"/>
  <c r="V165" i="18" s="1"/>
  <c r="U149" i="18"/>
  <c r="T149" i="18" s="1"/>
  <c r="S149" i="18" s="1"/>
  <c r="R149" i="18" s="1"/>
  <c r="U133" i="18"/>
  <c r="T133" i="18" s="1"/>
  <c r="U117" i="18"/>
  <c r="T117" i="18" s="1"/>
  <c r="S117" i="18" s="1"/>
  <c r="R117" i="18" s="1"/>
  <c r="U101" i="18"/>
  <c r="T101" i="18" s="1"/>
  <c r="S101" i="18" s="1"/>
  <c r="R101" i="18" s="1"/>
  <c r="U85" i="18"/>
  <c r="T85" i="18" s="1"/>
  <c r="S85" i="18" s="1"/>
  <c r="R85" i="18" s="1"/>
  <c r="U69" i="18"/>
  <c r="T69" i="18" s="1"/>
  <c r="S69" i="18" s="1"/>
  <c r="R69" i="18" s="1"/>
  <c r="U53" i="18"/>
  <c r="T53" i="18" s="1"/>
  <c r="S53" i="18" s="1"/>
  <c r="R53" i="18" s="1"/>
  <c r="P53" i="18" s="1"/>
  <c r="V53" i="18" s="1"/>
  <c r="U37" i="18"/>
  <c r="T37" i="18" s="1"/>
  <c r="U18" i="18"/>
  <c r="T18" i="18" s="1"/>
  <c r="S18" i="18" s="1"/>
  <c r="R18" i="18" s="1"/>
  <c r="P18" i="18" s="1"/>
  <c r="V18" i="18" s="1"/>
  <c r="J36" i="19"/>
  <c r="D12" i="19"/>
  <c r="G36" i="19"/>
  <c r="L44" i="19"/>
  <c r="U377" i="18"/>
  <c r="T377" i="18" s="1"/>
  <c r="S377" i="18" s="1"/>
  <c r="R377" i="18" s="1"/>
  <c r="P377" i="18" s="1"/>
  <c r="V377" i="18" s="1"/>
  <c r="U369" i="18"/>
  <c r="T369" i="18" s="1"/>
  <c r="U361" i="18"/>
  <c r="T361" i="18" s="1"/>
  <c r="S361" i="18" s="1"/>
  <c r="R361" i="18" s="1"/>
  <c r="P361" i="18" s="1"/>
  <c r="V361" i="18" s="1"/>
  <c r="D361" i="18" s="1"/>
  <c r="E361" i="18" s="1"/>
  <c r="F361" i="18" s="1"/>
  <c r="U353" i="18"/>
  <c r="T353" i="18" s="1"/>
  <c r="U345" i="18"/>
  <c r="T345" i="18" s="1"/>
  <c r="U337" i="18"/>
  <c r="T337" i="18" s="1"/>
  <c r="S337" i="18" s="1"/>
  <c r="R337" i="18" s="1"/>
  <c r="P337" i="18" s="1"/>
  <c r="V337" i="18" s="1"/>
  <c r="U329" i="18"/>
  <c r="T329" i="18" s="1"/>
  <c r="S329" i="18" s="1"/>
  <c r="R329" i="18" s="1"/>
  <c r="P329" i="18" s="1"/>
  <c r="V329" i="18" s="1"/>
  <c r="D329" i="18" s="1"/>
  <c r="E329" i="18" s="1"/>
  <c r="F329" i="18" s="1"/>
  <c r="U321" i="18"/>
  <c r="T321" i="18" s="1"/>
  <c r="S321" i="18" s="1"/>
  <c r="R321" i="18" s="1"/>
  <c r="P321" i="18" s="1"/>
  <c r="V321" i="18" s="1"/>
  <c r="D321" i="18" s="1"/>
  <c r="E321" i="18" s="1"/>
  <c r="F321" i="18" s="1"/>
  <c r="U313" i="18"/>
  <c r="T313" i="18" s="1"/>
  <c r="S313" i="18" s="1"/>
  <c r="R313" i="18" s="1"/>
  <c r="P313" i="18" s="1"/>
  <c r="V313" i="18" s="1"/>
  <c r="U305" i="18"/>
  <c r="T305" i="18" s="1"/>
  <c r="S305" i="18" s="1"/>
  <c r="R305" i="18" s="1"/>
  <c r="P305" i="18" s="1"/>
  <c r="V305" i="18" s="1"/>
  <c r="D305" i="18" s="1"/>
  <c r="E305" i="18" s="1"/>
  <c r="F305" i="18" s="1"/>
  <c r="U297" i="18"/>
  <c r="T297" i="18" s="1"/>
  <c r="S297" i="18" s="1"/>
  <c r="R297" i="18" s="1"/>
  <c r="P297" i="18" s="1"/>
  <c r="V297" i="18" s="1"/>
  <c r="D297" i="18" s="1"/>
  <c r="E297" i="18" s="1"/>
  <c r="F297" i="18" s="1"/>
  <c r="U289" i="18"/>
  <c r="T289" i="18" s="1"/>
  <c r="U281" i="18"/>
  <c r="T281" i="18" s="1"/>
  <c r="S281" i="18" s="1"/>
  <c r="R281" i="18" s="1"/>
  <c r="P281" i="18" s="1"/>
  <c r="V281" i="18" s="1"/>
  <c r="U273" i="18"/>
  <c r="T273" i="18" s="1"/>
  <c r="S273" i="18" s="1"/>
  <c r="R273" i="18" s="1"/>
  <c r="P273" i="18" s="1"/>
  <c r="V273" i="18" s="1"/>
  <c r="U265" i="18"/>
  <c r="T265" i="18" s="1"/>
  <c r="S265" i="18" s="1"/>
  <c r="R265" i="18" s="1"/>
  <c r="P265" i="18" s="1"/>
  <c r="V265" i="18" s="1"/>
  <c r="U257" i="18"/>
  <c r="T257" i="18" s="1"/>
  <c r="U249" i="18"/>
  <c r="T249" i="18" s="1"/>
  <c r="S249" i="18" s="1"/>
  <c r="R249" i="18" s="1"/>
  <c r="P249" i="18" s="1"/>
  <c r="V249" i="18" s="1"/>
  <c r="U241" i="18"/>
  <c r="T241" i="18" s="1"/>
  <c r="S241" i="18" s="1"/>
  <c r="R241" i="18" s="1"/>
  <c r="P241" i="18" s="1"/>
  <c r="U233" i="18"/>
  <c r="T233" i="18" s="1"/>
  <c r="U225" i="18"/>
  <c r="T225" i="18" s="1"/>
  <c r="S225" i="18" s="1"/>
  <c r="R225" i="18" s="1"/>
  <c r="P225" i="18" s="1"/>
  <c r="V225" i="18" s="1"/>
  <c r="U217" i="18"/>
  <c r="T217" i="18" s="1"/>
  <c r="S217" i="18" s="1"/>
  <c r="R217" i="18" s="1"/>
  <c r="P217" i="18" s="1"/>
  <c r="V217" i="18" s="1"/>
  <c r="U209" i="18"/>
  <c r="T209" i="18" s="1"/>
  <c r="S209" i="18" s="1"/>
  <c r="R209" i="18" s="1"/>
  <c r="P209" i="18" s="1"/>
  <c r="V209" i="18" s="1"/>
  <c r="U201" i="18"/>
  <c r="T201" i="18" s="1"/>
  <c r="S201" i="18" s="1"/>
  <c r="R201" i="18" s="1"/>
  <c r="P201" i="18" s="1"/>
  <c r="V201" i="18" s="1"/>
  <c r="U193" i="18"/>
  <c r="T193" i="18" s="1"/>
  <c r="S193" i="18" s="1"/>
  <c r="R193" i="18" s="1"/>
  <c r="P193" i="18" s="1"/>
  <c r="V193" i="18" s="1"/>
  <c r="U185" i="18"/>
  <c r="T185" i="18" s="1"/>
  <c r="S185" i="18" s="1"/>
  <c r="R185" i="18" s="1"/>
  <c r="P185" i="18" s="1"/>
  <c r="V185" i="18" s="1"/>
  <c r="U177" i="18"/>
  <c r="T177" i="18" s="1"/>
  <c r="S177" i="18" s="1"/>
  <c r="R177" i="18" s="1"/>
  <c r="P177" i="18" s="1"/>
  <c r="V177" i="18" s="1"/>
  <c r="U169" i="18"/>
  <c r="T169" i="18" s="1"/>
  <c r="S169" i="18" s="1"/>
  <c r="R169" i="18" s="1"/>
  <c r="P169" i="18" s="1"/>
  <c r="V169" i="18" s="1"/>
  <c r="U161" i="18"/>
  <c r="T161" i="18" s="1"/>
  <c r="S161" i="18" s="1"/>
  <c r="R161" i="18" s="1"/>
  <c r="P161" i="18" s="1"/>
  <c r="V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P145" i="18" s="1"/>
  <c r="V145" i="18" s="1"/>
  <c r="U137" i="18"/>
  <c r="T137" i="18" s="1"/>
  <c r="S137" i="18" s="1"/>
  <c r="R137" i="18" s="1"/>
  <c r="P137" i="18" s="1"/>
  <c r="V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P113" i="18" s="1"/>
  <c r="V113" i="18" s="1"/>
  <c r="U105" i="18"/>
  <c r="T105" i="18" s="1"/>
  <c r="S105" i="18" s="1"/>
  <c r="R105" i="18" s="1"/>
  <c r="P105" i="18" s="1"/>
  <c r="V105" i="18" s="1"/>
  <c r="U97" i="18"/>
  <c r="T97" i="18" s="1"/>
  <c r="U89" i="18"/>
  <c r="T89" i="18" s="1"/>
  <c r="S89" i="18" s="1"/>
  <c r="R89" i="18" s="1"/>
  <c r="P89" i="18" s="1"/>
  <c r="V89" i="18" s="1"/>
  <c r="U81" i="18"/>
  <c r="T81" i="18" s="1"/>
  <c r="S81" i="18" s="1"/>
  <c r="R81" i="18" s="1"/>
  <c r="P81" i="18" s="1"/>
  <c r="V81" i="18" s="1"/>
  <c r="U73" i="18"/>
  <c r="T73" i="18" s="1"/>
  <c r="S73" i="18" s="1"/>
  <c r="R73" i="18" s="1"/>
  <c r="P73" i="18" s="1"/>
  <c r="V73" i="18" s="1"/>
  <c r="U65" i="18"/>
  <c r="T65" i="18" s="1"/>
  <c r="S65" i="18" s="1"/>
  <c r="R65" i="18" s="1"/>
  <c r="P65" i="18" s="1"/>
  <c r="V65" i="18" s="1"/>
  <c r="U57" i="18"/>
  <c r="T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U33" i="18"/>
  <c r="T33" i="18" s="1"/>
  <c r="S33" i="18" s="1"/>
  <c r="R33" i="18" s="1"/>
  <c r="P33" i="18" s="1"/>
  <c r="V33" i="18" s="1"/>
  <c r="U25" i="18"/>
  <c r="T25" i="18" s="1"/>
  <c r="S25" i="18" s="1"/>
  <c r="R25" i="18" s="1"/>
  <c r="P25" i="18" s="1"/>
  <c r="V25" i="18" s="1"/>
  <c r="U379" i="18"/>
  <c r="AB16" i="7" s="1"/>
  <c r="U375" i="18"/>
  <c r="T375" i="18" s="1"/>
  <c r="S375" i="18" s="1"/>
  <c r="R375" i="18" s="1"/>
  <c r="P375" i="18" s="1"/>
  <c r="V375" i="18" s="1"/>
  <c r="U371" i="18"/>
  <c r="T371" i="18" s="1"/>
  <c r="S371" i="18" s="1"/>
  <c r="R371" i="18" s="1"/>
  <c r="P371" i="18" s="1"/>
  <c r="V371" i="18" s="1"/>
  <c r="U367" i="18"/>
  <c r="T367" i="18" s="1"/>
  <c r="S367" i="18" s="1"/>
  <c r="R367" i="18" s="1"/>
  <c r="P367" i="18" s="1"/>
  <c r="V367" i="18" s="1"/>
  <c r="D367" i="18" s="1"/>
  <c r="E367" i="18" s="1"/>
  <c r="F367" i="18" s="1"/>
  <c r="U363" i="18"/>
  <c r="T363" i="18" s="1"/>
  <c r="U359" i="18"/>
  <c r="T359" i="18" s="1"/>
  <c r="S359" i="18" s="1"/>
  <c r="R359" i="18" s="1"/>
  <c r="P359" i="18" s="1"/>
  <c r="V359" i="18" s="1"/>
  <c r="U355" i="18"/>
  <c r="T355" i="18" s="1"/>
  <c r="S355" i="18" s="1"/>
  <c r="R355" i="18" s="1"/>
  <c r="P355" i="18" s="1"/>
  <c r="V355" i="18" s="1"/>
  <c r="U351" i="18"/>
  <c r="T351" i="18" s="1"/>
  <c r="S351" i="18" s="1"/>
  <c r="R351" i="18" s="1"/>
  <c r="P351" i="18" s="1"/>
  <c r="V351" i="18" s="1"/>
  <c r="D351" i="18" s="1"/>
  <c r="E351" i="18" s="1"/>
  <c r="F351" i="18" s="1"/>
  <c r="U347" i="18"/>
  <c r="T347" i="18" s="1"/>
  <c r="S347" i="18" s="1"/>
  <c r="R347" i="18" s="1"/>
  <c r="P347" i="18" s="1"/>
  <c r="V347" i="18" s="1"/>
  <c r="D347" i="18" s="1"/>
  <c r="E347" i="18" s="1"/>
  <c r="F347" i="18" s="1"/>
  <c r="U343" i="18"/>
  <c r="T343" i="18" s="1"/>
  <c r="S343" i="18" s="1"/>
  <c r="R343" i="18" s="1"/>
  <c r="P343" i="18" s="1"/>
  <c r="V343" i="18" s="1"/>
  <c r="U339" i="18"/>
  <c r="T339" i="18" s="1"/>
  <c r="S339" i="18" s="1"/>
  <c r="R339" i="18" s="1"/>
  <c r="P339" i="18" s="1"/>
  <c r="V339" i="18" s="1"/>
  <c r="D339" i="18" s="1"/>
  <c r="E339" i="18" s="1"/>
  <c r="F339" i="18" s="1"/>
  <c r="U335" i="18"/>
  <c r="T335" i="18" s="1"/>
  <c r="S335" i="18" s="1"/>
  <c r="R335" i="18" s="1"/>
  <c r="P335" i="18" s="1"/>
  <c r="V335" i="18" s="1"/>
  <c r="W335" i="18" s="1"/>
  <c r="U331" i="18"/>
  <c r="T331" i="18" s="1"/>
  <c r="S331" i="18" s="1"/>
  <c r="R331" i="18" s="1"/>
  <c r="P331" i="18" s="1"/>
  <c r="V331" i="18" s="1"/>
  <c r="U327" i="18"/>
  <c r="T327" i="18" s="1"/>
  <c r="S327" i="18" s="1"/>
  <c r="R327" i="18" s="1"/>
  <c r="P327" i="18" s="1"/>
  <c r="V327" i="18" s="1"/>
  <c r="D327" i="18" s="1"/>
  <c r="E327" i="18" s="1"/>
  <c r="F327" i="18" s="1"/>
  <c r="U323" i="18"/>
  <c r="T323" i="18" s="1"/>
  <c r="U319" i="18"/>
  <c r="T319" i="18" s="1"/>
  <c r="S319" i="18" s="1"/>
  <c r="R319" i="18" s="1"/>
  <c r="P319" i="18" s="1"/>
  <c r="V319" i="18" s="1"/>
  <c r="U315" i="18"/>
  <c r="T315" i="18" s="1"/>
  <c r="U311" i="18"/>
  <c r="T311" i="18" s="1"/>
  <c r="U307" i="18"/>
  <c r="T307" i="18" s="1"/>
  <c r="S307" i="18" s="1"/>
  <c r="R307" i="18" s="1"/>
  <c r="P307" i="18" s="1"/>
  <c r="V307" i="18" s="1"/>
  <c r="D307" i="18" s="1"/>
  <c r="E307" i="18" s="1"/>
  <c r="F307" i="18" s="1"/>
  <c r="U303" i="18"/>
  <c r="T303" i="18" s="1"/>
  <c r="U299" i="18"/>
  <c r="T299" i="18" s="1"/>
  <c r="S299" i="18" s="1"/>
  <c r="R299" i="18" s="1"/>
  <c r="P299" i="18" s="1"/>
  <c r="V299" i="18" s="1"/>
  <c r="D299" i="18" s="1"/>
  <c r="E299" i="18" s="1"/>
  <c r="F299" i="18" s="1"/>
  <c r="U295" i="18"/>
  <c r="T295" i="18" s="1"/>
  <c r="S295" i="18" s="1"/>
  <c r="R295" i="18" s="1"/>
  <c r="P295" i="18" s="1"/>
  <c r="V295" i="18" s="1"/>
  <c r="D295" i="18" s="1"/>
  <c r="E295" i="18" s="1"/>
  <c r="F295" i="18" s="1"/>
  <c r="U291" i="18"/>
  <c r="T291" i="18" s="1"/>
  <c r="S291" i="18" s="1"/>
  <c r="R291" i="18" s="1"/>
  <c r="P291" i="18" s="1"/>
  <c r="V291" i="18" s="1"/>
  <c r="U287" i="18"/>
  <c r="T287" i="18" s="1"/>
  <c r="S287" i="18" s="1"/>
  <c r="R287" i="18" s="1"/>
  <c r="P287" i="18" s="1"/>
  <c r="V287" i="18" s="1"/>
  <c r="U283" i="18"/>
  <c r="T283" i="18" s="1"/>
  <c r="S283" i="18" s="1"/>
  <c r="R283" i="18" s="1"/>
  <c r="P283" i="18" s="1"/>
  <c r="V283" i="18" s="1"/>
  <c r="U279" i="18"/>
  <c r="T279" i="18" s="1"/>
  <c r="U275" i="18"/>
  <c r="T275" i="18" s="1"/>
  <c r="U271" i="18"/>
  <c r="T271" i="18" s="1"/>
  <c r="S271" i="18" s="1"/>
  <c r="R271" i="18" s="1"/>
  <c r="P271" i="18" s="1"/>
  <c r="V271" i="18" s="1"/>
  <c r="U267" i="18"/>
  <c r="T267" i="18" s="1"/>
  <c r="U263" i="18"/>
  <c r="T263" i="18" s="1"/>
  <c r="U259" i="18"/>
  <c r="T259" i="18" s="1"/>
  <c r="S259" i="18" s="1"/>
  <c r="R259" i="18" s="1"/>
  <c r="P259" i="18" s="1"/>
  <c r="V259" i="18" s="1"/>
  <c r="U255" i="18"/>
  <c r="T255" i="18" s="1"/>
  <c r="S255" i="18" s="1"/>
  <c r="R255" i="18" s="1"/>
  <c r="P255" i="18" s="1"/>
  <c r="V255" i="18" s="1"/>
  <c r="U251" i="18"/>
  <c r="T251" i="18" s="1"/>
  <c r="S251" i="18" s="1"/>
  <c r="R251" i="18" s="1"/>
  <c r="P251" i="18" s="1"/>
  <c r="V251" i="18" s="1"/>
  <c r="D251" i="18" s="1"/>
  <c r="E251" i="18" s="1"/>
  <c r="F251" i="18" s="1"/>
  <c r="U247" i="18"/>
  <c r="T247" i="18" s="1"/>
  <c r="S247" i="18" s="1"/>
  <c r="R247" i="18" s="1"/>
  <c r="P247" i="18" s="1"/>
  <c r="V247" i="18" s="1"/>
  <c r="U243" i="18"/>
  <c r="T243" i="18" s="1"/>
  <c r="S243" i="18" s="1"/>
  <c r="R243" i="18" s="1"/>
  <c r="P243" i="18" s="1"/>
  <c r="V243" i="18" s="1"/>
  <c r="W243" i="18" s="1"/>
  <c r="U239" i="18"/>
  <c r="T239" i="18" s="1"/>
  <c r="S239" i="18" s="1"/>
  <c r="R239" i="18" s="1"/>
  <c r="P239" i="18" s="1"/>
  <c r="V239" i="18" s="1"/>
  <c r="U235" i="18"/>
  <c r="T235" i="18" s="1"/>
  <c r="S235" i="18" s="1"/>
  <c r="R235" i="18" s="1"/>
  <c r="P235" i="18" s="1"/>
  <c r="V235" i="18" s="1"/>
  <c r="U231" i="18"/>
  <c r="T231" i="18" s="1"/>
  <c r="S231" i="18" s="1"/>
  <c r="R231" i="18" s="1"/>
  <c r="P231" i="18" s="1"/>
  <c r="V231" i="18" s="1"/>
  <c r="U227" i="18"/>
  <c r="T227" i="18" s="1"/>
  <c r="U223" i="18"/>
  <c r="T223" i="18" s="1"/>
  <c r="S223" i="18" s="1"/>
  <c r="R223" i="18" s="1"/>
  <c r="P223" i="18" s="1"/>
  <c r="V223" i="18" s="1"/>
  <c r="U219" i="18"/>
  <c r="T219" i="18" s="1"/>
  <c r="S219" i="18" s="1"/>
  <c r="R219" i="18" s="1"/>
  <c r="P219" i="18" s="1"/>
  <c r="V219" i="18" s="1"/>
  <c r="W219" i="18" s="1"/>
  <c r="U215" i="18"/>
  <c r="T215" i="18" s="1"/>
  <c r="S215" i="18" s="1"/>
  <c r="R215" i="18" s="1"/>
  <c r="P215" i="18" s="1"/>
  <c r="V215" i="18" s="1"/>
  <c r="D215" i="18" s="1"/>
  <c r="E215" i="18" s="1"/>
  <c r="F215" i="18" s="1"/>
  <c r="U211" i="18"/>
  <c r="T211" i="18" s="1"/>
  <c r="S211" i="18" s="1"/>
  <c r="R211" i="18" s="1"/>
  <c r="P211" i="18" s="1"/>
  <c r="V211" i="18" s="1"/>
  <c r="U207" i="18"/>
  <c r="T207" i="18" s="1"/>
  <c r="S207" i="18" s="1"/>
  <c r="R207" i="18" s="1"/>
  <c r="P207" i="18" s="1"/>
  <c r="V207" i="18" s="1"/>
  <c r="D207" i="18" s="1"/>
  <c r="E207" i="18" s="1"/>
  <c r="F207" i="18" s="1"/>
  <c r="U203" i="18"/>
  <c r="T203" i="18" s="1"/>
  <c r="S203" i="18" s="1"/>
  <c r="R203" i="18" s="1"/>
  <c r="P203" i="18" s="1"/>
  <c r="V203" i="18" s="1"/>
  <c r="W203" i="18" s="1"/>
  <c r="U199" i="18"/>
  <c r="T199" i="18" s="1"/>
  <c r="S199" i="18" s="1"/>
  <c r="R199" i="18" s="1"/>
  <c r="P199" i="18" s="1"/>
  <c r="V199" i="18" s="1"/>
  <c r="U195" i="18"/>
  <c r="T195" i="18" s="1"/>
  <c r="U191" i="18"/>
  <c r="T191" i="18" s="1"/>
  <c r="S191" i="18" s="1"/>
  <c r="R191" i="18" s="1"/>
  <c r="P191" i="18" s="1"/>
  <c r="V191" i="18" s="1"/>
  <c r="U187" i="18"/>
  <c r="T187" i="18" s="1"/>
  <c r="S187" i="18" s="1"/>
  <c r="R187" i="18" s="1"/>
  <c r="P187" i="18" s="1"/>
  <c r="V187" i="18" s="1"/>
  <c r="U183" i="18"/>
  <c r="T183" i="18" s="1"/>
  <c r="S183" i="18" s="1"/>
  <c r="R183" i="18" s="1"/>
  <c r="P183" i="18" s="1"/>
  <c r="V183" i="18" s="1"/>
  <c r="U179" i="18"/>
  <c r="T179" i="18" s="1"/>
  <c r="U175" i="18"/>
  <c r="T175" i="18" s="1"/>
  <c r="S175" i="18" s="1"/>
  <c r="R175" i="18" s="1"/>
  <c r="P175" i="18" s="1"/>
  <c r="V175" i="18" s="1"/>
  <c r="U171" i="18"/>
  <c r="T171" i="18" s="1"/>
  <c r="U167" i="18"/>
  <c r="T167" i="18" s="1"/>
  <c r="S167" i="18" s="1"/>
  <c r="R167" i="18" s="1"/>
  <c r="P167" i="18" s="1"/>
  <c r="V167" i="18" s="1"/>
  <c r="U163" i="18"/>
  <c r="T163" i="18" s="1"/>
  <c r="U159" i="18"/>
  <c r="T159" i="18" s="1"/>
  <c r="S159" i="18" s="1"/>
  <c r="R159" i="18" s="1"/>
  <c r="P159" i="18" s="1"/>
  <c r="V159" i="18" s="1"/>
  <c r="D159" i="18" s="1"/>
  <c r="E159" i="18" s="1"/>
  <c r="F159" i="18" s="1"/>
  <c r="U155" i="18"/>
  <c r="T155" i="18" s="1"/>
  <c r="U151" i="18"/>
  <c r="T151" i="18" s="1"/>
  <c r="S151" i="18" s="1"/>
  <c r="R151" i="18" s="1"/>
  <c r="P151" i="18" s="1"/>
  <c r="V151" i="18" s="1"/>
  <c r="U147" i="18"/>
  <c r="T147" i="18" s="1"/>
  <c r="U143" i="18"/>
  <c r="T143" i="18" s="1"/>
  <c r="S143" i="18" s="1"/>
  <c r="R143" i="18" s="1"/>
  <c r="P143" i="18" s="1"/>
  <c r="V143" i="18" s="1"/>
  <c r="U139" i="18"/>
  <c r="T139" i="18" s="1"/>
  <c r="S139" i="18" s="1"/>
  <c r="R139" i="18" s="1"/>
  <c r="P139" i="18" s="1"/>
  <c r="V139" i="18" s="1"/>
  <c r="U135" i="18"/>
  <c r="T135" i="18" s="1"/>
  <c r="S135" i="18" s="1"/>
  <c r="R135" i="18" s="1"/>
  <c r="P135" i="18" s="1"/>
  <c r="V135" i="18" s="1"/>
  <c r="U131" i="18"/>
  <c r="T131" i="18" s="1"/>
  <c r="S131" i="18" s="1"/>
  <c r="R131" i="18" s="1"/>
  <c r="P131" i="18" s="1"/>
  <c r="V131" i="18" s="1"/>
  <c r="D131" i="18" s="1"/>
  <c r="E131" i="18" s="1"/>
  <c r="F131" i="18" s="1"/>
  <c r="U127" i="18"/>
  <c r="T127" i="18" s="1"/>
  <c r="S127" i="18" s="1"/>
  <c r="R127" i="18" s="1"/>
  <c r="P127" i="18" s="1"/>
  <c r="V127" i="18" s="1"/>
  <c r="D127" i="18" s="1"/>
  <c r="E127" i="18" s="1"/>
  <c r="F127" i="18" s="1"/>
  <c r="U123" i="18"/>
  <c r="T123" i="18" s="1"/>
  <c r="S123" i="18" s="1"/>
  <c r="R123" i="18" s="1"/>
  <c r="P123" i="18" s="1"/>
  <c r="V123" i="18" s="1"/>
  <c r="D123" i="18" s="1"/>
  <c r="E123" i="18" s="1"/>
  <c r="F123" i="18" s="1"/>
  <c r="U119" i="18"/>
  <c r="T119" i="18" s="1"/>
  <c r="S119" i="18" s="1"/>
  <c r="R119" i="18" s="1"/>
  <c r="P119" i="18" s="1"/>
  <c r="D71" i="7" s="1"/>
  <c r="U115" i="18"/>
  <c r="T115" i="18" s="1"/>
  <c r="S115" i="18" s="1"/>
  <c r="R115" i="18" s="1"/>
  <c r="P115" i="18" s="1"/>
  <c r="V115" i="18" s="1"/>
  <c r="U111" i="18"/>
  <c r="T111" i="18" s="1"/>
  <c r="S111" i="18" s="1"/>
  <c r="R111" i="18" s="1"/>
  <c r="P111" i="18" s="1"/>
  <c r="V111" i="18" s="1"/>
  <c r="W111" i="18" s="1"/>
  <c r="U107" i="18"/>
  <c r="T107" i="18" s="1"/>
  <c r="S107" i="18" s="1"/>
  <c r="R107" i="18" s="1"/>
  <c r="P107" i="18" s="1"/>
  <c r="V107" i="18" s="1"/>
  <c r="U103" i="18"/>
  <c r="T103" i="18" s="1"/>
  <c r="S103" i="18" s="1"/>
  <c r="R103" i="18" s="1"/>
  <c r="P103" i="18" s="1"/>
  <c r="V103" i="18" s="1"/>
  <c r="U99" i="18"/>
  <c r="T99" i="18" s="1"/>
  <c r="S99" i="18" s="1"/>
  <c r="R99" i="18" s="1"/>
  <c r="P99" i="18" s="1"/>
  <c r="V99" i="18" s="1"/>
  <c r="U95" i="18"/>
  <c r="T95" i="18" s="1"/>
  <c r="S95" i="18" s="1"/>
  <c r="R95" i="18" s="1"/>
  <c r="P95" i="18" s="1"/>
  <c r="V95" i="18" s="1"/>
  <c r="U91" i="18"/>
  <c r="T91" i="18" s="1"/>
  <c r="S91" i="18" s="1"/>
  <c r="R91" i="18" s="1"/>
  <c r="P91" i="18" s="1"/>
  <c r="V91" i="18" s="1"/>
  <c r="D91" i="18" s="1"/>
  <c r="E91" i="18" s="1"/>
  <c r="F91" i="18" s="1"/>
  <c r="U87" i="18"/>
  <c r="T87" i="18" s="1"/>
  <c r="S87" i="18" s="1"/>
  <c r="R87" i="18" s="1"/>
  <c r="P87" i="18" s="1"/>
  <c r="V87" i="18" s="1"/>
  <c r="U83" i="18"/>
  <c r="T83" i="18" s="1"/>
  <c r="S83" i="18" s="1"/>
  <c r="R83" i="18" s="1"/>
  <c r="P83" i="18" s="1"/>
  <c r="V83" i="18" s="1"/>
  <c r="U79" i="18"/>
  <c r="T79" i="18" s="1"/>
  <c r="U75" i="18"/>
  <c r="T75" i="18" s="1"/>
  <c r="S75" i="18" s="1"/>
  <c r="R75" i="18" s="1"/>
  <c r="P75" i="18" s="1"/>
  <c r="V75" i="18" s="1"/>
  <c r="U71" i="18"/>
  <c r="T71" i="18" s="1"/>
  <c r="S71" i="18" s="1"/>
  <c r="R71" i="18" s="1"/>
  <c r="P71" i="18" s="1"/>
  <c r="V71" i="18" s="1"/>
  <c r="U67" i="18"/>
  <c r="T67" i="18" s="1"/>
  <c r="S67" i="18" s="1"/>
  <c r="R67" i="18" s="1"/>
  <c r="P67" i="18" s="1"/>
  <c r="V67" i="18" s="1"/>
  <c r="U63" i="18"/>
  <c r="T63" i="18" s="1"/>
  <c r="S63" i="18" s="1"/>
  <c r="R63" i="18" s="1"/>
  <c r="P63" i="18" s="1"/>
  <c r="V63" i="18" s="1"/>
  <c r="U59" i="18"/>
  <c r="T59" i="18" s="1"/>
  <c r="S59" i="18" s="1"/>
  <c r="R59" i="18" s="1"/>
  <c r="P59" i="18" s="1"/>
  <c r="V59" i="18" s="1"/>
  <c r="D59" i="18" s="1"/>
  <c r="E59" i="18" s="1"/>
  <c r="F59" i="18" s="1"/>
  <c r="U55" i="18"/>
  <c r="T55" i="18" s="1"/>
  <c r="S55" i="18" s="1"/>
  <c r="R55" i="18" s="1"/>
  <c r="P55" i="18" s="1"/>
  <c r="V55" i="18" s="1"/>
  <c r="U51" i="18"/>
  <c r="T51" i="18" s="1"/>
  <c r="U47" i="18"/>
  <c r="T47" i="18" s="1"/>
  <c r="S47" i="18" s="1"/>
  <c r="R47" i="18" s="1"/>
  <c r="P47" i="18" s="1"/>
  <c r="V47" i="18" s="1"/>
  <c r="U43" i="18"/>
  <c r="T43" i="18" s="1"/>
  <c r="S43" i="18" s="1"/>
  <c r="R43" i="18" s="1"/>
  <c r="P43" i="18" s="1"/>
  <c r="V43" i="18" s="1"/>
  <c r="W43" i="18" s="1"/>
  <c r="U39" i="18"/>
  <c r="T39" i="18" s="1"/>
  <c r="U35" i="18"/>
  <c r="T35" i="18" s="1"/>
  <c r="S35" i="18" s="1"/>
  <c r="R35" i="18" s="1"/>
  <c r="P35" i="18" s="1"/>
  <c r="V35" i="18" s="1"/>
  <c r="U31" i="18"/>
  <c r="T31" i="18" s="1"/>
  <c r="S31" i="18" s="1"/>
  <c r="R31" i="18" s="1"/>
  <c r="P31" i="18" s="1"/>
  <c r="V31" i="18" s="1"/>
  <c r="D31" i="18" s="1"/>
  <c r="E31" i="18" s="1"/>
  <c r="F31" i="18" s="1"/>
  <c r="U27" i="18"/>
  <c r="T27" i="18" s="1"/>
  <c r="S27" i="18" s="1"/>
  <c r="R27" i="18" s="1"/>
  <c r="P27" i="18" s="1"/>
  <c r="V27" i="18" s="1"/>
  <c r="W27" i="18" s="1"/>
  <c r="U23" i="18"/>
  <c r="T23" i="18" s="1"/>
  <c r="S23" i="18" s="1"/>
  <c r="R23" i="18" s="1"/>
  <c r="P23" i="18" s="1"/>
  <c r="V23" i="18" s="1"/>
  <c r="U19" i="18"/>
  <c r="T19" i="18" s="1"/>
  <c r="S19" i="18" s="1"/>
  <c r="R19" i="18" s="1"/>
  <c r="P19" i="18" s="1"/>
  <c r="V19" i="18" s="1"/>
  <c r="W19" i="18" s="1"/>
  <c r="W343" i="18"/>
  <c r="W283" i="18"/>
  <c r="W141" i="18"/>
  <c r="D117" i="18"/>
  <c r="E117" i="18" s="1"/>
  <c r="D85" i="18"/>
  <c r="E85" i="18" s="1"/>
  <c r="W61" i="18"/>
  <c r="W73" i="18"/>
  <c r="W69" i="18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G186" i="18" s="1"/>
  <c r="AF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G198" i="18" s="1"/>
  <c r="AF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G234" i="18" s="1"/>
  <c r="AF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0" i="18"/>
  <c r="AH260" i="18" s="1"/>
  <c r="AG260" i="18" s="1"/>
  <c r="AF260" i="18" s="1"/>
  <c r="AI262" i="18"/>
  <c r="AH262" i="18" s="1"/>
  <c r="AG262" i="18" s="1"/>
  <c r="AF262" i="18" s="1"/>
  <c r="AI264" i="18"/>
  <c r="AH264" i="18" s="1"/>
  <c r="AG264" i="18" s="1"/>
  <c r="AF264" i="18" s="1"/>
  <c r="AI266" i="18"/>
  <c r="AH266" i="18" s="1"/>
  <c r="AG266" i="18" s="1"/>
  <c r="AF266" i="18" s="1"/>
  <c r="AI268" i="18"/>
  <c r="AH268" i="18" s="1"/>
  <c r="AG268" i="18" s="1"/>
  <c r="AF268" i="18" s="1"/>
  <c r="AI270" i="18"/>
  <c r="AH270" i="18" s="1"/>
  <c r="AG270" i="18" s="1"/>
  <c r="AF270" i="18" s="1"/>
  <c r="AI272" i="18"/>
  <c r="AH272" i="18" s="1"/>
  <c r="AG272" i="18" s="1"/>
  <c r="AF272" i="18" s="1"/>
  <c r="AI274" i="18"/>
  <c r="AH274" i="18" s="1"/>
  <c r="AG274" i="18" s="1"/>
  <c r="AF274" i="18" s="1"/>
  <c r="AI276" i="18"/>
  <c r="AH276" i="18" s="1"/>
  <c r="AG276" i="18" s="1"/>
  <c r="AF276" i="18" s="1"/>
  <c r="AI278" i="18"/>
  <c r="AH278" i="18" s="1"/>
  <c r="AG278" i="18" s="1"/>
  <c r="AF278" i="18" s="1"/>
  <c r="AI280" i="18"/>
  <c r="AH280" i="18" s="1"/>
  <c r="AG280" i="18" s="1"/>
  <c r="AF280" i="18" s="1"/>
  <c r="AI282" i="18"/>
  <c r="AH282" i="18" s="1"/>
  <c r="AG282" i="18" s="1"/>
  <c r="AF282" i="18" s="1"/>
  <c r="AI284" i="18"/>
  <c r="AH284" i="18" s="1"/>
  <c r="AG284" i="18" s="1"/>
  <c r="AF284" i="18" s="1"/>
  <c r="AI286" i="18"/>
  <c r="AH286" i="18" s="1"/>
  <c r="AG286" i="18" s="1"/>
  <c r="AF286" i="18" s="1"/>
  <c r="AI288" i="18"/>
  <c r="AH288" i="18" s="1"/>
  <c r="AG288" i="18" s="1"/>
  <c r="AF288" i="18" s="1"/>
  <c r="AI290" i="18"/>
  <c r="AH290" i="18" s="1"/>
  <c r="AG290" i="18" s="1"/>
  <c r="AF290" i="18" s="1"/>
  <c r="AI292" i="18"/>
  <c r="AH292" i="18" s="1"/>
  <c r="AG292" i="18" s="1"/>
  <c r="AF292" i="18" s="1"/>
  <c r="AI294" i="18"/>
  <c r="AH294" i="18" s="1"/>
  <c r="AG294" i="18" s="1"/>
  <c r="AF294" i="18" s="1"/>
  <c r="AI296" i="18"/>
  <c r="AH296" i="18" s="1"/>
  <c r="AG296" i="18" s="1"/>
  <c r="AF296" i="18" s="1"/>
  <c r="AI17" i="18"/>
  <c r="AH17" i="18" s="1"/>
  <c r="AG17" i="18" s="1"/>
  <c r="AF17" i="18" s="1"/>
  <c r="AI15" i="18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31" i="18"/>
  <c r="AH31" i="18" s="1"/>
  <c r="AI35" i="18"/>
  <c r="AH35" i="18" s="1"/>
  <c r="AI39" i="18"/>
  <c r="AH39" i="18" s="1"/>
  <c r="AG39" i="18" s="1"/>
  <c r="AF39" i="18" s="1"/>
  <c r="AD39" i="18" s="1"/>
  <c r="AI43" i="18"/>
  <c r="AH43" i="18" s="1"/>
  <c r="AI47" i="18"/>
  <c r="AH47" i="18" s="1"/>
  <c r="AI51" i="18"/>
  <c r="AH51" i="18" s="1"/>
  <c r="AG51" i="18" s="1"/>
  <c r="AF51" i="18" s="1"/>
  <c r="AD51" i="18" s="1"/>
  <c r="AI55" i="18"/>
  <c r="AH55" i="18" s="1"/>
  <c r="AI59" i="18"/>
  <c r="AH59" i="18" s="1"/>
  <c r="AI63" i="18"/>
  <c r="AH63" i="18" s="1"/>
  <c r="AG63" i="18" s="1"/>
  <c r="AF63" i="18" s="1"/>
  <c r="AD63" i="18" s="1"/>
  <c r="AI67" i="18"/>
  <c r="AH67" i="18" s="1"/>
  <c r="AG67" i="18" s="1"/>
  <c r="AF67" i="18" s="1"/>
  <c r="AD67" i="18" s="1"/>
  <c r="AI71" i="18"/>
  <c r="AH71" i="18" s="1"/>
  <c r="AG71" i="18" s="1"/>
  <c r="AF71" i="18" s="1"/>
  <c r="AD71" i="18" s="1"/>
  <c r="AI75" i="18"/>
  <c r="AH75" i="18" s="1"/>
  <c r="AI79" i="18"/>
  <c r="AH79" i="18" s="1"/>
  <c r="AG79" i="18" s="1"/>
  <c r="AF79" i="18" s="1"/>
  <c r="AD79" i="18" s="1"/>
  <c r="AI83" i="18"/>
  <c r="AH83" i="18" s="1"/>
  <c r="AG83" i="18" s="1"/>
  <c r="AF83" i="18" s="1"/>
  <c r="AD83" i="18" s="1"/>
  <c r="AI87" i="18"/>
  <c r="AH87" i="18" s="1"/>
  <c r="AI91" i="18"/>
  <c r="AH91" i="18" s="1"/>
  <c r="AG91" i="18" s="1"/>
  <c r="AF91" i="18" s="1"/>
  <c r="AD91" i="18" s="1"/>
  <c r="AI95" i="18"/>
  <c r="AH95" i="18" s="1"/>
  <c r="AI99" i="18"/>
  <c r="AH99" i="18" s="1"/>
  <c r="AI103" i="18"/>
  <c r="AH103" i="18" s="1"/>
  <c r="AG103" i="18" s="1"/>
  <c r="AF103" i="18" s="1"/>
  <c r="AD103" i="18" s="1"/>
  <c r="AI107" i="18"/>
  <c r="AH107" i="18" s="1"/>
  <c r="AG107" i="18" s="1"/>
  <c r="AF107" i="18" s="1"/>
  <c r="AD107" i="18" s="1"/>
  <c r="AI111" i="18"/>
  <c r="AH111" i="18" s="1"/>
  <c r="AG111" i="18" s="1"/>
  <c r="AF111" i="18" s="1"/>
  <c r="AD111" i="18" s="1"/>
  <c r="AI115" i="18"/>
  <c r="AH115" i="18" s="1"/>
  <c r="AG115" i="18" s="1"/>
  <c r="AF115" i="18" s="1"/>
  <c r="AD115" i="18" s="1"/>
  <c r="AI119" i="18"/>
  <c r="AH119" i="18" s="1"/>
  <c r="AG119" i="18" s="1"/>
  <c r="AF119" i="18" s="1"/>
  <c r="AD119" i="18" s="1"/>
  <c r="AI123" i="18"/>
  <c r="AH123" i="18" s="1"/>
  <c r="AI127" i="18"/>
  <c r="AH127" i="18" s="1"/>
  <c r="AG127" i="18" s="1"/>
  <c r="AF127" i="18" s="1"/>
  <c r="AD127" i="18" s="1"/>
  <c r="AI131" i="18"/>
  <c r="AH131" i="18" s="1"/>
  <c r="AI135" i="18"/>
  <c r="AH135" i="18" s="1"/>
  <c r="AG135" i="18" s="1"/>
  <c r="AF135" i="18" s="1"/>
  <c r="AD135" i="18" s="1"/>
  <c r="AI139" i="18"/>
  <c r="AH139" i="18" s="1"/>
  <c r="AI143" i="18"/>
  <c r="AH143" i="18" s="1"/>
  <c r="AI147" i="18"/>
  <c r="AH147" i="18" s="1"/>
  <c r="AI151" i="18"/>
  <c r="AH151" i="18" s="1"/>
  <c r="AG151" i="18" s="1"/>
  <c r="AF151" i="18" s="1"/>
  <c r="AD151" i="18" s="1"/>
  <c r="AI155" i="18"/>
  <c r="AH155" i="18" s="1"/>
  <c r="AI159" i="18"/>
  <c r="AH159" i="18" s="1"/>
  <c r="AG159" i="18" s="1"/>
  <c r="AF159" i="18" s="1"/>
  <c r="AD159" i="18" s="1"/>
  <c r="AI163" i="18"/>
  <c r="AH163" i="18" s="1"/>
  <c r="AI167" i="18"/>
  <c r="AH167" i="18" s="1"/>
  <c r="AI171" i="18"/>
  <c r="AH171" i="18" s="1"/>
  <c r="AI175" i="18"/>
  <c r="AH175" i="18" s="1"/>
  <c r="AI179" i="18"/>
  <c r="AH179" i="18" s="1"/>
  <c r="AG179" i="18" s="1"/>
  <c r="AF179" i="18" s="1"/>
  <c r="AD179" i="18" s="1"/>
  <c r="AI183" i="18"/>
  <c r="AH183" i="18" s="1"/>
  <c r="AG183" i="18" s="1"/>
  <c r="AF183" i="18" s="1"/>
  <c r="AD183" i="18" s="1"/>
  <c r="AI187" i="18"/>
  <c r="AH187" i="18" s="1"/>
  <c r="AI191" i="18"/>
  <c r="AH191" i="18" s="1"/>
  <c r="AG191" i="18" s="1"/>
  <c r="AF191" i="18" s="1"/>
  <c r="AD191" i="18" s="1"/>
  <c r="AI195" i="18"/>
  <c r="AH195" i="18" s="1"/>
  <c r="AI199" i="18"/>
  <c r="AH199" i="18" s="1"/>
  <c r="AI203" i="18"/>
  <c r="AH203" i="18" s="1"/>
  <c r="AI207" i="18"/>
  <c r="AH207" i="18" s="1"/>
  <c r="AG207" i="18" s="1"/>
  <c r="AF207" i="18" s="1"/>
  <c r="AD207" i="18" s="1"/>
  <c r="AI211" i="18"/>
  <c r="AH211" i="18" s="1"/>
  <c r="AI215" i="18"/>
  <c r="AH215" i="18" s="1"/>
  <c r="AI219" i="18"/>
  <c r="AH219" i="18" s="1"/>
  <c r="AI223" i="18"/>
  <c r="AH223" i="18" s="1"/>
  <c r="AI227" i="18"/>
  <c r="AH227" i="18" s="1"/>
  <c r="AI231" i="18"/>
  <c r="AH231" i="18" s="1"/>
  <c r="AG231" i="18" s="1"/>
  <c r="AF231" i="18" s="1"/>
  <c r="AD231" i="18" s="1"/>
  <c r="AI235" i="18"/>
  <c r="AH235" i="18" s="1"/>
  <c r="AG235" i="18" s="1"/>
  <c r="AF235" i="18" s="1"/>
  <c r="AD235" i="18" s="1"/>
  <c r="AI239" i="18"/>
  <c r="AH239" i="18" s="1"/>
  <c r="AG239" i="18" s="1"/>
  <c r="AF239" i="18" s="1"/>
  <c r="AD239" i="18" s="1"/>
  <c r="AI243" i="18"/>
  <c r="AH243" i="18" s="1"/>
  <c r="AI247" i="18"/>
  <c r="AH247" i="18" s="1"/>
  <c r="AI251" i="18"/>
  <c r="AH251" i="18" s="1"/>
  <c r="AI255" i="18"/>
  <c r="AH255" i="18" s="1"/>
  <c r="AI259" i="18"/>
  <c r="AH259" i="18" s="1"/>
  <c r="AI263" i="18"/>
  <c r="AH263" i="18" s="1"/>
  <c r="AG263" i="18" s="1"/>
  <c r="AF263" i="18" s="1"/>
  <c r="AD263" i="18" s="1"/>
  <c r="AI267" i="18"/>
  <c r="AH267" i="18" s="1"/>
  <c r="AG267" i="18" s="1"/>
  <c r="AF267" i="18" s="1"/>
  <c r="AI271" i="18"/>
  <c r="AH271" i="18" s="1"/>
  <c r="AI275" i="18"/>
  <c r="AH275" i="18" s="1"/>
  <c r="AG275" i="18" s="1"/>
  <c r="AF275" i="18" s="1"/>
  <c r="AD275" i="18" s="1"/>
  <c r="AI279" i="18"/>
  <c r="AH279" i="18" s="1"/>
  <c r="AI283" i="18"/>
  <c r="AH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G295" i="18" s="1"/>
  <c r="AF295" i="18" s="1"/>
  <c r="AI298" i="18"/>
  <c r="AH298" i="18" s="1"/>
  <c r="AG298" i="18" s="1"/>
  <c r="AF298" i="18" s="1"/>
  <c r="AI300" i="18"/>
  <c r="AH300" i="18" s="1"/>
  <c r="AG300" i="18" s="1"/>
  <c r="AF300" i="18" s="1"/>
  <c r="AI302" i="18"/>
  <c r="AH302" i="18" s="1"/>
  <c r="AG302" i="18" s="1"/>
  <c r="AF302" i="18" s="1"/>
  <c r="AI304" i="18"/>
  <c r="AH304" i="18" s="1"/>
  <c r="AG304" i="18" s="1"/>
  <c r="AF304" i="18" s="1"/>
  <c r="AI306" i="18"/>
  <c r="AH306" i="18" s="1"/>
  <c r="AG306" i="18" s="1"/>
  <c r="AF306" i="18" s="1"/>
  <c r="AI308" i="18"/>
  <c r="AH308" i="18" s="1"/>
  <c r="AG308" i="18" s="1"/>
  <c r="AF308" i="18" s="1"/>
  <c r="AI310" i="18"/>
  <c r="AH310" i="18" s="1"/>
  <c r="AG310" i="18" s="1"/>
  <c r="AF310" i="18" s="1"/>
  <c r="AI312" i="18"/>
  <c r="AH312" i="18" s="1"/>
  <c r="AG312" i="18" s="1"/>
  <c r="AF312" i="18" s="1"/>
  <c r="AI314" i="18"/>
  <c r="AH314" i="18" s="1"/>
  <c r="AG314" i="18" s="1"/>
  <c r="AF314" i="18" s="1"/>
  <c r="AI316" i="18"/>
  <c r="AH316" i="18" s="1"/>
  <c r="AG316" i="18" s="1"/>
  <c r="AF316" i="18" s="1"/>
  <c r="AI318" i="18"/>
  <c r="AH318" i="18" s="1"/>
  <c r="AG318" i="18" s="1"/>
  <c r="AF318" i="18" s="1"/>
  <c r="AI320" i="18"/>
  <c r="AH320" i="18" s="1"/>
  <c r="AG320" i="18" s="1"/>
  <c r="AF320" i="18" s="1"/>
  <c r="AI322" i="18"/>
  <c r="AH322" i="18" s="1"/>
  <c r="AG322" i="18" s="1"/>
  <c r="AF322" i="18" s="1"/>
  <c r="AI324" i="18"/>
  <c r="AH324" i="18" s="1"/>
  <c r="AG324" i="18" s="1"/>
  <c r="AF324" i="18" s="1"/>
  <c r="AI326" i="18"/>
  <c r="AH326" i="18" s="1"/>
  <c r="AG326" i="18" s="1"/>
  <c r="AF326" i="18" s="1"/>
  <c r="AI328" i="18"/>
  <c r="AH328" i="18" s="1"/>
  <c r="AG328" i="18" s="1"/>
  <c r="AF328" i="18" s="1"/>
  <c r="AI330" i="18"/>
  <c r="AH330" i="18" s="1"/>
  <c r="AG330" i="18" s="1"/>
  <c r="AF330" i="18" s="1"/>
  <c r="AI332" i="18"/>
  <c r="AH332" i="18" s="1"/>
  <c r="AG332" i="18" s="1"/>
  <c r="AF332" i="18" s="1"/>
  <c r="AI334" i="18"/>
  <c r="AH334" i="18" s="1"/>
  <c r="AG334" i="18" s="1"/>
  <c r="AF334" i="18" s="1"/>
  <c r="AI336" i="18"/>
  <c r="AH336" i="18" s="1"/>
  <c r="AG336" i="18" s="1"/>
  <c r="AF336" i="18" s="1"/>
  <c r="AI338" i="18"/>
  <c r="AH338" i="18" s="1"/>
  <c r="AG338" i="18" s="1"/>
  <c r="AF338" i="18" s="1"/>
  <c r="AI340" i="18"/>
  <c r="AH340" i="18" s="1"/>
  <c r="AG340" i="18" s="1"/>
  <c r="AF340" i="18" s="1"/>
  <c r="AI342" i="18"/>
  <c r="AH342" i="18" s="1"/>
  <c r="AG342" i="18" s="1"/>
  <c r="AF342" i="18" s="1"/>
  <c r="AI344" i="18"/>
  <c r="AH344" i="18" s="1"/>
  <c r="AG344" i="18" s="1"/>
  <c r="AF344" i="18" s="1"/>
  <c r="AI346" i="18"/>
  <c r="AH346" i="18" s="1"/>
  <c r="AG346" i="18" s="1"/>
  <c r="AF346" i="18" s="1"/>
  <c r="AI348" i="18"/>
  <c r="AH348" i="18" s="1"/>
  <c r="AG348" i="18" s="1"/>
  <c r="AF348" i="18" s="1"/>
  <c r="AI350" i="18"/>
  <c r="AH350" i="18" s="1"/>
  <c r="AG350" i="18" s="1"/>
  <c r="AF350" i="18" s="1"/>
  <c r="AI352" i="18"/>
  <c r="AH352" i="18" s="1"/>
  <c r="AG352" i="18" s="1"/>
  <c r="AF352" i="18" s="1"/>
  <c r="AI354" i="18"/>
  <c r="AH354" i="18" s="1"/>
  <c r="AG354" i="18" s="1"/>
  <c r="AF354" i="18" s="1"/>
  <c r="AI356" i="18"/>
  <c r="AH356" i="18" s="1"/>
  <c r="AG356" i="18" s="1"/>
  <c r="AF356" i="18" s="1"/>
  <c r="AI358" i="18"/>
  <c r="AH358" i="18" s="1"/>
  <c r="AG358" i="18" s="1"/>
  <c r="AF358" i="18" s="1"/>
  <c r="AI360" i="18"/>
  <c r="AH360" i="18" s="1"/>
  <c r="AG360" i="18" s="1"/>
  <c r="AF360" i="18" s="1"/>
  <c r="AI362" i="18"/>
  <c r="AH362" i="18" s="1"/>
  <c r="AG362" i="18" s="1"/>
  <c r="AF362" i="18" s="1"/>
  <c r="AI364" i="18"/>
  <c r="AH364" i="18" s="1"/>
  <c r="AG364" i="18" s="1"/>
  <c r="AF364" i="18" s="1"/>
  <c r="AI366" i="18"/>
  <c r="AH366" i="18" s="1"/>
  <c r="AG366" i="18" s="1"/>
  <c r="AF366" i="18" s="1"/>
  <c r="AI368" i="18"/>
  <c r="AH368" i="18" s="1"/>
  <c r="AG368" i="18" s="1"/>
  <c r="AF368" i="18" s="1"/>
  <c r="AI370" i="18"/>
  <c r="AH370" i="18" s="1"/>
  <c r="AG370" i="18" s="1"/>
  <c r="AF370" i="18" s="1"/>
  <c r="AI372" i="18"/>
  <c r="AH372" i="18" s="1"/>
  <c r="AG372" i="18" s="1"/>
  <c r="AF372" i="18" s="1"/>
  <c r="AI374" i="18"/>
  <c r="AH374" i="18" s="1"/>
  <c r="AG374" i="18" s="1"/>
  <c r="AF374" i="18" s="1"/>
  <c r="AI376" i="18"/>
  <c r="AH376" i="18" s="1"/>
  <c r="AG376" i="18" s="1"/>
  <c r="AF376" i="18" s="1"/>
  <c r="AI378" i="18"/>
  <c r="AH378" i="18" s="1"/>
  <c r="AG378" i="18" s="1"/>
  <c r="AF378" i="18" s="1"/>
  <c r="AI16" i="18"/>
  <c r="AH16" i="18" s="1"/>
  <c r="AG16" i="18" s="1"/>
  <c r="AF16" i="18" s="1"/>
  <c r="AI21" i="18"/>
  <c r="AH21" i="18" s="1"/>
  <c r="AG21" i="18" s="1"/>
  <c r="AF21" i="18" s="1"/>
  <c r="AI25" i="18"/>
  <c r="AH25" i="18" s="1"/>
  <c r="AG25" i="18" s="1"/>
  <c r="AF25" i="18" s="1"/>
  <c r="AI29" i="18"/>
  <c r="AH29" i="18" s="1"/>
  <c r="AG29" i="18" s="1"/>
  <c r="AF29" i="18" s="1"/>
  <c r="AI33" i="18"/>
  <c r="AH33" i="18" s="1"/>
  <c r="AG33" i="18" s="1"/>
  <c r="AF33" i="18" s="1"/>
  <c r="AI37" i="18"/>
  <c r="AH37" i="18" s="1"/>
  <c r="AG37" i="18" s="1"/>
  <c r="AF37" i="18" s="1"/>
  <c r="AI41" i="18"/>
  <c r="AH41" i="18" s="1"/>
  <c r="AG41" i="18" s="1"/>
  <c r="AF41" i="18" s="1"/>
  <c r="AI45" i="18"/>
  <c r="AH45" i="18" s="1"/>
  <c r="AI49" i="18"/>
  <c r="AH49" i="18" s="1"/>
  <c r="AI53" i="18"/>
  <c r="AH53" i="18" s="1"/>
  <c r="AG53" i="18" s="1"/>
  <c r="AF53" i="18" s="1"/>
  <c r="AI57" i="18"/>
  <c r="AH57" i="18" s="1"/>
  <c r="AG57" i="18" s="1"/>
  <c r="AF57" i="18" s="1"/>
  <c r="AI61" i="18"/>
  <c r="AH61" i="18" s="1"/>
  <c r="AG61" i="18" s="1"/>
  <c r="AF61" i="18" s="1"/>
  <c r="AI65" i="18"/>
  <c r="AH65" i="18" s="1"/>
  <c r="AG65" i="18" s="1"/>
  <c r="AF65" i="18" s="1"/>
  <c r="AI69" i="18"/>
  <c r="AH69" i="18" s="1"/>
  <c r="AG69" i="18" s="1"/>
  <c r="AF69" i="18" s="1"/>
  <c r="AI73" i="18"/>
  <c r="AH73" i="18" s="1"/>
  <c r="AG73" i="18" s="1"/>
  <c r="AF73" i="18" s="1"/>
  <c r="AD73" i="18" s="1"/>
  <c r="AI77" i="18"/>
  <c r="AH77" i="18" s="1"/>
  <c r="AG77" i="18" s="1"/>
  <c r="AF77" i="18" s="1"/>
  <c r="AI81" i="18"/>
  <c r="AH81" i="18" s="1"/>
  <c r="AG81" i="18" s="1"/>
  <c r="AF81" i="18" s="1"/>
  <c r="AI85" i="18"/>
  <c r="AH85" i="18" s="1"/>
  <c r="AG85" i="18" s="1"/>
  <c r="AF85" i="18" s="1"/>
  <c r="AD85" i="18" s="1"/>
  <c r="AI89" i="18"/>
  <c r="AH89" i="18" s="1"/>
  <c r="AI93" i="18"/>
  <c r="AH93" i="18" s="1"/>
  <c r="AI97" i="18"/>
  <c r="AH97" i="18" s="1"/>
  <c r="AI101" i="18"/>
  <c r="AH101" i="18" s="1"/>
  <c r="AG101" i="18" s="1"/>
  <c r="AF101" i="18" s="1"/>
  <c r="AD101" i="18" s="1"/>
  <c r="AI105" i="18"/>
  <c r="AH105" i="18" s="1"/>
  <c r="AI109" i="18"/>
  <c r="AH109" i="18" s="1"/>
  <c r="AI113" i="18"/>
  <c r="AH113" i="18" s="1"/>
  <c r="AI117" i="18"/>
  <c r="AH117" i="18" s="1"/>
  <c r="AG117" i="18" s="1"/>
  <c r="AF117" i="18" s="1"/>
  <c r="AD117" i="18" s="1"/>
  <c r="AI121" i="18"/>
  <c r="AH121" i="18" s="1"/>
  <c r="AG121" i="18" s="1"/>
  <c r="AF121" i="18" s="1"/>
  <c r="AI125" i="18"/>
  <c r="AH125" i="18" s="1"/>
  <c r="AG125" i="18" s="1"/>
  <c r="AF125" i="18" s="1"/>
  <c r="AD125" i="18" s="1"/>
  <c r="AI129" i="18"/>
  <c r="AH129" i="18" s="1"/>
  <c r="AI133" i="18"/>
  <c r="AH133" i="18" s="1"/>
  <c r="AI137" i="18"/>
  <c r="AH137" i="18" s="1"/>
  <c r="AI141" i="18"/>
  <c r="AH141" i="18" s="1"/>
  <c r="AG141" i="18" s="1"/>
  <c r="AF141" i="18" s="1"/>
  <c r="AD141" i="18" s="1"/>
  <c r="AI145" i="18"/>
  <c r="AH145" i="18" s="1"/>
  <c r="AI149" i="18"/>
  <c r="AH149" i="18" s="1"/>
  <c r="AG149" i="18" s="1"/>
  <c r="AF149" i="18" s="1"/>
  <c r="AD149" i="18" s="1"/>
  <c r="AI153" i="18"/>
  <c r="AH153" i="18" s="1"/>
  <c r="AI157" i="18"/>
  <c r="AH157" i="18" s="1"/>
  <c r="AI161" i="18"/>
  <c r="AH161" i="18" s="1"/>
  <c r="AG161" i="18" s="1"/>
  <c r="AF161" i="18" s="1"/>
  <c r="AD161" i="18" s="1"/>
  <c r="AI165" i="18"/>
  <c r="AH165" i="18" s="1"/>
  <c r="AG165" i="18" s="1"/>
  <c r="AF165" i="18" s="1"/>
  <c r="AI169" i="18"/>
  <c r="AH169" i="18" s="1"/>
  <c r="AG169" i="18" s="1"/>
  <c r="AF169" i="18" s="1"/>
  <c r="AI173" i="18"/>
  <c r="AH173" i="18" s="1"/>
  <c r="AG173" i="18" s="1"/>
  <c r="AF173" i="18" s="1"/>
  <c r="AI177" i="18"/>
  <c r="AH177" i="18" s="1"/>
  <c r="AG177" i="18" s="1"/>
  <c r="AF177" i="18" s="1"/>
  <c r="AI181" i="18"/>
  <c r="AH181" i="18" s="1"/>
  <c r="AG181" i="18" s="1"/>
  <c r="AF181" i="18" s="1"/>
  <c r="AI185" i="18"/>
  <c r="AH185" i="18" s="1"/>
  <c r="AG185" i="18" s="1"/>
  <c r="AF185" i="18" s="1"/>
  <c r="AD185" i="18" s="1"/>
  <c r="AI189" i="18"/>
  <c r="AH189" i="18" s="1"/>
  <c r="AG189" i="18" s="1"/>
  <c r="AF189" i="18" s="1"/>
  <c r="AD189" i="18" s="1"/>
  <c r="AI193" i="18"/>
  <c r="AH193" i="18" s="1"/>
  <c r="AI197" i="18"/>
  <c r="AH197" i="18" s="1"/>
  <c r="AI201" i="18"/>
  <c r="AH201" i="18" s="1"/>
  <c r="AG201" i="18" s="1"/>
  <c r="AF201" i="18" s="1"/>
  <c r="AD201" i="18" s="1"/>
  <c r="AI205" i="18"/>
  <c r="AH205" i="18" s="1"/>
  <c r="AI209" i="18"/>
  <c r="AH209" i="18" s="1"/>
  <c r="AI213" i="18"/>
  <c r="AH213" i="18" s="1"/>
  <c r="AI217" i="18"/>
  <c r="AH217" i="18" s="1"/>
  <c r="AI221" i="18"/>
  <c r="AH221" i="18" s="1"/>
  <c r="AI225" i="18"/>
  <c r="AH225" i="18" s="1"/>
  <c r="AI229" i="18"/>
  <c r="AH229" i="18" s="1"/>
  <c r="AG229" i="18" s="1"/>
  <c r="AF229" i="18" s="1"/>
  <c r="AI233" i="18"/>
  <c r="AH233" i="18" s="1"/>
  <c r="AI237" i="18"/>
  <c r="AH237" i="18" s="1"/>
  <c r="AI241" i="18"/>
  <c r="AH241" i="18" s="1"/>
  <c r="AG241" i="18" s="1"/>
  <c r="AF241" i="18" s="1"/>
  <c r="AD241" i="18" s="1"/>
  <c r="AI245" i="18"/>
  <c r="AH245" i="18" s="1"/>
  <c r="AG245" i="18" s="1"/>
  <c r="AF245" i="18" s="1"/>
  <c r="AD245" i="18" s="1"/>
  <c r="AI249" i="18"/>
  <c r="AH249" i="18" s="1"/>
  <c r="AI253" i="18"/>
  <c r="AH253" i="18" s="1"/>
  <c r="AI257" i="18"/>
  <c r="AH257" i="18" s="1"/>
  <c r="AI261" i="18"/>
  <c r="AH261" i="18" s="1"/>
  <c r="AG261" i="18" s="1"/>
  <c r="AF261" i="18" s="1"/>
  <c r="AI265" i="18"/>
  <c r="AH265" i="18" s="1"/>
  <c r="AG265" i="18" s="1"/>
  <c r="AF265" i="18" s="1"/>
  <c r="AI269" i="18"/>
  <c r="AH269" i="18" s="1"/>
  <c r="AG269" i="18" s="1"/>
  <c r="AF269" i="18" s="1"/>
  <c r="AD269" i="18" s="1"/>
  <c r="AI273" i="18"/>
  <c r="AH273" i="18" s="1"/>
  <c r="AG273" i="18" s="1"/>
  <c r="AF273" i="18" s="1"/>
  <c r="AI277" i="18"/>
  <c r="AH277" i="18" s="1"/>
  <c r="AG277" i="18" s="1"/>
  <c r="AF277" i="18" s="1"/>
  <c r="AI281" i="18"/>
  <c r="AH281" i="18" s="1"/>
  <c r="AG281" i="18" s="1"/>
  <c r="AF281" i="18" s="1"/>
  <c r="AI285" i="18"/>
  <c r="AH285" i="18" s="1"/>
  <c r="AG285" i="18" s="1"/>
  <c r="AF285" i="18" s="1"/>
  <c r="AI289" i="18"/>
  <c r="AH289" i="18" s="1"/>
  <c r="AG289" i="18" s="1"/>
  <c r="AF289" i="18" s="1"/>
  <c r="AI293" i="18"/>
  <c r="AH293" i="18" s="1"/>
  <c r="AG293" i="18" s="1"/>
  <c r="AF293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G345" i="18" s="1"/>
  <c r="AF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G353" i="18" s="1"/>
  <c r="AF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G369" i="18" s="1"/>
  <c r="AF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U15" i="18"/>
  <c r="T15" i="18" s="1"/>
  <c r="U16" i="18"/>
  <c r="T16" i="18" s="1"/>
  <c r="S16" i="18" s="1"/>
  <c r="R16" i="18" s="1"/>
  <c r="P16" i="18" s="1"/>
  <c r="V16" i="18" s="1"/>
  <c r="U17" i="18"/>
  <c r="T17" i="18" s="1"/>
  <c r="S17" i="18" s="1"/>
  <c r="R17" i="18" s="1"/>
  <c r="P17" i="18" s="1"/>
  <c r="V17" i="18" s="1"/>
  <c r="U20" i="18"/>
  <c r="T20" i="18" s="1"/>
  <c r="U22" i="18"/>
  <c r="T22" i="18" s="1"/>
  <c r="S22" i="18" s="1"/>
  <c r="R22" i="18" s="1"/>
  <c r="P22" i="18" s="1"/>
  <c r="V22" i="18" s="1"/>
  <c r="U24" i="18"/>
  <c r="T24" i="18" s="1"/>
  <c r="S24" i="18" s="1"/>
  <c r="R24" i="18" s="1"/>
  <c r="P24" i="18" s="1"/>
  <c r="V24" i="18" s="1"/>
  <c r="U26" i="18"/>
  <c r="T26" i="18" s="1"/>
  <c r="S26" i="18" s="1"/>
  <c r="R26" i="18" s="1"/>
  <c r="P26" i="18" s="1"/>
  <c r="V26" i="18" s="1"/>
  <c r="U28" i="18"/>
  <c r="T28" i="18" s="1"/>
  <c r="S28" i="18" s="1"/>
  <c r="R28" i="18" s="1"/>
  <c r="P28" i="18" s="1"/>
  <c r="V28" i="18" s="1"/>
  <c r="W28" i="18" s="1"/>
  <c r="U30" i="18"/>
  <c r="T30" i="18" s="1"/>
  <c r="S30" i="18" s="1"/>
  <c r="R30" i="18" s="1"/>
  <c r="P30" i="18" s="1"/>
  <c r="V30" i="18" s="1"/>
  <c r="U32" i="18"/>
  <c r="T32" i="18" s="1"/>
  <c r="S32" i="18" s="1"/>
  <c r="R32" i="18" s="1"/>
  <c r="P32" i="18" s="1"/>
  <c r="V32" i="18" s="1"/>
  <c r="U34" i="18"/>
  <c r="T34" i="18" s="1"/>
  <c r="S34" i="18" s="1"/>
  <c r="R34" i="18" s="1"/>
  <c r="P34" i="18" s="1"/>
  <c r="V34" i="18" s="1"/>
  <c r="U36" i="18"/>
  <c r="T36" i="18" s="1"/>
  <c r="S36" i="18" s="1"/>
  <c r="R36" i="18" s="1"/>
  <c r="P36" i="18" s="1"/>
  <c r="V36" i="18" s="1"/>
  <c r="W36" i="18" s="1"/>
  <c r="U38" i="18"/>
  <c r="T38" i="18" s="1"/>
  <c r="S38" i="18" s="1"/>
  <c r="R38" i="18" s="1"/>
  <c r="P38" i="18" s="1"/>
  <c r="V38" i="18" s="1"/>
  <c r="U40" i="18"/>
  <c r="T40" i="18" s="1"/>
  <c r="S40" i="18" s="1"/>
  <c r="R40" i="18" s="1"/>
  <c r="P40" i="18" s="1"/>
  <c r="V40" i="18" s="1"/>
  <c r="U42" i="18"/>
  <c r="T42" i="18" s="1"/>
  <c r="S42" i="18" s="1"/>
  <c r="R42" i="18" s="1"/>
  <c r="P42" i="18" s="1"/>
  <c r="V42" i="18" s="1"/>
  <c r="W42" i="18" s="1"/>
  <c r="U44" i="18"/>
  <c r="T44" i="18" s="1"/>
  <c r="S44" i="18" s="1"/>
  <c r="R44" i="18" s="1"/>
  <c r="P44" i="18" s="1"/>
  <c r="V44" i="18" s="1"/>
  <c r="U46" i="18"/>
  <c r="T46" i="18" s="1"/>
  <c r="U48" i="18"/>
  <c r="T48" i="18" s="1"/>
  <c r="S48" i="18" s="1"/>
  <c r="R48" i="18" s="1"/>
  <c r="P48" i="18" s="1"/>
  <c r="V48" i="18" s="1"/>
  <c r="U50" i="18"/>
  <c r="T50" i="18" s="1"/>
  <c r="S50" i="18" s="1"/>
  <c r="R50" i="18" s="1"/>
  <c r="P50" i="18" s="1"/>
  <c r="V50" i="18" s="1"/>
  <c r="U52" i="18"/>
  <c r="T52" i="18" s="1"/>
  <c r="S52" i="18" s="1"/>
  <c r="R52" i="18" s="1"/>
  <c r="P52" i="18" s="1"/>
  <c r="V52" i="18" s="1"/>
  <c r="U54" i="18"/>
  <c r="T54" i="18" s="1"/>
  <c r="S54" i="18" s="1"/>
  <c r="R54" i="18" s="1"/>
  <c r="P54" i="18" s="1"/>
  <c r="V54" i="18" s="1"/>
  <c r="U56" i="18"/>
  <c r="T56" i="18" s="1"/>
  <c r="S56" i="18" s="1"/>
  <c r="R56" i="18" s="1"/>
  <c r="P56" i="18" s="1"/>
  <c r="V56" i="18" s="1"/>
  <c r="U58" i="18"/>
  <c r="T58" i="18" s="1"/>
  <c r="S58" i="18" s="1"/>
  <c r="R58" i="18" s="1"/>
  <c r="P58" i="18" s="1"/>
  <c r="V58" i="18" s="1"/>
  <c r="U60" i="18"/>
  <c r="T60" i="18" s="1"/>
  <c r="S60" i="18" s="1"/>
  <c r="R60" i="18" s="1"/>
  <c r="P60" i="18" s="1"/>
  <c r="U62" i="18"/>
  <c r="T62" i="18" s="1"/>
  <c r="U64" i="18"/>
  <c r="T64" i="18" s="1"/>
  <c r="S64" i="18" s="1"/>
  <c r="R64" i="18" s="1"/>
  <c r="P64" i="18" s="1"/>
  <c r="V64" i="18" s="1"/>
  <c r="U66" i="18"/>
  <c r="T66" i="18" s="1"/>
  <c r="S66" i="18" s="1"/>
  <c r="R66" i="18" s="1"/>
  <c r="P66" i="18" s="1"/>
  <c r="V66" i="18" s="1"/>
  <c r="U68" i="18"/>
  <c r="T68" i="18" s="1"/>
  <c r="S68" i="18" s="1"/>
  <c r="R68" i="18" s="1"/>
  <c r="P68" i="18" s="1"/>
  <c r="V68" i="18" s="1"/>
  <c r="U70" i="18"/>
  <c r="T70" i="18" s="1"/>
  <c r="S70" i="18" s="1"/>
  <c r="R70" i="18" s="1"/>
  <c r="P70" i="18" s="1"/>
  <c r="V70" i="18" s="1"/>
  <c r="U72" i="18"/>
  <c r="T72" i="18" s="1"/>
  <c r="S72" i="18" s="1"/>
  <c r="R72" i="18" s="1"/>
  <c r="P72" i="18" s="1"/>
  <c r="V72" i="18" s="1"/>
  <c r="U74" i="18"/>
  <c r="T74" i="18" s="1"/>
  <c r="S74" i="18" s="1"/>
  <c r="R74" i="18" s="1"/>
  <c r="P74" i="18" s="1"/>
  <c r="V74" i="18" s="1"/>
  <c r="U76" i="18"/>
  <c r="T76" i="18" s="1"/>
  <c r="S76" i="18" s="1"/>
  <c r="R76" i="18" s="1"/>
  <c r="P76" i="18" s="1"/>
  <c r="V76" i="18" s="1"/>
  <c r="D76" i="18" s="1"/>
  <c r="E76" i="18" s="1"/>
  <c r="F76" i="18" s="1"/>
  <c r="U78" i="18"/>
  <c r="T78" i="18" s="1"/>
  <c r="S78" i="18" s="1"/>
  <c r="R78" i="18" s="1"/>
  <c r="P78" i="18" s="1"/>
  <c r="V78" i="18" s="1"/>
  <c r="U80" i="18"/>
  <c r="T80" i="18" s="1"/>
  <c r="U82" i="18"/>
  <c r="T82" i="18" s="1"/>
  <c r="S82" i="18" s="1"/>
  <c r="R82" i="18" s="1"/>
  <c r="P82" i="18" s="1"/>
  <c r="V82" i="18" s="1"/>
  <c r="U84" i="18"/>
  <c r="T84" i="18" s="1"/>
  <c r="S84" i="18" s="1"/>
  <c r="R84" i="18" s="1"/>
  <c r="P84" i="18" s="1"/>
  <c r="V84" i="18" s="1"/>
  <c r="U86" i="18"/>
  <c r="T86" i="18" s="1"/>
  <c r="S86" i="18" s="1"/>
  <c r="R86" i="18" s="1"/>
  <c r="P86" i="18" s="1"/>
  <c r="V86" i="18" s="1"/>
  <c r="U88" i="18"/>
  <c r="T88" i="18" s="1"/>
  <c r="S88" i="18" s="1"/>
  <c r="R88" i="18" s="1"/>
  <c r="P88" i="18" s="1"/>
  <c r="V88" i="18" s="1"/>
  <c r="U90" i="18"/>
  <c r="T90" i="18" s="1"/>
  <c r="S90" i="18" s="1"/>
  <c r="R90" i="18" s="1"/>
  <c r="P90" i="18" s="1"/>
  <c r="V90" i="18" s="1"/>
  <c r="U92" i="18"/>
  <c r="T92" i="18" s="1"/>
  <c r="S92" i="18" s="1"/>
  <c r="R92" i="18" s="1"/>
  <c r="P92" i="18" s="1"/>
  <c r="V92" i="18" s="1"/>
  <c r="W92" i="18" s="1"/>
  <c r="U94" i="18"/>
  <c r="T94" i="18" s="1"/>
  <c r="S94" i="18" s="1"/>
  <c r="R94" i="18" s="1"/>
  <c r="P94" i="18" s="1"/>
  <c r="V94" i="18" s="1"/>
  <c r="D94" i="18" s="1"/>
  <c r="E94" i="18" s="1"/>
  <c r="F94" i="18" s="1"/>
  <c r="U96" i="18"/>
  <c r="T96" i="18" s="1"/>
  <c r="S96" i="18" s="1"/>
  <c r="R96" i="18" s="1"/>
  <c r="P96" i="18" s="1"/>
  <c r="V96" i="18" s="1"/>
  <c r="U98" i="18"/>
  <c r="T98" i="18" s="1"/>
  <c r="S98" i="18" s="1"/>
  <c r="R98" i="18" s="1"/>
  <c r="P98" i="18" s="1"/>
  <c r="V98" i="18" s="1"/>
  <c r="U100" i="18"/>
  <c r="T100" i="18" s="1"/>
  <c r="S100" i="18" s="1"/>
  <c r="R100" i="18" s="1"/>
  <c r="P100" i="18" s="1"/>
  <c r="V100" i="18" s="1"/>
  <c r="U102" i="18"/>
  <c r="T102" i="18" s="1"/>
  <c r="S102" i="18" s="1"/>
  <c r="R102" i="18" s="1"/>
  <c r="P102" i="18" s="1"/>
  <c r="V102" i="18" s="1"/>
  <c r="U104" i="18"/>
  <c r="T104" i="18" s="1"/>
  <c r="S104" i="18" s="1"/>
  <c r="R104" i="18" s="1"/>
  <c r="P104" i="18" s="1"/>
  <c r="V104" i="18" s="1"/>
  <c r="U106" i="18"/>
  <c r="T106" i="18" s="1"/>
  <c r="S106" i="18" s="1"/>
  <c r="R106" i="18" s="1"/>
  <c r="P106" i="18" s="1"/>
  <c r="V106" i="18" s="1"/>
  <c r="U108" i="18"/>
  <c r="T108" i="18" s="1"/>
  <c r="S108" i="18" s="1"/>
  <c r="R108" i="18" s="1"/>
  <c r="P108" i="18" s="1"/>
  <c r="V108" i="18" s="1"/>
  <c r="W108" i="18" s="1"/>
  <c r="U110" i="18"/>
  <c r="T110" i="18" s="1"/>
  <c r="S110" i="18" s="1"/>
  <c r="R110" i="18" s="1"/>
  <c r="P110" i="18" s="1"/>
  <c r="V110" i="18" s="1"/>
  <c r="U112" i="18"/>
  <c r="T112" i="18" s="1"/>
  <c r="S112" i="18" s="1"/>
  <c r="R112" i="18" s="1"/>
  <c r="P112" i="18" s="1"/>
  <c r="V112" i="18" s="1"/>
  <c r="U114" i="18"/>
  <c r="T114" i="18" s="1"/>
  <c r="S114" i="18" s="1"/>
  <c r="R114" i="18" s="1"/>
  <c r="P114" i="18" s="1"/>
  <c r="V114" i="18" s="1"/>
  <c r="W114" i="18" s="1"/>
  <c r="U116" i="18"/>
  <c r="T116" i="18" s="1"/>
  <c r="S116" i="18" s="1"/>
  <c r="R116" i="18" s="1"/>
  <c r="P116" i="18" s="1"/>
  <c r="V116" i="18" s="1"/>
  <c r="U118" i="18"/>
  <c r="T118" i="18" s="1"/>
  <c r="S118" i="18" s="1"/>
  <c r="R118" i="18" s="1"/>
  <c r="P118" i="18" s="1"/>
  <c r="V118" i="18" s="1"/>
  <c r="U120" i="18"/>
  <c r="T120" i="18" s="1"/>
  <c r="S120" i="18" s="1"/>
  <c r="R120" i="18" s="1"/>
  <c r="P120" i="18" s="1"/>
  <c r="V120" i="18" s="1"/>
  <c r="U122" i="18"/>
  <c r="T122" i="18" s="1"/>
  <c r="S122" i="18" s="1"/>
  <c r="R122" i="18" s="1"/>
  <c r="P122" i="18" s="1"/>
  <c r="V122" i="18" s="1"/>
  <c r="U124" i="18"/>
  <c r="T124" i="18" s="1"/>
  <c r="U126" i="18"/>
  <c r="T126" i="18" s="1"/>
  <c r="S126" i="18" s="1"/>
  <c r="R126" i="18" s="1"/>
  <c r="P126" i="18" s="1"/>
  <c r="V126" i="18" s="1"/>
  <c r="U128" i="18"/>
  <c r="T128" i="18" s="1"/>
  <c r="S128" i="18" s="1"/>
  <c r="R128" i="18" s="1"/>
  <c r="P128" i="18" s="1"/>
  <c r="V128" i="18" s="1"/>
  <c r="D128" i="18" s="1"/>
  <c r="E128" i="18" s="1"/>
  <c r="F128" i="18" s="1"/>
  <c r="U130" i="18"/>
  <c r="T130" i="18" s="1"/>
  <c r="S130" i="18" s="1"/>
  <c r="R130" i="18" s="1"/>
  <c r="P130" i="18" s="1"/>
  <c r="V130" i="18" s="1"/>
  <c r="U132" i="18"/>
  <c r="T132" i="18" s="1"/>
  <c r="S132" i="18" s="1"/>
  <c r="R132" i="18" s="1"/>
  <c r="P132" i="18" s="1"/>
  <c r="V132" i="18" s="1"/>
  <c r="U134" i="18"/>
  <c r="T134" i="18" s="1"/>
  <c r="S134" i="18" s="1"/>
  <c r="R134" i="18" s="1"/>
  <c r="P134" i="18" s="1"/>
  <c r="V134" i="18" s="1"/>
  <c r="U136" i="18"/>
  <c r="T136" i="18" s="1"/>
  <c r="S136" i="18" s="1"/>
  <c r="R136" i="18" s="1"/>
  <c r="P136" i="18" s="1"/>
  <c r="V136" i="18" s="1"/>
  <c r="U138" i="18"/>
  <c r="T138" i="18" s="1"/>
  <c r="S138" i="18" s="1"/>
  <c r="R138" i="18" s="1"/>
  <c r="P138" i="18" s="1"/>
  <c r="V138" i="18" s="1"/>
  <c r="U140" i="18"/>
  <c r="T140" i="18" s="1"/>
  <c r="S140" i="18" s="1"/>
  <c r="R140" i="18" s="1"/>
  <c r="P140" i="18" s="1"/>
  <c r="V140" i="18" s="1"/>
  <c r="D140" i="18" s="1"/>
  <c r="E140" i="18" s="1"/>
  <c r="F140" i="18" s="1"/>
  <c r="U142" i="18"/>
  <c r="T142" i="18" s="1"/>
  <c r="S142" i="18" s="1"/>
  <c r="R142" i="18" s="1"/>
  <c r="P142" i="18" s="1"/>
  <c r="V142" i="18" s="1"/>
  <c r="U144" i="18"/>
  <c r="T144" i="18" s="1"/>
  <c r="S144" i="18" s="1"/>
  <c r="R144" i="18" s="1"/>
  <c r="P144" i="18" s="1"/>
  <c r="V144" i="18" s="1"/>
  <c r="U146" i="18"/>
  <c r="T146" i="18" s="1"/>
  <c r="U148" i="18"/>
  <c r="T148" i="18" s="1"/>
  <c r="S148" i="18" s="1"/>
  <c r="R148" i="18" s="1"/>
  <c r="P148" i="18" s="1"/>
  <c r="V148" i="18" s="1"/>
  <c r="U150" i="18"/>
  <c r="T150" i="18" s="1"/>
  <c r="S150" i="18" s="1"/>
  <c r="R150" i="18" s="1"/>
  <c r="P150" i="18" s="1"/>
  <c r="V150" i="18" s="1"/>
  <c r="W150" i="18" s="1"/>
  <c r="U152" i="18"/>
  <c r="T152" i="18" s="1"/>
  <c r="S152" i="18" s="1"/>
  <c r="R152" i="18" s="1"/>
  <c r="P152" i="18" s="1"/>
  <c r="V152" i="18" s="1"/>
  <c r="U154" i="18"/>
  <c r="T154" i="18" s="1"/>
  <c r="S154" i="18" s="1"/>
  <c r="R154" i="18" s="1"/>
  <c r="P154" i="18" s="1"/>
  <c r="V154" i="18" s="1"/>
  <c r="D154" i="18" s="1"/>
  <c r="E154" i="18" s="1"/>
  <c r="F154" i="18" s="1"/>
  <c r="U156" i="18"/>
  <c r="T156" i="18" s="1"/>
  <c r="S156" i="18" s="1"/>
  <c r="R156" i="18" s="1"/>
  <c r="P156" i="18" s="1"/>
  <c r="V156" i="18" s="1"/>
  <c r="U158" i="18"/>
  <c r="T158" i="18" s="1"/>
  <c r="S158" i="18" s="1"/>
  <c r="R158" i="18" s="1"/>
  <c r="P158" i="18" s="1"/>
  <c r="V158" i="18" s="1"/>
  <c r="D158" i="18" s="1"/>
  <c r="E158" i="18" s="1"/>
  <c r="F158" i="18" s="1"/>
  <c r="U160" i="18"/>
  <c r="T160" i="18" s="1"/>
  <c r="S160" i="18" s="1"/>
  <c r="R160" i="18" s="1"/>
  <c r="P160" i="18" s="1"/>
  <c r="V160" i="18" s="1"/>
  <c r="U162" i="18"/>
  <c r="T162" i="18" s="1"/>
  <c r="S162" i="18" s="1"/>
  <c r="R162" i="18" s="1"/>
  <c r="P162" i="18" s="1"/>
  <c r="V162" i="18" s="1"/>
  <c r="U164" i="18"/>
  <c r="T164" i="18" s="1"/>
  <c r="S164" i="18" s="1"/>
  <c r="R164" i="18" s="1"/>
  <c r="P164" i="18" s="1"/>
  <c r="V164" i="18" s="1"/>
  <c r="W164" i="18" s="1"/>
  <c r="U166" i="18"/>
  <c r="T166" i="18" s="1"/>
  <c r="S166" i="18" s="1"/>
  <c r="R166" i="18" s="1"/>
  <c r="P166" i="18" s="1"/>
  <c r="V166" i="18" s="1"/>
  <c r="U168" i="18"/>
  <c r="T168" i="18" s="1"/>
  <c r="S168" i="18" s="1"/>
  <c r="R168" i="18" s="1"/>
  <c r="P168" i="18" s="1"/>
  <c r="V168" i="18" s="1"/>
  <c r="U170" i="18"/>
  <c r="T170" i="18" s="1"/>
  <c r="S170" i="18" s="1"/>
  <c r="R170" i="18" s="1"/>
  <c r="P170" i="18" s="1"/>
  <c r="V170" i="18" s="1"/>
  <c r="D170" i="18" s="1"/>
  <c r="E170" i="18" s="1"/>
  <c r="F170" i="18" s="1"/>
  <c r="U172" i="18"/>
  <c r="T172" i="18" s="1"/>
  <c r="S172" i="18" s="1"/>
  <c r="R172" i="18" s="1"/>
  <c r="P172" i="18" s="1"/>
  <c r="V172" i="18" s="1"/>
  <c r="U174" i="18"/>
  <c r="T174" i="18" s="1"/>
  <c r="U176" i="18"/>
  <c r="T176" i="18" s="1"/>
  <c r="S176" i="18" s="1"/>
  <c r="R176" i="18" s="1"/>
  <c r="P176" i="18" s="1"/>
  <c r="V176" i="18" s="1"/>
  <c r="U178" i="18"/>
  <c r="T178" i="18" s="1"/>
  <c r="S178" i="18" s="1"/>
  <c r="R178" i="18" s="1"/>
  <c r="P178" i="18" s="1"/>
  <c r="V178" i="18" s="1"/>
  <c r="D178" i="18" s="1"/>
  <c r="E178" i="18" s="1"/>
  <c r="F178" i="18" s="1"/>
  <c r="U180" i="18"/>
  <c r="T180" i="18" s="1"/>
  <c r="S180" i="18" s="1"/>
  <c r="R180" i="18" s="1"/>
  <c r="P180" i="18" s="1"/>
  <c r="U182" i="18"/>
  <c r="T182" i="18" s="1"/>
  <c r="S182" i="18" s="1"/>
  <c r="R182" i="18" s="1"/>
  <c r="P182" i="18" s="1"/>
  <c r="V182" i="18" s="1"/>
  <c r="U184" i="18"/>
  <c r="T184" i="18" s="1"/>
  <c r="S184" i="18" s="1"/>
  <c r="R184" i="18" s="1"/>
  <c r="P184" i="18" s="1"/>
  <c r="V184" i="18" s="1"/>
  <c r="U186" i="18"/>
  <c r="T186" i="18" s="1"/>
  <c r="S186" i="18" s="1"/>
  <c r="R186" i="18" s="1"/>
  <c r="P186" i="18" s="1"/>
  <c r="V186" i="18" s="1"/>
  <c r="W186" i="18" s="1"/>
  <c r="U188" i="18"/>
  <c r="T188" i="18" s="1"/>
  <c r="S188" i="18" s="1"/>
  <c r="R188" i="18" s="1"/>
  <c r="P188" i="18" s="1"/>
  <c r="V188" i="18" s="1"/>
  <c r="U190" i="18"/>
  <c r="T190" i="18" s="1"/>
  <c r="U192" i="18"/>
  <c r="T192" i="18" s="1"/>
  <c r="S192" i="18" s="1"/>
  <c r="R192" i="18" s="1"/>
  <c r="P192" i="18" s="1"/>
  <c r="V192" i="18" s="1"/>
  <c r="U194" i="18"/>
  <c r="T194" i="18" s="1"/>
  <c r="S194" i="18" s="1"/>
  <c r="R194" i="18" s="1"/>
  <c r="P194" i="18" s="1"/>
  <c r="V194" i="18" s="1"/>
  <c r="U196" i="18"/>
  <c r="T196" i="18" s="1"/>
  <c r="S196" i="18" s="1"/>
  <c r="R196" i="18" s="1"/>
  <c r="P196" i="18" s="1"/>
  <c r="V196" i="18" s="1"/>
  <c r="U198" i="18"/>
  <c r="T198" i="18" s="1"/>
  <c r="S198" i="18" s="1"/>
  <c r="R198" i="18" s="1"/>
  <c r="P198" i="18" s="1"/>
  <c r="V198" i="18" s="1"/>
  <c r="W198" i="18" s="1"/>
  <c r="U200" i="18"/>
  <c r="T200" i="18" s="1"/>
  <c r="S200" i="18" s="1"/>
  <c r="R200" i="18" s="1"/>
  <c r="P200" i="18" s="1"/>
  <c r="V200" i="18" s="1"/>
  <c r="U202" i="18"/>
  <c r="T202" i="18" s="1"/>
  <c r="U204" i="18"/>
  <c r="T204" i="18" s="1"/>
  <c r="S204" i="18" s="1"/>
  <c r="R204" i="18" s="1"/>
  <c r="P204" i="18" s="1"/>
  <c r="V204" i="18" s="1"/>
  <c r="D204" i="18" s="1"/>
  <c r="E204" i="18" s="1"/>
  <c r="F204" i="18" s="1"/>
  <c r="U206" i="18"/>
  <c r="T206" i="18" s="1"/>
  <c r="S206" i="18" s="1"/>
  <c r="R206" i="18" s="1"/>
  <c r="P206" i="18" s="1"/>
  <c r="V206" i="18" s="1"/>
  <c r="W206" i="18" s="1"/>
  <c r="U208" i="18"/>
  <c r="T208" i="18" s="1"/>
  <c r="S208" i="18" s="1"/>
  <c r="R208" i="18" s="1"/>
  <c r="P208" i="18" s="1"/>
  <c r="V208" i="18" s="1"/>
  <c r="U210" i="18"/>
  <c r="T210" i="18" s="1"/>
  <c r="S210" i="18" s="1"/>
  <c r="R210" i="18" s="1"/>
  <c r="P210" i="18" s="1"/>
  <c r="D74" i="7" s="1"/>
  <c r="U212" i="18"/>
  <c r="T212" i="18" s="1"/>
  <c r="S212" i="18" s="1"/>
  <c r="R212" i="18" s="1"/>
  <c r="P212" i="18" s="1"/>
  <c r="V212" i="18" s="1"/>
  <c r="U214" i="18"/>
  <c r="T214" i="18" s="1"/>
  <c r="S214" i="18" s="1"/>
  <c r="R214" i="18" s="1"/>
  <c r="P214" i="18" s="1"/>
  <c r="V214" i="18" s="1"/>
  <c r="W214" i="18" s="1"/>
  <c r="U216" i="18"/>
  <c r="T216" i="18" s="1"/>
  <c r="S216" i="18" s="1"/>
  <c r="R216" i="18" s="1"/>
  <c r="P216" i="18" s="1"/>
  <c r="V216" i="18" s="1"/>
  <c r="U218" i="18"/>
  <c r="T218" i="18" s="1"/>
  <c r="S218" i="18" s="1"/>
  <c r="R218" i="18" s="1"/>
  <c r="P218" i="18" s="1"/>
  <c r="V218" i="18" s="1"/>
  <c r="U220" i="18"/>
  <c r="T220" i="18" s="1"/>
  <c r="S220" i="18" s="1"/>
  <c r="R220" i="18" s="1"/>
  <c r="P220" i="18" s="1"/>
  <c r="V220" i="18" s="1"/>
  <c r="W220" i="18" s="1"/>
  <c r="U222" i="18"/>
  <c r="T222" i="18" s="1"/>
  <c r="S222" i="18" s="1"/>
  <c r="R222" i="18" s="1"/>
  <c r="P222" i="18" s="1"/>
  <c r="V222" i="18" s="1"/>
  <c r="U224" i="18"/>
  <c r="T224" i="18" s="1"/>
  <c r="S224" i="18" s="1"/>
  <c r="R224" i="18" s="1"/>
  <c r="P224" i="18" s="1"/>
  <c r="V224" i="18" s="1"/>
  <c r="U226" i="18"/>
  <c r="T226" i="18" s="1"/>
  <c r="S226" i="18" s="1"/>
  <c r="R226" i="18" s="1"/>
  <c r="P226" i="18" s="1"/>
  <c r="V226" i="18" s="1"/>
  <c r="U228" i="18"/>
  <c r="T228" i="18" s="1"/>
  <c r="S228" i="18" s="1"/>
  <c r="R228" i="18" s="1"/>
  <c r="P228" i="18" s="1"/>
  <c r="V228" i="18" s="1"/>
  <c r="U230" i="18"/>
  <c r="T230" i="18" s="1"/>
  <c r="S230" i="18" s="1"/>
  <c r="R230" i="18" s="1"/>
  <c r="P230" i="18" s="1"/>
  <c r="V230" i="18" s="1"/>
  <c r="U232" i="18"/>
  <c r="T232" i="18" s="1"/>
  <c r="S232" i="18" s="1"/>
  <c r="R232" i="18" s="1"/>
  <c r="P232" i="18" s="1"/>
  <c r="V232" i="18" s="1"/>
  <c r="W232" i="18" s="1"/>
  <c r="U234" i="18"/>
  <c r="T234" i="18" s="1"/>
  <c r="U236" i="18"/>
  <c r="T236" i="18" s="1"/>
  <c r="S236" i="18" s="1"/>
  <c r="R236" i="18" s="1"/>
  <c r="P236" i="18" s="1"/>
  <c r="V236" i="18" s="1"/>
  <c r="U238" i="18"/>
  <c r="T238" i="18" s="1"/>
  <c r="S238" i="18" s="1"/>
  <c r="R238" i="18" s="1"/>
  <c r="P238" i="18" s="1"/>
  <c r="V238" i="18" s="1"/>
  <c r="U240" i="18"/>
  <c r="T240" i="18" s="1"/>
  <c r="S240" i="18" s="1"/>
  <c r="R240" i="18" s="1"/>
  <c r="P240" i="18" s="1"/>
  <c r="V240" i="18" s="1"/>
  <c r="W240" i="18" s="1"/>
  <c r="U242" i="18"/>
  <c r="T242" i="18" s="1"/>
  <c r="S242" i="18" s="1"/>
  <c r="R242" i="18" s="1"/>
  <c r="P242" i="18" s="1"/>
  <c r="V242" i="18" s="1"/>
  <c r="U244" i="18"/>
  <c r="T244" i="18" s="1"/>
  <c r="S244" i="18" s="1"/>
  <c r="R244" i="18" s="1"/>
  <c r="P244" i="18" s="1"/>
  <c r="V244" i="18" s="1"/>
  <c r="U246" i="18"/>
  <c r="T246" i="18" s="1"/>
  <c r="S246" i="18" s="1"/>
  <c r="R246" i="18" s="1"/>
  <c r="P246" i="18" s="1"/>
  <c r="V246" i="18" s="1"/>
  <c r="W246" i="18" s="1"/>
  <c r="U248" i="18"/>
  <c r="T248" i="18" s="1"/>
  <c r="S248" i="18" s="1"/>
  <c r="R248" i="18" s="1"/>
  <c r="P248" i="18" s="1"/>
  <c r="V248" i="18" s="1"/>
  <c r="D248" i="18" s="1"/>
  <c r="E248" i="18" s="1"/>
  <c r="F248" i="18" s="1"/>
  <c r="U250" i="18"/>
  <c r="T250" i="18" s="1"/>
  <c r="S250" i="18" s="1"/>
  <c r="R250" i="18" s="1"/>
  <c r="P250" i="18" s="1"/>
  <c r="V250" i="18" s="1"/>
  <c r="U252" i="18"/>
  <c r="T252" i="18" s="1"/>
  <c r="S252" i="18" s="1"/>
  <c r="R252" i="18" s="1"/>
  <c r="P252" i="18" s="1"/>
  <c r="V252" i="18" s="1"/>
  <c r="U254" i="18"/>
  <c r="T254" i="18" s="1"/>
  <c r="S254" i="18" s="1"/>
  <c r="R254" i="18" s="1"/>
  <c r="P254" i="18" s="1"/>
  <c r="V254" i="18" s="1"/>
  <c r="U256" i="18"/>
  <c r="T256" i="18" s="1"/>
  <c r="S256" i="18" s="1"/>
  <c r="R256" i="18" s="1"/>
  <c r="P256" i="18" s="1"/>
  <c r="V256" i="18" s="1"/>
  <c r="W256" i="18" s="1"/>
  <c r="U258" i="18"/>
  <c r="T258" i="18" s="1"/>
  <c r="S258" i="18" s="1"/>
  <c r="R258" i="18" s="1"/>
  <c r="P258" i="18" s="1"/>
  <c r="V258" i="18" s="1"/>
  <c r="U260" i="18"/>
  <c r="T260" i="18" s="1"/>
  <c r="S260" i="18" s="1"/>
  <c r="R260" i="18" s="1"/>
  <c r="P260" i="18" s="1"/>
  <c r="V260" i="18" s="1"/>
  <c r="U262" i="18"/>
  <c r="T262" i="18" s="1"/>
  <c r="S262" i="18" s="1"/>
  <c r="R262" i="18" s="1"/>
  <c r="P262" i="18" s="1"/>
  <c r="V262" i="18" s="1"/>
  <c r="U264" i="18"/>
  <c r="T264" i="18" s="1"/>
  <c r="S264" i="18" s="1"/>
  <c r="R264" i="18" s="1"/>
  <c r="P264" i="18" s="1"/>
  <c r="V264" i="18" s="1"/>
  <c r="U266" i="18"/>
  <c r="T266" i="18" s="1"/>
  <c r="S266" i="18" s="1"/>
  <c r="R266" i="18" s="1"/>
  <c r="P266" i="18" s="1"/>
  <c r="V266" i="18" s="1"/>
  <c r="U268" i="18"/>
  <c r="T268" i="18" s="1"/>
  <c r="S268" i="18" s="1"/>
  <c r="R268" i="18" s="1"/>
  <c r="P268" i="18" s="1"/>
  <c r="V268" i="18" s="1"/>
  <c r="W268" i="18" s="1"/>
  <c r="U270" i="18"/>
  <c r="T270" i="18" s="1"/>
  <c r="S270" i="18" s="1"/>
  <c r="R270" i="18" s="1"/>
  <c r="P270" i="18" s="1"/>
  <c r="V270" i="18" s="1"/>
  <c r="U272" i="18"/>
  <c r="T272" i="18" s="1"/>
  <c r="S272" i="18" s="1"/>
  <c r="R272" i="18" s="1"/>
  <c r="P272" i="18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U282" i="18"/>
  <c r="T282" i="18" s="1"/>
  <c r="S282" i="18" s="1"/>
  <c r="R282" i="18" s="1"/>
  <c r="P282" i="18" s="1"/>
  <c r="V282" i="18" s="1"/>
  <c r="W282" i="18" s="1"/>
  <c r="U284" i="18"/>
  <c r="T284" i="18" s="1"/>
  <c r="S284" i="18" s="1"/>
  <c r="R284" i="18" s="1"/>
  <c r="P284" i="18" s="1"/>
  <c r="V284" i="18" s="1"/>
  <c r="D284" i="18" s="1"/>
  <c r="E284" i="18" s="1"/>
  <c r="F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U290" i="18"/>
  <c r="T290" i="18" s="1"/>
  <c r="S290" i="18" s="1"/>
  <c r="R290" i="18" s="1"/>
  <c r="P290" i="18" s="1"/>
  <c r="V290" i="18" s="1"/>
  <c r="U292" i="18"/>
  <c r="T292" i="18" s="1"/>
  <c r="S292" i="18" s="1"/>
  <c r="R292" i="18" s="1"/>
  <c r="P292" i="18" s="1"/>
  <c r="V292" i="18" s="1"/>
  <c r="U294" i="18"/>
  <c r="T294" i="18" s="1"/>
  <c r="S294" i="18" s="1"/>
  <c r="R294" i="18" s="1"/>
  <c r="P294" i="18" s="1"/>
  <c r="V294" i="18" s="1"/>
  <c r="U296" i="18"/>
  <c r="T296" i="18" s="1"/>
  <c r="S296" i="18" s="1"/>
  <c r="R296" i="18" s="1"/>
  <c r="P296" i="18" s="1"/>
  <c r="V296" i="18" s="1"/>
  <c r="U298" i="18"/>
  <c r="T298" i="18" s="1"/>
  <c r="S298" i="18" s="1"/>
  <c r="R298" i="18" s="1"/>
  <c r="P298" i="18" s="1"/>
  <c r="V298" i="18" s="1"/>
  <c r="U300" i="18"/>
  <c r="T300" i="18" s="1"/>
  <c r="S300" i="18" s="1"/>
  <c r="R300" i="18" s="1"/>
  <c r="P300" i="18" s="1"/>
  <c r="V300" i="18" s="1"/>
  <c r="D300" i="18" s="1"/>
  <c r="E300" i="18" s="1"/>
  <c r="F300" i="18" s="1"/>
  <c r="U302" i="18"/>
  <c r="T302" i="18" s="1"/>
  <c r="S302" i="18" s="1"/>
  <c r="R302" i="18" s="1"/>
  <c r="P302" i="18" s="1"/>
  <c r="D77" i="7" s="1"/>
  <c r="U304" i="18"/>
  <c r="T304" i="18" s="1"/>
  <c r="S304" i="18" s="1"/>
  <c r="R304" i="18" s="1"/>
  <c r="P304" i="18" s="1"/>
  <c r="V304" i="18" s="1"/>
  <c r="U306" i="18"/>
  <c r="T306" i="18" s="1"/>
  <c r="S306" i="18" s="1"/>
  <c r="R306" i="18" s="1"/>
  <c r="P306" i="18" s="1"/>
  <c r="V306" i="18" s="1"/>
  <c r="D306" i="18" s="1"/>
  <c r="E306" i="18" s="1"/>
  <c r="F306" i="18" s="1"/>
  <c r="U308" i="18"/>
  <c r="T308" i="18" s="1"/>
  <c r="S308" i="18" s="1"/>
  <c r="R308" i="18" s="1"/>
  <c r="P308" i="18" s="1"/>
  <c r="V308" i="18" s="1"/>
  <c r="U310" i="18"/>
  <c r="T310" i="18" s="1"/>
  <c r="S310" i="18" s="1"/>
  <c r="R310" i="18" s="1"/>
  <c r="P310" i="18" s="1"/>
  <c r="V310" i="18" s="1"/>
  <c r="U312" i="18"/>
  <c r="T312" i="18" s="1"/>
  <c r="S312" i="18" s="1"/>
  <c r="R312" i="18" s="1"/>
  <c r="P312" i="18" s="1"/>
  <c r="V312" i="18" s="1"/>
  <c r="U314" i="18"/>
  <c r="T314" i="18" s="1"/>
  <c r="S314" i="18" s="1"/>
  <c r="R314" i="18" s="1"/>
  <c r="P314" i="18" s="1"/>
  <c r="V314" i="18" s="1"/>
  <c r="U316" i="18"/>
  <c r="T316" i="18" s="1"/>
  <c r="S316" i="18" s="1"/>
  <c r="R316" i="18" s="1"/>
  <c r="P316" i="18" s="1"/>
  <c r="V316" i="18" s="1"/>
  <c r="D316" i="18" s="1"/>
  <c r="E316" i="18" s="1"/>
  <c r="F316" i="18" s="1"/>
  <c r="U318" i="18"/>
  <c r="T318" i="18" s="1"/>
  <c r="S318" i="18" s="1"/>
  <c r="R318" i="18" s="1"/>
  <c r="P318" i="18" s="1"/>
  <c r="V318" i="18" s="1"/>
  <c r="W318" i="18" s="1"/>
  <c r="U320" i="18"/>
  <c r="T320" i="18" s="1"/>
  <c r="S320" i="18" s="1"/>
  <c r="R320" i="18" s="1"/>
  <c r="P320" i="18" s="1"/>
  <c r="V320" i="18" s="1"/>
  <c r="W320" i="18" s="1"/>
  <c r="U322" i="18"/>
  <c r="T322" i="18" s="1"/>
  <c r="S322" i="18" s="1"/>
  <c r="R322" i="18" s="1"/>
  <c r="P322" i="18" s="1"/>
  <c r="V322" i="18" s="1"/>
  <c r="U324" i="18"/>
  <c r="T324" i="18" s="1"/>
  <c r="S324" i="18" s="1"/>
  <c r="R324" i="18" s="1"/>
  <c r="P324" i="18" s="1"/>
  <c r="V324" i="18" s="1"/>
  <c r="U326" i="18"/>
  <c r="T326" i="18" s="1"/>
  <c r="S326" i="18" s="1"/>
  <c r="R326" i="18" s="1"/>
  <c r="P326" i="18" s="1"/>
  <c r="V326" i="18" s="1"/>
  <c r="U328" i="18"/>
  <c r="T328" i="18" s="1"/>
  <c r="S328" i="18" s="1"/>
  <c r="R328" i="18" s="1"/>
  <c r="P328" i="18" s="1"/>
  <c r="V328" i="18" s="1"/>
  <c r="D328" i="18" s="1"/>
  <c r="E328" i="18" s="1"/>
  <c r="F328" i="18" s="1"/>
  <c r="U330" i="18"/>
  <c r="T330" i="18" s="1"/>
  <c r="S330" i="18" s="1"/>
  <c r="R330" i="18" s="1"/>
  <c r="P330" i="18" s="1"/>
  <c r="V330" i="18" s="1"/>
  <c r="W330" i="18" s="1"/>
  <c r="U332" i="18"/>
  <c r="T332" i="18" s="1"/>
  <c r="S332" i="18" s="1"/>
  <c r="R332" i="18" s="1"/>
  <c r="P332" i="18" s="1"/>
  <c r="V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U338" i="18"/>
  <c r="T338" i="18" s="1"/>
  <c r="S338" i="18" s="1"/>
  <c r="R338" i="18" s="1"/>
  <c r="P338" i="18" s="1"/>
  <c r="V338" i="18" s="1"/>
  <c r="U340" i="18"/>
  <c r="T340" i="18" s="1"/>
  <c r="S340" i="18" s="1"/>
  <c r="R340" i="18" s="1"/>
  <c r="P340" i="18" s="1"/>
  <c r="V340" i="18" s="1"/>
  <c r="U342" i="18"/>
  <c r="T342" i="18" s="1"/>
  <c r="S342" i="18" s="1"/>
  <c r="R342" i="18" s="1"/>
  <c r="P342" i="18" s="1"/>
  <c r="V342" i="18" s="1"/>
  <c r="U344" i="18"/>
  <c r="T344" i="18" s="1"/>
  <c r="S344" i="18" s="1"/>
  <c r="R344" i="18" s="1"/>
  <c r="P344" i="18" s="1"/>
  <c r="V344" i="18" s="1"/>
  <c r="D344" i="18" s="1"/>
  <c r="E344" i="18" s="1"/>
  <c r="F344" i="18" s="1"/>
  <c r="U346" i="18"/>
  <c r="T346" i="18" s="1"/>
  <c r="S346" i="18" s="1"/>
  <c r="R346" i="18" s="1"/>
  <c r="P346" i="18" s="1"/>
  <c r="V346" i="18" s="1"/>
  <c r="U348" i="18"/>
  <c r="T348" i="18" s="1"/>
  <c r="S348" i="18" s="1"/>
  <c r="R348" i="18" s="1"/>
  <c r="P348" i="18" s="1"/>
  <c r="V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U354" i="18"/>
  <c r="T354" i="18" s="1"/>
  <c r="S354" i="18" s="1"/>
  <c r="R354" i="18" s="1"/>
  <c r="P354" i="18" s="1"/>
  <c r="V354" i="18" s="1"/>
  <c r="U356" i="18"/>
  <c r="T356" i="18" s="1"/>
  <c r="S356" i="18" s="1"/>
  <c r="R356" i="18" s="1"/>
  <c r="P356" i="18" s="1"/>
  <c r="V356" i="18" s="1"/>
  <c r="W356" i="18" s="1"/>
  <c r="U358" i="18"/>
  <c r="T358" i="18" s="1"/>
  <c r="S358" i="18" s="1"/>
  <c r="R358" i="18" s="1"/>
  <c r="P358" i="18" s="1"/>
  <c r="V358" i="18" s="1"/>
  <c r="U360" i="18"/>
  <c r="T360" i="18" s="1"/>
  <c r="S360" i="18" s="1"/>
  <c r="R360" i="18" s="1"/>
  <c r="P360" i="18" s="1"/>
  <c r="V360" i="18" s="1"/>
  <c r="U362" i="18"/>
  <c r="T362" i="18" s="1"/>
  <c r="S362" i="18" s="1"/>
  <c r="R362" i="18" s="1"/>
  <c r="P362" i="18" s="1"/>
  <c r="V362" i="18" s="1"/>
  <c r="W362" i="18" s="1"/>
  <c r="U364" i="18"/>
  <c r="T364" i="18" s="1"/>
  <c r="S364" i="18" s="1"/>
  <c r="R364" i="18" s="1"/>
  <c r="P364" i="18" s="1"/>
  <c r="V364" i="18" s="1"/>
  <c r="U366" i="18"/>
  <c r="T366" i="18" s="1"/>
  <c r="S366" i="18" s="1"/>
  <c r="R366" i="18" s="1"/>
  <c r="P366" i="18" s="1"/>
  <c r="V366" i="18" s="1"/>
  <c r="U368" i="18"/>
  <c r="T368" i="18" s="1"/>
  <c r="S368" i="18" s="1"/>
  <c r="R368" i="18" s="1"/>
  <c r="P368" i="18" s="1"/>
  <c r="V368" i="18" s="1"/>
  <c r="D368" i="18" s="1"/>
  <c r="E368" i="18" s="1"/>
  <c r="F368" i="18" s="1"/>
  <c r="U370" i="18"/>
  <c r="T370" i="18" s="1"/>
  <c r="S370" i="18" s="1"/>
  <c r="R370" i="18" s="1"/>
  <c r="P370" i="18" s="1"/>
  <c r="V370" i="18" s="1"/>
  <c r="U372" i="18"/>
  <c r="T372" i="18" s="1"/>
  <c r="S372" i="18" s="1"/>
  <c r="R372" i="18" s="1"/>
  <c r="P372" i="18" s="1"/>
  <c r="V372" i="18" s="1"/>
  <c r="U374" i="18"/>
  <c r="T374" i="18" s="1"/>
  <c r="S374" i="18" s="1"/>
  <c r="R374" i="18" s="1"/>
  <c r="P374" i="18" s="1"/>
  <c r="V374" i="18" s="1"/>
  <c r="U376" i="18"/>
  <c r="T376" i="18" s="1"/>
  <c r="S376" i="18" s="1"/>
  <c r="R376" i="18" s="1"/>
  <c r="P376" i="18" s="1"/>
  <c r="V376" i="18" s="1"/>
  <c r="D376" i="18" s="1"/>
  <c r="E376" i="18" s="1"/>
  <c r="F376" i="18" s="1"/>
  <c r="U378" i="18"/>
  <c r="T378" i="18" s="1"/>
  <c r="AD332" i="18"/>
  <c r="AD376" i="18"/>
  <c r="AD267" i="18"/>
  <c r="AD295" i="18"/>
  <c r="AD311" i="18"/>
  <c r="AD33" i="18"/>
  <c r="D113" i="18"/>
  <c r="E113" i="18" s="1"/>
  <c r="D65" i="18"/>
  <c r="E65" i="18" s="1"/>
  <c r="F139" i="17"/>
  <c r="G139" i="17" s="1"/>
  <c r="BZ139" i="6" s="1"/>
  <c r="F47" i="17"/>
  <c r="AA47" i="17" s="1"/>
  <c r="Z47" i="17" s="1"/>
  <c r="Y47" i="17" s="1"/>
  <c r="AD86" i="18"/>
  <c r="AD122" i="18"/>
  <c r="AD234" i="18"/>
  <c r="I379" i="16"/>
  <c r="J379" i="16"/>
  <c r="AD76" i="18"/>
  <c r="AD140" i="18"/>
  <c r="AD228" i="18"/>
  <c r="AD296" i="18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AA192" i="17"/>
  <c r="Z192" i="17" s="1"/>
  <c r="Y192" i="17" s="1"/>
  <c r="H192" i="17"/>
  <c r="G264" i="17"/>
  <c r="BZ264" i="6" s="1"/>
  <c r="AA264" i="17"/>
  <c r="Z264" i="17" s="1"/>
  <c r="Y264" i="17" s="1"/>
  <c r="H264" i="17"/>
  <c r="G187" i="17"/>
  <c r="BZ187" i="6" s="1"/>
  <c r="AA187" i="17"/>
  <c r="Z187" i="17" s="1"/>
  <c r="Y187" i="17" s="1"/>
  <c r="H187" i="17"/>
  <c r="G199" i="17"/>
  <c r="BZ199" i="6" s="1"/>
  <c r="H199" i="17"/>
  <c r="G90" i="17"/>
  <c r="BZ90" i="6" s="1"/>
  <c r="H90" i="17"/>
  <c r="G106" i="17"/>
  <c r="BZ106" i="6" s="1"/>
  <c r="H106" i="17"/>
  <c r="AA222" i="17"/>
  <c r="Z222" i="17" s="1"/>
  <c r="Y222" i="17" s="1"/>
  <c r="H222" i="17"/>
  <c r="G222" i="17"/>
  <c r="BZ222" i="6" s="1"/>
  <c r="G230" i="17"/>
  <c r="BZ230" i="6" s="1"/>
  <c r="H230" i="17"/>
  <c r="AA230" i="17"/>
  <c r="Z230" i="17" s="1"/>
  <c r="Y230" i="17" s="1"/>
  <c r="H270" i="17"/>
  <c r="G270" i="17"/>
  <c r="BZ270" i="6" s="1"/>
  <c r="AA270" i="17"/>
  <c r="Z270" i="17" s="1"/>
  <c r="Y270" i="17" s="1"/>
  <c r="AA278" i="17"/>
  <c r="Z278" i="17" s="1"/>
  <c r="Y278" i="17" s="1"/>
  <c r="H278" i="17"/>
  <c r="G278" i="17"/>
  <c r="BZ278" i="6" s="1"/>
  <c r="H290" i="17"/>
  <c r="AA290" i="17"/>
  <c r="Z290" i="17" s="1"/>
  <c r="Y290" i="17" s="1"/>
  <c r="G290" i="17"/>
  <c r="BZ290" i="6" s="1"/>
  <c r="G298" i="17"/>
  <c r="BZ298" i="6" s="1"/>
  <c r="H298" i="17"/>
  <c r="G21" i="17"/>
  <c r="BZ21" i="6" s="1"/>
  <c r="AA21" i="17"/>
  <c r="Z21" i="17" s="1"/>
  <c r="Y21" i="17" s="1"/>
  <c r="H21" i="17"/>
  <c r="AA161" i="17"/>
  <c r="Z161" i="17" s="1"/>
  <c r="Y161" i="17" s="1"/>
  <c r="G161" i="17"/>
  <c r="BZ161" i="6" s="1"/>
  <c r="H161" i="17"/>
  <c r="AA241" i="17"/>
  <c r="Z241" i="17" s="1"/>
  <c r="Y241" i="17" s="1"/>
  <c r="G241" i="17"/>
  <c r="BZ241" i="6" s="1"/>
  <c r="H241" i="17"/>
  <c r="G293" i="17"/>
  <c r="BZ293" i="6" s="1"/>
  <c r="AA293" i="17"/>
  <c r="Z293" i="17" s="1"/>
  <c r="Y293" i="17" s="1"/>
  <c r="H293" i="17"/>
  <c r="AA341" i="17"/>
  <c r="Z341" i="17" s="1"/>
  <c r="Y341" i="17" s="1"/>
  <c r="H341" i="17"/>
  <c r="G341" i="17"/>
  <c r="BZ341" i="6" s="1"/>
  <c r="G84" i="17"/>
  <c r="BZ84" i="6" s="1"/>
  <c r="H84" i="17"/>
  <c r="G283" i="17"/>
  <c r="BZ283" i="6" s="1"/>
  <c r="AA283" i="17"/>
  <c r="Z283" i="17" s="1"/>
  <c r="Y283" i="17" s="1"/>
  <c r="H283" i="17"/>
  <c r="G327" i="17"/>
  <c r="BZ327" i="6" s="1"/>
  <c r="AA327" i="17"/>
  <c r="Z327" i="17" s="1"/>
  <c r="Y327" i="17" s="1"/>
  <c r="H327" i="17"/>
  <c r="H49" i="17"/>
  <c r="G49" i="17"/>
  <c r="BZ49" i="6" s="1"/>
  <c r="AA49" i="17"/>
  <c r="Z49" i="17" s="1"/>
  <c r="Y49" i="17" s="1"/>
  <c r="AA73" i="17"/>
  <c r="Z73" i="17" s="1"/>
  <c r="Y73" i="17" s="1"/>
  <c r="G73" i="17"/>
  <c r="BZ73" i="6" s="1"/>
  <c r="H73" i="17"/>
  <c r="AA105" i="17"/>
  <c r="Z105" i="17" s="1"/>
  <c r="Y105" i="17" s="1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AA160" i="17"/>
  <c r="Z160" i="17" s="1"/>
  <c r="Y160" i="17" s="1"/>
  <c r="H160" i="17"/>
  <c r="H188" i="17"/>
  <c r="G188" i="17"/>
  <c r="BZ188" i="6" s="1"/>
  <c r="H175" i="17"/>
  <c r="G175" i="17"/>
  <c r="BZ175" i="6" s="1"/>
  <c r="V379" i="17"/>
  <c r="F379" i="17" s="1"/>
  <c r="G17" i="17"/>
  <c r="BZ17" i="6" s="1"/>
  <c r="H17" i="17"/>
  <c r="G50" i="17"/>
  <c r="BZ50" i="6" s="1"/>
  <c r="AA50" i="17"/>
  <c r="Z50" i="17" s="1"/>
  <c r="Y50" i="17" s="1"/>
  <c r="H50" i="17"/>
  <c r="AA86" i="17"/>
  <c r="Z86" i="17" s="1"/>
  <c r="Y86" i="17" s="1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AA274" i="17"/>
  <c r="Z274" i="17" s="1"/>
  <c r="Y274" i="17" s="1"/>
  <c r="H274" i="17"/>
  <c r="G302" i="17"/>
  <c r="BZ302" i="6" s="1"/>
  <c r="H302" i="17"/>
  <c r="AA358" i="17"/>
  <c r="Z358" i="17" s="1"/>
  <c r="Y358" i="17" s="1"/>
  <c r="G358" i="17"/>
  <c r="BZ358" i="6" s="1"/>
  <c r="H358" i="17"/>
  <c r="AA25" i="17"/>
  <c r="Z25" i="17" s="1"/>
  <c r="Y25" i="17" s="1"/>
  <c r="G25" i="17"/>
  <c r="BZ25" i="6" s="1"/>
  <c r="H25" i="17"/>
  <c r="AA249" i="17"/>
  <c r="Z249" i="17" s="1"/>
  <c r="Y249" i="17" s="1"/>
  <c r="H249" i="17"/>
  <c r="G249" i="17"/>
  <c r="BZ249" i="6" s="1"/>
  <c r="G76" i="17"/>
  <c r="BZ76" i="6" s="1"/>
  <c r="H76" i="17"/>
  <c r="G348" i="17"/>
  <c r="BZ348" i="6" s="1"/>
  <c r="AA348" i="17"/>
  <c r="Z348" i="17" s="1"/>
  <c r="Y348" i="17" s="1"/>
  <c r="H348" i="17"/>
  <c r="G19" i="17"/>
  <c r="BZ19" i="6" s="1"/>
  <c r="AA19" i="17"/>
  <c r="Z19" i="17" s="1"/>
  <c r="Y19" i="17" s="1"/>
  <c r="H19" i="17"/>
  <c r="G259" i="17"/>
  <c r="BZ259" i="6" s="1"/>
  <c r="H259" i="17"/>
  <c r="AA315" i="17"/>
  <c r="Z315" i="17" s="1"/>
  <c r="Y315" i="17" s="1"/>
  <c r="G315" i="17"/>
  <c r="BZ315" i="6" s="1"/>
  <c r="H315" i="17"/>
  <c r="AA33" i="17"/>
  <c r="Z33" i="17" s="1"/>
  <c r="Y33" i="17" s="1"/>
  <c r="G33" i="17"/>
  <c r="BZ33" i="6" s="1"/>
  <c r="H33" i="17"/>
  <c r="AA65" i="17"/>
  <c r="Z65" i="17" s="1"/>
  <c r="Y65" i="17" s="1"/>
  <c r="G65" i="17"/>
  <c r="BZ65" i="6" s="1"/>
  <c r="H65" i="17"/>
  <c r="AA89" i="17"/>
  <c r="Z89" i="17" s="1"/>
  <c r="Y89" i="17" s="1"/>
  <c r="H89" i="17"/>
  <c r="G89" i="17"/>
  <c r="BZ89" i="6" s="1"/>
  <c r="AA113" i="17"/>
  <c r="Z113" i="17" s="1"/>
  <c r="Y113" i="17" s="1"/>
  <c r="G113" i="17"/>
  <c r="BZ113" i="6" s="1"/>
  <c r="H113" i="17"/>
  <c r="I140" i="17"/>
  <c r="J140" i="17"/>
  <c r="J164" i="17"/>
  <c r="I164" i="17"/>
  <c r="I232" i="17"/>
  <c r="J232" i="17"/>
  <c r="I240" i="17"/>
  <c r="J240" i="17"/>
  <c r="G244" i="17"/>
  <c r="BZ244" i="6" s="1"/>
  <c r="H244" i="17"/>
  <c r="J332" i="17"/>
  <c r="I332" i="17"/>
  <c r="AA167" i="17"/>
  <c r="Z167" i="17" s="1"/>
  <c r="Y167" i="17" s="1"/>
  <c r="G167" i="17"/>
  <c r="BZ167" i="6" s="1"/>
  <c r="H167" i="17"/>
  <c r="I203" i="17"/>
  <c r="J203" i="17"/>
  <c r="I295" i="17"/>
  <c r="J295" i="17"/>
  <c r="J285" i="17"/>
  <c r="I285" i="17"/>
  <c r="I378" i="17"/>
  <c r="J378" i="17"/>
  <c r="AA134" i="17"/>
  <c r="Z134" i="17" s="1"/>
  <c r="Y134" i="17" s="1"/>
  <c r="G134" i="17"/>
  <c r="BZ134" i="6" s="1"/>
  <c r="H134" i="17"/>
  <c r="G378" i="17"/>
  <c r="BZ378" i="6" s="1"/>
  <c r="Z382" i="15"/>
  <c r="Y15" i="15"/>
  <c r="Z381" i="15"/>
  <c r="Z9" i="15"/>
  <c r="AL8" i="15"/>
  <c r="Z383" i="15"/>
  <c r="I381" i="15"/>
  <c r="I382" i="15"/>
  <c r="I383" i="15"/>
  <c r="AG15" i="7"/>
  <c r="Q10" i="20"/>
  <c r="AE42" i="20" s="1"/>
  <c r="AA181" i="17"/>
  <c r="Z181" i="17" s="1"/>
  <c r="Y181" i="17" s="1"/>
  <c r="G181" i="17"/>
  <c r="BZ181" i="6" s="1"/>
  <c r="H181" i="17"/>
  <c r="AA225" i="17"/>
  <c r="Z225" i="17" s="1"/>
  <c r="Y225" i="17" s="1"/>
  <c r="G225" i="17"/>
  <c r="BZ225" i="6" s="1"/>
  <c r="H225" i="17"/>
  <c r="J301" i="17"/>
  <c r="I301" i="17"/>
  <c r="G309" i="17"/>
  <c r="BZ309" i="6" s="1"/>
  <c r="AA309" i="17"/>
  <c r="Z309" i="17" s="1"/>
  <c r="Y309" i="17" s="1"/>
  <c r="H309" i="17"/>
  <c r="D349" i="18"/>
  <c r="E349" i="18" s="1"/>
  <c r="W349" i="18"/>
  <c r="G369" i="17"/>
  <c r="BZ369" i="6" s="1"/>
  <c r="H369" i="17"/>
  <c r="AE382" i="18"/>
  <c r="AE383" i="18"/>
  <c r="AE381" i="18"/>
  <c r="S378" i="18"/>
  <c r="R378" i="18" s="1"/>
  <c r="P378" i="18" s="1"/>
  <c r="V378" i="18" s="1"/>
  <c r="S280" i="18"/>
  <c r="R280" i="18" s="1"/>
  <c r="P280" i="18" s="1"/>
  <c r="V280" i="18" s="1"/>
  <c r="S234" i="18"/>
  <c r="R234" i="18" s="1"/>
  <c r="P234" i="18" s="1"/>
  <c r="V234" i="18" s="1"/>
  <c r="S202" i="18"/>
  <c r="R202" i="18" s="1"/>
  <c r="P202" i="18" s="1"/>
  <c r="V202" i="18" s="1"/>
  <c r="S190" i="18"/>
  <c r="R190" i="18" s="1"/>
  <c r="P190" i="18" s="1"/>
  <c r="V190" i="18" s="1"/>
  <c r="S174" i="18"/>
  <c r="R174" i="18" s="1"/>
  <c r="P174" i="18" s="1"/>
  <c r="V174" i="18" s="1"/>
  <c r="S146" i="18"/>
  <c r="R146" i="18" s="1"/>
  <c r="P146" i="18" s="1"/>
  <c r="V146" i="18" s="1"/>
  <c r="S124" i="18"/>
  <c r="R124" i="18" s="1"/>
  <c r="P124" i="18" s="1"/>
  <c r="V124" i="18" s="1"/>
  <c r="S80" i="18"/>
  <c r="R80" i="18" s="1"/>
  <c r="P80" i="18" s="1"/>
  <c r="V80" i="18" s="1"/>
  <c r="S62" i="18"/>
  <c r="R62" i="18" s="1"/>
  <c r="P62" i="18" s="1"/>
  <c r="V62" i="18" s="1"/>
  <c r="S46" i="18"/>
  <c r="R46" i="18" s="1"/>
  <c r="P46" i="18" s="1"/>
  <c r="V46" i="18" s="1"/>
  <c r="S20" i="18"/>
  <c r="R20" i="18" s="1"/>
  <c r="P20" i="18" s="1"/>
  <c r="V20" i="18" s="1"/>
  <c r="I299" i="17"/>
  <c r="J299" i="17"/>
  <c r="I52" i="17"/>
  <c r="J52" i="17"/>
  <c r="I93" i="17"/>
  <c r="J93" i="17"/>
  <c r="K7" i="7"/>
  <c r="B7" i="6"/>
  <c r="Q381" i="18"/>
  <c r="Q382" i="18"/>
  <c r="Q383" i="18"/>
  <c r="I28" i="17"/>
  <c r="J28" i="17"/>
  <c r="G18" i="17"/>
  <c r="BZ18" i="6" s="1"/>
  <c r="H18" i="17"/>
  <c r="G24" i="17"/>
  <c r="BZ24" i="6" s="1"/>
  <c r="H24" i="17"/>
  <c r="G52" i="17"/>
  <c r="BZ52" i="6" s="1"/>
  <c r="AA52" i="17"/>
  <c r="Z52" i="17" s="1"/>
  <c r="Y52" i="17" s="1"/>
  <c r="AA60" i="17"/>
  <c r="Z60" i="17" s="1"/>
  <c r="Y60" i="17" s="1"/>
  <c r="G60" i="17"/>
  <c r="BZ60" i="6" s="1"/>
  <c r="H288" i="17"/>
  <c r="G288" i="17"/>
  <c r="BZ288" i="6" s="1"/>
  <c r="AA288" i="17"/>
  <c r="Z288" i="17" s="1"/>
  <c r="Y288" i="17" s="1"/>
  <c r="H304" i="17"/>
  <c r="G304" i="17"/>
  <c r="BZ304" i="6" s="1"/>
  <c r="AA324" i="17"/>
  <c r="Z324" i="17" s="1"/>
  <c r="Y324" i="17" s="1"/>
  <c r="G324" i="17"/>
  <c r="BZ324" i="6" s="1"/>
  <c r="H324" i="17"/>
  <c r="J344" i="17"/>
  <c r="I344" i="17"/>
  <c r="AA123" i="17"/>
  <c r="Z123" i="17" s="1"/>
  <c r="Y123" i="17" s="1"/>
  <c r="G123" i="17"/>
  <c r="BZ123" i="6" s="1"/>
  <c r="H123" i="17"/>
  <c r="G271" i="17"/>
  <c r="BZ271" i="6" s="1"/>
  <c r="H271" i="17"/>
  <c r="AA287" i="17"/>
  <c r="Z287" i="17" s="1"/>
  <c r="Y287" i="17" s="1"/>
  <c r="G287" i="17"/>
  <c r="BZ287" i="6" s="1"/>
  <c r="H287" i="17"/>
  <c r="G299" i="17"/>
  <c r="BZ299" i="6" s="1"/>
  <c r="AA299" i="17"/>
  <c r="Z299" i="17" s="1"/>
  <c r="Y299" i="17" s="1"/>
  <c r="AA319" i="17"/>
  <c r="Z319" i="17" s="1"/>
  <c r="Y319" i="17" s="1"/>
  <c r="G319" i="17"/>
  <c r="BZ319" i="6" s="1"/>
  <c r="H319" i="17"/>
  <c r="AA331" i="17"/>
  <c r="Z331" i="17" s="1"/>
  <c r="Y331" i="17" s="1"/>
  <c r="H331" i="17"/>
  <c r="G331" i="17"/>
  <c r="BZ331" i="6" s="1"/>
  <c r="G339" i="17"/>
  <c r="BZ339" i="6" s="1"/>
  <c r="H339" i="17"/>
  <c r="AA339" i="17"/>
  <c r="Z339" i="17" s="1"/>
  <c r="Y339" i="17" s="1"/>
  <c r="G355" i="17"/>
  <c r="BZ355" i="6" s="1"/>
  <c r="AA355" i="17"/>
  <c r="Z355" i="17" s="1"/>
  <c r="Y355" i="17" s="1"/>
  <c r="H355" i="17"/>
  <c r="AA45" i="17"/>
  <c r="Z45" i="17" s="1"/>
  <c r="Y45" i="17" s="1"/>
  <c r="G45" i="17"/>
  <c r="BZ45" i="6" s="1"/>
  <c r="H45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85" i="17"/>
  <c r="Z85" i="17" s="1"/>
  <c r="Y85" i="17" s="1"/>
  <c r="G85" i="17"/>
  <c r="BZ85" i="6" s="1"/>
  <c r="H85" i="17"/>
  <c r="AA93" i="17"/>
  <c r="Z93" i="17" s="1"/>
  <c r="Y93" i="17" s="1"/>
  <c r="G93" i="17"/>
  <c r="BZ93" i="6" s="1"/>
  <c r="G117" i="17"/>
  <c r="BZ117" i="6" s="1"/>
  <c r="AA117" i="17"/>
  <c r="Z117" i="17" s="1"/>
  <c r="Y117" i="17" s="1"/>
  <c r="H117" i="17"/>
  <c r="G129" i="17"/>
  <c r="BZ129" i="6" s="1"/>
  <c r="AA129" i="17"/>
  <c r="Z129" i="17" s="1"/>
  <c r="Y129" i="17" s="1"/>
  <c r="H129" i="17"/>
  <c r="G141" i="17"/>
  <c r="BZ141" i="6" s="1"/>
  <c r="H141" i="17"/>
  <c r="AA141" i="17"/>
  <c r="Z141" i="17" s="1"/>
  <c r="Y141" i="17" s="1"/>
  <c r="AA20" i="17"/>
  <c r="Z20" i="17" s="1"/>
  <c r="Y20" i="17" s="1"/>
  <c r="G20" i="17"/>
  <c r="BZ20" i="6" s="1"/>
  <c r="H20" i="17"/>
  <c r="G28" i="17"/>
  <c r="BZ28" i="6" s="1"/>
  <c r="AA28" i="17"/>
  <c r="Z28" i="17" s="1"/>
  <c r="Y28" i="17" s="1"/>
  <c r="G40" i="17"/>
  <c r="BZ40" i="6" s="1"/>
  <c r="H40" i="17"/>
  <c r="AA80" i="17"/>
  <c r="Z80" i="17" s="1"/>
  <c r="Y80" i="17" s="1"/>
  <c r="G80" i="17"/>
  <c r="BZ80" i="6" s="1"/>
  <c r="H80" i="17"/>
  <c r="I204" i="17"/>
  <c r="J204" i="17"/>
  <c r="J320" i="17"/>
  <c r="I320" i="17"/>
  <c r="I368" i="17"/>
  <c r="J368" i="17"/>
  <c r="I75" i="17"/>
  <c r="J75" i="17"/>
  <c r="H127" i="17"/>
  <c r="G127" i="17"/>
  <c r="BZ127" i="6" s="1"/>
  <c r="AA343" i="17"/>
  <c r="Z343" i="17" s="1"/>
  <c r="Y343" i="17" s="1"/>
  <c r="H343" i="17"/>
  <c r="G343" i="17"/>
  <c r="BZ343" i="6" s="1"/>
  <c r="G359" i="17"/>
  <c r="BZ359" i="6" s="1"/>
  <c r="AA359" i="17"/>
  <c r="Z359" i="17" s="1"/>
  <c r="Y359" i="17" s="1"/>
  <c r="H359" i="17"/>
  <c r="G96" i="17"/>
  <c r="BZ96" i="6" s="1"/>
  <c r="H96" i="17"/>
  <c r="AA96" i="17"/>
  <c r="Z96" i="17" s="1"/>
  <c r="Y96" i="17" s="1"/>
  <c r="G100" i="17"/>
  <c r="BZ100" i="6" s="1"/>
  <c r="H100" i="17"/>
  <c r="AA104" i="17"/>
  <c r="Z104" i="17" s="1"/>
  <c r="Y104" i="17" s="1"/>
  <c r="G104" i="17"/>
  <c r="BZ104" i="6" s="1"/>
  <c r="H104" i="17"/>
  <c r="AA112" i="17"/>
  <c r="Z112" i="17" s="1"/>
  <c r="Y112" i="17" s="1"/>
  <c r="G112" i="17"/>
  <c r="BZ112" i="6" s="1"/>
  <c r="H112" i="17"/>
  <c r="G124" i="17"/>
  <c r="BZ124" i="6" s="1"/>
  <c r="H124" i="17"/>
  <c r="AA144" i="17"/>
  <c r="Z144" i="17" s="1"/>
  <c r="Y144" i="17" s="1"/>
  <c r="H144" i="17"/>
  <c r="G144" i="17"/>
  <c r="BZ144" i="6" s="1"/>
  <c r="G148" i="17"/>
  <c r="BZ148" i="6" s="1"/>
  <c r="H148" i="17"/>
  <c r="G168" i="17"/>
  <c r="BZ168" i="6" s="1"/>
  <c r="H168" i="17"/>
  <c r="AA168" i="17"/>
  <c r="Z168" i="17" s="1"/>
  <c r="Y168" i="17" s="1"/>
  <c r="G172" i="17"/>
  <c r="BZ172" i="6" s="1"/>
  <c r="G180" i="17"/>
  <c r="BZ180" i="6" s="1"/>
  <c r="AA184" i="17"/>
  <c r="Z184" i="17" s="1"/>
  <c r="Y184" i="17" s="1"/>
  <c r="G184" i="17"/>
  <c r="BZ184" i="6" s="1"/>
  <c r="G212" i="17"/>
  <c r="BZ212" i="6" s="1"/>
  <c r="H212" i="17"/>
  <c r="H252" i="17"/>
  <c r="G252" i="17"/>
  <c r="BZ252" i="6" s="1"/>
  <c r="J209" i="17"/>
  <c r="I209" i="17"/>
  <c r="G23" i="17"/>
  <c r="BZ23" i="6" s="1"/>
  <c r="H23" i="17"/>
  <c r="G35" i="17"/>
  <c r="BZ35" i="6" s="1"/>
  <c r="H35" i="17"/>
  <c r="AA39" i="17"/>
  <c r="Z39" i="17" s="1"/>
  <c r="Y39" i="17" s="1"/>
  <c r="G39" i="17"/>
  <c r="BZ39" i="6" s="1"/>
  <c r="H39" i="17"/>
  <c r="G63" i="17"/>
  <c r="BZ63" i="6" s="1"/>
  <c r="AA63" i="17"/>
  <c r="Z63" i="17" s="1"/>
  <c r="Y63" i="17" s="1"/>
  <c r="H63" i="17"/>
  <c r="G67" i="17"/>
  <c r="BZ67" i="6" s="1"/>
  <c r="H67" i="17"/>
  <c r="AA83" i="17"/>
  <c r="Z83" i="17" s="1"/>
  <c r="Y83" i="17" s="1"/>
  <c r="G83" i="17"/>
  <c r="BZ83" i="6" s="1"/>
  <c r="H83" i="17"/>
  <c r="G99" i="17"/>
  <c r="BZ99" i="6" s="1"/>
  <c r="H99" i="17"/>
  <c r="G103" i="17"/>
  <c r="BZ103" i="6" s="1"/>
  <c r="AA103" i="17"/>
  <c r="Z103" i="17" s="1"/>
  <c r="Y103" i="17" s="1"/>
  <c r="G107" i="17"/>
  <c r="BZ107" i="6" s="1"/>
  <c r="H107" i="17"/>
  <c r="H151" i="17"/>
  <c r="G151" i="17"/>
  <c r="BZ151" i="6" s="1"/>
  <c r="G195" i="17"/>
  <c r="BZ195" i="6" s="1"/>
  <c r="H195" i="17"/>
  <c r="AA211" i="17"/>
  <c r="Z211" i="17" s="1"/>
  <c r="Y211" i="17" s="1"/>
  <c r="H211" i="17"/>
  <c r="G211" i="17"/>
  <c r="BZ211" i="6" s="1"/>
  <c r="I215" i="17"/>
  <c r="J215" i="17"/>
  <c r="J239" i="17"/>
  <c r="I239" i="17"/>
  <c r="J323" i="17"/>
  <c r="I323" i="17"/>
  <c r="G371" i="17"/>
  <c r="BZ371" i="6" s="1"/>
  <c r="H371" i="17"/>
  <c r="G375" i="17"/>
  <c r="BZ375" i="6" s="1"/>
  <c r="AA375" i="17"/>
  <c r="Z375" i="17" s="1"/>
  <c r="Y375" i="17" s="1"/>
  <c r="H375" i="17"/>
  <c r="J217" i="17"/>
  <c r="I217" i="17"/>
  <c r="J60" i="17"/>
  <c r="I60" i="17"/>
  <c r="AA34" i="17"/>
  <c r="Z34" i="17" s="1"/>
  <c r="Y34" i="17" s="1"/>
  <c r="G34" i="17"/>
  <c r="BZ34" i="6" s="1"/>
  <c r="H34" i="17"/>
  <c r="G58" i="17"/>
  <c r="BZ58" i="6" s="1"/>
  <c r="H58" i="17"/>
  <c r="G62" i="17"/>
  <c r="BZ62" i="6" s="1"/>
  <c r="AA62" i="17"/>
  <c r="Z62" i="17" s="1"/>
  <c r="Y62" i="17" s="1"/>
  <c r="H62" i="17"/>
  <c r="G66" i="17"/>
  <c r="BZ66" i="6" s="1"/>
  <c r="H66" i="17"/>
  <c r="AA70" i="17"/>
  <c r="Z70" i="17" s="1"/>
  <c r="Y70" i="17" s="1"/>
  <c r="G70" i="17"/>
  <c r="BZ70" i="6" s="1"/>
  <c r="H70" i="17"/>
  <c r="H74" i="17"/>
  <c r="G74" i="17"/>
  <c r="BZ74" i="6" s="1"/>
  <c r="AA78" i="17"/>
  <c r="Z78" i="17" s="1"/>
  <c r="Y78" i="17" s="1"/>
  <c r="H78" i="17"/>
  <c r="G78" i="17"/>
  <c r="BZ78" i="6" s="1"/>
  <c r="G122" i="17"/>
  <c r="BZ122" i="6" s="1"/>
  <c r="H122" i="17"/>
  <c r="G142" i="17"/>
  <c r="BZ142" i="6" s="1"/>
  <c r="AA142" i="17"/>
  <c r="Z142" i="17" s="1"/>
  <c r="Y142" i="17" s="1"/>
  <c r="H142" i="17"/>
  <c r="J150" i="17"/>
  <c r="I150" i="17"/>
  <c r="G162" i="17"/>
  <c r="BZ162" i="6" s="1"/>
  <c r="H162" i="17"/>
  <c r="J214" i="17"/>
  <c r="I214" i="17"/>
  <c r="AA238" i="17"/>
  <c r="Z238" i="17" s="1"/>
  <c r="Y238" i="17" s="1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AA254" i="17"/>
  <c r="Z254" i="17" s="1"/>
  <c r="Y254" i="17" s="1"/>
  <c r="G258" i="17"/>
  <c r="BZ258" i="6" s="1"/>
  <c r="H258" i="17"/>
  <c r="G286" i="17"/>
  <c r="BZ286" i="6" s="1"/>
  <c r="H286" i="17"/>
  <c r="AA294" i="17"/>
  <c r="Z294" i="17" s="1"/>
  <c r="Y294" i="17" s="1"/>
  <c r="G294" i="17"/>
  <c r="BZ294" i="6" s="1"/>
  <c r="H294" i="17"/>
  <c r="G310" i="17"/>
  <c r="BZ310" i="6" s="1"/>
  <c r="H310" i="17"/>
  <c r="AA310" i="17"/>
  <c r="Z310" i="17" s="1"/>
  <c r="Y310" i="17" s="1"/>
  <c r="G314" i="17"/>
  <c r="BZ314" i="6" s="1"/>
  <c r="H314" i="17"/>
  <c r="G338" i="17"/>
  <c r="BZ338" i="6" s="1"/>
  <c r="AA338" i="17"/>
  <c r="Z338" i="17" s="1"/>
  <c r="Y338" i="17" s="1"/>
  <c r="H338" i="17"/>
  <c r="G342" i="17"/>
  <c r="BZ342" i="6" s="1"/>
  <c r="H342" i="17"/>
  <c r="AA342" i="17"/>
  <c r="Z342" i="17" s="1"/>
  <c r="Y342" i="17" s="1"/>
  <c r="G370" i="17"/>
  <c r="BZ370" i="6" s="1"/>
  <c r="H370" i="17"/>
  <c r="AA370" i="17"/>
  <c r="Z370" i="17" s="1"/>
  <c r="Y370" i="17" s="1"/>
  <c r="AA374" i="17"/>
  <c r="Z374" i="17" s="1"/>
  <c r="Y374" i="17" s="1"/>
  <c r="H374" i="17"/>
  <c r="G374" i="17"/>
  <c r="BZ374" i="6" s="1"/>
  <c r="J381" i="15"/>
  <c r="J382" i="15"/>
  <c r="J383" i="15"/>
  <c r="J157" i="17"/>
  <c r="I157" i="17"/>
  <c r="G193" i="17"/>
  <c r="BZ193" i="6" s="1"/>
  <c r="H193" i="17"/>
  <c r="AA193" i="17"/>
  <c r="Z193" i="17" s="1"/>
  <c r="Y193" i="17" s="1"/>
  <c r="G229" i="17"/>
  <c r="BZ229" i="6" s="1"/>
  <c r="AA229" i="17"/>
  <c r="Z229" i="17" s="1"/>
  <c r="Y229" i="17" s="1"/>
  <c r="H229" i="17"/>
  <c r="G237" i="17"/>
  <c r="BZ237" i="6" s="1"/>
  <c r="AA237" i="17"/>
  <c r="Z237" i="17" s="1"/>
  <c r="Y237" i="17" s="1"/>
  <c r="H237" i="17"/>
  <c r="G253" i="17"/>
  <c r="BZ253" i="6" s="1"/>
  <c r="AA253" i="17"/>
  <c r="Z253" i="17" s="1"/>
  <c r="Y253" i="17" s="1"/>
  <c r="H253" i="17"/>
  <c r="G281" i="17"/>
  <c r="BZ281" i="6" s="1"/>
  <c r="H281" i="17"/>
  <c r="G313" i="17"/>
  <c r="BZ313" i="6" s="1"/>
  <c r="H313" i="17"/>
  <c r="G317" i="17"/>
  <c r="BZ317" i="6" s="1"/>
  <c r="H317" i="17"/>
  <c r="AA317" i="17"/>
  <c r="Z317" i="17" s="1"/>
  <c r="Y317" i="17" s="1"/>
  <c r="G325" i="17"/>
  <c r="BZ325" i="6" s="1"/>
  <c r="H325" i="17"/>
  <c r="AA325" i="17"/>
  <c r="Z325" i="17" s="1"/>
  <c r="Y325" i="17" s="1"/>
  <c r="I329" i="17"/>
  <c r="J329" i="17"/>
  <c r="G353" i="17"/>
  <c r="BZ353" i="6" s="1"/>
  <c r="H353" i="17"/>
  <c r="I361" i="17"/>
  <c r="J361" i="17"/>
  <c r="J373" i="17"/>
  <c r="I373" i="17"/>
  <c r="G377" i="17"/>
  <c r="BZ377" i="6" s="1"/>
  <c r="H377" i="17"/>
  <c r="U12" i="20"/>
  <c r="T379" i="18"/>
  <c r="S379" i="18" s="1"/>
  <c r="R379" i="18" s="1"/>
  <c r="P379" i="18" s="1"/>
  <c r="D373" i="18"/>
  <c r="E373" i="18" s="1"/>
  <c r="W373" i="18"/>
  <c r="S369" i="18"/>
  <c r="R369" i="18" s="1"/>
  <c r="P369" i="18" s="1"/>
  <c r="V369" i="18" s="1"/>
  <c r="S363" i="18"/>
  <c r="R363" i="18" s="1"/>
  <c r="P363" i="18" s="1"/>
  <c r="S357" i="18"/>
  <c r="R357" i="18" s="1"/>
  <c r="P357" i="18" s="1"/>
  <c r="V357" i="18" s="1"/>
  <c r="S353" i="18"/>
  <c r="R353" i="18" s="1"/>
  <c r="P353" i="18" s="1"/>
  <c r="V353" i="18" s="1"/>
  <c r="S345" i="18"/>
  <c r="R345" i="18" s="1"/>
  <c r="P345" i="18" s="1"/>
  <c r="V345" i="18" s="1"/>
  <c r="S323" i="18"/>
  <c r="R323" i="18" s="1"/>
  <c r="P323" i="18" s="1"/>
  <c r="V323" i="18" s="1"/>
  <c r="S315" i="18"/>
  <c r="R315" i="18" s="1"/>
  <c r="P315" i="18" s="1"/>
  <c r="V315" i="18" s="1"/>
  <c r="S311" i="18"/>
  <c r="R311" i="18" s="1"/>
  <c r="P311" i="18" s="1"/>
  <c r="V311" i="18" s="1"/>
  <c r="S303" i="18"/>
  <c r="R303" i="18" s="1"/>
  <c r="P303" i="18" s="1"/>
  <c r="V303" i="18" s="1"/>
  <c r="W301" i="18"/>
  <c r="D301" i="18"/>
  <c r="E301" i="18" s="1"/>
  <c r="S293" i="18"/>
  <c r="R293" i="18" s="1"/>
  <c r="P293" i="18" s="1"/>
  <c r="V293" i="18" s="1"/>
  <c r="S289" i="18"/>
  <c r="R289" i="18" s="1"/>
  <c r="P289" i="18" s="1"/>
  <c r="V289" i="18" s="1"/>
  <c r="D285" i="18"/>
  <c r="E285" i="18" s="1"/>
  <c r="W285" i="18"/>
  <c r="S279" i="18"/>
  <c r="R279" i="18" s="1"/>
  <c r="P279" i="18" s="1"/>
  <c r="V279" i="18" s="1"/>
  <c r="S275" i="18"/>
  <c r="R275" i="18" s="1"/>
  <c r="P275" i="18" s="1"/>
  <c r="V275" i="18" s="1"/>
  <c r="S267" i="18"/>
  <c r="R267" i="18" s="1"/>
  <c r="P267" i="18" s="1"/>
  <c r="V267" i="18" s="1"/>
  <c r="S263" i="18"/>
  <c r="R263" i="18" s="1"/>
  <c r="P263" i="18" s="1"/>
  <c r="V263" i="18" s="1"/>
  <c r="S261" i="18"/>
  <c r="R261" i="18" s="1"/>
  <c r="P261" i="18" s="1"/>
  <c r="V261" i="18" s="1"/>
  <c r="S257" i="18"/>
  <c r="R257" i="18" s="1"/>
  <c r="P257" i="18" s="1"/>
  <c r="V257" i="18" s="1"/>
  <c r="S245" i="18"/>
  <c r="R245" i="18" s="1"/>
  <c r="P245" i="18" s="1"/>
  <c r="V245" i="18" s="1"/>
  <c r="S233" i="18"/>
  <c r="R233" i="18" s="1"/>
  <c r="P233" i="18" s="1"/>
  <c r="V233" i="18" s="1"/>
  <c r="S227" i="18"/>
  <c r="R227" i="18" s="1"/>
  <c r="P227" i="18" s="1"/>
  <c r="V227" i="18" s="1"/>
  <c r="W217" i="18"/>
  <c r="D217" i="18"/>
  <c r="E217" i="18" s="1"/>
  <c r="D213" i="18"/>
  <c r="E213" i="18" s="1"/>
  <c r="W213" i="18"/>
  <c r="W209" i="18"/>
  <c r="D209" i="18"/>
  <c r="E209" i="18" s="1"/>
  <c r="D201" i="18"/>
  <c r="E201" i="18" s="1"/>
  <c r="W201" i="18"/>
  <c r="D197" i="18"/>
  <c r="E197" i="18" s="1"/>
  <c r="W197" i="18"/>
  <c r="S195" i="18"/>
  <c r="R195" i="18" s="1"/>
  <c r="P195" i="18" s="1"/>
  <c r="V195" i="18" s="1"/>
  <c r="W189" i="18"/>
  <c r="D189" i="18"/>
  <c r="E189" i="18" s="1"/>
  <c r="S181" i="18"/>
  <c r="R181" i="18" s="1"/>
  <c r="P181" i="18" s="1"/>
  <c r="V181" i="18" s="1"/>
  <c r="S179" i="18"/>
  <c r="R179" i="18" s="1"/>
  <c r="P179" i="18" s="1"/>
  <c r="V179" i="18" s="1"/>
  <c r="D177" i="18"/>
  <c r="E177" i="18" s="1"/>
  <c r="W177" i="18"/>
  <c r="S171" i="18"/>
  <c r="R171" i="18" s="1"/>
  <c r="P171" i="18" s="1"/>
  <c r="V171" i="18" s="1"/>
  <c r="D169" i="18"/>
  <c r="E169" i="18" s="1"/>
  <c r="W169" i="18"/>
  <c r="S163" i="18"/>
  <c r="R163" i="18" s="1"/>
  <c r="P163" i="18" s="1"/>
  <c r="V163" i="18" s="1"/>
  <c r="S155" i="18"/>
  <c r="R155" i="18" s="1"/>
  <c r="P155" i="18" s="1"/>
  <c r="V155" i="18" s="1"/>
  <c r="S147" i="18"/>
  <c r="R147" i="18" s="1"/>
  <c r="P147" i="18" s="1"/>
  <c r="V147" i="18" s="1"/>
  <c r="D145" i="18"/>
  <c r="E145" i="18" s="1"/>
  <c r="W145" i="18"/>
  <c r="S133" i="18"/>
  <c r="R133" i="18" s="1"/>
  <c r="P133" i="18" s="1"/>
  <c r="V133" i="18" s="1"/>
  <c r="D125" i="18"/>
  <c r="E125" i="18" s="1"/>
  <c r="W125" i="18"/>
  <c r="W101" i="18"/>
  <c r="D101" i="18"/>
  <c r="E101" i="18" s="1"/>
  <c r="S97" i="18"/>
  <c r="R97" i="18" s="1"/>
  <c r="P97" i="18" s="1"/>
  <c r="V97" i="18" s="1"/>
  <c r="W91" i="18"/>
  <c r="D81" i="18"/>
  <c r="E81" i="18" s="1"/>
  <c r="W81" i="18"/>
  <c r="S79" i="18"/>
  <c r="R79" i="18" s="1"/>
  <c r="P79" i="18" s="1"/>
  <c r="V79" i="18" s="1"/>
  <c r="W77" i="18"/>
  <c r="D77" i="18"/>
  <c r="E77" i="18" s="1"/>
  <c r="S57" i="18"/>
  <c r="R57" i="18" s="1"/>
  <c r="P57" i="18" s="1"/>
  <c r="V57" i="18" s="1"/>
  <c r="S51" i="18"/>
  <c r="R51" i="18" s="1"/>
  <c r="P51" i="18" s="1"/>
  <c r="V51" i="18" s="1"/>
  <c r="S39" i="18"/>
  <c r="R39" i="18" s="1"/>
  <c r="P39" i="18" s="1"/>
  <c r="V39" i="18" s="1"/>
  <c r="S37" i="18"/>
  <c r="R37" i="18" s="1"/>
  <c r="P37" i="18" s="1"/>
  <c r="V37" i="18" s="1"/>
  <c r="H172" i="17"/>
  <c r="H103" i="17"/>
  <c r="F352" i="17"/>
  <c r="G255" i="17"/>
  <c r="BZ255" i="6" s="1"/>
  <c r="H255" i="17"/>
  <c r="G263" i="17"/>
  <c r="BZ263" i="6" s="1"/>
  <c r="H263" i="17"/>
  <c r="G279" i="17"/>
  <c r="BZ279" i="6" s="1"/>
  <c r="AA279" i="17"/>
  <c r="Z279" i="17" s="1"/>
  <c r="Y279" i="17" s="1"/>
  <c r="H279" i="17"/>
  <c r="AA311" i="17"/>
  <c r="Z311" i="17" s="1"/>
  <c r="Y311" i="17" s="1"/>
  <c r="G311" i="17"/>
  <c r="BZ311" i="6" s="1"/>
  <c r="H311" i="17"/>
  <c r="F194" i="17"/>
  <c r="J236" i="17"/>
  <c r="I236" i="17"/>
  <c r="I328" i="17"/>
  <c r="J328" i="17"/>
  <c r="G340" i="17"/>
  <c r="BZ340" i="6" s="1"/>
  <c r="H340" i="17"/>
  <c r="I159" i="17"/>
  <c r="J159" i="17"/>
  <c r="F247" i="17"/>
  <c r="I335" i="17"/>
  <c r="J335" i="17"/>
  <c r="G170" i="17"/>
  <c r="BZ170" i="6" s="1"/>
  <c r="H170" i="17"/>
  <c r="H186" i="17"/>
  <c r="G186" i="17"/>
  <c r="BZ186" i="6" s="1"/>
  <c r="I268" i="17" l="1"/>
  <c r="J268" i="17"/>
  <c r="J356" i="17"/>
  <c r="P85" i="18"/>
  <c r="V85" i="18" s="1"/>
  <c r="I218" i="17"/>
  <c r="J218" i="17"/>
  <c r="J360" i="17"/>
  <c r="I360" i="17"/>
  <c r="P149" i="18"/>
  <c r="D72" i="7" s="1"/>
  <c r="AA345" i="17"/>
  <c r="Z345" i="17" s="1"/>
  <c r="Y345" i="17" s="1"/>
  <c r="H345" i="17"/>
  <c r="G345" i="17"/>
  <c r="BZ345" i="6" s="1"/>
  <c r="AA305" i="17"/>
  <c r="Z305" i="17" s="1"/>
  <c r="Y305" i="17" s="1"/>
  <c r="H305" i="17"/>
  <c r="G305" i="17"/>
  <c r="BZ305" i="6" s="1"/>
  <c r="AA273" i="17"/>
  <c r="Z273" i="17" s="1"/>
  <c r="Y273" i="17" s="1"/>
  <c r="H273" i="17"/>
  <c r="G273" i="17"/>
  <c r="BZ273" i="6" s="1"/>
  <c r="H257" i="17"/>
  <c r="G257" i="17"/>
  <c r="BZ257" i="6" s="1"/>
  <c r="AA257" i="17"/>
  <c r="Z257" i="17" s="1"/>
  <c r="Y257" i="17" s="1"/>
  <c r="H201" i="17"/>
  <c r="G201" i="17"/>
  <c r="BZ201" i="6" s="1"/>
  <c r="AA201" i="17"/>
  <c r="Z201" i="17" s="1"/>
  <c r="Y201" i="17" s="1"/>
  <c r="G177" i="17"/>
  <c r="BZ177" i="6" s="1"/>
  <c r="AA177" i="17"/>
  <c r="Z177" i="17" s="1"/>
  <c r="Y177" i="17" s="1"/>
  <c r="H177" i="17"/>
  <c r="H153" i="17"/>
  <c r="AA153" i="17"/>
  <c r="Z153" i="17" s="1"/>
  <c r="Y153" i="17" s="1"/>
  <c r="G153" i="17"/>
  <c r="BZ153" i="6" s="1"/>
  <c r="AA137" i="17"/>
  <c r="Z137" i="17" s="1"/>
  <c r="Y137" i="17" s="1"/>
  <c r="G137" i="17"/>
  <c r="BZ137" i="6" s="1"/>
  <c r="H137" i="17"/>
  <c r="AA97" i="17"/>
  <c r="Z97" i="17" s="1"/>
  <c r="Y97" i="17" s="1"/>
  <c r="H97" i="17"/>
  <c r="G97" i="17"/>
  <c r="BZ97" i="6" s="1"/>
  <c r="G57" i="17"/>
  <c r="BZ57" i="6" s="1"/>
  <c r="H57" i="17"/>
  <c r="AA57" i="17"/>
  <c r="Z57" i="17" s="1"/>
  <c r="Y57" i="17" s="1"/>
  <c r="V16" i="17"/>
  <c r="F16" i="17" s="1"/>
  <c r="G350" i="17"/>
  <c r="BZ350" i="6" s="1"/>
  <c r="AA350" i="17"/>
  <c r="Z350" i="17" s="1"/>
  <c r="Y350" i="17" s="1"/>
  <c r="H326" i="17"/>
  <c r="G326" i="17"/>
  <c r="BZ326" i="6" s="1"/>
  <c r="AA326" i="17"/>
  <c r="Z326" i="17" s="1"/>
  <c r="Y326" i="17" s="1"/>
  <c r="AA262" i="17"/>
  <c r="Z262" i="17" s="1"/>
  <c r="Y262" i="17" s="1"/>
  <c r="G262" i="17"/>
  <c r="BZ262" i="6" s="1"/>
  <c r="H262" i="17"/>
  <c r="H351" i="17"/>
  <c r="G351" i="17"/>
  <c r="BZ351" i="6" s="1"/>
  <c r="AA351" i="17"/>
  <c r="Z351" i="17" s="1"/>
  <c r="Y351" i="17" s="1"/>
  <c r="AA295" i="17"/>
  <c r="Z295" i="17" s="1"/>
  <c r="Y295" i="17" s="1"/>
  <c r="G295" i="17"/>
  <c r="BZ295" i="6" s="1"/>
  <c r="G231" i="17"/>
  <c r="BZ231" i="6" s="1"/>
  <c r="AA231" i="17"/>
  <c r="Z231" i="17" s="1"/>
  <c r="Y231" i="17" s="1"/>
  <c r="H231" i="17"/>
  <c r="AA207" i="17"/>
  <c r="Z207" i="17" s="1"/>
  <c r="Y207" i="17" s="1"/>
  <c r="G207" i="17"/>
  <c r="BZ207" i="6" s="1"/>
  <c r="H207" i="17"/>
  <c r="H143" i="17"/>
  <c r="G143" i="17"/>
  <c r="BZ143" i="6" s="1"/>
  <c r="AA143" i="17"/>
  <c r="Z143" i="17" s="1"/>
  <c r="Y143" i="17" s="1"/>
  <c r="V119" i="17"/>
  <c r="D59" i="7"/>
  <c r="AA95" i="17"/>
  <c r="Z95" i="17" s="1"/>
  <c r="Y95" i="17" s="1"/>
  <c r="G95" i="17"/>
  <c r="BZ95" i="6" s="1"/>
  <c r="H95" i="17"/>
  <c r="H79" i="17"/>
  <c r="AA79" i="17"/>
  <c r="Z79" i="17" s="1"/>
  <c r="Y79" i="17" s="1"/>
  <c r="G79" i="17"/>
  <c r="BZ79" i="6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H316" i="17"/>
  <c r="G316" i="17"/>
  <c r="BZ316" i="6" s="1"/>
  <c r="AA292" i="17"/>
  <c r="Z292" i="17" s="1"/>
  <c r="Y292" i="17" s="1"/>
  <c r="H292" i="17"/>
  <c r="G292" i="17"/>
  <c r="BZ292" i="6" s="1"/>
  <c r="G276" i="17"/>
  <c r="BZ276" i="6" s="1"/>
  <c r="AA276" i="17"/>
  <c r="Z276" i="17" s="1"/>
  <c r="Y276" i="17" s="1"/>
  <c r="H206" i="17"/>
  <c r="G206" i="17"/>
  <c r="BZ206" i="6" s="1"/>
  <c r="AA206" i="17"/>
  <c r="Z206" i="17" s="1"/>
  <c r="Y206" i="17" s="1"/>
  <c r="AA190" i="17"/>
  <c r="Z190" i="17" s="1"/>
  <c r="Y190" i="17" s="1"/>
  <c r="G190" i="17"/>
  <c r="BZ190" i="6" s="1"/>
  <c r="H190" i="17"/>
  <c r="V174" i="17"/>
  <c r="F174" i="17"/>
  <c r="H158" i="17"/>
  <c r="AA158" i="17"/>
  <c r="Z158" i="17" s="1"/>
  <c r="Y158" i="17" s="1"/>
  <c r="G158" i="17"/>
  <c r="BZ158" i="6" s="1"/>
  <c r="H118" i="17"/>
  <c r="G118" i="17"/>
  <c r="BZ118" i="6" s="1"/>
  <c r="AA118" i="17"/>
  <c r="Z118" i="17" s="1"/>
  <c r="Y118" i="17" s="1"/>
  <c r="G102" i="17"/>
  <c r="BZ102" i="6" s="1"/>
  <c r="H102" i="17"/>
  <c r="AA102" i="17"/>
  <c r="Z102" i="17" s="1"/>
  <c r="Y102" i="17" s="1"/>
  <c r="G54" i="17"/>
  <c r="BZ54" i="6" s="1"/>
  <c r="AA54" i="17"/>
  <c r="Z54" i="17" s="1"/>
  <c r="Y54" i="17" s="1"/>
  <c r="H54" i="17"/>
  <c r="AA38" i="17"/>
  <c r="Z38" i="17" s="1"/>
  <c r="Y38" i="17" s="1"/>
  <c r="H38" i="17"/>
  <c r="G38" i="17"/>
  <c r="BZ38" i="6" s="1"/>
  <c r="V22" i="17"/>
  <c r="F22" i="17" s="1"/>
  <c r="G220" i="17"/>
  <c r="BZ220" i="6" s="1"/>
  <c r="AA220" i="17"/>
  <c r="Z220" i="17" s="1"/>
  <c r="Y220" i="17" s="1"/>
  <c r="H220" i="17"/>
  <c r="AA156" i="17"/>
  <c r="Z156" i="17" s="1"/>
  <c r="Y156" i="17" s="1"/>
  <c r="G156" i="17"/>
  <c r="BZ156" i="6" s="1"/>
  <c r="H156" i="17"/>
  <c r="AA108" i="17"/>
  <c r="Z108" i="17" s="1"/>
  <c r="Y108" i="17" s="1"/>
  <c r="H108" i="17"/>
  <c r="G108" i="17"/>
  <c r="BZ108" i="6" s="1"/>
  <c r="H68" i="17"/>
  <c r="G68" i="17"/>
  <c r="BZ68" i="6" s="1"/>
  <c r="AA68" i="17"/>
  <c r="Z68" i="17" s="1"/>
  <c r="Y68" i="17" s="1"/>
  <c r="G36" i="17"/>
  <c r="BZ36" i="6" s="1"/>
  <c r="H36" i="17"/>
  <c r="AA36" i="17"/>
  <c r="Z36" i="17" s="1"/>
  <c r="Y36" i="17" s="1"/>
  <c r="H276" i="17"/>
  <c r="AA316" i="17"/>
  <c r="Z316" i="17" s="1"/>
  <c r="Y316" i="17" s="1"/>
  <c r="G357" i="17"/>
  <c r="BZ357" i="6" s="1"/>
  <c r="AA357" i="17"/>
  <c r="Z357" i="17" s="1"/>
  <c r="Y357" i="17" s="1"/>
  <c r="H357" i="17"/>
  <c r="D66" i="7"/>
  <c r="V333" i="17"/>
  <c r="AA269" i="17"/>
  <c r="Z269" i="17" s="1"/>
  <c r="Y269" i="17" s="1"/>
  <c r="G269" i="17"/>
  <c r="BZ269" i="6" s="1"/>
  <c r="H269" i="17"/>
  <c r="V245" i="17"/>
  <c r="F245" i="17" s="1"/>
  <c r="G213" i="17"/>
  <c r="BZ213" i="6" s="1"/>
  <c r="AA213" i="17"/>
  <c r="Z213" i="17" s="1"/>
  <c r="Y213" i="17" s="1"/>
  <c r="H213" i="17"/>
  <c r="G197" i="17"/>
  <c r="BZ197" i="6" s="1"/>
  <c r="H197" i="17"/>
  <c r="AA197" i="17"/>
  <c r="Z197" i="17" s="1"/>
  <c r="Y197" i="17" s="1"/>
  <c r="H173" i="17"/>
  <c r="AA173" i="17"/>
  <c r="Z173" i="17" s="1"/>
  <c r="Y173" i="17" s="1"/>
  <c r="G173" i="17"/>
  <c r="BZ173" i="6" s="1"/>
  <c r="D60" i="7"/>
  <c r="V149" i="17"/>
  <c r="G125" i="17"/>
  <c r="BZ125" i="6" s="1"/>
  <c r="H125" i="17"/>
  <c r="AA125" i="17"/>
  <c r="Z125" i="17" s="1"/>
  <c r="Y125" i="17" s="1"/>
  <c r="H101" i="17"/>
  <c r="G101" i="17"/>
  <c r="BZ101" i="6" s="1"/>
  <c r="AA101" i="17"/>
  <c r="Z101" i="17" s="1"/>
  <c r="Y101" i="17" s="1"/>
  <c r="AA53" i="17"/>
  <c r="Z53" i="17" s="1"/>
  <c r="Y53" i="17" s="1"/>
  <c r="H53" i="17"/>
  <c r="G53" i="17"/>
  <c r="BZ53" i="6" s="1"/>
  <c r="V29" i="17"/>
  <c r="F29" i="17" s="1"/>
  <c r="D56" i="7"/>
  <c r="AA346" i="17"/>
  <c r="Z346" i="17" s="1"/>
  <c r="Y346" i="17" s="1"/>
  <c r="G346" i="17"/>
  <c r="BZ346" i="6" s="1"/>
  <c r="H346" i="17"/>
  <c r="H322" i="17"/>
  <c r="AA322" i="17"/>
  <c r="Z322" i="17" s="1"/>
  <c r="Y322" i="17" s="1"/>
  <c r="G322" i="17"/>
  <c r="BZ322" i="6" s="1"/>
  <c r="G266" i="17"/>
  <c r="BZ266" i="6" s="1"/>
  <c r="H266" i="17"/>
  <c r="AA266" i="17"/>
  <c r="Z266" i="17" s="1"/>
  <c r="Y266" i="17" s="1"/>
  <c r="AG379" i="17"/>
  <c r="AF379" i="17" s="1"/>
  <c r="AD379" i="17" s="1"/>
  <c r="AA379" i="17" s="1"/>
  <c r="Z379" i="17" s="1"/>
  <c r="Y379" i="17" s="1"/>
  <c r="G321" i="17"/>
  <c r="BZ321" i="6" s="1"/>
  <c r="H321" i="17"/>
  <c r="AA321" i="17"/>
  <c r="Z321" i="17" s="1"/>
  <c r="Y321" i="17" s="1"/>
  <c r="AA289" i="17"/>
  <c r="Z289" i="17" s="1"/>
  <c r="Y289" i="17" s="1"/>
  <c r="G289" i="17"/>
  <c r="BZ289" i="6" s="1"/>
  <c r="H289" i="17"/>
  <c r="AA265" i="17"/>
  <c r="Z265" i="17" s="1"/>
  <c r="Y265" i="17" s="1"/>
  <c r="H265" i="17"/>
  <c r="G265" i="17"/>
  <c r="BZ265" i="6" s="1"/>
  <c r="G233" i="17"/>
  <c r="BZ233" i="6" s="1"/>
  <c r="AA233" i="17"/>
  <c r="Z233" i="17" s="1"/>
  <c r="Y233" i="17" s="1"/>
  <c r="H233" i="17"/>
  <c r="H185" i="17"/>
  <c r="AA185" i="17"/>
  <c r="Z185" i="17" s="1"/>
  <c r="Y185" i="17" s="1"/>
  <c r="G185" i="17"/>
  <c r="BZ185" i="6" s="1"/>
  <c r="AA169" i="17"/>
  <c r="Z169" i="17" s="1"/>
  <c r="Y169" i="17" s="1"/>
  <c r="H169" i="17"/>
  <c r="G169" i="17"/>
  <c r="BZ169" i="6" s="1"/>
  <c r="H145" i="17"/>
  <c r="G145" i="17"/>
  <c r="BZ145" i="6" s="1"/>
  <c r="AA145" i="17"/>
  <c r="Z145" i="17" s="1"/>
  <c r="Y145" i="17" s="1"/>
  <c r="G121" i="17"/>
  <c r="BZ121" i="6" s="1"/>
  <c r="H121" i="17"/>
  <c r="AA121" i="17"/>
  <c r="Z121" i="17" s="1"/>
  <c r="Y121" i="17" s="1"/>
  <c r="G81" i="17"/>
  <c r="BZ81" i="6" s="1"/>
  <c r="AA81" i="17"/>
  <c r="Z81" i="17" s="1"/>
  <c r="Y81" i="17" s="1"/>
  <c r="H81" i="17"/>
  <c r="AA41" i="17"/>
  <c r="Z41" i="17" s="1"/>
  <c r="Y41" i="17" s="1"/>
  <c r="H41" i="17"/>
  <c r="G41" i="17"/>
  <c r="BZ41" i="6" s="1"/>
  <c r="H366" i="17"/>
  <c r="AA366" i="17"/>
  <c r="Z366" i="17" s="1"/>
  <c r="Y366" i="17" s="1"/>
  <c r="G366" i="17"/>
  <c r="BZ366" i="6" s="1"/>
  <c r="V334" i="17"/>
  <c r="F334" i="17" s="1"/>
  <c r="G318" i="17"/>
  <c r="BZ318" i="6" s="1"/>
  <c r="H318" i="17"/>
  <c r="AA318" i="17"/>
  <c r="Z318" i="17" s="1"/>
  <c r="Y318" i="17" s="1"/>
  <c r="H246" i="17"/>
  <c r="G246" i="17"/>
  <c r="BZ246" i="6" s="1"/>
  <c r="AA246" i="17"/>
  <c r="Z246" i="17" s="1"/>
  <c r="Y246" i="17" s="1"/>
  <c r="G367" i="17"/>
  <c r="BZ367" i="6" s="1"/>
  <c r="AA367" i="17"/>
  <c r="Z367" i="17" s="1"/>
  <c r="Y367" i="17" s="1"/>
  <c r="H367" i="17"/>
  <c r="AA303" i="17"/>
  <c r="Z303" i="17" s="1"/>
  <c r="Y303" i="17" s="1"/>
  <c r="H303" i="17"/>
  <c r="G303" i="17"/>
  <c r="BZ303" i="6" s="1"/>
  <c r="AA239" i="17"/>
  <c r="Z239" i="17" s="1"/>
  <c r="Y239" i="17" s="1"/>
  <c r="G239" i="17"/>
  <c r="BZ239" i="6" s="1"/>
  <c r="AA223" i="17"/>
  <c r="Z223" i="17" s="1"/>
  <c r="Y223" i="17" s="1"/>
  <c r="G223" i="17"/>
  <c r="BZ223" i="6" s="1"/>
  <c r="H223" i="17"/>
  <c r="V183" i="17"/>
  <c r="F183" i="17" s="1"/>
  <c r="H135" i="17"/>
  <c r="AA135" i="17"/>
  <c r="Z135" i="17" s="1"/>
  <c r="Y135" i="17" s="1"/>
  <c r="G135" i="17"/>
  <c r="BZ135" i="6" s="1"/>
  <c r="H111" i="17"/>
  <c r="AA111" i="17"/>
  <c r="Z111" i="17" s="1"/>
  <c r="Y111" i="17" s="1"/>
  <c r="G111" i="17"/>
  <c r="BZ111" i="6" s="1"/>
  <c r="G87" i="17"/>
  <c r="BZ87" i="6" s="1"/>
  <c r="H87" i="17"/>
  <c r="AA87" i="17"/>
  <c r="Z87" i="17" s="1"/>
  <c r="Y87" i="17" s="1"/>
  <c r="H71" i="17"/>
  <c r="AA71" i="17"/>
  <c r="Z71" i="17" s="1"/>
  <c r="Y71" i="17" s="1"/>
  <c r="G71" i="17"/>
  <c r="BZ71" i="6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H308" i="17"/>
  <c r="G308" i="17"/>
  <c r="BZ308" i="6" s="1"/>
  <c r="AA308" i="17"/>
  <c r="Z308" i="17" s="1"/>
  <c r="Y308" i="17" s="1"/>
  <c r="AA284" i="17"/>
  <c r="Z284" i="17" s="1"/>
  <c r="Y284" i="17" s="1"/>
  <c r="H284" i="17"/>
  <c r="G284" i="17"/>
  <c r="BZ284" i="6" s="1"/>
  <c r="G260" i="17"/>
  <c r="BZ260" i="6" s="1"/>
  <c r="AA260" i="17"/>
  <c r="Z260" i="17" s="1"/>
  <c r="Y260" i="17" s="1"/>
  <c r="H260" i="17"/>
  <c r="G198" i="17"/>
  <c r="BZ198" i="6" s="1"/>
  <c r="AA198" i="17"/>
  <c r="Z198" i="17" s="1"/>
  <c r="Y198" i="17" s="1"/>
  <c r="H198" i="17"/>
  <c r="H182" i="17"/>
  <c r="G182" i="17"/>
  <c r="BZ182" i="6" s="1"/>
  <c r="AA182" i="17"/>
  <c r="Z182" i="17" s="1"/>
  <c r="Y182" i="17" s="1"/>
  <c r="G166" i="17"/>
  <c r="BZ166" i="6" s="1"/>
  <c r="AA166" i="17"/>
  <c r="Z166" i="17" s="1"/>
  <c r="Y166" i="17" s="1"/>
  <c r="H166" i="17"/>
  <c r="V126" i="17"/>
  <c r="F126" i="17" s="1"/>
  <c r="G110" i="17"/>
  <c r="BZ110" i="6" s="1"/>
  <c r="H110" i="17"/>
  <c r="AA110" i="17"/>
  <c r="Z110" i="17" s="1"/>
  <c r="Y110" i="17" s="1"/>
  <c r="AA94" i="17"/>
  <c r="Z94" i="17" s="1"/>
  <c r="Y94" i="17" s="1"/>
  <c r="G94" i="17"/>
  <c r="BZ94" i="6" s="1"/>
  <c r="H94" i="17"/>
  <c r="AA46" i="17"/>
  <c r="Z46" i="17" s="1"/>
  <c r="Y46" i="17" s="1"/>
  <c r="G46" i="17"/>
  <c r="BZ46" i="6" s="1"/>
  <c r="H46" i="17"/>
  <c r="AA30" i="17"/>
  <c r="Z30" i="17" s="1"/>
  <c r="Y30" i="17" s="1"/>
  <c r="H30" i="17"/>
  <c r="G30" i="17"/>
  <c r="BZ30" i="6" s="1"/>
  <c r="AA228" i="17"/>
  <c r="Z228" i="17" s="1"/>
  <c r="Y228" i="17" s="1"/>
  <c r="G228" i="17"/>
  <c r="BZ228" i="6" s="1"/>
  <c r="H228" i="17"/>
  <c r="G196" i="17"/>
  <c r="BZ196" i="6" s="1"/>
  <c r="AA196" i="17"/>
  <c r="Z196" i="17" s="1"/>
  <c r="Y196" i="17" s="1"/>
  <c r="H196" i="17"/>
  <c r="AA116" i="17"/>
  <c r="Z116" i="17" s="1"/>
  <c r="Y116" i="17" s="1"/>
  <c r="G116" i="17"/>
  <c r="BZ116" i="6" s="1"/>
  <c r="H116" i="17"/>
  <c r="G92" i="17"/>
  <c r="BZ92" i="6" s="1"/>
  <c r="AA92" i="17"/>
  <c r="Z92" i="17" s="1"/>
  <c r="Y92" i="17" s="1"/>
  <c r="H92" i="17"/>
  <c r="AA44" i="17"/>
  <c r="Z44" i="17" s="1"/>
  <c r="Y44" i="17" s="1"/>
  <c r="G44" i="17"/>
  <c r="BZ44" i="6" s="1"/>
  <c r="H44" i="17"/>
  <c r="AH383" i="17"/>
  <c r="AG15" i="17"/>
  <c r="AH382" i="17"/>
  <c r="AH381" i="17"/>
  <c r="V365" i="17"/>
  <c r="F365" i="17" s="1"/>
  <c r="G349" i="17"/>
  <c r="BZ349" i="6" s="1"/>
  <c r="AA349" i="17"/>
  <c r="Z349" i="17" s="1"/>
  <c r="Y349" i="17" s="1"/>
  <c r="H349" i="17"/>
  <c r="G277" i="17"/>
  <c r="BZ277" i="6" s="1"/>
  <c r="H277" i="17"/>
  <c r="AA277" i="17"/>
  <c r="Z277" i="17" s="1"/>
  <c r="Y277" i="17" s="1"/>
  <c r="V261" i="17"/>
  <c r="F261" i="17" s="1"/>
  <c r="AA221" i="17"/>
  <c r="Z221" i="17" s="1"/>
  <c r="Y221" i="17" s="1"/>
  <c r="H221" i="17"/>
  <c r="G221" i="17"/>
  <c r="BZ221" i="6" s="1"/>
  <c r="V205" i="17"/>
  <c r="G189" i="17"/>
  <c r="BZ189" i="6" s="1"/>
  <c r="H189" i="17"/>
  <c r="AA189" i="17"/>
  <c r="Z189" i="17" s="1"/>
  <c r="Y189" i="17" s="1"/>
  <c r="G165" i="17"/>
  <c r="BZ165" i="6" s="1"/>
  <c r="AA165" i="17"/>
  <c r="Z165" i="17" s="1"/>
  <c r="Y165" i="17" s="1"/>
  <c r="H165" i="17"/>
  <c r="G133" i="17"/>
  <c r="BZ133" i="6" s="1"/>
  <c r="AA133" i="17"/>
  <c r="Z133" i="17" s="1"/>
  <c r="Y133" i="17" s="1"/>
  <c r="H133" i="17"/>
  <c r="AA109" i="17"/>
  <c r="Z109" i="17" s="1"/>
  <c r="Y109" i="17" s="1"/>
  <c r="G109" i="17"/>
  <c r="BZ109" i="6" s="1"/>
  <c r="H109" i="17"/>
  <c r="G77" i="17"/>
  <c r="BZ77" i="6" s="1"/>
  <c r="AA77" i="17"/>
  <c r="Z77" i="17" s="1"/>
  <c r="Y77" i="17" s="1"/>
  <c r="H77" i="17"/>
  <c r="G37" i="17"/>
  <c r="BZ37" i="6" s="1"/>
  <c r="AA37" i="17"/>
  <c r="Z37" i="17" s="1"/>
  <c r="Y37" i="17" s="1"/>
  <c r="H37" i="17"/>
  <c r="AA354" i="17"/>
  <c r="Z354" i="17" s="1"/>
  <c r="Y354" i="17" s="1"/>
  <c r="G354" i="17"/>
  <c r="BZ354" i="6" s="1"/>
  <c r="H354" i="17"/>
  <c r="G330" i="17"/>
  <c r="BZ330" i="6" s="1"/>
  <c r="AA330" i="17"/>
  <c r="Z330" i="17" s="1"/>
  <c r="Y330" i="17" s="1"/>
  <c r="H330" i="17"/>
  <c r="G282" i="17"/>
  <c r="BZ282" i="6" s="1"/>
  <c r="AA282" i="17"/>
  <c r="Z282" i="17" s="1"/>
  <c r="Y282" i="17" s="1"/>
  <c r="H282" i="17"/>
  <c r="V363" i="17"/>
  <c r="F363" i="17" s="1"/>
  <c r="D67" i="7"/>
  <c r="H347" i="17"/>
  <c r="G347" i="17"/>
  <c r="BZ347" i="6" s="1"/>
  <c r="AA347" i="17"/>
  <c r="Z347" i="17" s="1"/>
  <c r="Y347" i="17" s="1"/>
  <c r="AA323" i="17"/>
  <c r="Z323" i="17" s="1"/>
  <c r="Y323" i="17" s="1"/>
  <c r="G323" i="17"/>
  <c r="BZ323" i="6" s="1"/>
  <c r="H307" i="17"/>
  <c r="G307" i="17"/>
  <c r="BZ307" i="6" s="1"/>
  <c r="AA307" i="17"/>
  <c r="Z307" i="17" s="1"/>
  <c r="Y307" i="17" s="1"/>
  <c r="V291" i="17"/>
  <c r="K64" i="19" s="1"/>
  <c r="F291" i="17"/>
  <c r="G275" i="17"/>
  <c r="BZ275" i="6" s="1"/>
  <c r="H275" i="17"/>
  <c r="AA275" i="17"/>
  <c r="Z275" i="17" s="1"/>
  <c r="Y275" i="17" s="1"/>
  <c r="V267" i="17"/>
  <c r="F267" i="17" s="1"/>
  <c r="AA251" i="17"/>
  <c r="Z251" i="17" s="1"/>
  <c r="Y251" i="17" s="1"/>
  <c r="H251" i="17"/>
  <c r="G251" i="17"/>
  <c r="BZ251" i="6" s="1"/>
  <c r="H243" i="17"/>
  <c r="G243" i="17"/>
  <c r="BZ243" i="6" s="1"/>
  <c r="AA243" i="17"/>
  <c r="Z243" i="17" s="1"/>
  <c r="Y243" i="17" s="1"/>
  <c r="H235" i="17"/>
  <c r="G235" i="17"/>
  <c r="BZ235" i="6" s="1"/>
  <c r="AA235" i="17"/>
  <c r="Z235" i="17" s="1"/>
  <c r="Y235" i="17" s="1"/>
  <c r="V227" i="17"/>
  <c r="I64" i="19" s="1"/>
  <c r="AA179" i="17"/>
  <c r="Z179" i="17" s="1"/>
  <c r="Y179" i="17" s="1"/>
  <c r="H179" i="17"/>
  <c r="G179" i="17"/>
  <c r="BZ179" i="6" s="1"/>
  <c r="G171" i="17"/>
  <c r="BZ171" i="6" s="1"/>
  <c r="H171" i="17"/>
  <c r="AA171" i="17"/>
  <c r="Z171" i="17" s="1"/>
  <c r="Y171" i="17" s="1"/>
  <c r="AA163" i="17"/>
  <c r="Z163" i="17" s="1"/>
  <c r="Y163" i="17" s="1"/>
  <c r="G163" i="17"/>
  <c r="BZ163" i="6" s="1"/>
  <c r="H163" i="17"/>
  <c r="V155" i="17"/>
  <c r="F155" i="17" s="1"/>
  <c r="AA147" i="17"/>
  <c r="Z147" i="17" s="1"/>
  <c r="Y147" i="17" s="1"/>
  <c r="G147" i="17"/>
  <c r="BZ147" i="6" s="1"/>
  <c r="H147" i="17"/>
  <c r="H131" i="17"/>
  <c r="AA131" i="17"/>
  <c r="Z131" i="17" s="1"/>
  <c r="Y131" i="17" s="1"/>
  <c r="G131" i="17"/>
  <c r="BZ131" i="6" s="1"/>
  <c r="G115" i="17"/>
  <c r="BZ115" i="6" s="1"/>
  <c r="AA115" i="17"/>
  <c r="Z115" i="17" s="1"/>
  <c r="Y115" i="17" s="1"/>
  <c r="H115" i="17"/>
  <c r="H91" i="17"/>
  <c r="G91" i="17"/>
  <c r="BZ91" i="6" s="1"/>
  <c r="AA91" i="17"/>
  <c r="Z91" i="17" s="1"/>
  <c r="Y91" i="17" s="1"/>
  <c r="AA75" i="17"/>
  <c r="Z75" i="17" s="1"/>
  <c r="Y75" i="17" s="1"/>
  <c r="G75" i="17"/>
  <c r="BZ75" i="6" s="1"/>
  <c r="H59" i="17"/>
  <c r="AA59" i="17"/>
  <c r="Z59" i="17" s="1"/>
  <c r="Y59" i="17" s="1"/>
  <c r="G59" i="17"/>
  <c r="BZ59" i="6" s="1"/>
  <c r="H51" i="17"/>
  <c r="AA51" i="17"/>
  <c r="Z51" i="17" s="1"/>
  <c r="Y51" i="17" s="1"/>
  <c r="G51" i="17"/>
  <c r="BZ51" i="6" s="1"/>
  <c r="H43" i="17"/>
  <c r="G43" i="17"/>
  <c r="BZ43" i="6" s="1"/>
  <c r="AA43" i="17"/>
  <c r="Z43" i="17" s="1"/>
  <c r="Y43" i="17" s="1"/>
  <c r="G27" i="17"/>
  <c r="BZ27" i="6" s="1"/>
  <c r="AA27" i="17"/>
  <c r="Z27" i="17" s="1"/>
  <c r="Y27" i="17" s="1"/>
  <c r="H27" i="17"/>
  <c r="G376" i="17"/>
  <c r="BZ376" i="6" s="1"/>
  <c r="H376" i="17"/>
  <c r="AA376" i="17"/>
  <c r="Z376" i="17" s="1"/>
  <c r="Y376" i="17" s="1"/>
  <c r="G360" i="17"/>
  <c r="BZ360" i="6" s="1"/>
  <c r="AA360" i="17"/>
  <c r="Z360" i="17" s="1"/>
  <c r="Y360" i="17" s="1"/>
  <c r="AA336" i="17"/>
  <c r="Z336" i="17" s="1"/>
  <c r="Y336" i="17" s="1"/>
  <c r="H336" i="17"/>
  <c r="G336" i="17"/>
  <c r="BZ336" i="6" s="1"/>
  <c r="G312" i="17"/>
  <c r="BZ312" i="6" s="1"/>
  <c r="AA312" i="17"/>
  <c r="Z312" i="17" s="1"/>
  <c r="Y312" i="17" s="1"/>
  <c r="H312" i="17"/>
  <c r="G296" i="17"/>
  <c r="BZ296" i="6" s="1"/>
  <c r="H296" i="17"/>
  <c r="AA296" i="17"/>
  <c r="Z296" i="17" s="1"/>
  <c r="Y296" i="17" s="1"/>
  <c r="AA280" i="17"/>
  <c r="Z280" i="17" s="1"/>
  <c r="Y280" i="17" s="1"/>
  <c r="G280" i="17"/>
  <c r="BZ280" i="6" s="1"/>
  <c r="D64" i="7"/>
  <c r="V272" i="17"/>
  <c r="F272" i="17" s="1"/>
  <c r="AA256" i="17"/>
  <c r="Z256" i="17" s="1"/>
  <c r="Y256" i="17" s="1"/>
  <c r="G256" i="17"/>
  <c r="BZ256" i="6" s="1"/>
  <c r="H256" i="17"/>
  <c r="H248" i="17"/>
  <c r="AA248" i="17"/>
  <c r="Z248" i="17" s="1"/>
  <c r="Y248" i="17" s="1"/>
  <c r="G248" i="17"/>
  <c r="BZ248" i="6" s="1"/>
  <c r="G234" i="17"/>
  <c r="BZ234" i="6" s="1"/>
  <c r="H234" i="17"/>
  <c r="AA234" i="17"/>
  <c r="Z234" i="17" s="1"/>
  <c r="Y234" i="17" s="1"/>
  <c r="AA218" i="17"/>
  <c r="Z218" i="17" s="1"/>
  <c r="Y218" i="17" s="1"/>
  <c r="G218" i="17"/>
  <c r="BZ218" i="6" s="1"/>
  <c r="D62" i="7"/>
  <c r="V210" i="17"/>
  <c r="F210" i="17" s="1"/>
  <c r="G202" i="17"/>
  <c r="BZ202" i="6" s="1"/>
  <c r="H202" i="17"/>
  <c r="AA202" i="17"/>
  <c r="Z202" i="17" s="1"/>
  <c r="Y202" i="17" s="1"/>
  <c r="G178" i="17"/>
  <c r="BZ178" i="6" s="1"/>
  <c r="H178" i="17"/>
  <c r="AA178" i="17"/>
  <c r="Z178" i="17" s="1"/>
  <c r="Y178" i="17" s="1"/>
  <c r="G146" i="17"/>
  <c r="BZ146" i="6" s="1"/>
  <c r="H146" i="17"/>
  <c r="AA146" i="17"/>
  <c r="Z146" i="17" s="1"/>
  <c r="Y146" i="17" s="1"/>
  <c r="G138" i="17"/>
  <c r="BZ138" i="6" s="1"/>
  <c r="AA138" i="17"/>
  <c r="Z138" i="17" s="1"/>
  <c r="Y138" i="17" s="1"/>
  <c r="H138" i="17"/>
  <c r="H130" i="17"/>
  <c r="G130" i="17"/>
  <c r="BZ130" i="6" s="1"/>
  <c r="AA130" i="17"/>
  <c r="Z130" i="17" s="1"/>
  <c r="Y130" i="17" s="1"/>
  <c r="G114" i="17"/>
  <c r="BZ114" i="6" s="1"/>
  <c r="AA114" i="17"/>
  <c r="Z114" i="17" s="1"/>
  <c r="Y114" i="17" s="1"/>
  <c r="H114" i="17"/>
  <c r="AA82" i="17"/>
  <c r="Z82" i="17" s="1"/>
  <c r="Y82" i="17" s="1"/>
  <c r="G82" i="17"/>
  <c r="BZ82" i="6" s="1"/>
  <c r="H82" i="17"/>
  <c r="G42" i="17"/>
  <c r="BZ42" i="6" s="1"/>
  <c r="H42" i="17"/>
  <c r="AA42" i="17"/>
  <c r="Z42" i="17" s="1"/>
  <c r="Y42" i="17" s="1"/>
  <c r="H26" i="17"/>
  <c r="AA26" i="17"/>
  <c r="Z26" i="17" s="1"/>
  <c r="Y26" i="17" s="1"/>
  <c r="G26" i="17"/>
  <c r="BZ26" i="6" s="1"/>
  <c r="AA216" i="17"/>
  <c r="Z216" i="17" s="1"/>
  <c r="Y216" i="17" s="1"/>
  <c r="H216" i="17"/>
  <c r="G216" i="17"/>
  <c r="BZ216" i="6" s="1"/>
  <c r="H208" i="17"/>
  <c r="AA208" i="17"/>
  <c r="Z208" i="17" s="1"/>
  <c r="Y208" i="17" s="1"/>
  <c r="G208" i="17"/>
  <c r="BZ208" i="6" s="1"/>
  <c r="G200" i="17"/>
  <c r="BZ200" i="6" s="1"/>
  <c r="AA200" i="17"/>
  <c r="Z200" i="17" s="1"/>
  <c r="Y200" i="17" s="1"/>
  <c r="H200" i="17"/>
  <c r="V176" i="17"/>
  <c r="F176" i="17" s="1"/>
  <c r="V152" i="17"/>
  <c r="F152" i="17" s="1"/>
  <c r="G136" i="17"/>
  <c r="BZ136" i="6" s="1"/>
  <c r="AA136" i="17"/>
  <c r="Z136" i="17" s="1"/>
  <c r="Y136" i="17" s="1"/>
  <c r="G128" i="17"/>
  <c r="BZ128" i="6" s="1"/>
  <c r="AA128" i="17"/>
  <c r="Z128" i="17" s="1"/>
  <c r="Y128" i="17" s="1"/>
  <c r="H128" i="17"/>
  <c r="D58" i="7"/>
  <c r="V88" i="17"/>
  <c r="G72" i="17"/>
  <c r="BZ72" i="6" s="1"/>
  <c r="AA72" i="17"/>
  <c r="Z72" i="17" s="1"/>
  <c r="Y72" i="17" s="1"/>
  <c r="H72" i="17"/>
  <c r="H64" i="17"/>
  <c r="AA64" i="17"/>
  <c r="Z64" i="17" s="1"/>
  <c r="Y64" i="17" s="1"/>
  <c r="G64" i="17"/>
  <c r="BZ64" i="6" s="1"/>
  <c r="V56" i="17"/>
  <c r="C64" i="19" s="1"/>
  <c r="G48" i="17"/>
  <c r="BZ48" i="6" s="1"/>
  <c r="AA48" i="17"/>
  <c r="Z48" i="17" s="1"/>
  <c r="Y48" i="17" s="1"/>
  <c r="H48" i="17"/>
  <c r="H32" i="17"/>
  <c r="AA32" i="17"/>
  <c r="Z32" i="17" s="1"/>
  <c r="Y32" i="17" s="1"/>
  <c r="G32" i="17"/>
  <c r="BZ32" i="6" s="1"/>
  <c r="H280" i="17"/>
  <c r="J300" i="17"/>
  <c r="I300" i="17"/>
  <c r="J136" i="16"/>
  <c r="I136" i="16"/>
  <c r="H136" i="17" s="1"/>
  <c r="U29" i="18"/>
  <c r="T29" i="18" s="1"/>
  <c r="S29" i="18" s="1"/>
  <c r="R29" i="18" s="1"/>
  <c r="P29" i="18" s="1"/>
  <c r="U61" i="18"/>
  <c r="T61" i="18" s="1"/>
  <c r="U93" i="18"/>
  <c r="T93" i="18" s="1"/>
  <c r="S93" i="18" s="1"/>
  <c r="R93" i="18" s="1"/>
  <c r="P93" i="18" s="1"/>
  <c r="V93" i="18" s="1"/>
  <c r="U125" i="18"/>
  <c r="T125" i="18" s="1"/>
  <c r="U157" i="18"/>
  <c r="T157" i="18" s="1"/>
  <c r="S157" i="18" s="1"/>
  <c r="R157" i="18" s="1"/>
  <c r="P157" i="18" s="1"/>
  <c r="V157" i="18" s="1"/>
  <c r="U189" i="18"/>
  <c r="T189" i="18" s="1"/>
  <c r="U221" i="18"/>
  <c r="T221" i="18" s="1"/>
  <c r="S221" i="18" s="1"/>
  <c r="R221" i="18" s="1"/>
  <c r="P221" i="18" s="1"/>
  <c r="V221" i="18" s="1"/>
  <c r="U253" i="18"/>
  <c r="T253" i="18" s="1"/>
  <c r="S253" i="18" s="1"/>
  <c r="R253" i="18" s="1"/>
  <c r="P253" i="18" s="1"/>
  <c r="V253" i="18" s="1"/>
  <c r="U285" i="18"/>
  <c r="T285" i="18" s="1"/>
  <c r="S285" i="18" s="1"/>
  <c r="R285" i="18" s="1"/>
  <c r="P285" i="18" s="1"/>
  <c r="V285" i="18" s="1"/>
  <c r="U317" i="18"/>
  <c r="T317" i="18" s="1"/>
  <c r="S317" i="18" s="1"/>
  <c r="R317" i="18" s="1"/>
  <c r="P317" i="18" s="1"/>
  <c r="V317" i="18" s="1"/>
  <c r="U349" i="18"/>
  <c r="T349" i="18" s="1"/>
  <c r="S349" i="18" s="1"/>
  <c r="R349" i="18" s="1"/>
  <c r="P349" i="18" s="1"/>
  <c r="V349" i="18" s="1"/>
  <c r="AA16" i="7"/>
  <c r="U45" i="18"/>
  <c r="T45" i="18" s="1"/>
  <c r="S45" i="18" s="1"/>
  <c r="R45" i="18" s="1"/>
  <c r="P45" i="18" s="1"/>
  <c r="V45" i="18" s="1"/>
  <c r="U77" i="18"/>
  <c r="T77" i="18" s="1"/>
  <c r="S77" i="18" s="1"/>
  <c r="R77" i="18" s="1"/>
  <c r="P77" i="18" s="1"/>
  <c r="V77" i="18" s="1"/>
  <c r="U109" i="18"/>
  <c r="T109" i="18" s="1"/>
  <c r="S109" i="18" s="1"/>
  <c r="R109" i="18" s="1"/>
  <c r="P109" i="18" s="1"/>
  <c r="V109" i="18" s="1"/>
  <c r="U141" i="18"/>
  <c r="T141" i="18" s="1"/>
  <c r="S141" i="18" s="1"/>
  <c r="R141" i="18" s="1"/>
  <c r="P141" i="18" s="1"/>
  <c r="V141" i="18" s="1"/>
  <c r="U173" i="18"/>
  <c r="T173" i="18" s="1"/>
  <c r="S173" i="18" s="1"/>
  <c r="R173" i="18" s="1"/>
  <c r="P173" i="18" s="1"/>
  <c r="V173" i="18" s="1"/>
  <c r="U205" i="18"/>
  <c r="T205" i="18" s="1"/>
  <c r="S205" i="18" s="1"/>
  <c r="R205" i="18" s="1"/>
  <c r="P205" i="18" s="1"/>
  <c r="V205" i="18" s="1"/>
  <c r="U237" i="18"/>
  <c r="T237" i="18" s="1"/>
  <c r="S237" i="18" s="1"/>
  <c r="R237" i="18" s="1"/>
  <c r="P237" i="18" s="1"/>
  <c r="V237" i="18" s="1"/>
  <c r="U269" i="18"/>
  <c r="T269" i="18" s="1"/>
  <c r="S269" i="18" s="1"/>
  <c r="R269" i="18" s="1"/>
  <c r="P269" i="18" s="1"/>
  <c r="V269" i="18" s="1"/>
  <c r="U301" i="18"/>
  <c r="T301" i="18" s="1"/>
  <c r="S301" i="18" s="1"/>
  <c r="R301" i="18" s="1"/>
  <c r="P301" i="18" s="1"/>
  <c r="V301" i="18" s="1"/>
  <c r="U333" i="18"/>
  <c r="T333" i="18" s="1"/>
  <c r="S333" i="18" s="1"/>
  <c r="R333" i="18" s="1"/>
  <c r="P333" i="18" s="1"/>
  <c r="U365" i="18"/>
  <c r="T365" i="18" s="1"/>
  <c r="S365" i="18" s="1"/>
  <c r="R365" i="18" s="1"/>
  <c r="P365" i="18" s="1"/>
  <c r="V365" i="18" s="1"/>
  <c r="T382" i="17"/>
  <c r="S15" i="17"/>
  <c r="T381" i="17"/>
  <c r="T383" i="17"/>
  <c r="I180" i="16"/>
  <c r="H180" i="17" s="1"/>
  <c r="J180" i="16"/>
  <c r="J350" i="16"/>
  <c r="I350" i="16"/>
  <c r="H350" i="17" s="1"/>
  <c r="AD274" i="18"/>
  <c r="AD202" i="18"/>
  <c r="AD102" i="18"/>
  <c r="AD282" i="18"/>
  <c r="AD186" i="18"/>
  <c r="AD106" i="18"/>
  <c r="AD265" i="18"/>
  <c r="AD356" i="18"/>
  <c r="AD312" i="18"/>
  <c r="AD383" i="16"/>
  <c r="AD381" i="16"/>
  <c r="AD382" i="16"/>
  <c r="V15" i="16"/>
  <c r="P382" i="16"/>
  <c r="F15" i="16"/>
  <c r="P381" i="16"/>
  <c r="P383" i="16"/>
  <c r="I380" i="17"/>
  <c r="H380" i="18" s="1"/>
  <c r="J380" i="17"/>
  <c r="I272" i="16"/>
  <c r="J272" i="16"/>
  <c r="AD374" i="18"/>
  <c r="P21" i="18"/>
  <c r="V21" i="18" s="1"/>
  <c r="P117" i="18"/>
  <c r="V117" i="18" s="1"/>
  <c r="AD338" i="18"/>
  <c r="AD120" i="18"/>
  <c r="AD88" i="18"/>
  <c r="AD32" i="18"/>
  <c r="AD346" i="18"/>
  <c r="AD244" i="18"/>
  <c r="AD64" i="18"/>
  <c r="AH11" i="7"/>
  <c r="U11" i="20" s="1"/>
  <c r="F373" i="18"/>
  <c r="U381" i="18"/>
  <c r="AD352" i="18"/>
  <c r="AD190" i="18"/>
  <c r="AD54" i="18"/>
  <c r="AD281" i="18"/>
  <c r="AD364" i="18"/>
  <c r="AD336" i="18"/>
  <c r="AD278" i="18"/>
  <c r="AD238" i="18"/>
  <c r="AD198" i="18"/>
  <c r="AD178" i="18"/>
  <c r="AD118" i="18"/>
  <c r="AD90" i="18"/>
  <c r="AD82" i="18"/>
  <c r="AD357" i="18"/>
  <c r="F113" i="18"/>
  <c r="G113" i="18" s="1"/>
  <c r="CA113" i="6" s="1"/>
  <c r="AD333" i="18"/>
  <c r="AD368" i="18"/>
  <c r="AA368" i="18" s="1"/>
  <c r="Z368" i="18" s="1"/>
  <c r="Y368" i="18" s="1"/>
  <c r="AD344" i="18"/>
  <c r="AD324" i="18"/>
  <c r="AD304" i="18"/>
  <c r="AD367" i="18"/>
  <c r="F213" i="18"/>
  <c r="F197" i="18"/>
  <c r="F85" i="18"/>
  <c r="AA85" i="18" s="1"/>
  <c r="Z85" i="18" s="1"/>
  <c r="Y85" i="18" s="1"/>
  <c r="P69" i="18"/>
  <c r="V69" i="18" s="1"/>
  <c r="P101" i="18"/>
  <c r="V101" i="18" s="1"/>
  <c r="D65" i="19" s="1"/>
  <c r="AE90" i="20"/>
  <c r="AD347" i="18"/>
  <c r="AE58" i="20"/>
  <c r="E12" i="19"/>
  <c r="AE74" i="20"/>
  <c r="AD316" i="18"/>
  <c r="AA316" i="18" s="1"/>
  <c r="Z316" i="18" s="1"/>
  <c r="Y316" i="18" s="1"/>
  <c r="AD365" i="18"/>
  <c r="AD345" i="18"/>
  <c r="AD41" i="18"/>
  <c r="AD169" i="18"/>
  <c r="AD372" i="18"/>
  <c r="AD360" i="18"/>
  <c r="AD348" i="18"/>
  <c r="AD340" i="18"/>
  <c r="AD328" i="18"/>
  <c r="AA328" i="18" s="1"/>
  <c r="Z328" i="18" s="1"/>
  <c r="Y328" i="18" s="1"/>
  <c r="AD320" i="18"/>
  <c r="AD308" i="18"/>
  <c r="AD300" i="18"/>
  <c r="AA300" i="18" s="1"/>
  <c r="Z300" i="18" s="1"/>
  <c r="Y300" i="18" s="1"/>
  <c r="V149" i="18"/>
  <c r="Q176" i="20"/>
  <c r="AE11" i="20"/>
  <c r="AE26" i="20"/>
  <c r="AE379" i="20"/>
  <c r="AE12" i="22" s="1"/>
  <c r="AE347" i="20"/>
  <c r="AE339" i="20"/>
  <c r="AE331" i="20"/>
  <c r="AE322" i="20"/>
  <c r="AE306" i="20"/>
  <c r="AE290" i="20"/>
  <c r="AE274" i="20"/>
  <c r="AE258" i="20"/>
  <c r="AE242" i="20"/>
  <c r="AE210" i="20"/>
  <c r="AE178" i="20"/>
  <c r="AE146" i="20"/>
  <c r="AE114" i="20"/>
  <c r="AE98" i="20"/>
  <c r="AE82" i="20"/>
  <c r="AE66" i="20"/>
  <c r="AE50" i="20"/>
  <c r="AE34" i="20"/>
  <c r="AE16" i="20"/>
  <c r="V379" i="18"/>
  <c r="W379" i="18" s="1"/>
  <c r="D39" i="19"/>
  <c r="AD261" i="18"/>
  <c r="AD229" i="18"/>
  <c r="AD53" i="18"/>
  <c r="AD375" i="18"/>
  <c r="AD355" i="18"/>
  <c r="AD339" i="18"/>
  <c r="AA339" i="18" s="1"/>
  <c r="Z339" i="18" s="1"/>
  <c r="Y339" i="18" s="1"/>
  <c r="W305" i="18"/>
  <c r="F201" i="18"/>
  <c r="AA201" i="18" s="1"/>
  <c r="Z201" i="18" s="1"/>
  <c r="Y201" i="18" s="1"/>
  <c r="F217" i="18"/>
  <c r="G217" i="18" s="1"/>
  <c r="CA217" i="6" s="1"/>
  <c r="F145" i="18"/>
  <c r="F177" i="18"/>
  <c r="W321" i="18"/>
  <c r="W297" i="18"/>
  <c r="W329" i="18"/>
  <c r="W361" i="18"/>
  <c r="F81" i="18"/>
  <c r="G81" i="18" s="1"/>
  <c r="CA81" i="6" s="1"/>
  <c r="F209" i="18"/>
  <c r="G209" i="18" s="1"/>
  <c r="CA209" i="6" s="1"/>
  <c r="F65" i="18"/>
  <c r="G65" i="18" s="1"/>
  <c r="CA65" i="6" s="1"/>
  <c r="V119" i="18"/>
  <c r="F169" i="18"/>
  <c r="AD322" i="18"/>
  <c r="AD284" i="18"/>
  <c r="AA284" i="18" s="1"/>
  <c r="Z284" i="18" s="1"/>
  <c r="Y284" i="18" s="1"/>
  <c r="AD248" i="18"/>
  <c r="AA248" i="18" s="1"/>
  <c r="Z248" i="18" s="1"/>
  <c r="Y248" i="18" s="1"/>
  <c r="AD160" i="18"/>
  <c r="AD124" i="18"/>
  <c r="AD84" i="18"/>
  <c r="AD264" i="18"/>
  <c r="AD212" i="18"/>
  <c r="AD192" i="18"/>
  <c r="AD44" i="18"/>
  <c r="AD69" i="18"/>
  <c r="AD21" i="18"/>
  <c r="AD371" i="18"/>
  <c r="AD363" i="18"/>
  <c r="AD351" i="18"/>
  <c r="AA351" i="18" s="1"/>
  <c r="Z351" i="18" s="1"/>
  <c r="Y351" i="18" s="1"/>
  <c r="AD343" i="18"/>
  <c r="AD335" i="18"/>
  <c r="Q311" i="20"/>
  <c r="Q364" i="20"/>
  <c r="Q247" i="20"/>
  <c r="W159" i="18"/>
  <c r="W215" i="18"/>
  <c r="W295" i="18"/>
  <c r="W367" i="18"/>
  <c r="AE376" i="20"/>
  <c r="AE372" i="20"/>
  <c r="AE368" i="20"/>
  <c r="AE364" i="20"/>
  <c r="AE360" i="20"/>
  <c r="AE356" i="20"/>
  <c r="AE352" i="20"/>
  <c r="AE348" i="20"/>
  <c r="AE344" i="20"/>
  <c r="AE340" i="20"/>
  <c r="AE336" i="20"/>
  <c r="AE332" i="20"/>
  <c r="AE328" i="20"/>
  <c r="AE324" i="20"/>
  <c r="AE316" i="20"/>
  <c r="AE308" i="20"/>
  <c r="AE300" i="20"/>
  <c r="AE292" i="20"/>
  <c r="AE284" i="20"/>
  <c r="AE276" i="20"/>
  <c r="AE268" i="20"/>
  <c r="AE260" i="20"/>
  <c r="AE252" i="20"/>
  <c r="AE244" i="20"/>
  <c r="AE230" i="20"/>
  <c r="AE214" i="20"/>
  <c r="AE198" i="20"/>
  <c r="AE182" i="20"/>
  <c r="AE166" i="20"/>
  <c r="AE150" i="20"/>
  <c r="AE134" i="20"/>
  <c r="AE118" i="20"/>
  <c r="AE102" i="20"/>
  <c r="AE94" i="20"/>
  <c r="AE86" i="20"/>
  <c r="AE78" i="20"/>
  <c r="AE70" i="20"/>
  <c r="AE62" i="20"/>
  <c r="AE54" i="20"/>
  <c r="AE46" i="20"/>
  <c r="AE38" i="20"/>
  <c r="AE30" i="20"/>
  <c r="AE22" i="20"/>
  <c r="Q343" i="20"/>
  <c r="Q279" i="20"/>
  <c r="Q215" i="20"/>
  <c r="D43" i="18"/>
  <c r="E43" i="18" s="1"/>
  <c r="F43" i="18" s="1"/>
  <c r="W59" i="18"/>
  <c r="W131" i="18"/>
  <c r="W31" i="18"/>
  <c r="D111" i="18"/>
  <c r="E111" i="18" s="1"/>
  <c r="F111" i="18" s="1"/>
  <c r="W207" i="18"/>
  <c r="D335" i="18"/>
  <c r="E335" i="18" s="1"/>
  <c r="F335" i="18" s="1"/>
  <c r="H335" i="18" s="1"/>
  <c r="W351" i="18"/>
  <c r="D27" i="18"/>
  <c r="E27" i="18" s="1"/>
  <c r="F27" i="18" s="1"/>
  <c r="AA27" i="18" s="1"/>
  <c r="Z27" i="18" s="1"/>
  <c r="Y27" i="18" s="1"/>
  <c r="D203" i="18"/>
  <c r="E203" i="18" s="1"/>
  <c r="F203" i="18" s="1"/>
  <c r="G203" i="18" s="1"/>
  <c r="CA203" i="6" s="1"/>
  <c r="D219" i="18"/>
  <c r="E219" i="18" s="1"/>
  <c r="F219" i="18" s="1"/>
  <c r="H219" i="18" s="1"/>
  <c r="D243" i="18"/>
  <c r="E243" i="18" s="1"/>
  <c r="F243" i="18" s="1"/>
  <c r="G243" i="18" s="1"/>
  <c r="CA243" i="6" s="1"/>
  <c r="W251" i="18"/>
  <c r="W307" i="18"/>
  <c r="W347" i="18"/>
  <c r="D343" i="18"/>
  <c r="E343" i="18" s="1"/>
  <c r="F343" i="18" s="1"/>
  <c r="G343" i="18" s="1"/>
  <c r="CA343" i="6" s="1"/>
  <c r="W316" i="18"/>
  <c r="Q372" i="20"/>
  <c r="Q356" i="20"/>
  <c r="Q327" i="20"/>
  <c r="Q295" i="20"/>
  <c r="Q263" i="20"/>
  <c r="Q231" i="20"/>
  <c r="Q199" i="20"/>
  <c r="Q376" i="20"/>
  <c r="Q368" i="20"/>
  <c r="Q360" i="20"/>
  <c r="Q351" i="20"/>
  <c r="Q335" i="20"/>
  <c r="Q319" i="20"/>
  <c r="Q303" i="20"/>
  <c r="Q287" i="20"/>
  <c r="Q271" i="20"/>
  <c r="Q255" i="20"/>
  <c r="Q239" i="20"/>
  <c r="Q223" i="20"/>
  <c r="Q207" i="20"/>
  <c r="Q17" i="20"/>
  <c r="Q116" i="20"/>
  <c r="Q142" i="20"/>
  <c r="Q158" i="20"/>
  <c r="Q172" i="20"/>
  <c r="Q180" i="20"/>
  <c r="Q188" i="20"/>
  <c r="Q193" i="20"/>
  <c r="Q197" i="20"/>
  <c r="Q200" i="20"/>
  <c r="Q202" i="20"/>
  <c r="Q204" i="20"/>
  <c r="Q206" i="20"/>
  <c r="Q208" i="20"/>
  <c r="Q210" i="20"/>
  <c r="Q212" i="20"/>
  <c r="Q214" i="20"/>
  <c r="Q216" i="20"/>
  <c r="Q218" i="20"/>
  <c r="Q220" i="20"/>
  <c r="Q222" i="20"/>
  <c r="Q224" i="20"/>
  <c r="Q226" i="20"/>
  <c r="Q228" i="20"/>
  <c r="Q230" i="20"/>
  <c r="Q232" i="20"/>
  <c r="Q234" i="20"/>
  <c r="Q236" i="20"/>
  <c r="Q238" i="20"/>
  <c r="Q240" i="20"/>
  <c r="Q242" i="20"/>
  <c r="Q244" i="20"/>
  <c r="Q246" i="20"/>
  <c r="Q248" i="20"/>
  <c r="Q250" i="20"/>
  <c r="Q252" i="20"/>
  <c r="Q254" i="20"/>
  <c r="Q256" i="20"/>
  <c r="Q258" i="20"/>
  <c r="Q260" i="20"/>
  <c r="Q262" i="20"/>
  <c r="Q264" i="20"/>
  <c r="Q266" i="20"/>
  <c r="Q268" i="20"/>
  <c r="Q270" i="20"/>
  <c r="Q272" i="20"/>
  <c r="Q274" i="20"/>
  <c r="Q276" i="20"/>
  <c r="Q278" i="20"/>
  <c r="Q280" i="20"/>
  <c r="Q282" i="20"/>
  <c r="Q284" i="20"/>
  <c r="Q286" i="20"/>
  <c r="Q288" i="20"/>
  <c r="Q290" i="20"/>
  <c r="Q292" i="20"/>
  <c r="Q294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134" i="20"/>
  <c r="Q166" i="20"/>
  <c r="Q184" i="20"/>
  <c r="Q195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7" i="20"/>
  <c r="AE111" i="20"/>
  <c r="AE115" i="20"/>
  <c r="AE119" i="20"/>
  <c r="AE123" i="20"/>
  <c r="AE127" i="20"/>
  <c r="AE131" i="20"/>
  <c r="AE135" i="20"/>
  <c r="AE139" i="20"/>
  <c r="AE143" i="20"/>
  <c r="AE147" i="20"/>
  <c r="AE151" i="20"/>
  <c r="AE155" i="20"/>
  <c r="AE159" i="20"/>
  <c r="AE163" i="20"/>
  <c r="AE167" i="20"/>
  <c r="AE171" i="20"/>
  <c r="AE175" i="20"/>
  <c r="AE179" i="20"/>
  <c r="AE183" i="20"/>
  <c r="AE187" i="20"/>
  <c r="AE191" i="20"/>
  <c r="AE195" i="20"/>
  <c r="AE199" i="20"/>
  <c r="AE203" i="20"/>
  <c r="AE207" i="20"/>
  <c r="AE211" i="20"/>
  <c r="AE215" i="20"/>
  <c r="AE219" i="20"/>
  <c r="AE223" i="20"/>
  <c r="AE227" i="20"/>
  <c r="AE231" i="20"/>
  <c r="AE235" i="20"/>
  <c r="AE239" i="20"/>
  <c r="U10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0" i="20"/>
  <c r="AE232" i="20"/>
  <c r="AE224" i="20"/>
  <c r="AE216" i="20"/>
  <c r="AE208" i="20"/>
  <c r="AE200" i="20"/>
  <c r="AE192" i="20"/>
  <c r="AE184" i="20"/>
  <c r="AE176" i="20"/>
  <c r="AE168" i="20"/>
  <c r="AE160" i="20"/>
  <c r="AE152" i="20"/>
  <c r="AE144" i="20"/>
  <c r="AE136" i="20"/>
  <c r="AE128" i="20"/>
  <c r="AE120" i="20"/>
  <c r="AE112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203" i="20"/>
  <c r="Q191" i="20"/>
  <c r="Q150" i="20"/>
  <c r="D283" i="18"/>
  <c r="E283" i="18" s="1"/>
  <c r="F283" i="18" s="1"/>
  <c r="G283" i="18" s="1"/>
  <c r="CA283" i="6" s="1"/>
  <c r="W368" i="18"/>
  <c r="W376" i="18"/>
  <c r="D19" i="18"/>
  <c r="E19" i="18" s="1"/>
  <c r="F19" i="18" s="1"/>
  <c r="G19" i="18" s="1"/>
  <c r="CA19" i="6" s="1"/>
  <c r="D362" i="18"/>
  <c r="E362" i="18" s="1"/>
  <c r="F362" i="18" s="1"/>
  <c r="G362" i="18" s="1"/>
  <c r="CA362" i="6" s="1"/>
  <c r="Q198" i="20"/>
  <c r="Q196" i="20"/>
  <c r="Q194" i="20"/>
  <c r="Q192" i="20"/>
  <c r="Q190" i="20"/>
  <c r="Q186" i="20"/>
  <c r="Q182" i="20"/>
  <c r="Q178" i="20"/>
  <c r="Q174" i="20"/>
  <c r="Q170" i="20"/>
  <c r="Q162" i="20"/>
  <c r="Q154" i="20"/>
  <c r="Q146" i="20"/>
  <c r="Q138" i="20"/>
  <c r="Q128" i="20"/>
  <c r="Q78" i="20"/>
  <c r="Q168" i="20"/>
  <c r="Q164" i="20"/>
  <c r="Q160" i="20"/>
  <c r="Q156" i="20"/>
  <c r="Q152" i="20"/>
  <c r="Q148" i="20"/>
  <c r="Q144" i="20"/>
  <c r="Q140" i="20"/>
  <c r="Q136" i="20"/>
  <c r="Q132" i="20"/>
  <c r="Q124" i="20"/>
  <c r="Q102" i="20"/>
  <c r="Q46" i="20"/>
  <c r="W85" i="18"/>
  <c r="W327" i="18"/>
  <c r="D69" i="18"/>
  <c r="E69" i="18" s="1"/>
  <c r="W127" i="18"/>
  <c r="D141" i="18"/>
  <c r="E141" i="18" s="1"/>
  <c r="D42" i="18"/>
  <c r="E42" i="18" s="1"/>
  <c r="F42" i="18" s="1"/>
  <c r="H139" i="17"/>
  <c r="I139" i="17" s="1"/>
  <c r="W170" i="18"/>
  <c r="W178" i="18"/>
  <c r="D186" i="18"/>
  <c r="E186" i="18" s="1"/>
  <c r="F186" i="18" s="1"/>
  <c r="AA186" i="18" s="1"/>
  <c r="Z186" i="18" s="1"/>
  <c r="Y186" i="18" s="1"/>
  <c r="D214" i="18"/>
  <c r="E214" i="18" s="1"/>
  <c r="F214" i="18" s="1"/>
  <c r="G214" i="18" s="1"/>
  <c r="CA214" i="6" s="1"/>
  <c r="W299" i="18"/>
  <c r="W94" i="18"/>
  <c r="D114" i="18"/>
  <c r="E114" i="18" s="1"/>
  <c r="F114" i="18" s="1"/>
  <c r="D246" i="18"/>
  <c r="E246" i="18" s="1"/>
  <c r="F246" i="18" s="1"/>
  <c r="G246" i="18" s="1"/>
  <c r="CA246" i="6" s="1"/>
  <c r="D61" i="18"/>
  <c r="E61" i="18" s="1"/>
  <c r="W117" i="18"/>
  <c r="D73" i="18"/>
  <c r="E73" i="18" s="1"/>
  <c r="F73" i="18" s="1"/>
  <c r="AA73" i="18" s="1"/>
  <c r="Z73" i="18" s="1"/>
  <c r="Y73" i="18" s="1"/>
  <c r="W123" i="18"/>
  <c r="W339" i="18"/>
  <c r="H47" i="17"/>
  <c r="I47" i="17" s="1"/>
  <c r="D108" i="18"/>
  <c r="E108" i="18" s="1"/>
  <c r="F108" i="18" s="1"/>
  <c r="D220" i="18"/>
  <c r="E220" i="18" s="1"/>
  <c r="F220" i="18" s="1"/>
  <c r="W248" i="18"/>
  <c r="W284" i="18"/>
  <c r="W113" i="18"/>
  <c r="G47" i="17"/>
  <c r="BZ47" i="6" s="1"/>
  <c r="D28" i="18"/>
  <c r="E28" i="18" s="1"/>
  <c r="F28" i="18" s="1"/>
  <c r="G28" i="18" s="1"/>
  <c r="CA28" i="6" s="1"/>
  <c r="D36" i="18"/>
  <c r="E36" i="18" s="1"/>
  <c r="F36" i="18" s="1"/>
  <c r="G36" i="18" s="1"/>
  <c r="CA36" i="6" s="1"/>
  <c r="W76" i="18"/>
  <c r="D70" i="7"/>
  <c r="D92" i="18"/>
  <c r="E92" i="18" s="1"/>
  <c r="F92" i="18" s="1"/>
  <c r="W128" i="18"/>
  <c r="W140" i="18"/>
  <c r="D164" i="18"/>
  <c r="E164" i="18" s="1"/>
  <c r="F164" i="18" s="1"/>
  <c r="G164" i="18" s="1"/>
  <c r="CA164" i="6" s="1"/>
  <c r="W204" i="18"/>
  <c r="D232" i="18"/>
  <c r="E232" i="18" s="1"/>
  <c r="F232" i="18" s="1"/>
  <c r="G232" i="18" s="1"/>
  <c r="CA232" i="6" s="1"/>
  <c r="D240" i="18"/>
  <c r="E240" i="18" s="1"/>
  <c r="F240" i="18" s="1"/>
  <c r="H240" i="18" s="1"/>
  <c r="D256" i="18"/>
  <c r="E256" i="18" s="1"/>
  <c r="F256" i="18" s="1"/>
  <c r="G256" i="18" s="1"/>
  <c r="CA256" i="6" s="1"/>
  <c r="D268" i="18"/>
  <c r="E268" i="18" s="1"/>
  <c r="F268" i="18" s="1"/>
  <c r="H268" i="18" s="1"/>
  <c r="W300" i="18"/>
  <c r="D320" i="18"/>
  <c r="E320" i="18" s="1"/>
  <c r="F320" i="18" s="1"/>
  <c r="W328" i="18"/>
  <c r="W344" i="18"/>
  <c r="D356" i="18"/>
  <c r="E356" i="18" s="1"/>
  <c r="F356" i="18" s="1"/>
  <c r="AA356" i="18" s="1"/>
  <c r="Z356" i="18" s="1"/>
  <c r="Y356" i="18" s="1"/>
  <c r="W65" i="18"/>
  <c r="AA139" i="17"/>
  <c r="Z139" i="17" s="1"/>
  <c r="Y139" i="17" s="1"/>
  <c r="D150" i="18"/>
  <c r="E150" i="18" s="1"/>
  <c r="F150" i="18" s="1"/>
  <c r="H150" i="18" s="1"/>
  <c r="W154" i="18"/>
  <c r="W158" i="18"/>
  <c r="D198" i="18"/>
  <c r="E198" i="18" s="1"/>
  <c r="F198" i="18" s="1"/>
  <c r="G198" i="18" s="1"/>
  <c r="CA198" i="6" s="1"/>
  <c r="D206" i="18"/>
  <c r="E206" i="18" s="1"/>
  <c r="F206" i="18" s="1"/>
  <c r="V210" i="18"/>
  <c r="D210" i="18" s="1"/>
  <c r="E210" i="18" s="1"/>
  <c r="F210" i="18" s="1"/>
  <c r="D282" i="18"/>
  <c r="E282" i="18" s="1"/>
  <c r="F282" i="18" s="1"/>
  <c r="G282" i="18" s="1"/>
  <c r="CA282" i="6" s="1"/>
  <c r="V302" i="18"/>
  <c r="W302" i="18" s="1"/>
  <c r="W306" i="18"/>
  <c r="D318" i="18"/>
  <c r="E318" i="18" s="1"/>
  <c r="F318" i="18" s="1"/>
  <c r="G318" i="18" s="1"/>
  <c r="CA318" i="6" s="1"/>
  <c r="D330" i="18"/>
  <c r="E330" i="18" s="1"/>
  <c r="F330" i="18" s="1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0" i="20"/>
  <c r="Q126" i="20"/>
  <c r="Q120" i="20"/>
  <c r="Q110" i="20"/>
  <c r="Q94" i="20"/>
  <c r="Q62" i="20"/>
  <c r="Q30" i="20"/>
  <c r="Q131" i="20"/>
  <c r="Q129" i="20"/>
  <c r="Q127" i="20"/>
  <c r="Q125" i="20"/>
  <c r="Q122" i="20"/>
  <c r="Q118" i="20"/>
  <c r="Q114" i="20"/>
  <c r="Q106" i="20"/>
  <c r="Q98" i="20"/>
  <c r="Q86" i="20"/>
  <c r="Q70" i="20"/>
  <c r="Q54" i="20"/>
  <c r="Q38" i="20"/>
  <c r="Q22" i="20"/>
  <c r="AH379" i="18"/>
  <c r="AI12" i="20"/>
  <c r="AI101" i="20" s="1"/>
  <c r="AH101" i="20" s="1"/>
  <c r="AG101" i="20" s="1"/>
  <c r="AF101" i="20" s="1"/>
  <c r="AD101" i="20" s="1"/>
  <c r="AG359" i="18"/>
  <c r="AF359" i="18" s="1"/>
  <c r="AD359" i="18" s="1"/>
  <c r="AG327" i="18"/>
  <c r="AF327" i="18" s="1"/>
  <c r="AD327" i="18" s="1"/>
  <c r="AA327" i="18" s="1"/>
  <c r="Z327" i="18" s="1"/>
  <c r="Y327" i="18" s="1"/>
  <c r="AG303" i="18"/>
  <c r="AF303" i="18" s="1"/>
  <c r="AD303" i="18" s="1"/>
  <c r="AG253" i="18"/>
  <c r="AF253" i="18" s="1"/>
  <c r="AD253" i="18" s="1"/>
  <c r="AG237" i="18"/>
  <c r="AF237" i="18" s="1"/>
  <c r="AD237" i="18" s="1"/>
  <c r="AG221" i="18"/>
  <c r="AF221" i="18" s="1"/>
  <c r="AD221" i="18" s="1"/>
  <c r="AG213" i="18"/>
  <c r="AF213" i="18" s="1"/>
  <c r="AD213" i="18" s="1"/>
  <c r="AG205" i="18"/>
  <c r="AF205" i="18" s="1"/>
  <c r="AD205" i="18" s="1"/>
  <c r="AG197" i="18"/>
  <c r="AF197" i="18" s="1"/>
  <c r="AD197" i="18" s="1"/>
  <c r="AG157" i="18"/>
  <c r="AF157" i="18" s="1"/>
  <c r="AD157" i="18" s="1"/>
  <c r="AG133" i="18"/>
  <c r="AF133" i="18" s="1"/>
  <c r="AD133" i="18" s="1"/>
  <c r="AG109" i="18"/>
  <c r="AF109" i="18" s="1"/>
  <c r="AD109" i="18" s="1"/>
  <c r="AG93" i="18"/>
  <c r="AF93" i="18" s="1"/>
  <c r="AD93" i="18" s="1"/>
  <c r="AG45" i="18"/>
  <c r="AF45" i="18" s="1"/>
  <c r="AD45" i="18" s="1"/>
  <c r="AG283" i="18"/>
  <c r="AF283" i="18" s="1"/>
  <c r="AD283" i="18" s="1"/>
  <c r="AG259" i="18"/>
  <c r="AF259" i="18" s="1"/>
  <c r="AD259" i="18" s="1"/>
  <c r="AG251" i="18"/>
  <c r="AF251" i="18" s="1"/>
  <c r="AD251" i="18" s="1"/>
  <c r="AA251" i="18" s="1"/>
  <c r="Z251" i="18" s="1"/>
  <c r="Y251" i="18" s="1"/>
  <c r="AG243" i="18"/>
  <c r="AF243" i="18" s="1"/>
  <c r="AD243" i="18" s="1"/>
  <c r="AG227" i="18"/>
  <c r="AF227" i="18" s="1"/>
  <c r="AD227" i="18" s="1"/>
  <c r="AG219" i="18"/>
  <c r="AF219" i="18" s="1"/>
  <c r="AD219" i="18" s="1"/>
  <c r="AG211" i="18"/>
  <c r="AF211" i="18" s="1"/>
  <c r="AD211" i="18" s="1"/>
  <c r="AG203" i="18"/>
  <c r="AF203" i="18" s="1"/>
  <c r="AD203" i="18" s="1"/>
  <c r="AG195" i="18"/>
  <c r="AF195" i="18" s="1"/>
  <c r="AD195" i="18" s="1"/>
  <c r="AG187" i="18"/>
  <c r="AF187" i="18" s="1"/>
  <c r="AD187" i="18" s="1"/>
  <c r="AG171" i="18"/>
  <c r="AF171" i="18" s="1"/>
  <c r="AD171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39" i="18"/>
  <c r="AF139" i="18" s="1"/>
  <c r="AD139" i="18" s="1"/>
  <c r="AG131" i="18"/>
  <c r="AF131" i="18" s="1"/>
  <c r="AD131" i="18" s="1"/>
  <c r="AA131" i="18" s="1"/>
  <c r="Z131" i="18" s="1"/>
  <c r="Y131" i="18" s="1"/>
  <c r="AG123" i="18"/>
  <c r="AF123" i="18" s="1"/>
  <c r="AD123" i="18" s="1"/>
  <c r="AA123" i="18" s="1"/>
  <c r="Z123" i="18" s="1"/>
  <c r="Y123" i="18" s="1"/>
  <c r="AG99" i="18"/>
  <c r="AF99" i="18" s="1"/>
  <c r="AD99" i="18" s="1"/>
  <c r="AG75" i="18"/>
  <c r="AF75" i="18" s="1"/>
  <c r="AD75" i="18" s="1"/>
  <c r="AG59" i="18"/>
  <c r="AF59" i="18" s="1"/>
  <c r="AD59" i="18" s="1"/>
  <c r="AA59" i="18" s="1"/>
  <c r="Z59" i="18" s="1"/>
  <c r="Y59" i="18" s="1"/>
  <c r="AG43" i="18"/>
  <c r="AF43" i="18" s="1"/>
  <c r="AD43" i="18" s="1"/>
  <c r="AG35" i="18"/>
  <c r="AF35" i="18" s="1"/>
  <c r="AD35" i="18" s="1"/>
  <c r="AI383" i="18"/>
  <c r="AH15" i="18"/>
  <c r="AI382" i="18"/>
  <c r="AI381" i="18"/>
  <c r="AD377" i="18"/>
  <c r="AD369" i="18"/>
  <c r="AD353" i="18"/>
  <c r="AD329" i="18"/>
  <c r="AA329" i="18" s="1"/>
  <c r="Z329" i="18" s="1"/>
  <c r="Y329" i="18" s="1"/>
  <c r="AD321" i="18"/>
  <c r="AA321" i="18" s="1"/>
  <c r="Z321" i="18" s="1"/>
  <c r="Y321" i="18" s="1"/>
  <c r="AD305" i="18"/>
  <c r="AA305" i="18" s="1"/>
  <c r="Z305" i="18" s="1"/>
  <c r="Y305" i="18" s="1"/>
  <c r="AD297" i="18"/>
  <c r="AA297" i="18" s="1"/>
  <c r="Z297" i="18" s="1"/>
  <c r="Y297" i="18" s="1"/>
  <c r="AD289" i="18"/>
  <c r="AD277" i="18"/>
  <c r="AD181" i="18"/>
  <c r="AD173" i="18"/>
  <c r="AD121" i="18"/>
  <c r="AD77" i="18"/>
  <c r="AD61" i="18"/>
  <c r="AD37" i="18"/>
  <c r="AD25" i="18"/>
  <c r="AD378" i="18"/>
  <c r="AD358" i="18"/>
  <c r="AD334" i="18"/>
  <c r="AD314" i="18"/>
  <c r="AD294" i="18"/>
  <c r="AD266" i="18"/>
  <c r="AD254" i="18"/>
  <c r="AD226" i="18"/>
  <c r="AD210" i="18"/>
  <c r="AD174" i="18"/>
  <c r="AD158" i="18"/>
  <c r="AA158" i="18" s="1"/>
  <c r="Z158" i="18" s="1"/>
  <c r="Y158" i="18" s="1"/>
  <c r="AD142" i="18"/>
  <c r="AD126" i="18"/>
  <c r="AD94" i="18"/>
  <c r="AA94" i="18" s="1"/>
  <c r="Z94" i="18" s="1"/>
  <c r="Y94" i="18" s="1"/>
  <c r="AD70" i="18"/>
  <c r="AD50" i="18"/>
  <c r="AD34" i="18"/>
  <c r="AD19" i="18"/>
  <c r="AD288" i="18"/>
  <c r="AD276" i="18"/>
  <c r="AD268" i="18"/>
  <c r="AD256" i="18"/>
  <c r="AD240" i="18"/>
  <c r="AD232" i="18"/>
  <c r="AD220" i="18"/>
  <c r="AD208" i="18"/>
  <c r="AD200" i="18"/>
  <c r="AD188" i="18"/>
  <c r="AD180" i="18"/>
  <c r="AD172" i="18"/>
  <c r="AD164" i="18"/>
  <c r="AD152" i="18"/>
  <c r="AD144" i="18"/>
  <c r="AD132" i="18"/>
  <c r="AD116" i="18"/>
  <c r="AD108" i="18"/>
  <c r="AD100" i="18"/>
  <c r="AD92" i="18"/>
  <c r="AD72" i="18"/>
  <c r="AD60" i="18"/>
  <c r="AD52" i="18"/>
  <c r="AD40" i="18"/>
  <c r="AD28" i="18"/>
  <c r="AD20" i="18"/>
  <c r="AD370" i="18"/>
  <c r="AD354" i="18"/>
  <c r="AD330" i="18"/>
  <c r="AD310" i="18"/>
  <c r="AD298" i="18"/>
  <c r="AD270" i="18"/>
  <c r="AD250" i="18"/>
  <c r="AD230" i="18"/>
  <c r="AD214" i="18"/>
  <c r="AD182" i="18"/>
  <c r="AD162" i="18"/>
  <c r="AD146" i="18"/>
  <c r="AD130" i="18"/>
  <c r="AD98" i="18"/>
  <c r="AD66" i="18"/>
  <c r="AD46" i="18"/>
  <c r="AD30" i="18"/>
  <c r="AG341" i="18"/>
  <c r="AF341" i="18" s="1"/>
  <c r="AD341" i="18" s="1"/>
  <c r="AG309" i="18"/>
  <c r="AF309" i="18" s="1"/>
  <c r="AD309" i="18" s="1"/>
  <c r="AG257" i="18"/>
  <c r="AF257" i="18" s="1"/>
  <c r="AD257" i="18" s="1"/>
  <c r="AG249" i="18"/>
  <c r="AF249" i="18" s="1"/>
  <c r="AD249" i="18" s="1"/>
  <c r="AG233" i="18"/>
  <c r="AF233" i="18" s="1"/>
  <c r="AD233" i="18" s="1"/>
  <c r="AG225" i="18"/>
  <c r="AF225" i="18" s="1"/>
  <c r="AD225" i="18" s="1"/>
  <c r="AG217" i="18"/>
  <c r="AF217" i="18" s="1"/>
  <c r="AD217" i="18" s="1"/>
  <c r="AG209" i="18"/>
  <c r="AF209" i="18" s="1"/>
  <c r="AD209" i="18" s="1"/>
  <c r="AG193" i="18"/>
  <c r="AF193" i="18" s="1"/>
  <c r="AD193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29" i="18"/>
  <c r="AF129" i="18" s="1"/>
  <c r="AD129" i="18" s="1"/>
  <c r="AG113" i="18"/>
  <c r="AF113" i="18" s="1"/>
  <c r="AD113" i="18" s="1"/>
  <c r="AA113" i="18" s="1"/>
  <c r="Z113" i="18" s="1"/>
  <c r="Y113" i="18" s="1"/>
  <c r="AG105" i="18"/>
  <c r="AF105" i="18" s="1"/>
  <c r="AD105" i="18" s="1"/>
  <c r="AG97" i="18"/>
  <c r="AF97" i="18" s="1"/>
  <c r="AD97" i="18" s="1"/>
  <c r="AG89" i="18"/>
  <c r="AF89" i="18" s="1"/>
  <c r="AD89" i="18" s="1"/>
  <c r="AG49" i="18"/>
  <c r="AF49" i="18" s="1"/>
  <c r="AD49" i="18" s="1"/>
  <c r="AG279" i="18"/>
  <c r="AF279" i="18" s="1"/>
  <c r="AD279" i="18" s="1"/>
  <c r="AG271" i="18"/>
  <c r="AF271" i="18" s="1"/>
  <c r="AD271" i="18" s="1"/>
  <c r="AG255" i="18"/>
  <c r="AF255" i="18" s="1"/>
  <c r="AD255" i="18" s="1"/>
  <c r="AG247" i="18"/>
  <c r="AF247" i="18" s="1"/>
  <c r="AD247" i="18" s="1"/>
  <c r="AG223" i="18"/>
  <c r="AF223" i="18" s="1"/>
  <c r="AD223" i="18" s="1"/>
  <c r="AG215" i="18"/>
  <c r="AF215" i="18" s="1"/>
  <c r="AD215" i="18" s="1"/>
  <c r="AA215" i="18" s="1"/>
  <c r="Z215" i="18" s="1"/>
  <c r="Y215" i="18" s="1"/>
  <c r="AG199" i="18"/>
  <c r="AF199" i="18" s="1"/>
  <c r="AD199" i="18" s="1"/>
  <c r="AG175" i="18"/>
  <c r="AF175" i="18" s="1"/>
  <c r="AD175" i="18" s="1"/>
  <c r="AG167" i="18"/>
  <c r="AF167" i="18" s="1"/>
  <c r="AD167" i="18" s="1"/>
  <c r="AG143" i="18"/>
  <c r="AF143" i="18" s="1"/>
  <c r="AD143" i="18" s="1"/>
  <c r="AG95" i="18"/>
  <c r="AF95" i="18" s="1"/>
  <c r="AD95" i="18" s="1"/>
  <c r="AG87" i="18"/>
  <c r="AF87" i="18" s="1"/>
  <c r="AD87" i="18" s="1"/>
  <c r="AG55" i="18"/>
  <c r="AF55" i="18" s="1"/>
  <c r="AD55" i="18" s="1"/>
  <c r="AG47" i="18"/>
  <c r="AF47" i="18" s="1"/>
  <c r="AD47" i="18" s="1"/>
  <c r="AG31" i="18"/>
  <c r="AF31" i="18" s="1"/>
  <c r="AD31" i="18" s="1"/>
  <c r="AA31" i="18" s="1"/>
  <c r="Z31" i="18" s="1"/>
  <c r="Y31" i="18" s="1"/>
  <c r="AG18" i="18"/>
  <c r="AF18" i="18" s="1"/>
  <c r="AD18" i="18" s="1"/>
  <c r="AD373" i="18"/>
  <c r="AA373" i="18" s="1"/>
  <c r="Z373" i="18" s="1"/>
  <c r="Y373" i="18" s="1"/>
  <c r="AD361" i="18"/>
  <c r="AA361" i="18" s="1"/>
  <c r="Z361" i="18" s="1"/>
  <c r="Y361" i="18" s="1"/>
  <c r="AD337" i="18"/>
  <c r="AD325" i="18"/>
  <c r="AD313" i="18"/>
  <c r="AD301" i="18"/>
  <c r="AD293" i="18"/>
  <c r="AD285" i="18"/>
  <c r="AD273" i="18"/>
  <c r="AD177" i="18"/>
  <c r="AD165" i="18"/>
  <c r="AD81" i="18"/>
  <c r="AD65" i="18"/>
  <c r="AD57" i="18"/>
  <c r="AD29" i="18"/>
  <c r="AD16" i="18"/>
  <c r="AD366" i="18"/>
  <c r="AD350" i="18"/>
  <c r="AD326" i="18"/>
  <c r="AD306" i="18"/>
  <c r="AA306" i="18" s="1"/>
  <c r="Z306" i="18" s="1"/>
  <c r="Y306" i="18" s="1"/>
  <c r="AD290" i="18"/>
  <c r="AD258" i="18"/>
  <c r="AD246" i="18"/>
  <c r="AD218" i="18"/>
  <c r="AD194" i="18"/>
  <c r="AD166" i="18"/>
  <c r="AD150" i="18"/>
  <c r="AD134" i="18"/>
  <c r="AD110" i="18"/>
  <c r="AD78" i="18"/>
  <c r="AD62" i="18"/>
  <c r="AD42" i="18"/>
  <c r="AD26" i="18"/>
  <c r="AD292" i="18"/>
  <c r="AD280" i="18"/>
  <c r="AD272" i="18"/>
  <c r="AD260" i="18"/>
  <c r="AD252" i="18"/>
  <c r="AD236" i="18"/>
  <c r="AD224" i="18"/>
  <c r="AD216" i="18"/>
  <c r="AD204" i="18"/>
  <c r="AA204" i="18" s="1"/>
  <c r="Z204" i="18" s="1"/>
  <c r="Y204" i="18" s="1"/>
  <c r="AD196" i="18"/>
  <c r="AD184" i="18"/>
  <c r="AD176" i="18"/>
  <c r="AD168" i="18"/>
  <c r="AD156" i="18"/>
  <c r="AD148" i="18"/>
  <c r="AD136" i="18"/>
  <c r="AD128" i="18"/>
  <c r="AA128" i="18" s="1"/>
  <c r="Z128" i="18" s="1"/>
  <c r="Y128" i="18" s="1"/>
  <c r="AD112" i="18"/>
  <c r="AD104" i="18"/>
  <c r="AD96" i="18"/>
  <c r="AD80" i="18"/>
  <c r="AD68" i="18"/>
  <c r="AD56" i="18"/>
  <c r="AD48" i="18"/>
  <c r="AD36" i="18"/>
  <c r="AD24" i="18"/>
  <c r="AD17" i="18"/>
  <c r="AD362" i="18"/>
  <c r="AD342" i="18"/>
  <c r="AD318" i="18"/>
  <c r="AD302" i="18"/>
  <c r="AD286" i="18"/>
  <c r="AD262" i="18"/>
  <c r="AD242" i="18"/>
  <c r="AD222" i="18"/>
  <c r="AD206" i="18"/>
  <c r="AD170" i="18"/>
  <c r="AA170" i="18" s="1"/>
  <c r="Z170" i="18" s="1"/>
  <c r="Y170" i="18" s="1"/>
  <c r="AD154" i="18"/>
  <c r="AA154" i="18" s="1"/>
  <c r="Z154" i="18" s="1"/>
  <c r="Y154" i="18" s="1"/>
  <c r="AD138" i="18"/>
  <c r="AD114" i="18"/>
  <c r="AD74" i="18"/>
  <c r="AD58" i="18"/>
  <c r="AD38" i="18"/>
  <c r="AD22" i="18"/>
  <c r="Q123" i="20"/>
  <c r="Q121" i="20"/>
  <c r="Q119" i="20"/>
  <c r="Q117" i="20"/>
  <c r="Q115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M64" i="19"/>
  <c r="Z124" i="17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W37" i="18"/>
  <c r="D37" i="18"/>
  <c r="E37" i="18" s="1"/>
  <c r="F37" i="18" s="1"/>
  <c r="W79" i="18"/>
  <c r="D79" i="18"/>
  <c r="E79" i="18" s="1"/>
  <c r="F79" i="18" s="1"/>
  <c r="D97" i="18"/>
  <c r="E97" i="18" s="1"/>
  <c r="F97" i="18" s="1"/>
  <c r="W97" i="18"/>
  <c r="W121" i="18"/>
  <c r="D121" i="18"/>
  <c r="E121" i="18" s="1"/>
  <c r="F121" i="18" s="1"/>
  <c r="W151" i="18"/>
  <c r="D151" i="18"/>
  <c r="E151" i="18" s="1"/>
  <c r="F151" i="18" s="1"/>
  <c r="D181" i="18"/>
  <c r="E181" i="18" s="1"/>
  <c r="F181" i="18" s="1"/>
  <c r="W181" i="18"/>
  <c r="D195" i="18"/>
  <c r="E195" i="18" s="1"/>
  <c r="F195" i="18" s="1"/>
  <c r="W195" i="18"/>
  <c r="W221" i="18"/>
  <c r="D221" i="18"/>
  <c r="E221" i="18" s="1"/>
  <c r="D237" i="18"/>
  <c r="E237" i="18" s="1"/>
  <c r="F237" i="18" s="1"/>
  <c r="W237" i="18"/>
  <c r="D247" i="18"/>
  <c r="E247" i="18" s="1"/>
  <c r="F247" i="18" s="1"/>
  <c r="W247" i="18"/>
  <c r="W265" i="18"/>
  <c r="D265" i="18"/>
  <c r="E265" i="18" s="1"/>
  <c r="F265" i="18" s="1"/>
  <c r="W275" i="18"/>
  <c r="D275" i="18"/>
  <c r="E275" i="18" s="1"/>
  <c r="F275" i="18" s="1"/>
  <c r="D293" i="18"/>
  <c r="E293" i="18" s="1"/>
  <c r="F293" i="18" s="1"/>
  <c r="W293" i="18"/>
  <c r="D315" i="18"/>
  <c r="E315" i="18" s="1"/>
  <c r="F315" i="18" s="1"/>
  <c r="W315" i="18"/>
  <c r="W353" i="18"/>
  <c r="D353" i="18"/>
  <c r="E353" i="18" s="1"/>
  <c r="F353" i="18" s="1"/>
  <c r="W365" i="18"/>
  <c r="D365" i="18"/>
  <c r="E365" i="18" s="1"/>
  <c r="W44" i="18"/>
  <c r="D44" i="18"/>
  <c r="E44" i="18" s="1"/>
  <c r="F44" i="18" s="1"/>
  <c r="W56" i="18"/>
  <c r="D56" i="18"/>
  <c r="E56" i="18" s="1"/>
  <c r="F56" i="18" s="1"/>
  <c r="W64" i="18"/>
  <c r="D64" i="18"/>
  <c r="E64" i="18" s="1"/>
  <c r="F64" i="18" s="1"/>
  <c r="D96" i="18"/>
  <c r="E96" i="18" s="1"/>
  <c r="F96" i="18" s="1"/>
  <c r="W96" i="18"/>
  <c r="W124" i="18"/>
  <c r="D124" i="18"/>
  <c r="E124" i="18" s="1"/>
  <c r="F124" i="18" s="1"/>
  <c r="D142" i="18"/>
  <c r="E142" i="18" s="1"/>
  <c r="F142" i="18" s="1"/>
  <c r="W142" i="18"/>
  <c r="D168" i="18"/>
  <c r="E168" i="18" s="1"/>
  <c r="F168" i="18" s="1"/>
  <c r="W168" i="18"/>
  <c r="D174" i="18"/>
  <c r="E174" i="18" s="1"/>
  <c r="F174" i="18" s="1"/>
  <c r="W174" i="18"/>
  <c r="D73" i="7"/>
  <c r="V180" i="18"/>
  <c r="W222" i="18"/>
  <c r="D222" i="18"/>
  <c r="E222" i="18" s="1"/>
  <c r="F222" i="18" s="1"/>
  <c r="W234" i="18"/>
  <c r="D234" i="18"/>
  <c r="E234" i="18" s="1"/>
  <c r="F234" i="18" s="1"/>
  <c r="W238" i="18"/>
  <c r="D238" i="18"/>
  <c r="E238" i="18" s="1"/>
  <c r="F238" i="18" s="1"/>
  <c r="D244" i="18"/>
  <c r="E244" i="18" s="1"/>
  <c r="F244" i="18" s="1"/>
  <c r="W244" i="18"/>
  <c r="D260" i="18"/>
  <c r="E260" i="18" s="1"/>
  <c r="F260" i="18" s="1"/>
  <c r="W260" i="18"/>
  <c r="D266" i="18"/>
  <c r="E266" i="18" s="1"/>
  <c r="F266" i="18" s="1"/>
  <c r="W266" i="18"/>
  <c r="D274" i="18"/>
  <c r="E274" i="18" s="1"/>
  <c r="F274" i="18" s="1"/>
  <c r="W274" i="18"/>
  <c r="W39" i="18"/>
  <c r="D39" i="18"/>
  <c r="E39" i="18" s="1"/>
  <c r="F39" i="18" s="1"/>
  <c r="W47" i="18"/>
  <c r="D47" i="18"/>
  <c r="E47" i="18" s="1"/>
  <c r="F47" i="18" s="1"/>
  <c r="D75" i="18"/>
  <c r="E75" i="18" s="1"/>
  <c r="F75" i="18" s="1"/>
  <c r="W75" i="18"/>
  <c r="W93" i="18"/>
  <c r="D93" i="18"/>
  <c r="E93" i="18" s="1"/>
  <c r="D115" i="18"/>
  <c r="E115" i="18" s="1"/>
  <c r="F115" i="18" s="1"/>
  <c r="W115" i="18"/>
  <c r="D133" i="18"/>
  <c r="E133" i="18" s="1"/>
  <c r="F133" i="18" s="1"/>
  <c r="W133" i="18"/>
  <c r="W137" i="18"/>
  <c r="D137" i="18"/>
  <c r="E137" i="18" s="1"/>
  <c r="F137" i="18" s="1"/>
  <c r="D143" i="18"/>
  <c r="E143" i="18" s="1"/>
  <c r="F143" i="18" s="1"/>
  <c r="W143" i="18"/>
  <c r="W155" i="18"/>
  <c r="D155" i="18"/>
  <c r="E155" i="18" s="1"/>
  <c r="F155" i="18" s="1"/>
  <c r="D167" i="18"/>
  <c r="E167" i="18" s="1"/>
  <c r="F167" i="18" s="1"/>
  <c r="W167" i="18"/>
  <c r="D187" i="18"/>
  <c r="E187" i="18" s="1"/>
  <c r="F187" i="18" s="1"/>
  <c r="W187" i="18"/>
  <c r="W223" i="18"/>
  <c r="D223" i="18"/>
  <c r="E223" i="18" s="1"/>
  <c r="F223" i="18" s="1"/>
  <c r="D233" i="18"/>
  <c r="E233" i="18" s="1"/>
  <c r="F233" i="18" s="1"/>
  <c r="W233" i="18"/>
  <c r="W263" i="18"/>
  <c r="D263" i="18"/>
  <c r="E263" i="18" s="1"/>
  <c r="F263" i="18" s="1"/>
  <c r="W267" i="18"/>
  <c r="D267" i="18"/>
  <c r="E267" i="18" s="1"/>
  <c r="F267" i="18" s="1"/>
  <c r="D273" i="18"/>
  <c r="E273" i="18" s="1"/>
  <c r="F273" i="18" s="1"/>
  <c r="W273" i="18"/>
  <c r="W281" i="18"/>
  <c r="D281" i="18"/>
  <c r="E281" i="18" s="1"/>
  <c r="F281" i="18" s="1"/>
  <c r="W291" i="18"/>
  <c r="D291" i="18"/>
  <c r="E291" i="18" s="1"/>
  <c r="F291" i="18" s="1"/>
  <c r="W303" i="18"/>
  <c r="D303" i="18"/>
  <c r="E303" i="18" s="1"/>
  <c r="F303" i="18" s="1"/>
  <c r="D317" i="18"/>
  <c r="E317" i="18" s="1"/>
  <c r="F317" i="18" s="1"/>
  <c r="W317" i="18"/>
  <c r="D78" i="7"/>
  <c r="V333" i="18"/>
  <c r="D341" i="18"/>
  <c r="E341" i="18" s="1"/>
  <c r="F341" i="18" s="1"/>
  <c r="W341" i="18"/>
  <c r="D355" i="18"/>
  <c r="E355" i="18" s="1"/>
  <c r="F355" i="18" s="1"/>
  <c r="W355" i="18"/>
  <c r="D79" i="7"/>
  <c r="V363" i="18"/>
  <c r="W375" i="18"/>
  <c r="D375" i="18"/>
  <c r="E375" i="18" s="1"/>
  <c r="F375" i="18" s="1"/>
  <c r="D30" i="18"/>
  <c r="E30" i="18" s="1"/>
  <c r="F30" i="18" s="1"/>
  <c r="W30" i="18"/>
  <c r="W38" i="18"/>
  <c r="D38" i="18"/>
  <c r="E38" i="18" s="1"/>
  <c r="F38" i="18" s="1"/>
  <c r="W52" i="18"/>
  <c r="D52" i="18"/>
  <c r="E52" i="18" s="1"/>
  <c r="F52" i="18" s="1"/>
  <c r="D68" i="18"/>
  <c r="E68" i="18" s="1"/>
  <c r="F68" i="18" s="1"/>
  <c r="W68" i="18"/>
  <c r="D72" i="18"/>
  <c r="E72" i="18" s="1"/>
  <c r="F72" i="18" s="1"/>
  <c r="W72" i="18"/>
  <c r="D84" i="18"/>
  <c r="E84" i="18" s="1"/>
  <c r="F84" i="18" s="1"/>
  <c r="W84" i="18"/>
  <c r="D102" i="18"/>
  <c r="E102" i="18" s="1"/>
  <c r="F102" i="18" s="1"/>
  <c r="W102" i="18"/>
  <c r="W116" i="18"/>
  <c r="D116" i="18"/>
  <c r="E116" i="18" s="1"/>
  <c r="F116" i="18" s="1"/>
  <c r="D134" i="18"/>
  <c r="E134" i="18" s="1"/>
  <c r="F134" i="18" s="1"/>
  <c r="W134" i="18"/>
  <c r="D152" i="18"/>
  <c r="E152" i="18" s="1"/>
  <c r="F152" i="18" s="1"/>
  <c r="W152" i="18"/>
  <c r="D162" i="18"/>
  <c r="E162" i="18" s="1"/>
  <c r="F162" i="18" s="1"/>
  <c r="W162" i="18"/>
  <c r="W172" i="18"/>
  <c r="D172" i="18"/>
  <c r="E172" i="18" s="1"/>
  <c r="F172" i="18" s="1"/>
  <c r="D176" i="18"/>
  <c r="E176" i="18" s="1"/>
  <c r="F176" i="18" s="1"/>
  <c r="W176" i="18"/>
  <c r="W182" i="18"/>
  <c r="D182" i="18"/>
  <c r="E182" i="18" s="1"/>
  <c r="F182" i="18" s="1"/>
  <c r="D216" i="18"/>
  <c r="E216" i="18" s="1"/>
  <c r="F216" i="18" s="1"/>
  <c r="W216" i="18"/>
  <c r="D224" i="18"/>
  <c r="E224" i="18" s="1"/>
  <c r="F224" i="18" s="1"/>
  <c r="W224" i="18"/>
  <c r="W228" i="18"/>
  <c r="D228" i="18"/>
  <c r="E228" i="18" s="1"/>
  <c r="F228" i="18" s="1"/>
  <c r="W236" i="18"/>
  <c r="D236" i="18"/>
  <c r="E236" i="18" s="1"/>
  <c r="F236" i="18" s="1"/>
  <c r="D254" i="18"/>
  <c r="E254" i="18" s="1"/>
  <c r="F254" i="18" s="1"/>
  <c r="W254" i="18"/>
  <c r="D262" i="18"/>
  <c r="E262" i="18" s="1"/>
  <c r="F262" i="18" s="1"/>
  <c r="W262" i="18"/>
  <c r="D276" i="18"/>
  <c r="E276" i="18" s="1"/>
  <c r="F276" i="18" s="1"/>
  <c r="W276" i="18"/>
  <c r="D308" i="18"/>
  <c r="E308" i="18" s="1"/>
  <c r="F308" i="18" s="1"/>
  <c r="W308" i="18"/>
  <c r="D322" i="18"/>
  <c r="E322" i="18" s="1"/>
  <c r="F322" i="18" s="1"/>
  <c r="W322" i="18"/>
  <c r="W336" i="18"/>
  <c r="D336" i="18"/>
  <c r="E336" i="18" s="1"/>
  <c r="F336" i="18" s="1"/>
  <c r="W340" i="18"/>
  <c r="D340" i="18"/>
  <c r="E340" i="18" s="1"/>
  <c r="F340" i="18" s="1"/>
  <c r="W346" i="18"/>
  <c r="D346" i="18"/>
  <c r="E346" i="18" s="1"/>
  <c r="F346" i="18" s="1"/>
  <c r="W350" i="18"/>
  <c r="D350" i="18"/>
  <c r="E350" i="18" s="1"/>
  <c r="F350" i="18" s="1"/>
  <c r="W358" i="18"/>
  <c r="D358" i="18"/>
  <c r="E358" i="18" s="1"/>
  <c r="F358" i="18" s="1"/>
  <c r="D366" i="18"/>
  <c r="E366" i="18" s="1"/>
  <c r="F366" i="18" s="1"/>
  <c r="W366" i="18"/>
  <c r="D41" i="18"/>
  <c r="E41" i="18" s="1"/>
  <c r="F41" i="18" s="1"/>
  <c r="W41" i="18"/>
  <c r="W87" i="18"/>
  <c r="D87" i="18"/>
  <c r="E87" i="18" s="1"/>
  <c r="F87" i="18" s="1"/>
  <c r="W103" i="18"/>
  <c r="D103" i="18"/>
  <c r="E103" i="18" s="1"/>
  <c r="F103" i="18" s="1"/>
  <c r="W173" i="18"/>
  <c r="D173" i="18"/>
  <c r="E173" i="18" s="1"/>
  <c r="W191" i="18"/>
  <c r="D191" i="18"/>
  <c r="E191" i="18" s="1"/>
  <c r="F191" i="18" s="1"/>
  <c r="D205" i="18"/>
  <c r="E205" i="18" s="1"/>
  <c r="F205" i="18" s="1"/>
  <c r="W205" i="18"/>
  <c r="D225" i="18"/>
  <c r="E225" i="18" s="1"/>
  <c r="F225" i="18" s="1"/>
  <c r="W225" i="18"/>
  <c r="W229" i="18"/>
  <c r="D229" i="18"/>
  <c r="E229" i="18" s="1"/>
  <c r="F229" i="18" s="1"/>
  <c r="W255" i="18"/>
  <c r="D255" i="18"/>
  <c r="E255" i="18" s="1"/>
  <c r="F255" i="18" s="1"/>
  <c r="D269" i="18"/>
  <c r="E269" i="18" s="1"/>
  <c r="F269" i="18" s="1"/>
  <c r="W269" i="18"/>
  <c r="W287" i="18"/>
  <c r="D287" i="18"/>
  <c r="E287" i="18" s="1"/>
  <c r="F287" i="18" s="1"/>
  <c r="W309" i="18"/>
  <c r="D309" i="18"/>
  <c r="E309" i="18" s="1"/>
  <c r="F309" i="18" s="1"/>
  <c r="W337" i="18"/>
  <c r="D337" i="18"/>
  <c r="E337" i="18" s="1"/>
  <c r="F337" i="18" s="1"/>
  <c r="D357" i="18"/>
  <c r="E357" i="18" s="1"/>
  <c r="F357" i="18" s="1"/>
  <c r="W357" i="18"/>
  <c r="W377" i="18"/>
  <c r="D377" i="18"/>
  <c r="E377" i="18" s="1"/>
  <c r="F377" i="18" s="1"/>
  <c r="W22" i="18"/>
  <c r="D22" i="18"/>
  <c r="E22" i="18" s="1"/>
  <c r="F22" i="18" s="1"/>
  <c r="D294" i="18"/>
  <c r="E294" i="18" s="1"/>
  <c r="F294" i="18" s="1"/>
  <c r="W294" i="18"/>
  <c r="W314" i="18"/>
  <c r="D314" i="18"/>
  <c r="E314" i="18" s="1"/>
  <c r="F314" i="18" s="1"/>
  <c r="D324" i="18"/>
  <c r="E324" i="18" s="1"/>
  <c r="F324" i="18" s="1"/>
  <c r="W324" i="18"/>
  <c r="D342" i="18"/>
  <c r="E342" i="18" s="1"/>
  <c r="F342" i="18" s="1"/>
  <c r="W342" i="18"/>
  <c r="D348" i="18"/>
  <c r="E348" i="18" s="1"/>
  <c r="F348" i="18" s="1"/>
  <c r="W348" i="18"/>
  <c r="W352" i="18"/>
  <c r="D352" i="18"/>
  <c r="E352" i="18" s="1"/>
  <c r="F352" i="18" s="1"/>
  <c r="D364" i="18"/>
  <c r="E364" i="18" s="1"/>
  <c r="F364" i="18" s="1"/>
  <c r="W364" i="18"/>
  <c r="D378" i="18"/>
  <c r="E378" i="18" s="1"/>
  <c r="F378" i="18" s="1"/>
  <c r="W378" i="18"/>
  <c r="G379" i="17"/>
  <c r="BZ379" i="6" s="1"/>
  <c r="H379" i="17"/>
  <c r="J279" i="17"/>
  <c r="I279" i="17"/>
  <c r="I255" i="17"/>
  <c r="J255" i="17"/>
  <c r="D18" i="18"/>
  <c r="E18" i="18" s="1"/>
  <c r="F18" i="18" s="1"/>
  <c r="W18" i="18"/>
  <c r="W21" i="18"/>
  <c r="D21" i="18"/>
  <c r="E21" i="18" s="1"/>
  <c r="D68" i="7"/>
  <c r="V29" i="18"/>
  <c r="D45" i="18"/>
  <c r="E45" i="18" s="1"/>
  <c r="F45" i="18" s="1"/>
  <c r="W45" i="18"/>
  <c r="W51" i="18"/>
  <c r="D51" i="18"/>
  <c r="E51" i="18" s="1"/>
  <c r="F51" i="18" s="1"/>
  <c r="W55" i="18"/>
  <c r="D55" i="18"/>
  <c r="E55" i="18" s="1"/>
  <c r="F55" i="18" s="1"/>
  <c r="D63" i="18"/>
  <c r="E63" i="18" s="1"/>
  <c r="F63" i="18" s="1"/>
  <c r="W63" i="18"/>
  <c r="D71" i="18"/>
  <c r="E71" i="18" s="1"/>
  <c r="F71" i="18" s="1"/>
  <c r="W71" i="18"/>
  <c r="W89" i="18"/>
  <c r="D89" i="18"/>
  <c r="E89" i="18" s="1"/>
  <c r="F89" i="18" s="1"/>
  <c r="G91" i="18"/>
  <c r="CA91" i="6" s="1"/>
  <c r="AA91" i="18"/>
  <c r="Z91" i="18" s="1"/>
  <c r="Y91" i="18" s="1"/>
  <c r="D109" i="18"/>
  <c r="E109" i="18" s="1"/>
  <c r="F109" i="18" s="1"/>
  <c r="W109" i="18"/>
  <c r="D119" i="18"/>
  <c r="E119" i="18" s="1"/>
  <c r="W119" i="18"/>
  <c r="D129" i="18"/>
  <c r="E129" i="18" s="1"/>
  <c r="F129" i="18" s="1"/>
  <c r="W129" i="18"/>
  <c r="D147" i="18"/>
  <c r="E147" i="18" s="1"/>
  <c r="F147" i="18" s="1"/>
  <c r="W147" i="18"/>
  <c r="D157" i="18"/>
  <c r="E157" i="18" s="1"/>
  <c r="F157" i="18" s="1"/>
  <c r="W157" i="18"/>
  <c r="W163" i="18"/>
  <c r="D163" i="18"/>
  <c r="E163" i="18" s="1"/>
  <c r="F163" i="18" s="1"/>
  <c r="D171" i="18"/>
  <c r="E171" i="18" s="1"/>
  <c r="F171" i="18" s="1"/>
  <c r="W171" i="18"/>
  <c r="W185" i="18"/>
  <c r="D185" i="18"/>
  <c r="E185" i="18" s="1"/>
  <c r="F185" i="18" s="1"/>
  <c r="G197" i="18"/>
  <c r="CA197" i="6" s="1"/>
  <c r="W231" i="18"/>
  <c r="D231" i="18"/>
  <c r="E231" i="18" s="1"/>
  <c r="F231" i="18" s="1"/>
  <c r="D239" i="18"/>
  <c r="E239" i="18" s="1"/>
  <c r="F239" i="18" s="1"/>
  <c r="W239" i="18"/>
  <c r="W245" i="18"/>
  <c r="D245" i="18"/>
  <c r="E245" i="18" s="1"/>
  <c r="F245" i="18" s="1"/>
  <c r="G251" i="18"/>
  <c r="CA251" i="6" s="1"/>
  <c r="W257" i="18"/>
  <c r="D257" i="18"/>
  <c r="E257" i="18" s="1"/>
  <c r="F257" i="18" s="1"/>
  <c r="W261" i="18"/>
  <c r="D261" i="18"/>
  <c r="E261" i="18" s="1"/>
  <c r="F261" i="18" s="1"/>
  <c r="W271" i="18"/>
  <c r="D271" i="18"/>
  <c r="E271" i="18" s="1"/>
  <c r="F271" i="18" s="1"/>
  <c r="D279" i="18"/>
  <c r="E279" i="18" s="1"/>
  <c r="F279" i="18" s="1"/>
  <c r="W279" i="18"/>
  <c r="W289" i="18"/>
  <c r="D289" i="18"/>
  <c r="E289" i="18" s="1"/>
  <c r="F289" i="18" s="1"/>
  <c r="H295" i="18"/>
  <c r="G295" i="18"/>
  <c r="CA295" i="6" s="1"/>
  <c r="AA295" i="18"/>
  <c r="Z295" i="18" s="1"/>
  <c r="Y295" i="18" s="1"/>
  <c r="G299" i="18"/>
  <c r="CA299" i="6" s="1"/>
  <c r="AA299" i="18"/>
  <c r="Z299" i="18" s="1"/>
  <c r="Y299" i="18" s="1"/>
  <c r="H299" i="18"/>
  <c r="W311" i="18"/>
  <c r="D311" i="18"/>
  <c r="E311" i="18" s="1"/>
  <c r="F311" i="18" s="1"/>
  <c r="W313" i="18"/>
  <c r="D313" i="18"/>
  <c r="E313" i="18" s="1"/>
  <c r="F313" i="18" s="1"/>
  <c r="G321" i="18"/>
  <c r="CA321" i="6" s="1"/>
  <c r="D323" i="18"/>
  <c r="E323" i="18" s="1"/>
  <c r="F323" i="18" s="1"/>
  <c r="W323" i="18"/>
  <c r="W331" i="18"/>
  <c r="D331" i="18"/>
  <c r="E331" i="18" s="1"/>
  <c r="F331" i="18" s="1"/>
  <c r="W345" i="18"/>
  <c r="D345" i="18"/>
  <c r="E345" i="18" s="1"/>
  <c r="F345" i="18" s="1"/>
  <c r="AA347" i="18"/>
  <c r="Z347" i="18" s="1"/>
  <c r="Y347" i="18" s="1"/>
  <c r="G347" i="18"/>
  <c r="CA347" i="6" s="1"/>
  <c r="G351" i="18"/>
  <c r="CA351" i="6" s="1"/>
  <c r="W359" i="18"/>
  <c r="D359" i="18"/>
  <c r="E359" i="18" s="1"/>
  <c r="F359" i="18" s="1"/>
  <c r="G361" i="18"/>
  <c r="CA361" i="6" s="1"/>
  <c r="H361" i="18"/>
  <c r="AA367" i="18"/>
  <c r="Z367" i="18" s="1"/>
  <c r="Y367" i="18" s="1"/>
  <c r="G367" i="18"/>
  <c r="CA367" i="6" s="1"/>
  <c r="D369" i="18"/>
  <c r="E369" i="18" s="1"/>
  <c r="F369" i="18" s="1"/>
  <c r="W369" i="18"/>
  <c r="D371" i="18"/>
  <c r="E371" i="18" s="1"/>
  <c r="F371" i="18" s="1"/>
  <c r="W371" i="18"/>
  <c r="G373" i="18"/>
  <c r="CA373" i="6" s="1"/>
  <c r="H373" i="18"/>
  <c r="I353" i="17"/>
  <c r="J353" i="17"/>
  <c r="I317" i="17"/>
  <c r="J317" i="17"/>
  <c r="I313" i="17"/>
  <c r="J313" i="17"/>
  <c r="I281" i="17"/>
  <c r="J281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AL10" i="16"/>
  <c r="I212" i="17"/>
  <c r="J212" i="17"/>
  <c r="D192" i="18"/>
  <c r="E192" i="18" s="1"/>
  <c r="F192" i="18" s="1"/>
  <c r="W192" i="18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H127" i="18" s="1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W194" i="18"/>
  <c r="D194" i="18"/>
  <c r="E194" i="18" s="1"/>
  <c r="F194" i="18" s="1"/>
  <c r="I331" i="17"/>
  <c r="J331" i="17"/>
  <c r="I319" i="17"/>
  <c r="J319" i="17"/>
  <c r="J271" i="17"/>
  <c r="I271" i="17"/>
  <c r="I24" i="17"/>
  <c r="J24" i="17"/>
  <c r="D16" i="18"/>
  <c r="E16" i="18" s="1"/>
  <c r="F16" i="18" s="1"/>
  <c r="W16" i="18"/>
  <c r="W17" i="18"/>
  <c r="D17" i="18"/>
  <c r="E17" i="18" s="1"/>
  <c r="F17" i="18" s="1"/>
  <c r="W20" i="18"/>
  <c r="D20" i="18"/>
  <c r="E20" i="18" s="1"/>
  <c r="F20" i="18" s="1"/>
  <c r="W24" i="18"/>
  <c r="D24" i="18"/>
  <c r="E24" i="18" s="1"/>
  <c r="F24" i="18" s="1"/>
  <c r="W26" i="18"/>
  <c r="D26" i="18"/>
  <c r="E26" i="18" s="1"/>
  <c r="F26" i="18" s="1"/>
  <c r="D32" i="18"/>
  <c r="E32" i="18" s="1"/>
  <c r="F32" i="18" s="1"/>
  <c r="W32" i="18"/>
  <c r="W40" i="18"/>
  <c r="D40" i="18"/>
  <c r="E40" i="18" s="1"/>
  <c r="F40" i="18" s="1"/>
  <c r="D48" i="18"/>
  <c r="E48" i="18" s="1"/>
  <c r="F48" i="18" s="1"/>
  <c r="W48" i="18"/>
  <c r="W50" i="18"/>
  <c r="D50" i="18"/>
  <c r="E50" i="18" s="1"/>
  <c r="F50" i="18" s="1"/>
  <c r="W54" i="18"/>
  <c r="D54" i="18"/>
  <c r="E54" i="18" s="1"/>
  <c r="F54" i="18" s="1"/>
  <c r="D69" i="7"/>
  <c r="V60" i="18"/>
  <c r="D62" i="18"/>
  <c r="E62" i="18" s="1"/>
  <c r="F62" i="18" s="1"/>
  <c r="W62" i="18"/>
  <c r="W66" i="18"/>
  <c r="D66" i="18"/>
  <c r="E66" i="18" s="1"/>
  <c r="F66" i="18" s="1"/>
  <c r="D70" i="18"/>
  <c r="E70" i="18" s="1"/>
  <c r="F70" i="18" s="1"/>
  <c r="W70" i="18"/>
  <c r="G76" i="18"/>
  <c r="CA76" i="6" s="1"/>
  <c r="AA76" i="18"/>
  <c r="Z76" i="18" s="1"/>
  <c r="Y76" i="18" s="1"/>
  <c r="W80" i="18"/>
  <c r="D80" i="18"/>
  <c r="E80" i="18" s="1"/>
  <c r="F80" i="18" s="1"/>
  <c r="D82" i="18"/>
  <c r="E82" i="18" s="1"/>
  <c r="F82" i="18" s="1"/>
  <c r="W82" i="18"/>
  <c r="W86" i="18"/>
  <c r="D86" i="18"/>
  <c r="E86" i="18" s="1"/>
  <c r="F86" i="18" s="1"/>
  <c r="D88" i="18"/>
  <c r="E88" i="18" s="1"/>
  <c r="F88" i="18" s="1"/>
  <c r="W88" i="18"/>
  <c r="D90" i="18"/>
  <c r="E90" i="18" s="1"/>
  <c r="F90" i="18" s="1"/>
  <c r="W90" i="18"/>
  <c r="W98" i="18"/>
  <c r="D98" i="18"/>
  <c r="E98" i="18" s="1"/>
  <c r="F98" i="18" s="1"/>
  <c r="W104" i="18"/>
  <c r="D104" i="18"/>
  <c r="E104" i="18" s="1"/>
  <c r="F104" i="18" s="1"/>
  <c r="W106" i="18"/>
  <c r="D106" i="18"/>
  <c r="E106" i="18" s="1"/>
  <c r="F106" i="18" s="1"/>
  <c r="D110" i="18"/>
  <c r="E110" i="18" s="1"/>
  <c r="F110" i="18" s="1"/>
  <c r="W110" i="18"/>
  <c r="D112" i="18"/>
  <c r="E112" i="18" s="1"/>
  <c r="F112" i="18" s="1"/>
  <c r="W112" i="18"/>
  <c r="D118" i="18"/>
  <c r="E118" i="18" s="1"/>
  <c r="F118" i="18" s="1"/>
  <c r="W118" i="18"/>
  <c r="W122" i="18"/>
  <c r="D122" i="18"/>
  <c r="E122" i="18" s="1"/>
  <c r="F122" i="18" s="1"/>
  <c r="D126" i="18"/>
  <c r="E126" i="18" s="1"/>
  <c r="F126" i="18" s="1"/>
  <c r="W126" i="18"/>
  <c r="D130" i="18"/>
  <c r="E130" i="18" s="1"/>
  <c r="F130" i="18" s="1"/>
  <c r="W130" i="18"/>
  <c r="D132" i="18"/>
  <c r="E132" i="18" s="1"/>
  <c r="F132" i="18" s="1"/>
  <c r="W132" i="18"/>
  <c r="D136" i="18"/>
  <c r="E136" i="18" s="1"/>
  <c r="F136" i="18" s="1"/>
  <c r="W136" i="18"/>
  <c r="D138" i="18"/>
  <c r="E138" i="18" s="1"/>
  <c r="F138" i="18" s="1"/>
  <c r="W138" i="18"/>
  <c r="H140" i="18"/>
  <c r="G140" i="18"/>
  <c r="CA140" i="6" s="1"/>
  <c r="AA140" i="18"/>
  <c r="Z140" i="18" s="1"/>
  <c r="Y140" i="18" s="1"/>
  <c r="D146" i="18"/>
  <c r="E146" i="18" s="1"/>
  <c r="F146" i="18" s="1"/>
  <c r="W146" i="18"/>
  <c r="W148" i="18"/>
  <c r="D148" i="18"/>
  <c r="E148" i="18" s="1"/>
  <c r="F148" i="18" s="1"/>
  <c r="W156" i="18"/>
  <c r="D156" i="18"/>
  <c r="E156" i="18" s="1"/>
  <c r="F156" i="18" s="1"/>
  <c r="G158" i="18"/>
  <c r="CA158" i="6" s="1"/>
  <c r="W166" i="18"/>
  <c r="D166" i="18"/>
  <c r="E166" i="18" s="1"/>
  <c r="F166" i="18" s="1"/>
  <c r="G178" i="18"/>
  <c r="CA178" i="6" s="1"/>
  <c r="AA178" i="18"/>
  <c r="Z178" i="18" s="1"/>
  <c r="Y178" i="18" s="1"/>
  <c r="D184" i="18"/>
  <c r="E184" i="18" s="1"/>
  <c r="F184" i="18" s="1"/>
  <c r="W184" i="18"/>
  <c r="D188" i="18"/>
  <c r="E188" i="18" s="1"/>
  <c r="F188" i="18" s="1"/>
  <c r="W188" i="18"/>
  <c r="W190" i="18"/>
  <c r="D190" i="18"/>
  <c r="E190" i="18" s="1"/>
  <c r="F190" i="18" s="1"/>
  <c r="D200" i="18"/>
  <c r="E200" i="18" s="1"/>
  <c r="F200" i="18" s="1"/>
  <c r="W200" i="18"/>
  <c r="D202" i="18"/>
  <c r="E202" i="18" s="1"/>
  <c r="F202" i="18" s="1"/>
  <c r="W202" i="18"/>
  <c r="G204" i="18"/>
  <c r="CA204" i="6" s="1"/>
  <c r="H204" i="18"/>
  <c r="W208" i="18"/>
  <c r="D208" i="18"/>
  <c r="E208" i="18" s="1"/>
  <c r="F208" i="18" s="1"/>
  <c r="W218" i="18"/>
  <c r="D218" i="18"/>
  <c r="E218" i="18" s="1"/>
  <c r="F218" i="18" s="1"/>
  <c r="D226" i="18"/>
  <c r="E226" i="18" s="1"/>
  <c r="F226" i="18" s="1"/>
  <c r="W226" i="18"/>
  <c r="D230" i="18"/>
  <c r="E230" i="18" s="1"/>
  <c r="F230" i="18" s="1"/>
  <c r="W230" i="18"/>
  <c r="W250" i="18"/>
  <c r="D250" i="18"/>
  <c r="E250" i="18" s="1"/>
  <c r="F250" i="18" s="1"/>
  <c r="W252" i="18"/>
  <c r="D252" i="18"/>
  <c r="E252" i="18" s="1"/>
  <c r="F252" i="18" s="1"/>
  <c r="D76" i="7"/>
  <c r="V272" i="18"/>
  <c r="D278" i="18"/>
  <c r="E278" i="18" s="1"/>
  <c r="F278" i="18" s="1"/>
  <c r="W278" i="18"/>
  <c r="D280" i="18"/>
  <c r="E280" i="18" s="1"/>
  <c r="F280" i="18" s="1"/>
  <c r="W280" i="18"/>
  <c r="G284" i="18"/>
  <c r="CA284" i="6" s="1"/>
  <c r="W286" i="18"/>
  <c r="D286" i="18"/>
  <c r="E286" i="18" s="1"/>
  <c r="F286" i="18" s="1"/>
  <c r="W292" i="18"/>
  <c r="D292" i="18"/>
  <c r="E292" i="18" s="1"/>
  <c r="F292" i="18" s="1"/>
  <c r="W296" i="18"/>
  <c r="D296" i="18"/>
  <c r="E296" i="18" s="1"/>
  <c r="F296" i="18" s="1"/>
  <c r="D298" i="18"/>
  <c r="E298" i="18" s="1"/>
  <c r="F298" i="18" s="1"/>
  <c r="W298" i="18"/>
  <c r="H300" i="18"/>
  <c r="G300" i="18"/>
  <c r="CA300" i="6" s="1"/>
  <c r="D304" i="18"/>
  <c r="E304" i="18" s="1"/>
  <c r="F304" i="18" s="1"/>
  <c r="W304" i="18"/>
  <c r="G306" i="18"/>
  <c r="CA306" i="6" s="1"/>
  <c r="H306" i="18"/>
  <c r="D310" i="18"/>
  <c r="E310" i="18" s="1"/>
  <c r="F310" i="18" s="1"/>
  <c r="W310" i="18"/>
  <c r="D312" i="18"/>
  <c r="E312" i="18" s="1"/>
  <c r="F312" i="18" s="1"/>
  <c r="W312" i="18"/>
  <c r="G316" i="18"/>
  <c r="CA316" i="6" s="1"/>
  <c r="D326" i="18"/>
  <c r="E326" i="18" s="1"/>
  <c r="F326" i="18" s="1"/>
  <c r="W326" i="18"/>
  <c r="D332" i="18"/>
  <c r="E332" i="18" s="1"/>
  <c r="F332" i="18" s="1"/>
  <c r="W332" i="18"/>
  <c r="W334" i="18"/>
  <c r="D334" i="18"/>
  <c r="E334" i="18" s="1"/>
  <c r="F334" i="18" s="1"/>
  <c r="H344" i="18"/>
  <c r="G344" i="18"/>
  <c r="CA344" i="6" s="1"/>
  <c r="AA344" i="18"/>
  <c r="Z344" i="18" s="1"/>
  <c r="Y344" i="18" s="1"/>
  <c r="W354" i="18"/>
  <c r="D354" i="18"/>
  <c r="E354" i="18" s="1"/>
  <c r="F354" i="18" s="1"/>
  <c r="W360" i="18"/>
  <c r="D360" i="18"/>
  <c r="E360" i="18" s="1"/>
  <c r="F360" i="18" s="1"/>
  <c r="H368" i="18"/>
  <c r="G368" i="18"/>
  <c r="CA368" i="6" s="1"/>
  <c r="W370" i="18"/>
  <c r="D370" i="18"/>
  <c r="E370" i="18" s="1"/>
  <c r="F370" i="18" s="1"/>
  <c r="D372" i="18"/>
  <c r="E372" i="18" s="1"/>
  <c r="F372" i="18" s="1"/>
  <c r="W372" i="18"/>
  <c r="AA376" i="18"/>
  <c r="Z376" i="18" s="1"/>
  <c r="Y376" i="18" s="1"/>
  <c r="G376" i="18"/>
  <c r="CA376" i="6" s="1"/>
  <c r="I181" i="17"/>
  <c r="J181" i="17"/>
  <c r="J134" i="17"/>
  <c r="I134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H327" i="18" s="1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H170" i="18" s="1"/>
  <c r="AA247" i="17"/>
  <c r="Z247" i="17" s="1"/>
  <c r="Y247" i="17" s="1"/>
  <c r="G247" i="17"/>
  <c r="BZ247" i="6" s="1"/>
  <c r="H247" i="17"/>
  <c r="I340" i="17"/>
  <c r="J340" i="17"/>
  <c r="W288" i="18"/>
  <c r="D288" i="18"/>
  <c r="E288" i="18" s="1"/>
  <c r="F288" i="18" s="1"/>
  <c r="D25" i="18"/>
  <c r="E25" i="18" s="1"/>
  <c r="F25" i="18" s="1"/>
  <c r="W25" i="18"/>
  <c r="W33" i="18"/>
  <c r="D33" i="18"/>
  <c r="E33" i="18" s="1"/>
  <c r="F33" i="18" s="1"/>
  <c r="D49" i="18"/>
  <c r="E49" i="18" s="1"/>
  <c r="F49" i="18" s="1"/>
  <c r="W49" i="18"/>
  <c r="D53" i="18"/>
  <c r="E53" i="18" s="1"/>
  <c r="F53" i="18" s="1"/>
  <c r="W53" i="18"/>
  <c r="W57" i="18"/>
  <c r="D57" i="18"/>
  <c r="E57" i="18" s="1"/>
  <c r="F57" i="18" s="1"/>
  <c r="D67" i="18"/>
  <c r="E67" i="18" s="1"/>
  <c r="F67" i="18" s="1"/>
  <c r="W67" i="18"/>
  <c r="D95" i="18"/>
  <c r="E95" i="18" s="1"/>
  <c r="F95" i="18" s="1"/>
  <c r="W95" i="18"/>
  <c r="W99" i="18"/>
  <c r="D99" i="18"/>
  <c r="E99" i="18" s="1"/>
  <c r="F99" i="18" s="1"/>
  <c r="G123" i="18"/>
  <c r="CA123" i="6" s="1"/>
  <c r="G127" i="18"/>
  <c r="CA127" i="6" s="1"/>
  <c r="AA127" i="18"/>
  <c r="Z127" i="18" s="1"/>
  <c r="Y127" i="18" s="1"/>
  <c r="G131" i="18"/>
  <c r="CA131" i="6" s="1"/>
  <c r="D139" i="18"/>
  <c r="E139" i="18" s="1"/>
  <c r="F139" i="18" s="1"/>
  <c r="W139" i="18"/>
  <c r="W153" i="18"/>
  <c r="D153" i="18"/>
  <c r="E153" i="18" s="1"/>
  <c r="F153" i="18" s="1"/>
  <c r="AA159" i="18"/>
  <c r="Z159" i="18" s="1"/>
  <c r="Y159" i="18" s="1"/>
  <c r="H159" i="18"/>
  <c r="G159" i="18"/>
  <c r="CA159" i="6" s="1"/>
  <c r="D165" i="18"/>
  <c r="E165" i="18" s="1"/>
  <c r="F165" i="18" s="1"/>
  <c r="W165" i="18"/>
  <c r="D179" i="18"/>
  <c r="E179" i="18" s="1"/>
  <c r="F179" i="18" s="1"/>
  <c r="W179" i="18"/>
  <c r="W183" i="18"/>
  <c r="D183" i="18"/>
  <c r="E183" i="18" s="1"/>
  <c r="F183" i="18" s="1"/>
  <c r="W193" i="18"/>
  <c r="D193" i="18"/>
  <c r="E193" i="18" s="1"/>
  <c r="F193" i="18" s="1"/>
  <c r="G207" i="18"/>
  <c r="CA207" i="6" s="1"/>
  <c r="AA207" i="18"/>
  <c r="Z207" i="18" s="1"/>
  <c r="Y207" i="18" s="1"/>
  <c r="W211" i="18"/>
  <c r="D211" i="18"/>
  <c r="E211" i="18" s="1"/>
  <c r="F211" i="18" s="1"/>
  <c r="G215" i="18"/>
  <c r="CA215" i="6" s="1"/>
  <c r="H215" i="18"/>
  <c r="D235" i="18"/>
  <c r="E235" i="18" s="1"/>
  <c r="F235" i="18" s="1"/>
  <c r="W235" i="18"/>
  <c r="D75" i="7"/>
  <c r="V241" i="18"/>
  <c r="D253" i="18"/>
  <c r="E253" i="18" s="1"/>
  <c r="F253" i="18" s="1"/>
  <c r="W253" i="18"/>
  <c r="W259" i="18"/>
  <c r="D259" i="18"/>
  <c r="E259" i="18" s="1"/>
  <c r="F259" i="18" s="1"/>
  <c r="W277" i="18"/>
  <c r="D277" i="18"/>
  <c r="E277" i="18" s="1"/>
  <c r="F277" i="18" s="1"/>
  <c r="J186" i="17"/>
  <c r="I186" i="17"/>
  <c r="G194" i="17"/>
  <c r="BZ194" i="6" s="1"/>
  <c r="H194" i="17"/>
  <c r="AA194" i="17"/>
  <c r="Z194" i="17" s="1"/>
  <c r="Y194" i="17" s="1"/>
  <c r="D319" i="18"/>
  <c r="E319" i="18" s="1"/>
  <c r="F319" i="18" s="1"/>
  <c r="W319" i="18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F23" i="18" s="1"/>
  <c r="W23" i="18"/>
  <c r="G31" i="18"/>
  <c r="CA31" i="6" s="1"/>
  <c r="D35" i="18"/>
  <c r="E35" i="18" s="1"/>
  <c r="F35" i="18" s="1"/>
  <c r="W35" i="18"/>
  <c r="G59" i="18"/>
  <c r="CA59" i="6" s="1"/>
  <c r="D83" i="18"/>
  <c r="E83" i="18" s="1"/>
  <c r="F83" i="18" s="1"/>
  <c r="W83" i="18"/>
  <c r="W107" i="18"/>
  <c r="D107" i="18"/>
  <c r="E107" i="18" s="1"/>
  <c r="F107" i="18" s="1"/>
  <c r="D149" i="18"/>
  <c r="E149" i="18" s="1"/>
  <c r="W149" i="18"/>
  <c r="D161" i="18"/>
  <c r="E161" i="18" s="1"/>
  <c r="F161" i="18" s="1"/>
  <c r="W161" i="18"/>
  <c r="W175" i="18"/>
  <c r="D175" i="18"/>
  <c r="E175" i="18" s="1"/>
  <c r="F175" i="18" s="1"/>
  <c r="W199" i="18"/>
  <c r="D199" i="18"/>
  <c r="E199" i="18" s="1"/>
  <c r="F199" i="18" s="1"/>
  <c r="W249" i="18"/>
  <c r="D249" i="18"/>
  <c r="E249" i="18" s="1"/>
  <c r="F249" i="18" s="1"/>
  <c r="G297" i="18"/>
  <c r="CA297" i="6" s="1"/>
  <c r="H297" i="18"/>
  <c r="G305" i="18"/>
  <c r="CA305" i="6" s="1"/>
  <c r="AA307" i="18"/>
  <c r="Z307" i="18" s="1"/>
  <c r="Y307" i="18" s="1"/>
  <c r="G307" i="18"/>
  <c r="CA307" i="6" s="1"/>
  <c r="D325" i="18"/>
  <c r="E325" i="18" s="1"/>
  <c r="F325" i="18" s="1"/>
  <c r="W325" i="18"/>
  <c r="G327" i="18"/>
  <c r="CA327" i="6" s="1"/>
  <c r="H329" i="18"/>
  <c r="G329" i="18"/>
  <c r="CA329" i="6" s="1"/>
  <c r="G339" i="18"/>
  <c r="CA339" i="6" s="1"/>
  <c r="AG16" i="7"/>
  <c r="U19" i="20"/>
  <c r="T19" i="20" s="1"/>
  <c r="S19" i="20" s="1"/>
  <c r="R19" i="20" s="1"/>
  <c r="U32" i="20"/>
  <c r="T32" i="20" s="1"/>
  <c r="U48" i="20"/>
  <c r="T48" i="20" s="1"/>
  <c r="U64" i="20"/>
  <c r="T64" i="20" s="1"/>
  <c r="U80" i="20"/>
  <c r="T80" i="20" s="1"/>
  <c r="U96" i="20"/>
  <c r="T96" i="20" s="1"/>
  <c r="U107" i="20"/>
  <c r="T107" i="20" s="1"/>
  <c r="U115" i="20"/>
  <c r="T115" i="20" s="1"/>
  <c r="U123" i="20"/>
  <c r="T123" i="20" s="1"/>
  <c r="S123" i="20" s="1"/>
  <c r="R123" i="20" s="1"/>
  <c r="U131" i="20"/>
  <c r="T131" i="20" s="1"/>
  <c r="U139" i="20"/>
  <c r="T139" i="20" s="1"/>
  <c r="U147" i="20"/>
  <c r="T147" i="20" s="1"/>
  <c r="U155" i="20"/>
  <c r="T155" i="20" s="1"/>
  <c r="U163" i="20"/>
  <c r="T163" i="20" s="1"/>
  <c r="S163" i="20" s="1"/>
  <c r="R163" i="20" s="1"/>
  <c r="P163" i="20" s="1"/>
  <c r="V163" i="20" s="1"/>
  <c r="B163" i="20" s="1"/>
  <c r="U171" i="20"/>
  <c r="T171" i="20" s="1"/>
  <c r="S171" i="20" s="1"/>
  <c r="R171" i="20" s="1"/>
  <c r="P171" i="20" s="1"/>
  <c r="V171" i="20" s="1"/>
  <c r="B171" i="20" s="1"/>
  <c r="U179" i="20"/>
  <c r="T179" i="20" s="1"/>
  <c r="S179" i="20" s="1"/>
  <c r="R179" i="20" s="1"/>
  <c r="P179" i="20" s="1"/>
  <c r="V179" i="20" s="1"/>
  <c r="B179" i="20" s="1"/>
  <c r="U187" i="20"/>
  <c r="T187" i="20" s="1"/>
  <c r="S187" i="20" s="1"/>
  <c r="R187" i="20" s="1"/>
  <c r="P187" i="20" s="1"/>
  <c r="V187" i="20" s="1"/>
  <c r="B187" i="20" s="1"/>
  <c r="U195" i="20"/>
  <c r="T195" i="20" s="1"/>
  <c r="U203" i="20"/>
  <c r="T203" i="20" s="1"/>
  <c r="U211" i="20"/>
  <c r="T211" i="20" s="1"/>
  <c r="U219" i="20"/>
  <c r="T219" i="20" s="1"/>
  <c r="U224" i="20"/>
  <c r="T224" i="20" s="1"/>
  <c r="U228" i="20"/>
  <c r="T228" i="20" s="1"/>
  <c r="S228" i="20" s="1"/>
  <c r="R228" i="20" s="1"/>
  <c r="P228" i="20" s="1"/>
  <c r="V228" i="20" s="1"/>
  <c r="B228" i="20" s="1"/>
  <c r="U232" i="20"/>
  <c r="T232" i="20" s="1"/>
  <c r="U236" i="20"/>
  <c r="T236" i="20" s="1"/>
  <c r="U240" i="20"/>
  <c r="T240" i="20" s="1"/>
  <c r="S240" i="20" s="1"/>
  <c r="R240" i="20" s="1"/>
  <c r="P240" i="20" s="1"/>
  <c r="V240" i="20" s="1"/>
  <c r="B240" i="20" s="1"/>
  <c r="U244" i="20"/>
  <c r="T244" i="20" s="1"/>
  <c r="U248" i="20"/>
  <c r="T248" i="20" s="1"/>
  <c r="U252" i="20"/>
  <c r="T252" i="20" s="1"/>
  <c r="U256" i="20"/>
  <c r="T256" i="20" s="1"/>
  <c r="U260" i="20"/>
  <c r="T260" i="20" s="1"/>
  <c r="U264" i="20"/>
  <c r="T264" i="20" s="1"/>
  <c r="U268" i="20"/>
  <c r="T268" i="20" s="1"/>
  <c r="U272" i="20"/>
  <c r="T272" i="20" s="1"/>
  <c r="U276" i="20"/>
  <c r="T276" i="20" s="1"/>
  <c r="U280" i="20"/>
  <c r="T280" i="20" s="1"/>
  <c r="U284" i="20"/>
  <c r="T284" i="20" s="1"/>
  <c r="S284" i="20" s="1"/>
  <c r="R284" i="20" s="1"/>
  <c r="P284" i="20" s="1"/>
  <c r="V284" i="20" s="1"/>
  <c r="B284" i="20" s="1"/>
  <c r="U288" i="20"/>
  <c r="T288" i="20" s="1"/>
  <c r="U292" i="20"/>
  <c r="T292" i="20" s="1"/>
  <c r="U296" i="20"/>
  <c r="T296" i="20" s="1"/>
  <c r="U300" i="20"/>
  <c r="T300" i="20" s="1"/>
  <c r="S300" i="20" s="1"/>
  <c r="R300" i="20" s="1"/>
  <c r="P300" i="20" s="1"/>
  <c r="V300" i="20" s="1"/>
  <c r="B300" i="20" s="1"/>
  <c r="U304" i="20"/>
  <c r="T304" i="20" s="1"/>
  <c r="S304" i="20" s="1"/>
  <c r="R304" i="20" s="1"/>
  <c r="P304" i="20" s="1"/>
  <c r="V304" i="20" s="1"/>
  <c r="B304" i="20" s="1"/>
  <c r="U307" i="20"/>
  <c r="T307" i="20" s="1"/>
  <c r="U309" i="20"/>
  <c r="T309" i="20" s="1"/>
  <c r="U311" i="20"/>
  <c r="T311" i="20" s="1"/>
  <c r="U313" i="20"/>
  <c r="T313" i="20" s="1"/>
  <c r="U315" i="20"/>
  <c r="T315" i="20" s="1"/>
  <c r="S315" i="20" s="1"/>
  <c r="R315" i="20" s="1"/>
  <c r="P315" i="20" s="1"/>
  <c r="V315" i="20" s="1"/>
  <c r="B315" i="20" s="1"/>
  <c r="U317" i="20"/>
  <c r="T317" i="20" s="1"/>
  <c r="U319" i="20"/>
  <c r="T319" i="20" s="1"/>
  <c r="U321" i="20"/>
  <c r="T321" i="20" s="1"/>
  <c r="S321" i="20" s="1"/>
  <c r="R321" i="20" s="1"/>
  <c r="U323" i="20"/>
  <c r="T323" i="20" s="1"/>
  <c r="S323" i="20" s="1"/>
  <c r="R323" i="20" s="1"/>
  <c r="P323" i="20" s="1"/>
  <c r="V323" i="20" s="1"/>
  <c r="B323" i="20" s="1"/>
  <c r="U325" i="20"/>
  <c r="T325" i="20" s="1"/>
  <c r="S325" i="20" s="1"/>
  <c r="R325" i="20" s="1"/>
  <c r="P325" i="20" s="1"/>
  <c r="V325" i="20" s="1"/>
  <c r="B325" i="20" s="1"/>
  <c r="U327" i="20"/>
  <c r="T327" i="20" s="1"/>
  <c r="S327" i="20" s="1"/>
  <c r="R327" i="20" s="1"/>
  <c r="P327" i="20" s="1"/>
  <c r="V327" i="20" s="1"/>
  <c r="B327" i="20" s="1"/>
  <c r="U329" i="20"/>
  <c r="T329" i="20" s="1"/>
  <c r="U331" i="20"/>
  <c r="T331" i="20" s="1"/>
  <c r="U333" i="20"/>
  <c r="T333" i="20" s="1"/>
  <c r="U335" i="20"/>
  <c r="T335" i="20" s="1"/>
  <c r="S335" i="20" s="1"/>
  <c r="R335" i="20" s="1"/>
  <c r="P335" i="20" s="1"/>
  <c r="V335" i="20" s="1"/>
  <c r="B335" i="20" s="1"/>
  <c r="U337" i="20"/>
  <c r="T337" i="20" s="1"/>
  <c r="U339" i="20"/>
  <c r="T339" i="20" s="1"/>
  <c r="S339" i="20" s="1"/>
  <c r="R339" i="20" s="1"/>
  <c r="P339" i="20" s="1"/>
  <c r="V339" i="20" s="1"/>
  <c r="B339" i="20" s="1"/>
  <c r="U341" i="20"/>
  <c r="T341" i="20" s="1"/>
  <c r="U343" i="20"/>
  <c r="T343" i="20" s="1"/>
  <c r="U345" i="20"/>
  <c r="T345" i="20" s="1"/>
  <c r="S345" i="20" s="1"/>
  <c r="R345" i="20" s="1"/>
  <c r="U347" i="20"/>
  <c r="T347" i="20" s="1"/>
  <c r="U349" i="20"/>
  <c r="T349" i="20" s="1"/>
  <c r="S349" i="20" s="1"/>
  <c r="R349" i="20" s="1"/>
  <c r="P349" i="20" s="1"/>
  <c r="V349" i="20" s="1"/>
  <c r="U351" i="20"/>
  <c r="T351" i="20" s="1"/>
  <c r="U353" i="20"/>
  <c r="T353" i="20" s="1"/>
  <c r="U355" i="20"/>
  <c r="T355" i="20" s="1"/>
  <c r="U357" i="20"/>
  <c r="T357" i="20" s="1"/>
  <c r="S357" i="20" s="1"/>
  <c r="R357" i="20" s="1"/>
  <c r="U359" i="20"/>
  <c r="T359" i="20" s="1"/>
  <c r="U361" i="20"/>
  <c r="T361" i="20" s="1"/>
  <c r="U363" i="20"/>
  <c r="T363" i="20" s="1"/>
  <c r="U365" i="20"/>
  <c r="T365" i="20" s="1"/>
  <c r="S365" i="20" s="1"/>
  <c r="R365" i="20" s="1"/>
  <c r="U367" i="20"/>
  <c r="T367" i="20" s="1"/>
  <c r="S367" i="20" s="1"/>
  <c r="R367" i="20" s="1"/>
  <c r="P367" i="20" s="1"/>
  <c r="V367" i="20" s="1"/>
  <c r="B367" i="20" s="1"/>
  <c r="U369" i="20"/>
  <c r="T369" i="20" s="1"/>
  <c r="S369" i="20" s="1"/>
  <c r="R369" i="20" s="1"/>
  <c r="U371" i="20"/>
  <c r="T371" i="20" s="1"/>
  <c r="U373" i="20"/>
  <c r="T373" i="20" s="1"/>
  <c r="S373" i="20" s="1"/>
  <c r="R373" i="20" s="1"/>
  <c r="U375" i="20"/>
  <c r="T375" i="20" s="1"/>
  <c r="U377" i="20"/>
  <c r="T377" i="20" s="1"/>
  <c r="U379" i="20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J294" i="17"/>
  <c r="I294" i="17"/>
  <c r="I242" i="17"/>
  <c r="J242" i="17"/>
  <c r="I142" i="17"/>
  <c r="J1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95" i="17"/>
  <c r="J195" i="17"/>
  <c r="I107" i="17"/>
  <c r="J107" i="17"/>
  <c r="I83" i="17"/>
  <c r="J83" i="17"/>
  <c r="J63" i="17"/>
  <c r="I63" i="17"/>
  <c r="I39" i="17"/>
  <c r="J39" i="17"/>
  <c r="W264" i="18"/>
  <c r="D264" i="18"/>
  <c r="E264" i="18" s="1"/>
  <c r="F264" i="18" s="1"/>
  <c r="I252" i="17"/>
  <c r="J252" i="17"/>
  <c r="J180" i="17"/>
  <c r="I180" i="17"/>
  <c r="J168" i="17"/>
  <c r="I168" i="17"/>
  <c r="J148" i="17"/>
  <c r="I148" i="17"/>
  <c r="J144" i="17"/>
  <c r="I144" i="17"/>
  <c r="I124" i="17"/>
  <c r="J12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H339" i="18" s="1"/>
  <c r="J339" i="17"/>
  <c r="I287" i="17"/>
  <c r="J287" i="17"/>
  <c r="I123" i="17"/>
  <c r="H123" i="18" s="1"/>
  <c r="J123" i="17"/>
  <c r="J324" i="17"/>
  <c r="I324" i="17"/>
  <c r="J304" i="17"/>
  <c r="I304" i="17"/>
  <c r="I288" i="17"/>
  <c r="J288" i="17"/>
  <c r="J18" i="17"/>
  <c r="I18" i="17"/>
  <c r="S15" i="18"/>
  <c r="T382" i="18"/>
  <c r="T383" i="18"/>
  <c r="T381" i="18"/>
  <c r="D34" i="18"/>
  <c r="E34" i="18" s="1"/>
  <c r="F34" i="18" s="1"/>
  <c r="W34" i="18"/>
  <c r="D58" i="18"/>
  <c r="E58" i="18" s="1"/>
  <c r="F58" i="18" s="1"/>
  <c r="W58" i="18"/>
  <c r="W78" i="18"/>
  <c r="D78" i="18"/>
  <c r="E78" i="18" s="1"/>
  <c r="F78" i="18" s="1"/>
  <c r="G94" i="18"/>
  <c r="CA94" i="6" s="1"/>
  <c r="D100" i="18"/>
  <c r="E100" i="18" s="1"/>
  <c r="F100" i="18" s="1"/>
  <c r="W100" i="18"/>
  <c r="D120" i="18"/>
  <c r="E120" i="18" s="1"/>
  <c r="F120" i="18" s="1"/>
  <c r="W120" i="18"/>
  <c r="G128" i="18"/>
  <c r="CA128" i="6" s="1"/>
  <c r="D144" i="18"/>
  <c r="E144" i="18" s="1"/>
  <c r="F144" i="18" s="1"/>
  <c r="W144" i="18"/>
  <c r="G154" i="18"/>
  <c r="CA154" i="6" s="1"/>
  <c r="H154" i="18"/>
  <c r="W160" i="18"/>
  <c r="D160" i="18"/>
  <c r="E160" i="18" s="1"/>
  <c r="F160" i="18" s="1"/>
  <c r="G170" i="18"/>
  <c r="CA170" i="6" s="1"/>
  <c r="W212" i="18"/>
  <c r="D212" i="18"/>
  <c r="E212" i="18" s="1"/>
  <c r="F212" i="18" s="1"/>
  <c r="D242" i="18"/>
  <c r="E242" i="18" s="1"/>
  <c r="F242" i="18" s="1"/>
  <c r="W242" i="18"/>
  <c r="G248" i="18"/>
  <c r="CA248" i="6" s="1"/>
  <c r="W270" i="18"/>
  <c r="D270" i="18"/>
  <c r="E270" i="18" s="1"/>
  <c r="F270" i="18" s="1"/>
  <c r="W290" i="18"/>
  <c r="D290" i="18"/>
  <c r="E290" i="18" s="1"/>
  <c r="F290" i="18" s="1"/>
  <c r="G328" i="18"/>
  <c r="CA328" i="6" s="1"/>
  <c r="H328" i="18"/>
  <c r="D338" i="18"/>
  <c r="E338" i="18" s="1"/>
  <c r="F338" i="18" s="1"/>
  <c r="W338" i="18"/>
  <c r="W374" i="18"/>
  <c r="D374" i="18"/>
  <c r="E374" i="18" s="1"/>
  <c r="F374" i="18" s="1"/>
  <c r="AI102" i="20"/>
  <c r="AH102" i="20" s="1"/>
  <c r="AI98" i="20"/>
  <c r="AH98" i="20" s="1"/>
  <c r="AG98" i="20" s="1"/>
  <c r="AF98" i="20" s="1"/>
  <c r="AD98" i="20" s="1"/>
  <c r="AI94" i="20"/>
  <c r="AH94" i="20" s="1"/>
  <c r="AI90" i="20"/>
  <c r="AH90" i="20" s="1"/>
  <c r="AG90" i="20" s="1"/>
  <c r="AF90" i="20" s="1"/>
  <c r="AD90" i="20" s="1"/>
  <c r="AI86" i="20"/>
  <c r="AH86" i="20" s="1"/>
  <c r="AG86" i="20" s="1"/>
  <c r="AF86" i="20" s="1"/>
  <c r="AI82" i="20"/>
  <c r="AH82" i="20" s="1"/>
  <c r="AG82" i="20" s="1"/>
  <c r="AF82" i="20" s="1"/>
  <c r="AD82" i="20" s="1"/>
  <c r="AI78" i="20"/>
  <c r="AH78" i="20" s="1"/>
  <c r="AG78" i="20" s="1"/>
  <c r="AF78" i="20" s="1"/>
  <c r="AD78" i="20" s="1"/>
  <c r="AI74" i="20"/>
  <c r="AH74" i="20" s="1"/>
  <c r="AG74" i="20" s="1"/>
  <c r="AF74" i="20" s="1"/>
  <c r="AD74" i="20" s="1"/>
  <c r="AI70" i="20"/>
  <c r="AH70" i="20" s="1"/>
  <c r="AI66" i="20"/>
  <c r="AH66" i="20" s="1"/>
  <c r="AI62" i="20"/>
  <c r="AH62" i="20" s="1"/>
  <c r="AG62" i="20" s="1"/>
  <c r="AF62" i="20" s="1"/>
  <c r="AD62" i="20" s="1"/>
  <c r="AI58" i="20"/>
  <c r="AH58" i="20" s="1"/>
  <c r="AI54" i="20"/>
  <c r="AH54" i="20" s="1"/>
  <c r="AG54" i="20" s="1"/>
  <c r="AF54" i="20" s="1"/>
  <c r="AI50" i="20"/>
  <c r="AH50" i="20" s="1"/>
  <c r="AG50" i="20" s="1"/>
  <c r="AF50" i="20" s="1"/>
  <c r="AD50" i="20" s="1"/>
  <c r="AI46" i="20"/>
  <c r="AH46" i="20" s="1"/>
  <c r="AG46" i="20" s="1"/>
  <c r="AF46" i="20" s="1"/>
  <c r="AD46" i="20" s="1"/>
  <c r="AI42" i="20"/>
  <c r="AH42" i="20" s="1"/>
  <c r="AG42" i="20" s="1"/>
  <c r="AF42" i="20" s="1"/>
  <c r="AD42" i="20" s="1"/>
  <c r="AI38" i="20"/>
  <c r="AH38" i="20" s="1"/>
  <c r="AI34" i="20"/>
  <c r="AH34" i="20" s="1"/>
  <c r="AG34" i="20" s="1"/>
  <c r="AF34" i="20" s="1"/>
  <c r="AD34" i="20" s="1"/>
  <c r="AI30" i="20"/>
  <c r="AH30" i="20" s="1"/>
  <c r="AG30" i="20" s="1"/>
  <c r="AF30" i="20" s="1"/>
  <c r="AD30" i="20" s="1"/>
  <c r="AI26" i="20"/>
  <c r="AH26" i="20" s="1"/>
  <c r="AI22" i="20"/>
  <c r="AH22" i="20" s="1"/>
  <c r="AI15" i="20"/>
  <c r="J369" i="17"/>
  <c r="I369" i="17"/>
  <c r="J309" i="17"/>
  <c r="I309" i="17"/>
  <c r="I225" i="17"/>
  <c r="J225" i="17"/>
  <c r="AH15" i="7"/>
  <c r="Q90" i="20"/>
  <c r="Q382" i="20" s="1"/>
  <c r="AI15" i="7"/>
  <c r="X9" i="15"/>
  <c r="Y11" i="15" s="1"/>
  <c r="Y382" i="15"/>
  <c r="Y381" i="15"/>
  <c r="AL6" i="15"/>
  <c r="AL12" i="15" s="1"/>
  <c r="Y383" i="15"/>
  <c r="AM6" i="15"/>
  <c r="AM12" i="15" s="1"/>
  <c r="W74" i="18"/>
  <c r="D74" i="18"/>
  <c r="E74" i="18" s="1"/>
  <c r="F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H76" i="18" s="1"/>
  <c r="J76" i="17"/>
  <c r="I249" i="17"/>
  <c r="J249" i="17"/>
  <c r="I25" i="17"/>
  <c r="J25" i="17"/>
  <c r="J302" i="17"/>
  <c r="I302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F173" i="18" l="1"/>
  <c r="F93" i="18"/>
  <c r="AA93" i="18" s="1"/>
  <c r="Z93" i="18" s="1"/>
  <c r="Y93" i="18" s="1"/>
  <c r="F365" i="18"/>
  <c r="G365" i="18" s="1"/>
  <c r="CA365" i="6" s="1"/>
  <c r="F221" i="18"/>
  <c r="H221" i="18" s="1"/>
  <c r="F141" i="18"/>
  <c r="AA141" i="18" s="1"/>
  <c r="Z141" i="18" s="1"/>
  <c r="Y141" i="18" s="1"/>
  <c r="U383" i="18"/>
  <c r="F117" i="18"/>
  <c r="G117" i="18" s="1"/>
  <c r="CA117" i="6" s="1"/>
  <c r="F65" i="19"/>
  <c r="U382" i="18"/>
  <c r="H272" i="17"/>
  <c r="F56" i="17"/>
  <c r="F227" i="17"/>
  <c r="AA155" i="17"/>
  <c r="Z155" i="17" s="1"/>
  <c r="Y155" i="17" s="1"/>
  <c r="G155" i="17"/>
  <c r="BZ155" i="6" s="1"/>
  <c r="H155" i="17"/>
  <c r="G183" i="17"/>
  <c r="BZ183" i="6" s="1"/>
  <c r="H183" i="17"/>
  <c r="AA183" i="17"/>
  <c r="Z183" i="17" s="1"/>
  <c r="Y183" i="17" s="1"/>
  <c r="AA22" i="17"/>
  <c r="Z22" i="17" s="1"/>
  <c r="Y22" i="17" s="1"/>
  <c r="H22" i="17"/>
  <c r="G22" i="17"/>
  <c r="BZ22" i="6" s="1"/>
  <c r="J136" i="17"/>
  <c r="I136" i="17"/>
  <c r="AA267" i="17"/>
  <c r="Z267" i="17" s="1"/>
  <c r="Y267" i="17" s="1"/>
  <c r="H267" i="17"/>
  <c r="G267" i="17"/>
  <c r="BZ267" i="6" s="1"/>
  <c r="G126" i="17"/>
  <c r="BZ126" i="6" s="1"/>
  <c r="H126" i="17"/>
  <c r="AA126" i="17"/>
  <c r="Z126" i="17" s="1"/>
  <c r="Y126" i="17" s="1"/>
  <c r="H16" i="17"/>
  <c r="AA16" i="17"/>
  <c r="Z16" i="17" s="1"/>
  <c r="Y16" i="17" s="1"/>
  <c r="G16" i="17"/>
  <c r="BZ16" i="6" s="1"/>
  <c r="H136" i="18"/>
  <c r="I136" i="18" s="1"/>
  <c r="B136" i="6" s="1"/>
  <c r="BA136" i="6" s="1"/>
  <c r="D136" i="6" s="1"/>
  <c r="S381" i="17"/>
  <c r="S383" i="17"/>
  <c r="S382" i="17"/>
  <c r="R15" i="17"/>
  <c r="J32" i="17"/>
  <c r="I32" i="17"/>
  <c r="H56" i="17"/>
  <c r="AA56" i="17"/>
  <c r="Z56" i="17" s="1"/>
  <c r="Y56" i="17" s="1"/>
  <c r="G56" i="17"/>
  <c r="BZ56" i="6" s="1"/>
  <c r="I64" i="17"/>
  <c r="J64" i="17"/>
  <c r="F88" i="17"/>
  <c r="D64" i="19"/>
  <c r="J128" i="17"/>
  <c r="I128" i="17"/>
  <c r="H128" i="18" s="1"/>
  <c r="J128" i="18" s="1"/>
  <c r="C128" i="6" s="1"/>
  <c r="H152" i="17"/>
  <c r="G152" i="17"/>
  <c r="BZ152" i="6" s="1"/>
  <c r="AA152" i="17"/>
  <c r="Z152" i="17" s="1"/>
  <c r="Y152" i="17" s="1"/>
  <c r="H176" i="17"/>
  <c r="AA176" i="17"/>
  <c r="Z176" i="17" s="1"/>
  <c r="Y176" i="17" s="1"/>
  <c r="G176" i="17"/>
  <c r="BZ176" i="6" s="1"/>
  <c r="J200" i="17"/>
  <c r="I200" i="17"/>
  <c r="I114" i="17"/>
  <c r="J114" i="17"/>
  <c r="J138" i="17"/>
  <c r="I138" i="17"/>
  <c r="I146" i="17"/>
  <c r="J146" i="17"/>
  <c r="J202" i="17"/>
  <c r="I202" i="17"/>
  <c r="G210" i="17"/>
  <c r="BZ210" i="6" s="1"/>
  <c r="AA210" i="17"/>
  <c r="Z210" i="17" s="1"/>
  <c r="Y210" i="17" s="1"/>
  <c r="H210" i="17"/>
  <c r="J256" i="17"/>
  <c r="I256" i="17"/>
  <c r="I296" i="17"/>
  <c r="J296" i="17"/>
  <c r="J312" i="17"/>
  <c r="I312" i="17"/>
  <c r="I336" i="17"/>
  <c r="J336" i="17"/>
  <c r="J43" i="17"/>
  <c r="I43" i="17"/>
  <c r="H43" i="18" s="1"/>
  <c r="J59" i="17"/>
  <c r="I59" i="17"/>
  <c r="H59" i="18" s="1"/>
  <c r="J59" i="18" s="1"/>
  <c r="C59" i="6" s="1"/>
  <c r="I115" i="17"/>
  <c r="J115" i="17"/>
  <c r="I147" i="17"/>
  <c r="J147" i="17"/>
  <c r="J179" i="17"/>
  <c r="I179" i="17"/>
  <c r="H227" i="17"/>
  <c r="AA227" i="17"/>
  <c r="Z227" i="17" s="1"/>
  <c r="Y227" i="17" s="1"/>
  <c r="G227" i="17"/>
  <c r="BZ227" i="6" s="1"/>
  <c r="I235" i="17"/>
  <c r="J235" i="17"/>
  <c r="I275" i="17"/>
  <c r="J275" i="17"/>
  <c r="AA291" i="17"/>
  <c r="Z291" i="17" s="1"/>
  <c r="Y291" i="17" s="1"/>
  <c r="H291" i="17"/>
  <c r="G291" i="17"/>
  <c r="BZ291" i="6" s="1"/>
  <c r="J307" i="17"/>
  <c r="I307" i="17"/>
  <c r="H307" i="18" s="1"/>
  <c r="I307" i="18" s="1"/>
  <c r="B307" i="6" s="1"/>
  <c r="BA307" i="6" s="1"/>
  <c r="D307" i="6" s="1"/>
  <c r="J282" i="17"/>
  <c r="I282" i="17"/>
  <c r="J354" i="17"/>
  <c r="I354" i="17"/>
  <c r="I77" i="17"/>
  <c r="J77" i="17"/>
  <c r="I133" i="17"/>
  <c r="J133" i="17"/>
  <c r="H64" i="19"/>
  <c r="J221" i="17"/>
  <c r="I221" i="17"/>
  <c r="G261" i="17"/>
  <c r="BZ261" i="6" s="1"/>
  <c r="AA261" i="17"/>
  <c r="Z261" i="17" s="1"/>
  <c r="Y261" i="17" s="1"/>
  <c r="H261" i="17"/>
  <c r="AA365" i="17"/>
  <c r="Z365" i="17" s="1"/>
  <c r="Y365" i="17" s="1"/>
  <c r="H365" i="17"/>
  <c r="G365" i="17"/>
  <c r="BZ365" i="6" s="1"/>
  <c r="AG381" i="17"/>
  <c r="AF15" i="17"/>
  <c r="AG382" i="17"/>
  <c r="AG383" i="17"/>
  <c r="J44" i="17"/>
  <c r="I44" i="17"/>
  <c r="J116" i="17"/>
  <c r="I116" i="17"/>
  <c r="I228" i="17"/>
  <c r="J228" i="17"/>
  <c r="J30" i="17"/>
  <c r="I30" i="17"/>
  <c r="J46" i="17"/>
  <c r="I46" i="17"/>
  <c r="J182" i="17"/>
  <c r="I182" i="17"/>
  <c r="J260" i="17"/>
  <c r="I260" i="17"/>
  <c r="I284" i="17"/>
  <c r="H284" i="18" s="1"/>
  <c r="I284" i="18" s="1"/>
  <c r="B284" i="6" s="1"/>
  <c r="BA284" i="6" s="1"/>
  <c r="D284" i="6" s="1"/>
  <c r="J284" i="17"/>
  <c r="J308" i="17"/>
  <c r="I308" i="17"/>
  <c r="J31" i="17"/>
  <c r="I31" i="17"/>
  <c r="H31" i="18" s="1"/>
  <c r="I31" i="18" s="1"/>
  <c r="B31" i="6" s="1"/>
  <c r="BA31" i="6" s="1"/>
  <c r="D31" i="6" s="1"/>
  <c r="J135" i="17"/>
  <c r="I135" i="17"/>
  <c r="I246" i="17"/>
  <c r="J246" i="17"/>
  <c r="J318" i="17"/>
  <c r="I318" i="17"/>
  <c r="G334" i="17"/>
  <c r="BZ334" i="6" s="1"/>
  <c r="AA334" i="17"/>
  <c r="Z334" i="17" s="1"/>
  <c r="Y334" i="17" s="1"/>
  <c r="H334" i="17"/>
  <c r="I366" i="17"/>
  <c r="J366" i="17"/>
  <c r="I41" i="17"/>
  <c r="J41" i="17"/>
  <c r="I81" i="17"/>
  <c r="J81" i="17"/>
  <c r="J121" i="17"/>
  <c r="I121" i="17"/>
  <c r="J145" i="17"/>
  <c r="I145" i="17"/>
  <c r="I169" i="17"/>
  <c r="J169" i="17"/>
  <c r="J185" i="17"/>
  <c r="I185" i="17"/>
  <c r="F285" i="18"/>
  <c r="AA285" i="18" s="1"/>
  <c r="Z285" i="18" s="1"/>
  <c r="Y285" i="18" s="1"/>
  <c r="F77" i="18"/>
  <c r="J266" i="17"/>
  <c r="I266" i="17"/>
  <c r="J322" i="17"/>
  <c r="I322" i="17"/>
  <c r="AA245" i="17"/>
  <c r="Z245" i="17" s="1"/>
  <c r="Y245" i="17" s="1"/>
  <c r="G245" i="17"/>
  <c r="BZ245" i="6" s="1"/>
  <c r="H245" i="17"/>
  <c r="J269" i="17"/>
  <c r="I269" i="17"/>
  <c r="J220" i="17"/>
  <c r="I220" i="17"/>
  <c r="H220" i="18" s="1"/>
  <c r="I38" i="17"/>
  <c r="J38" i="17"/>
  <c r="I54" i="17"/>
  <c r="J54" i="17"/>
  <c r="J102" i="17"/>
  <c r="I102" i="17"/>
  <c r="J118" i="17"/>
  <c r="I118" i="17"/>
  <c r="AA174" i="17"/>
  <c r="Z174" i="17" s="1"/>
  <c r="Y174" i="17" s="1"/>
  <c r="H174" i="17"/>
  <c r="G174" i="17"/>
  <c r="BZ174" i="6" s="1"/>
  <c r="I190" i="17"/>
  <c r="J190" i="17"/>
  <c r="I316" i="17"/>
  <c r="H316" i="18" s="1"/>
  <c r="J316" i="18" s="1"/>
  <c r="C316" i="6" s="1"/>
  <c r="J316" i="17"/>
  <c r="I55" i="17"/>
  <c r="J55" i="17"/>
  <c r="J95" i="17"/>
  <c r="I95" i="17"/>
  <c r="F119" i="17"/>
  <c r="E64" i="19"/>
  <c r="J207" i="17"/>
  <c r="I207" i="17"/>
  <c r="H207" i="18" s="1"/>
  <c r="I207" i="18" s="1"/>
  <c r="B207" i="6" s="1"/>
  <c r="BA207" i="6" s="1"/>
  <c r="D207" i="6" s="1"/>
  <c r="J351" i="17"/>
  <c r="I351" i="17"/>
  <c r="H351" i="18" s="1"/>
  <c r="I351" i="18" s="1"/>
  <c r="B351" i="6" s="1"/>
  <c r="BA351" i="6" s="1"/>
  <c r="J326" i="17"/>
  <c r="I326" i="17"/>
  <c r="I57" i="17"/>
  <c r="J57" i="17"/>
  <c r="I153" i="17"/>
  <c r="J153" i="17"/>
  <c r="I201" i="17"/>
  <c r="J201" i="17"/>
  <c r="J305" i="17"/>
  <c r="I305" i="17"/>
  <c r="H305" i="18" s="1"/>
  <c r="I305" i="18" s="1"/>
  <c r="B305" i="6" s="1"/>
  <c r="BA305" i="6" s="1"/>
  <c r="D305" i="6" s="1"/>
  <c r="H114" i="18"/>
  <c r="J114" i="18" s="1"/>
  <c r="C114" i="6" s="1"/>
  <c r="H145" i="18"/>
  <c r="J145" i="18" s="1"/>
  <c r="C145" i="6" s="1"/>
  <c r="S189" i="18"/>
  <c r="R189" i="18" s="1"/>
  <c r="P189" i="18" s="1"/>
  <c r="S125" i="18"/>
  <c r="R125" i="18" s="1"/>
  <c r="P125" i="18" s="1"/>
  <c r="S61" i="18"/>
  <c r="R61" i="18" s="1"/>
  <c r="P61" i="18" s="1"/>
  <c r="J280" i="17"/>
  <c r="I280" i="17"/>
  <c r="I48" i="17"/>
  <c r="J48" i="17"/>
  <c r="I72" i="17"/>
  <c r="J72" i="17"/>
  <c r="J208" i="17"/>
  <c r="I208" i="17"/>
  <c r="I216" i="17"/>
  <c r="J216" i="17"/>
  <c r="I26" i="17"/>
  <c r="J26" i="17"/>
  <c r="I42" i="17"/>
  <c r="H42" i="18" s="1"/>
  <c r="J42" i="17"/>
  <c r="J82" i="17"/>
  <c r="I82" i="17"/>
  <c r="J130" i="17"/>
  <c r="I130" i="17"/>
  <c r="I178" i="17"/>
  <c r="H178" i="18" s="1"/>
  <c r="J178" i="18" s="1"/>
  <c r="C178" i="6" s="1"/>
  <c r="J178" i="17"/>
  <c r="J234" i="17"/>
  <c r="I234" i="17"/>
  <c r="J248" i="17"/>
  <c r="I248" i="17"/>
  <c r="H248" i="18" s="1"/>
  <c r="I248" i="18" s="1"/>
  <c r="B248" i="6" s="1"/>
  <c r="BA248" i="6" s="1"/>
  <c r="D248" i="6" s="1"/>
  <c r="AA272" i="17"/>
  <c r="Z272" i="17" s="1"/>
  <c r="Y272" i="17" s="1"/>
  <c r="G272" i="17"/>
  <c r="BZ272" i="6" s="1"/>
  <c r="J376" i="17"/>
  <c r="I376" i="17"/>
  <c r="H376" i="18" s="1"/>
  <c r="J376" i="18" s="1"/>
  <c r="C376" i="6" s="1"/>
  <c r="I27" i="17"/>
  <c r="J27" i="17"/>
  <c r="I51" i="17"/>
  <c r="J51" i="17"/>
  <c r="I91" i="17"/>
  <c r="H91" i="18" s="1"/>
  <c r="J91" i="18" s="1"/>
  <c r="C91" i="6" s="1"/>
  <c r="J91" i="17"/>
  <c r="I131" i="17"/>
  <c r="H131" i="18" s="1"/>
  <c r="J131" i="18" s="1"/>
  <c r="C131" i="6" s="1"/>
  <c r="J131" i="17"/>
  <c r="J163" i="17"/>
  <c r="I163" i="17"/>
  <c r="J171" i="17"/>
  <c r="I171" i="17"/>
  <c r="J243" i="17"/>
  <c r="I243" i="17"/>
  <c r="J251" i="17"/>
  <c r="I251" i="17"/>
  <c r="H251" i="18" s="1"/>
  <c r="J251" i="18" s="1"/>
  <c r="C251" i="6" s="1"/>
  <c r="J347" i="17"/>
  <c r="I347" i="17"/>
  <c r="H347" i="18" s="1"/>
  <c r="I347" i="18" s="1"/>
  <c r="B347" i="6" s="1"/>
  <c r="BA347" i="6" s="1"/>
  <c r="D347" i="6" s="1"/>
  <c r="AA363" i="17"/>
  <c r="Z363" i="17" s="1"/>
  <c r="Y363" i="17" s="1"/>
  <c r="G363" i="17"/>
  <c r="BZ363" i="6" s="1"/>
  <c r="H363" i="17"/>
  <c r="J330" i="17"/>
  <c r="I330" i="17"/>
  <c r="H330" i="18" s="1"/>
  <c r="J37" i="17"/>
  <c r="I37" i="17"/>
  <c r="J109" i="17"/>
  <c r="I109" i="17"/>
  <c r="I165" i="17"/>
  <c r="J165" i="17"/>
  <c r="I189" i="17"/>
  <c r="J189" i="17"/>
  <c r="F205" i="17"/>
  <c r="J64" i="19"/>
  <c r="J277" i="17"/>
  <c r="I277" i="17"/>
  <c r="I349" i="17"/>
  <c r="J349" i="17"/>
  <c r="J92" i="17"/>
  <c r="I92" i="17"/>
  <c r="H92" i="18" s="1"/>
  <c r="I196" i="17"/>
  <c r="J196" i="17"/>
  <c r="J94" i="17"/>
  <c r="I94" i="17"/>
  <c r="H94" i="18" s="1"/>
  <c r="I94" i="18" s="1"/>
  <c r="B94" i="6" s="1"/>
  <c r="BA94" i="6" s="1"/>
  <c r="D94" i="6" s="1"/>
  <c r="I110" i="17"/>
  <c r="J110" i="17"/>
  <c r="I166" i="17"/>
  <c r="J166" i="17"/>
  <c r="I198" i="17"/>
  <c r="J198" i="17"/>
  <c r="J364" i="17"/>
  <c r="I364" i="17"/>
  <c r="I71" i="17"/>
  <c r="J71" i="17"/>
  <c r="I87" i="17"/>
  <c r="J87" i="17"/>
  <c r="I111" i="17"/>
  <c r="H111" i="18" s="1"/>
  <c r="J111" i="17"/>
  <c r="J223" i="17"/>
  <c r="I223" i="17"/>
  <c r="I303" i="17"/>
  <c r="J303" i="17"/>
  <c r="I367" i="17"/>
  <c r="H367" i="18" s="1"/>
  <c r="I367" i="18" s="1"/>
  <c r="B367" i="6" s="1"/>
  <c r="BA367" i="6" s="1"/>
  <c r="D367" i="6" s="1"/>
  <c r="J367" i="17"/>
  <c r="I233" i="17"/>
  <c r="J233" i="17"/>
  <c r="I265" i="17"/>
  <c r="J265" i="17"/>
  <c r="J289" i="17"/>
  <c r="I289" i="17"/>
  <c r="J321" i="17"/>
  <c r="I321" i="17"/>
  <c r="H321" i="18" s="1"/>
  <c r="I321" i="18" s="1"/>
  <c r="B321" i="6" s="1"/>
  <c r="BA321" i="6" s="1"/>
  <c r="D321" i="6" s="1"/>
  <c r="F349" i="18"/>
  <c r="J346" i="17"/>
  <c r="I346" i="17"/>
  <c r="G29" i="17"/>
  <c r="BZ29" i="6" s="1"/>
  <c r="H29" i="17"/>
  <c r="AA29" i="17"/>
  <c r="Z29" i="17" s="1"/>
  <c r="Y29" i="17" s="1"/>
  <c r="J53" i="17"/>
  <c r="I53" i="17"/>
  <c r="I101" i="17"/>
  <c r="J101" i="17"/>
  <c r="J125" i="17"/>
  <c r="I125" i="17"/>
  <c r="F149" i="17"/>
  <c r="F64" i="19"/>
  <c r="J173" i="17"/>
  <c r="I173" i="17"/>
  <c r="I197" i="17"/>
  <c r="H197" i="18" s="1"/>
  <c r="J197" i="17"/>
  <c r="I213" i="17"/>
  <c r="H213" i="18" s="1"/>
  <c r="J213" i="17"/>
  <c r="F333" i="17"/>
  <c r="L64" i="19"/>
  <c r="I357" i="17"/>
  <c r="J357" i="17"/>
  <c r="I276" i="17"/>
  <c r="J276" i="17"/>
  <c r="J36" i="17"/>
  <c r="I36" i="17"/>
  <c r="J68" i="17"/>
  <c r="I68" i="17"/>
  <c r="I108" i="17"/>
  <c r="H108" i="18" s="1"/>
  <c r="J108" i="17"/>
  <c r="I156" i="17"/>
  <c r="J156" i="17"/>
  <c r="I158" i="17"/>
  <c r="H158" i="18" s="1"/>
  <c r="I158" i="18" s="1"/>
  <c r="B158" i="6" s="1"/>
  <c r="BA158" i="6" s="1"/>
  <c r="D158" i="6" s="1"/>
  <c r="J158" i="17"/>
  <c r="G64" i="19"/>
  <c r="I206" i="17"/>
  <c r="H206" i="18" s="1"/>
  <c r="J206" i="17"/>
  <c r="I292" i="17"/>
  <c r="J292" i="17"/>
  <c r="I372" i="17"/>
  <c r="J372" i="17"/>
  <c r="I79" i="17"/>
  <c r="J79" i="17"/>
  <c r="J143" i="17"/>
  <c r="I143" i="17"/>
  <c r="I231" i="17"/>
  <c r="J231" i="17"/>
  <c r="I262" i="17"/>
  <c r="J262" i="17"/>
  <c r="I97" i="17"/>
  <c r="J97" i="17"/>
  <c r="I137" i="17"/>
  <c r="J137" i="17"/>
  <c r="I177" i="17"/>
  <c r="H177" i="18" s="1"/>
  <c r="J177" i="17"/>
  <c r="I257" i="17"/>
  <c r="J257" i="17"/>
  <c r="I273" i="17"/>
  <c r="J273" i="17"/>
  <c r="J345" i="17"/>
  <c r="I345" i="17"/>
  <c r="F301" i="18"/>
  <c r="J380" i="18"/>
  <c r="C380" i="6" s="1"/>
  <c r="I380" i="18"/>
  <c r="J350" i="17"/>
  <c r="I350" i="17"/>
  <c r="F381" i="16"/>
  <c r="F383" i="16"/>
  <c r="AM10" i="16"/>
  <c r="F9" i="16"/>
  <c r="AA15" i="16"/>
  <c r="AK10" i="16"/>
  <c r="AK12" i="16" s="1"/>
  <c r="AK13" i="16" s="1"/>
  <c r="G15" i="16"/>
  <c r="F382" i="16"/>
  <c r="H15" i="16"/>
  <c r="B63" i="19"/>
  <c r="N63" i="19" s="1"/>
  <c r="V383" i="16"/>
  <c r="V382" i="16"/>
  <c r="V381" i="16"/>
  <c r="G85" i="18"/>
  <c r="CA85" i="6" s="1"/>
  <c r="AD54" i="20"/>
  <c r="AD86" i="20"/>
  <c r="P373" i="20"/>
  <c r="V373" i="20" s="1"/>
  <c r="B373" i="20" s="1"/>
  <c r="W373" i="20" s="1"/>
  <c r="P369" i="20"/>
  <c r="V369" i="20" s="1"/>
  <c r="B369" i="20" s="1"/>
  <c r="D369" i="20" s="1"/>
  <c r="E369" i="20" s="1"/>
  <c r="F369" i="20" s="1"/>
  <c r="P365" i="20"/>
  <c r="V365" i="20" s="1"/>
  <c r="B365" i="20" s="1"/>
  <c r="W365" i="20" s="1"/>
  <c r="P357" i="20"/>
  <c r="V357" i="20" s="1"/>
  <c r="B357" i="20" s="1"/>
  <c r="D357" i="20" s="1"/>
  <c r="E357" i="20" s="1"/>
  <c r="F357" i="20" s="1"/>
  <c r="P345" i="20"/>
  <c r="V345" i="20" s="1"/>
  <c r="B345" i="20" s="1"/>
  <c r="D345" i="20" s="1"/>
  <c r="E345" i="20" s="1"/>
  <c r="F345" i="20" s="1"/>
  <c r="P321" i="20"/>
  <c r="V321" i="20" s="1"/>
  <c r="B321" i="20" s="1"/>
  <c r="D321" i="20" s="1"/>
  <c r="E321" i="20" s="1"/>
  <c r="F321" i="20" s="1"/>
  <c r="F21" i="18"/>
  <c r="G21" i="18" s="1"/>
  <c r="CA21" i="6" s="1"/>
  <c r="H113" i="18"/>
  <c r="I113" i="18" s="1"/>
  <c r="B113" i="6" s="1"/>
  <c r="BA113" i="6" s="1"/>
  <c r="P123" i="20"/>
  <c r="V123" i="20" s="1"/>
  <c r="B123" i="20" s="1"/>
  <c r="D123" i="20" s="1"/>
  <c r="E123" i="20" s="1"/>
  <c r="F123" i="20" s="1"/>
  <c r="P19" i="20"/>
  <c r="V19" i="20" s="1"/>
  <c r="B19" i="20" s="1"/>
  <c r="W19" i="20" s="1"/>
  <c r="AA197" i="18"/>
  <c r="Z197" i="18" s="1"/>
  <c r="Y197" i="18" s="1"/>
  <c r="F69" i="18"/>
  <c r="AA69" i="18" s="1"/>
  <c r="Z69" i="18" s="1"/>
  <c r="Y69" i="18" s="1"/>
  <c r="G213" i="18"/>
  <c r="CA213" i="6" s="1"/>
  <c r="AA320" i="18"/>
  <c r="Z320" i="18" s="1"/>
  <c r="Y320" i="18" s="1"/>
  <c r="AA169" i="18"/>
  <c r="Z169" i="18" s="1"/>
  <c r="Y169" i="18" s="1"/>
  <c r="H85" i="18"/>
  <c r="J85" i="18" s="1"/>
  <c r="C85" i="6" s="1"/>
  <c r="AA213" i="18"/>
  <c r="Z213" i="18" s="1"/>
  <c r="Y213" i="18" s="1"/>
  <c r="F101" i="18"/>
  <c r="AA101" i="18" s="1"/>
  <c r="Z101" i="18" s="1"/>
  <c r="Y101" i="18" s="1"/>
  <c r="Q12" i="22"/>
  <c r="Q10" i="22" s="1"/>
  <c r="Q16" i="22" s="1"/>
  <c r="F12" i="19"/>
  <c r="AI69" i="20"/>
  <c r="AH69" i="20" s="1"/>
  <c r="AG69" i="20" s="1"/>
  <c r="AF69" i="20" s="1"/>
  <c r="AD69" i="20" s="1"/>
  <c r="AI25" i="20"/>
  <c r="AH25" i="20" s="1"/>
  <c r="AG25" i="20" s="1"/>
  <c r="AF25" i="20" s="1"/>
  <c r="AD25" i="20" s="1"/>
  <c r="U17" i="20"/>
  <c r="T17" i="20" s="1"/>
  <c r="S17" i="20" s="1"/>
  <c r="R17" i="20" s="1"/>
  <c r="P17" i="20" s="1"/>
  <c r="V17" i="20" s="1"/>
  <c r="B17" i="20" s="1"/>
  <c r="U28" i="20"/>
  <c r="T28" i="20" s="1"/>
  <c r="U36" i="20"/>
  <c r="T36" i="20" s="1"/>
  <c r="S36" i="20" s="1"/>
  <c r="R36" i="20" s="1"/>
  <c r="P36" i="20" s="1"/>
  <c r="V36" i="20" s="1"/>
  <c r="B36" i="20" s="1"/>
  <c r="W36" i="20" s="1"/>
  <c r="U44" i="20"/>
  <c r="T44" i="20" s="1"/>
  <c r="S44" i="20" s="1"/>
  <c r="R44" i="20" s="1"/>
  <c r="P44" i="20" s="1"/>
  <c r="V44" i="20" s="1"/>
  <c r="B44" i="20" s="1"/>
  <c r="U52" i="20"/>
  <c r="T52" i="20" s="1"/>
  <c r="S52" i="20" s="1"/>
  <c r="R52" i="20" s="1"/>
  <c r="P52" i="20" s="1"/>
  <c r="V52" i="20" s="1"/>
  <c r="B52" i="20" s="1"/>
  <c r="U60" i="20"/>
  <c r="T60" i="20" s="1"/>
  <c r="S60" i="20" s="1"/>
  <c r="R60" i="20" s="1"/>
  <c r="P60" i="20" s="1"/>
  <c r="AH21" i="7" s="1"/>
  <c r="U68" i="20"/>
  <c r="T68" i="20" s="1"/>
  <c r="S68" i="20" s="1"/>
  <c r="R68" i="20" s="1"/>
  <c r="P68" i="20" s="1"/>
  <c r="V68" i="20" s="1"/>
  <c r="B68" i="20" s="1"/>
  <c r="W68" i="20" s="1"/>
  <c r="U76" i="20"/>
  <c r="T76" i="20" s="1"/>
  <c r="U84" i="20"/>
  <c r="T84" i="20" s="1"/>
  <c r="S84" i="20" s="1"/>
  <c r="R84" i="20" s="1"/>
  <c r="P84" i="20" s="1"/>
  <c r="V84" i="20" s="1"/>
  <c r="B84" i="20" s="1"/>
  <c r="U92" i="20"/>
  <c r="T92" i="20" s="1"/>
  <c r="U100" i="20"/>
  <c r="T100" i="20" s="1"/>
  <c r="S100" i="20" s="1"/>
  <c r="R100" i="20" s="1"/>
  <c r="P100" i="20" s="1"/>
  <c r="V100" i="20" s="1"/>
  <c r="B100" i="20" s="1"/>
  <c r="W100" i="20" s="1"/>
  <c r="U105" i="20"/>
  <c r="T105" i="20" s="1"/>
  <c r="S105" i="20" s="1"/>
  <c r="R105" i="20" s="1"/>
  <c r="P105" i="20" s="1"/>
  <c r="V105" i="20" s="1"/>
  <c r="U109" i="20"/>
  <c r="T109" i="20" s="1"/>
  <c r="S109" i="20" s="1"/>
  <c r="R109" i="20" s="1"/>
  <c r="P109" i="20" s="1"/>
  <c r="V109" i="20" s="1"/>
  <c r="B109" i="20" s="1"/>
  <c r="U113" i="20"/>
  <c r="T113" i="20" s="1"/>
  <c r="S113" i="20" s="1"/>
  <c r="R113" i="20" s="1"/>
  <c r="P113" i="20" s="1"/>
  <c r="V113" i="20" s="1"/>
  <c r="B113" i="20" s="1"/>
  <c r="U117" i="20"/>
  <c r="T117" i="20" s="1"/>
  <c r="S117" i="20" s="1"/>
  <c r="R117" i="20" s="1"/>
  <c r="P117" i="20" s="1"/>
  <c r="V117" i="20" s="1"/>
  <c r="B117" i="20" s="1"/>
  <c r="W117" i="20" s="1"/>
  <c r="U121" i="20"/>
  <c r="T121" i="20" s="1"/>
  <c r="U125" i="20"/>
  <c r="T125" i="20" s="1"/>
  <c r="U129" i="20"/>
  <c r="T129" i="20" s="1"/>
  <c r="U133" i="20"/>
  <c r="T133" i="20" s="1"/>
  <c r="S133" i="20" s="1"/>
  <c r="R133" i="20" s="1"/>
  <c r="P133" i="20" s="1"/>
  <c r="V133" i="20" s="1"/>
  <c r="B133" i="20" s="1"/>
  <c r="U137" i="20"/>
  <c r="T137" i="20" s="1"/>
  <c r="S137" i="20" s="1"/>
  <c r="R137" i="20" s="1"/>
  <c r="P137" i="20" s="1"/>
  <c r="V137" i="20" s="1"/>
  <c r="B137" i="20" s="1"/>
  <c r="W137" i="20" s="1"/>
  <c r="U141" i="20"/>
  <c r="T141" i="20" s="1"/>
  <c r="S141" i="20" s="1"/>
  <c r="R141" i="20" s="1"/>
  <c r="P141" i="20" s="1"/>
  <c r="V141" i="20" s="1"/>
  <c r="B141" i="20" s="1"/>
  <c r="U145" i="20"/>
  <c r="T145" i="20" s="1"/>
  <c r="S145" i="20" s="1"/>
  <c r="R145" i="20" s="1"/>
  <c r="P145" i="20" s="1"/>
  <c r="V145" i="20" s="1"/>
  <c r="B145" i="20" s="1"/>
  <c r="W145" i="20" s="1"/>
  <c r="U149" i="20"/>
  <c r="T149" i="20" s="1"/>
  <c r="S149" i="20" s="1"/>
  <c r="R149" i="20" s="1"/>
  <c r="P149" i="20" s="1"/>
  <c r="U153" i="20"/>
  <c r="T153" i="20" s="1"/>
  <c r="S153" i="20" s="1"/>
  <c r="R153" i="20" s="1"/>
  <c r="P153" i="20" s="1"/>
  <c r="V153" i="20" s="1"/>
  <c r="B153" i="20" s="1"/>
  <c r="U157" i="20"/>
  <c r="T157" i="20" s="1"/>
  <c r="S157" i="20" s="1"/>
  <c r="R157" i="20" s="1"/>
  <c r="P157" i="20" s="1"/>
  <c r="V157" i="20" s="1"/>
  <c r="B157" i="20" s="1"/>
  <c r="D157" i="20" s="1"/>
  <c r="E157" i="20" s="1"/>
  <c r="F157" i="20" s="1"/>
  <c r="U161" i="20"/>
  <c r="T161" i="20" s="1"/>
  <c r="S161" i="20" s="1"/>
  <c r="R161" i="20" s="1"/>
  <c r="P161" i="20" s="1"/>
  <c r="V161" i="20" s="1"/>
  <c r="B161" i="20" s="1"/>
  <c r="W161" i="20" s="1"/>
  <c r="U165" i="20"/>
  <c r="T165" i="20" s="1"/>
  <c r="S165" i="20" s="1"/>
  <c r="R165" i="20" s="1"/>
  <c r="P165" i="20" s="1"/>
  <c r="V165" i="20" s="1"/>
  <c r="B165" i="20" s="1"/>
  <c r="D165" i="20" s="1"/>
  <c r="E165" i="20" s="1"/>
  <c r="F165" i="20" s="1"/>
  <c r="U169" i="20"/>
  <c r="T169" i="20" s="1"/>
  <c r="S169" i="20" s="1"/>
  <c r="R169" i="20" s="1"/>
  <c r="P169" i="20" s="1"/>
  <c r="V169" i="20" s="1"/>
  <c r="B169" i="20" s="1"/>
  <c r="D169" i="20" s="1"/>
  <c r="E169" i="20" s="1"/>
  <c r="F169" i="20" s="1"/>
  <c r="U173" i="20"/>
  <c r="T173" i="20" s="1"/>
  <c r="U177" i="20"/>
  <c r="T177" i="20" s="1"/>
  <c r="S177" i="20" s="1"/>
  <c r="R177" i="20" s="1"/>
  <c r="P177" i="20" s="1"/>
  <c r="V177" i="20" s="1"/>
  <c r="B177" i="20" s="1"/>
  <c r="D177" i="20" s="1"/>
  <c r="E177" i="20" s="1"/>
  <c r="F177" i="20" s="1"/>
  <c r="U181" i="20"/>
  <c r="T181" i="20" s="1"/>
  <c r="S181" i="20" s="1"/>
  <c r="R181" i="20" s="1"/>
  <c r="P181" i="20" s="1"/>
  <c r="V181" i="20" s="1"/>
  <c r="B181" i="20" s="1"/>
  <c r="D181" i="20" s="1"/>
  <c r="E181" i="20" s="1"/>
  <c r="F181" i="20" s="1"/>
  <c r="U185" i="20"/>
  <c r="T185" i="20" s="1"/>
  <c r="S185" i="20" s="1"/>
  <c r="R185" i="20" s="1"/>
  <c r="P185" i="20" s="1"/>
  <c r="V185" i="20" s="1"/>
  <c r="B185" i="20" s="1"/>
  <c r="U189" i="20"/>
  <c r="T189" i="20" s="1"/>
  <c r="S189" i="20" s="1"/>
  <c r="R189" i="20" s="1"/>
  <c r="P189" i="20" s="1"/>
  <c r="V189" i="20" s="1"/>
  <c r="U193" i="20"/>
  <c r="T193" i="20" s="1"/>
  <c r="U197" i="20"/>
  <c r="T197" i="20" s="1"/>
  <c r="S197" i="20" s="1"/>
  <c r="R197" i="20" s="1"/>
  <c r="P197" i="20" s="1"/>
  <c r="V197" i="20" s="1"/>
  <c r="B197" i="20" s="1"/>
  <c r="U201" i="20"/>
  <c r="T201" i="20" s="1"/>
  <c r="S201" i="20" s="1"/>
  <c r="R201" i="20" s="1"/>
  <c r="P201" i="20" s="1"/>
  <c r="V201" i="20" s="1"/>
  <c r="B201" i="20" s="1"/>
  <c r="U205" i="20"/>
  <c r="T205" i="20" s="1"/>
  <c r="S205" i="20" s="1"/>
  <c r="R205" i="20" s="1"/>
  <c r="P205" i="20" s="1"/>
  <c r="V205" i="20" s="1"/>
  <c r="B205" i="20" s="1"/>
  <c r="U209" i="20"/>
  <c r="T209" i="20" s="1"/>
  <c r="S209" i="20" s="1"/>
  <c r="R209" i="20" s="1"/>
  <c r="P209" i="20" s="1"/>
  <c r="V209" i="20" s="1"/>
  <c r="B209" i="20" s="1"/>
  <c r="U213" i="20"/>
  <c r="T213" i="20" s="1"/>
  <c r="S213" i="20" s="1"/>
  <c r="R213" i="20" s="1"/>
  <c r="P213" i="20" s="1"/>
  <c r="V213" i="20" s="1"/>
  <c r="B213" i="20" s="1"/>
  <c r="D213" i="20" s="1"/>
  <c r="E213" i="20" s="1"/>
  <c r="F213" i="20" s="1"/>
  <c r="U217" i="20"/>
  <c r="T217" i="20" s="1"/>
  <c r="S217" i="20" s="1"/>
  <c r="R217" i="20" s="1"/>
  <c r="P217" i="20" s="1"/>
  <c r="V217" i="20" s="1"/>
  <c r="B217" i="20" s="1"/>
  <c r="U221" i="20"/>
  <c r="T221" i="20" s="1"/>
  <c r="S221" i="20" s="1"/>
  <c r="R221" i="20" s="1"/>
  <c r="P221" i="20" s="1"/>
  <c r="V221" i="20" s="1"/>
  <c r="B221" i="20" s="1"/>
  <c r="D221" i="20" s="1"/>
  <c r="E221" i="20" s="1"/>
  <c r="F221" i="20" s="1"/>
  <c r="U223" i="20"/>
  <c r="T223" i="20" s="1"/>
  <c r="S223" i="20" s="1"/>
  <c r="R223" i="20" s="1"/>
  <c r="P223" i="20" s="1"/>
  <c r="V223" i="20" s="1"/>
  <c r="B223" i="20" s="1"/>
  <c r="W223" i="20" s="1"/>
  <c r="U225" i="20"/>
  <c r="T225" i="20" s="1"/>
  <c r="S225" i="20" s="1"/>
  <c r="R225" i="20" s="1"/>
  <c r="P225" i="20" s="1"/>
  <c r="V225" i="20" s="1"/>
  <c r="B225" i="20" s="1"/>
  <c r="W225" i="20" s="1"/>
  <c r="U227" i="20"/>
  <c r="T227" i="20" s="1"/>
  <c r="S227" i="20" s="1"/>
  <c r="R227" i="20" s="1"/>
  <c r="P227" i="20" s="1"/>
  <c r="V227" i="20" s="1"/>
  <c r="B227" i="20" s="1"/>
  <c r="U229" i="20"/>
  <c r="T229" i="20" s="1"/>
  <c r="S229" i="20" s="1"/>
  <c r="R229" i="20" s="1"/>
  <c r="P229" i="20" s="1"/>
  <c r="V229" i="20" s="1"/>
  <c r="B229" i="20" s="1"/>
  <c r="U231" i="20"/>
  <c r="T231" i="20" s="1"/>
  <c r="S231" i="20" s="1"/>
  <c r="R231" i="20" s="1"/>
  <c r="P231" i="20" s="1"/>
  <c r="V231" i="20" s="1"/>
  <c r="B231" i="20" s="1"/>
  <c r="W231" i="20" s="1"/>
  <c r="U233" i="20"/>
  <c r="T233" i="20" s="1"/>
  <c r="U235" i="20"/>
  <c r="T235" i="20" s="1"/>
  <c r="S235" i="20" s="1"/>
  <c r="R235" i="20" s="1"/>
  <c r="P235" i="20" s="1"/>
  <c r="V235" i="20" s="1"/>
  <c r="B235" i="20" s="1"/>
  <c r="U237" i="20"/>
  <c r="T237" i="20" s="1"/>
  <c r="S237" i="20" s="1"/>
  <c r="R237" i="20" s="1"/>
  <c r="P237" i="20" s="1"/>
  <c r="V237" i="20" s="1"/>
  <c r="B237" i="20" s="1"/>
  <c r="U239" i="20"/>
  <c r="T239" i="20" s="1"/>
  <c r="S239" i="20" s="1"/>
  <c r="R239" i="20" s="1"/>
  <c r="P239" i="20" s="1"/>
  <c r="V239" i="20" s="1"/>
  <c r="B239" i="20" s="1"/>
  <c r="D239" i="20" s="1"/>
  <c r="E239" i="20" s="1"/>
  <c r="F239" i="20" s="1"/>
  <c r="U241" i="20"/>
  <c r="T241" i="20" s="1"/>
  <c r="U243" i="20"/>
  <c r="T243" i="20" s="1"/>
  <c r="S243" i="20" s="1"/>
  <c r="R243" i="20" s="1"/>
  <c r="P243" i="20" s="1"/>
  <c r="V243" i="20" s="1"/>
  <c r="B243" i="20" s="1"/>
  <c r="U245" i="20"/>
  <c r="T245" i="20" s="1"/>
  <c r="S245" i="20" s="1"/>
  <c r="R245" i="20" s="1"/>
  <c r="P245" i="20" s="1"/>
  <c r="V245" i="20" s="1"/>
  <c r="B245" i="20" s="1"/>
  <c r="U247" i="20"/>
  <c r="T247" i="20" s="1"/>
  <c r="S247" i="20" s="1"/>
  <c r="R247" i="20" s="1"/>
  <c r="P247" i="20" s="1"/>
  <c r="V247" i="20" s="1"/>
  <c r="B247" i="20" s="1"/>
  <c r="W247" i="20" s="1"/>
  <c r="U249" i="20"/>
  <c r="T249" i="20" s="1"/>
  <c r="S249" i="20" s="1"/>
  <c r="R249" i="20" s="1"/>
  <c r="P249" i="20" s="1"/>
  <c r="V249" i="20" s="1"/>
  <c r="B249" i="20" s="1"/>
  <c r="W249" i="20" s="1"/>
  <c r="U251" i="20"/>
  <c r="T251" i="20" s="1"/>
  <c r="S251" i="20" s="1"/>
  <c r="R251" i="20" s="1"/>
  <c r="P251" i="20" s="1"/>
  <c r="V251" i="20" s="1"/>
  <c r="B251" i="20" s="1"/>
  <c r="U253" i="20"/>
  <c r="T253" i="20" s="1"/>
  <c r="U255" i="20"/>
  <c r="T255" i="20" s="1"/>
  <c r="S255" i="20" s="1"/>
  <c r="R255" i="20" s="1"/>
  <c r="P255" i="20" s="1"/>
  <c r="V255" i="20" s="1"/>
  <c r="B255" i="20" s="1"/>
  <c r="D255" i="20" s="1"/>
  <c r="E255" i="20" s="1"/>
  <c r="F255" i="20" s="1"/>
  <c r="U257" i="20"/>
  <c r="T257" i="20" s="1"/>
  <c r="S257" i="20" s="1"/>
  <c r="R257" i="20" s="1"/>
  <c r="P257" i="20" s="1"/>
  <c r="V257" i="20" s="1"/>
  <c r="B257" i="20" s="1"/>
  <c r="U259" i="20"/>
  <c r="T259" i="20" s="1"/>
  <c r="S259" i="20" s="1"/>
  <c r="R259" i="20" s="1"/>
  <c r="P259" i="20" s="1"/>
  <c r="V259" i="20" s="1"/>
  <c r="B259" i="20" s="1"/>
  <c r="U261" i="20"/>
  <c r="T261" i="20" s="1"/>
  <c r="U263" i="20"/>
  <c r="T263" i="20" s="1"/>
  <c r="S263" i="20" s="1"/>
  <c r="R263" i="20" s="1"/>
  <c r="P263" i="20" s="1"/>
  <c r="V263" i="20" s="1"/>
  <c r="B263" i="20" s="1"/>
  <c r="U265" i="20"/>
  <c r="T265" i="20" s="1"/>
  <c r="S265" i="20" s="1"/>
  <c r="R265" i="20" s="1"/>
  <c r="P265" i="20" s="1"/>
  <c r="V265" i="20" s="1"/>
  <c r="B265" i="20" s="1"/>
  <c r="U267" i="20"/>
  <c r="T267" i="20" s="1"/>
  <c r="S267" i="20" s="1"/>
  <c r="R267" i="20" s="1"/>
  <c r="P267" i="20" s="1"/>
  <c r="V267" i="20" s="1"/>
  <c r="B267" i="20" s="1"/>
  <c r="D267" i="20" s="1"/>
  <c r="E267" i="20" s="1"/>
  <c r="F267" i="20" s="1"/>
  <c r="U269" i="20"/>
  <c r="T269" i="20" s="1"/>
  <c r="S269" i="20" s="1"/>
  <c r="R269" i="20" s="1"/>
  <c r="P269" i="20" s="1"/>
  <c r="V269" i="20" s="1"/>
  <c r="B269" i="20" s="1"/>
  <c r="D269" i="20" s="1"/>
  <c r="E269" i="20" s="1"/>
  <c r="F269" i="20" s="1"/>
  <c r="U271" i="20"/>
  <c r="T271" i="20" s="1"/>
  <c r="S271" i="20" s="1"/>
  <c r="R271" i="20" s="1"/>
  <c r="P271" i="20" s="1"/>
  <c r="V271" i="20" s="1"/>
  <c r="B271" i="20" s="1"/>
  <c r="W271" i="20" s="1"/>
  <c r="U273" i="20"/>
  <c r="T273" i="20" s="1"/>
  <c r="S273" i="20" s="1"/>
  <c r="R273" i="20" s="1"/>
  <c r="P273" i="20" s="1"/>
  <c r="V273" i="20" s="1"/>
  <c r="B273" i="20" s="1"/>
  <c r="D273" i="20" s="1"/>
  <c r="E273" i="20" s="1"/>
  <c r="F273" i="20" s="1"/>
  <c r="U275" i="20"/>
  <c r="T275" i="20" s="1"/>
  <c r="S275" i="20" s="1"/>
  <c r="R275" i="20" s="1"/>
  <c r="P275" i="20" s="1"/>
  <c r="V275" i="20" s="1"/>
  <c r="B275" i="20" s="1"/>
  <c r="U277" i="20"/>
  <c r="T277" i="20" s="1"/>
  <c r="U279" i="20"/>
  <c r="T279" i="20" s="1"/>
  <c r="S279" i="20" s="1"/>
  <c r="R279" i="20" s="1"/>
  <c r="P279" i="20" s="1"/>
  <c r="V279" i="20" s="1"/>
  <c r="B279" i="20" s="1"/>
  <c r="U281" i="20"/>
  <c r="T281" i="20" s="1"/>
  <c r="S281" i="20" s="1"/>
  <c r="R281" i="20" s="1"/>
  <c r="P281" i="20" s="1"/>
  <c r="V281" i="20" s="1"/>
  <c r="B281" i="20" s="1"/>
  <c r="U283" i="20"/>
  <c r="T283" i="20" s="1"/>
  <c r="S283" i="20" s="1"/>
  <c r="R283" i="20" s="1"/>
  <c r="P283" i="20" s="1"/>
  <c r="V283" i="20" s="1"/>
  <c r="B283" i="20" s="1"/>
  <c r="U285" i="20"/>
  <c r="T285" i="20" s="1"/>
  <c r="U287" i="20"/>
  <c r="T287" i="20" s="1"/>
  <c r="S287" i="20" s="1"/>
  <c r="R287" i="20" s="1"/>
  <c r="P287" i="20" s="1"/>
  <c r="V287" i="20" s="1"/>
  <c r="B287" i="20" s="1"/>
  <c r="U289" i="20"/>
  <c r="T289" i="20" s="1"/>
  <c r="S289" i="20" s="1"/>
  <c r="R289" i="20" s="1"/>
  <c r="P289" i="20" s="1"/>
  <c r="V289" i="20" s="1"/>
  <c r="B289" i="20" s="1"/>
  <c r="W289" i="20" s="1"/>
  <c r="U291" i="20"/>
  <c r="T291" i="20" s="1"/>
  <c r="S291" i="20" s="1"/>
  <c r="R291" i="20" s="1"/>
  <c r="P291" i="20" s="1"/>
  <c r="V291" i="20" s="1"/>
  <c r="B291" i="20" s="1"/>
  <c r="W291" i="20" s="1"/>
  <c r="U293" i="20"/>
  <c r="T293" i="20" s="1"/>
  <c r="S293" i="20" s="1"/>
  <c r="R293" i="20" s="1"/>
  <c r="P293" i="20" s="1"/>
  <c r="V293" i="20" s="1"/>
  <c r="B293" i="20" s="1"/>
  <c r="U295" i="20"/>
  <c r="T295" i="20" s="1"/>
  <c r="S295" i="20" s="1"/>
  <c r="R295" i="20" s="1"/>
  <c r="P295" i="20" s="1"/>
  <c r="V295" i="20" s="1"/>
  <c r="B295" i="20" s="1"/>
  <c r="W295" i="20" s="1"/>
  <c r="U297" i="20"/>
  <c r="T297" i="20" s="1"/>
  <c r="U299" i="20"/>
  <c r="T299" i="20" s="1"/>
  <c r="S299" i="20" s="1"/>
  <c r="R299" i="20" s="1"/>
  <c r="P299" i="20" s="1"/>
  <c r="V299" i="20" s="1"/>
  <c r="B299" i="20" s="1"/>
  <c r="U301" i="20"/>
  <c r="T301" i="20" s="1"/>
  <c r="S301" i="20" s="1"/>
  <c r="R301" i="20" s="1"/>
  <c r="P301" i="20" s="1"/>
  <c r="V301" i="20" s="1"/>
  <c r="B301" i="20" s="1"/>
  <c r="U303" i="20"/>
  <c r="T303" i="20" s="1"/>
  <c r="S303" i="20" s="1"/>
  <c r="R303" i="20" s="1"/>
  <c r="P303" i="20" s="1"/>
  <c r="V303" i="20" s="1"/>
  <c r="B303" i="20" s="1"/>
  <c r="U305" i="20"/>
  <c r="T305" i="20" s="1"/>
  <c r="AI18" i="20"/>
  <c r="AH18" i="20" s="1"/>
  <c r="AG18" i="20" s="1"/>
  <c r="AF18" i="20" s="1"/>
  <c r="AD18" i="20" s="1"/>
  <c r="AI17" i="20"/>
  <c r="AH17" i="20" s="1"/>
  <c r="AG17" i="20" s="1"/>
  <c r="AF17" i="20" s="1"/>
  <c r="AD17" i="20" s="1"/>
  <c r="AI24" i="20"/>
  <c r="AH24" i="20" s="1"/>
  <c r="AG24" i="20" s="1"/>
  <c r="AF24" i="20" s="1"/>
  <c r="AD24" i="20" s="1"/>
  <c r="AI28" i="20"/>
  <c r="AH28" i="20" s="1"/>
  <c r="AI32" i="20"/>
  <c r="AH32" i="20" s="1"/>
  <c r="AG32" i="20" s="1"/>
  <c r="AF32" i="20" s="1"/>
  <c r="AD32" i="20" s="1"/>
  <c r="AI36" i="20"/>
  <c r="AH36" i="20" s="1"/>
  <c r="AG36" i="20" s="1"/>
  <c r="AF36" i="20" s="1"/>
  <c r="AD36" i="20" s="1"/>
  <c r="AI40" i="20"/>
  <c r="AH40" i="20" s="1"/>
  <c r="AG40" i="20" s="1"/>
  <c r="AF40" i="20" s="1"/>
  <c r="AD40" i="20" s="1"/>
  <c r="AI44" i="20"/>
  <c r="AH44" i="20" s="1"/>
  <c r="AG44" i="20" s="1"/>
  <c r="AF44" i="20" s="1"/>
  <c r="AD44" i="20" s="1"/>
  <c r="AI48" i="20"/>
  <c r="AH48" i="20" s="1"/>
  <c r="AG48" i="20" s="1"/>
  <c r="AF48" i="20" s="1"/>
  <c r="AD48" i="20" s="1"/>
  <c r="AI52" i="20"/>
  <c r="AH52" i="20" s="1"/>
  <c r="AG52" i="20" s="1"/>
  <c r="AF52" i="20" s="1"/>
  <c r="AD52" i="20" s="1"/>
  <c r="AI56" i="20"/>
  <c r="AH56" i="20" s="1"/>
  <c r="AG56" i="20" s="1"/>
  <c r="AF56" i="20" s="1"/>
  <c r="AD56" i="20" s="1"/>
  <c r="AI60" i="20"/>
  <c r="AH60" i="20" s="1"/>
  <c r="AG60" i="20" s="1"/>
  <c r="AF60" i="20" s="1"/>
  <c r="AD60" i="20" s="1"/>
  <c r="AI64" i="20"/>
  <c r="AH64" i="20" s="1"/>
  <c r="AG64" i="20" s="1"/>
  <c r="AF64" i="20" s="1"/>
  <c r="AD64" i="20" s="1"/>
  <c r="AI68" i="20"/>
  <c r="AH68" i="20" s="1"/>
  <c r="AG68" i="20" s="1"/>
  <c r="AF68" i="20" s="1"/>
  <c r="AD68" i="20" s="1"/>
  <c r="AI72" i="20"/>
  <c r="AH72" i="20" s="1"/>
  <c r="AG72" i="20" s="1"/>
  <c r="AF72" i="20" s="1"/>
  <c r="AD72" i="20" s="1"/>
  <c r="AI76" i="20"/>
  <c r="AH76" i="20" s="1"/>
  <c r="AG76" i="20" s="1"/>
  <c r="AF76" i="20" s="1"/>
  <c r="AD76" i="20" s="1"/>
  <c r="AI80" i="20"/>
  <c r="AH80" i="20" s="1"/>
  <c r="AG80" i="20" s="1"/>
  <c r="AF80" i="20" s="1"/>
  <c r="AD80" i="20" s="1"/>
  <c r="AI84" i="20"/>
  <c r="AH84" i="20" s="1"/>
  <c r="AI88" i="20"/>
  <c r="AH88" i="20" s="1"/>
  <c r="AG88" i="20" s="1"/>
  <c r="AF88" i="20" s="1"/>
  <c r="AD88" i="20" s="1"/>
  <c r="AI92" i="20"/>
  <c r="AH92" i="20" s="1"/>
  <c r="AG92" i="20" s="1"/>
  <c r="AF92" i="20" s="1"/>
  <c r="AD92" i="20" s="1"/>
  <c r="AI96" i="20"/>
  <c r="AH96" i="20" s="1"/>
  <c r="AG96" i="20" s="1"/>
  <c r="AF96" i="20" s="1"/>
  <c r="AD96" i="20" s="1"/>
  <c r="AI100" i="20"/>
  <c r="AH100" i="20" s="1"/>
  <c r="AG100" i="20" s="1"/>
  <c r="AF100" i="20" s="1"/>
  <c r="AD100" i="20" s="1"/>
  <c r="U378" i="20"/>
  <c r="T378" i="20" s="1"/>
  <c r="S378" i="20" s="1"/>
  <c r="R378" i="20" s="1"/>
  <c r="P378" i="20" s="1"/>
  <c r="V378" i="20" s="1"/>
  <c r="B378" i="20" s="1"/>
  <c r="U376" i="20"/>
  <c r="T376" i="20" s="1"/>
  <c r="S376" i="20" s="1"/>
  <c r="R376" i="20" s="1"/>
  <c r="P376" i="20" s="1"/>
  <c r="V376" i="20" s="1"/>
  <c r="B376" i="20" s="1"/>
  <c r="W376" i="20" s="1"/>
  <c r="U374" i="20"/>
  <c r="T374" i="20" s="1"/>
  <c r="S374" i="20" s="1"/>
  <c r="R374" i="20" s="1"/>
  <c r="P374" i="20" s="1"/>
  <c r="V374" i="20" s="1"/>
  <c r="B374" i="20" s="1"/>
  <c r="W374" i="20" s="1"/>
  <c r="U372" i="20"/>
  <c r="T372" i="20" s="1"/>
  <c r="U370" i="20"/>
  <c r="T370" i="20" s="1"/>
  <c r="S370" i="20" s="1"/>
  <c r="R370" i="20" s="1"/>
  <c r="P370" i="20" s="1"/>
  <c r="V370" i="20" s="1"/>
  <c r="B370" i="20" s="1"/>
  <c r="D370" i="20" s="1"/>
  <c r="E370" i="20" s="1"/>
  <c r="F370" i="20" s="1"/>
  <c r="U368" i="20"/>
  <c r="T368" i="20" s="1"/>
  <c r="S368" i="20" s="1"/>
  <c r="R368" i="20" s="1"/>
  <c r="P368" i="20" s="1"/>
  <c r="V368" i="20" s="1"/>
  <c r="B368" i="20" s="1"/>
  <c r="U366" i="20"/>
  <c r="T366" i="20" s="1"/>
  <c r="S366" i="20" s="1"/>
  <c r="R366" i="20" s="1"/>
  <c r="P366" i="20" s="1"/>
  <c r="V366" i="20" s="1"/>
  <c r="B366" i="20" s="1"/>
  <c r="U364" i="20"/>
  <c r="T364" i="20" s="1"/>
  <c r="S364" i="20" s="1"/>
  <c r="R364" i="20" s="1"/>
  <c r="P364" i="20" s="1"/>
  <c r="V364" i="20" s="1"/>
  <c r="B364" i="20" s="1"/>
  <c r="U362" i="20"/>
  <c r="T362" i="20" s="1"/>
  <c r="U360" i="20"/>
  <c r="T360" i="20" s="1"/>
  <c r="S360" i="20" s="1"/>
  <c r="R360" i="20" s="1"/>
  <c r="P360" i="20" s="1"/>
  <c r="V360" i="20" s="1"/>
  <c r="B360" i="20" s="1"/>
  <c r="W360" i="20" s="1"/>
  <c r="U358" i="20"/>
  <c r="T358" i="20" s="1"/>
  <c r="S358" i="20" s="1"/>
  <c r="R358" i="20" s="1"/>
  <c r="P358" i="20" s="1"/>
  <c r="V358" i="20" s="1"/>
  <c r="B358" i="20" s="1"/>
  <c r="U356" i="20"/>
  <c r="T356" i="20" s="1"/>
  <c r="U354" i="20"/>
  <c r="T354" i="20" s="1"/>
  <c r="S354" i="20" s="1"/>
  <c r="R354" i="20" s="1"/>
  <c r="P354" i="20" s="1"/>
  <c r="V354" i="20" s="1"/>
  <c r="B354" i="20" s="1"/>
  <c r="U352" i="20"/>
  <c r="T352" i="20" s="1"/>
  <c r="S352" i="20" s="1"/>
  <c r="R352" i="20" s="1"/>
  <c r="P352" i="20" s="1"/>
  <c r="V352" i="20" s="1"/>
  <c r="B352" i="20" s="1"/>
  <c r="W352" i="20" s="1"/>
  <c r="U350" i="20"/>
  <c r="T350" i="20" s="1"/>
  <c r="S350" i="20" s="1"/>
  <c r="R350" i="20" s="1"/>
  <c r="P350" i="20" s="1"/>
  <c r="V350" i="20" s="1"/>
  <c r="B350" i="20" s="1"/>
  <c r="W350" i="20" s="1"/>
  <c r="U348" i="20"/>
  <c r="T348" i="20" s="1"/>
  <c r="S348" i="20" s="1"/>
  <c r="R348" i="20" s="1"/>
  <c r="P348" i="20" s="1"/>
  <c r="V348" i="20" s="1"/>
  <c r="B348" i="20" s="1"/>
  <c r="D348" i="20" s="1"/>
  <c r="E348" i="20" s="1"/>
  <c r="F348" i="20" s="1"/>
  <c r="U346" i="20"/>
  <c r="T346" i="20" s="1"/>
  <c r="U344" i="20"/>
  <c r="T344" i="20" s="1"/>
  <c r="S344" i="20" s="1"/>
  <c r="R344" i="20" s="1"/>
  <c r="P344" i="20" s="1"/>
  <c r="V344" i="20" s="1"/>
  <c r="B344" i="20" s="1"/>
  <c r="D344" i="20" s="1"/>
  <c r="E344" i="20" s="1"/>
  <c r="F344" i="20" s="1"/>
  <c r="U342" i="20"/>
  <c r="T342" i="20" s="1"/>
  <c r="S342" i="20" s="1"/>
  <c r="R342" i="20" s="1"/>
  <c r="P342" i="20" s="1"/>
  <c r="V342" i="20" s="1"/>
  <c r="B342" i="20" s="1"/>
  <c r="U340" i="20"/>
  <c r="T340" i="20" s="1"/>
  <c r="S340" i="20" s="1"/>
  <c r="R340" i="20" s="1"/>
  <c r="P340" i="20" s="1"/>
  <c r="V340" i="20" s="1"/>
  <c r="B340" i="20" s="1"/>
  <c r="U338" i="20"/>
  <c r="T338" i="20" s="1"/>
  <c r="S338" i="20" s="1"/>
  <c r="R338" i="20" s="1"/>
  <c r="P338" i="20" s="1"/>
  <c r="V338" i="20" s="1"/>
  <c r="B338" i="20" s="1"/>
  <c r="U336" i="20"/>
  <c r="T336" i="20" s="1"/>
  <c r="U334" i="20"/>
  <c r="T334" i="20" s="1"/>
  <c r="S334" i="20" s="1"/>
  <c r="R334" i="20" s="1"/>
  <c r="P334" i="20" s="1"/>
  <c r="V334" i="20" s="1"/>
  <c r="B334" i="20" s="1"/>
  <c r="D334" i="20" s="1"/>
  <c r="E334" i="20" s="1"/>
  <c r="F334" i="20" s="1"/>
  <c r="U332" i="20"/>
  <c r="T332" i="20" s="1"/>
  <c r="S332" i="20" s="1"/>
  <c r="R332" i="20" s="1"/>
  <c r="P332" i="20" s="1"/>
  <c r="V332" i="20" s="1"/>
  <c r="B332" i="20" s="1"/>
  <c r="U330" i="20"/>
  <c r="T330" i="20" s="1"/>
  <c r="U328" i="20"/>
  <c r="T328" i="20" s="1"/>
  <c r="S328" i="20" s="1"/>
  <c r="R328" i="20" s="1"/>
  <c r="P328" i="20" s="1"/>
  <c r="V328" i="20" s="1"/>
  <c r="B328" i="20" s="1"/>
  <c r="U326" i="20"/>
  <c r="T326" i="20" s="1"/>
  <c r="S326" i="20" s="1"/>
  <c r="R326" i="20" s="1"/>
  <c r="P326" i="20" s="1"/>
  <c r="V326" i="20" s="1"/>
  <c r="B326" i="20" s="1"/>
  <c r="U324" i="20"/>
  <c r="T324" i="20" s="1"/>
  <c r="S324" i="20" s="1"/>
  <c r="R324" i="20" s="1"/>
  <c r="P324" i="20" s="1"/>
  <c r="V324" i="20" s="1"/>
  <c r="B324" i="20" s="1"/>
  <c r="U322" i="20"/>
  <c r="T322" i="20" s="1"/>
  <c r="S322" i="20" s="1"/>
  <c r="R322" i="20" s="1"/>
  <c r="P322" i="20" s="1"/>
  <c r="V322" i="20" s="1"/>
  <c r="B322" i="20" s="1"/>
  <c r="W322" i="20" s="1"/>
  <c r="U320" i="20"/>
  <c r="T320" i="20" s="1"/>
  <c r="U318" i="20"/>
  <c r="T318" i="20" s="1"/>
  <c r="S318" i="20" s="1"/>
  <c r="R318" i="20" s="1"/>
  <c r="P318" i="20" s="1"/>
  <c r="V318" i="20" s="1"/>
  <c r="B318" i="20" s="1"/>
  <c r="U316" i="20"/>
  <c r="T316" i="20" s="1"/>
  <c r="S316" i="20" s="1"/>
  <c r="R316" i="20" s="1"/>
  <c r="P316" i="20" s="1"/>
  <c r="V316" i="20" s="1"/>
  <c r="B316" i="20" s="1"/>
  <c r="D316" i="20" s="1"/>
  <c r="E316" i="20" s="1"/>
  <c r="F316" i="20" s="1"/>
  <c r="U314" i="20"/>
  <c r="T314" i="20" s="1"/>
  <c r="S314" i="20" s="1"/>
  <c r="R314" i="20" s="1"/>
  <c r="P314" i="20" s="1"/>
  <c r="V314" i="20" s="1"/>
  <c r="B314" i="20" s="1"/>
  <c r="U312" i="20"/>
  <c r="T312" i="20" s="1"/>
  <c r="S312" i="20" s="1"/>
  <c r="R312" i="20" s="1"/>
  <c r="P312" i="20" s="1"/>
  <c r="V312" i="20" s="1"/>
  <c r="B312" i="20" s="1"/>
  <c r="U310" i="20"/>
  <c r="T310" i="20" s="1"/>
  <c r="U308" i="20"/>
  <c r="T308" i="20" s="1"/>
  <c r="S308" i="20" s="1"/>
  <c r="R308" i="20" s="1"/>
  <c r="P308" i="20" s="1"/>
  <c r="V308" i="20" s="1"/>
  <c r="B308" i="20" s="1"/>
  <c r="W308" i="20" s="1"/>
  <c r="U306" i="20"/>
  <c r="T306" i="20" s="1"/>
  <c r="S306" i="20" s="1"/>
  <c r="R306" i="20" s="1"/>
  <c r="P306" i="20" s="1"/>
  <c r="V306" i="20" s="1"/>
  <c r="B306" i="20" s="1"/>
  <c r="U302" i="20"/>
  <c r="T302" i="20" s="1"/>
  <c r="U298" i="20"/>
  <c r="T298" i="20" s="1"/>
  <c r="S298" i="20" s="1"/>
  <c r="R298" i="20" s="1"/>
  <c r="P298" i="20" s="1"/>
  <c r="V298" i="20" s="1"/>
  <c r="B298" i="20" s="1"/>
  <c r="U294" i="20"/>
  <c r="T294" i="20" s="1"/>
  <c r="U290" i="20"/>
  <c r="T290" i="20" s="1"/>
  <c r="S290" i="20" s="1"/>
  <c r="R290" i="20" s="1"/>
  <c r="P290" i="20" s="1"/>
  <c r="V290" i="20" s="1"/>
  <c r="B290" i="20" s="1"/>
  <c r="U286" i="20"/>
  <c r="T286" i="20" s="1"/>
  <c r="S286" i="20" s="1"/>
  <c r="R286" i="20" s="1"/>
  <c r="P286" i="20" s="1"/>
  <c r="V286" i="20" s="1"/>
  <c r="B286" i="20" s="1"/>
  <c r="U282" i="20"/>
  <c r="T282" i="20" s="1"/>
  <c r="U278" i="20"/>
  <c r="T278" i="20" s="1"/>
  <c r="U274" i="20"/>
  <c r="T274" i="20" s="1"/>
  <c r="U270" i="20"/>
  <c r="T270" i="20" s="1"/>
  <c r="S270" i="20" s="1"/>
  <c r="R270" i="20" s="1"/>
  <c r="P270" i="20" s="1"/>
  <c r="V270" i="20" s="1"/>
  <c r="B270" i="20" s="1"/>
  <c r="W270" i="20" s="1"/>
  <c r="U266" i="20"/>
  <c r="T266" i="20" s="1"/>
  <c r="S266" i="20" s="1"/>
  <c r="R266" i="20" s="1"/>
  <c r="P266" i="20" s="1"/>
  <c r="V266" i="20" s="1"/>
  <c r="B266" i="20" s="1"/>
  <c r="U262" i="20"/>
  <c r="T262" i="20" s="1"/>
  <c r="S262" i="20" s="1"/>
  <c r="R262" i="20" s="1"/>
  <c r="P262" i="20" s="1"/>
  <c r="V262" i="20" s="1"/>
  <c r="B262" i="20" s="1"/>
  <c r="D262" i="20" s="1"/>
  <c r="E262" i="20" s="1"/>
  <c r="F262" i="20" s="1"/>
  <c r="U258" i="20"/>
  <c r="T258" i="20" s="1"/>
  <c r="S258" i="20" s="1"/>
  <c r="R258" i="20" s="1"/>
  <c r="P258" i="20" s="1"/>
  <c r="V258" i="20" s="1"/>
  <c r="U254" i="20"/>
  <c r="T254" i="20" s="1"/>
  <c r="S254" i="20" s="1"/>
  <c r="R254" i="20" s="1"/>
  <c r="P254" i="20" s="1"/>
  <c r="V254" i="20" s="1"/>
  <c r="B254" i="20" s="1"/>
  <c r="W254" i="20" s="1"/>
  <c r="U250" i="20"/>
  <c r="T250" i="20" s="1"/>
  <c r="S250" i="20" s="1"/>
  <c r="R250" i="20" s="1"/>
  <c r="P250" i="20" s="1"/>
  <c r="V250" i="20" s="1"/>
  <c r="B250" i="20" s="1"/>
  <c r="U246" i="20"/>
  <c r="T246" i="20" s="1"/>
  <c r="U242" i="20"/>
  <c r="T242" i="20" s="1"/>
  <c r="S242" i="20" s="1"/>
  <c r="R242" i="20" s="1"/>
  <c r="P242" i="20" s="1"/>
  <c r="V242" i="20" s="1"/>
  <c r="B242" i="20" s="1"/>
  <c r="U238" i="20"/>
  <c r="T238" i="20" s="1"/>
  <c r="U234" i="20"/>
  <c r="T234" i="20" s="1"/>
  <c r="S234" i="20" s="1"/>
  <c r="R234" i="20" s="1"/>
  <c r="P234" i="20" s="1"/>
  <c r="V234" i="20" s="1"/>
  <c r="B234" i="20" s="1"/>
  <c r="D234" i="20" s="1"/>
  <c r="E234" i="20" s="1"/>
  <c r="F234" i="20" s="1"/>
  <c r="U230" i="20"/>
  <c r="T230" i="20" s="1"/>
  <c r="S230" i="20" s="1"/>
  <c r="R230" i="20" s="1"/>
  <c r="P230" i="20" s="1"/>
  <c r="V230" i="20" s="1"/>
  <c r="B230" i="20" s="1"/>
  <c r="U226" i="20"/>
  <c r="T226" i="20" s="1"/>
  <c r="S226" i="20" s="1"/>
  <c r="R226" i="20" s="1"/>
  <c r="P226" i="20" s="1"/>
  <c r="V226" i="20" s="1"/>
  <c r="B226" i="20" s="1"/>
  <c r="W226" i="20" s="1"/>
  <c r="U222" i="20"/>
  <c r="T222" i="20" s="1"/>
  <c r="S222" i="20" s="1"/>
  <c r="R222" i="20" s="1"/>
  <c r="P222" i="20" s="1"/>
  <c r="V222" i="20" s="1"/>
  <c r="B222" i="20" s="1"/>
  <c r="U215" i="20"/>
  <c r="T215" i="20" s="1"/>
  <c r="S215" i="20" s="1"/>
  <c r="R215" i="20" s="1"/>
  <c r="P215" i="20" s="1"/>
  <c r="V215" i="20" s="1"/>
  <c r="B215" i="20" s="1"/>
  <c r="U207" i="20"/>
  <c r="T207" i="20" s="1"/>
  <c r="U199" i="20"/>
  <c r="T199" i="20" s="1"/>
  <c r="S199" i="20" s="1"/>
  <c r="R199" i="20" s="1"/>
  <c r="P199" i="20" s="1"/>
  <c r="V199" i="20" s="1"/>
  <c r="B199" i="20" s="1"/>
  <c r="U191" i="20"/>
  <c r="T191" i="20" s="1"/>
  <c r="S191" i="20" s="1"/>
  <c r="R191" i="20" s="1"/>
  <c r="P191" i="20" s="1"/>
  <c r="V191" i="20" s="1"/>
  <c r="B191" i="20" s="1"/>
  <c r="W191" i="20" s="1"/>
  <c r="U183" i="20"/>
  <c r="T183" i="20" s="1"/>
  <c r="S183" i="20" s="1"/>
  <c r="R183" i="20" s="1"/>
  <c r="P183" i="20" s="1"/>
  <c r="V183" i="20" s="1"/>
  <c r="B183" i="20" s="1"/>
  <c r="U175" i="20"/>
  <c r="T175" i="20" s="1"/>
  <c r="S175" i="20" s="1"/>
  <c r="R175" i="20" s="1"/>
  <c r="P175" i="20" s="1"/>
  <c r="V175" i="20" s="1"/>
  <c r="B175" i="20" s="1"/>
  <c r="D175" i="20" s="1"/>
  <c r="E175" i="20" s="1"/>
  <c r="F175" i="20" s="1"/>
  <c r="U167" i="20"/>
  <c r="T167" i="20" s="1"/>
  <c r="S167" i="20" s="1"/>
  <c r="R167" i="20" s="1"/>
  <c r="P167" i="20" s="1"/>
  <c r="V167" i="20" s="1"/>
  <c r="B167" i="20" s="1"/>
  <c r="U159" i="20"/>
  <c r="T159" i="20" s="1"/>
  <c r="S159" i="20" s="1"/>
  <c r="R159" i="20" s="1"/>
  <c r="P159" i="20" s="1"/>
  <c r="V159" i="20" s="1"/>
  <c r="B159" i="20" s="1"/>
  <c r="U151" i="20"/>
  <c r="T151" i="20" s="1"/>
  <c r="S151" i="20" s="1"/>
  <c r="R151" i="20" s="1"/>
  <c r="P151" i="20" s="1"/>
  <c r="V151" i="20" s="1"/>
  <c r="B151" i="20" s="1"/>
  <c r="D151" i="20" s="1"/>
  <c r="E151" i="20" s="1"/>
  <c r="F151" i="20" s="1"/>
  <c r="U143" i="20"/>
  <c r="T143" i="20" s="1"/>
  <c r="S143" i="20" s="1"/>
  <c r="R143" i="20" s="1"/>
  <c r="P143" i="20" s="1"/>
  <c r="V143" i="20" s="1"/>
  <c r="B143" i="20" s="1"/>
  <c r="D143" i="20" s="1"/>
  <c r="E143" i="20" s="1"/>
  <c r="F143" i="20" s="1"/>
  <c r="U135" i="20"/>
  <c r="T135" i="20" s="1"/>
  <c r="S135" i="20" s="1"/>
  <c r="R135" i="20" s="1"/>
  <c r="P135" i="20" s="1"/>
  <c r="V135" i="20" s="1"/>
  <c r="B135" i="20" s="1"/>
  <c r="U127" i="20"/>
  <c r="T127" i="20" s="1"/>
  <c r="S127" i="20" s="1"/>
  <c r="R127" i="20" s="1"/>
  <c r="P127" i="20" s="1"/>
  <c r="V127" i="20" s="1"/>
  <c r="B127" i="20" s="1"/>
  <c r="D127" i="20" s="1"/>
  <c r="E127" i="20" s="1"/>
  <c r="F127" i="20" s="1"/>
  <c r="U119" i="20"/>
  <c r="T119" i="20" s="1"/>
  <c r="S119" i="20" s="1"/>
  <c r="R119" i="20" s="1"/>
  <c r="P119" i="20" s="1"/>
  <c r="U111" i="20"/>
  <c r="T111" i="20" s="1"/>
  <c r="U103" i="20"/>
  <c r="T103" i="20" s="1"/>
  <c r="S103" i="20" s="1"/>
  <c r="R103" i="20" s="1"/>
  <c r="P103" i="20" s="1"/>
  <c r="V103" i="20" s="1"/>
  <c r="B103" i="20" s="1"/>
  <c r="U88" i="20"/>
  <c r="T88" i="20" s="1"/>
  <c r="S88" i="20" s="1"/>
  <c r="R88" i="20" s="1"/>
  <c r="P88" i="20" s="1"/>
  <c r="V88" i="20" s="1"/>
  <c r="B88" i="20" s="1"/>
  <c r="U72" i="20"/>
  <c r="T72" i="20" s="1"/>
  <c r="S72" i="20" s="1"/>
  <c r="R72" i="20" s="1"/>
  <c r="P72" i="20" s="1"/>
  <c r="V72" i="20" s="1"/>
  <c r="B72" i="20" s="1"/>
  <c r="W72" i="20" s="1"/>
  <c r="U56" i="20"/>
  <c r="T56" i="20" s="1"/>
  <c r="S56" i="20" s="1"/>
  <c r="R56" i="20" s="1"/>
  <c r="P56" i="20" s="1"/>
  <c r="V56" i="20" s="1"/>
  <c r="B56" i="20" s="1"/>
  <c r="U40" i="20"/>
  <c r="T40" i="20" s="1"/>
  <c r="S40" i="20" s="1"/>
  <c r="R40" i="20" s="1"/>
  <c r="P40" i="20" s="1"/>
  <c r="V40" i="20" s="1"/>
  <c r="B40" i="20" s="1"/>
  <c r="U24" i="20"/>
  <c r="T24" i="20" s="1"/>
  <c r="S24" i="20" s="1"/>
  <c r="R24" i="20" s="1"/>
  <c r="P24" i="20" s="1"/>
  <c r="V24" i="20" s="1"/>
  <c r="B24" i="20" s="1"/>
  <c r="W24" i="20" s="1"/>
  <c r="AI41" i="20"/>
  <c r="AH41" i="20" s="1"/>
  <c r="AG41" i="20" s="1"/>
  <c r="AF41" i="20" s="1"/>
  <c r="AD41" i="20" s="1"/>
  <c r="AI93" i="20"/>
  <c r="AH93" i="20" s="1"/>
  <c r="AG93" i="20" s="1"/>
  <c r="AF93" i="20" s="1"/>
  <c r="AD93" i="20" s="1"/>
  <c r="AI77" i="20"/>
  <c r="AH77" i="20" s="1"/>
  <c r="AG77" i="20" s="1"/>
  <c r="AF77" i="20" s="1"/>
  <c r="AD77" i="20" s="1"/>
  <c r="AI61" i="20"/>
  <c r="AH61" i="20" s="1"/>
  <c r="AG61" i="20" s="1"/>
  <c r="AF61" i="20" s="1"/>
  <c r="AD61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85" i="20"/>
  <c r="AH85" i="20" s="1"/>
  <c r="AG85" i="20" s="1"/>
  <c r="AF85" i="20" s="1"/>
  <c r="AD85" i="20" s="1"/>
  <c r="AI53" i="20"/>
  <c r="AH53" i="20" s="1"/>
  <c r="AG53" i="20" s="1"/>
  <c r="AF53" i="20" s="1"/>
  <c r="AD53" i="20" s="1"/>
  <c r="AI33" i="20"/>
  <c r="AH33" i="20" s="1"/>
  <c r="AG33" i="20" s="1"/>
  <c r="AF33" i="20" s="1"/>
  <c r="AD33" i="20" s="1"/>
  <c r="AI20" i="20"/>
  <c r="AH20" i="20" s="1"/>
  <c r="AG20" i="20" s="1"/>
  <c r="AF20" i="20" s="1"/>
  <c r="AD20" i="20" s="1"/>
  <c r="U18" i="20"/>
  <c r="T18" i="20" s="1"/>
  <c r="S18" i="20" s="1"/>
  <c r="R18" i="20" s="1"/>
  <c r="P18" i="20" s="1"/>
  <c r="V18" i="20" s="1"/>
  <c r="B18" i="20" s="1"/>
  <c r="D18" i="20" s="1"/>
  <c r="E18" i="20" s="1"/>
  <c r="F18" i="20" s="1"/>
  <c r="U15" i="20"/>
  <c r="T15" i="20" s="1"/>
  <c r="U16" i="20"/>
  <c r="T16" i="20" s="1"/>
  <c r="S16" i="20" s="1"/>
  <c r="R16" i="20" s="1"/>
  <c r="P16" i="20" s="1"/>
  <c r="V16" i="20" s="1"/>
  <c r="B16" i="20" s="1"/>
  <c r="U21" i="20"/>
  <c r="T21" i="20" s="1"/>
  <c r="S21" i="20" s="1"/>
  <c r="R21" i="20" s="1"/>
  <c r="P21" i="20" s="1"/>
  <c r="V21" i="20" s="1"/>
  <c r="B21" i="20" s="1"/>
  <c r="W21" i="20" s="1"/>
  <c r="U23" i="20"/>
  <c r="T23" i="20" s="1"/>
  <c r="S23" i="20" s="1"/>
  <c r="R23" i="20" s="1"/>
  <c r="P23" i="20" s="1"/>
  <c r="V23" i="20" s="1"/>
  <c r="B23" i="20" s="1"/>
  <c r="U25" i="20"/>
  <c r="T25" i="20" s="1"/>
  <c r="S25" i="20" s="1"/>
  <c r="R25" i="20" s="1"/>
  <c r="P25" i="20" s="1"/>
  <c r="V25" i="20" s="1"/>
  <c r="B25" i="20" s="1"/>
  <c r="U27" i="20"/>
  <c r="T27" i="20" s="1"/>
  <c r="S27" i="20" s="1"/>
  <c r="R27" i="20" s="1"/>
  <c r="P27" i="20" s="1"/>
  <c r="V27" i="20" s="1"/>
  <c r="B27" i="20" s="1"/>
  <c r="D27" i="20" s="1"/>
  <c r="E27" i="20" s="1"/>
  <c r="F27" i="20" s="1"/>
  <c r="U29" i="20"/>
  <c r="T29" i="20" s="1"/>
  <c r="U31" i="20"/>
  <c r="T31" i="20" s="1"/>
  <c r="S31" i="20" s="1"/>
  <c r="R31" i="20" s="1"/>
  <c r="P31" i="20" s="1"/>
  <c r="V31" i="20" s="1"/>
  <c r="B31" i="20" s="1"/>
  <c r="D31" i="20" s="1"/>
  <c r="E31" i="20" s="1"/>
  <c r="F31" i="20" s="1"/>
  <c r="U33" i="20"/>
  <c r="T33" i="20" s="1"/>
  <c r="S33" i="20" s="1"/>
  <c r="R33" i="20" s="1"/>
  <c r="P33" i="20" s="1"/>
  <c r="V33" i="20" s="1"/>
  <c r="B33" i="20" s="1"/>
  <c r="U35" i="20"/>
  <c r="T35" i="20" s="1"/>
  <c r="S35" i="20" s="1"/>
  <c r="R35" i="20" s="1"/>
  <c r="P35" i="20" s="1"/>
  <c r="V35" i="20" s="1"/>
  <c r="B35" i="20" s="1"/>
  <c r="U37" i="20"/>
  <c r="T37" i="20" s="1"/>
  <c r="U39" i="20"/>
  <c r="T39" i="20" s="1"/>
  <c r="S39" i="20" s="1"/>
  <c r="R39" i="20" s="1"/>
  <c r="P39" i="20" s="1"/>
  <c r="V39" i="20" s="1"/>
  <c r="B39" i="20" s="1"/>
  <c r="U41" i="20"/>
  <c r="T41" i="20" s="1"/>
  <c r="S41" i="20" s="1"/>
  <c r="R41" i="20" s="1"/>
  <c r="P41" i="20" s="1"/>
  <c r="V41" i="20" s="1"/>
  <c r="B41" i="20" s="1"/>
  <c r="W41" i="20" s="1"/>
  <c r="U43" i="20"/>
  <c r="T43" i="20" s="1"/>
  <c r="S43" i="20" s="1"/>
  <c r="R43" i="20" s="1"/>
  <c r="P43" i="20" s="1"/>
  <c r="V43" i="20" s="1"/>
  <c r="B43" i="20" s="1"/>
  <c r="U45" i="20"/>
  <c r="T45" i="20" s="1"/>
  <c r="S45" i="20" s="1"/>
  <c r="R45" i="20" s="1"/>
  <c r="P45" i="20" s="1"/>
  <c r="V45" i="20" s="1"/>
  <c r="B45" i="20" s="1"/>
  <c r="W45" i="20" s="1"/>
  <c r="U47" i="20"/>
  <c r="T47" i="20" s="1"/>
  <c r="S47" i="20" s="1"/>
  <c r="R47" i="20" s="1"/>
  <c r="P47" i="20" s="1"/>
  <c r="V47" i="20" s="1"/>
  <c r="B47" i="20" s="1"/>
  <c r="D47" i="20" s="1"/>
  <c r="E47" i="20" s="1"/>
  <c r="F47" i="20" s="1"/>
  <c r="U49" i="20"/>
  <c r="T49" i="20" s="1"/>
  <c r="S49" i="20" s="1"/>
  <c r="R49" i="20" s="1"/>
  <c r="P49" i="20" s="1"/>
  <c r="V49" i="20" s="1"/>
  <c r="B49" i="20" s="1"/>
  <c r="D49" i="20" s="1"/>
  <c r="E49" i="20" s="1"/>
  <c r="F49" i="20" s="1"/>
  <c r="U51" i="20"/>
  <c r="T51" i="20" s="1"/>
  <c r="S51" i="20" s="1"/>
  <c r="R51" i="20" s="1"/>
  <c r="P51" i="20" s="1"/>
  <c r="V51" i="20" s="1"/>
  <c r="B51" i="20" s="1"/>
  <c r="U53" i="20"/>
  <c r="T53" i="20" s="1"/>
  <c r="S53" i="20" s="1"/>
  <c r="R53" i="20" s="1"/>
  <c r="P53" i="20" s="1"/>
  <c r="V53" i="20" s="1"/>
  <c r="B53" i="20" s="1"/>
  <c r="U55" i="20"/>
  <c r="T55" i="20" s="1"/>
  <c r="S55" i="20" s="1"/>
  <c r="R55" i="20" s="1"/>
  <c r="P55" i="20" s="1"/>
  <c r="V55" i="20" s="1"/>
  <c r="B55" i="20" s="1"/>
  <c r="U57" i="20"/>
  <c r="T57" i="20" s="1"/>
  <c r="S57" i="20" s="1"/>
  <c r="R57" i="20" s="1"/>
  <c r="P57" i="20" s="1"/>
  <c r="V57" i="20" s="1"/>
  <c r="B57" i="20" s="1"/>
  <c r="D57" i="20" s="1"/>
  <c r="E57" i="20" s="1"/>
  <c r="F57" i="20" s="1"/>
  <c r="U59" i="20"/>
  <c r="T59" i="20" s="1"/>
  <c r="S59" i="20" s="1"/>
  <c r="R59" i="20" s="1"/>
  <c r="P59" i="20" s="1"/>
  <c r="V59" i="20" s="1"/>
  <c r="B59" i="20" s="1"/>
  <c r="D59" i="20" s="1"/>
  <c r="E59" i="20" s="1"/>
  <c r="F59" i="20" s="1"/>
  <c r="U61" i="20"/>
  <c r="T61" i="20" s="1"/>
  <c r="U63" i="20"/>
  <c r="T63" i="20" s="1"/>
  <c r="U65" i="20"/>
  <c r="T65" i="20" s="1"/>
  <c r="U67" i="20"/>
  <c r="T67" i="20" s="1"/>
  <c r="U69" i="20"/>
  <c r="T69" i="20" s="1"/>
  <c r="U71" i="20"/>
  <c r="T71" i="20" s="1"/>
  <c r="S71" i="20" s="1"/>
  <c r="R71" i="20" s="1"/>
  <c r="P71" i="20" s="1"/>
  <c r="V71" i="20" s="1"/>
  <c r="B71" i="20" s="1"/>
  <c r="D71" i="20" s="1"/>
  <c r="E71" i="20" s="1"/>
  <c r="F71" i="20" s="1"/>
  <c r="U73" i="20"/>
  <c r="T73" i="20" s="1"/>
  <c r="S73" i="20" s="1"/>
  <c r="R73" i="20" s="1"/>
  <c r="P73" i="20" s="1"/>
  <c r="V73" i="20" s="1"/>
  <c r="B73" i="20" s="1"/>
  <c r="U75" i="20"/>
  <c r="T75" i="20" s="1"/>
  <c r="S75" i="20" s="1"/>
  <c r="R75" i="20" s="1"/>
  <c r="P75" i="20" s="1"/>
  <c r="V75" i="20" s="1"/>
  <c r="B75" i="20" s="1"/>
  <c r="W75" i="20" s="1"/>
  <c r="U77" i="20"/>
  <c r="T77" i="20" s="1"/>
  <c r="S77" i="20" s="1"/>
  <c r="R77" i="20" s="1"/>
  <c r="P77" i="20" s="1"/>
  <c r="V77" i="20" s="1"/>
  <c r="B77" i="20" s="1"/>
  <c r="W77" i="20" s="1"/>
  <c r="U79" i="20"/>
  <c r="T79" i="20" s="1"/>
  <c r="S79" i="20" s="1"/>
  <c r="R79" i="20" s="1"/>
  <c r="P79" i="20" s="1"/>
  <c r="V79" i="20" s="1"/>
  <c r="B79" i="20" s="1"/>
  <c r="U81" i="20"/>
  <c r="T81" i="20" s="1"/>
  <c r="S81" i="20" s="1"/>
  <c r="R81" i="20" s="1"/>
  <c r="P81" i="20" s="1"/>
  <c r="V81" i="20" s="1"/>
  <c r="B81" i="20" s="1"/>
  <c r="W81" i="20" s="1"/>
  <c r="U83" i="20"/>
  <c r="T83" i="20" s="1"/>
  <c r="S83" i="20" s="1"/>
  <c r="R83" i="20" s="1"/>
  <c r="P83" i="20" s="1"/>
  <c r="V83" i="20" s="1"/>
  <c r="B83" i="20" s="1"/>
  <c r="U85" i="20"/>
  <c r="T85" i="20" s="1"/>
  <c r="S85" i="20" s="1"/>
  <c r="R85" i="20" s="1"/>
  <c r="P85" i="20" s="1"/>
  <c r="V85" i="20" s="1"/>
  <c r="B85" i="20" s="1"/>
  <c r="D85" i="20" s="1"/>
  <c r="E85" i="20" s="1"/>
  <c r="F85" i="20" s="1"/>
  <c r="U87" i="20"/>
  <c r="T87" i="20" s="1"/>
  <c r="S87" i="20" s="1"/>
  <c r="R87" i="20" s="1"/>
  <c r="P87" i="20" s="1"/>
  <c r="V87" i="20" s="1"/>
  <c r="B87" i="20" s="1"/>
  <c r="W87" i="20" s="1"/>
  <c r="U89" i="20"/>
  <c r="T89" i="20" s="1"/>
  <c r="S89" i="20" s="1"/>
  <c r="R89" i="20" s="1"/>
  <c r="P89" i="20" s="1"/>
  <c r="V89" i="20" s="1"/>
  <c r="B89" i="20" s="1"/>
  <c r="W89" i="20" s="1"/>
  <c r="U91" i="20"/>
  <c r="T91" i="20" s="1"/>
  <c r="S91" i="20" s="1"/>
  <c r="R91" i="20" s="1"/>
  <c r="P91" i="20" s="1"/>
  <c r="V91" i="20" s="1"/>
  <c r="B91" i="20" s="1"/>
  <c r="D91" i="20" s="1"/>
  <c r="E91" i="20" s="1"/>
  <c r="F91" i="20" s="1"/>
  <c r="U93" i="20"/>
  <c r="T93" i="20" s="1"/>
  <c r="S93" i="20" s="1"/>
  <c r="R93" i="20" s="1"/>
  <c r="P93" i="20" s="1"/>
  <c r="V93" i="20" s="1"/>
  <c r="B93" i="20" s="1"/>
  <c r="D93" i="20" s="1"/>
  <c r="E93" i="20" s="1"/>
  <c r="F93" i="20" s="1"/>
  <c r="U95" i="20"/>
  <c r="T95" i="20" s="1"/>
  <c r="S95" i="20" s="1"/>
  <c r="R95" i="20" s="1"/>
  <c r="P95" i="20" s="1"/>
  <c r="V95" i="20" s="1"/>
  <c r="B95" i="20" s="1"/>
  <c r="D95" i="20" s="1"/>
  <c r="E95" i="20" s="1"/>
  <c r="F95" i="20" s="1"/>
  <c r="U97" i="20"/>
  <c r="T97" i="20" s="1"/>
  <c r="U99" i="20"/>
  <c r="T99" i="20" s="1"/>
  <c r="S99" i="20" s="1"/>
  <c r="R99" i="20" s="1"/>
  <c r="P99" i="20" s="1"/>
  <c r="V99" i="20" s="1"/>
  <c r="B99" i="20" s="1"/>
  <c r="U101" i="20"/>
  <c r="T101" i="20" s="1"/>
  <c r="S101" i="20" s="1"/>
  <c r="R101" i="20" s="1"/>
  <c r="P101" i="20" s="1"/>
  <c r="V101" i="20" s="1"/>
  <c r="B101" i="20" s="1"/>
  <c r="U20" i="20"/>
  <c r="T20" i="20" s="1"/>
  <c r="S20" i="20" s="1"/>
  <c r="R20" i="20" s="1"/>
  <c r="P20" i="20" s="1"/>
  <c r="V20" i="20" s="1"/>
  <c r="B20" i="20" s="1"/>
  <c r="D20" i="20" s="1"/>
  <c r="E20" i="20" s="1"/>
  <c r="F20" i="20" s="1"/>
  <c r="U22" i="20"/>
  <c r="T22" i="20" s="1"/>
  <c r="U26" i="20"/>
  <c r="T26" i="20" s="1"/>
  <c r="S26" i="20" s="1"/>
  <c r="R26" i="20" s="1"/>
  <c r="P26" i="20" s="1"/>
  <c r="V26" i="20" s="1"/>
  <c r="B26" i="20" s="1"/>
  <c r="U30" i="20"/>
  <c r="T30" i="20" s="1"/>
  <c r="S30" i="20" s="1"/>
  <c r="R30" i="20" s="1"/>
  <c r="P30" i="20" s="1"/>
  <c r="V30" i="20" s="1"/>
  <c r="B30" i="20" s="1"/>
  <c r="D30" i="20" s="1"/>
  <c r="E30" i="20" s="1"/>
  <c r="F30" i="20" s="1"/>
  <c r="U34" i="20"/>
  <c r="T34" i="20" s="1"/>
  <c r="S34" i="20" s="1"/>
  <c r="R34" i="20" s="1"/>
  <c r="P34" i="20" s="1"/>
  <c r="V34" i="20" s="1"/>
  <c r="B34" i="20" s="1"/>
  <c r="U38" i="20"/>
  <c r="T38" i="20" s="1"/>
  <c r="S38" i="20" s="1"/>
  <c r="R38" i="20" s="1"/>
  <c r="P38" i="20" s="1"/>
  <c r="V38" i="20" s="1"/>
  <c r="B38" i="20" s="1"/>
  <c r="D38" i="20" s="1"/>
  <c r="E38" i="20" s="1"/>
  <c r="F38" i="20" s="1"/>
  <c r="U42" i="20"/>
  <c r="T42" i="20" s="1"/>
  <c r="S42" i="20" s="1"/>
  <c r="R42" i="20" s="1"/>
  <c r="P42" i="20" s="1"/>
  <c r="V42" i="20" s="1"/>
  <c r="B42" i="20" s="1"/>
  <c r="U46" i="20"/>
  <c r="T46" i="20" s="1"/>
  <c r="S46" i="20" s="1"/>
  <c r="R46" i="20" s="1"/>
  <c r="P46" i="20" s="1"/>
  <c r="V46" i="20" s="1"/>
  <c r="B46" i="20" s="1"/>
  <c r="U50" i="20"/>
  <c r="T50" i="20" s="1"/>
  <c r="S50" i="20" s="1"/>
  <c r="R50" i="20" s="1"/>
  <c r="P50" i="20" s="1"/>
  <c r="V50" i="20" s="1"/>
  <c r="B50" i="20" s="1"/>
  <c r="U54" i="20"/>
  <c r="T54" i="20" s="1"/>
  <c r="U58" i="20"/>
  <c r="T58" i="20" s="1"/>
  <c r="S58" i="20" s="1"/>
  <c r="R58" i="20" s="1"/>
  <c r="P58" i="20" s="1"/>
  <c r="V58" i="20" s="1"/>
  <c r="B58" i="20" s="1"/>
  <c r="U62" i="20"/>
  <c r="T62" i="20" s="1"/>
  <c r="S62" i="20" s="1"/>
  <c r="R62" i="20" s="1"/>
  <c r="P62" i="20" s="1"/>
  <c r="V62" i="20" s="1"/>
  <c r="B62" i="20" s="1"/>
  <c r="D62" i="20" s="1"/>
  <c r="E62" i="20" s="1"/>
  <c r="F62" i="20" s="1"/>
  <c r="U66" i="20"/>
  <c r="T66" i="20" s="1"/>
  <c r="S66" i="20" s="1"/>
  <c r="R66" i="20" s="1"/>
  <c r="P66" i="20" s="1"/>
  <c r="V66" i="20" s="1"/>
  <c r="B66" i="20" s="1"/>
  <c r="U70" i="20"/>
  <c r="T70" i="20" s="1"/>
  <c r="S70" i="20" s="1"/>
  <c r="R70" i="20" s="1"/>
  <c r="P70" i="20" s="1"/>
  <c r="V70" i="20" s="1"/>
  <c r="B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B78" i="20" s="1"/>
  <c r="U82" i="20"/>
  <c r="T82" i="20" s="1"/>
  <c r="S82" i="20" s="1"/>
  <c r="R82" i="20" s="1"/>
  <c r="P82" i="20" s="1"/>
  <c r="V82" i="20" s="1"/>
  <c r="B82" i="20" s="1"/>
  <c r="U86" i="20"/>
  <c r="T86" i="20" s="1"/>
  <c r="S86" i="20" s="1"/>
  <c r="R86" i="20" s="1"/>
  <c r="P86" i="20" s="1"/>
  <c r="V86" i="20" s="1"/>
  <c r="B86" i="20" s="1"/>
  <c r="W86" i="20" s="1"/>
  <c r="U90" i="20"/>
  <c r="T90" i="20" s="1"/>
  <c r="S90" i="20" s="1"/>
  <c r="R90" i="20" s="1"/>
  <c r="U94" i="20"/>
  <c r="T94" i="20" s="1"/>
  <c r="S94" i="20" s="1"/>
  <c r="R94" i="20" s="1"/>
  <c r="P94" i="20" s="1"/>
  <c r="V94" i="20" s="1"/>
  <c r="B94" i="20" s="1"/>
  <c r="W94" i="20" s="1"/>
  <c r="U98" i="20"/>
  <c r="T98" i="20" s="1"/>
  <c r="S98" i="20" s="1"/>
  <c r="R98" i="20" s="1"/>
  <c r="P98" i="20" s="1"/>
  <c r="V98" i="20" s="1"/>
  <c r="B98" i="20" s="1"/>
  <c r="U102" i="20"/>
  <c r="T102" i="20" s="1"/>
  <c r="U104" i="20"/>
  <c r="T104" i="20" s="1"/>
  <c r="S104" i="20" s="1"/>
  <c r="R104" i="20" s="1"/>
  <c r="P104" i="20" s="1"/>
  <c r="V104" i="20" s="1"/>
  <c r="B104" i="20" s="1"/>
  <c r="U106" i="20"/>
  <c r="T106" i="20" s="1"/>
  <c r="S106" i="20" s="1"/>
  <c r="R106" i="20" s="1"/>
  <c r="P106" i="20" s="1"/>
  <c r="V106" i="20" s="1"/>
  <c r="B106" i="20" s="1"/>
  <c r="D106" i="20" s="1"/>
  <c r="E106" i="20" s="1"/>
  <c r="F106" i="20" s="1"/>
  <c r="U108" i="20"/>
  <c r="T108" i="20" s="1"/>
  <c r="S108" i="20" s="1"/>
  <c r="R108" i="20" s="1"/>
  <c r="P108" i="20" s="1"/>
  <c r="V108" i="20" s="1"/>
  <c r="B108" i="20" s="1"/>
  <c r="U110" i="20"/>
  <c r="T110" i="20" s="1"/>
  <c r="S110" i="20" s="1"/>
  <c r="R110" i="20" s="1"/>
  <c r="P110" i="20" s="1"/>
  <c r="V110" i="20" s="1"/>
  <c r="B110" i="20" s="1"/>
  <c r="W110" i="20" s="1"/>
  <c r="U112" i="20"/>
  <c r="T112" i="20" s="1"/>
  <c r="S112" i="20" s="1"/>
  <c r="R112" i="20" s="1"/>
  <c r="P112" i="20" s="1"/>
  <c r="V112" i="20" s="1"/>
  <c r="B112" i="20" s="1"/>
  <c r="W112" i="20" s="1"/>
  <c r="U114" i="20"/>
  <c r="T114" i="20" s="1"/>
  <c r="S114" i="20" s="1"/>
  <c r="R114" i="20" s="1"/>
  <c r="P114" i="20" s="1"/>
  <c r="V114" i="20" s="1"/>
  <c r="B114" i="20" s="1"/>
  <c r="W114" i="20" s="1"/>
  <c r="U116" i="20"/>
  <c r="T116" i="20" s="1"/>
  <c r="S116" i="20" s="1"/>
  <c r="R116" i="20" s="1"/>
  <c r="P116" i="20" s="1"/>
  <c r="V116" i="20" s="1"/>
  <c r="B116" i="20" s="1"/>
  <c r="U118" i="20"/>
  <c r="T118" i="20" s="1"/>
  <c r="S118" i="20" s="1"/>
  <c r="R118" i="20" s="1"/>
  <c r="P118" i="20" s="1"/>
  <c r="V118" i="20" s="1"/>
  <c r="B118" i="20" s="1"/>
  <c r="U120" i="20"/>
  <c r="T120" i="20" s="1"/>
  <c r="S120" i="20" s="1"/>
  <c r="R120" i="20" s="1"/>
  <c r="P120" i="20" s="1"/>
  <c r="V120" i="20" s="1"/>
  <c r="B120" i="20" s="1"/>
  <c r="W120" i="20" s="1"/>
  <c r="U122" i="20"/>
  <c r="T122" i="20" s="1"/>
  <c r="U124" i="20"/>
  <c r="T124" i="20" s="1"/>
  <c r="S124" i="20" s="1"/>
  <c r="R124" i="20" s="1"/>
  <c r="P124" i="20" s="1"/>
  <c r="V124" i="20" s="1"/>
  <c r="B124" i="20" s="1"/>
  <c r="D124" i="20" s="1"/>
  <c r="E124" i="20" s="1"/>
  <c r="F124" i="20" s="1"/>
  <c r="U126" i="20"/>
  <c r="T126" i="20" s="1"/>
  <c r="S126" i="20" s="1"/>
  <c r="R126" i="20" s="1"/>
  <c r="P126" i="20" s="1"/>
  <c r="V126" i="20" s="1"/>
  <c r="B126" i="20" s="1"/>
  <c r="U128" i="20"/>
  <c r="T128" i="20" s="1"/>
  <c r="S128" i="20" s="1"/>
  <c r="R128" i="20" s="1"/>
  <c r="P128" i="20" s="1"/>
  <c r="V128" i="20" s="1"/>
  <c r="B128" i="20" s="1"/>
  <c r="W128" i="20" s="1"/>
  <c r="U130" i="20"/>
  <c r="T130" i="20" s="1"/>
  <c r="U132" i="20"/>
  <c r="T132" i="20" s="1"/>
  <c r="S132" i="20" s="1"/>
  <c r="R132" i="20" s="1"/>
  <c r="P132" i="20" s="1"/>
  <c r="V132" i="20" s="1"/>
  <c r="B132" i="20" s="1"/>
  <c r="U134" i="20"/>
  <c r="T134" i="20" s="1"/>
  <c r="S134" i="20" s="1"/>
  <c r="R134" i="20" s="1"/>
  <c r="P134" i="20" s="1"/>
  <c r="V134" i="20" s="1"/>
  <c r="B134" i="20" s="1"/>
  <c r="U136" i="20"/>
  <c r="T136" i="20" s="1"/>
  <c r="S136" i="20" s="1"/>
  <c r="R136" i="20" s="1"/>
  <c r="P136" i="20" s="1"/>
  <c r="V136" i="20" s="1"/>
  <c r="B136" i="20" s="1"/>
  <c r="U138" i="20"/>
  <c r="T138" i="20" s="1"/>
  <c r="S138" i="20" s="1"/>
  <c r="R138" i="20" s="1"/>
  <c r="P138" i="20" s="1"/>
  <c r="V138" i="20" s="1"/>
  <c r="B138" i="20" s="1"/>
  <c r="D138" i="20" s="1"/>
  <c r="E138" i="20" s="1"/>
  <c r="F138" i="20" s="1"/>
  <c r="U140" i="20"/>
  <c r="T140" i="20" s="1"/>
  <c r="S140" i="20" s="1"/>
  <c r="R140" i="20" s="1"/>
  <c r="P140" i="20" s="1"/>
  <c r="V140" i="20" s="1"/>
  <c r="B140" i="20" s="1"/>
  <c r="W140" i="20" s="1"/>
  <c r="U142" i="20"/>
  <c r="T142" i="20" s="1"/>
  <c r="U144" i="20"/>
  <c r="T144" i="20" s="1"/>
  <c r="S144" i="20" s="1"/>
  <c r="R144" i="20" s="1"/>
  <c r="P144" i="20" s="1"/>
  <c r="V144" i="20" s="1"/>
  <c r="B144" i="20" s="1"/>
  <c r="U146" i="20"/>
  <c r="T146" i="20" s="1"/>
  <c r="S146" i="20" s="1"/>
  <c r="R146" i="20" s="1"/>
  <c r="P146" i="20" s="1"/>
  <c r="V146" i="20" s="1"/>
  <c r="B146" i="20" s="1"/>
  <c r="U148" i="20"/>
  <c r="T148" i="20" s="1"/>
  <c r="S148" i="20" s="1"/>
  <c r="R148" i="20" s="1"/>
  <c r="P148" i="20" s="1"/>
  <c r="V148" i="20" s="1"/>
  <c r="B148" i="20" s="1"/>
  <c r="U150" i="20"/>
  <c r="T150" i="20" s="1"/>
  <c r="U152" i="20"/>
  <c r="T152" i="20" s="1"/>
  <c r="S152" i="20" s="1"/>
  <c r="R152" i="20" s="1"/>
  <c r="P152" i="20" s="1"/>
  <c r="V152" i="20" s="1"/>
  <c r="B152" i="20" s="1"/>
  <c r="U154" i="20"/>
  <c r="T154" i="20" s="1"/>
  <c r="S154" i="20" s="1"/>
  <c r="R154" i="20" s="1"/>
  <c r="P154" i="20" s="1"/>
  <c r="V154" i="20" s="1"/>
  <c r="B154" i="20" s="1"/>
  <c r="U156" i="20"/>
  <c r="T156" i="20" s="1"/>
  <c r="S156" i="20" s="1"/>
  <c r="R156" i="20" s="1"/>
  <c r="P156" i="20" s="1"/>
  <c r="V156" i="20" s="1"/>
  <c r="B156" i="20" s="1"/>
  <c r="W156" i="20" s="1"/>
  <c r="U158" i="20"/>
  <c r="T158" i="20" s="1"/>
  <c r="U160" i="20"/>
  <c r="T160" i="20" s="1"/>
  <c r="S160" i="20" s="1"/>
  <c r="R160" i="20" s="1"/>
  <c r="P160" i="20" s="1"/>
  <c r="V160" i="20" s="1"/>
  <c r="B160" i="20" s="1"/>
  <c r="D160" i="20" s="1"/>
  <c r="E160" i="20" s="1"/>
  <c r="F160" i="20" s="1"/>
  <c r="U162" i="20"/>
  <c r="T162" i="20" s="1"/>
  <c r="S162" i="20" s="1"/>
  <c r="R162" i="20" s="1"/>
  <c r="P162" i="20" s="1"/>
  <c r="V162" i="20" s="1"/>
  <c r="B162" i="20" s="1"/>
  <c r="U164" i="20"/>
  <c r="T164" i="20" s="1"/>
  <c r="S164" i="20" s="1"/>
  <c r="R164" i="20" s="1"/>
  <c r="P164" i="20" s="1"/>
  <c r="V164" i="20" s="1"/>
  <c r="B164" i="20" s="1"/>
  <c r="U166" i="20"/>
  <c r="T166" i="20" s="1"/>
  <c r="U168" i="20"/>
  <c r="T168" i="20" s="1"/>
  <c r="S168" i="20" s="1"/>
  <c r="R168" i="20" s="1"/>
  <c r="P168" i="20" s="1"/>
  <c r="V168" i="20" s="1"/>
  <c r="B168" i="20" s="1"/>
  <c r="U170" i="20"/>
  <c r="T170" i="20" s="1"/>
  <c r="S170" i="20" s="1"/>
  <c r="R170" i="20" s="1"/>
  <c r="P170" i="20" s="1"/>
  <c r="V170" i="20" s="1"/>
  <c r="B170" i="20" s="1"/>
  <c r="U172" i="20"/>
  <c r="T172" i="20" s="1"/>
  <c r="S172" i="20" s="1"/>
  <c r="R172" i="20" s="1"/>
  <c r="P172" i="20" s="1"/>
  <c r="V172" i="20" s="1"/>
  <c r="B172" i="20" s="1"/>
  <c r="W172" i="20" s="1"/>
  <c r="U174" i="20"/>
  <c r="T174" i="20" s="1"/>
  <c r="U176" i="20"/>
  <c r="T176" i="20" s="1"/>
  <c r="S176" i="20" s="1"/>
  <c r="R176" i="20" s="1"/>
  <c r="P176" i="20" s="1"/>
  <c r="V176" i="20" s="1"/>
  <c r="B176" i="20" s="1"/>
  <c r="U178" i="20"/>
  <c r="T178" i="20" s="1"/>
  <c r="S178" i="20" s="1"/>
  <c r="R178" i="20" s="1"/>
  <c r="P178" i="20" s="1"/>
  <c r="V178" i="20" s="1"/>
  <c r="B178" i="20" s="1"/>
  <c r="U180" i="20"/>
  <c r="T180" i="20" s="1"/>
  <c r="S180" i="20" s="1"/>
  <c r="R180" i="20" s="1"/>
  <c r="P180" i="20" s="1"/>
  <c r="AH25" i="7" s="1"/>
  <c r="U182" i="20"/>
  <c r="T182" i="20" s="1"/>
  <c r="S182" i="20" s="1"/>
  <c r="R182" i="20" s="1"/>
  <c r="P182" i="20" s="1"/>
  <c r="V182" i="20" s="1"/>
  <c r="B182" i="20" s="1"/>
  <c r="D182" i="20" s="1"/>
  <c r="E182" i="20" s="1"/>
  <c r="F182" i="20" s="1"/>
  <c r="U184" i="20"/>
  <c r="T184" i="20" s="1"/>
  <c r="S184" i="20" s="1"/>
  <c r="R184" i="20" s="1"/>
  <c r="P184" i="20" s="1"/>
  <c r="V184" i="20" s="1"/>
  <c r="B184" i="20" s="1"/>
  <c r="U186" i="20"/>
  <c r="T186" i="20" s="1"/>
  <c r="U188" i="20"/>
  <c r="T188" i="20" s="1"/>
  <c r="S188" i="20" s="1"/>
  <c r="R188" i="20" s="1"/>
  <c r="P188" i="20" s="1"/>
  <c r="V188" i="20" s="1"/>
  <c r="B188" i="20" s="1"/>
  <c r="U190" i="20"/>
  <c r="T190" i="20" s="1"/>
  <c r="S190" i="20" s="1"/>
  <c r="R190" i="20" s="1"/>
  <c r="P190" i="20" s="1"/>
  <c r="V190" i="20" s="1"/>
  <c r="B190" i="20" s="1"/>
  <c r="U192" i="20"/>
  <c r="T192" i="20" s="1"/>
  <c r="S192" i="20" s="1"/>
  <c r="R192" i="20" s="1"/>
  <c r="P192" i="20" s="1"/>
  <c r="V192" i="20" s="1"/>
  <c r="B192" i="20" s="1"/>
  <c r="U194" i="20"/>
  <c r="T194" i="20" s="1"/>
  <c r="U196" i="20"/>
  <c r="T196" i="20" s="1"/>
  <c r="S196" i="20" s="1"/>
  <c r="R196" i="20" s="1"/>
  <c r="P196" i="20" s="1"/>
  <c r="V196" i="20" s="1"/>
  <c r="U198" i="20"/>
  <c r="T198" i="20" s="1"/>
  <c r="S198" i="20" s="1"/>
  <c r="R198" i="20" s="1"/>
  <c r="P198" i="20" s="1"/>
  <c r="V198" i="20" s="1"/>
  <c r="B198" i="20" s="1"/>
  <c r="U200" i="20"/>
  <c r="T200" i="20" s="1"/>
  <c r="S200" i="20" s="1"/>
  <c r="R200" i="20" s="1"/>
  <c r="P200" i="20" s="1"/>
  <c r="V200" i="20" s="1"/>
  <c r="B200" i="20" s="1"/>
  <c r="U202" i="20"/>
  <c r="T202" i="20" s="1"/>
  <c r="U204" i="20"/>
  <c r="T204" i="20" s="1"/>
  <c r="S204" i="20" s="1"/>
  <c r="R204" i="20" s="1"/>
  <c r="P204" i="20" s="1"/>
  <c r="V204" i="20" s="1"/>
  <c r="B204" i="20" s="1"/>
  <c r="U206" i="20"/>
  <c r="T206" i="20" s="1"/>
  <c r="S206" i="20" s="1"/>
  <c r="R206" i="20" s="1"/>
  <c r="P206" i="20" s="1"/>
  <c r="V206" i="20" s="1"/>
  <c r="B206" i="20" s="1"/>
  <c r="U208" i="20"/>
  <c r="T208" i="20" s="1"/>
  <c r="S208" i="20" s="1"/>
  <c r="R208" i="20" s="1"/>
  <c r="P208" i="20" s="1"/>
  <c r="V208" i="20" s="1"/>
  <c r="B208" i="20" s="1"/>
  <c r="W208" i="20" s="1"/>
  <c r="U210" i="20"/>
  <c r="T210" i="20" s="1"/>
  <c r="U212" i="20"/>
  <c r="T212" i="20" s="1"/>
  <c r="S212" i="20" s="1"/>
  <c r="R212" i="20" s="1"/>
  <c r="P212" i="20" s="1"/>
  <c r="V212" i="20" s="1"/>
  <c r="B212" i="20" s="1"/>
  <c r="U214" i="20"/>
  <c r="T214" i="20" s="1"/>
  <c r="S214" i="20" s="1"/>
  <c r="R214" i="20" s="1"/>
  <c r="P214" i="20" s="1"/>
  <c r="V214" i="20" s="1"/>
  <c r="B214" i="20" s="1"/>
  <c r="W214" i="20" s="1"/>
  <c r="U216" i="20"/>
  <c r="T216" i="20" s="1"/>
  <c r="S216" i="20" s="1"/>
  <c r="R216" i="20" s="1"/>
  <c r="P216" i="20" s="1"/>
  <c r="V216" i="20" s="1"/>
  <c r="B216" i="20" s="1"/>
  <c r="U218" i="20"/>
  <c r="T218" i="20" s="1"/>
  <c r="U220" i="20"/>
  <c r="T220" i="20" s="1"/>
  <c r="S220" i="20" s="1"/>
  <c r="R220" i="20" s="1"/>
  <c r="P220" i="20" s="1"/>
  <c r="V220" i="20" s="1"/>
  <c r="B220" i="20" s="1"/>
  <c r="W220" i="20" s="1"/>
  <c r="AE371" i="20"/>
  <c r="AE355" i="20"/>
  <c r="AE343" i="20"/>
  <c r="AE335" i="20"/>
  <c r="AE327" i="20"/>
  <c r="AE314" i="20"/>
  <c r="AE298" i="20"/>
  <c r="AE282" i="20"/>
  <c r="AE266" i="20"/>
  <c r="AE250" i="20"/>
  <c r="AE226" i="20"/>
  <c r="AE194" i="20"/>
  <c r="AE162" i="20"/>
  <c r="AE130" i="20"/>
  <c r="AE378" i="20"/>
  <c r="AE374" i="20"/>
  <c r="AE370" i="20"/>
  <c r="AE366" i="20"/>
  <c r="AE362" i="20"/>
  <c r="AE358" i="20"/>
  <c r="AE354" i="20"/>
  <c r="AE350" i="20"/>
  <c r="AE346" i="20"/>
  <c r="AE342" i="20"/>
  <c r="AE338" i="20"/>
  <c r="AE334" i="20"/>
  <c r="AE330" i="20"/>
  <c r="AE326" i="20"/>
  <c r="AE320" i="20"/>
  <c r="AE312" i="20"/>
  <c r="AE304" i="20"/>
  <c r="AE296" i="20"/>
  <c r="AE288" i="20"/>
  <c r="AE280" i="20"/>
  <c r="AE272" i="20"/>
  <c r="AE264" i="20"/>
  <c r="AE256" i="20"/>
  <c r="AE248" i="20"/>
  <c r="AE238" i="20"/>
  <c r="AE222" i="20"/>
  <c r="AE206" i="20"/>
  <c r="AE190" i="20"/>
  <c r="AE174" i="20"/>
  <c r="AE158" i="20"/>
  <c r="AE142" i="20"/>
  <c r="AE126" i="20"/>
  <c r="AE110" i="20"/>
  <c r="AE105" i="20"/>
  <c r="AE109" i="20"/>
  <c r="AE113" i="20"/>
  <c r="AE117" i="20"/>
  <c r="AE121" i="20"/>
  <c r="AE125" i="20"/>
  <c r="AE129" i="20"/>
  <c r="AE133" i="20"/>
  <c r="AE137" i="20"/>
  <c r="AE141" i="20"/>
  <c r="AE145" i="20"/>
  <c r="AE149" i="20"/>
  <c r="AE153" i="20"/>
  <c r="AE157" i="20"/>
  <c r="AE161" i="20"/>
  <c r="AE165" i="20"/>
  <c r="AE169" i="20"/>
  <c r="AE173" i="20"/>
  <c r="AE177" i="20"/>
  <c r="AE181" i="20"/>
  <c r="AE185" i="20"/>
  <c r="AE189" i="20"/>
  <c r="AE193" i="20"/>
  <c r="AE197" i="20"/>
  <c r="AE201" i="20"/>
  <c r="AE205" i="20"/>
  <c r="AE209" i="20"/>
  <c r="AE213" i="20"/>
  <c r="AE217" i="20"/>
  <c r="AE221" i="20"/>
  <c r="AE225" i="20"/>
  <c r="AE229" i="20"/>
  <c r="AE233" i="20"/>
  <c r="AE237" i="20"/>
  <c r="AE241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6" i="20"/>
  <c r="AE228" i="20"/>
  <c r="AE220" i="20"/>
  <c r="AE212" i="20"/>
  <c r="AE204" i="20"/>
  <c r="AE196" i="20"/>
  <c r="AE188" i="20"/>
  <c r="AE180" i="20"/>
  <c r="AE172" i="20"/>
  <c r="AE164" i="20"/>
  <c r="AE156" i="20"/>
  <c r="AE148" i="20"/>
  <c r="AE140" i="20"/>
  <c r="AE132" i="20"/>
  <c r="AE124" i="20"/>
  <c r="AE116" i="20"/>
  <c r="AE108" i="20"/>
  <c r="AE351" i="20"/>
  <c r="AE363" i="20"/>
  <c r="AE359" i="20"/>
  <c r="AE367" i="20"/>
  <c r="F149" i="18"/>
  <c r="G201" i="18"/>
  <c r="CA201" i="6" s="1"/>
  <c r="AA81" i="18"/>
  <c r="Z81" i="18" s="1"/>
  <c r="Y81" i="18" s="1"/>
  <c r="AA43" i="18"/>
  <c r="Z43" i="18" s="1"/>
  <c r="Y43" i="18" s="1"/>
  <c r="H209" i="18"/>
  <c r="J209" i="18" s="1"/>
  <c r="C209" i="6" s="1"/>
  <c r="AA217" i="18"/>
  <c r="Z217" i="18" s="1"/>
  <c r="Y217" i="18" s="1"/>
  <c r="AA330" i="18"/>
  <c r="Z330" i="18" s="1"/>
  <c r="Y330" i="18" s="1"/>
  <c r="AA240" i="18"/>
  <c r="Z240" i="18" s="1"/>
  <c r="Y240" i="18" s="1"/>
  <c r="AA362" i="18"/>
  <c r="Z362" i="18" s="1"/>
  <c r="Y362" i="18" s="1"/>
  <c r="AA256" i="18"/>
  <c r="Z256" i="18" s="1"/>
  <c r="Y256" i="18" s="1"/>
  <c r="AA219" i="18"/>
  <c r="Z219" i="18" s="1"/>
  <c r="Y219" i="18" s="1"/>
  <c r="H117" i="18"/>
  <c r="J117" i="18" s="1"/>
  <c r="C117" i="6" s="1"/>
  <c r="H217" i="18"/>
  <c r="I217" i="18" s="1"/>
  <c r="B217" i="6" s="1"/>
  <c r="BA217" i="6" s="1"/>
  <c r="D217" i="6" s="1"/>
  <c r="AI16" i="7"/>
  <c r="AI11" i="20"/>
  <c r="AI113" i="20" s="1"/>
  <c r="AH113" i="20" s="1"/>
  <c r="AG113" i="20" s="1"/>
  <c r="AF113" i="20" s="1"/>
  <c r="AD113" i="20" s="1"/>
  <c r="AE122" i="20"/>
  <c r="AE154" i="20"/>
  <c r="AE186" i="20"/>
  <c r="AE218" i="20"/>
  <c r="AE246" i="20"/>
  <c r="AE262" i="20"/>
  <c r="AE278" i="20"/>
  <c r="AE294" i="20"/>
  <c r="AE310" i="20"/>
  <c r="AE325" i="20"/>
  <c r="AE333" i="20"/>
  <c r="AE341" i="20"/>
  <c r="AE349" i="20"/>
  <c r="AE357" i="20"/>
  <c r="AE365" i="20"/>
  <c r="AE373" i="20"/>
  <c r="AE106" i="20"/>
  <c r="AE138" i="20"/>
  <c r="AE170" i="20"/>
  <c r="AE202" i="20"/>
  <c r="AE234" i="20"/>
  <c r="AE254" i="20"/>
  <c r="AE270" i="20"/>
  <c r="AE286" i="20"/>
  <c r="AE302" i="20"/>
  <c r="AE318" i="20"/>
  <c r="AE329" i="20"/>
  <c r="AE337" i="20"/>
  <c r="AE345" i="20"/>
  <c r="AE353" i="20"/>
  <c r="AE361" i="20"/>
  <c r="AE369" i="20"/>
  <c r="AE377" i="20"/>
  <c r="AI377" i="20"/>
  <c r="AH377" i="20" s="1"/>
  <c r="AE375" i="20"/>
  <c r="H201" i="18"/>
  <c r="I201" i="18" s="1"/>
  <c r="B201" i="6" s="1"/>
  <c r="BA201" i="6" s="1"/>
  <c r="D201" i="6" s="1"/>
  <c r="H169" i="18"/>
  <c r="I169" i="18" s="1"/>
  <c r="B169" i="6" s="1"/>
  <c r="BA169" i="6" s="1"/>
  <c r="G145" i="18"/>
  <c r="CA145" i="6" s="1"/>
  <c r="G177" i="18"/>
  <c r="CA177" i="6" s="1"/>
  <c r="G169" i="18"/>
  <c r="CA169" i="6" s="1"/>
  <c r="H81" i="18"/>
  <c r="J81" i="18" s="1"/>
  <c r="C81" i="6" s="1"/>
  <c r="AA145" i="18"/>
  <c r="Z145" i="18" s="1"/>
  <c r="Y145" i="18" s="1"/>
  <c r="AA177" i="18"/>
  <c r="Z177" i="18" s="1"/>
  <c r="Y177" i="18" s="1"/>
  <c r="AA209" i="18"/>
  <c r="Z209" i="18" s="1"/>
  <c r="Y209" i="18" s="1"/>
  <c r="H65" i="18"/>
  <c r="I65" i="18" s="1"/>
  <c r="B65" i="6" s="1"/>
  <c r="BA65" i="6" s="1"/>
  <c r="D65" i="6" s="1"/>
  <c r="AA65" i="18"/>
  <c r="Z65" i="18" s="1"/>
  <c r="Y65" i="18" s="1"/>
  <c r="AI21" i="20"/>
  <c r="AH21" i="20" s="1"/>
  <c r="AG21" i="20" s="1"/>
  <c r="AF21" i="20" s="1"/>
  <c r="AD21" i="20" s="1"/>
  <c r="AI16" i="20"/>
  <c r="AH16" i="20" s="1"/>
  <c r="AG16" i="20" s="1"/>
  <c r="AF16" i="20" s="1"/>
  <c r="AD16" i="20" s="1"/>
  <c r="AI23" i="20"/>
  <c r="AH23" i="20" s="1"/>
  <c r="AG23" i="20" s="1"/>
  <c r="AF23" i="20" s="1"/>
  <c r="AD23" i="20" s="1"/>
  <c r="AI27" i="20"/>
  <c r="AH27" i="20" s="1"/>
  <c r="AG27" i="20" s="1"/>
  <c r="AF27" i="20" s="1"/>
  <c r="AD27" i="20" s="1"/>
  <c r="AI31" i="20"/>
  <c r="AH31" i="20" s="1"/>
  <c r="AG31" i="20" s="1"/>
  <c r="AF31" i="20" s="1"/>
  <c r="AD31" i="20" s="1"/>
  <c r="AI35" i="20"/>
  <c r="AH35" i="20" s="1"/>
  <c r="AG35" i="20" s="1"/>
  <c r="AF35" i="20" s="1"/>
  <c r="AD35" i="20" s="1"/>
  <c r="AI39" i="20"/>
  <c r="AH39" i="20" s="1"/>
  <c r="AG39" i="20" s="1"/>
  <c r="AF39" i="20" s="1"/>
  <c r="AD39" i="20" s="1"/>
  <c r="AI43" i="20"/>
  <c r="AH43" i="20" s="1"/>
  <c r="AG43" i="20" s="1"/>
  <c r="AF43" i="20" s="1"/>
  <c r="AD43" i="20" s="1"/>
  <c r="AI49" i="20"/>
  <c r="AH49" i="20" s="1"/>
  <c r="AG49" i="20" s="1"/>
  <c r="AF49" i="20" s="1"/>
  <c r="AD49" i="20" s="1"/>
  <c r="AI57" i="20"/>
  <c r="AH57" i="20" s="1"/>
  <c r="AG57" i="20" s="1"/>
  <c r="AF57" i="20" s="1"/>
  <c r="AD57" i="20" s="1"/>
  <c r="AI65" i="20"/>
  <c r="AH65" i="20" s="1"/>
  <c r="AG65" i="20" s="1"/>
  <c r="AF65" i="20" s="1"/>
  <c r="AD65" i="20" s="1"/>
  <c r="AI73" i="20"/>
  <c r="AH73" i="20" s="1"/>
  <c r="AG73" i="20" s="1"/>
  <c r="AF73" i="20" s="1"/>
  <c r="AD73" i="20" s="1"/>
  <c r="AI81" i="20"/>
  <c r="AH81" i="20" s="1"/>
  <c r="AG81" i="20" s="1"/>
  <c r="AF81" i="20" s="1"/>
  <c r="AD81" i="20" s="1"/>
  <c r="AI89" i="20"/>
  <c r="AH89" i="20" s="1"/>
  <c r="AG89" i="20" s="1"/>
  <c r="AF89" i="20" s="1"/>
  <c r="AD89" i="20" s="1"/>
  <c r="AI97" i="20"/>
  <c r="AH97" i="20" s="1"/>
  <c r="AG97" i="20" s="1"/>
  <c r="AF97" i="20" s="1"/>
  <c r="AD97" i="20" s="1"/>
  <c r="AI105" i="20"/>
  <c r="AH105" i="20" s="1"/>
  <c r="AG105" i="20" s="1"/>
  <c r="AF105" i="20" s="1"/>
  <c r="AD105" i="20" s="1"/>
  <c r="AI121" i="20"/>
  <c r="AH121" i="20" s="1"/>
  <c r="AG121" i="20" s="1"/>
  <c r="AF121" i="20" s="1"/>
  <c r="AI137" i="20"/>
  <c r="AH137" i="20" s="1"/>
  <c r="AG137" i="20" s="1"/>
  <c r="AF137" i="20" s="1"/>
  <c r="AD137" i="20" s="1"/>
  <c r="AI153" i="20"/>
  <c r="AH153" i="20" s="1"/>
  <c r="AI169" i="20"/>
  <c r="AH169" i="20" s="1"/>
  <c r="AG169" i="20" s="1"/>
  <c r="AF169" i="20" s="1"/>
  <c r="AD169" i="20" s="1"/>
  <c r="AI185" i="20"/>
  <c r="AH185" i="20" s="1"/>
  <c r="AG185" i="20" s="1"/>
  <c r="AF185" i="20" s="1"/>
  <c r="AI201" i="20"/>
  <c r="AH201" i="20" s="1"/>
  <c r="AG201" i="20" s="1"/>
  <c r="AF201" i="20" s="1"/>
  <c r="AD201" i="20" s="1"/>
  <c r="AI217" i="20"/>
  <c r="AH217" i="20" s="1"/>
  <c r="AG217" i="20" s="1"/>
  <c r="AF217" i="20" s="1"/>
  <c r="AI233" i="20"/>
  <c r="AH233" i="20" s="1"/>
  <c r="AG233" i="20" s="1"/>
  <c r="AF233" i="20" s="1"/>
  <c r="AD233" i="20" s="1"/>
  <c r="AI249" i="20"/>
  <c r="AH249" i="20" s="1"/>
  <c r="AG249" i="20" s="1"/>
  <c r="AF249" i="20" s="1"/>
  <c r="AD249" i="20" s="1"/>
  <c r="AI265" i="20"/>
  <c r="AH265" i="20" s="1"/>
  <c r="AG265" i="20" s="1"/>
  <c r="AF265" i="20" s="1"/>
  <c r="AD265" i="20" s="1"/>
  <c r="AI281" i="20"/>
  <c r="AH281" i="20" s="1"/>
  <c r="AG281" i="20" s="1"/>
  <c r="AF281" i="20" s="1"/>
  <c r="AD281" i="20" s="1"/>
  <c r="AI297" i="20"/>
  <c r="AH297" i="20" s="1"/>
  <c r="AG297" i="20" s="1"/>
  <c r="AF297" i="20" s="1"/>
  <c r="AD297" i="20" s="1"/>
  <c r="AI313" i="20"/>
  <c r="AH313" i="20" s="1"/>
  <c r="AG313" i="20" s="1"/>
  <c r="AF313" i="20" s="1"/>
  <c r="AD313" i="20" s="1"/>
  <c r="AI329" i="20"/>
  <c r="AH329" i="20" s="1"/>
  <c r="AG329" i="20" s="1"/>
  <c r="AF329" i="20" s="1"/>
  <c r="AI345" i="20"/>
  <c r="AH345" i="20" s="1"/>
  <c r="AG345" i="20" s="1"/>
  <c r="AF345" i="20" s="1"/>
  <c r="AD345" i="20" s="1"/>
  <c r="AI361" i="20"/>
  <c r="AH361" i="20" s="1"/>
  <c r="AG361" i="20" s="1"/>
  <c r="AF361" i="20" s="1"/>
  <c r="AI379" i="20"/>
  <c r="AH379" i="20" s="1"/>
  <c r="AI371" i="20"/>
  <c r="AH371" i="20" s="1"/>
  <c r="AG371" i="20" s="1"/>
  <c r="AF371" i="20" s="1"/>
  <c r="AI363" i="20"/>
  <c r="AH363" i="20" s="1"/>
  <c r="AG363" i="20" s="1"/>
  <c r="AF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I235" i="20"/>
  <c r="AH235" i="20" s="1"/>
  <c r="AG235" i="20" s="1"/>
  <c r="AF235" i="20" s="1"/>
  <c r="AD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I203" i="20"/>
  <c r="AH203" i="20" s="1"/>
  <c r="AG203" i="20" s="1"/>
  <c r="AF203" i="20" s="1"/>
  <c r="AD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I147" i="20"/>
  <c r="AH147" i="20" s="1"/>
  <c r="AG147" i="20" s="1"/>
  <c r="AF147" i="20" s="1"/>
  <c r="AD147" i="20" s="1"/>
  <c r="AI139" i="20"/>
  <c r="AH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I107" i="20"/>
  <c r="AH107" i="20" s="1"/>
  <c r="AG107" i="20" s="1"/>
  <c r="AF107" i="20" s="1"/>
  <c r="AD107" i="20" s="1"/>
  <c r="AI103" i="20"/>
  <c r="AH103" i="20" s="1"/>
  <c r="AG103" i="20" s="1"/>
  <c r="AF103" i="20" s="1"/>
  <c r="AD103" i="20" s="1"/>
  <c r="AI99" i="20"/>
  <c r="AH99" i="20" s="1"/>
  <c r="AG99" i="20" s="1"/>
  <c r="AF99" i="20" s="1"/>
  <c r="AD99" i="20" s="1"/>
  <c r="AI95" i="20"/>
  <c r="AH95" i="20" s="1"/>
  <c r="AG95" i="20" s="1"/>
  <c r="AF95" i="20" s="1"/>
  <c r="AD95" i="20" s="1"/>
  <c r="AI91" i="20"/>
  <c r="AH91" i="20" s="1"/>
  <c r="AG91" i="20" s="1"/>
  <c r="AF91" i="20" s="1"/>
  <c r="AD91" i="20" s="1"/>
  <c r="AI87" i="20"/>
  <c r="AH87" i="20" s="1"/>
  <c r="AG87" i="20" s="1"/>
  <c r="AF87" i="20" s="1"/>
  <c r="AD87" i="20" s="1"/>
  <c r="AI83" i="20"/>
  <c r="AH83" i="20" s="1"/>
  <c r="AG83" i="20" s="1"/>
  <c r="AF83" i="20" s="1"/>
  <c r="AD83" i="20" s="1"/>
  <c r="AI79" i="20"/>
  <c r="AH79" i="20" s="1"/>
  <c r="AG79" i="20" s="1"/>
  <c r="AF79" i="20" s="1"/>
  <c r="AD79" i="20" s="1"/>
  <c r="AI75" i="20"/>
  <c r="AH75" i="20" s="1"/>
  <c r="AI71" i="20"/>
  <c r="AH71" i="20" s="1"/>
  <c r="AG71" i="20" s="1"/>
  <c r="AF71" i="20" s="1"/>
  <c r="AD71" i="20" s="1"/>
  <c r="AI67" i="20"/>
  <c r="AH67" i="20" s="1"/>
  <c r="AG67" i="20" s="1"/>
  <c r="AF67" i="20" s="1"/>
  <c r="AD67" i="20" s="1"/>
  <c r="AI63" i="20"/>
  <c r="AH63" i="20" s="1"/>
  <c r="AG63" i="20" s="1"/>
  <c r="AF63" i="20" s="1"/>
  <c r="AD63" i="20" s="1"/>
  <c r="AI59" i="20"/>
  <c r="AH59" i="20" s="1"/>
  <c r="AG59" i="20" s="1"/>
  <c r="AF59" i="20" s="1"/>
  <c r="AD59" i="20" s="1"/>
  <c r="AI55" i="20"/>
  <c r="AH55" i="20" s="1"/>
  <c r="AG55" i="20" s="1"/>
  <c r="AF55" i="20" s="1"/>
  <c r="AD55" i="20" s="1"/>
  <c r="AI51" i="20"/>
  <c r="AH51" i="20" s="1"/>
  <c r="AG51" i="20" s="1"/>
  <c r="AF51" i="20" s="1"/>
  <c r="AD51" i="20" s="1"/>
  <c r="AI47" i="20"/>
  <c r="AH47" i="20" s="1"/>
  <c r="AG47" i="20" s="1"/>
  <c r="AF47" i="20" s="1"/>
  <c r="AD47" i="20" s="1"/>
  <c r="F119" i="18"/>
  <c r="G119" i="18" s="1"/>
  <c r="CA119" i="6" s="1"/>
  <c r="H203" i="18"/>
  <c r="I203" i="18" s="1"/>
  <c r="B203" i="6" s="1"/>
  <c r="BA203" i="6" s="1"/>
  <c r="D203" i="6" s="1"/>
  <c r="G150" i="18"/>
  <c r="CA150" i="6" s="1"/>
  <c r="AA343" i="18"/>
  <c r="Z343" i="18" s="1"/>
  <c r="Y343" i="18" s="1"/>
  <c r="AA111" i="18"/>
  <c r="Z111" i="18" s="1"/>
  <c r="Y111" i="18" s="1"/>
  <c r="G320" i="18"/>
  <c r="CA320" i="6" s="1"/>
  <c r="G335" i="18"/>
  <c r="CA335" i="6" s="1"/>
  <c r="G111" i="18"/>
  <c r="CA111" i="6" s="1"/>
  <c r="G43" i="18"/>
  <c r="CA43" i="6" s="1"/>
  <c r="G240" i="18"/>
  <c r="CA240" i="6" s="1"/>
  <c r="H243" i="18"/>
  <c r="I243" i="18" s="1"/>
  <c r="B243" i="6" s="1"/>
  <c r="BA243" i="6" s="1"/>
  <c r="D243" i="6" s="1"/>
  <c r="AA335" i="18"/>
  <c r="Z335" i="18" s="1"/>
  <c r="Y335" i="18" s="1"/>
  <c r="G42" i="18"/>
  <c r="CA42" i="6" s="1"/>
  <c r="AA203" i="18"/>
  <c r="Z203" i="18" s="1"/>
  <c r="Y203" i="18" s="1"/>
  <c r="AA243" i="18"/>
  <c r="Z243" i="18" s="1"/>
  <c r="Y243" i="18" s="1"/>
  <c r="G27" i="18"/>
  <c r="CA27" i="6" s="1"/>
  <c r="J139" i="17"/>
  <c r="G219" i="18"/>
  <c r="CA219" i="6" s="1"/>
  <c r="H27" i="18"/>
  <c r="I27" i="18" s="1"/>
  <c r="B27" i="6" s="1"/>
  <c r="BA27" i="6" s="1"/>
  <c r="D27" i="6" s="1"/>
  <c r="H343" i="18"/>
  <c r="I343" i="18" s="1"/>
  <c r="B343" i="6" s="1"/>
  <c r="BA343" i="6" s="1"/>
  <c r="D343" i="6" s="1"/>
  <c r="H283" i="18"/>
  <c r="J283" i="18" s="1"/>
  <c r="C283" i="6" s="1"/>
  <c r="AA283" i="18"/>
  <c r="Z283" i="18" s="1"/>
  <c r="Y283" i="18" s="1"/>
  <c r="H19" i="18"/>
  <c r="I19" i="18" s="1"/>
  <c r="B19" i="6" s="1"/>
  <c r="BA19" i="6" s="1"/>
  <c r="D19" i="6" s="1"/>
  <c r="G114" i="18"/>
  <c r="CA114" i="6" s="1"/>
  <c r="H362" i="18"/>
  <c r="I362" i="18" s="1"/>
  <c r="B362" i="6" s="1"/>
  <c r="BA362" i="6" s="1"/>
  <c r="D362" i="6" s="1"/>
  <c r="AA28" i="18"/>
  <c r="Z28" i="18" s="1"/>
  <c r="Y28" i="18" s="1"/>
  <c r="G73" i="18"/>
  <c r="CA73" i="6" s="1"/>
  <c r="G108" i="18"/>
  <c r="CA108" i="6" s="1"/>
  <c r="AA19" i="18"/>
  <c r="Z19" i="18" s="1"/>
  <c r="Y19" i="18" s="1"/>
  <c r="H246" i="18"/>
  <c r="I246" i="18" s="1"/>
  <c r="B246" i="6" s="1"/>
  <c r="BA246" i="6" s="1"/>
  <c r="D246" i="6" s="1"/>
  <c r="W210" i="18"/>
  <c r="G141" i="18"/>
  <c r="CA141" i="6" s="1"/>
  <c r="H356" i="18"/>
  <c r="I356" i="18" s="1"/>
  <c r="B356" i="6" s="1"/>
  <c r="BA356" i="6" s="1"/>
  <c r="D356" i="6" s="1"/>
  <c r="G220" i="18"/>
  <c r="CA220" i="6" s="1"/>
  <c r="H141" i="18"/>
  <c r="J141" i="18" s="1"/>
  <c r="C141" i="6" s="1"/>
  <c r="J47" i="17"/>
  <c r="H65" i="19"/>
  <c r="K65" i="19"/>
  <c r="AA114" i="18"/>
  <c r="Z114" i="18" s="1"/>
  <c r="Y114" i="18" s="1"/>
  <c r="AA150" i="18"/>
  <c r="Z150" i="18" s="1"/>
  <c r="Y150" i="18" s="1"/>
  <c r="H186" i="18"/>
  <c r="I186" i="18" s="1"/>
  <c r="B186" i="6" s="1"/>
  <c r="BA186" i="6" s="1"/>
  <c r="D186" i="6" s="1"/>
  <c r="H73" i="18"/>
  <c r="J73" i="18" s="1"/>
  <c r="C73" i="6" s="1"/>
  <c r="AA282" i="18"/>
  <c r="Z282" i="18" s="1"/>
  <c r="Y282" i="18" s="1"/>
  <c r="G186" i="18"/>
  <c r="CA186" i="6" s="1"/>
  <c r="AA206" i="18"/>
  <c r="Z206" i="18" s="1"/>
  <c r="Y206" i="18" s="1"/>
  <c r="AA42" i="18"/>
  <c r="Z42" i="18" s="1"/>
  <c r="Y42" i="18" s="1"/>
  <c r="AA214" i="18"/>
  <c r="Z214" i="18" s="1"/>
  <c r="Y214" i="18" s="1"/>
  <c r="AA318" i="18"/>
  <c r="Z318" i="18" s="1"/>
  <c r="Y318" i="18" s="1"/>
  <c r="H69" i="18"/>
  <c r="J69" i="18" s="1"/>
  <c r="C69" i="6" s="1"/>
  <c r="H232" i="18"/>
  <c r="J232" i="18" s="1"/>
  <c r="C232" i="6" s="1"/>
  <c r="H214" i="18"/>
  <c r="J214" i="18" s="1"/>
  <c r="C214" i="6" s="1"/>
  <c r="G330" i="18"/>
  <c r="CA330" i="6" s="1"/>
  <c r="H282" i="18"/>
  <c r="J282" i="18" s="1"/>
  <c r="C282" i="6" s="1"/>
  <c r="G206" i="18"/>
  <c r="CA206" i="6" s="1"/>
  <c r="G92" i="18"/>
  <c r="CA92" i="6" s="1"/>
  <c r="D379" i="18"/>
  <c r="E379" i="18" s="1"/>
  <c r="F379" i="18" s="1"/>
  <c r="G379" i="18" s="1"/>
  <c r="CA379" i="6" s="1"/>
  <c r="G356" i="18"/>
  <c r="CA356" i="6" s="1"/>
  <c r="D302" i="18"/>
  <c r="E302" i="18" s="1"/>
  <c r="F302" i="18" s="1"/>
  <c r="AA302" i="18" s="1"/>
  <c r="Z302" i="18" s="1"/>
  <c r="Y302" i="18" s="1"/>
  <c r="H256" i="18"/>
  <c r="I256" i="18" s="1"/>
  <c r="B256" i="6" s="1"/>
  <c r="BA256" i="6" s="1"/>
  <c r="D256" i="6" s="1"/>
  <c r="AA246" i="18"/>
  <c r="Z246" i="18" s="1"/>
  <c r="Y246" i="18" s="1"/>
  <c r="AA220" i="18"/>
  <c r="Z220" i="18" s="1"/>
  <c r="Y220" i="18" s="1"/>
  <c r="AA268" i="18"/>
  <c r="Z268" i="18" s="1"/>
  <c r="Y268" i="18" s="1"/>
  <c r="H320" i="18"/>
  <c r="J320" i="18" s="1"/>
  <c r="C320" i="6" s="1"/>
  <c r="G268" i="18"/>
  <c r="CA268" i="6" s="1"/>
  <c r="H28" i="18"/>
  <c r="I28" i="18" s="1"/>
  <c r="B28" i="6" s="1"/>
  <c r="BA28" i="6" s="1"/>
  <c r="D28" i="6" s="1"/>
  <c r="AA92" i="18"/>
  <c r="Z92" i="18" s="1"/>
  <c r="Y92" i="18" s="1"/>
  <c r="AA108" i="18"/>
  <c r="Z108" i="18" s="1"/>
  <c r="Y108" i="18" s="1"/>
  <c r="AA164" i="18"/>
  <c r="Z164" i="18" s="1"/>
  <c r="Y164" i="18" s="1"/>
  <c r="AA36" i="18"/>
  <c r="Z36" i="18" s="1"/>
  <c r="Y36" i="18" s="1"/>
  <c r="H198" i="18"/>
  <c r="J198" i="18" s="1"/>
  <c r="C198" i="6" s="1"/>
  <c r="H164" i="18"/>
  <c r="J164" i="18" s="1"/>
  <c r="C164" i="6" s="1"/>
  <c r="H36" i="18"/>
  <c r="I36" i="18" s="1"/>
  <c r="B36" i="6" s="1"/>
  <c r="BA36" i="6" s="1"/>
  <c r="D36" i="6" s="1"/>
  <c r="AA232" i="18"/>
  <c r="Z232" i="18" s="1"/>
  <c r="Y232" i="18" s="1"/>
  <c r="H318" i="18"/>
  <c r="I318" i="18" s="1"/>
  <c r="B318" i="6" s="1"/>
  <c r="BA318" i="6" s="1"/>
  <c r="D318" i="6" s="1"/>
  <c r="AA198" i="18"/>
  <c r="Z198" i="18" s="1"/>
  <c r="Y198" i="18" s="1"/>
  <c r="I65" i="19"/>
  <c r="AG15" i="18"/>
  <c r="AH382" i="18"/>
  <c r="AH381" i="18"/>
  <c r="AH383" i="18"/>
  <c r="AG379" i="18"/>
  <c r="AF379" i="18" s="1"/>
  <c r="AD379" i="18" s="1"/>
  <c r="AJ4" i="15"/>
  <c r="P12" i="19" s="1"/>
  <c r="AL13" i="15"/>
  <c r="J65" i="19"/>
  <c r="L65" i="19"/>
  <c r="Y124" i="17"/>
  <c r="Q381" i="20"/>
  <c r="M65" i="19"/>
  <c r="I76" i="18"/>
  <c r="B76" i="6" s="1"/>
  <c r="BA76" i="6" s="1"/>
  <c r="D76" i="6" s="1"/>
  <c r="J76" i="18"/>
  <c r="C76" i="6" s="1"/>
  <c r="J113" i="18"/>
  <c r="C113" i="6" s="1"/>
  <c r="J123" i="18"/>
  <c r="C123" i="6" s="1"/>
  <c r="I123" i="18"/>
  <c r="B123" i="6" s="1"/>
  <c r="BA123" i="6" s="1"/>
  <c r="D123" i="6" s="1"/>
  <c r="I339" i="18"/>
  <c r="B339" i="6" s="1"/>
  <c r="BA339" i="6" s="1"/>
  <c r="D339" i="6" s="1"/>
  <c r="J339" i="18"/>
  <c r="C339" i="6" s="1"/>
  <c r="D228" i="20"/>
  <c r="E228" i="20" s="1"/>
  <c r="F228" i="20" s="1"/>
  <c r="W228" i="20"/>
  <c r="AM15" i="7"/>
  <c r="Z11" i="15"/>
  <c r="Z5" i="15" s="1"/>
  <c r="H12" i="19" s="1"/>
  <c r="J12" i="19"/>
  <c r="AA11" i="15"/>
  <c r="AA5" i="15" s="1"/>
  <c r="I12" i="19" s="1"/>
  <c r="Q383" i="20"/>
  <c r="AH15" i="20"/>
  <c r="AG22" i="20"/>
  <c r="AF22" i="20" s="1"/>
  <c r="AD22" i="20" s="1"/>
  <c r="AG26" i="20"/>
  <c r="AF26" i="20" s="1"/>
  <c r="AD26" i="20" s="1"/>
  <c r="AG38" i="20"/>
  <c r="AF38" i="20" s="1"/>
  <c r="AD38" i="20" s="1"/>
  <c r="AG58" i="20"/>
  <c r="AF58" i="20" s="1"/>
  <c r="AD58" i="20" s="1"/>
  <c r="AG66" i="20"/>
  <c r="AF66" i="20" s="1"/>
  <c r="AD66" i="20" s="1"/>
  <c r="AG70" i="20"/>
  <c r="AF70" i="20" s="1"/>
  <c r="AD70" i="20" s="1"/>
  <c r="AG94" i="20"/>
  <c r="AF94" i="20" s="1"/>
  <c r="AD94" i="20" s="1"/>
  <c r="AG102" i="20"/>
  <c r="AF102" i="20" s="1"/>
  <c r="AD102" i="20" s="1"/>
  <c r="I328" i="18"/>
  <c r="B328" i="6" s="1"/>
  <c r="BA328" i="6" s="1"/>
  <c r="D328" i="6" s="1"/>
  <c r="J328" i="18"/>
  <c r="C328" i="6" s="1"/>
  <c r="I268" i="18"/>
  <c r="B268" i="6" s="1"/>
  <c r="BA268" i="6" s="1"/>
  <c r="D268" i="6" s="1"/>
  <c r="J268" i="18"/>
  <c r="C268" i="6" s="1"/>
  <c r="J248" i="18"/>
  <c r="C248" i="6" s="1"/>
  <c r="H160" i="18"/>
  <c r="G160" i="18"/>
  <c r="CA160" i="6" s="1"/>
  <c r="AA160" i="18"/>
  <c r="Z160" i="18" s="1"/>
  <c r="Y160" i="18" s="1"/>
  <c r="J150" i="18"/>
  <c r="C150" i="6" s="1"/>
  <c r="I150" i="18"/>
  <c r="B150" i="6" s="1"/>
  <c r="BA150" i="6" s="1"/>
  <c r="D150" i="6" s="1"/>
  <c r="I128" i="18"/>
  <c r="B128" i="6" s="1"/>
  <c r="BA128" i="6" s="1"/>
  <c r="D128" i="6" s="1"/>
  <c r="AA120" i="18"/>
  <c r="Z120" i="18" s="1"/>
  <c r="Y120" i="18" s="1"/>
  <c r="H120" i="18"/>
  <c r="G120" i="18"/>
  <c r="CA120" i="6" s="1"/>
  <c r="J94" i="18"/>
  <c r="C94" i="6" s="1"/>
  <c r="G58" i="18"/>
  <c r="CA58" i="6" s="1"/>
  <c r="H58" i="18"/>
  <c r="AA58" i="18"/>
  <c r="Z58" i="18" s="1"/>
  <c r="Y58" i="18" s="1"/>
  <c r="G264" i="18"/>
  <c r="CA264" i="6" s="1"/>
  <c r="H264" i="18"/>
  <c r="AA264" i="18"/>
  <c r="Z264" i="18" s="1"/>
  <c r="Y264" i="18" s="1"/>
  <c r="S372" i="20"/>
  <c r="R372" i="20" s="1"/>
  <c r="P372" i="20" s="1"/>
  <c r="V372" i="20" s="1"/>
  <c r="B372" i="20" s="1"/>
  <c r="S362" i="20"/>
  <c r="R362" i="20" s="1"/>
  <c r="P362" i="20" s="1"/>
  <c r="V362" i="20" s="1"/>
  <c r="B362" i="20" s="1"/>
  <c r="S356" i="20"/>
  <c r="R356" i="20" s="1"/>
  <c r="P356" i="20" s="1"/>
  <c r="V356" i="20" s="1"/>
  <c r="B356" i="20" s="1"/>
  <c r="S346" i="20"/>
  <c r="R346" i="20" s="1"/>
  <c r="P346" i="20" s="1"/>
  <c r="V346" i="20" s="1"/>
  <c r="B346" i="20" s="1"/>
  <c r="S336" i="20"/>
  <c r="R336" i="20" s="1"/>
  <c r="P336" i="20" s="1"/>
  <c r="V336" i="20" s="1"/>
  <c r="B336" i="20" s="1"/>
  <c r="S330" i="20"/>
  <c r="R330" i="20" s="1"/>
  <c r="P330" i="20" s="1"/>
  <c r="V330" i="20" s="1"/>
  <c r="B330" i="20" s="1"/>
  <c r="S320" i="20"/>
  <c r="R320" i="20" s="1"/>
  <c r="P320" i="20" s="1"/>
  <c r="V320" i="20" s="1"/>
  <c r="B320" i="20" s="1"/>
  <c r="S310" i="20"/>
  <c r="R310" i="20" s="1"/>
  <c r="P310" i="20" s="1"/>
  <c r="V310" i="20" s="1"/>
  <c r="B310" i="20" s="1"/>
  <c r="D304" i="20"/>
  <c r="E304" i="20" s="1"/>
  <c r="F304" i="20" s="1"/>
  <c r="W304" i="20"/>
  <c r="S302" i="20"/>
  <c r="R302" i="20" s="1"/>
  <c r="P302" i="20" s="1"/>
  <c r="W300" i="20"/>
  <c r="D300" i="20"/>
  <c r="E300" i="20" s="1"/>
  <c r="F300" i="20" s="1"/>
  <c r="S296" i="20"/>
  <c r="R296" i="20" s="1"/>
  <c r="P296" i="20" s="1"/>
  <c r="V296" i="20" s="1"/>
  <c r="B296" i="20" s="1"/>
  <c r="S294" i="20"/>
  <c r="R294" i="20" s="1"/>
  <c r="P294" i="20" s="1"/>
  <c r="V294" i="20" s="1"/>
  <c r="B294" i="20" s="1"/>
  <c r="S292" i="20"/>
  <c r="R292" i="20" s="1"/>
  <c r="P292" i="20" s="1"/>
  <c r="V292" i="20" s="1"/>
  <c r="B292" i="20" s="1"/>
  <c r="S288" i="20"/>
  <c r="R288" i="20" s="1"/>
  <c r="P288" i="20" s="1"/>
  <c r="V288" i="20" s="1"/>
  <c r="W284" i="20"/>
  <c r="D284" i="20"/>
  <c r="E284" i="20" s="1"/>
  <c r="F284" i="20" s="1"/>
  <c r="S282" i="20"/>
  <c r="R282" i="20" s="1"/>
  <c r="P282" i="20" s="1"/>
  <c r="V282" i="20" s="1"/>
  <c r="B282" i="20" s="1"/>
  <c r="S280" i="20"/>
  <c r="R280" i="20" s="1"/>
  <c r="P280" i="20" s="1"/>
  <c r="V280" i="20" s="1"/>
  <c r="B280" i="20" s="1"/>
  <c r="S278" i="20"/>
  <c r="R278" i="20" s="1"/>
  <c r="P278" i="20" s="1"/>
  <c r="V278" i="20" s="1"/>
  <c r="B278" i="20" s="1"/>
  <c r="S276" i="20"/>
  <c r="R276" i="20" s="1"/>
  <c r="P276" i="20" s="1"/>
  <c r="V276" i="20" s="1"/>
  <c r="B276" i="20" s="1"/>
  <c r="S274" i="20"/>
  <c r="R274" i="20" s="1"/>
  <c r="P274" i="20" s="1"/>
  <c r="V274" i="20" s="1"/>
  <c r="B274" i="20" s="1"/>
  <c r="S272" i="20"/>
  <c r="R272" i="20" s="1"/>
  <c r="P272" i="20" s="1"/>
  <c r="S268" i="20"/>
  <c r="R268" i="20" s="1"/>
  <c r="P268" i="20" s="1"/>
  <c r="V268" i="20" s="1"/>
  <c r="B268" i="20" s="1"/>
  <c r="S264" i="20"/>
  <c r="R264" i="20" s="1"/>
  <c r="P264" i="20" s="1"/>
  <c r="V264" i="20" s="1"/>
  <c r="B264" i="20" s="1"/>
  <c r="S260" i="20"/>
  <c r="R260" i="20" s="1"/>
  <c r="P260" i="20" s="1"/>
  <c r="V260" i="20" s="1"/>
  <c r="B260" i="20" s="1"/>
  <c r="S256" i="20"/>
  <c r="R256" i="20" s="1"/>
  <c r="P256" i="20" s="1"/>
  <c r="V256" i="20" s="1"/>
  <c r="B256" i="20" s="1"/>
  <c r="S252" i="20"/>
  <c r="R252" i="20" s="1"/>
  <c r="P252" i="20" s="1"/>
  <c r="V252" i="20" s="1"/>
  <c r="B252" i="20" s="1"/>
  <c r="S248" i="20"/>
  <c r="R248" i="20" s="1"/>
  <c r="P248" i="20" s="1"/>
  <c r="V248" i="20" s="1"/>
  <c r="B248" i="20" s="1"/>
  <c r="S246" i="20"/>
  <c r="R246" i="20" s="1"/>
  <c r="P246" i="20" s="1"/>
  <c r="V246" i="20" s="1"/>
  <c r="B246" i="20" s="1"/>
  <c r="S244" i="20"/>
  <c r="R244" i="20" s="1"/>
  <c r="P244" i="20" s="1"/>
  <c r="V244" i="20" s="1"/>
  <c r="B244" i="20" s="1"/>
  <c r="D240" i="20"/>
  <c r="E240" i="20" s="1"/>
  <c r="F240" i="20" s="1"/>
  <c r="W240" i="20"/>
  <c r="S238" i="20"/>
  <c r="R238" i="20" s="1"/>
  <c r="P238" i="20" s="1"/>
  <c r="V238" i="20" s="1"/>
  <c r="B238" i="20" s="1"/>
  <c r="S236" i="20"/>
  <c r="R236" i="20" s="1"/>
  <c r="P236" i="20" s="1"/>
  <c r="V236" i="20" s="1"/>
  <c r="B236" i="20" s="1"/>
  <c r="S232" i="20"/>
  <c r="R232" i="20" s="1"/>
  <c r="P232" i="20" s="1"/>
  <c r="V232" i="20" s="1"/>
  <c r="B232" i="20" s="1"/>
  <c r="S224" i="20"/>
  <c r="R224" i="20" s="1"/>
  <c r="P224" i="20" s="1"/>
  <c r="V224" i="20" s="1"/>
  <c r="B224" i="20" s="1"/>
  <c r="S218" i="20"/>
  <c r="R218" i="20" s="1"/>
  <c r="P218" i="20" s="1"/>
  <c r="V218" i="20" s="1"/>
  <c r="B218" i="20" s="1"/>
  <c r="S210" i="20"/>
  <c r="R210" i="20" s="1"/>
  <c r="P210" i="20" s="1"/>
  <c r="S202" i="20"/>
  <c r="R202" i="20" s="1"/>
  <c r="P202" i="20" s="1"/>
  <c r="V202" i="20" s="1"/>
  <c r="B202" i="20" s="1"/>
  <c r="S194" i="20"/>
  <c r="R194" i="20" s="1"/>
  <c r="P194" i="20" s="1"/>
  <c r="V194" i="20" s="1"/>
  <c r="B194" i="20" s="1"/>
  <c r="S186" i="20"/>
  <c r="R186" i="20" s="1"/>
  <c r="P186" i="20" s="1"/>
  <c r="V186" i="20" s="1"/>
  <c r="B186" i="20" s="1"/>
  <c r="S174" i="20"/>
  <c r="R174" i="20" s="1"/>
  <c r="P174" i="20" s="1"/>
  <c r="V174" i="20" s="1"/>
  <c r="B174" i="20" s="1"/>
  <c r="S166" i="20"/>
  <c r="R166" i="20" s="1"/>
  <c r="P166" i="20" s="1"/>
  <c r="V166" i="20" s="1"/>
  <c r="S158" i="20"/>
  <c r="R158" i="20" s="1"/>
  <c r="P158" i="20" s="1"/>
  <c r="V158" i="20" s="1"/>
  <c r="B158" i="20" s="1"/>
  <c r="S150" i="20"/>
  <c r="R150" i="20" s="1"/>
  <c r="P150" i="20" s="1"/>
  <c r="V150" i="20" s="1"/>
  <c r="B150" i="20" s="1"/>
  <c r="S142" i="20"/>
  <c r="R142" i="20" s="1"/>
  <c r="P142" i="20" s="1"/>
  <c r="V142" i="20" s="1"/>
  <c r="B142" i="20" s="1"/>
  <c r="S130" i="20"/>
  <c r="R130" i="20" s="1"/>
  <c r="P130" i="20" s="1"/>
  <c r="V130" i="20" s="1"/>
  <c r="B130" i="20" s="1"/>
  <c r="S122" i="20"/>
  <c r="R122" i="20" s="1"/>
  <c r="P122" i="20" s="1"/>
  <c r="V122" i="20" s="1"/>
  <c r="B122" i="20" s="1"/>
  <c r="S102" i="20"/>
  <c r="R102" i="20" s="1"/>
  <c r="P102" i="20" s="1"/>
  <c r="V102" i="20" s="1"/>
  <c r="B102" i="20" s="1"/>
  <c r="S96" i="20"/>
  <c r="R96" i="20" s="1"/>
  <c r="P96" i="20" s="1"/>
  <c r="V96" i="20" s="1"/>
  <c r="B96" i="20" s="1"/>
  <c r="S92" i="20"/>
  <c r="R92" i="20" s="1"/>
  <c r="P92" i="20" s="1"/>
  <c r="V92" i="20" s="1"/>
  <c r="B92" i="20" s="1"/>
  <c r="S80" i="20"/>
  <c r="R80" i="20" s="1"/>
  <c r="P80" i="20" s="1"/>
  <c r="V80" i="20" s="1"/>
  <c r="B80" i="20" s="1"/>
  <c r="S76" i="20"/>
  <c r="R76" i="20" s="1"/>
  <c r="P76" i="20" s="1"/>
  <c r="V76" i="20" s="1"/>
  <c r="B76" i="20" s="1"/>
  <c r="S64" i="20"/>
  <c r="R64" i="20" s="1"/>
  <c r="P64" i="20" s="1"/>
  <c r="V64" i="20" s="1"/>
  <c r="B64" i="20" s="1"/>
  <c r="S54" i="20"/>
  <c r="R54" i="20" s="1"/>
  <c r="P54" i="20" s="1"/>
  <c r="V54" i="20" s="1"/>
  <c r="B54" i="20" s="1"/>
  <c r="S48" i="20"/>
  <c r="R48" i="20" s="1"/>
  <c r="P48" i="20" s="1"/>
  <c r="V48" i="20" s="1"/>
  <c r="S32" i="20"/>
  <c r="R32" i="20" s="1"/>
  <c r="P32" i="20" s="1"/>
  <c r="V32" i="20" s="1"/>
  <c r="B32" i="20" s="1"/>
  <c r="S28" i="20"/>
  <c r="R28" i="20" s="1"/>
  <c r="P28" i="20" s="1"/>
  <c r="V28" i="20" s="1"/>
  <c r="B28" i="20" s="1"/>
  <c r="S22" i="20"/>
  <c r="R22" i="20" s="1"/>
  <c r="P22" i="20" s="1"/>
  <c r="V22" i="20" s="1"/>
  <c r="B22" i="20" s="1"/>
  <c r="I335" i="18"/>
  <c r="B335" i="6" s="1"/>
  <c r="BA335" i="6" s="1"/>
  <c r="D335" i="6" s="1"/>
  <c r="J335" i="18"/>
  <c r="C335" i="6" s="1"/>
  <c r="G325" i="18"/>
  <c r="CA325" i="6" s="1"/>
  <c r="H325" i="18"/>
  <c r="AA325" i="18"/>
  <c r="Z325" i="18" s="1"/>
  <c r="Y325" i="18" s="1"/>
  <c r="J307" i="18"/>
  <c r="C307" i="6" s="1"/>
  <c r="J305" i="18"/>
  <c r="C305" i="6" s="1"/>
  <c r="H249" i="18"/>
  <c r="AA249" i="18"/>
  <c r="Z249" i="18" s="1"/>
  <c r="Y249" i="18" s="1"/>
  <c r="G249" i="18"/>
  <c r="CA249" i="6" s="1"/>
  <c r="G199" i="18"/>
  <c r="CA199" i="6" s="1"/>
  <c r="AA199" i="18"/>
  <c r="Z199" i="18" s="1"/>
  <c r="Y199" i="18" s="1"/>
  <c r="H199" i="18"/>
  <c r="AA161" i="18"/>
  <c r="Z161" i="18" s="1"/>
  <c r="Y161" i="18" s="1"/>
  <c r="G161" i="18"/>
  <c r="CA161" i="6" s="1"/>
  <c r="H161" i="18"/>
  <c r="AA35" i="18"/>
  <c r="Z35" i="18" s="1"/>
  <c r="Y35" i="18" s="1"/>
  <c r="H35" i="18"/>
  <c r="G35" i="18"/>
  <c r="CA35" i="6" s="1"/>
  <c r="J31" i="18"/>
  <c r="C31" i="6" s="1"/>
  <c r="AA23" i="18"/>
  <c r="Z23" i="18" s="1"/>
  <c r="Y23" i="18" s="1"/>
  <c r="G23" i="18"/>
  <c r="CA23" i="6" s="1"/>
  <c r="H23" i="18"/>
  <c r="I352" i="17"/>
  <c r="H352" i="18" s="1"/>
  <c r="J352" i="17"/>
  <c r="AA319" i="18"/>
  <c r="Z319" i="18" s="1"/>
  <c r="Y319" i="18" s="1"/>
  <c r="G319" i="18"/>
  <c r="CA319" i="6" s="1"/>
  <c r="H319" i="18"/>
  <c r="I194" i="17"/>
  <c r="H194" i="18" s="1"/>
  <c r="J194" i="17"/>
  <c r="J136" i="18"/>
  <c r="C136" i="6" s="1"/>
  <c r="G253" i="18"/>
  <c r="CA253" i="6" s="1"/>
  <c r="H253" i="18"/>
  <c r="AA253" i="18"/>
  <c r="Z253" i="18" s="1"/>
  <c r="Y253" i="18" s="1"/>
  <c r="AA235" i="18"/>
  <c r="Z235" i="18" s="1"/>
  <c r="Y235" i="18" s="1"/>
  <c r="H235" i="18"/>
  <c r="G235" i="18"/>
  <c r="CA235" i="6" s="1"/>
  <c r="AA211" i="18"/>
  <c r="Z211" i="18" s="1"/>
  <c r="Y211" i="18" s="1"/>
  <c r="H211" i="18"/>
  <c r="G211" i="18"/>
  <c r="CA211" i="6" s="1"/>
  <c r="J207" i="18"/>
  <c r="C207" i="6" s="1"/>
  <c r="G183" i="18"/>
  <c r="CA183" i="6" s="1"/>
  <c r="AA183" i="18"/>
  <c r="Z183" i="18" s="1"/>
  <c r="Y183" i="18" s="1"/>
  <c r="AA165" i="18"/>
  <c r="Z165" i="18" s="1"/>
  <c r="Y165" i="18" s="1"/>
  <c r="G165" i="18"/>
  <c r="CA165" i="6" s="1"/>
  <c r="H165" i="18"/>
  <c r="J159" i="18"/>
  <c r="C159" i="6" s="1"/>
  <c r="I159" i="18"/>
  <c r="B159" i="6" s="1"/>
  <c r="BA159" i="6" s="1"/>
  <c r="D159" i="6" s="1"/>
  <c r="AA153" i="18"/>
  <c r="Z153" i="18" s="1"/>
  <c r="Y153" i="18" s="1"/>
  <c r="G153" i="18"/>
  <c r="CA153" i="6" s="1"/>
  <c r="H153" i="18"/>
  <c r="I145" i="18"/>
  <c r="B145" i="6" s="1"/>
  <c r="BA145" i="6" s="1"/>
  <c r="D145" i="6" s="1"/>
  <c r="AA139" i="18"/>
  <c r="Z139" i="18" s="1"/>
  <c r="Y139" i="18" s="1"/>
  <c r="G139" i="18"/>
  <c r="CA139" i="6" s="1"/>
  <c r="H139" i="18"/>
  <c r="G95" i="18"/>
  <c r="CA95" i="6" s="1"/>
  <c r="AA95" i="18"/>
  <c r="Z95" i="18" s="1"/>
  <c r="Y95" i="18" s="1"/>
  <c r="H95" i="18"/>
  <c r="G57" i="18"/>
  <c r="CA57" i="6" s="1"/>
  <c r="AA57" i="18"/>
  <c r="Z57" i="18" s="1"/>
  <c r="Y57" i="18" s="1"/>
  <c r="H57" i="18"/>
  <c r="AA33" i="18"/>
  <c r="Z33" i="18" s="1"/>
  <c r="Y33" i="18" s="1"/>
  <c r="H33" i="18"/>
  <c r="G33" i="18"/>
  <c r="CA33" i="6" s="1"/>
  <c r="H288" i="18"/>
  <c r="G288" i="18"/>
  <c r="CA288" i="6" s="1"/>
  <c r="AA288" i="18"/>
  <c r="Z288" i="18" s="1"/>
  <c r="Y288" i="18" s="1"/>
  <c r="I247" i="17"/>
  <c r="H247" i="18" s="1"/>
  <c r="J247" i="17"/>
  <c r="AG75" i="20"/>
  <c r="AF75" i="20" s="1"/>
  <c r="AD75" i="20" s="1"/>
  <c r="AG139" i="20"/>
  <c r="AF139" i="20" s="1"/>
  <c r="AD139" i="20" s="1"/>
  <c r="G372" i="18"/>
  <c r="CA372" i="6" s="1"/>
  <c r="AA372" i="18"/>
  <c r="Z372" i="18" s="1"/>
  <c r="Y372" i="18" s="1"/>
  <c r="H372" i="18"/>
  <c r="AA360" i="18"/>
  <c r="Z360" i="18" s="1"/>
  <c r="Y360" i="18" s="1"/>
  <c r="G360" i="18"/>
  <c r="CA360" i="6" s="1"/>
  <c r="H360" i="18"/>
  <c r="G334" i="18"/>
  <c r="CA334" i="6" s="1"/>
  <c r="AA334" i="18"/>
  <c r="Z334" i="18" s="1"/>
  <c r="Y334" i="18" s="1"/>
  <c r="G326" i="18"/>
  <c r="CA326" i="6" s="1"/>
  <c r="AA326" i="18"/>
  <c r="Z326" i="18" s="1"/>
  <c r="Y326" i="18" s="1"/>
  <c r="H326" i="18"/>
  <c r="I316" i="18"/>
  <c r="B316" i="6" s="1"/>
  <c r="BA316" i="6" s="1"/>
  <c r="D316" i="6" s="1"/>
  <c r="J306" i="18"/>
  <c r="C306" i="6" s="1"/>
  <c r="I306" i="18"/>
  <c r="B306" i="6" s="1"/>
  <c r="BA306" i="6" s="1"/>
  <c r="D306" i="6" s="1"/>
  <c r="G304" i="18"/>
  <c r="CA304" i="6" s="1"/>
  <c r="H304" i="18"/>
  <c r="AA304" i="18"/>
  <c r="Z304" i="18" s="1"/>
  <c r="Y304" i="18" s="1"/>
  <c r="G296" i="18"/>
  <c r="CA296" i="6" s="1"/>
  <c r="AA296" i="18"/>
  <c r="Z296" i="18" s="1"/>
  <c r="Y296" i="18" s="1"/>
  <c r="H296" i="18"/>
  <c r="H292" i="18"/>
  <c r="G292" i="18"/>
  <c r="CA292" i="6" s="1"/>
  <c r="AA292" i="18"/>
  <c r="Z292" i="18" s="1"/>
  <c r="Y292" i="18" s="1"/>
  <c r="H286" i="18"/>
  <c r="G286" i="18"/>
  <c r="CA286" i="6" s="1"/>
  <c r="AA286" i="18"/>
  <c r="Z286" i="18" s="1"/>
  <c r="Y286" i="18" s="1"/>
  <c r="J284" i="18"/>
  <c r="C284" i="6" s="1"/>
  <c r="D272" i="18"/>
  <c r="E272" i="18" s="1"/>
  <c r="F272" i="18" s="1"/>
  <c r="W272" i="18"/>
  <c r="W258" i="18"/>
  <c r="D258" i="18"/>
  <c r="E258" i="18" s="1"/>
  <c r="F258" i="18" s="1"/>
  <c r="G208" i="18"/>
  <c r="CA208" i="6" s="1"/>
  <c r="H208" i="18"/>
  <c r="AA208" i="18"/>
  <c r="Z208" i="18" s="1"/>
  <c r="Y208" i="18" s="1"/>
  <c r="AA190" i="18"/>
  <c r="Z190" i="18" s="1"/>
  <c r="Y190" i="18" s="1"/>
  <c r="G190" i="18"/>
  <c r="CA190" i="6" s="1"/>
  <c r="H190" i="18"/>
  <c r="AA184" i="18"/>
  <c r="Z184" i="18" s="1"/>
  <c r="Y184" i="18" s="1"/>
  <c r="G184" i="18"/>
  <c r="CA184" i="6" s="1"/>
  <c r="H184" i="18"/>
  <c r="I178" i="18"/>
  <c r="B178" i="6" s="1"/>
  <c r="BA178" i="6" s="1"/>
  <c r="D178" i="6" s="1"/>
  <c r="AA156" i="18"/>
  <c r="Z156" i="18" s="1"/>
  <c r="Y156" i="18" s="1"/>
  <c r="G156" i="18"/>
  <c r="CA156" i="6" s="1"/>
  <c r="H156" i="18"/>
  <c r="H148" i="18"/>
  <c r="AA148" i="18"/>
  <c r="Z148" i="18" s="1"/>
  <c r="Y148" i="18" s="1"/>
  <c r="G148" i="18"/>
  <c r="CA148" i="6" s="1"/>
  <c r="J140" i="18"/>
  <c r="C140" i="6" s="1"/>
  <c r="I140" i="18"/>
  <c r="B140" i="6" s="1"/>
  <c r="BA140" i="6" s="1"/>
  <c r="D140" i="6" s="1"/>
  <c r="AA138" i="18"/>
  <c r="Z138" i="18" s="1"/>
  <c r="Y138" i="18" s="1"/>
  <c r="H138" i="18"/>
  <c r="G138" i="18"/>
  <c r="CA138" i="6" s="1"/>
  <c r="AA136" i="18"/>
  <c r="Z136" i="18" s="1"/>
  <c r="Y136" i="18" s="1"/>
  <c r="G136" i="18"/>
  <c r="CA136" i="6" s="1"/>
  <c r="G132" i="18"/>
  <c r="CA132" i="6" s="1"/>
  <c r="H132" i="18"/>
  <c r="AA132" i="18"/>
  <c r="Z132" i="18" s="1"/>
  <c r="Y132" i="18" s="1"/>
  <c r="G130" i="18"/>
  <c r="CA130" i="6" s="1"/>
  <c r="AA130" i="18"/>
  <c r="Z130" i="18" s="1"/>
  <c r="Y130" i="18" s="1"/>
  <c r="H130" i="18"/>
  <c r="G126" i="18"/>
  <c r="CA126" i="6" s="1"/>
  <c r="AA126" i="18"/>
  <c r="Z126" i="18" s="1"/>
  <c r="Y126" i="18" s="1"/>
  <c r="AA118" i="18"/>
  <c r="Z118" i="18" s="1"/>
  <c r="Y118" i="18" s="1"/>
  <c r="H118" i="18"/>
  <c r="G118" i="18"/>
  <c r="CA118" i="6" s="1"/>
  <c r="G112" i="18"/>
  <c r="CA112" i="6" s="1"/>
  <c r="H112" i="18"/>
  <c r="AA112" i="18"/>
  <c r="Z112" i="18" s="1"/>
  <c r="Y112" i="18" s="1"/>
  <c r="AA110" i="18"/>
  <c r="Z110" i="18" s="1"/>
  <c r="Y110" i="18" s="1"/>
  <c r="H110" i="18"/>
  <c r="G110" i="18"/>
  <c r="CA110" i="6" s="1"/>
  <c r="G86" i="18"/>
  <c r="CA86" i="6" s="1"/>
  <c r="H86" i="18"/>
  <c r="AA86" i="18"/>
  <c r="Z86" i="18" s="1"/>
  <c r="Y86" i="18" s="1"/>
  <c r="AA80" i="18"/>
  <c r="Z80" i="18" s="1"/>
  <c r="Y80" i="18" s="1"/>
  <c r="G80" i="18"/>
  <c r="CA80" i="6" s="1"/>
  <c r="H80" i="18"/>
  <c r="H70" i="18"/>
  <c r="G70" i="18"/>
  <c r="CA70" i="6" s="1"/>
  <c r="AA70" i="18"/>
  <c r="Z70" i="18" s="1"/>
  <c r="Y70" i="18" s="1"/>
  <c r="G62" i="18"/>
  <c r="CA62" i="6" s="1"/>
  <c r="AA62" i="18"/>
  <c r="Z62" i="18" s="1"/>
  <c r="Y62" i="18" s="1"/>
  <c r="H62" i="18"/>
  <c r="H48" i="18"/>
  <c r="G48" i="18"/>
  <c r="CA48" i="6" s="1"/>
  <c r="AA48" i="18"/>
  <c r="Z48" i="18" s="1"/>
  <c r="Y48" i="18" s="1"/>
  <c r="G40" i="18"/>
  <c r="CA40" i="6" s="1"/>
  <c r="H40" i="18"/>
  <c r="AA40" i="18"/>
  <c r="Z40" i="18" s="1"/>
  <c r="Y40" i="18" s="1"/>
  <c r="AA26" i="18"/>
  <c r="Z26" i="18" s="1"/>
  <c r="Y26" i="18" s="1"/>
  <c r="H26" i="18"/>
  <c r="G26" i="18"/>
  <c r="CA26" i="6" s="1"/>
  <c r="G24" i="18"/>
  <c r="CA24" i="6" s="1"/>
  <c r="H24" i="18"/>
  <c r="AA24" i="18"/>
  <c r="Z24" i="18" s="1"/>
  <c r="Y24" i="18" s="1"/>
  <c r="G20" i="18"/>
  <c r="CA20" i="6" s="1"/>
  <c r="AA20" i="18"/>
  <c r="Z20" i="18" s="1"/>
  <c r="Y20" i="18" s="1"/>
  <c r="H20" i="18"/>
  <c r="AA17" i="18"/>
  <c r="Z17" i="18" s="1"/>
  <c r="Y17" i="18" s="1"/>
  <c r="H17" i="18"/>
  <c r="G17" i="18"/>
  <c r="CA17" i="6" s="1"/>
  <c r="AA194" i="18"/>
  <c r="Z194" i="18" s="1"/>
  <c r="Y194" i="18" s="1"/>
  <c r="G194" i="18"/>
  <c r="CA194" i="6" s="1"/>
  <c r="J373" i="18"/>
  <c r="C373" i="6" s="1"/>
  <c r="I373" i="18"/>
  <c r="B373" i="6" s="1"/>
  <c r="BA373" i="6" s="1"/>
  <c r="D373" i="6" s="1"/>
  <c r="AA371" i="18"/>
  <c r="Z371" i="18" s="1"/>
  <c r="Y371" i="18" s="1"/>
  <c r="H371" i="18"/>
  <c r="G371" i="18"/>
  <c r="CA371" i="6" s="1"/>
  <c r="AA369" i="18"/>
  <c r="Z369" i="18" s="1"/>
  <c r="Y369" i="18" s="1"/>
  <c r="H369" i="18"/>
  <c r="G369" i="18"/>
  <c r="CA369" i="6" s="1"/>
  <c r="J367" i="18"/>
  <c r="C367" i="6" s="1"/>
  <c r="J361" i="18"/>
  <c r="C361" i="6" s="1"/>
  <c r="I361" i="18"/>
  <c r="B361" i="6" s="1"/>
  <c r="BA361" i="6" s="1"/>
  <c r="D361" i="6" s="1"/>
  <c r="J351" i="18"/>
  <c r="C351" i="6" s="1"/>
  <c r="J347" i="18"/>
  <c r="C347" i="6" s="1"/>
  <c r="G323" i="18"/>
  <c r="CA323" i="6" s="1"/>
  <c r="AA323" i="18"/>
  <c r="Z323" i="18" s="1"/>
  <c r="Y323" i="18" s="1"/>
  <c r="H323" i="18"/>
  <c r="J321" i="18"/>
  <c r="C321" i="6" s="1"/>
  <c r="G313" i="18"/>
  <c r="CA313" i="6" s="1"/>
  <c r="H313" i="18"/>
  <c r="AA313" i="18"/>
  <c r="Z313" i="18" s="1"/>
  <c r="Y313" i="18" s="1"/>
  <c r="AA311" i="18"/>
  <c r="Z311" i="18" s="1"/>
  <c r="Y311" i="18" s="1"/>
  <c r="G311" i="18"/>
  <c r="CA311" i="6" s="1"/>
  <c r="H311" i="18"/>
  <c r="I295" i="18"/>
  <c r="B295" i="6" s="1"/>
  <c r="BA295" i="6" s="1"/>
  <c r="J295" i="18"/>
  <c r="C295" i="6" s="1"/>
  <c r="G279" i="18"/>
  <c r="CA279" i="6" s="1"/>
  <c r="AA279" i="18"/>
  <c r="Z279" i="18" s="1"/>
  <c r="Y279" i="18" s="1"/>
  <c r="H279" i="18"/>
  <c r="G245" i="18"/>
  <c r="CA245" i="6" s="1"/>
  <c r="AA245" i="18"/>
  <c r="Z245" i="18" s="1"/>
  <c r="Y245" i="18" s="1"/>
  <c r="AA231" i="18"/>
  <c r="Z231" i="18" s="1"/>
  <c r="Y231" i="18" s="1"/>
  <c r="H231" i="18"/>
  <c r="G231" i="18"/>
  <c r="CA231" i="6" s="1"/>
  <c r="H185" i="18"/>
  <c r="G185" i="18"/>
  <c r="CA185" i="6" s="1"/>
  <c r="AA185" i="18"/>
  <c r="Z185" i="18" s="1"/>
  <c r="Y185" i="18" s="1"/>
  <c r="G163" i="18"/>
  <c r="CA163" i="6" s="1"/>
  <c r="AA163" i="18"/>
  <c r="Z163" i="18" s="1"/>
  <c r="Y163" i="18" s="1"/>
  <c r="H163" i="18"/>
  <c r="I91" i="18"/>
  <c r="B91" i="6" s="1"/>
  <c r="BA91" i="6" s="1"/>
  <c r="D91" i="6" s="1"/>
  <c r="AA71" i="18"/>
  <c r="Z71" i="18" s="1"/>
  <c r="Y71" i="18" s="1"/>
  <c r="G71" i="18"/>
  <c r="CA71" i="6" s="1"/>
  <c r="H71" i="18"/>
  <c r="G63" i="18"/>
  <c r="CA63" i="6" s="1"/>
  <c r="AA63" i="18"/>
  <c r="Z63" i="18" s="1"/>
  <c r="Y63" i="18" s="1"/>
  <c r="H63" i="18"/>
  <c r="AA55" i="18"/>
  <c r="Z55" i="18" s="1"/>
  <c r="Y55" i="18" s="1"/>
  <c r="G55" i="18"/>
  <c r="CA55" i="6" s="1"/>
  <c r="H55" i="18"/>
  <c r="H51" i="18"/>
  <c r="G51" i="18"/>
  <c r="CA51" i="6" s="1"/>
  <c r="AA51" i="18"/>
  <c r="Z51" i="18" s="1"/>
  <c r="Y51" i="18" s="1"/>
  <c r="D29" i="18"/>
  <c r="E29" i="18" s="1"/>
  <c r="F29" i="18" s="1"/>
  <c r="W29" i="18"/>
  <c r="H21" i="18"/>
  <c r="I379" i="17"/>
  <c r="J379" i="17"/>
  <c r="AA378" i="18"/>
  <c r="Z378" i="18" s="1"/>
  <c r="Y378" i="18" s="1"/>
  <c r="G378" i="18"/>
  <c r="CA378" i="6" s="1"/>
  <c r="H378" i="18"/>
  <c r="AA364" i="18"/>
  <c r="Z364" i="18" s="1"/>
  <c r="Y364" i="18" s="1"/>
  <c r="H364" i="18"/>
  <c r="G364" i="18"/>
  <c r="CA364" i="6" s="1"/>
  <c r="H348" i="18"/>
  <c r="G348" i="18"/>
  <c r="CA348" i="6" s="1"/>
  <c r="AA348" i="18"/>
  <c r="Z348" i="18" s="1"/>
  <c r="Y348" i="18" s="1"/>
  <c r="G342" i="18"/>
  <c r="CA342" i="6" s="1"/>
  <c r="H342" i="18"/>
  <c r="AA342" i="18"/>
  <c r="Z342" i="18" s="1"/>
  <c r="Y342" i="18" s="1"/>
  <c r="AA324" i="18"/>
  <c r="Z324" i="18" s="1"/>
  <c r="Y324" i="18" s="1"/>
  <c r="G324" i="18"/>
  <c r="CA324" i="6" s="1"/>
  <c r="H324" i="18"/>
  <c r="G294" i="18"/>
  <c r="CA294" i="6" s="1"/>
  <c r="AA294" i="18"/>
  <c r="Z294" i="18" s="1"/>
  <c r="Y294" i="18" s="1"/>
  <c r="H294" i="18"/>
  <c r="AA357" i="18"/>
  <c r="Z357" i="18" s="1"/>
  <c r="Y357" i="18" s="1"/>
  <c r="H357" i="18"/>
  <c r="G357" i="18"/>
  <c r="CA357" i="6" s="1"/>
  <c r="AA269" i="18"/>
  <c r="Z269" i="18" s="1"/>
  <c r="Y269" i="18" s="1"/>
  <c r="G269" i="18"/>
  <c r="CA269" i="6" s="1"/>
  <c r="H269" i="18"/>
  <c r="AA225" i="18"/>
  <c r="Z225" i="18" s="1"/>
  <c r="Y225" i="18" s="1"/>
  <c r="H225" i="18"/>
  <c r="G225" i="18"/>
  <c r="CA225" i="6" s="1"/>
  <c r="G205" i="18"/>
  <c r="CA205" i="6" s="1"/>
  <c r="AA205" i="18"/>
  <c r="Z205" i="18" s="1"/>
  <c r="Y205" i="18" s="1"/>
  <c r="H41" i="18"/>
  <c r="AA41" i="18"/>
  <c r="Z41" i="18" s="1"/>
  <c r="Y41" i="18" s="1"/>
  <c r="G41" i="18"/>
  <c r="CA41" i="6" s="1"/>
  <c r="AA366" i="18"/>
  <c r="Z366" i="18" s="1"/>
  <c r="Y366" i="18" s="1"/>
  <c r="G366" i="18"/>
  <c r="CA366" i="6" s="1"/>
  <c r="H366" i="18"/>
  <c r="G236" i="18"/>
  <c r="CA236" i="6" s="1"/>
  <c r="H236" i="18"/>
  <c r="AA236" i="18"/>
  <c r="Z236" i="18" s="1"/>
  <c r="Y236" i="18" s="1"/>
  <c r="G224" i="18"/>
  <c r="CA224" i="6" s="1"/>
  <c r="AA224" i="18"/>
  <c r="Z224" i="18" s="1"/>
  <c r="Y224" i="18" s="1"/>
  <c r="H224" i="18"/>
  <c r="G216" i="18"/>
  <c r="CA216" i="6" s="1"/>
  <c r="AA216" i="18"/>
  <c r="Z216" i="18" s="1"/>
  <c r="Y216" i="18" s="1"/>
  <c r="H216" i="18"/>
  <c r="AA176" i="18"/>
  <c r="Z176" i="18" s="1"/>
  <c r="Y176" i="18" s="1"/>
  <c r="G176" i="18"/>
  <c r="CA176" i="6" s="1"/>
  <c r="G162" i="18"/>
  <c r="CA162" i="6" s="1"/>
  <c r="H162" i="18"/>
  <c r="AA162" i="18"/>
  <c r="Z162" i="18" s="1"/>
  <c r="Y162" i="18" s="1"/>
  <c r="AA152" i="18"/>
  <c r="Z152" i="18" s="1"/>
  <c r="Y152" i="18" s="1"/>
  <c r="G152" i="18"/>
  <c r="CA152" i="6" s="1"/>
  <c r="G134" i="18"/>
  <c r="CA134" i="6" s="1"/>
  <c r="AA134" i="18"/>
  <c r="Z134" i="18" s="1"/>
  <c r="Y134" i="18" s="1"/>
  <c r="H134" i="18"/>
  <c r="AA102" i="18"/>
  <c r="Z102" i="18" s="1"/>
  <c r="Y102" i="18" s="1"/>
  <c r="H102" i="18"/>
  <c r="G102" i="18"/>
  <c r="CA102" i="6" s="1"/>
  <c r="AA84" i="18"/>
  <c r="Z84" i="18" s="1"/>
  <c r="Y84" i="18" s="1"/>
  <c r="H84" i="18"/>
  <c r="G84" i="18"/>
  <c r="CA84" i="6" s="1"/>
  <c r="G72" i="18"/>
  <c r="CA72" i="6" s="1"/>
  <c r="AA72" i="18"/>
  <c r="Z72" i="18" s="1"/>
  <c r="Y72" i="18" s="1"/>
  <c r="H72" i="18"/>
  <c r="H68" i="18"/>
  <c r="AA68" i="18"/>
  <c r="Z68" i="18" s="1"/>
  <c r="Y68" i="18" s="1"/>
  <c r="G68" i="18"/>
  <c r="CA68" i="6" s="1"/>
  <c r="G30" i="18"/>
  <c r="CA30" i="6" s="1"/>
  <c r="AA30" i="18"/>
  <c r="Z30" i="18" s="1"/>
  <c r="Y30" i="18" s="1"/>
  <c r="H30" i="18"/>
  <c r="G355" i="18"/>
  <c r="CA355" i="6" s="1"/>
  <c r="H355" i="18"/>
  <c r="AA355" i="18"/>
  <c r="Z355" i="18" s="1"/>
  <c r="Y355" i="18" s="1"/>
  <c r="G341" i="18"/>
  <c r="CA341" i="6" s="1"/>
  <c r="H341" i="18"/>
  <c r="AA341" i="18"/>
  <c r="Z341" i="18" s="1"/>
  <c r="Y341" i="18" s="1"/>
  <c r="AA317" i="18"/>
  <c r="Z317" i="18" s="1"/>
  <c r="Y317" i="18" s="1"/>
  <c r="H317" i="18"/>
  <c r="G317" i="18"/>
  <c r="CA317" i="6" s="1"/>
  <c r="AA291" i="18"/>
  <c r="Z291" i="18" s="1"/>
  <c r="Y291" i="18" s="1"/>
  <c r="G291" i="18"/>
  <c r="CA291" i="6" s="1"/>
  <c r="H281" i="18"/>
  <c r="AA281" i="18"/>
  <c r="Z281" i="18" s="1"/>
  <c r="Y281" i="18" s="1"/>
  <c r="G281" i="18"/>
  <c r="CA281" i="6" s="1"/>
  <c r="AA267" i="18"/>
  <c r="Z267" i="18" s="1"/>
  <c r="Y267" i="18" s="1"/>
  <c r="G267" i="18"/>
  <c r="CA267" i="6" s="1"/>
  <c r="G263" i="18"/>
  <c r="CA263" i="6" s="1"/>
  <c r="H263" i="18"/>
  <c r="AA263" i="18"/>
  <c r="Z263" i="18" s="1"/>
  <c r="Y263" i="18" s="1"/>
  <c r="G223" i="18"/>
  <c r="CA223" i="6" s="1"/>
  <c r="AA223" i="18"/>
  <c r="Z223" i="18" s="1"/>
  <c r="Y223" i="18" s="1"/>
  <c r="H223" i="18"/>
  <c r="AA155" i="18"/>
  <c r="Z155" i="18" s="1"/>
  <c r="Y155" i="18" s="1"/>
  <c r="G155" i="18"/>
  <c r="CA155" i="6" s="1"/>
  <c r="G137" i="18"/>
  <c r="CA137" i="6" s="1"/>
  <c r="AA137" i="18"/>
  <c r="Z137" i="18" s="1"/>
  <c r="Y137" i="18" s="1"/>
  <c r="H137" i="18"/>
  <c r="D105" i="18"/>
  <c r="E105" i="18" s="1"/>
  <c r="F105" i="18" s="1"/>
  <c r="W105" i="18"/>
  <c r="H93" i="18"/>
  <c r="H47" i="18"/>
  <c r="AA47" i="18"/>
  <c r="Z47" i="18" s="1"/>
  <c r="Y47" i="18" s="1"/>
  <c r="G47" i="18"/>
  <c r="CA47" i="6" s="1"/>
  <c r="H39" i="18"/>
  <c r="G39" i="18"/>
  <c r="CA39" i="6" s="1"/>
  <c r="AA39" i="18"/>
  <c r="Z39" i="18" s="1"/>
  <c r="Y39" i="18" s="1"/>
  <c r="AA238" i="18"/>
  <c r="Z238" i="18" s="1"/>
  <c r="Y238" i="18" s="1"/>
  <c r="G238" i="18"/>
  <c r="CA238" i="6" s="1"/>
  <c r="H238" i="18"/>
  <c r="AA234" i="18"/>
  <c r="Z234" i="18" s="1"/>
  <c r="Y234" i="18" s="1"/>
  <c r="G234" i="18"/>
  <c r="CA234" i="6" s="1"/>
  <c r="H234" i="18"/>
  <c r="G222" i="18"/>
  <c r="CA222" i="6" s="1"/>
  <c r="AA222" i="18"/>
  <c r="Z222" i="18" s="1"/>
  <c r="Y222" i="18" s="1"/>
  <c r="H222" i="18"/>
  <c r="D180" i="18"/>
  <c r="E180" i="18" s="1"/>
  <c r="F180" i="18" s="1"/>
  <c r="W180" i="18"/>
  <c r="AA124" i="18"/>
  <c r="Z124" i="18" s="1"/>
  <c r="Y124" i="18" s="1"/>
  <c r="G124" i="18"/>
  <c r="CA124" i="6" s="1"/>
  <c r="H124" i="18"/>
  <c r="G64" i="18"/>
  <c r="CA64" i="6" s="1"/>
  <c r="AA64" i="18"/>
  <c r="Z64" i="18" s="1"/>
  <c r="Y64" i="18" s="1"/>
  <c r="H64" i="18"/>
  <c r="G56" i="18"/>
  <c r="CA56" i="6" s="1"/>
  <c r="AA56" i="18"/>
  <c r="Z56" i="18" s="1"/>
  <c r="Y56" i="18" s="1"/>
  <c r="G44" i="18"/>
  <c r="CA44" i="6" s="1"/>
  <c r="AA44" i="18"/>
  <c r="Z44" i="18" s="1"/>
  <c r="Y44" i="18" s="1"/>
  <c r="H44" i="18"/>
  <c r="AA365" i="18"/>
  <c r="Z365" i="18" s="1"/>
  <c r="Y365" i="18" s="1"/>
  <c r="G353" i="18"/>
  <c r="CA353" i="6" s="1"/>
  <c r="H353" i="18"/>
  <c r="AA353" i="18"/>
  <c r="Z353" i="18" s="1"/>
  <c r="Y353" i="18" s="1"/>
  <c r="AA275" i="18"/>
  <c r="Z275" i="18" s="1"/>
  <c r="Y275" i="18" s="1"/>
  <c r="G275" i="18"/>
  <c r="CA275" i="6" s="1"/>
  <c r="H275" i="18"/>
  <c r="G265" i="18"/>
  <c r="CA265" i="6" s="1"/>
  <c r="AA265" i="18"/>
  <c r="Z265" i="18" s="1"/>
  <c r="Y265" i="18" s="1"/>
  <c r="H265" i="18"/>
  <c r="G221" i="18"/>
  <c r="CA221" i="6" s="1"/>
  <c r="AA221" i="18"/>
  <c r="Z221" i="18" s="1"/>
  <c r="Y221" i="18" s="1"/>
  <c r="AA151" i="18"/>
  <c r="Z151" i="18" s="1"/>
  <c r="Y151" i="18" s="1"/>
  <c r="G151" i="18"/>
  <c r="CA151" i="6" s="1"/>
  <c r="H151" i="18"/>
  <c r="G121" i="18"/>
  <c r="CA121" i="6" s="1"/>
  <c r="AA121" i="18"/>
  <c r="Z121" i="18" s="1"/>
  <c r="Y121" i="18" s="1"/>
  <c r="H121" i="18"/>
  <c r="AA79" i="18"/>
  <c r="Z79" i="18" s="1"/>
  <c r="Y79" i="18" s="1"/>
  <c r="G79" i="18"/>
  <c r="CA79" i="6" s="1"/>
  <c r="H79" i="18"/>
  <c r="G37" i="18"/>
  <c r="CA37" i="6" s="1"/>
  <c r="H37" i="18"/>
  <c r="AA37" i="18"/>
  <c r="Z37" i="18" s="1"/>
  <c r="Y37" i="18" s="1"/>
  <c r="AA74" i="18"/>
  <c r="Z74" i="18" s="1"/>
  <c r="Y74" i="18" s="1"/>
  <c r="H74" i="18"/>
  <c r="G74" i="18"/>
  <c r="CA74" i="6" s="1"/>
  <c r="AK4" i="15"/>
  <c r="R12" i="19" s="1"/>
  <c r="N13" i="19" s="1"/>
  <c r="AM13" i="15"/>
  <c r="AG28" i="20"/>
  <c r="AF28" i="20" s="1"/>
  <c r="AD28" i="20" s="1"/>
  <c r="AG84" i="20"/>
  <c r="AF84" i="20" s="1"/>
  <c r="AD84" i="20" s="1"/>
  <c r="AA374" i="18"/>
  <c r="Z374" i="18" s="1"/>
  <c r="Y374" i="18" s="1"/>
  <c r="G374" i="18"/>
  <c r="CA374" i="6" s="1"/>
  <c r="H374" i="18"/>
  <c r="H338" i="18"/>
  <c r="AA338" i="18"/>
  <c r="Z338" i="18" s="1"/>
  <c r="Y338" i="18" s="1"/>
  <c r="G338" i="18"/>
  <c r="CA338" i="6" s="1"/>
  <c r="G290" i="18"/>
  <c r="CA290" i="6" s="1"/>
  <c r="H290" i="18"/>
  <c r="AA290" i="18"/>
  <c r="Z290" i="18" s="1"/>
  <c r="Y290" i="18" s="1"/>
  <c r="G270" i="18"/>
  <c r="CA270" i="6" s="1"/>
  <c r="AA270" i="18"/>
  <c r="Z270" i="18" s="1"/>
  <c r="Y270" i="18" s="1"/>
  <c r="H270" i="18"/>
  <c r="G242" i="18"/>
  <c r="CA242" i="6" s="1"/>
  <c r="AA242" i="18"/>
  <c r="Z242" i="18" s="1"/>
  <c r="Y242" i="18" s="1"/>
  <c r="H242" i="18"/>
  <c r="I240" i="18"/>
  <c r="B240" i="6" s="1"/>
  <c r="BA240" i="6" s="1"/>
  <c r="D240" i="6" s="1"/>
  <c r="J240" i="18"/>
  <c r="C240" i="6" s="1"/>
  <c r="G212" i="18"/>
  <c r="CA212" i="6" s="1"/>
  <c r="AA212" i="18"/>
  <c r="Z212" i="18" s="1"/>
  <c r="Y212" i="18" s="1"/>
  <c r="H212" i="18"/>
  <c r="AA210" i="18"/>
  <c r="Z210" i="18" s="1"/>
  <c r="Y210" i="18" s="1"/>
  <c r="G210" i="18"/>
  <c r="CA210" i="6" s="1"/>
  <c r="I170" i="18"/>
  <c r="B170" i="6" s="1"/>
  <c r="BA170" i="6" s="1"/>
  <c r="D170" i="6" s="1"/>
  <c r="J170" i="18"/>
  <c r="C170" i="6" s="1"/>
  <c r="J154" i="18"/>
  <c r="C154" i="6" s="1"/>
  <c r="I154" i="18"/>
  <c r="B154" i="6" s="1"/>
  <c r="BA154" i="6" s="1"/>
  <c r="D154" i="6" s="1"/>
  <c r="AA144" i="18"/>
  <c r="Z144" i="18" s="1"/>
  <c r="Y144" i="18" s="1"/>
  <c r="G144" i="18"/>
  <c r="CA144" i="6" s="1"/>
  <c r="H144" i="18"/>
  <c r="I114" i="18"/>
  <c r="B114" i="6" s="1"/>
  <c r="BA114" i="6" s="1"/>
  <c r="D114" i="6" s="1"/>
  <c r="G100" i="18"/>
  <c r="CA100" i="6" s="1"/>
  <c r="H100" i="18"/>
  <c r="AA100" i="18"/>
  <c r="Z100" i="18" s="1"/>
  <c r="Y100" i="18" s="1"/>
  <c r="AA78" i="18"/>
  <c r="Z78" i="18" s="1"/>
  <c r="Y78" i="18" s="1"/>
  <c r="H78" i="18"/>
  <c r="G78" i="18"/>
  <c r="CA78" i="6" s="1"/>
  <c r="AA34" i="18"/>
  <c r="Z34" i="18" s="1"/>
  <c r="Y34" i="18" s="1"/>
  <c r="G34" i="18"/>
  <c r="CA34" i="6" s="1"/>
  <c r="H34" i="18"/>
  <c r="S381" i="18"/>
  <c r="S382" i="18"/>
  <c r="S383" i="18"/>
  <c r="R15" i="18"/>
  <c r="T379" i="20"/>
  <c r="S379" i="20" s="1"/>
  <c r="R379" i="20" s="1"/>
  <c r="P379" i="20" s="1"/>
  <c r="AH16" i="7"/>
  <c r="AN11" i="7" s="1"/>
  <c r="U11" i="22" s="1"/>
  <c r="U12" i="22"/>
  <c r="S377" i="20"/>
  <c r="R377" i="20" s="1"/>
  <c r="P377" i="20" s="1"/>
  <c r="V377" i="20" s="1"/>
  <c r="B377" i="20" s="1"/>
  <c r="S375" i="20"/>
  <c r="R375" i="20" s="1"/>
  <c r="P375" i="20" s="1"/>
  <c r="V375" i="20" s="1"/>
  <c r="B375" i="20" s="1"/>
  <c r="D373" i="20"/>
  <c r="E373" i="20" s="1"/>
  <c r="F373" i="20" s="1"/>
  <c r="S371" i="20"/>
  <c r="R371" i="20" s="1"/>
  <c r="P371" i="20" s="1"/>
  <c r="V371" i="20" s="1"/>
  <c r="B371" i="20" s="1"/>
  <c r="W367" i="20"/>
  <c r="D367" i="20"/>
  <c r="E367" i="20" s="1"/>
  <c r="F367" i="20" s="1"/>
  <c r="D365" i="20"/>
  <c r="E365" i="20" s="1"/>
  <c r="F365" i="20" s="1"/>
  <c r="S363" i="20"/>
  <c r="R363" i="20" s="1"/>
  <c r="P363" i="20" s="1"/>
  <c r="S361" i="20"/>
  <c r="R361" i="20" s="1"/>
  <c r="P361" i="20" s="1"/>
  <c r="V361" i="20" s="1"/>
  <c r="B361" i="20" s="1"/>
  <c r="S359" i="20"/>
  <c r="R359" i="20" s="1"/>
  <c r="P359" i="20" s="1"/>
  <c r="V359" i="20" s="1"/>
  <c r="B359" i="20" s="1"/>
  <c r="S355" i="20"/>
  <c r="R355" i="20" s="1"/>
  <c r="P355" i="20" s="1"/>
  <c r="V355" i="20" s="1"/>
  <c r="B355" i="20" s="1"/>
  <c r="S353" i="20"/>
  <c r="R353" i="20" s="1"/>
  <c r="P353" i="20" s="1"/>
  <c r="V353" i="20" s="1"/>
  <c r="B353" i="20" s="1"/>
  <c r="S351" i="20"/>
  <c r="R351" i="20" s="1"/>
  <c r="P351" i="20" s="1"/>
  <c r="V351" i="20" s="1"/>
  <c r="B351" i="20" s="1"/>
  <c r="B349" i="20"/>
  <c r="S347" i="20"/>
  <c r="R347" i="20" s="1"/>
  <c r="P347" i="20" s="1"/>
  <c r="V347" i="20" s="1"/>
  <c r="B347" i="20" s="1"/>
  <c r="W345" i="20"/>
  <c r="S343" i="20"/>
  <c r="R343" i="20" s="1"/>
  <c r="P343" i="20" s="1"/>
  <c r="V343" i="20" s="1"/>
  <c r="B343" i="20" s="1"/>
  <c r="S341" i="20"/>
  <c r="R341" i="20" s="1"/>
  <c r="P341" i="20" s="1"/>
  <c r="V341" i="20" s="1"/>
  <c r="B341" i="20" s="1"/>
  <c r="D339" i="20"/>
  <c r="E339" i="20" s="1"/>
  <c r="F339" i="20" s="1"/>
  <c r="W339" i="20"/>
  <c r="S337" i="20"/>
  <c r="R337" i="20" s="1"/>
  <c r="P337" i="20" s="1"/>
  <c r="V337" i="20" s="1"/>
  <c r="B337" i="20" s="1"/>
  <c r="W335" i="20"/>
  <c r="D335" i="20"/>
  <c r="E335" i="20" s="1"/>
  <c r="F335" i="20" s="1"/>
  <c r="S333" i="20"/>
  <c r="R333" i="20" s="1"/>
  <c r="P333" i="20" s="1"/>
  <c r="S331" i="20"/>
  <c r="R331" i="20" s="1"/>
  <c r="P331" i="20" s="1"/>
  <c r="V331" i="20" s="1"/>
  <c r="B331" i="20" s="1"/>
  <c r="S329" i="20"/>
  <c r="R329" i="20" s="1"/>
  <c r="P329" i="20" s="1"/>
  <c r="V329" i="20" s="1"/>
  <c r="B329" i="20" s="1"/>
  <c r="D327" i="20"/>
  <c r="E327" i="20" s="1"/>
  <c r="F327" i="20" s="1"/>
  <c r="W327" i="20"/>
  <c r="D325" i="20"/>
  <c r="E325" i="20" s="1"/>
  <c r="F325" i="20" s="1"/>
  <c r="W325" i="20"/>
  <c r="D323" i="20"/>
  <c r="E323" i="20" s="1"/>
  <c r="F323" i="20" s="1"/>
  <c r="W323" i="20"/>
  <c r="S319" i="20"/>
  <c r="R319" i="20" s="1"/>
  <c r="P319" i="20" s="1"/>
  <c r="V319" i="20" s="1"/>
  <c r="S317" i="20"/>
  <c r="R317" i="20" s="1"/>
  <c r="P317" i="20" s="1"/>
  <c r="V317" i="20" s="1"/>
  <c r="B317" i="20" s="1"/>
  <c r="D315" i="20"/>
  <c r="E315" i="20" s="1"/>
  <c r="F315" i="20" s="1"/>
  <c r="W315" i="20"/>
  <c r="S313" i="20"/>
  <c r="R313" i="20" s="1"/>
  <c r="P313" i="20" s="1"/>
  <c r="V313" i="20" s="1"/>
  <c r="B313" i="20" s="1"/>
  <c r="S311" i="20"/>
  <c r="R311" i="20" s="1"/>
  <c r="P311" i="20" s="1"/>
  <c r="V311" i="20" s="1"/>
  <c r="B311" i="20" s="1"/>
  <c r="S309" i="20"/>
  <c r="R309" i="20" s="1"/>
  <c r="P309" i="20" s="1"/>
  <c r="V309" i="20" s="1"/>
  <c r="B309" i="20" s="1"/>
  <c r="S307" i="20"/>
  <c r="R307" i="20" s="1"/>
  <c r="P307" i="20" s="1"/>
  <c r="V307" i="20" s="1"/>
  <c r="B307" i="20" s="1"/>
  <c r="S305" i="20"/>
  <c r="R305" i="20" s="1"/>
  <c r="P305" i="20" s="1"/>
  <c r="V305" i="20" s="1"/>
  <c r="B305" i="20" s="1"/>
  <c r="S297" i="20"/>
  <c r="R297" i="20" s="1"/>
  <c r="P297" i="20" s="1"/>
  <c r="V297" i="20" s="1"/>
  <c r="B297" i="20" s="1"/>
  <c r="S285" i="20"/>
  <c r="R285" i="20" s="1"/>
  <c r="P285" i="20" s="1"/>
  <c r="V285" i="20" s="1"/>
  <c r="B285" i="20" s="1"/>
  <c r="S277" i="20"/>
  <c r="R277" i="20" s="1"/>
  <c r="P277" i="20" s="1"/>
  <c r="V277" i="20" s="1"/>
  <c r="B277" i="20" s="1"/>
  <c r="S261" i="20"/>
  <c r="R261" i="20" s="1"/>
  <c r="P261" i="20" s="1"/>
  <c r="V261" i="20" s="1"/>
  <c r="B261" i="20" s="1"/>
  <c r="S253" i="20"/>
  <c r="R253" i="20" s="1"/>
  <c r="P253" i="20" s="1"/>
  <c r="V253" i="20" s="1"/>
  <c r="B253" i="20" s="1"/>
  <c r="S241" i="20"/>
  <c r="R241" i="20" s="1"/>
  <c r="P241" i="20" s="1"/>
  <c r="S233" i="20"/>
  <c r="R233" i="20" s="1"/>
  <c r="P233" i="20" s="1"/>
  <c r="V233" i="20" s="1"/>
  <c r="B233" i="20" s="1"/>
  <c r="S219" i="20"/>
  <c r="R219" i="20" s="1"/>
  <c r="P219" i="20" s="1"/>
  <c r="V219" i="20" s="1"/>
  <c r="B219" i="20" s="1"/>
  <c r="S211" i="20"/>
  <c r="R211" i="20" s="1"/>
  <c r="P211" i="20" s="1"/>
  <c r="V211" i="20" s="1"/>
  <c r="B211" i="20" s="1"/>
  <c r="S207" i="20"/>
  <c r="R207" i="20" s="1"/>
  <c r="P207" i="20" s="1"/>
  <c r="V207" i="20" s="1"/>
  <c r="B207" i="20" s="1"/>
  <c r="S203" i="20"/>
  <c r="R203" i="20" s="1"/>
  <c r="P203" i="20" s="1"/>
  <c r="V203" i="20" s="1"/>
  <c r="B203" i="20" s="1"/>
  <c r="S195" i="20"/>
  <c r="R195" i="20" s="1"/>
  <c r="P195" i="20" s="1"/>
  <c r="V195" i="20" s="1"/>
  <c r="B195" i="20" s="1"/>
  <c r="S193" i="20"/>
  <c r="R193" i="20" s="1"/>
  <c r="P193" i="20" s="1"/>
  <c r="V193" i="20" s="1"/>
  <c r="B193" i="20" s="1"/>
  <c r="D187" i="20"/>
  <c r="E187" i="20" s="1"/>
  <c r="F187" i="20" s="1"/>
  <c r="W187" i="20"/>
  <c r="D179" i="20"/>
  <c r="E179" i="20" s="1"/>
  <c r="F179" i="20" s="1"/>
  <c r="W179" i="20"/>
  <c r="S173" i="20"/>
  <c r="R173" i="20" s="1"/>
  <c r="P173" i="20" s="1"/>
  <c r="V173" i="20" s="1"/>
  <c r="B173" i="20" s="1"/>
  <c r="D171" i="20"/>
  <c r="E171" i="20" s="1"/>
  <c r="F171" i="20" s="1"/>
  <c r="W171" i="20"/>
  <c r="D163" i="20"/>
  <c r="E163" i="20" s="1"/>
  <c r="F163" i="20" s="1"/>
  <c r="W163" i="20"/>
  <c r="S155" i="20"/>
  <c r="R155" i="20" s="1"/>
  <c r="P155" i="20" s="1"/>
  <c r="V155" i="20" s="1"/>
  <c r="B155" i="20" s="1"/>
  <c r="S147" i="20"/>
  <c r="R147" i="20" s="1"/>
  <c r="P147" i="20" s="1"/>
  <c r="V147" i="20" s="1"/>
  <c r="B147" i="20" s="1"/>
  <c r="S139" i="20"/>
  <c r="R139" i="20" s="1"/>
  <c r="P139" i="20" s="1"/>
  <c r="V139" i="20" s="1"/>
  <c r="B139" i="20" s="1"/>
  <c r="S131" i="20"/>
  <c r="R131" i="20" s="1"/>
  <c r="P131" i="20" s="1"/>
  <c r="V131" i="20" s="1"/>
  <c r="B131" i="20" s="1"/>
  <c r="S129" i="20"/>
  <c r="R129" i="20" s="1"/>
  <c r="P129" i="20" s="1"/>
  <c r="V129" i="20" s="1"/>
  <c r="B129" i="20" s="1"/>
  <c r="S125" i="20"/>
  <c r="R125" i="20" s="1"/>
  <c r="P125" i="20" s="1"/>
  <c r="V125" i="20" s="1"/>
  <c r="S121" i="20"/>
  <c r="R121" i="20" s="1"/>
  <c r="P121" i="20" s="1"/>
  <c r="V121" i="20" s="1"/>
  <c r="B121" i="20" s="1"/>
  <c r="S115" i="20"/>
  <c r="R115" i="20" s="1"/>
  <c r="P115" i="20" s="1"/>
  <c r="V115" i="20" s="1"/>
  <c r="B115" i="20" s="1"/>
  <c r="S111" i="20"/>
  <c r="R111" i="20" s="1"/>
  <c r="P111" i="20" s="1"/>
  <c r="V111" i="20" s="1"/>
  <c r="B111" i="20" s="1"/>
  <c r="S107" i="20"/>
  <c r="R107" i="20" s="1"/>
  <c r="P107" i="20" s="1"/>
  <c r="V107" i="20" s="1"/>
  <c r="B107" i="20" s="1"/>
  <c r="S97" i="20"/>
  <c r="R97" i="20" s="1"/>
  <c r="P97" i="20" s="1"/>
  <c r="V97" i="20" s="1"/>
  <c r="B97" i="20" s="1"/>
  <c r="S69" i="20"/>
  <c r="R69" i="20" s="1"/>
  <c r="P69" i="20" s="1"/>
  <c r="V69" i="20" s="1"/>
  <c r="B69" i="20" s="1"/>
  <c r="S67" i="20"/>
  <c r="R67" i="20" s="1"/>
  <c r="P67" i="20" s="1"/>
  <c r="V67" i="20" s="1"/>
  <c r="B67" i="20" s="1"/>
  <c r="S65" i="20"/>
  <c r="R65" i="20" s="1"/>
  <c r="P65" i="20" s="1"/>
  <c r="V65" i="20" s="1"/>
  <c r="B65" i="20" s="1"/>
  <c r="S63" i="20"/>
  <c r="R63" i="20" s="1"/>
  <c r="P63" i="20" s="1"/>
  <c r="V63" i="20" s="1"/>
  <c r="B63" i="20" s="1"/>
  <c r="S61" i="20"/>
  <c r="R61" i="20" s="1"/>
  <c r="P61" i="20" s="1"/>
  <c r="V61" i="20" s="1"/>
  <c r="S37" i="20"/>
  <c r="R37" i="20" s="1"/>
  <c r="P37" i="20" s="1"/>
  <c r="V37" i="20" s="1"/>
  <c r="B37" i="20" s="1"/>
  <c r="S29" i="20"/>
  <c r="R29" i="20" s="1"/>
  <c r="P29" i="20" s="1"/>
  <c r="U382" i="20"/>
  <c r="I329" i="18"/>
  <c r="B329" i="6" s="1"/>
  <c r="BA329" i="6" s="1"/>
  <c r="D329" i="6" s="1"/>
  <c r="J329" i="18"/>
  <c r="C329" i="6" s="1"/>
  <c r="J327" i="18"/>
  <c r="C327" i="6" s="1"/>
  <c r="I327" i="18"/>
  <c r="B327" i="6" s="1"/>
  <c r="BA327" i="6" s="1"/>
  <c r="D327" i="6" s="1"/>
  <c r="J297" i="18"/>
  <c r="C297" i="6" s="1"/>
  <c r="I297" i="18"/>
  <c r="B297" i="6" s="1"/>
  <c r="BA297" i="6" s="1"/>
  <c r="D297" i="6" s="1"/>
  <c r="H175" i="18"/>
  <c r="G175" i="18"/>
  <c r="CA175" i="6" s="1"/>
  <c r="AA175" i="18"/>
  <c r="Z175" i="18" s="1"/>
  <c r="Y175" i="18" s="1"/>
  <c r="AA107" i="18"/>
  <c r="Z107" i="18" s="1"/>
  <c r="Y107" i="18" s="1"/>
  <c r="G107" i="18"/>
  <c r="CA107" i="6" s="1"/>
  <c r="H107" i="18"/>
  <c r="G83" i="18"/>
  <c r="CA83" i="6" s="1"/>
  <c r="H83" i="18"/>
  <c r="AA83" i="18"/>
  <c r="Z83" i="18" s="1"/>
  <c r="Y83" i="18" s="1"/>
  <c r="I59" i="18"/>
  <c r="B59" i="6" s="1"/>
  <c r="BA59" i="6" s="1"/>
  <c r="D59" i="6" s="1"/>
  <c r="G277" i="18"/>
  <c r="CA277" i="6" s="1"/>
  <c r="H277" i="18"/>
  <c r="AA277" i="18"/>
  <c r="Z277" i="18" s="1"/>
  <c r="Y277" i="18" s="1"/>
  <c r="G259" i="18"/>
  <c r="CA259" i="6" s="1"/>
  <c r="AA259" i="18"/>
  <c r="Z259" i="18" s="1"/>
  <c r="Y259" i="18" s="1"/>
  <c r="H259" i="18"/>
  <c r="D241" i="18"/>
  <c r="E241" i="18" s="1"/>
  <c r="F241" i="18" s="1"/>
  <c r="W241" i="18"/>
  <c r="W227" i="18"/>
  <c r="D227" i="18"/>
  <c r="E227" i="18" s="1"/>
  <c r="F227" i="18" s="1"/>
  <c r="I215" i="18"/>
  <c r="B215" i="6" s="1"/>
  <c r="BA215" i="6" s="1"/>
  <c r="D215" i="6" s="1"/>
  <c r="J215" i="18"/>
  <c r="C215" i="6" s="1"/>
  <c r="AA193" i="18"/>
  <c r="Z193" i="18" s="1"/>
  <c r="Y193" i="18" s="1"/>
  <c r="G193" i="18"/>
  <c r="CA193" i="6" s="1"/>
  <c r="H193" i="18"/>
  <c r="AA179" i="18"/>
  <c r="Z179" i="18" s="1"/>
  <c r="Y179" i="18" s="1"/>
  <c r="G179" i="18"/>
  <c r="CA179" i="6" s="1"/>
  <c r="H179" i="18"/>
  <c r="I131" i="18"/>
  <c r="B131" i="6" s="1"/>
  <c r="BA131" i="6" s="1"/>
  <c r="D131" i="6" s="1"/>
  <c r="J127" i="18"/>
  <c r="C127" i="6" s="1"/>
  <c r="I127" i="18"/>
  <c r="B127" i="6" s="1"/>
  <c r="BA127" i="6" s="1"/>
  <c r="AA99" i="18"/>
  <c r="Z99" i="18" s="1"/>
  <c r="Y99" i="18" s="1"/>
  <c r="H99" i="18"/>
  <c r="G99" i="18"/>
  <c r="CA99" i="6" s="1"/>
  <c r="G67" i="18"/>
  <c r="CA67" i="6" s="1"/>
  <c r="AA67" i="18"/>
  <c r="Z67" i="18" s="1"/>
  <c r="Y67" i="18" s="1"/>
  <c r="H67" i="18"/>
  <c r="AA53" i="18"/>
  <c r="Z53" i="18" s="1"/>
  <c r="Y53" i="18" s="1"/>
  <c r="H53" i="18"/>
  <c r="G53" i="18"/>
  <c r="CA53" i="6" s="1"/>
  <c r="G49" i="18"/>
  <c r="CA49" i="6" s="1"/>
  <c r="AA49" i="18"/>
  <c r="Z49" i="18" s="1"/>
  <c r="Y49" i="18" s="1"/>
  <c r="H49" i="18"/>
  <c r="AA25" i="18"/>
  <c r="Z25" i="18" s="1"/>
  <c r="Y25" i="18" s="1"/>
  <c r="G25" i="18"/>
  <c r="CA25" i="6" s="1"/>
  <c r="H25" i="18"/>
  <c r="AG153" i="20"/>
  <c r="AF153" i="20" s="1"/>
  <c r="AG377" i="20"/>
  <c r="AF377" i="20" s="1"/>
  <c r="AD377" i="20" s="1"/>
  <c r="I376" i="18"/>
  <c r="B376" i="6" s="1"/>
  <c r="BA376" i="6" s="1"/>
  <c r="D376" i="6" s="1"/>
  <c r="G370" i="18"/>
  <c r="CA370" i="6" s="1"/>
  <c r="H370" i="18"/>
  <c r="AA370" i="18"/>
  <c r="Z370" i="18" s="1"/>
  <c r="Y370" i="18" s="1"/>
  <c r="I368" i="18"/>
  <c r="B368" i="6" s="1"/>
  <c r="BA368" i="6" s="1"/>
  <c r="D368" i="6" s="1"/>
  <c r="J368" i="18"/>
  <c r="C368" i="6" s="1"/>
  <c r="AA354" i="18"/>
  <c r="Z354" i="18" s="1"/>
  <c r="Y354" i="18" s="1"/>
  <c r="G354" i="18"/>
  <c r="CA354" i="6" s="1"/>
  <c r="H354" i="18"/>
  <c r="I344" i="18"/>
  <c r="B344" i="6" s="1"/>
  <c r="BA344" i="6" s="1"/>
  <c r="D344" i="6" s="1"/>
  <c r="J344" i="18"/>
  <c r="C344" i="6" s="1"/>
  <c r="G332" i="18"/>
  <c r="CA332" i="6" s="1"/>
  <c r="AA332" i="18"/>
  <c r="Z332" i="18" s="1"/>
  <c r="Y332" i="18" s="1"/>
  <c r="H332" i="18"/>
  <c r="AA312" i="18"/>
  <c r="Z312" i="18" s="1"/>
  <c r="Y312" i="18" s="1"/>
  <c r="H312" i="18"/>
  <c r="G312" i="18"/>
  <c r="CA312" i="6" s="1"/>
  <c r="AA310" i="18"/>
  <c r="Z310" i="18" s="1"/>
  <c r="Y310" i="18" s="1"/>
  <c r="H310" i="18"/>
  <c r="G310" i="18"/>
  <c r="CA310" i="6" s="1"/>
  <c r="I300" i="18"/>
  <c r="B300" i="6" s="1"/>
  <c r="BA300" i="6" s="1"/>
  <c r="D300" i="6" s="1"/>
  <c r="J300" i="18"/>
  <c r="C300" i="6" s="1"/>
  <c r="G298" i="18"/>
  <c r="CA298" i="6" s="1"/>
  <c r="H298" i="18"/>
  <c r="AA298" i="18"/>
  <c r="Z298" i="18" s="1"/>
  <c r="Y298" i="18" s="1"/>
  <c r="G280" i="18"/>
  <c r="CA280" i="6" s="1"/>
  <c r="H280" i="18"/>
  <c r="AA280" i="18"/>
  <c r="Z280" i="18" s="1"/>
  <c r="Y280" i="18" s="1"/>
  <c r="AA278" i="18"/>
  <c r="Z278" i="18" s="1"/>
  <c r="Y278" i="18" s="1"/>
  <c r="H278" i="18"/>
  <c r="G278" i="18"/>
  <c r="CA278" i="6" s="1"/>
  <c r="AA252" i="18"/>
  <c r="Z252" i="18" s="1"/>
  <c r="Y252" i="18" s="1"/>
  <c r="G252" i="18"/>
  <c r="CA252" i="6" s="1"/>
  <c r="H252" i="18"/>
  <c r="AA250" i="18"/>
  <c r="Z250" i="18" s="1"/>
  <c r="Y250" i="18" s="1"/>
  <c r="G250" i="18"/>
  <c r="CA250" i="6" s="1"/>
  <c r="H250" i="18"/>
  <c r="AA230" i="18"/>
  <c r="Z230" i="18" s="1"/>
  <c r="Y230" i="18" s="1"/>
  <c r="G230" i="18"/>
  <c r="CA230" i="6" s="1"/>
  <c r="H230" i="18"/>
  <c r="AA226" i="18"/>
  <c r="Z226" i="18" s="1"/>
  <c r="Y226" i="18" s="1"/>
  <c r="H226" i="18"/>
  <c r="G226" i="18"/>
  <c r="CA226" i="6" s="1"/>
  <c r="G218" i="18"/>
  <c r="CA218" i="6" s="1"/>
  <c r="AA218" i="18"/>
  <c r="Z218" i="18" s="1"/>
  <c r="Y218" i="18" s="1"/>
  <c r="H218" i="18"/>
  <c r="I204" i="18"/>
  <c r="B204" i="6" s="1"/>
  <c r="BA204" i="6" s="1"/>
  <c r="D204" i="6" s="1"/>
  <c r="J204" i="18"/>
  <c r="C204" i="6" s="1"/>
  <c r="AA202" i="18"/>
  <c r="Z202" i="18" s="1"/>
  <c r="Y202" i="18" s="1"/>
  <c r="H202" i="18"/>
  <c r="G202" i="18"/>
  <c r="CA202" i="6" s="1"/>
  <c r="G200" i="18"/>
  <c r="CA200" i="6" s="1"/>
  <c r="AA200" i="18"/>
  <c r="Z200" i="18" s="1"/>
  <c r="Y200" i="18" s="1"/>
  <c r="H200" i="18"/>
  <c r="G188" i="18"/>
  <c r="CA188" i="6" s="1"/>
  <c r="H188" i="18"/>
  <c r="AA188" i="18"/>
  <c r="Z188" i="18" s="1"/>
  <c r="Y188" i="18" s="1"/>
  <c r="AA166" i="18"/>
  <c r="Z166" i="18" s="1"/>
  <c r="Y166" i="18" s="1"/>
  <c r="G166" i="18"/>
  <c r="CA166" i="6" s="1"/>
  <c r="H166" i="18"/>
  <c r="J158" i="18"/>
  <c r="C158" i="6" s="1"/>
  <c r="AA146" i="18"/>
  <c r="Z146" i="18" s="1"/>
  <c r="Y146" i="18" s="1"/>
  <c r="H146" i="18"/>
  <c r="G146" i="18"/>
  <c r="CA146" i="6" s="1"/>
  <c r="AA122" i="18"/>
  <c r="Z122" i="18" s="1"/>
  <c r="Y122" i="18" s="1"/>
  <c r="G122" i="18"/>
  <c r="CA122" i="6" s="1"/>
  <c r="H122" i="18"/>
  <c r="G106" i="18"/>
  <c r="CA106" i="6" s="1"/>
  <c r="AA106" i="18"/>
  <c r="Z106" i="18" s="1"/>
  <c r="Y106" i="18" s="1"/>
  <c r="H106" i="18"/>
  <c r="G104" i="18"/>
  <c r="CA104" i="6" s="1"/>
  <c r="H104" i="18"/>
  <c r="AA104" i="18"/>
  <c r="Z104" i="18" s="1"/>
  <c r="Y104" i="18" s="1"/>
  <c r="G98" i="18"/>
  <c r="CA98" i="6" s="1"/>
  <c r="H98" i="18"/>
  <c r="AA98" i="18"/>
  <c r="Z98" i="18" s="1"/>
  <c r="Y98" i="18" s="1"/>
  <c r="AA90" i="18"/>
  <c r="Z90" i="18" s="1"/>
  <c r="Y90" i="18" s="1"/>
  <c r="G90" i="18"/>
  <c r="CA90" i="6" s="1"/>
  <c r="H90" i="18"/>
  <c r="AA88" i="18"/>
  <c r="Z88" i="18" s="1"/>
  <c r="Y88" i="18" s="1"/>
  <c r="G88" i="18"/>
  <c r="CA88" i="6" s="1"/>
  <c r="H82" i="18"/>
  <c r="G82" i="18"/>
  <c r="CA82" i="6" s="1"/>
  <c r="AA82" i="18"/>
  <c r="Z82" i="18" s="1"/>
  <c r="Y82" i="18" s="1"/>
  <c r="H66" i="18"/>
  <c r="AA66" i="18"/>
  <c r="Z66" i="18" s="1"/>
  <c r="Y66" i="18" s="1"/>
  <c r="G66" i="18"/>
  <c r="CA66" i="6" s="1"/>
  <c r="D60" i="18"/>
  <c r="E60" i="18" s="1"/>
  <c r="F60" i="18" s="1"/>
  <c r="W60" i="18"/>
  <c r="AA54" i="18"/>
  <c r="Z54" i="18" s="1"/>
  <c r="Y54" i="18" s="1"/>
  <c r="H54" i="18"/>
  <c r="G54" i="18"/>
  <c r="CA54" i="6" s="1"/>
  <c r="AA50" i="18"/>
  <c r="Z50" i="18" s="1"/>
  <c r="Y50" i="18" s="1"/>
  <c r="G50" i="18"/>
  <c r="CA50" i="6" s="1"/>
  <c r="H50" i="18"/>
  <c r="AA32" i="18"/>
  <c r="Z32" i="18" s="1"/>
  <c r="Y32" i="18" s="1"/>
  <c r="H32" i="18"/>
  <c r="G32" i="18"/>
  <c r="CA32" i="6" s="1"/>
  <c r="G16" i="18"/>
  <c r="CA16" i="6" s="1"/>
  <c r="AA16" i="18"/>
  <c r="Z16" i="18" s="1"/>
  <c r="Y16" i="18" s="1"/>
  <c r="H192" i="18"/>
  <c r="AA192" i="18"/>
  <c r="Z192" i="18" s="1"/>
  <c r="Y192" i="18" s="1"/>
  <c r="G192" i="18"/>
  <c r="CA192" i="6" s="1"/>
  <c r="AL8" i="16"/>
  <c r="G359" i="18"/>
  <c r="CA359" i="6" s="1"/>
  <c r="AA359" i="18"/>
  <c r="Z359" i="18" s="1"/>
  <c r="Y359" i="18" s="1"/>
  <c r="H359" i="18"/>
  <c r="AA345" i="18"/>
  <c r="Z345" i="18" s="1"/>
  <c r="Y345" i="18" s="1"/>
  <c r="G345" i="18"/>
  <c r="CA345" i="6" s="1"/>
  <c r="H345" i="18"/>
  <c r="AA331" i="18"/>
  <c r="Z331" i="18" s="1"/>
  <c r="Y331" i="18" s="1"/>
  <c r="G331" i="18"/>
  <c r="CA331" i="6" s="1"/>
  <c r="H331" i="18"/>
  <c r="J299" i="18"/>
  <c r="C299" i="6" s="1"/>
  <c r="I299" i="18"/>
  <c r="B299" i="6" s="1"/>
  <c r="BA299" i="6" s="1"/>
  <c r="D299" i="6" s="1"/>
  <c r="AA289" i="18"/>
  <c r="Z289" i="18" s="1"/>
  <c r="Y289" i="18" s="1"/>
  <c r="H289" i="18"/>
  <c r="G289" i="18"/>
  <c r="CA289" i="6" s="1"/>
  <c r="AA271" i="18"/>
  <c r="Z271" i="18" s="1"/>
  <c r="Y271" i="18" s="1"/>
  <c r="H271" i="18"/>
  <c r="G271" i="18"/>
  <c r="CA271" i="6" s="1"/>
  <c r="AA261" i="18"/>
  <c r="Z261" i="18" s="1"/>
  <c r="Y261" i="18" s="1"/>
  <c r="G261" i="18"/>
  <c r="CA261" i="6" s="1"/>
  <c r="AA257" i="18"/>
  <c r="Z257" i="18" s="1"/>
  <c r="Y257" i="18" s="1"/>
  <c r="H257" i="18"/>
  <c r="G257" i="18"/>
  <c r="CA257" i="6" s="1"/>
  <c r="I251" i="18"/>
  <c r="B251" i="6" s="1"/>
  <c r="BA251" i="6" s="1"/>
  <c r="D251" i="6" s="1"/>
  <c r="H239" i="18"/>
  <c r="G239" i="18"/>
  <c r="CA239" i="6" s="1"/>
  <c r="AA239" i="18"/>
  <c r="Z239" i="18" s="1"/>
  <c r="Y239" i="18" s="1"/>
  <c r="J219" i="18"/>
  <c r="C219" i="6" s="1"/>
  <c r="I219" i="18"/>
  <c r="B219" i="6" s="1"/>
  <c r="BA219" i="6" s="1"/>
  <c r="D219" i="6" s="1"/>
  <c r="G171" i="18"/>
  <c r="CA171" i="6" s="1"/>
  <c r="AA171" i="18"/>
  <c r="Z171" i="18" s="1"/>
  <c r="Y171" i="18" s="1"/>
  <c r="H171" i="18"/>
  <c r="G157" i="18"/>
  <c r="CA157" i="6" s="1"/>
  <c r="H157" i="18"/>
  <c r="AA157" i="18"/>
  <c r="Z157" i="18" s="1"/>
  <c r="Y157" i="18" s="1"/>
  <c r="AA147" i="18"/>
  <c r="Z147" i="18" s="1"/>
  <c r="Y147" i="18" s="1"/>
  <c r="H147" i="18"/>
  <c r="G147" i="18"/>
  <c r="CA147" i="6" s="1"/>
  <c r="AA129" i="18"/>
  <c r="Z129" i="18" s="1"/>
  <c r="Y129" i="18" s="1"/>
  <c r="H129" i="18"/>
  <c r="G129" i="18"/>
  <c r="CA129" i="6" s="1"/>
  <c r="G109" i="18"/>
  <c r="CA109" i="6" s="1"/>
  <c r="H109" i="18"/>
  <c r="AA109" i="18"/>
  <c r="Z109" i="18" s="1"/>
  <c r="Y109" i="18" s="1"/>
  <c r="H89" i="18"/>
  <c r="G89" i="18"/>
  <c r="CA89" i="6" s="1"/>
  <c r="AA89" i="18"/>
  <c r="Z89" i="18" s="1"/>
  <c r="Y89" i="18" s="1"/>
  <c r="AA45" i="18"/>
  <c r="Z45" i="18" s="1"/>
  <c r="Y45" i="18" s="1"/>
  <c r="H45" i="18"/>
  <c r="G45" i="18"/>
  <c r="CA45" i="6" s="1"/>
  <c r="G18" i="18"/>
  <c r="CA18" i="6" s="1"/>
  <c r="AA18" i="18"/>
  <c r="Z18" i="18" s="1"/>
  <c r="Y18" i="18" s="1"/>
  <c r="H18" i="18"/>
  <c r="G352" i="18"/>
  <c r="CA352" i="6" s="1"/>
  <c r="AA352" i="18"/>
  <c r="Z352" i="18" s="1"/>
  <c r="Y352" i="18" s="1"/>
  <c r="G314" i="18"/>
  <c r="CA314" i="6" s="1"/>
  <c r="AA314" i="18"/>
  <c r="Z314" i="18" s="1"/>
  <c r="Y314" i="18" s="1"/>
  <c r="H314" i="18"/>
  <c r="G22" i="18"/>
  <c r="CA22" i="6" s="1"/>
  <c r="AA22" i="18"/>
  <c r="Z22" i="18" s="1"/>
  <c r="Y22" i="18" s="1"/>
  <c r="G377" i="18"/>
  <c r="CA377" i="6" s="1"/>
  <c r="AA377" i="18"/>
  <c r="Z377" i="18" s="1"/>
  <c r="Y377" i="18" s="1"/>
  <c r="H377" i="18"/>
  <c r="AA337" i="18"/>
  <c r="Z337" i="18" s="1"/>
  <c r="Y337" i="18" s="1"/>
  <c r="G337" i="18"/>
  <c r="CA337" i="6" s="1"/>
  <c r="H337" i="18"/>
  <c r="AA309" i="18"/>
  <c r="Z309" i="18" s="1"/>
  <c r="Y309" i="18" s="1"/>
  <c r="G309" i="18"/>
  <c r="CA309" i="6" s="1"/>
  <c r="H309" i="18"/>
  <c r="G287" i="18"/>
  <c r="CA287" i="6" s="1"/>
  <c r="H287" i="18"/>
  <c r="AA287" i="18"/>
  <c r="Z287" i="18" s="1"/>
  <c r="Y287" i="18" s="1"/>
  <c r="H255" i="18"/>
  <c r="AA255" i="18"/>
  <c r="Z255" i="18" s="1"/>
  <c r="Y255" i="18" s="1"/>
  <c r="G255" i="18"/>
  <c r="CA255" i="6" s="1"/>
  <c r="G229" i="18"/>
  <c r="CA229" i="6" s="1"/>
  <c r="AA229" i="18"/>
  <c r="Z229" i="18" s="1"/>
  <c r="Y229" i="18" s="1"/>
  <c r="H229" i="18"/>
  <c r="H191" i="18"/>
  <c r="AA191" i="18"/>
  <c r="Z191" i="18" s="1"/>
  <c r="Y191" i="18" s="1"/>
  <c r="G191" i="18"/>
  <c r="CA191" i="6" s="1"/>
  <c r="AA173" i="18"/>
  <c r="Z173" i="18" s="1"/>
  <c r="Y173" i="18" s="1"/>
  <c r="H173" i="18"/>
  <c r="G173" i="18"/>
  <c r="CA173" i="6" s="1"/>
  <c r="W135" i="18"/>
  <c r="D135" i="18"/>
  <c r="E135" i="18" s="1"/>
  <c r="F135" i="18" s="1"/>
  <c r="G103" i="18"/>
  <c r="CA103" i="6" s="1"/>
  <c r="AA103" i="18"/>
  <c r="Z103" i="18" s="1"/>
  <c r="Y103" i="18" s="1"/>
  <c r="H103" i="18"/>
  <c r="G87" i="18"/>
  <c r="CA87" i="6" s="1"/>
  <c r="AA87" i="18"/>
  <c r="Z87" i="18" s="1"/>
  <c r="Y87" i="18" s="1"/>
  <c r="H87" i="18"/>
  <c r="G358" i="18"/>
  <c r="CA358" i="6" s="1"/>
  <c r="H358" i="18"/>
  <c r="AA358" i="18"/>
  <c r="Z358" i="18" s="1"/>
  <c r="Y358" i="18" s="1"/>
  <c r="G350" i="18"/>
  <c r="CA350" i="6" s="1"/>
  <c r="AA350" i="18"/>
  <c r="Z350" i="18" s="1"/>
  <c r="Y350" i="18" s="1"/>
  <c r="H350" i="18"/>
  <c r="G346" i="18"/>
  <c r="CA346" i="6" s="1"/>
  <c r="AA346" i="18"/>
  <c r="Z346" i="18" s="1"/>
  <c r="Y346" i="18" s="1"/>
  <c r="H346" i="18"/>
  <c r="G340" i="18"/>
  <c r="CA340" i="6" s="1"/>
  <c r="AA340" i="18"/>
  <c r="Z340" i="18" s="1"/>
  <c r="Y340" i="18" s="1"/>
  <c r="H340" i="18"/>
  <c r="G336" i="18"/>
  <c r="CA336" i="6" s="1"/>
  <c r="AA336" i="18"/>
  <c r="Z336" i="18" s="1"/>
  <c r="Y336" i="18" s="1"/>
  <c r="H336" i="18"/>
  <c r="G322" i="18"/>
  <c r="CA322" i="6" s="1"/>
  <c r="H322" i="18"/>
  <c r="AA322" i="18"/>
  <c r="Z322" i="18" s="1"/>
  <c r="Y322" i="18" s="1"/>
  <c r="AA308" i="18"/>
  <c r="Z308" i="18" s="1"/>
  <c r="Y308" i="18" s="1"/>
  <c r="H308" i="18"/>
  <c r="G308" i="18"/>
  <c r="CA308" i="6" s="1"/>
  <c r="AA276" i="18"/>
  <c r="Z276" i="18" s="1"/>
  <c r="Y276" i="18" s="1"/>
  <c r="G276" i="18"/>
  <c r="CA276" i="6" s="1"/>
  <c r="H276" i="18"/>
  <c r="AA262" i="18"/>
  <c r="Z262" i="18" s="1"/>
  <c r="Y262" i="18" s="1"/>
  <c r="H262" i="18"/>
  <c r="G262" i="18"/>
  <c r="CA262" i="6" s="1"/>
  <c r="G254" i="18"/>
  <c r="CA254" i="6" s="1"/>
  <c r="AA254" i="18"/>
  <c r="Z254" i="18" s="1"/>
  <c r="Y254" i="18" s="1"/>
  <c r="H254" i="18"/>
  <c r="G228" i="18"/>
  <c r="CA228" i="6" s="1"/>
  <c r="H228" i="18"/>
  <c r="AA228" i="18"/>
  <c r="Z228" i="18" s="1"/>
  <c r="Y228" i="18" s="1"/>
  <c r="W196" i="18"/>
  <c r="D196" i="18"/>
  <c r="E196" i="18" s="1"/>
  <c r="F196" i="18" s="1"/>
  <c r="G182" i="18"/>
  <c r="CA182" i="6" s="1"/>
  <c r="H182" i="18"/>
  <c r="AA182" i="18"/>
  <c r="Z182" i="18" s="1"/>
  <c r="Y182" i="18" s="1"/>
  <c r="G172" i="18"/>
  <c r="CA172" i="6" s="1"/>
  <c r="AA172" i="18"/>
  <c r="Z172" i="18" s="1"/>
  <c r="Y172" i="18" s="1"/>
  <c r="H172" i="18"/>
  <c r="AA116" i="18"/>
  <c r="Z116" i="18" s="1"/>
  <c r="Y116" i="18" s="1"/>
  <c r="H116" i="18"/>
  <c r="G116" i="18"/>
  <c r="CA116" i="6" s="1"/>
  <c r="AA52" i="18"/>
  <c r="Z52" i="18" s="1"/>
  <c r="Y52" i="18" s="1"/>
  <c r="G52" i="18"/>
  <c r="CA52" i="6" s="1"/>
  <c r="H52" i="18"/>
  <c r="D46" i="18"/>
  <c r="E46" i="18" s="1"/>
  <c r="F46" i="18" s="1"/>
  <c r="W46" i="18"/>
  <c r="G38" i="18"/>
  <c r="CA38" i="6" s="1"/>
  <c r="AA38" i="18"/>
  <c r="Z38" i="18" s="1"/>
  <c r="Y38" i="18" s="1"/>
  <c r="H38" i="18"/>
  <c r="AA375" i="18"/>
  <c r="Z375" i="18" s="1"/>
  <c r="Y375" i="18" s="1"/>
  <c r="G375" i="18"/>
  <c r="CA375" i="6" s="1"/>
  <c r="H375" i="18"/>
  <c r="W363" i="18"/>
  <c r="D363" i="18"/>
  <c r="E363" i="18" s="1"/>
  <c r="F363" i="18" s="1"/>
  <c r="D333" i="18"/>
  <c r="E333" i="18" s="1"/>
  <c r="F333" i="18" s="1"/>
  <c r="W333" i="18"/>
  <c r="G303" i="18"/>
  <c r="CA303" i="6" s="1"/>
  <c r="AA303" i="18"/>
  <c r="Z303" i="18" s="1"/>
  <c r="Y303" i="18" s="1"/>
  <c r="H303" i="18"/>
  <c r="G273" i="18"/>
  <c r="CA273" i="6" s="1"/>
  <c r="AA273" i="18"/>
  <c r="Z273" i="18" s="1"/>
  <c r="Y273" i="18" s="1"/>
  <c r="H273" i="18"/>
  <c r="G233" i="18"/>
  <c r="CA233" i="6" s="1"/>
  <c r="AA233" i="18"/>
  <c r="Z233" i="18" s="1"/>
  <c r="Y233" i="18" s="1"/>
  <c r="H233" i="18"/>
  <c r="AA187" i="18"/>
  <c r="Z187" i="18" s="1"/>
  <c r="Y187" i="18" s="1"/>
  <c r="G187" i="18"/>
  <c r="CA187" i="6" s="1"/>
  <c r="H187" i="18"/>
  <c r="AA167" i="18"/>
  <c r="Z167" i="18" s="1"/>
  <c r="Y167" i="18" s="1"/>
  <c r="H167" i="18"/>
  <c r="G167" i="18"/>
  <c r="CA167" i="6" s="1"/>
  <c r="AA143" i="18"/>
  <c r="Z143" i="18" s="1"/>
  <c r="Y143" i="18" s="1"/>
  <c r="H143" i="18"/>
  <c r="G143" i="18"/>
  <c r="CA143" i="6" s="1"/>
  <c r="G133" i="18"/>
  <c r="CA133" i="6" s="1"/>
  <c r="H133" i="18"/>
  <c r="AA133" i="18"/>
  <c r="Z133" i="18" s="1"/>
  <c r="Y133" i="18" s="1"/>
  <c r="AA115" i="18"/>
  <c r="Z115" i="18" s="1"/>
  <c r="Y115" i="18" s="1"/>
  <c r="H115" i="18"/>
  <c r="G115" i="18"/>
  <c r="CA115" i="6" s="1"/>
  <c r="AA75" i="18"/>
  <c r="Z75" i="18" s="1"/>
  <c r="Y75" i="18" s="1"/>
  <c r="G75" i="18"/>
  <c r="CA75" i="6" s="1"/>
  <c r="H75" i="18"/>
  <c r="G274" i="18"/>
  <c r="CA274" i="6" s="1"/>
  <c r="AA274" i="18"/>
  <c r="Z274" i="18" s="1"/>
  <c r="Y274" i="18" s="1"/>
  <c r="H274" i="18"/>
  <c r="G266" i="18"/>
  <c r="CA266" i="6" s="1"/>
  <c r="H266" i="18"/>
  <c r="AA266" i="18"/>
  <c r="Z266" i="18" s="1"/>
  <c r="Y266" i="18" s="1"/>
  <c r="AA260" i="18"/>
  <c r="Z260" i="18" s="1"/>
  <c r="Y260" i="18" s="1"/>
  <c r="G260" i="18"/>
  <c r="CA260" i="6" s="1"/>
  <c r="H260" i="18"/>
  <c r="AA244" i="18"/>
  <c r="Z244" i="18" s="1"/>
  <c r="Y244" i="18" s="1"/>
  <c r="H244" i="18"/>
  <c r="G244" i="18"/>
  <c r="CA244" i="6" s="1"/>
  <c r="AA174" i="18"/>
  <c r="Z174" i="18" s="1"/>
  <c r="Y174" i="18" s="1"/>
  <c r="G174" i="18"/>
  <c r="CA174" i="6" s="1"/>
  <c r="G168" i="18"/>
  <c r="CA168" i="6" s="1"/>
  <c r="AA168" i="18"/>
  <c r="Z168" i="18" s="1"/>
  <c r="Y168" i="18" s="1"/>
  <c r="H168" i="18"/>
  <c r="AA142" i="18"/>
  <c r="Z142" i="18" s="1"/>
  <c r="Y142" i="18" s="1"/>
  <c r="H142" i="18"/>
  <c r="G142" i="18"/>
  <c r="CA142" i="6" s="1"/>
  <c r="G96" i="18"/>
  <c r="CA96" i="6" s="1"/>
  <c r="AA96" i="18"/>
  <c r="Z96" i="18" s="1"/>
  <c r="Y96" i="18" s="1"/>
  <c r="H96" i="18"/>
  <c r="AA315" i="18"/>
  <c r="Z315" i="18" s="1"/>
  <c r="Y315" i="18" s="1"/>
  <c r="G315" i="18"/>
  <c r="CA315" i="6" s="1"/>
  <c r="H315" i="18"/>
  <c r="G293" i="18"/>
  <c r="CA293" i="6" s="1"/>
  <c r="AA293" i="18"/>
  <c r="Z293" i="18" s="1"/>
  <c r="Y293" i="18" s="1"/>
  <c r="H293" i="18"/>
  <c r="AA247" i="18"/>
  <c r="Z247" i="18" s="1"/>
  <c r="Y247" i="18" s="1"/>
  <c r="G247" i="18"/>
  <c r="CA247" i="6" s="1"/>
  <c r="H237" i="18"/>
  <c r="G237" i="18"/>
  <c r="CA237" i="6" s="1"/>
  <c r="AA237" i="18"/>
  <c r="Z237" i="18" s="1"/>
  <c r="Y237" i="18" s="1"/>
  <c r="AA195" i="18"/>
  <c r="Z195" i="18" s="1"/>
  <c r="Y195" i="18" s="1"/>
  <c r="H195" i="18"/>
  <c r="G195" i="18"/>
  <c r="CA195" i="6" s="1"/>
  <c r="H181" i="18"/>
  <c r="AA181" i="18"/>
  <c r="Z181" i="18" s="1"/>
  <c r="Y181" i="18" s="1"/>
  <c r="G181" i="18"/>
  <c r="CA181" i="6" s="1"/>
  <c r="G97" i="18"/>
  <c r="CA97" i="6" s="1"/>
  <c r="AA97" i="18"/>
  <c r="Z97" i="18" s="1"/>
  <c r="Y97" i="18" s="1"/>
  <c r="H97" i="18"/>
  <c r="W123" i="20" l="1"/>
  <c r="G93" i="18"/>
  <c r="CA93" i="6" s="1"/>
  <c r="AA21" i="18"/>
  <c r="Z21" i="18" s="1"/>
  <c r="Y21" i="18" s="1"/>
  <c r="W321" i="20"/>
  <c r="W357" i="20"/>
  <c r="W369" i="20"/>
  <c r="G69" i="18"/>
  <c r="CA69" i="6" s="1"/>
  <c r="AA117" i="18"/>
  <c r="Z117" i="18" s="1"/>
  <c r="Y117" i="18" s="1"/>
  <c r="J272" i="17"/>
  <c r="I272" i="17"/>
  <c r="D291" i="20"/>
  <c r="E291" i="20" s="1"/>
  <c r="F291" i="20" s="1"/>
  <c r="J108" i="18"/>
  <c r="C108" i="6" s="1"/>
  <c r="I108" i="18"/>
  <c r="B108" i="6" s="1"/>
  <c r="BA108" i="6" s="1"/>
  <c r="D108" i="6" s="1"/>
  <c r="I213" i="18"/>
  <c r="B213" i="6" s="1"/>
  <c r="BA213" i="6" s="1"/>
  <c r="D213" i="6" s="1"/>
  <c r="J213" i="18"/>
  <c r="C213" i="6" s="1"/>
  <c r="I197" i="18"/>
  <c r="B197" i="6" s="1"/>
  <c r="BA197" i="6" s="1"/>
  <c r="D197" i="6" s="1"/>
  <c r="J197" i="18"/>
  <c r="C197" i="6" s="1"/>
  <c r="I111" i="18"/>
  <c r="B111" i="6" s="1"/>
  <c r="BA111" i="6" s="1"/>
  <c r="D111" i="6" s="1"/>
  <c r="J111" i="18"/>
  <c r="C111" i="6" s="1"/>
  <c r="V61" i="18"/>
  <c r="C65" i="19" s="1"/>
  <c r="V189" i="18"/>
  <c r="G65" i="19" s="1"/>
  <c r="I220" i="18"/>
  <c r="B220" i="6" s="1"/>
  <c r="BA220" i="6" s="1"/>
  <c r="D220" i="6" s="1"/>
  <c r="J220" i="18"/>
  <c r="C220" i="6" s="1"/>
  <c r="J177" i="18"/>
  <c r="C177" i="6" s="1"/>
  <c r="I177" i="18"/>
  <c r="B177" i="6" s="1"/>
  <c r="BA177" i="6" s="1"/>
  <c r="D177" i="6" s="1"/>
  <c r="I206" i="18"/>
  <c r="B206" i="6" s="1"/>
  <c r="BA206" i="6" s="1"/>
  <c r="D206" i="6" s="1"/>
  <c r="J206" i="18"/>
  <c r="C206" i="6" s="1"/>
  <c r="J92" i="18"/>
  <c r="C92" i="6" s="1"/>
  <c r="I92" i="18"/>
  <c r="B92" i="6" s="1"/>
  <c r="BA92" i="6" s="1"/>
  <c r="D92" i="6" s="1"/>
  <c r="J330" i="18"/>
  <c r="C330" i="6" s="1"/>
  <c r="I330" i="18"/>
  <c r="B330" i="6" s="1"/>
  <c r="BA330" i="6" s="1"/>
  <c r="D330" i="6" s="1"/>
  <c r="J42" i="18"/>
  <c r="C42" i="6" s="1"/>
  <c r="I42" i="18"/>
  <c r="B42" i="6" s="1"/>
  <c r="BA42" i="6" s="1"/>
  <c r="D42" i="6" s="1"/>
  <c r="V125" i="18"/>
  <c r="E65" i="19" s="1"/>
  <c r="J43" i="18"/>
  <c r="C43" i="6" s="1"/>
  <c r="I43" i="18"/>
  <c r="B43" i="6" s="1"/>
  <c r="BA43" i="6" s="1"/>
  <c r="D43" i="6" s="1"/>
  <c r="G301" i="18"/>
  <c r="CA301" i="6" s="1"/>
  <c r="H301" i="18"/>
  <c r="I363" i="17"/>
  <c r="J363" i="17"/>
  <c r="H77" i="18"/>
  <c r="G77" i="18"/>
  <c r="CA77" i="6" s="1"/>
  <c r="I334" i="17"/>
  <c r="H334" i="18" s="1"/>
  <c r="J334" i="17"/>
  <c r="J365" i="17"/>
  <c r="I365" i="17"/>
  <c r="H365" i="18" s="1"/>
  <c r="J365" i="18" s="1"/>
  <c r="C365" i="6" s="1"/>
  <c r="J261" i="17"/>
  <c r="I261" i="17"/>
  <c r="H261" i="18" s="1"/>
  <c r="I261" i="18" s="1"/>
  <c r="B261" i="6" s="1"/>
  <c r="BA261" i="6" s="1"/>
  <c r="D261" i="6" s="1"/>
  <c r="J210" i="17"/>
  <c r="I210" i="17"/>
  <c r="H210" i="18" s="1"/>
  <c r="J210" i="18" s="1"/>
  <c r="C210" i="6" s="1"/>
  <c r="I152" i="17"/>
  <c r="H152" i="18" s="1"/>
  <c r="J152" i="17"/>
  <c r="J152" i="18" s="1"/>
  <c r="C152" i="6" s="1"/>
  <c r="AA88" i="17"/>
  <c r="Z88" i="17" s="1"/>
  <c r="Y88" i="17" s="1"/>
  <c r="G88" i="17"/>
  <c r="BZ88" i="6" s="1"/>
  <c r="H88" i="17"/>
  <c r="R382" i="17"/>
  <c r="P15" i="17"/>
  <c r="R383" i="17"/>
  <c r="R381" i="17"/>
  <c r="AA77" i="18"/>
  <c r="Z77" i="18" s="1"/>
  <c r="Y77" i="18" s="1"/>
  <c r="J16" i="17"/>
  <c r="I16" i="17"/>
  <c r="H16" i="18" s="1"/>
  <c r="I16" i="18" s="1"/>
  <c r="B16" i="6" s="1"/>
  <c r="BA16" i="6" s="1"/>
  <c r="D16" i="6" s="1"/>
  <c r="J126" i="17"/>
  <c r="I126" i="17"/>
  <c r="H126" i="18" s="1"/>
  <c r="I126" i="18" s="1"/>
  <c r="B126" i="6" s="1"/>
  <c r="BA126" i="6" s="1"/>
  <c r="D126" i="6" s="1"/>
  <c r="J22" i="17"/>
  <c r="I22" i="17"/>
  <c r="H22" i="18" s="1"/>
  <c r="I22" i="18" s="1"/>
  <c r="B22" i="6" s="1"/>
  <c r="BA22" i="6" s="1"/>
  <c r="D22" i="6" s="1"/>
  <c r="B189" i="20"/>
  <c r="D189" i="20" s="1"/>
  <c r="E189" i="20" s="1"/>
  <c r="F189" i="20" s="1"/>
  <c r="G333" i="17"/>
  <c r="BZ333" i="6" s="1"/>
  <c r="H333" i="17"/>
  <c r="AA333" i="17"/>
  <c r="Z333" i="17" s="1"/>
  <c r="Y333" i="17" s="1"/>
  <c r="G149" i="17"/>
  <c r="BZ149" i="6" s="1"/>
  <c r="H149" i="17"/>
  <c r="AA149" i="17"/>
  <c r="I29" i="17"/>
  <c r="J29" i="17"/>
  <c r="G349" i="18"/>
  <c r="CA349" i="6" s="1"/>
  <c r="H349" i="18"/>
  <c r="AA349" i="18"/>
  <c r="Z349" i="18" s="1"/>
  <c r="Y349" i="18" s="1"/>
  <c r="H205" i="17"/>
  <c r="AA205" i="17"/>
  <c r="Z205" i="17" s="1"/>
  <c r="Y205" i="17" s="1"/>
  <c r="G205" i="17"/>
  <c r="BZ205" i="6" s="1"/>
  <c r="H119" i="17"/>
  <c r="AA119" i="17"/>
  <c r="Z119" i="17" s="1"/>
  <c r="Y119" i="17" s="1"/>
  <c r="G119" i="17"/>
  <c r="BZ119" i="6" s="1"/>
  <c r="I174" i="17"/>
  <c r="H174" i="18" s="1"/>
  <c r="I174" i="18" s="1"/>
  <c r="B174" i="6" s="1"/>
  <c r="BA174" i="6" s="1"/>
  <c r="D174" i="6" s="1"/>
  <c r="J174" i="17"/>
  <c r="I245" i="17"/>
  <c r="H245" i="18" s="1"/>
  <c r="J245" i="17"/>
  <c r="G285" i="18"/>
  <c r="CA285" i="6" s="1"/>
  <c r="H285" i="18"/>
  <c r="AF381" i="17"/>
  <c r="AD15" i="17"/>
  <c r="AF382" i="17"/>
  <c r="AF383" i="17"/>
  <c r="J291" i="17"/>
  <c r="I291" i="17"/>
  <c r="H291" i="18" s="1"/>
  <c r="I291" i="18" s="1"/>
  <c r="B291" i="6" s="1"/>
  <c r="BA291" i="6" s="1"/>
  <c r="D291" i="6" s="1"/>
  <c r="J227" i="17"/>
  <c r="I227" i="17"/>
  <c r="I176" i="17"/>
  <c r="H176" i="18" s="1"/>
  <c r="I176" i="18" s="1"/>
  <c r="B176" i="6" s="1"/>
  <c r="BA176" i="6" s="1"/>
  <c r="D176" i="6" s="1"/>
  <c r="J176" i="17"/>
  <c r="J56" i="17"/>
  <c r="I56" i="17"/>
  <c r="H56" i="18" s="1"/>
  <c r="I56" i="18" s="1"/>
  <c r="B56" i="6" s="1"/>
  <c r="BA56" i="6" s="1"/>
  <c r="D56" i="6" s="1"/>
  <c r="AA301" i="18"/>
  <c r="Z301" i="18" s="1"/>
  <c r="Y301" i="18" s="1"/>
  <c r="J267" i="17"/>
  <c r="I267" i="17"/>
  <c r="H267" i="18" s="1"/>
  <c r="J267" i="18" s="1"/>
  <c r="C267" i="6" s="1"/>
  <c r="I183" i="17"/>
  <c r="H183" i="18" s="1"/>
  <c r="I183" i="18" s="1"/>
  <c r="B183" i="6" s="1"/>
  <c r="BA183" i="6" s="1"/>
  <c r="J183" i="17"/>
  <c r="I155" i="17"/>
  <c r="H155" i="18" s="1"/>
  <c r="I155" i="18" s="1"/>
  <c r="B155" i="6" s="1"/>
  <c r="BA155" i="6" s="1"/>
  <c r="J155" i="17"/>
  <c r="F11" i="16"/>
  <c r="AB9" i="16"/>
  <c r="G13" i="19"/>
  <c r="J37" i="19" s="1"/>
  <c r="H380" i="20"/>
  <c r="B380" i="6"/>
  <c r="BA380" i="6" s="1"/>
  <c r="D380" i="6" s="1"/>
  <c r="I15" i="16"/>
  <c r="J15" i="16"/>
  <c r="BY15" i="6"/>
  <c r="G382" i="16"/>
  <c r="G383" i="16"/>
  <c r="G12" i="16" s="1"/>
  <c r="G381" i="16"/>
  <c r="AL9" i="16"/>
  <c r="AA382" i="16"/>
  <c r="AM8" i="16"/>
  <c r="AA9" i="16"/>
  <c r="AA381" i="16"/>
  <c r="Z15" i="16"/>
  <c r="AA383" i="16"/>
  <c r="W106" i="20"/>
  <c r="D19" i="20"/>
  <c r="E19" i="20" s="1"/>
  <c r="F19" i="20" s="1"/>
  <c r="G19" i="20" s="1"/>
  <c r="CB19" i="6" s="1"/>
  <c r="AI12" i="22"/>
  <c r="D100" i="20"/>
  <c r="E100" i="20" s="1"/>
  <c r="F100" i="20" s="1"/>
  <c r="G100" i="20" s="1"/>
  <c r="CB100" i="6" s="1"/>
  <c r="D308" i="20"/>
  <c r="E308" i="20" s="1"/>
  <c r="F308" i="20" s="1"/>
  <c r="G308" i="20" s="1"/>
  <c r="CB308" i="6" s="1"/>
  <c r="W316" i="20"/>
  <c r="D352" i="20"/>
  <c r="E352" i="20" s="1"/>
  <c r="F352" i="20" s="1"/>
  <c r="G352" i="20" s="1"/>
  <c r="CB352" i="6" s="1"/>
  <c r="D360" i="20"/>
  <c r="E360" i="20" s="1"/>
  <c r="F360" i="20" s="1"/>
  <c r="G360" i="20" s="1"/>
  <c r="CB360" i="6" s="1"/>
  <c r="D376" i="20"/>
  <c r="E376" i="20" s="1"/>
  <c r="F376" i="20" s="1"/>
  <c r="G376" i="20" s="1"/>
  <c r="CB376" i="6" s="1"/>
  <c r="AD243" i="20"/>
  <c r="AD259" i="20"/>
  <c r="AD275" i="20"/>
  <c r="AD291" i="20"/>
  <c r="AD307" i="20"/>
  <c r="AD323" i="20"/>
  <c r="AD371" i="20"/>
  <c r="AD361" i="20"/>
  <c r="AD329" i="20"/>
  <c r="AD153" i="20"/>
  <c r="U383" i="20"/>
  <c r="I85" i="18"/>
  <c r="B85" i="6" s="1"/>
  <c r="BA85" i="6" s="1"/>
  <c r="D85" i="6" s="1"/>
  <c r="D249" i="20"/>
  <c r="E249" i="20" s="1"/>
  <c r="F249" i="20" s="1"/>
  <c r="AA249" i="20" s="1"/>
  <c r="Z249" i="20" s="1"/>
  <c r="Y249" i="20" s="1"/>
  <c r="W49" i="20"/>
  <c r="W57" i="20"/>
  <c r="D117" i="20"/>
  <c r="E117" i="20" s="1"/>
  <c r="F117" i="20" s="1"/>
  <c r="G117" i="20" s="1"/>
  <c r="CB117" i="6" s="1"/>
  <c r="W181" i="20"/>
  <c r="W221" i="20"/>
  <c r="D36" i="20"/>
  <c r="E36" i="20" s="1"/>
  <c r="F36" i="20" s="1"/>
  <c r="G36" i="20" s="1"/>
  <c r="CB36" i="6" s="1"/>
  <c r="H101" i="18"/>
  <c r="I101" i="18" s="1"/>
  <c r="B101" i="6" s="1"/>
  <c r="BA101" i="6" s="1"/>
  <c r="D101" i="6" s="1"/>
  <c r="G101" i="18"/>
  <c r="CA101" i="6" s="1"/>
  <c r="W169" i="20"/>
  <c r="V60" i="20"/>
  <c r="B60" i="20" s="1"/>
  <c r="D60" i="20" s="1"/>
  <c r="E60" i="20" s="1"/>
  <c r="F60" i="20" s="1"/>
  <c r="D220" i="20"/>
  <c r="E220" i="20" s="1"/>
  <c r="F220" i="20" s="1"/>
  <c r="W269" i="20"/>
  <c r="AH22" i="7"/>
  <c r="W182" i="20"/>
  <c r="D214" i="20"/>
  <c r="E214" i="20" s="1"/>
  <c r="F214" i="20" s="1"/>
  <c r="G214" i="20" s="1"/>
  <c r="CB214" i="6" s="1"/>
  <c r="D254" i="20"/>
  <c r="E254" i="20" s="1"/>
  <c r="F254" i="20" s="1"/>
  <c r="G254" i="20" s="1"/>
  <c r="CB254" i="6" s="1"/>
  <c r="W262" i="20"/>
  <c r="W127" i="20"/>
  <c r="W143" i="20"/>
  <c r="W157" i="20"/>
  <c r="W165" i="20"/>
  <c r="W175" i="20"/>
  <c r="D191" i="20"/>
  <c r="E191" i="20" s="1"/>
  <c r="F191" i="20" s="1"/>
  <c r="G191" i="20" s="1"/>
  <c r="CB191" i="6" s="1"/>
  <c r="W213" i="20"/>
  <c r="D225" i="20"/>
  <c r="E225" i="20" s="1"/>
  <c r="F225" i="20" s="1"/>
  <c r="G225" i="20" s="1"/>
  <c r="CB225" i="6" s="1"/>
  <c r="W273" i="20"/>
  <c r="D289" i="20"/>
  <c r="E289" i="20" s="1"/>
  <c r="F289" i="20" s="1"/>
  <c r="G289" i="20" s="1"/>
  <c r="CB289" i="6" s="1"/>
  <c r="D24" i="20"/>
  <c r="E24" i="20" s="1"/>
  <c r="F24" i="20" s="1"/>
  <c r="G24" i="20" s="1"/>
  <c r="CB24" i="6" s="1"/>
  <c r="D68" i="20"/>
  <c r="E68" i="20" s="1"/>
  <c r="F68" i="20" s="1"/>
  <c r="AA68" i="20" s="1"/>
  <c r="Z68" i="20" s="1"/>
  <c r="Y68" i="20" s="1"/>
  <c r="D270" i="20"/>
  <c r="E270" i="20" s="1"/>
  <c r="F270" i="20" s="1"/>
  <c r="G270" i="20" s="1"/>
  <c r="CB270" i="6" s="1"/>
  <c r="W344" i="20"/>
  <c r="W348" i="20"/>
  <c r="D161" i="20"/>
  <c r="E161" i="20" s="1"/>
  <c r="F161" i="20" s="1"/>
  <c r="G161" i="20" s="1"/>
  <c r="CB161" i="6" s="1"/>
  <c r="W177" i="20"/>
  <c r="W239" i="20"/>
  <c r="D247" i="20"/>
  <c r="E247" i="20" s="1"/>
  <c r="F247" i="20" s="1"/>
  <c r="G247" i="20" s="1"/>
  <c r="CB247" i="6" s="1"/>
  <c r="D271" i="20"/>
  <c r="E271" i="20" s="1"/>
  <c r="F271" i="20" s="1"/>
  <c r="G271" i="20" s="1"/>
  <c r="CB271" i="6" s="1"/>
  <c r="W138" i="20"/>
  <c r="D145" i="20"/>
  <c r="E145" i="20" s="1"/>
  <c r="F145" i="20" s="1"/>
  <c r="G145" i="20" s="1"/>
  <c r="CB145" i="6" s="1"/>
  <c r="W234" i="20"/>
  <c r="D322" i="20"/>
  <c r="E322" i="20" s="1"/>
  <c r="F322" i="20" s="1"/>
  <c r="G322" i="20" s="1"/>
  <c r="CB322" i="6" s="1"/>
  <c r="D137" i="20"/>
  <c r="E137" i="20" s="1"/>
  <c r="F137" i="20" s="1"/>
  <c r="G137" i="20" s="1"/>
  <c r="CB137" i="6" s="1"/>
  <c r="W151" i="20"/>
  <c r="D223" i="20"/>
  <c r="E223" i="20" s="1"/>
  <c r="F223" i="20" s="1"/>
  <c r="G223" i="20" s="1"/>
  <c r="CB223" i="6" s="1"/>
  <c r="D231" i="20"/>
  <c r="E231" i="20" s="1"/>
  <c r="F231" i="20" s="1"/>
  <c r="G231" i="20" s="1"/>
  <c r="CB231" i="6" s="1"/>
  <c r="W255" i="20"/>
  <c r="W267" i="20"/>
  <c r="D295" i="20"/>
  <c r="E295" i="20" s="1"/>
  <c r="F295" i="20" s="1"/>
  <c r="G295" i="20" s="1"/>
  <c r="CB295" i="6" s="1"/>
  <c r="D72" i="20"/>
  <c r="E72" i="20" s="1"/>
  <c r="F72" i="20" s="1"/>
  <c r="AA72" i="20" s="1"/>
  <c r="Z72" i="20" s="1"/>
  <c r="Y72" i="20" s="1"/>
  <c r="D226" i="20"/>
  <c r="E226" i="20" s="1"/>
  <c r="F226" i="20" s="1"/>
  <c r="G226" i="20" s="1"/>
  <c r="CB226" i="6" s="1"/>
  <c r="W334" i="20"/>
  <c r="D350" i="20"/>
  <c r="E350" i="20" s="1"/>
  <c r="F350" i="20" s="1"/>
  <c r="G350" i="20" s="1"/>
  <c r="CB350" i="6" s="1"/>
  <c r="W370" i="20"/>
  <c r="D374" i="20"/>
  <c r="E374" i="20" s="1"/>
  <c r="F374" i="20" s="1"/>
  <c r="G374" i="20" s="1"/>
  <c r="CB374" i="6" s="1"/>
  <c r="I117" i="18"/>
  <c r="B117" i="6" s="1"/>
  <c r="BA117" i="6" s="1"/>
  <c r="D117" i="6" s="1"/>
  <c r="I36" i="19"/>
  <c r="H36" i="19"/>
  <c r="AD185" i="20"/>
  <c r="U381" i="20"/>
  <c r="AD363" i="20"/>
  <c r="AD217" i="20"/>
  <c r="AD121" i="20"/>
  <c r="D89" i="20"/>
  <c r="E89" i="20" s="1"/>
  <c r="F89" i="20" s="1"/>
  <c r="G89" i="20" s="1"/>
  <c r="CB89" i="6" s="1"/>
  <c r="D21" i="20"/>
  <c r="E21" i="20" s="1"/>
  <c r="F21" i="20" s="1"/>
  <c r="G21" i="20" s="1"/>
  <c r="CB21" i="6" s="1"/>
  <c r="D41" i="20"/>
  <c r="E41" i="20" s="1"/>
  <c r="F41" i="20" s="1"/>
  <c r="AA41" i="20" s="1"/>
  <c r="Z41" i="20" s="1"/>
  <c r="Y41" i="20" s="1"/>
  <c r="D45" i="20"/>
  <c r="E45" i="20" s="1"/>
  <c r="F45" i="20" s="1"/>
  <c r="G45" i="20" s="1"/>
  <c r="CB45" i="6" s="1"/>
  <c r="D77" i="20"/>
  <c r="E77" i="20" s="1"/>
  <c r="F77" i="20" s="1"/>
  <c r="AA77" i="20" s="1"/>
  <c r="Z77" i="20" s="1"/>
  <c r="Y77" i="20" s="1"/>
  <c r="D81" i="20"/>
  <c r="E81" i="20" s="1"/>
  <c r="F81" i="20" s="1"/>
  <c r="G81" i="20" s="1"/>
  <c r="CB81" i="6" s="1"/>
  <c r="W85" i="20"/>
  <c r="W93" i="20"/>
  <c r="G149" i="18"/>
  <c r="CA149" i="6" s="1"/>
  <c r="W38" i="20"/>
  <c r="W62" i="20"/>
  <c r="D110" i="20"/>
  <c r="E110" i="20" s="1"/>
  <c r="F110" i="20" s="1"/>
  <c r="G110" i="20" s="1"/>
  <c r="CB110" i="6" s="1"/>
  <c r="AA149" i="18"/>
  <c r="Z149" i="18" s="1"/>
  <c r="Y149" i="18" s="1"/>
  <c r="W30" i="20"/>
  <c r="D86" i="20"/>
  <c r="E86" i="20" s="1"/>
  <c r="F86" i="20" s="1"/>
  <c r="G86" i="20" s="1"/>
  <c r="CB86" i="6" s="1"/>
  <c r="D94" i="20"/>
  <c r="E94" i="20" s="1"/>
  <c r="F94" i="20" s="1"/>
  <c r="G94" i="20" s="1"/>
  <c r="CB94" i="6" s="1"/>
  <c r="D114" i="20"/>
  <c r="E114" i="20" s="1"/>
  <c r="F114" i="20" s="1"/>
  <c r="G114" i="20" s="1"/>
  <c r="CB114" i="6" s="1"/>
  <c r="W18" i="20"/>
  <c r="W27" i="20"/>
  <c r="W31" i="20"/>
  <c r="W47" i="20"/>
  <c r="W59" i="20"/>
  <c r="W71" i="20"/>
  <c r="D75" i="20"/>
  <c r="E75" i="20" s="1"/>
  <c r="F75" i="20" s="1"/>
  <c r="AA75" i="20" s="1"/>
  <c r="Z75" i="20" s="1"/>
  <c r="Y75" i="20" s="1"/>
  <c r="D87" i="20"/>
  <c r="E87" i="20" s="1"/>
  <c r="F87" i="20" s="1"/>
  <c r="G87" i="20" s="1"/>
  <c r="CB87" i="6" s="1"/>
  <c r="W91" i="20"/>
  <c r="W95" i="20"/>
  <c r="W20" i="20"/>
  <c r="D112" i="20"/>
  <c r="E112" i="20" s="1"/>
  <c r="F112" i="20" s="1"/>
  <c r="G112" i="20" s="1"/>
  <c r="CB112" i="6" s="1"/>
  <c r="D120" i="20"/>
  <c r="E120" i="20" s="1"/>
  <c r="F120" i="20" s="1"/>
  <c r="G120" i="20" s="1"/>
  <c r="CB120" i="6" s="1"/>
  <c r="W124" i="20"/>
  <c r="D128" i="20"/>
  <c r="E128" i="20" s="1"/>
  <c r="F128" i="20" s="1"/>
  <c r="G128" i="20" s="1"/>
  <c r="CB128" i="6" s="1"/>
  <c r="D140" i="20"/>
  <c r="E140" i="20" s="1"/>
  <c r="F140" i="20" s="1"/>
  <c r="H140" i="20" s="1"/>
  <c r="D156" i="20"/>
  <c r="E156" i="20" s="1"/>
  <c r="F156" i="20" s="1"/>
  <c r="G156" i="20" s="1"/>
  <c r="CB156" i="6" s="1"/>
  <c r="W160" i="20"/>
  <c r="D172" i="20"/>
  <c r="E172" i="20" s="1"/>
  <c r="F172" i="20" s="1"/>
  <c r="G172" i="20" s="1"/>
  <c r="CB172" i="6" s="1"/>
  <c r="V180" i="20"/>
  <c r="B180" i="20" s="1"/>
  <c r="W180" i="20" s="1"/>
  <c r="D208" i="20"/>
  <c r="E208" i="20" s="1"/>
  <c r="F208" i="20" s="1"/>
  <c r="G208" i="20" s="1"/>
  <c r="CB208" i="6" s="1"/>
  <c r="J65" i="18"/>
  <c r="C65" i="6" s="1"/>
  <c r="P90" i="20"/>
  <c r="V90" i="20" s="1"/>
  <c r="B90" i="20" s="1"/>
  <c r="D90" i="20" s="1"/>
  <c r="E90" i="20" s="1"/>
  <c r="F90" i="20" s="1"/>
  <c r="AI111" i="20"/>
  <c r="AH111" i="20" s="1"/>
  <c r="AG111" i="20" s="1"/>
  <c r="AF111" i="20" s="1"/>
  <c r="AD111" i="20" s="1"/>
  <c r="AI119" i="20"/>
  <c r="AH119" i="20" s="1"/>
  <c r="AG119" i="20" s="1"/>
  <c r="AF119" i="20" s="1"/>
  <c r="AD119" i="20" s="1"/>
  <c r="AI127" i="20"/>
  <c r="AH127" i="20" s="1"/>
  <c r="AG127" i="20" s="1"/>
  <c r="AF127" i="20" s="1"/>
  <c r="AD127" i="20" s="1"/>
  <c r="AA127" i="20" s="1"/>
  <c r="Z127" i="20" s="1"/>
  <c r="Y127" i="20" s="1"/>
  <c r="AI135" i="20"/>
  <c r="AH135" i="20" s="1"/>
  <c r="AG135" i="20" s="1"/>
  <c r="AF135" i="20" s="1"/>
  <c r="AD135" i="20" s="1"/>
  <c r="AI143" i="20"/>
  <c r="AH143" i="20" s="1"/>
  <c r="AG143" i="20" s="1"/>
  <c r="AF143" i="20" s="1"/>
  <c r="AD143" i="20" s="1"/>
  <c r="AA143" i="20" s="1"/>
  <c r="Z143" i="20" s="1"/>
  <c r="Y143" i="20" s="1"/>
  <c r="AI151" i="20"/>
  <c r="AH151" i="20" s="1"/>
  <c r="AG151" i="20" s="1"/>
  <c r="AF151" i="20" s="1"/>
  <c r="AD151" i="20" s="1"/>
  <c r="AA151" i="20" s="1"/>
  <c r="Z151" i="20" s="1"/>
  <c r="Y151" i="20" s="1"/>
  <c r="AI159" i="20"/>
  <c r="AH159" i="20" s="1"/>
  <c r="AG159" i="20" s="1"/>
  <c r="AF159" i="20" s="1"/>
  <c r="AD159" i="20" s="1"/>
  <c r="AI167" i="20"/>
  <c r="AH167" i="20" s="1"/>
  <c r="AG167" i="20" s="1"/>
  <c r="AF167" i="20" s="1"/>
  <c r="AD167" i="20" s="1"/>
  <c r="AI175" i="20"/>
  <c r="AH175" i="20" s="1"/>
  <c r="AG175" i="20" s="1"/>
  <c r="AF175" i="20" s="1"/>
  <c r="AD175" i="20" s="1"/>
  <c r="AA175" i="20" s="1"/>
  <c r="Z175" i="20" s="1"/>
  <c r="Y175" i="20" s="1"/>
  <c r="AI183" i="20"/>
  <c r="AH183" i="20" s="1"/>
  <c r="AG183" i="20" s="1"/>
  <c r="AF183" i="20" s="1"/>
  <c r="AD183" i="20" s="1"/>
  <c r="AI191" i="20"/>
  <c r="AH191" i="20" s="1"/>
  <c r="AG191" i="20" s="1"/>
  <c r="AF191" i="20" s="1"/>
  <c r="AD191" i="20" s="1"/>
  <c r="AI199" i="20"/>
  <c r="AH199" i="20" s="1"/>
  <c r="AG199" i="20" s="1"/>
  <c r="AF199" i="20" s="1"/>
  <c r="AD199" i="20" s="1"/>
  <c r="AI207" i="20"/>
  <c r="AH207" i="20" s="1"/>
  <c r="AG207" i="20" s="1"/>
  <c r="AF207" i="20" s="1"/>
  <c r="AD207" i="20" s="1"/>
  <c r="AI215" i="20"/>
  <c r="AH215" i="20" s="1"/>
  <c r="AG215" i="20" s="1"/>
  <c r="AF215" i="20" s="1"/>
  <c r="AD215" i="20" s="1"/>
  <c r="AI223" i="20"/>
  <c r="AH223" i="20" s="1"/>
  <c r="AG223" i="20" s="1"/>
  <c r="AF223" i="20" s="1"/>
  <c r="AD223" i="20" s="1"/>
  <c r="AI231" i="20"/>
  <c r="AH231" i="20" s="1"/>
  <c r="AG231" i="20" s="1"/>
  <c r="AF231" i="20" s="1"/>
  <c r="AD231" i="20" s="1"/>
  <c r="AI239" i="20"/>
  <c r="AH239" i="20" s="1"/>
  <c r="AG239" i="20" s="1"/>
  <c r="AF239" i="20" s="1"/>
  <c r="AD239" i="20" s="1"/>
  <c r="AA239" i="20" s="1"/>
  <c r="Z239" i="20" s="1"/>
  <c r="Y239" i="20" s="1"/>
  <c r="AI247" i="20"/>
  <c r="AH247" i="20" s="1"/>
  <c r="AG247" i="20" s="1"/>
  <c r="AF247" i="20" s="1"/>
  <c r="AD247" i="20" s="1"/>
  <c r="AI255" i="20"/>
  <c r="AH255" i="20" s="1"/>
  <c r="AG255" i="20" s="1"/>
  <c r="AF255" i="20" s="1"/>
  <c r="AD255" i="20" s="1"/>
  <c r="AA255" i="20" s="1"/>
  <c r="Z255" i="20" s="1"/>
  <c r="Y255" i="20" s="1"/>
  <c r="AI263" i="20"/>
  <c r="AH263" i="20" s="1"/>
  <c r="AG263" i="20" s="1"/>
  <c r="AF263" i="20" s="1"/>
  <c r="AD263" i="20" s="1"/>
  <c r="AI271" i="20"/>
  <c r="AH271" i="20" s="1"/>
  <c r="AG271" i="20" s="1"/>
  <c r="AF271" i="20" s="1"/>
  <c r="AD271" i="20" s="1"/>
  <c r="AI279" i="20"/>
  <c r="AH279" i="20" s="1"/>
  <c r="AG279" i="20" s="1"/>
  <c r="AF279" i="20" s="1"/>
  <c r="AD279" i="20" s="1"/>
  <c r="AI287" i="20"/>
  <c r="AH287" i="20" s="1"/>
  <c r="AG287" i="20" s="1"/>
  <c r="AF287" i="20" s="1"/>
  <c r="AD287" i="20" s="1"/>
  <c r="AI295" i="20"/>
  <c r="AH295" i="20" s="1"/>
  <c r="AG295" i="20" s="1"/>
  <c r="AF295" i="20" s="1"/>
  <c r="AD295" i="20" s="1"/>
  <c r="AI303" i="20"/>
  <c r="AH303" i="20" s="1"/>
  <c r="AG303" i="20" s="1"/>
  <c r="AF303" i="20" s="1"/>
  <c r="AD303" i="20" s="1"/>
  <c r="AI311" i="20"/>
  <c r="AH311" i="20" s="1"/>
  <c r="AG311" i="20" s="1"/>
  <c r="AF311" i="20" s="1"/>
  <c r="AD311" i="20" s="1"/>
  <c r="AI319" i="20"/>
  <c r="AH319" i="20" s="1"/>
  <c r="AG319" i="20" s="1"/>
  <c r="AF319" i="20" s="1"/>
  <c r="AD319" i="20" s="1"/>
  <c r="AI327" i="20"/>
  <c r="AH327" i="20" s="1"/>
  <c r="AG327" i="20" s="1"/>
  <c r="AF327" i="20" s="1"/>
  <c r="AD327" i="20" s="1"/>
  <c r="AA327" i="20" s="1"/>
  <c r="Z327" i="20" s="1"/>
  <c r="Y327" i="20" s="1"/>
  <c r="AI335" i="20"/>
  <c r="AH335" i="20" s="1"/>
  <c r="AG335" i="20" s="1"/>
  <c r="AF335" i="20" s="1"/>
  <c r="AD335" i="20" s="1"/>
  <c r="AA335" i="20" s="1"/>
  <c r="Z335" i="20" s="1"/>
  <c r="Y335" i="20" s="1"/>
  <c r="AI343" i="20"/>
  <c r="AH343" i="20" s="1"/>
  <c r="AG343" i="20" s="1"/>
  <c r="AF343" i="20" s="1"/>
  <c r="AD343" i="20" s="1"/>
  <c r="AI351" i="20"/>
  <c r="AH351" i="20" s="1"/>
  <c r="AG351" i="20" s="1"/>
  <c r="AF351" i="20" s="1"/>
  <c r="AD351" i="20" s="1"/>
  <c r="AI359" i="20"/>
  <c r="AH359" i="20" s="1"/>
  <c r="AG359" i="20" s="1"/>
  <c r="AF359" i="20" s="1"/>
  <c r="AD359" i="20" s="1"/>
  <c r="AI367" i="20"/>
  <c r="AH367" i="20" s="1"/>
  <c r="AG367" i="20" s="1"/>
  <c r="AF367" i="20" s="1"/>
  <c r="AD367" i="20" s="1"/>
  <c r="AA367" i="20" s="1"/>
  <c r="Z367" i="20" s="1"/>
  <c r="Y367" i="20" s="1"/>
  <c r="AI375" i="20"/>
  <c r="AH375" i="20" s="1"/>
  <c r="AG375" i="20" s="1"/>
  <c r="AF375" i="20" s="1"/>
  <c r="AD375" i="20" s="1"/>
  <c r="AI369" i="20"/>
  <c r="AH369" i="20" s="1"/>
  <c r="AG369" i="20" s="1"/>
  <c r="AF369" i="20" s="1"/>
  <c r="AD369" i="20" s="1"/>
  <c r="AA369" i="20" s="1"/>
  <c r="Z369" i="20" s="1"/>
  <c r="Y369" i="20" s="1"/>
  <c r="AI353" i="20"/>
  <c r="AH353" i="20" s="1"/>
  <c r="AG353" i="20" s="1"/>
  <c r="AF353" i="20" s="1"/>
  <c r="AD353" i="20" s="1"/>
  <c r="AI337" i="20"/>
  <c r="AH337" i="20" s="1"/>
  <c r="AG337" i="20" s="1"/>
  <c r="AF337" i="20" s="1"/>
  <c r="AD337" i="20" s="1"/>
  <c r="AI321" i="20"/>
  <c r="AH321" i="20" s="1"/>
  <c r="AG321" i="20" s="1"/>
  <c r="AF321" i="20" s="1"/>
  <c r="AD321" i="20" s="1"/>
  <c r="AA321" i="20" s="1"/>
  <c r="Z321" i="20" s="1"/>
  <c r="Y321" i="20" s="1"/>
  <c r="AI305" i="20"/>
  <c r="AH305" i="20" s="1"/>
  <c r="AG305" i="20" s="1"/>
  <c r="AF305" i="20" s="1"/>
  <c r="AD305" i="20" s="1"/>
  <c r="AI289" i="20"/>
  <c r="AH289" i="20" s="1"/>
  <c r="AG289" i="20" s="1"/>
  <c r="AF289" i="20" s="1"/>
  <c r="AD289" i="20" s="1"/>
  <c r="AI273" i="20"/>
  <c r="AH273" i="20" s="1"/>
  <c r="AG273" i="20" s="1"/>
  <c r="AF273" i="20" s="1"/>
  <c r="AD273" i="20" s="1"/>
  <c r="AA273" i="20" s="1"/>
  <c r="Z273" i="20" s="1"/>
  <c r="Y273" i="20" s="1"/>
  <c r="AI257" i="20"/>
  <c r="AH257" i="20" s="1"/>
  <c r="AG257" i="20" s="1"/>
  <c r="AF257" i="20" s="1"/>
  <c r="AD257" i="20" s="1"/>
  <c r="AI241" i="20"/>
  <c r="AH241" i="20" s="1"/>
  <c r="AG241" i="20" s="1"/>
  <c r="AF241" i="20" s="1"/>
  <c r="AD241" i="20" s="1"/>
  <c r="AI225" i="20"/>
  <c r="AH225" i="20" s="1"/>
  <c r="AG225" i="20" s="1"/>
  <c r="AF225" i="20" s="1"/>
  <c r="AD225" i="20" s="1"/>
  <c r="AI209" i="20"/>
  <c r="AH209" i="20" s="1"/>
  <c r="AG209" i="20" s="1"/>
  <c r="AF209" i="20" s="1"/>
  <c r="AD209" i="20" s="1"/>
  <c r="AI193" i="20"/>
  <c r="AH193" i="20" s="1"/>
  <c r="AG193" i="20" s="1"/>
  <c r="AF193" i="20" s="1"/>
  <c r="AD193" i="20" s="1"/>
  <c r="AI177" i="20"/>
  <c r="AH177" i="20" s="1"/>
  <c r="AG177" i="20" s="1"/>
  <c r="AF177" i="20" s="1"/>
  <c r="AD177" i="20" s="1"/>
  <c r="AA177" i="20" s="1"/>
  <c r="Z177" i="20" s="1"/>
  <c r="Y177" i="20" s="1"/>
  <c r="AI161" i="20"/>
  <c r="AH161" i="20" s="1"/>
  <c r="AG161" i="20" s="1"/>
  <c r="AF161" i="20" s="1"/>
  <c r="AD161" i="20" s="1"/>
  <c r="AI145" i="20"/>
  <c r="AH145" i="20" s="1"/>
  <c r="AG145" i="20" s="1"/>
  <c r="AF145" i="20" s="1"/>
  <c r="AD145" i="20" s="1"/>
  <c r="AI129" i="20"/>
  <c r="AH129" i="20" s="1"/>
  <c r="AG129" i="20" s="1"/>
  <c r="AF129" i="20" s="1"/>
  <c r="AD129" i="20" s="1"/>
  <c r="I209" i="18"/>
  <c r="B209" i="6" s="1"/>
  <c r="BA209" i="6" s="1"/>
  <c r="D209" i="6" s="1"/>
  <c r="J217" i="18"/>
  <c r="C217" i="6" s="1"/>
  <c r="J201" i="18"/>
  <c r="C201" i="6" s="1"/>
  <c r="I283" i="18"/>
  <c r="B283" i="6" s="1"/>
  <c r="BA283" i="6" s="1"/>
  <c r="D283" i="6" s="1"/>
  <c r="AI365" i="20"/>
  <c r="AH365" i="20" s="1"/>
  <c r="AG365" i="20" s="1"/>
  <c r="AF365" i="20" s="1"/>
  <c r="AD365" i="20" s="1"/>
  <c r="AA365" i="20" s="1"/>
  <c r="Z365" i="20" s="1"/>
  <c r="Y365" i="20" s="1"/>
  <c r="AI349" i="20"/>
  <c r="AH349" i="20" s="1"/>
  <c r="AG349" i="20" s="1"/>
  <c r="AF349" i="20" s="1"/>
  <c r="AD349" i="20" s="1"/>
  <c r="AI333" i="20"/>
  <c r="AH333" i="20" s="1"/>
  <c r="AG333" i="20" s="1"/>
  <c r="AF333" i="20" s="1"/>
  <c r="AD333" i="20" s="1"/>
  <c r="AI317" i="20"/>
  <c r="AH317" i="20" s="1"/>
  <c r="AG317" i="20" s="1"/>
  <c r="AF317" i="20" s="1"/>
  <c r="AD317" i="20" s="1"/>
  <c r="AI301" i="20"/>
  <c r="AH301" i="20" s="1"/>
  <c r="AG301" i="20" s="1"/>
  <c r="AF301" i="20" s="1"/>
  <c r="AD301" i="20" s="1"/>
  <c r="AI285" i="20"/>
  <c r="AH285" i="20" s="1"/>
  <c r="AG285" i="20" s="1"/>
  <c r="AF285" i="20" s="1"/>
  <c r="AD285" i="20" s="1"/>
  <c r="AI269" i="20"/>
  <c r="AH269" i="20" s="1"/>
  <c r="AG269" i="20" s="1"/>
  <c r="AF269" i="20" s="1"/>
  <c r="AD269" i="20" s="1"/>
  <c r="AA269" i="20" s="1"/>
  <c r="Z269" i="20" s="1"/>
  <c r="Y269" i="20" s="1"/>
  <c r="AI253" i="20"/>
  <c r="AH253" i="20" s="1"/>
  <c r="AG253" i="20" s="1"/>
  <c r="AF253" i="20" s="1"/>
  <c r="AD253" i="20" s="1"/>
  <c r="AI237" i="20"/>
  <c r="AH237" i="20" s="1"/>
  <c r="AG237" i="20" s="1"/>
  <c r="AF237" i="20" s="1"/>
  <c r="AD237" i="20" s="1"/>
  <c r="AI221" i="20"/>
  <c r="AH221" i="20" s="1"/>
  <c r="AG221" i="20" s="1"/>
  <c r="AF221" i="20" s="1"/>
  <c r="AD221" i="20" s="1"/>
  <c r="AA221" i="20" s="1"/>
  <c r="Z221" i="20" s="1"/>
  <c r="Y221" i="20" s="1"/>
  <c r="AI205" i="20"/>
  <c r="AH205" i="20" s="1"/>
  <c r="AG205" i="20" s="1"/>
  <c r="AF205" i="20" s="1"/>
  <c r="AD205" i="20" s="1"/>
  <c r="AI189" i="20"/>
  <c r="AH189" i="20" s="1"/>
  <c r="AG189" i="20" s="1"/>
  <c r="AF189" i="20" s="1"/>
  <c r="AD189" i="20" s="1"/>
  <c r="AI173" i="20"/>
  <c r="AH173" i="20" s="1"/>
  <c r="AG173" i="20" s="1"/>
  <c r="AF173" i="20" s="1"/>
  <c r="AD173" i="20" s="1"/>
  <c r="AI157" i="20"/>
  <c r="AH157" i="20" s="1"/>
  <c r="AG157" i="20" s="1"/>
  <c r="AF157" i="20" s="1"/>
  <c r="AD157" i="20" s="1"/>
  <c r="AA157" i="20" s="1"/>
  <c r="Z157" i="20" s="1"/>
  <c r="Y157" i="20" s="1"/>
  <c r="AI141" i="20"/>
  <c r="AH141" i="20" s="1"/>
  <c r="AG141" i="20" s="1"/>
  <c r="AF141" i="20" s="1"/>
  <c r="AD141" i="20" s="1"/>
  <c r="AI125" i="20"/>
  <c r="AH125" i="20" s="1"/>
  <c r="AG125" i="20" s="1"/>
  <c r="AF125" i="20" s="1"/>
  <c r="AD125" i="20" s="1"/>
  <c r="AI109" i="20"/>
  <c r="AH109" i="20" s="1"/>
  <c r="AG109" i="20" s="1"/>
  <c r="AF109" i="20" s="1"/>
  <c r="AD109" i="20" s="1"/>
  <c r="AI373" i="20"/>
  <c r="AH373" i="20" s="1"/>
  <c r="AG373" i="20" s="1"/>
  <c r="AF373" i="20" s="1"/>
  <c r="AD373" i="20" s="1"/>
  <c r="AA373" i="20" s="1"/>
  <c r="Z373" i="20" s="1"/>
  <c r="Y373" i="20" s="1"/>
  <c r="AI357" i="20"/>
  <c r="AH357" i="20" s="1"/>
  <c r="AG357" i="20" s="1"/>
  <c r="AF357" i="20" s="1"/>
  <c r="AD357" i="20" s="1"/>
  <c r="AA357" i="20" s="1"/>
  <c r="Z357" i="20" s="1"/>
  <c r="Y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A325" i="20" s="1"/>
  <c r="Z325" i="20" s="1"/>
  <c r="Y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I213" i="20"/>
  <c r="AH213" i="20" s="1"/>
  <c r="AG213" i="20" s="1"/>
  <c r="AF213" i="20" s="1"/>
  <c r="AD213" i="20" s="1"/>
  <c r="AA213" i="20" s="1"/>
  <c r="Z213" i="20" s="1"/>
  <c r="Y213" i="20" s="1"/>
  <c r="AI197" i="20"/>
  <c r="AH197" i="20" s="1"/>
  <c r="AG197" i="20" s="1"/>
  <c r="AF197" i="20" s="1"/>
  <c r="AD197" i="20" s="1"/>
  <c r="AI181" i="20"/>
  <c r="AH181" i="20" s="1"/>
  <c r="AG181" i="20" s="1"/>
  <c r="AF181" i="20" s="1"/>
  <c r="AD181" i="20" s="1"/>
  <c r="AA181" i="20" s="1"/>
  <c r="Z181" i="20" s="1"/>
  <c r="Y181" i="20" s="1"/>
  <c r="AI165" i="20"/>
  <c r="AH165" i="20" s="1"/>
  <c r="AG165" i="20" s="1"/>
  <c r="AF165" i="20" s="1"/>
  <c r="AD165" i="20" s="1"/>
  <c r="AA165" i="20" s="1"/>
  <c r="Z165" i="20" s="1"/>
  <c r="Y165" i="20" s="1"/>
  <c r="AI149" i="20"/>
  <c r="AH149" i="20" s="1"/>
  <c r="AG149" i="20" s="1"/>
  <c r="AF149" i="20" s="1"/>
  <c r="AD149" i="20" s="1"/>
  <c r="AI133" i="20"/>
  <c r="AH133" i="20" s="1"/>
  <c r="AG133" i="20" s="1"/>
  <c r="AF133" i="20" s="1"/>
  <c r="AD133" i="20" s="1"/>
  <c r="AI117" i="20"/>
  <c r="AH117" i="20" s="1"/>
  <c r="AG117" i="20" s="1"/>
  <c r="AF117" i="20" s="1"/>
  <c r="AD117" i="20" s="1"/>
  <c r="AI378" i="20"/>
  <c r="AH378" i="20" s="1"/>
  <c r="AG378" i="20" s="1"/>
  <c r="AF378" i="20" s="1"/>
  <c r="AD378" i="20" s="1"/>
  <c r="AI374" i="20"/>
  <c r="AH374" i="20" s="1"/>
  <c r="AG374" i="20" s="1"/>
  <c r="AF374" i="20" s="1"/>
  <c r="AD374" i="20" s="1"/>
  <c r="AI370" i="20"/>
  <c r="AH370" i="20" s="1"/>
  <c r="AG370" i="20" s="1"/>
  <c r="AF370" i="20" s="1"/>
  <c r="AD370" i="20" s="1"/>
  <c r="AA370" i="20" s="1"/>
  <c r="Z370" i="20" s="1"/>
  <c r="Y370" i="20" s="1"/>
  <c r="AI366" i="20"/>
  <c r="AH366" i="20" s="1"/>
  <c r="AG366" i="20" s="1"/>
  <c r="AF366" i="20" s="1"/>
  <c r="AD366" i="20" s="1"/>
  <c r="AI362" i="20"/>
  <c r="AH362" i="20" s="1"/>
  <c r="AG362" i="20" s="1"/>
  <c r="AF362" i="20" s="1"/>
  <c r="AD362" i="20" s="1"/>
  <c r="AI358" i="20"/>
  <c r="AH358" i="20" s="1"/>
  <c r="AG358" i="20" s="1"/>
  <c r="AF358" i="20" s="1"/>
  <c r="AD358" i="20" s="1"/>
  <c r="AI354" i="20"/>
  <c r="AH354" i="20" s="1"/>
  <c r="AG354" i="20" s="1"/>
  <c r="AF354" i="20" s="1"/>
  <c r="AD354" i="20" s="1"/>
  <c r="AI350" i="20"/>
  <c r="AH350" i="20" s="1"/>
  <c r="AG350" i="20" s="1"/>
  <c r="AF350" i="20" s="1"/>
  <c r="AD350" i="20" s="1"/>
  <c r="AI346" i="20"/>
  <c r="AH346" i="20" s="1"/>
  <c r="AG346" i="20" s="1"/>
  <c r="AF346" i="20" s="1"/>
  <c r="AD346" i="20" s="1"/>
  <c r="AI342" i="20"/>
  <c r="AH342" i="20" s="1"/>
  <c r="AG342" i="20" s="1"/>
  <c r="AF342" i="20" s="1"/>
  <c r="AD342" i="20" s="1"/>
  <c r="AI338" i="20"/>
  <c r="AH338" i="20" s="1"/>
  <c r="AG338" i="20" s="1"/>
  <c r="AF338" i="20" s="1"/>
  <c r="AD338" i="20" s="1"/>
  <c r="AI334" i="20"/>
  <c r="AH334" i="20" s="1"/>
  <c r="AG334" i="20" s="1"/>
  <c r="AF334" i="20" s="1"/>
  <c r="AD334" i="20" s="1"/>
  <c r="AA334" i="20" s="1"/>
  <c r="Z334" i="20" s="1"/>
  <c r="Y334" i="20" s="1"/>
  <c r="AI330" i="20"/>
  <c r="AH330" i="20" s="1"/>
  <c r="AG330" i="20" s="1"/>
  <c r="AF330" i="20" s="1"/>
  <c r="AD330" i="20" s="1"/>
  <c r="AI326" i="20"/>
  <c r="AH326" i="20" s="1"/>
  <c r="AG326" i="20" s="1"/>
  <c r="AF326" i="20" s="1"/>
  <c r="AD326" i="20" s="1"/>
  <c r="AI322" i="20"/>
  <c r="AH322" i="20" s="1"/>
  <c r="AG322" i="20" s="1"/>
  <c r="AF322" i="20" s="1"/>
  <c r="AD322" i="20" s="1"/>
  <c r="AI318" i="20"/>
  <c r="AH318" i="20" s="1"/>
  <c r="AG318" i="20" s="1"/>
  <c r="AF318" i="20" s="1"/>
  <c r="AD318" i="20" s="1"/>
  <c r="AI314" i="20"/>
  <c r="AH314" i="20" s="1"/>
  <c r="AG314" i="20" s="1"/>
  <c r="AF314" i="20" s="1"/>
  <c r="AD314" i="20" s="1"/>
  <c r="AI310" i="20"/>
  <c r="AH310" i="20" s="1"/>
  <c r="AG310" i="20" s="1"/>
  <c r="AF310" i="20" s="1"/>
  <c r="AD310" i="20" s="1"/>
  <c r="AI306" i="20"/>
  <c r="AH306" i="20" s="1"/>
  <c r="AG306" i="20" s="1"/>
  <c r="AF306" i="20" s="1"/>
  <c r="AD306" i="20" s="1"/>
  <c r="AI302" i="20"/>
  <c r="AH302" i="20" s="1"/>
  <c r="AG302" i="20" s="1"/>
  <c r="AF302" i="20" s="1"/>
  <c r="AD302" i="20" s="1"/>
  <c r="AI298" i="20"/>
  <c r="AH298" i="20" s="1"/>
  <c r="AG298" i="20" s="1"/>
  <c r="AF298" i="20" s="1"/>
  <c r="AD298" i="20" s="1"/>
  <c r="AI294" i="20"/>
  <c r="AH294" i="20" s="1"/>
  <c r="AG294" i="20" s="1"/>
  <c r="AF294" i="20" s="1"/>
  <c r="AD294" i="20" s="1"/>
  <c r="AI290" i="20"/>
  <c r="AH290" i="20" s="1"/>
  <c r="AG290" i="20" s="1"/>
  <c r="AF290" i="20" s="1"/>
  <c r="AD290" i="20" s="1"/>
  <c r="AI286" i="20"/>
  <c r="AH286" i="20" s="1"/>
  <c r="AG286" i="20" s="1"/>
  <c r="AF286" i="20" s="1"/>
  <c r="AD286" i="20" s="1"/>
  <c r="AI282" i="20"/>
  <c r="AH282" i="20" s="1"/>
  <c r="AG282" i="20" s="1"/>
  <c r="AF282" i="20" s="1"/>
  <c r="AD282" i="20" s="1"/>
  <c r="AI278" i="20"/>
  <c r="AH278" i="20" s="1"/>
  <c r="AG278" i="20" s="1"/>
  <c r="AF278" i="20" s="1"/>
  <c r="AD278" i="20" s="1"/>
  <c r="AI274" i="20"/>
  <c r="AH274" i="20" s="1"/>
  <c r="AG274" i="20" s="1"/>
  <c r="AF274" i="20" s="1"/>
  <c r="AD274" i="20" s="1"/>
  <c r="AI270" i="20"/>
  <c r="AH270" i="20" s="1"/>
  <c r="AG270" i="20" s="1"/>
  <c r="AF270" i="20" s="1"/>
  <c r="AD270" i="20" s="1"/>
  <c r="AI266" i="20"/>
  <c r="AH266" i="20" s="1"/>
  <c r="AG266" i="20" s="1"/>
  <c r="AF266" i="20" s="1"/>
  <c r="AD266" i="20" s="1"/>
  <c r="AI262" i="20"/>
  <c r="AH262" i="20" s="1"/>
  <c r="AG262" i="20" s="1"/>
  <c r="AF262" i="20" s="1"/>
  <c r="AD262" i="20" s="1"/>
  <c r="AA262" i="20" s="1"/>
  <c r="Z262" i="20" s="1"/>
  <c r="Y262" i="20" s="1"/>
  <c r="AI258" i="20"/>
  <c r="AH258" i="20" s="1"/>
  <c r="AG258" i="20" s="1"/>
  <c r="AF258" i="20" s="1"/>
  <c r="AD258" i="20" s="1"/>
  <c r="AI254" i="20"/>
  <c r="AH254" i="20" s="1"/>
  <c r="AG254" i="20" s="1"/>
  <c r="AF254" i="20" s="1"/>
  <c r="AD254" i="20" s="1"/>
  <c r="AI250" i="20"/>
  <c r="AH250" i="20" s="1"/>
  <c r="AG250" i="20" s="1"/>
  <c r="AF250" i="20" s="1"/>
  <c r="AD250" i="20" s="1"/>
  <c r="AI246" i="20"/>
  <c r="AH246" i="20" s="1"/>
  <c r="AG246" i="20" s="1"/>
  <c r="AF246" i="20" s="1"/>
  <c r="AD246" i="20" s="1"/>
  <c r="AI242" i="20"/>
  <c r="AH242" i="20" s="1"/>
  <c r="AG242" i="20" s="1"/>
  <c r="AF242" i="20" s="1"/>
  <c r="AD242" i="20" s="1"/>
  <c r="AI238" i="20"/>
  <c r="AH238" i="20" s="1"/>
  <c r="AG238" i="20" s="1"/>
  <c r="AF238" i="20" s="1"/>
  <c r="AD238" i="20" s="1"/>
  <c r="AI234" i="20"/>
  <c r="AH234" i="20" s="1"/>
  <c r="AG234" i="20" s="1"/>
  <c r="AF234" i="20" s="1"/>
  <c r="AD234" i="20" s="1"/>
  <c r="AA234" i="20" s="1"/>
  <c r="Z234" i="20" s="1"/>
  <c r="Y234" i="20" s="1"/>
  <c r="AI230" i="20"/>
  <c r="AH230" i="20" s="1"/>
  <c r="AG230" i="20" s="1"/>
  <c r="AF230" i="20" s="1"/>
  <c r="AD230" i="20" s="1"/>
  <c r="AI226" i="20"/>
  <c r="AH226" i="20" s="1"/>
  <c r="AG226" i="20" s="1"/>
  <c r="AF226" i="20" s="1"/>
  <c r="AD226" i="20" s="1"/>
  <c r="AI222" i="20"/>
  <c r="AH222" i="20" s="1"/>
  <c r="AG222" i="20" s="1"/>
  <c r="AF222" i="20" s="1"/>
  <c r="AD222" i="20" s="1"/>
  <c r="AI218" i="20"/>
  <c r="AH218" i="20" s="1"/>
  <c r="AG218" i="20" s="1"/>
  <c r="AF218" i="20" s="1"/>
  <c r="AD218" i="20" s="1"/>
  <c r="AI214" i="20"/>
  <c r="AH214" i="20" s="1"/>
  <c r="AG214" i="20" s="1"/>
  <c r="AF214" i="20" s="1"/>
  <c r="AD214" i="20" s="1"/>
  <c r="AI210" i="20"/>
  <c r="AH210" i="20" s="1"/>
  <c r="AG210" i="20" s="1"/>
  <c r="AF210" i="20" s="1"/>
  <c r="AD210" i="20" s="1"/>
  <c r="AI206" i="20"/>
  <c r="AH206" i="20" s="1"/>
  <c r="AG206" i="20" s="1"/>
  <c r="AF206" i="20" s="1"/>
  <c r="AD206" i="20" s="1"/>
  <c r="AI202" i="20"/>
  <c r="AH202" i="20" s="1"/>
  <c r="AG202" i="20" s="1"/>
  <c r="AF202" i="20" s="1"/>
  <c r="AD202" i="20" s="1"/>
  <c r="AI198" i="20"/>
  <c r="AH198" i="20" s="1"/>
  <c r="AG198" i="20" s="1"/>
  <c r="AF198" i="20" s="1"/>
  <c r="AD198" i="20" s="1"/>
  <c r="AI194" i="20"/>
  <c r="AH194" i="20" s="1"/>
  <c r="AG194" i="20" s="1"/>
  <c r="AF194" i="20" s="1"/>
  <c r="AD194" i="20" s="1"/>
  <c r="AI190" i="20"/>
  <c r="AH190" i="20" s="1"/>
  <c r="AG190" i="20" s="1"/>
  <c r="AF190" i="20" s="1"/>
  <c r="AD190" i="20" s="1"/>
  <c r="AI186" i="20"/>
  <c r="AH186" i="20" s="1"/>
  <c r="AG186" i="20" s="1"/>
  <c r="AF186" i="20" s="1"/>
  <c r="AD186" i="20" s="1"/>
  <c r="AI182" i="20"/>
  <c r="AH182" i="20" s="1"/>
  <c r="AG182" i="20" s="1"/>
  <c r="AF182" i="20" s="1"/>
  <c r="AD182" i="20" s="1"/>
  <c r="AA182" i="20" s="1"/>
  <c r="Z182" i="20" s="1"/>
  <c r="Y182" i="20" s="1"/>
  <c r="AI178" i="20"/>
  <c r="AH178" i="20" s="1"/>
  <c r="AG178" i="20" s="1"/>
  <c r="AF178" i="20" s="1"/>
  <c r="AD178" i="20" s="1"/>
  <c r="AI174" i="20"/>
  <c r="AH174" i="20" s="1"/>
  <c r="AG174" i="20" s="1"/>
  <c r="AF174" i="20" s="1"/>
  <c r="AD174" i="20" s="1"/>
  <c r="AI170" i="20"/>
  <c r="AH170" i="20" s="1"/>
  <c r="AG170" i="20" s="1"/>
  <c r="AF170" i="20" s="1"/>
  <c r="AD170" i="20" s="1"/>
  <c r="AI166" i="20"/>
  <c r="AH166" i="20" s="1"/>
  <c r="AG166" i="20" s="1"/>
  <c r="AF166" i="20" s="1"/>
  <c r="AD166" i="20" s="1"/>
  <c r="AI162" i="20"/>
  <c r="AH162" i="20" s="1"/>
  <c r="AG162" i="20" s="1"/>
  <c r="AF162" i="20" s="1"/>
  <c r="AD162" i="20" s="1"/>
  <c r="AI158" i="20"/>
  <c r="AH158" i="20" s="1"/>
  <c r="AG158" i="20" s="1"/>
  <c r="AF158" i="20" s="1"/>
  <c r="AD158" i="20" s="1"/>
  <c r="AI154" i="20"/>
  <c r="AH154" i="20" s="1"/>
  <c r="AG154" i="20" s="1"/>
  <c r="AF154" i="20" s="1"/>
  <c r="AD154" i="20" s="1"/>
  <c r="AI150" i="20"/>
  <c r="AH150" i="20" s="1"/>
  <c r="AG150" i="20" s="1"/>
  <c r="AF150" i="20" s="1"/>
  <c r="AD150" i="20" s="1"/>
  <c r="AI146" i="20"/>
  <c r="AH146" i="20" s="1"/>
  <c r="AG146" i="20" s="1"/>
  <c r="AF146" i="20" s="1"/>
  <c r="AD146" i="20" s="1"/>
  <c r="AI142" i="20"/>
  <c r="AH142" i="20" s="1"/>
  <c r="AG142" i="20" s="1"/>
  <c r="AF142" i="20" s="1"/>
  <c r="AD142" i="20" s="1"/>
  <c r="AI138" i="20"/>
  <c r="AH138" i="20" s="1"/>
  <c r="AG138" i="20" s="1"/>
  <c r="AF138" i="20" s="1"/>
  <c r="AD138" i="20" s="1"/>
  <c r="AA138" i="20" s="1"/>
  <c r="Z138" i="20" s="1"/>
  <c r="Y138" i="20" s="1"/>
  <c r="AI134" i="20"/>
  <c r="AH134" i="20" s="1"/>
  <c r="AG134" i="20" s="1"/>
  <c r="AF134" i="20" s="1"/>
  <c r="AD134" i="20" s="1"/>
  <c r="AI130" i="20"/>
  <c r="AH130" i="20" s="1"/>
  <c r="AG130" i="20" s="1"/>
  <c r="AF130" i="20" s="1"/>
  <c r="AD130" i="20" s="1"/>
  <c r="AI126" i="20"/>
  <c r="AH126" i="20" s="1"/>
  <c r="AG126" i="20" s="1"/>
  <c r="AF126" i="20" s="1"/>
  <c r="AD126" i="20" s="1"/>
  <c r="AI122" i="20"/>
  <c r="AH122" i="20" s="1"/>
  <c r="AG122" i="20" s="1"/>
  <c r="AF122" i="20" s="1"/>
  <c r="AD122" i="20" s="1"/>
  <c r="AI118" i="20"/>
  <c r="AH118" i="20" s="1"/>
  <c r="AG118" i="20" s="1"/>
  <c r="AF118" i="20" s="1"/>
  <c r="AD118" i="20" s="1"/>
  <c r="AI372" i="20"/>
  <c r="AH372" i="20" s="1"/>
  <c r="AG372" i="20" s="1"/>
  <c r="AF372" i="20" s="1"/>
  <c r="AD372" i="20" s="1"/>
  <c r="AI364" i="20"/>
  <c r="AH364" i="20" s="1"/>
  <c r="AG364" i="20" s="1"/>
  <c r="AF364" i="20" s="1"/>
  <c r="AD364" i="20" s="1"/>
  <c r="AI356" i="20"/>
  <c r="AH356" i="20" s="1"/>
  <c r="AG356" i="20" s="1"/>
  <c r="AF356" i="20" s="1"/>
  <c r="AD356" i="20" s="1"/>
  <c r="AI348" i="20"/>
  <c r="AH348" i="20" s="1"/>
  <c r="AG348" i="20" s="1"/>
  <c r="AF348" i="20" s="1"/>
  <c r="AD348" i="20" s="1"/>
  <c r="AA348" i="20" s="1"/>
  <c r="Z348" i="20" s="1"/>
  <c r="Y348" i="20" s="1"/>
  <c r="AI340" i="20"/>
  <c r="AH340" i="20" s="1"/>
  <c r="AG340" i="20" s="1"/>
  <c r="AF340" i="20" s="1"/>
  <c r="AD340" i="20" s="1"/>
  <c r="AI332" i="20"/>
  <c r="AH332" i="20" s="1"/>
  <c r="AG332" i="20" s="1"/>
  <c r="AF332" i="20" s="1"/>
  <c r="AD332" i="20" s="1"/>
  <c r="AI324" i="20"/>
  <c r="AH324" i="20" s="1"/>
  <c r="AG324" i="20" s="1"/>
  <c r="AF324" i="20" s="1"/>
  <c r="AD324" i="20" s="1"/>
  <c r="AI316" i="20"/>
  <c r="AH316" i="20" s="1"/>
  <c r="AG316" i="20" s="1"/>
  <c r="AF316" i="20" s="1"/>
  <c r="AD316" i="20" s="1"/>
  <c r="AA316" i="20" s="1"/>
  <c r="Z316" i="20" s="1"/>
  <c r="Y316" i="20" s="1"/>
  <c r="AI308" i="20"/>
  <c r="AH308" i="20" s="1"/>
  <c r="AG308" i="20" s="1"/>
  <c r="AF308" i="20" s="1"/>
  <c r="AD308" i="20" s="1"/>
  <c r="AI300" i="20"/>
  <c r="AH300" i="20" s="1"/>
  <c r="AG300" i="20" s="1"/>
  <c r="AF300" i="20" s="1"/>
  <c r="AD300" i="20" s="1"/>
  <c r="AA300" i="20" s="1"/>
  <c r="Z300" i="20" s="1"/>
  <c r="Y300" i="20" s="1"/>
  <c r="AI292" i="20"/>
  <c r="AH292" i="20" s="1"/>
  <c r="AG292" i="20" s="1"/>
  <c r="AF292" i="20" s="1"/>
  <c r="AD292" i="20" s="1"/>
  <c r="AI284" i="20"/>
  <c r="AH284" i="20" s="1"/>
  <c r="AG284" i="20" s="1"/>
  <c r="AF284" i="20" s="1"/>
  <c r="AD284" i="20" s="1"/>
  <c r="AA284" i="20" s="1"/>
  <c r="Z284" i="20" s="1"/>
  <c r="Y284" i="20" s="1"/>
  <c r="AI276" i="20"/>
  <c r="AH276" i="20" s="1"/>
  <c r="AG276" i="20" s="1"/>
  <c r="AF276" i="20" s="1"/>
  <c r="AD276" i="20" s="1"/>
  <c r="AI268" i="20"/>
  <c r="AH268" i="20" s="1"/>
  <c r="AG268" i="20" s="1"/>
  <c r="AF268" i="20" s="1"/>
  <c r="AD268" i="20" s="1"/>
  <c r="AI260" i="20"/>
  <c r="AH260" i="20" s="1"/>
  <c r="AG260" i="20" s="1"/>
  <c r="AF260" i="20" s="1"/>
  <c r="AD260" i="20" s="1"/>
  <c r="AI252" i="20"/>
  <c r="AH252" i="20" s="1"/>
  <c r="AG252" i="20" s="1"/>
  <c r="AF252" i="20" s="1"/>
  <c r="AD252" i="20" s="1"/>
  <c r="AI244" i="20"/>
  <c r="AH244" i="20" s="1"/>
  <c r="AG244" i="20" s="1"/>
  <c r="AF244" i="20" s="1"/>
  <c r="AD244" i="20" s="1"/>
  <c r="AI236" i="20"/>
  <c r="AH236" i="20" s="1"/>
  <c r="AG236" i="20" s="1"/>
  <c r="AF236" i="20" s="1"/>
  <c r="AD236" i="20" s="1"/>
  <c r="AI228" i="20"/>
  <c r="AH228" i="20" s="1"/>
  <c r="AG228" i="20" s="1"/>
  <c r="AF228" i="20" s="1"/>
  <c r="AD228" i="20" s="1"/>
  <c r="AA228" i="20" s="1"/>
  <c r="Z228" i="20" s="1"/>
  <c r="Y228" i="20" s="1"/>
  <c r="AI220" i="20"/>
  <c r="AH220" i="20" s="1"/>
  <c r="AG220" i="20" s="1"/>
  <c r="AF220" i="20" s="1"/>
  <c r="AD220" i="20" s="1"/>
  <c r="AI212" i="20"/>
  <c r="AH212" i="20" s="1"/>
  <c r="AG212" i="20" s="1"/>
  <c r="AF212" i="20" s="1"/>
  <c r="AD212" i="20" s="1"/>
  <c r="AI204" i="20"/>
  <c r="AH204" i="20" s="1"/>
  <c r="AG204" i="20" s="1"/>
  <c r="AF204" i="20" s="1"/>
  <c r="AD204" i="20" s="1"/>
  <c r="AI196" i="20"/>
  <c r="AH196" i="20" s="1"/>
  <c r="AG196" i="20" s="1"/>
  <c r="AF196" i="20" s="1"/>
  <c r="AD196" i="20" s="1"/>
  <c r="AI188" i="20"/>
  <c r="AH188" i="20" s="1"/>
  <c r="AG188" i="20" s="1"/>
  <c r="AF188" i="20" s="1"/>
  <c r="AD188" i="20" s="1"/>
  <c r="AI180" i="20"/>
  <c r="AH180" i="20" s="1"/>
  <c r="AG180" i="20" s="1"/>
  <c r="AF180" i="20" s="1"/>
  <c r="AD180" i="20" s="1"/>
  <c r="AI172" i="20"/>
  <c r="AH172" i="20" s="1"/>
  <c r="AG172" i="20" s="1"/>
  <c r="AF172" i="20" s="1"/>
  <c r="AD172" i="20" s="1"/>
  <c r="AI164" i="20"/>
  <c r="AH164" i="20" s="1"/>
  <c r="AG164" i="20" s="1"/>
  <c r="AF164" i="20" s="1"/>
  <c r="AD164" i="20" s="1"/>
  <c r="AI156" i="20"/>
  <c r="AH156" i="20" s="1"/>
  <c r="AG156" i="20" s="1"/>
  <c r="AF156" i="20" s="1"/>
  <c r="AD156" i="20" s="1"/>
  <c r="AI148" i="20"/>
  <c r="AH148" i="20" s="1"/>
  <c r="AG148" i="20" s="1"/>
  <c r="AF148" i="20" s="1"/>
  <c r="AD148" i="20" s="1"/>
  <c r="AI140" i="20"/>
  <c r="AH140" i="20" s="1"/>
  <c r="AG140" i="20" s="1"/>
  <c r="AF140" i="20" s="1"/>
  <c r="AD140" i="20" s="1"/>
  <c r="AI132" i="20"/>
  <c r="AH132" i="20" s="1"/>
  <c r="AG132" i="20" s="1"/>
  <c r="AF132" i="20" s="1"/>
  <c r="AD132" i="20" s="1"/>
  <c r="AI124" i="20"/>
  <c r="AH124" i="20" s="1"/>
  <c r="AG124" i="20" s="1"/>
  <c r="AF124" i="20" s="1"/>
  <c r="AD124" i="20" s="1"/>
  <c r="AA124" i="20" s="1"/>
  <c r="Z124" i="20" s="1"/>
  <c r="Y124" i="20" s="1"/>
  <c r="AI116" i="20"/>
  <c r="AH116" i="20" s="1"/>
  <c r="AG116" i="20" s="1"/>
  <c r="AF116" i="20" s="1"/>
  <c r="AD116" i="20" s="1"/>
  <c r="AI112" i="20"/>
  <c r="AH112" i="20" s="1"/>
  <c r="AG112" i="20" s="1"/>
  <c r="AF112" i="20" s="1"/>
  <c r="AD112" i="20" s="1"/>
  <c r="AI108" i="20"/>
  <c r="AH108" i="20" s="1"/>
  <c r="AG108" i="20" s="1"/>
  <c r="AF108" i="20" s="1"/>
  <c r="AD108" i="20" s="1"/>
  <c r="AI104" i="20"/>
  <c r="AI376" i="20"/>
  <c r="AH376" i="20" s="1"/>
  <c r="AG376" i="20" s="1"/>
  <c r="AF376" i="20" s="1"/>
  <c r="AD376" i="20" s="1"/>
  <c r="AI368" i="20"/>
  <c r="AH368" i="20" s="1"/>
  <c r="AG368" i="20" s="1"/>
  <c r="AF368" i="20" s="1"/>
  <c r="AD368" i="20" s="1"/>
  <c r="AI360" i="20"/>
  <c r="AH360" i="20" s="1"/>
  <c r="AG360" i="20" s="1"/>
  <c r="AF360" i="20" s="1"/>
  <c r="AD360" i="20" s="1"/>
  <c r="AA360" i="20" s="1"/>
  <c r="Z360" i="20" s="1"/>
  <c r="Y360" i="20" s="1"/>
  <c r="AI352" i="20"/>
  <c r="AH352" i="20" s="1"/>
  <c r="AG352" i="20" s="1"/>
  <c r="AF352" i="20" s="1"/>
  <c r="AD352" i="20" s="1"/>
  <c r="AI344" i="20"/>
  <c r="AH344" i="20" s="1"/>
  <c r="AG344" i="20" s="1"/>
  <c r="AF344" i="20" s="1"/>
  <c r="AD344" i="20" s="1"/>
  <c r="AA344" i="20" s="1"/>
  <c r="Z344" i="20" s="1"/>
  <c r="Y344" i="20" s="1"/>
  <c r="AI336" i="20"/>
  <c r="AH336" i="20" s="1"/>
  <c r="AG336" i="20" s="1"/>
  <c r="AF336" i="20" s="1"/>
  <c r="AD336" i="20" s="1"/>
  <c r="AI328" i="20"/>
  <c r="AH328" i="20" s="1"/>
  <c r="AG328" i="20" s="1"/>
  <c r="AF328" i="20" s="1"/>
  <c r="AD328" i="20" s="1"/>
  <c r="AI320" i="20"/>
  <c r="AH320" i="20" s="1"/>
  <c r="AG320" i="20" s="1"/>
  <c r="AF320" i="20" s="1"/>
  <c r="AD320" i="20" s="1"/>
  <c r="AI312" i="20"/>
  <c r="AH312" i="20" s="1"/>
  <c r="AG312" i="20" s="1"/>
  <c r="AF312" i="20" s="1"/>
  <c r="AD312" i="20" s="1"/>
  <c r="AI304" i="20"/>
  <c r="AH304" i="20" s="1"/>
  <c r="AG304" i="20" s="1"/>
  <c r="AF304" i="20" s="1"/>
  <c r="AD304" i="20" s="1"/>
  <c r="AA304" i="20" s="1"/>
  <c r="Z304" i="20" s="1"/>
  <c r="Y304" i="20" s="1"/>
  <c r="AI296" i="20"/>
  <c r="AH296" i="20" s="1"/>
  <c r="AG296" i="20" s="1"/>
  <c r="AF296" i="20" s="1"/>
  <c r="AD296" i="20" s="1"/>
  <c r="AI288" i="20"/>
  <c r="AH288" i="20" s="1"/>
  <c r="AG288" i="20" s="1"/>
  <c r="AF288" i="20" s="1"/>
  <c r="AD288" i="20" s="1"/>
  <c r="AI280" i="20"/>
  <c r="AH280" i="20" s="1"/>
  <c r="AG280" i="20" s="1"/>
  <c r="AF280" i="20" s="1"/>
  <c r="AD280" i="20" s="1"/>
  <c r="AI272" i="20"/>
  <c r="AH272" i="20" s="1"/>
  <c r="AG272" i="20" s="1"/>
  <c r="AF272" i="20" s="1"/>
  <c r="AD272" i="20" s="1"/>
  <c r="AI264" i="20"/>
  <c r="AH264" i="20" s="1"/>
  <c r="AG264" i="20" s="1"/>
  <c r="AF264" i="20" s="1"/>
  <c r="AD264" i="20" s="1"/>
  <c r="AI256" i="20"/>
  <c r="AH256" i="20" s="1"/>
  <c r="AG256" i="20" s="1"/>
  <c r="AF256" i="20" s="1"/>
  <c r="AD256" i="20" s="1"/>
  <c r="AI248" i="20"/>
  <c r="AH248" i="20" s="1"/>
  <c r="AG248" i="20" s="1"/>
  <c r="AF248" i="20" s="1"/>
  <c r="AD248" i="20" s="1"/>
  <c r="AI240" i="20"/>
  <c r="AH240" i="20" s="1"/>
  <c r="AG240" i="20" s="1"/>
  <c r="AF240" i="20" s="1"/>
  <c r="AD240" i="20" s="1"/>
  <c r="AA240" i="20" s="1"/>
  <c r="Z240" i="20" s="1"/>
  <c r="Y240" i="20" s="1"/>
  <c r="AI232" i="20"/>
  <c r="AH232" i="20" s="1"/>
  <c r="AG232" i="20" s="1"/>
  <c r="AF232" i="20" s="1"/>
  <c r="AD232" i="20" s="1"/>
  <c r="AI224" i="20"/>
  <c r="AH224" i="20" s="1"/>
  <c r="AG224" i="20" s="1"/>
  <c r="AF224" i="20" s="1"/>
  <c r="AD224" i="20" s="1"/>
  <c r="AI216" i="20"/>
  <c r="AH216" i="20" s="1"/>
  <c r="AG216" i="20" s="1"/>
  <c r="AF216" i="20" s="1"/>
  <c r="AD216" i="20" s="1"/>
  <c r="AI208" i="20"/>
  <c r="AH208" i="20" s="1"/>
  <c r="AG208" i="20" s="1"/>
  <c r="AF208" i="20" s="1"/>
  <c r="AD208" i="20" s="1"/>
  <c r="AI200" i="20"/>
  <c r="AH200" i="20" s="1"/>
  <c r="AG200" i="20" s="1"/>
  <c r="AF200" i="20" s="1"/>
  <c r="AD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I176" i="20"/>
  <c r="AH176" i="20" s="1"/>
  <c r="AG176" i="20" s="1"/>
  <c r="AF176" i="20" s="1"/>
  <c r="AD176" i="20" s="1"/>
  <c r="AI168" i="20"/>
  <c r="AH168" i="20" s="1"/>
  <c r="AG168" i="20" s="1"/>
  <c r="AF168" i="20" s="1"/>
  <c r="AD168" i="20" s="1"/>
  <c r="AI160" i="20"/>
  <c r="AH160" i="20" s="1"/>
  <c r="AG160" i="20" s="1"/>
  <c r="AF160" i="20" s="1"/>
  <c r="AD160" i="20" s="1"/>
  <c r="AA160" i="20" s="1"/>
  <c r="Z160" i="20" s="1"/>
  <c r="Y160" i="20" s="1"/>
  <c r="AI152" i="20"/>
  <c r="AH152" i="20" s="1"/>
  <c r="AG152" i="20" s="1"/>
  <c r="AF152" i="20" s="1"/>
  <c r="AD152" i="20" s="1"/>
  <c r="AI144" i="20"/>
  <c r="AH144" i="20" s="1"/>
  <c r="AG144" i="20" s="1"/>
  <c r="AF144" i="20" s="1"/>
  <c r="AD144" i="20" s="1"/>
  <c r="AI136" i="20"/>
  <c r="AH136" i="20" s="1"/>
  <c r="AG136" i="20" s="1"/>
  <c r="AF136" i="20" s="1"/>
  <c r="AD136" i="20" s="1"/>
  <c r="AI128" i="20"/>
  <c r="AH128" i="20" s="1"/>
  <c r="AG128" i="20" s="1"/>
  <c r="AF128" i="20" s="1"/>
  <c r="AD128" i="20" s="1"/>
  <c r="AI120" i="20"/>
  <c r="AH120" i="20" s="1"/>
  <c r="AG120" i="20" s="1"/>
  <c r="AF120" i="20" s="1"/>
  <c r="AD120" i="20" s="1"/>
  <c r="AI114" i="20"/>
  <c r="AH114" i="20" s="1"/>
  <c r="AG114" i="20" s="1"/>
  <c r="AF114" i="20" s="1"/>
  <c r="AD114" i="20" s="1"/>
  <c r="AI110" i="20"/>
  <c r="AH110" i="20" s="1"/>
  <c r="AG110" i="20" s="1"/>
  <c r="AF110" i="20" s="1"/>
  <c r="AD110" i="20" s="1"/>
  <c r="AI106" i="20"/>
  <c r="AH106" i="20" s="1"/>
  <c r="AG106" i="20" s="1"/>
  <c r="AF106" i="20" s="1"/>
  <c r="AD106" i="20" s="1"/>
  <c r="AA106" i="20" s="1"/>
  <c r="Z106" i="20" s="1"/>
  <c r="Y106" i="20" s="1"/>
  <c r="AE381" i="20"/>
  <c r="AE382" i="20"/>
  <c r="AE383" i="20"/>
  <c r="Q349" i="22"/>
  <c r="Q315" i="22"/>
  <c r="V379" i="20"/>
  <c r="B379" i="20" s="1"/>
  <c r="D40" i="19"/>
  <c r="Q365" i="22"/>
  <c r="Q333" i="22"/>
  <c r="Q281" i="22"/>
  <c r="Q373" i="22"/>
  <c r="Q357" i="22"/>
  <c r="Q341" i="22"/>
  <c r="Q325" i="22"/>
  <c r="Q299" i="22"/>
  <c r="Q247" i="22"/>
  <c r="Q377" i="22"/>
  <c r="Q369" i="22"/>
  <c r="Q361" i="22"/>
  <c r="Q353" i="22"/>
  <c r="Q345" i="22"/>
  <c r="Q337" i="22"/>
  <c r="Q329" i="22"/>
  <c r="Q321" i="22"/>
  <c r="Q307" i="22"/>
  <c r="Q291" i="22"/>
  <c r="Q265" i="22"/>
  <c r="Q215" i="22"/>
  <c r="J362" i="18"/>
  <c r="C362" i="6" s="1"/>
  <c r="I81" i="18"/>
  <c r="B81" i="6" s="1"/>
  <c r="BA81" i="6" s="1"/>
  <c r="D81" i="6" s="1"/>
  <c r="J169" i="18"/>
  <c r="C169" i="6" s="1"/>
  <c r="J203" i="18"/>
  <c r="C203" i="6" s="1"/>
  <c r="J28" i="18"/>
  <c r="C28" i="6" s="1"/>
  <c r="J246" i="18"/>
  <c r="C246" i="6" s="1"/>
  <c r="AA119" i="18"/>
  <c r="Z119" i="18" s="1"/>
  <c r="Y119" i="18" s="1"/>
  <c r="J27" i="18"/>
  <c r="C27" i="6" s="1"/>
  <c r="I73" i="18"/>
  <c r="B73" i="6" s="1"/>
  <c r="BA73" i="6" s="1"/>
  <c r="D73" i="6" s="1"/>
  <c r="J243" i="18"/>
  <c r="C243" i="6" s="1"/>
  <c r="J343" i="18"/>
  <c r="C343" i="6" s="1"/>
  <c r="J356" i="18"/>
  <c r="C356" i="6" s="1"/>
  <c r="Q379" i="22"/>
  <c r="AN15" i="7" s="1"/>
  <c r="Q375" i="22"/>
  <c r="Q371" i="22"/>
  <c r="Q367" i="22"/>
  <c r="Q363" i="22"/>
  <c r="Q359" i="22"/>
  <c r="Q355" i="22"/>
  <c r="Q351" i="22"/>
  <c r="Q347" i="22"/>
  <c r="Q343" i="22"/>
  <c r="Q339" i="22"/>
  <c r="Q335" i="22"/>
  <c r="Q331" i="22"/>
  <c r="Q327" i="22"/>
  <c r="Q323" i="22"/>
  <c r="Q319" i="22"/>
  <c r="Q311" i="22"/>
  <c r="Q303" i="22"/>
  <c r="Q295" i="22"/>
  <c r="Q287" i="22"/>
  <c r="Q273" i="22"/>
  <c r="Q257" i="22"/>
  <c r="Q231" i="22"/>
  <c r="Q197" i="22"/>
  <c r="J186" i="18"/>
  <c r="C186" i="6" s="1"/>
  <c r="Q317" i="22"/>
  <c r="Q313" i="22"/>
  <c r="Q309" i="22"/>
  <c r="Q305" i="22"/>
  <c r="Q301" i="22"/>
  <c r="Q297" i="22"/>
  <c r="Q293" i="22"/>
  <c r="Q289" i="22"/>
  <c r="Q285" i="22"/>
  <c r="Q277" i="22"/>
  <c r="Q269" i="22"/>
  <c r="Q261" i="22"/>
  <c r="Q253" i="22"/>
  <c r="Q239" i="22"/>
  <c r="Q223" i="22"/>
  <c r="Q207" i="22"/>
  <c r="Q136" i="22"/>
  <c r="I214" i="18"/>
  <c r="B214" i="6" s="1"/>
  <c r="BA214" i="6" s="1"/>
  <c r="D214" i="6" s="1"/>
  <c r="AA379" i="18"/>
  <c r="Z379" i="18" s="1"/>
  <c r="Y379" i="18" s="1"/>
  <c r="J19" i="18"/>
  <c r="C19" i="6" s="1"/>
  <c r="H379" i="18"/>
  <c r="J379" i="18" s="1"/>
  <c r="C379" i="6" s="1"/>
  <c r="G302" i="18"/>
  <c r="CA302" i="6" s="1"/>
  <c r="I282" i="18"/>
  <c r="B282" i="6" s="1"/>
  <c r="BA282" i="6" s="1"/>
  <c r="D282" i="6" s="1"/>
  <c r="I141" i="18"/>
  <c r="B141" i="6" s="1"/>
  <c r="BA141" i="6" s="1"/>
  <c r="D141" i="6" s="1"/>
  <c r="J256" i="18"/>
  <c r="C256" i="6" s="1"/>
  <c r="I164" i="18"/>
  <c r="B164" i="6" s="1"/>
  <c r="BA164" i="6" s="1"/>
  <c r="D164" i="6" s="1"/>
  <c r="I320" i="18"/>
  <c r="B320" i="6" s="1"/>
  <c r="BA320" i="6" s="1"/>
  <c r="D320" i="6" s="1"/>
  <c r="I232" i="18"/>
  <c r="B232" i="6" s="1"/>
  <c r="BA232" i="6" s="1"/>
  <c r="D232" i="6" s="1"/>
  <c r="J36" i="18"/>
  <c r="C36" i="6" s="1"/>
  <c r="H302" i="18"/>
  <c r="J302" i="18" s="1"/>
  <c r="C302" i="6" s="1"/>
  <c r="Q283" i="22"/>
  <c r="Q279" i="22"/>
  <c r="Q275" i="22"/>
  <c r="Q271" i="22"/>
  <c r="Q267" i="22"/>
  <c r="Q263" i="22"/>
  <c r="Q259" i="22"/>
  <c r="Q255" i="22"/>
  <c r="Q251" i="22"/>
  <c r="Q243" i="22"/>
  <c r="Q235" i="22"/>
  <c r="Q227" i="22"/>
  <c r="Q219" i="22"/>
  <c r="Q211" i="22"/>
  <c r="Q203" i="22"/>
  <c r="Q168" i="22"/>
  <c r="Q104" i="22"/>
  <c r="Q249" i="22"/>
  <c r="Q245" i="22"/>
  <c r="Q241" i="22"/>
  <c r="Q237" i="22"/>
  <c r="Q233" i="22"/>
  <c r="Q229" i="22"/>
  <c r="Q225" i="22"/>
  <c r="Q221" i="22"/>
  <c r="Q217" i="22"/>
  <c r="Q213" i="22"/>
  <c r="Q209" i="22"/>
  <c r="Q205" i="22"/>
  <c r="Q201" i="22"/>
  <c r="Q184" i="22"/>
  <c r="Q152" i="22"/>
  <c r="Q120" i="22"/>
  <c r="Q78" i="22"/>
  <c r="J318" i="18"/>
  <c r="C318" i="6" s="1"/>
  <c r="I69" i="18"/>
  <c r="B69" i="6" s="1"/>
  <c r="BA69" i="6" s="1"/>
  <c r="D69" i="6" s="1"/>
  <c r="I198" i="18"/>
  <c r="B198" i="6" s="1"/>
  <c r="BA198" i="6" s="1"/>
  <c r="D198" i="6" s="1"/>
  <c r="Q192" i="22"/>
  <c r="Q176" i="22"/>
  <c r="Q160" i="22"/>
  <c r="Q144" i="22"/>
  <c r="Q128" i="22"/>
  <c r="Q112" i="22"/>
  <c r="Q94" i="22"/>
  <c r="Q46" i="22"/>
  <c r="Q199" i="22"/>
  <c r="Q195" i="22"/>
  <c r="Q188" i="22"/>
  <c r="Q180" i="22"/>
  <c r="Q172" i="22"/>
  <c r="Q164" i="22"/>
  <c r="Q156" i="22"/>
  <c r="Q148" i="22"/>
  <c r="Q140" i="22"/>
  <c r="Q132" i="22"/>
  <c r="Q124" i="22"/>
  <c r="Q116" i="22"/>
  <c r="Q108" i="22"/>
  <c r="Q100" i="22"/>
  <c r="Q86" i="22"/>
  <c r="Q62" i="22"/>
  <c r="Q30" i="22"/>
  <c r="AG383" i="18"/>
  <c r="AG382" i="18"/>
  <c r="AG381" i="18"/>
  <c r="AF15" i="18"/>
  <c r="Q380" i="22"/>
  <c r="Q378" i="22"/>
  <c r="Q376" i="22"/>
  <c r="Q374" i="22"/>
  <c r="Q372" i="22"/>
  <c r="Q370" i="22"/>
  <c r="Q368" i="22"/>
  <c r="Q366" i="22"/>
  <c r="Q364" i="22"/>
  <c r="Q362" i="22"/>
  <c r="Q360" i="22"/>
  <c r="Q358" i="22"/>
  <c r="Q356" i="22"/>
  <c r="Q354" i="22"/>
  <c r="Q352" i="22"/>
  <c r="Q350" i="22"/>
  <c r="Q348" i="22"/>
  <c r="Q346" i="22"/>
  <c r="Q344" i="22"/>
  <c r="Q342" i="22"/>
  <c r="Q340" i="22"/>
  <c r="Q338" i="22"/>
  <c r="Q336" i="22"/>
  <c r="Q334" i="22"/>
  <c r="Q332" i="22"/>
  <c r="Q330" i="22"/>
  <c r="Q328" i="22"/>
  <c r="Q326" i="22"/>
  <c r="Q324" i="22"/>
  <c r="Q322" i="22"/>
  <c r="Q320" i="22"/>
  <c r="Q318" i="22"/>
  <c r="Q316" i="22"/>
  <c r="Q314" i="22"/>
  <c r="Q312" i="22"/>
  <c r="Q310" i="22"/>
  <c r="Q308" i="22"/>
  <c r="Q306" i="22"/>
  <c r="Q304" i="22"/>
  <c r="Q302" i="22"/>
  <c r="Q300" i="22"/>
  <c r="Q298" i="22"/>
  <c r="Q296" i="22"/>
  <c r="Q294" i="22"/>
  <c r="Q292" i="22"/>
  <c r="Q290" i="22"/>
  <c r="Q288" i="22"/>
  <c r="Q286" i="22"/>
  <c r="Q284" i="22"/>
  <c r="Q282" i="22"/>
  <c r="Q280" i="22"/>
  <c r="Q278" i="22"/>
  <c r="Q276" i="22"/>
  <c r="Q274" i="22"/>
  <c r="Q272" i="22"/>
  <c r="Q270" i="22"/>
  <c r="Q268" i="22"/>
  <c r="Q266" i="22"/>
  <c r="Q264" i="22"/>
  <c r="Q262" i="22"/>
  <c r="Q260" i="22"/>
  <c r="Q258" i="22"/>
  <c r="Q256" i="22"/>
  <c r="Q254" i="22"/>
  <c r="Q252" i="22"/>
  <c r="Q250" i="22"/>
  <c r="Q248" i="22"/>
  <c r="Q246" i="22"/>
  <c r="Q244" i="22"/>
  <c r="Q242" i="22"/>
  <c r="Q240" i="22"/>
  <c r="Q238" i="22"/>
  <c r="Q236" i="22"/>
  <c r="Q234" i="22"/>
  <c r="Q232" i="22"/>
  <c r="Q230" i="22"/>
  <c r="Q228" i="22"/>
  <c r="Q226" i="22"/>
  <c r="Q224" i="22"/>
  <c r="Q222" i="22"/>
  <c r="Q220" i="22"/>
  <c r="Q218" i="22"/>
  <c r="Q216" i="22"/>
  <c r="Q214" i="22"/>
  <c r="Q212" i="22"/>
  <c r="Q210" i="22"/>
  <c r="Q208" i="22"/>
  <c r="Q206" i="22"/>
  <c r="Q204" i="22"/>
  <c r="Q202" i="22"/>
  <c r="Q200" i="22"/>
  <c r="Q198" i="22"/>
  <c r="Q196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30" i="22"/>
  <c r="Q126" i="22"/>
  <c r="Q122" i="22"/>
  <c r="Q118" i="22"/>
  <c r="Q114" i="22"/>
  <c r="Q110" i="22"/>
  <c r="Q106" i="22"/>
  <c r="Q102" i="22"/>
  <c r="Q98" i="22"/>
  <c r="Q90" i="22"/>
  <c r="Q82" i="22"/>
  <c r="Q70" i="22"/>
  <c r="Q54" i="22"/>
  <c r="Q38" i="22"/>
  <c r="Q22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B48" i="20"/>
  <c r="W48" i="20" s="1"/>
  <c r="C66" i="19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D25" i="20"/>
  <c r="E25" i="20" s="1"/>
  <c r="F25" i="20" s="1"/>
  <c r="W25" i="20"/>
  <c r="W33" i="20"/>
  <c r="D33" i="20"/>
  <c r="E33" i="20" s="1"/>
  <c r="F33" i="20" s="1"/>
  <c r="W37" i="20"/>
  <c r="D37" i="20"/>
  <c r="E37" i="20" s="1"/>
  <c r="F37" i="20" s="1"/>
  <c r="D43" i="20"/>
  <c r="E43" i="20" s="1"/>
  <c r="F43" i="20" s="1"/>
  <c r="W43" i="20"/>
  <c r="W53" i="20"/>
  <c r="D53" i="20"/>
  <c r="E53" i="20" s="1"/>
  <c r="F53" i="20" s="1"/>
  <c r="W65" i="20"/>
  <c r="D65" i="20"/>
  <c r="E65" i="20" s="1"/>
  <c r="F65" i="20" s="1"/>
  <c r="D69" i="20"/>
  <c r="E69" i="20" s="1"/>
  <c r="F69" i="20" s="1"/>
  <c r="W69" i="20"/>
  <c r="D79" i="20"/>
  <c r="E79" i="20" s="1"/>
  <c r="F79" i="20" s="1"/>
  <c r="W79" i="20"/>
  <c r="W97" i="20"/>
  <c r="D97" i="20"/>
  <c r="E97" i="20" s="1"/>
  <c r="F97" i="20" s="1"/>
  <c r="D101" i="20"/>
  <c r="E101" i="20" s="1"/>
  <c r="F101" i="20" s="1"/>
  <c r="W101" i="20"/>
  <c r="B105" i="20"/>
  <c r="D109" i="20"/>
  <c r="E109" i="20" s="1"/>
  <c r="F109" i="20" s="1"/>
  <c r="W109" i="20"/>
  <c r="W113" i="20"/>
  <c r="D113" i="20"/>
  <c r="E113" i="20" s="1"/>
  <c r="F113" i="20" s="1"/>
  <c r="AH23" i="7"/>
  <c r="V119" i="20"/>
  <c r="B119" i="20" s="1"/>
  <c r="W131" i="20"/>
  <c r="D131" i="20"/>
  <c r="E131" i="20" s="1"/>
  <c r="F131" i="20" s="1"/>
  <c r="D139" i="20"/>
  <c r="E139" i="20" s="1"/>
  <c r="F139" i="20" s="1"/>
  <c r="W139" i="20"/>
  <c r="W147" i="20"/>
  <c r="D147" i="20"/>
  <c r="E147" i="20" s="1"/>
  <c r="F147" i="20" s="1"/>
  <c r="D155" i="20"/>
  <c r="E155" i="20" s="1"/>
  <c r="F155" i="20" s="1"/>
  <c r="W155" i="20"/>
  <c r="W167" i="20"/>
  <c r="D167" i="20"/>
  <c r="E167" i="20" s="1"/>
  <c r="F167" i="20" s="1"/>
  <c r="W183" i="20"/>
  <c r="D183" i="20"/>
  <c r="E183" i="20" s="1"/>
  <c r="F183" i="20" s="1"/>
  <c r="D193" i="20"/>
  <c r="E193" i="20" s="1"/>
  <c r="F193" i="20" s="1"/>
  <c r="W193" i="20"/>
  <c r="D197" i="20"/>
  <c r="E197" i="20" s="1"/>
  <c r="F197" i="20" s="1"/>
  <c r="W197" i="20"/>
  <c r="W201" i="20"/>
  <c r="D201" i="20"/>
  <c r="E201" i="20" s="1"/>
  <c r="F201" i="20" s="1"/>
  <c r="D205" i="20"/>
  <c r="E205" i="20" s="1"/>
  <c r="F205" i="20" s="1"/>
  <c r="W205" i="20"/>
  <c r="D209" i="20"/>
  <c r="E209" i="20" s="1"/>
  <c r="F209" i="20" s="1"/>
  <c r="W209" i="20"/>
  <c r="W215" i="20"/>
  <c r="D215" i="20"/>
  <c r="E215" i="20" s="1"/>
  <c r="F215" i="20" s="1"/>
  <c r="D219" i="20"/>
  <c r="E219" i="20" s="1"/>
  <c r="F219" i="20" s="1"/>
  <c r="W219" i="20"/>
  <c r="W233" i="20"/>
  <c r="D233" i="20"/>
  <c r="E233" i="20" s="1"/>
  <c r="F233" i="20" s="1"/>
  <c r="W237" i="20"/>
  <c r="D237" i="20"/>
  <c r="E237" i="20" s="1"/>
  <c r="F237" i="20" s="1"/>
  <c r="D243" i="20"/>
  <c r="E243" i="20" s="1"/>
  <c r="F243" i="20" s="1"/>
  <c r="W243" i="20"/>
  <c r="D251" i="20"/>
  <c r="E251" i="20" s="1"/>
  <c r="F251" i="20" s="1"/>
  <c r="W251" i="20"/>
  <c r="W257" i="20"/>
  <c r="D257" i="20"/>
  <c r="E257" i="20" s="1"/>
  <c r="F257" i="20" s="1"/>
  <c r="W261" i="20"/>
  <c r="D261" i="20"/>
  <c r="E261" i="20" s="1"/>
  <c r="F261" i="20" s="1"/>
  <c r="D265" i="20"/>
  <c r="E265" i="20" s="1"/>
  <c r="F265" i="20" s="1"/>
  <c r="W265" i="20"/>
  <c r="W277" i="20"/>
  <c r="D277" i="20"/>
  <c r="E277" i="20" s="1"/>
  <c r="F277" i="20" s="1"/>
  <c r="W281" i="20"/>
  <c r="D281" i="20"/>
  <c r="E281" i="20" s="1"/>
  <c r="F281" i="20" s="1"/>
  <c r="W285" i="20"/>
  <c r="D285" i="20"/>
  <c r="E285" i="20" s="1"/>
  <c r="F285" i="20" s="1"/>
  <c r="D293" i="20"/>
  <c r="E293" i="20" s="1"/>
  <c r="F293" i="20" s="1"/>
  <c r="W293" i="20"/>
  <c r="W299" i="20"/>
  <c r="D299" i="20"/>
  <c r="E299" i="20" s="1"/>
  <c r="F299" i="20" s="1"/>
  <c r="W303" i="20"/>
  <c r="D303" i="20"/>
  <c r="E303" i="20" s="1"/>
  <c r="F303" i="20" s="1"/>
  <c r="W307" i="20"/>
  <c r="D307" i="20"/>
  <c r="E307" i="20" s="1"/>
  <c r="F307" i="20" s="1"/>
  <c r="D311" i="20"/>
  <c r="E311" i="20" s="1"/>
  <c r="F311" i="20" s="1"/>
  <c r="W311" i="20"/>
  <c r="D317" i="20"/>
  <c r="E317" i="20" s="1"/>
  <c r="F317" i="20" s="1"/>
  <c r="W317" i="20"/>
  <c r="W329" i="20"/>
  <c r="D329" i="20"/>
  <c r="E329" i="20" s="1"/>
  <c r="F329" i="20" s="1"/>
  <c r="W337" i="20"/>
  <c r="D337" i="20"/>
  <c r="E337" i="20" s="1"/>
  <c r="F337" i="20" s="1"/>
  <c r="W343" i="20"/>
  <c r="D343" i="20"/>
  <c r="E343" i="20" s="1"/>
  <c r="F343" i="20" s="1"/>
  <c r="D351" i="20"/>
  <c r="E351" i="20" s="1"/>
  <c r="F351" i="20" s="1"/>
  <c r="W351" i="20"/>
  <c r="D355" i="20"/>
  <c r="E355" i="20" s="1"/>
  <c r="F355" i="20" s="1"/>
  <c r="W355" i="20"/>
  <c r="D361" i="20"/>
  <c r="E361" i="20" s="1"/>
  <c r="F361" i="20" s="1"/>
  <c r="W361" i="20"/>
  <c r="D371" i="20"/>
  <c r="E371" i="20" s="1"/>
  <c r="F371" i="20" s="1"/>
  <c r="W371" i="20"/>
  <c r="D377" i="20"/>
  <c r="E377" i="20" s="1"/>
  <c r="F377" i="20" s="1"/>
  <c r="W377" i="20"/>
  <c r="I194" i="18"/>
  <c r="B194" i="6" s="1"/>
  <c r="BA194" i="6" s="1"/>
  <c r="D194" i="6" s="1"/>
  <c r="J194" i="18"/>
  <c r="C194" i="6" s="1"/>
  <c r="W44" i="20"/>
  <c r="D44" i="20"/>
  <c r="E44" i="20" s="1"/>
  <c r="F44" i="20" s="1"/>
  <c r="W92" i="20"/>
  <c r="D92" i="20"/>
  <c r="E92" i="20" s="1"/>
  <c r="F92" i="20" s="1"/>
  <c r="W98" i="20"/>
  <c r="D98" i="20"/>
  <c r="E98" i="20" s="1"/>
  <c r="F98" i="20" s="1"/>
  <c r="D104" i="20"/>
  <c r="E104" i="20" s="1"/>
  <c r="F104" i="20" s="1"/>
  <c r="W104" i="20"/>
  <c r="D116" i="20"/>
  <c r="E116" i="20" s="1"/>
  <c r="F116" i="20" s="1"/>
  <c r="W116" i="20"/>
  <c r="W122" i="20"/>
  <c r="D122" i="20"/>
  <c r="E122" i="20" s="1"/>
  <c r="F122" i="20" s="1"/>
  <c r="W130" i="20"/>
  <c r="D130" i="20"/>
  <c r="E130" i="20" s="1"/>
  <c r="F130" i="20" s="1"/>
  <c r="W136" i="20"/>
  <c r="D136" i="20"/>
  <c r="E136" i="20" s="1"/>
  <c r="F136" i="20" s="1"/>
  <c r="D144" i="20"/>
  <c r="E144" i="20" s="1"/>
  <c r="F144" i="20" s="1"/>
  <c r="W144" i="20"/>
  <c r="W148" i="20"/>
  <c r="D148" i="20"/>
  <c r="E148" i="20" s="1"/>
  <c r="F148" i="20" s="1"/>
  <c r="W152" i="20"/>
  <c r="D152" i="20"/>
  <c r="E152" i="20" s="1"/>
  <c r="F152" i="20" s="1"/>
  <c r="W158" i="20"/>
  <c r="D158" i="20"/>
  <c r="E158" i="20" s="1"/>
  <c r="F158" i="20" s="1"/>
  <c r="D164" i="20"/>
  <c r="E164" i="20" s="1"/>
  <c r="F164" i="20" s="1"/>
  <c r="W164" i="20"/>
  <c r="W168" i="20"/>
  <c r="D168" i="20"/>
  <c r="E168" i="20" s="1"/>
  <c r="F168" i="20" s="1"/>
  <c r="W174" i="20"/>
  <c r="D174" i="20"/>
  <c r="E174" i="20" s="1"/>
  <c r="F174" i="20" s="1"/>
  <c r="D178" i="20"/>
  <c r="E178" i="20" s="1"/>
  <c r="F178" i="20" s="1"/>
  <c r="W178" i="20"/>
  <c r="D186" i="20"/>
  <c r="E186" i="20" s="1"/>
  <c r="F186" i="20" s="1"/>
  <c r="W186" i="20"/>
  <c r="D190" i="20"/>
  <c r="E190" i="20" s="1"/>
  <c r="F190" i="20" s="1"/>
  <c r="W190" i="20"/>
  <c r="W194" i="20"/>
  <c r="D194" i="20"/>
  <c r="E194" i="20" s="1"/>
  <c r="F194" i="20" s="1"/>
  <c r="W200" i="20"/>
  <c r="D200" i="20"/>
  <c r="E200" i="20" s="1"/>
  <c r="F200" i="20" s="1"/>
  <c r="W204" i="20"/>
  <c r="D204" i="20"/>
  <c r="E204" i="20" s="1"/>
  <c r="F204" i="20" s="1"/>
  <c r="AH26" i="7"/>
  <c r="V210" i="20"/>
  <c r="B210" i="20" s="1"/>
  <c r="D216" i="20"/>
  <c r="E216" i="20" s="1"/>
  <c r="F216" i="20" s="1"/>
  <c r="W216" i="20"/>
  <c r="D224" i="20"/>
  <c r="E224" i="20" s="1"/>
  <c r="F224" i="20" s="1"/>
  <c r="W224" i="20"/>
  <c r="D232" i="20"/>
  <c r="E232" i="20" s="1"/>
  <c r="F232" i="20" s="1"/>
  <c r="W232" i="20"/>
  <c r="W238" i="20"/>
  <c r="D238" i="20"/>
  <c r="E238" i="20" s="1"/>
  <c r="F238" i="20" s="1"/>
  <c r="D244" i="20"/>
  <c r="E244" i="20" s="1"/>
  <c r="F244" i="20" s="1"/>
  <c r="W244" i="20"/>
  <c r="D248" i="20"/>
  <c r="E248" i="20" s="1"/>
  <c r="F248" i="20" s="1"/>
  <c r="W248" i="20"/>
  <c r="W252" i="20"/>
  <c r="D252" i="20"/>
  <c r="E252" i="20" s="1"/>
  <c r="F252" i="20" s="1"/>
  <c r="B258" i="20"/>
  <c r="W264" i="20"/>
  <c r="D264" i="20"/>
  <c r="E264" i="20" s="1"/>
  <c r="F264" i="20" s="1"/>
  <c r="W268" i="20"/>
  <c r="D268" i="20"/>
  <c r="E268" i="20" s="1"/>
  <c r="F268" i="20" s="1"/>
  <c r="D274" i="20"/>
  <c r="E274" i="20" s="1"/>
  <c r="F274" i="20" s="1"/>
  <c r="W274" i="20"/>
  <c r="D278" i="20"/>
  <c r="E278" i="20" s="1"/>
  <c r="F278" i="20" s="1"/>
  <c r="W278" i="20"/>
  <c r="W282" i="20"/>
  <c r="D282" i="20"/>
  <c r="E282" i="20" s="1"/>
  <c r="F282" i="20" s="1"/>
  <c r="B288" i="20"/>
  <c r="D292" i="20"/>
  <c r="E292" i="20" s="1"/>
  <c r="F292" i="20" s="1"/>
  <c r="W292" i="20"/>
  <c r="W296" i="20"/>
  <c r="D296" i="20"/>
  <c r="E296" i="20" s="1"/>
  <c r="F296" i="20" s="1"/>
  <c r="AH29" i="7"/>
  <c r="V302" i="20"/>
  <c r="B302" i="20" s="1"/>
  <c r="W310" i="20"/>
  <c r="D310" i="20"/>
  <c r="E310" i="20" s="1"/>
  <c r="F310" i="20" s="1"/>
  <c r="D314" i="20"/>
  <c r="E314" i="20" s="1"/>
  <c r="F314" i="20" s="1"/>
  <c r="W314" i="20"/>
  <c r="D320" i="20"/>
  <c r="E320" i="20" s="1"/>
  <c r="F320" i="20" s="1"/>
  <c r="W320" i="20"/>
  <c r="W326" i="20"/>
  <c r="D326" i="20"/>
  <c r="E326" i="20" s="1"/>
  <c r="F326" i="20" s="1"/>
  <c r="W330" i="20"/>
  <c r="D330" i="20"/>
  <c r="E330" i="20" s="1"/>
  <c r="F330" i="20" s="1"/>
  <c r="D336" i="20"/>
  <c r="E336" i="20" s="1"/>
  <c r="F336" i="20" s="1"/>
  <c r="W336" i="20"/>
  <c r="W340" i="20"/>
  <c r="D340" i="20"/>
  <c r="E340" i="20" s="1"/>
  <c r="F340" i="20" s="1"/>
  <c r="W346" i="20"/>
  <c r="D346" i="20"/>
  <c r="E346" i="20" s="1"/>
  <c r="F346" i="20" s="1"/>
  <c r="D356" i="20"/>
  <c r="E356" i="20" s="1"/>
  <c r="F356" i="20" s="1"/>
  <c r="W356" i="20"/>
  <c r="D362" i="20"/>
  <c r="E362" i="20" s="1"/>
  <c r="F362" i="20" s="1"/>
  <c r="W362" i="20"/>
  <c r="W368" i="20"/>
  <c r="D368" i="20"/>
  <c r="E368" i="20" s="1"/>
  <c r="F368" i="20" s="1"/>
  <c r="W378" i="20"/>
  <c r="D378" i="20"/>
  <c r="E378" i="20" s="1"/>
  <c r="F378" i="20" s="1"/>
  <c r="W23" i="20"/>
  <c r="D23" i="20"/>
  <c r="E23" i="20" s="1"/>
  <c r="F23" i="20" s="1"/>
  <c r="AH20" i="7"/>
  <c r="V29" i="20"/>
  <c r="B29" i="20" s="1"/>
  <c r="D35" i="20"/>
  <c r="E35" i="20" s="1"/>
  <c r="F35" i="20" s="1"/>
  <c r="W35" i="20"/>
  <c r="W39" i="20"/>
  <c r="D39" i="20"/>
  <c r="E39" i="20" s="1"/>
  <c r="F39" i="20" s="1"/>
  <c r="W51" i="20"/>
  <c r="D51" i="20"/>
  <c r="E51" i="20" s="1"/>
  <c r="F51" i="20" s="1"/>
  <c r="D55" i="20"/>
  <c r="E55" i="20" s="1"/>
  <c r="F55" i="20" s="1"/>
  <c r="W55" i="20"/>
  <c r="D63" i="20"/>
  <c r="E63" i="20" s="1"/>
  <c r="F63" i="20" s="1"/>
  <c r="W63" i="20"/>
  <c r="D67" i="20"/>
  <c r="E67" i="20" s="1"/>
  <c r="F67" i="20" s="1"/>
  <c r="W67" i="20"/>
  <c r="W73" i="20"/>
  <c r="D73" i="20"/>
  <c r="E73" i="20" s="1"/>
  <c r="F73" i="20" s="1"/>
  <c r="D83" i="20"/>
  <c r="E83" i="20" s="1"/>
  <c r="F83" i="20" s="1"/>
  <c r="W83" i="20"/>
  <c r="W99" i="20"/>
  <c r="D99" i="20"/>
  <c r="E99" i="20" s="1"/>
  <c r="F99" i="20" s="1"/>
  <c r="W103" i="20"/>
  <c r="D103" i="20"/>
  <c r="E103" i="20" s="1"/>
  <c r="F103" i="20" s="1"/>
  <c r="D107" i="20"/>
  <c r="E107" i="20" s="1"/>
  <c r="F107" i="20" s="1"/>
  <c r="W107" i="20"/>
  <c r="W111" i="20"/>
  <c r="D111" i="20"/>
  <c r="E111" i="20" s="1"/>
  <c r="F111" i="20" s="1"/>
  <c r="D115" i="20"/>
  <c r="E115" i="20" s="1"/>
  <c r="F115" i="20" s="1"/>
  <c r="W115" i="20"/>
  <c r="W121" i="20"/>
  <c r="D121" i="20"/>
  <c r="E121" i="20" s="1"/>
  <c r="F121" i="20" s="1"/>
  <c r="D129" i="20"/>
  <c r="E129" i="20" s="1"/>
  <c r="F129" i="20" s="1"/>
  <c r="W129" i="20"/>
  <c r="W133" i="20"/>
  <c r="D133" i="20"/>
  <c r="E133" i="20" s="1"/>
  <c r="F133" i="20" s="1"/>
  <c r="W141" i="20"/>
  <c r="D141" i="20"/>
  <c r="E141" i="20" s="1"/>
  <c r="F141" i="20" s="1"/>
  <c r="D153" i="20"/>
  <c r="E153" i="20" s="1"/>
  <c r="F153" i="20" s="1"/>
  <c r="W153" i="20"/>
  <c r="W159" i="20"/>
  <c r="D159" i="20"/>
  <c r="E159" i="20" s="1"/>
  <c r="F159" i="20" s="1"/>
  <c r="W173" i="20"/>
  <c r="D173" i="20"/>
  <c r="E173" i="20" s="1"/>
  <c r="F173" i="20" s="1"/>
  <c r="W185" i="20"/>
  <c r="D185" i="20"/>
  <c r="E185" i="20" s="1"/>
  <c r="F185" i="20" s="1"/>
  <c r="D195" i="20"/>
  <c r="E195" i="20" s="1"/>
  <c r="F195" i="20" s="1"/>
  <c r="W195" i="20"/>
  <c r="W199" i="20"/>
  <c r="D199" i="20"/>
  <c r="E199" i="20" s="1"/>
  <c r="F199" i="20" s="1"/>
  <c r="D203" i="20"/>
  <c r="E203" i="20" s="1"/>
  <c r="F203" i="20" s="1"/>
  <c r="W203" i="20"/>
  <c r="D207" i="20"/>
  <c r="E207" i="20" s="1"/>
  <c r="F207" i="20" s="1"/>
  <c r="W207" i="20"/>
  <c r="D211" i="20"/>
  <c r="E211" i="20" s="1"/>
  <c r="F211" i="20" s="1"/>
  <c r="W211" i="20"/>
  <c r="D217" i="20"/>
  <c r="E217" i="20" s="1"/>
  <c r="F217" i="20" s="1"/>
  <c r="W217" i="20"/>
  <c r="D229" i="20"/>
  <c r="E229" i="20" s="1"/>
  <c r="F229" i="20" s="1"/>
  <c r="W229" i="20"/>
  <c r="W235" i="20"/>
  <c r="D235" i="20"/>
  <c r="E235" i="20" s="1"/>
  <c r="F235" i="20" s="1"/>
  <c r="AH27" i="7"/>
  <c r="V241" i="20"/>
  <c r="B241" i="20" s="1"/>
  <c r="D245" i="20"/>
  <c r="E245" i="20" s="1"/>
  <c r="F245" i="20" s="1"/>
  <c r="W245" i="20"/>
  <c r="W253" i="20"/>
  <c r="D253" i="20"/>
  <c r="E253" i="20" s="1"/>
  <c r="F253" i="20" s="1"/>
  <c r="D259" i="20"/>
  <c r="E259" i="20" s="1"/>
  <c r="F259" i="20" s="1"/>
  <c r="W259" i="20"/>
  <c r="W263" i="20"/>
  <c r="D263" i="20"/>
  <c r="E263" i="20" s="1"/>
  <c r="F263" i="20" s="1"/>
  <c r="D275" i="20"/>
  <c r="E275" i="20" s="1"/>
  <c r="F275" i="20" s="1"/>
  <c r="W275" i="20"/>
  <c r="W279" i="20"/>
  <c r="D279" i="20"/>
  <c r="E279" i="20" s="1"/>
  <c r="F279" i="20" s="1"/>
  <c r="W283" i="20"/>
  <c r="D283" i="20"/>
  <c r="E283" i="20" s="1"/>
  <c r="F283" i="20" s="1"/>
  <c r="D287" i="20"/>
  <c r="E287" i="20" s="1"/>
  <c r="F287" i="20" s="1"/>
  <c r="W287" i="20"/>
  <c r="W297" i="20"/>
  <c r="D297" i="20"/>
  <c r="E297" i="20" s="1"/>
  <c r="F297" i="20" s="1"/>
  <c r="D301" i="20"/>
  <c r="E301" i="20" s="1"/>
  <c r="F301" i="20" s="1"/>
  <c r="W301" i="20"/>
  <c r="W305" i="20"/>
  <c r="D305" i="20"/>
  <c r="E305" i="20" s="1"/>
  <c r="F305" i="20" s="1"/>
  <c r="D309" i="20"/>
  <c r="E309" i="20" s="1"/>
  <c r="F309" i="20" s="1"/>
  <c r="W309" i="20"/>
  <c r="W313" i="20"/>
  <c r="D313" i="20"/>
  <c r="E313" i="20" s="1"/>
  <c r="F313" i="20" s="1"/>
  <c r="B319" i="20"/>
  <c r="AH30" i="7"/>
  <c r="V333" i="20"/>
  <c r="B333" i="20" s="1"/>
  <c r="W341" i="20"/>
  <c r="D341" i="20"/>
  <c r="E341" i="20" s="1"/>
  <c r="F341" i="20" s="1"/>
  <c r="W347" i="20"/>
  <c r="D347" i="20"/>
  <c r="E347" i="20" s="1"/>
  <c r="F347" i="20" s="1"/>
  <c r="W353" i="20"/>
  <c r="D353" i="20"/>
  <c r="E353" i="20" s="1"/>
  <c r="F353" i="20" s="1"/>
  <c r="D359" i="20"/>
  <c r="E359" i="20" s="1"/>
  <c r="F359" i="20" s="1"/>
  <c r="W359" i="20"/>
  <c r="AH31" i="7"/>
  <c r="V363" i="20"/>
  <c r="B363" i="20" s="1"/>
  <c r="W375" i="20"/>
  <c r="D375" i="20"/>
  <c r="E375" i="20" s="1"/>
  <c r="F375" i="20" s="1"/>
  <c r="W40" i="20"/>
  <c r="D40" i="20"/>
  <c r="E40" i="20" s="1"/>
  <c r="F40" i="20" s="1"/>
  <c r="W96" i="20"/>
  <c r="D96" i="20"/>
  <c r="E96" i="20" s="1"/>
  <c r="F96" i="20" s="1"/>
  <c r="W102" i="20"/>
  <c r="D102" i="20"/>
  <c r="E102" i="20" s="1"/>
  <c r="F102" i="20" s="1"/>
  <c r="D108" i="20"/>
  <c r="E108" i="20" s="1"/>
  <c r="F108" i="20" s="1"/>
  <c r="W108" i="20"/>
  <c r="D118" i="20"/>
  <c r="E118" i="20" s="1"/>
  <c r="F118" i="20" s="1"/>
  <c r="W118" i="20"/>
  <c r="D126" i="20"/>
  <c r="E126" i="20" s="1"/>
  <c r="F126" i="20" s="1"/>
  <c r="W126" i="20"/>
  <c r="W132" i="20"/>
  <c r="D132" i="20"/>
  <c r="E132" i="20" s="1"/>
  <c r="F132" i="20" s="1"/>
  <c r="W142" i="20"/>
  <c r="D142" i="20"/>
  <c r="E142" i="20" s="1"/>
  <c r="F142" i="20" s="1"/>
  <c r="D146" i="20"/>
  <c r="E146" i="20" s="1"/>
  <c r="F146" i="20" s="1"/>
  <c r="W146" i="20"/>
  <c r="W150" i="20"/>
  <c r="D150" i="20"/>
  <c r="E150" i="20" s="1"/>
  <c r="F150" i="20" s="1"/>
  <c r="W154" i="20"/>
  <c r="D154" i="20"/>
  <c r="E154" i="20" s="1"/>
  <c r="F154" i="20" s="1"/>
  <c r="D162" i="20"/>
  <c r="E162" i="20" s="1"/>
  <c r="F162" i="20" s="1"/>
  <c r="W162" i="20"/>
  <c r="B166" i="20"/>
  <c r="W170" i="20"/>
  <c r="D170" i="20"/>
  <c r="E170" i="20" s="1"/>
  <c r="F170" i="20" s="1"/>
  <c r="D176" i="20"/>
  <c r="E176" i="20" s="1"/>
  <c r="F176" i="20" s="1"/>
  <c r="W176" i="20"/>
  <c r="D184" i="20"/>
  <c r="E184" i="20" s="1"/>
  <c r="F184" i="20" s="1"/>
  <c r="W184" i="20"/>
  <c r="D188" i="20"/>
  <c r="E188" i="20" s="1"/>
  <c r="F188" i="20" s="1"/>
  <c r="W188" i="20"/>
  <c r="W192" i="20"/>
  <c r="D192" i="20"/>
  <c r="E192" i="20" s="1"/>
  <c r="F192" i="20" s="1"/>
  <c r="B196" i="20"/>
  <c r="D202" i="20"/>
  <c r="E202" i="20" s="1"/>
  <c r="F202" i="20" s="1"/>
  <c r="W202" i="20"/>
  <c r="D206" i="20"/>
  <c r="E206" i="20" s="1"/>
  <c r="F206" i="20" s="1"/>
  <c r="W206" i="20"/>
  <c r="D212" i="20"/>
  <c r="E212" i="20" s="1"/>
  <c r="F212" i="20" s="1"/>
  <c r="W212" i="20"/>
  <c r="W222" i="20"/>
  <c r="D222" i="20"/>
  <c r="E222" i="20" s="1"/>
  <c r="F222" i="20" s="1"/>
  <c r="W230" i="20"/>
  <c r="D230" i="20"/>
  <c r="E230" i="20" s="1"/>
  <c r="F230" i="20" s="1"/>
  <c r="D236" i="20"/>
  <c r="E236" i="20" s="1"/>
  <c r="F236" i="20" s="1"/>
  <c r="W236" i="20"/>
  <c r="D242" i="20"/>
  <c r="E242" i="20" s="1"/>
  <c r="F242" i="20" s="1"/>
  <c r="W242" i="20"/>
  <c r="W246" i="20"/>
  <c r="D246" i="20"/>
  <c r="E246" i="20" s="1"/>
  <c r="F246" i="20" s="1"/>
  <c r="D250" i="20"/>
  <c r="E250" i="20" s="1"/>
  <c r="F250" i="20" s="1"/>
  <c r="W250" i="20"/>
  <c r="D256" i="20"/>
  <c r="E256" i="20" s="1"/>
  <c r="F256" i="20" s="1"/>
  <c r="W256" i="20"/>
  <c r="W260" i="20"/>
  <c r="D260" i="20"/>
  <c r="E260" i="20" s="1"/>
  <c r="F260" i="20" s="1"/>
  <c r="W266" i="20"/>
  <c r="D266" i="20"/>
  <c r="E266" i="20" s="1"/>
  <c r="F266" i="20" s="1"/>
  <c r="AH28" i="7"/>
  <c r="V272" i="20"/>
  <c r="B272" i="20" s="1"/>
  <c r="D276" i="20"/>
  <c r="E276" i="20" s="1"/>
  <c r="F276" i="20" s="1"/>
  <c r="W276" i="20"/>
  <c r="W280" i="20"/>
  <c r="D280" i="20"/>
  <c r="E280" i="20" s="1"/>
  <c r="F280" i="20" s="1"/>
  <c r="W286" i="20"/>
  <c r="D286" i="20"/>
  <c r="E286" i="20" s="1"/>
  <c r="F286" i="20" s="1"/>
  <c r="W290" i="20"/>
  <c r="D290" i="20"/>
  <c r="E290" i="20" s="1"/>
  <c r="F290" i="20" s="1"/>
  <c r="W294" i="20"/>
  <c r="D294" i="20"/>
  <c r="E294" i="20" s="1"/>
  <c r="F294" i="20" s="1"/>
  <c r="W298" i="20"/>
  <c r="D298" i="20"/>
  <c r="E298" i="20" s="1"/>
  <c r="F298" i="20" s="1"/>
  <c r="W306" i="20"/>
  <c r="D306" i="20"/>
  <c r="E306" i="20" s="1"/>
  <c r="F306" i="20" s="1"/>
  <c r="D312" i="20"/>
  <c r="E312" i="20" s="1"/>
  <c r="F312" i="20" s="1"/>
  <c r="W312" i="20"/>
  <c r="D318" i="20"/>
  <c r="E318" i="20" s="1"/>
  <c r="F318" i="20" s="1"/>
  <c r="W318" i="20"/>
  <c r="W324" i="20"/>
  <c r="D324" i="20"/>
  <c r="E324" i="20" s="1"/>
  <c r="F324" i="20" s="1"/>
  <c r="D328" i="20"/>
  <c r="E328" i="20" s="1"/>
  <c r="F328" i="20" s="1"/>
  <c r="W328" i="20"/>
  <c r="W332" i="20"/>
  <c r="D332" i="20"/>
  <c r="E332" i="20" s="1"/>
  <c r="F332" i="20" s="1"/>
  <c r="W338" i="20"/>
  <c r="D338" i="20"/>
  <c r="E338" i="20" s="1"/>
  <c r="F338" i="20" s="1"/>
  <c r="D342" i="20"/>
  <c r="E342" i="20" s="1"/>
  <c r="F342" i="20" s="1"/>
  <c r="W342" i="20"/>
  <c r="D354" i="20"/>
  <c r="E354" i="20" s="1"/>
  <c r="F354" i="20" s="1"/>
  <c r="W354" i="20"/>
  <c r="W358" i="20"/>
  <c r="D358" i="20"/>
  <c r="E358" i="20" s="1"/>
  <c r="F358" i="20" s="1"/>
  <c r="D364" i="20"/>
  <c r="E364" i="20" s="1"/>
  <c r="F364" i="20" s="1"/>
  <c r="W364" i="20"/>
  <c r="D372" i="20"/>
  <c r="E372" i="20" s="1"/>
  <c r="F372" i="20" s="1"/>
  <c r="W372" i="20"/>
  <c r="J247" i="18"/>
  <c r="C247" i="6" s="1"/>
  <c r="I247" i="18"/>
  <c r="B247" i="6" s="1"/>
  <c r="BA247" i="6" s="1"/>
  <c r="D247" i="6" s="1"/>
  <c r="J244" i="18"/>
  <c r="C244" i="6" s="1"/>
  <c r="I244" i="18"/>
  <c r="B244" i="6" s="1"/>
  <c r="BA244" i="6" s="1"/>
  <c r="D244" i="6" s="1"/>
  <c r="J260" i="18"/>
  <c r="C260" i="6" s="1"/>
  <c r="I260" i="18"/>
  <c r="B260" i="6" s="1"/>
  <c r="BA260" i="6" s="1"/>
  <c r="D260" i="6" s="1"/>
  <c r="J266" i="18"/>
  <c r="C266" i="6" s="1"/>
  <c r="I266" i="18"/>
  <c r="B266" i="6" s="1"/>
  <c r="BA266" i="6" s="1"/>
  <c r="D266" i="6" s="1"/>
  <c r="J187" i="18"/>
  <c r="C187" i="6" s="1"/>
  <c r="I187" i="18"/>
  <c r="B187" i="6" s="1"/>
  <c r="BA187" i="6" s="1"/>
  <c r="D187" i="6" s="1"/>
  <c r="I375" i="18"/>
  <c r="B375" i="6" s="1"/>
  <c r="BA375" i="6" s="1"/>
  <c r="D375" i="6" s="1"/>
  <c r="J375" i="18"/>
  <c r="C375" i="6" s="1"/>
  <c r="H46" i="18"/>
  <c r="G46" i="18"/>
  <c r="CA46" i="6" s="1"/>
  <c r="AA46" i="18"/>
  <c r="Z46" i="18" s="1"/>
  <c r="Y46" i="18" s="1"/>
  <c r="G196" i="18"/>
  <c r="CA196" i="6" s="1"/>
  <c r="AA196" i="18"/>
  <c r="Z196" i="18" s="1"/>
  <c r="Y196" i="18" s="1"/>
  <c r="H196" i="18"/>
  <c r="H135" i="18"/>
  <c r="AA135" i="18"/>
  <c r="Z135" i="18" s="1"/>
  <c r="Y135" i="18" s="1"/>
  <c r="G135" i="18"/>
  <c r="CA135" i="6" s="1"/>
  <c r="I229" i="18"/>
  <c r="B229" i="6" s="1"/>
  <c r="BA229" i="6" s="1"/>
  <c r="D229" i="6" s="1"/>
  <c r="J229" i="18"/>
  <c r="C229" i="6" s="1"/>
  <c r="I352" i="18"/>
  <c r="B352" i="6" s="1"/>
  <c r="BA352" i="6" s="1"/>
  <c r="D352" i="6" s="1"/>
  <c r="J352" i="18"/>
  <c r="C352" i="6" s="1"/>
  <c r="J147" i="18"/>
  <c r="C147" i="6" s="1"/>
  <c r="I147" i="18"/>
  <c r="B147" i="6" s="1"/>
  <c r="BA147" i="6" s="1"/>
  <c r="D147" i="6" s="1"/>
  <c r="J257" i="18"/>
  <c r="C257" i="6" s="1"/>
  <c r="I257" i="18"/>
  <c r="B257" i="6" s="1"/>
  <c r="BA257" i="6" s="1"/>
  <c r="D257" i="6" s="1"/>
  <c r="J261" i="18"/>
  <c r="C261" i="6" s="1"/>
  <c r="J32" i="18"/>
  <c r="C32" i="6" s="1"/>
  <c r="I32" i="18"/>
  <c r="B32" i="6" s="1"/>
  <c r="BA32" i="6" s="1"/>
  <c r="D32" i="6" s="1"/>
  <c r="J50" i="18"/>
  <c r="C50" i="6" s="1"/>
  <c r="I50" i="18"/>
  <c r="B50" i="6" s="1"/>
  <c r="BA50" i="6" s="1"/>
  <c r="D50" i="6" s="1"/>
  <c r="J54" i="18"/>
  <c r="C54" i="6" s="1"/>
  <c r="I54" i="18"/>
  <c r="B54" i="6" s="1"/>
  <c r="BA54" i="6" s="1"/>
  <c r="D54" i="6" s="1"/>
  <c r="I66" i="18"/>
  <c r="B66" i="6" s="1"/>
  <c r="BA66" i="6" s="1"/>
  <c r="D66" i="6" s="1"/>
  <c r="J66" i="18"/>
  <c r="C66" i="6" s="1"/>
  <c r="J104" i="18"/>
  <c r="C104" i="6" s="1"/>
  <c r="I104" i="18"/>
  <c r="B104" i="6" s="1"/>
  <c r="BA104" i="6" s="1"/>
  <c r="D104" i="6" s="1"/>
  <c r="I250" i="18"/>
  <c r="B250" i="6" s="1"/>
  <c r="BA250" i="6" s="1"/>
  <c r="D250" i="6" s="1"/>
  <c r="J250" i="18"/>
  <c r="C250" i="6" s="1"/>
  <c r="J280" i="18"/>
  <c r="C280" i="6" s="1"/>
  <c r="I280" i="18"/>
  <c r="B280" i="6" s="1"/>
  <c r="BA280" i="6" s="1"/>
  <c r="D280" i="6" s="1"/>
  <c r="I310" i="18"/>
  <c r="B310" i="6" s="1"/>
  <c r="BA310" i="6" s="1"/>
  <c r="D310" i="6" s="1"/>
  <c r="J310" i="18"/>
  <c r="C310" i="6" s="1"/>
  <c r="I370" i="18"/>
  <c r="B370" i="6" s="1"/>
  <c r="BA370" i="6" s="1"/>
  <c r="D370" i="6" s="1"/>
  <c r="J370" i="18"/>
  <c r="C370" i="6" s="1"/>
  <c r="I193" i="18"/>
  <c r="B193" i="6" s="1"/>
  <c r="BA193" i="6" s="1"/>
  <c r="D193" i="6" s="1"/>
  <c r="J193" i="18"/>
  <c r="C193" i="6" s="1"/>
  <c r="G227" i="18"/>
  <c r="CA227" i="6" s="1"/>
  <c r="AA227" i="18"/>
  <c r="Z227" i="18" s="1"/>
  <c r="Y227" i="18" s="1"/>
  <c r="H227" i="18"/>
  <c r="I259" i="18"/>
  <c r="B259" i="6" s="1"/>
  <c r="BA259" i="6" s="1"/>
  <c r="D259" i="6" s="1"/>
  <c r="J259" i="18"/>
  <c r="C259" i="6" s="1"/>
  <c r="I277" i="18"/>
  <c r="B277" i="6" s="1"/>
  <c r="BA277" i="6" s="1"/>
  <c r="D277" i="6" s="1"/>
  <c r="J277" i="18"/>
  <c r="C277" i="6" s="1"/>
  <c r="AA18" i="20"/>
  <c r="Z18" i="20" s="1"/>
  <c r="Y18" i="20" s="1"/>
  <c r="G18" i="20"/>
  <c r="CB18" i="6" s="1"/>
  <c r="AA47" i="20"/>
  <c r="Z47" i="20" s="1"/>
  <c r="Y47" i="20" s="1"/>
  <c r="G47" i="20"/>
  <c r="CB47" i="6" s="1"/>
  <c r="AA93" i="20"/>
  <c r="Z93" i="20" s="1"/>
  <c r="Y93" i="20" s="1"/>
  <c r="G93" i="20"/>
  <c r="CB93" i="6" s="1"/>
  <c r="G143" i="20"/>
  <c r="CB143" i="6" s="1"/>
  <c r="AH24" i="7"/>
  <c r="V149" i="20"/>
  <c r="B149" i="20" s="1"/>
  <c r="G151" i="20"/>
  <c r="CB151" i="6" s="1"/>
  <c r="G169" i="20"/>
  <c r="CB169" i="6" s="1"/>
  <c r="AA169" i="20"/>
  <c r="Z169" i="20" s="1"/>
  <c r="Y169" i="20" s="1"/>
  <c r="H169" i="20"/>
  <c r="G175" i="20"/>
  <c r="CB175" i="6" s="1"/>
  <c r="G189" i="20"/>
  <c r="CB189" i="6" s="1"/>
  <c r="G239" i="20"/>
  <c r="CB239" i="6" s="1"/>
  <c r="G267" i="20"/>
  <c r="CB267" i="6" s="1"/>
  <c r="AA267" i="20"/>
  <c r="Z267" i="20" s="1"/>
  <c r="Y267" i="20" s="1"/>
  <c r="G269" i="20"/>
  <c r="CB269" i="6" s="1"/>
  <c r="G321" i="20"/>
  <c r="CB321" i="6" s="1"/>
  <c r="H321" i="20"/>
  <c r="D331" i="20"/>
  <c r="E331" i="20" s="1"/>
  <c r="F331" i="20" s="1"/>
  <c r="W331" i="20"/>
  <c r="H335" i="20"/>
  <c r="G335" i="20"/>
  <c r="CB335" i="6" s="1"/>
  <c r="AA345" i="20"/>
  <c r="Z345" i="20" s="1"/>
  <c r="Y345" i="20" s="1"/>
  <c r="G345" i="20"/>
  <c r="CB345" i="6" s="1"/>
  <c r="D349" i="20"/>
  <c r="E349" i="20" s="1"/>
  <c r="F349" i="20" s="1"/>
  <c r="W349" i="20"/>
  <c r="G367" i="20"/>
  <c r="CB367" i="6" s="1"/>
  <c r="H367" i="20"/>
  <c r="G369" i="20"/>
  <c r="CB369" i="6" s="1"/>
  <c r="H373" i="20"/>
  <c r="G373" i="20"/>
  <c r="CB373" i="6" s="1"/>
  <c r="AM16" i="7"/>
  <c r="J100" i="18"/>
  <c r="C100" i="6" s="1"/>
  <c r="I100" i="18"/>
  <c r="B100" i="6" s="1"/>
  <c r="BA100" i="6" s="1"/>
  <c r="D100" i="6" s="1"/>
  <c r="I144" i="18"/>
  <c r="B144" i="6" s="1"/>
  <c r="BA144" i="6" s="1"/>
  <c r="D144" i="6" s="1"/>
  <c r="J144" i="18"/>
  <c r="C144" i="6" s="1"/>
  <c r="J212" i="18"/>
  <c r="C212" i="6" s="1"/>
  <c r="I212" i="18"/>
  <c r="B212" i="6" s="1"/>
  <c r="BA212" i="6" s="1"/>
  <c r="D212" i="6" s="1"/>
  <c r="I270" i="18"/>
  <c r="B270" i="6" s="1"/>
  <c r="BA270" i="6" s="1"/>
  <c r="D270" i="6" s="1"/>
  <c r="J270" i="18"/>
  <c r="C270" i="6" s="1"/>
  <c r="I290" i="18"/>
  <c r="B290" i="6" s="1"/>
  <c r="BA290" i="6" s="1"/>
  <c r="D290" i="6" s="1"/>
  <c r="J290" i="18"/>
  <c r="C290" i="6" s="1"/>
  <c r="J338" i="18"/>
  <c r="C338" i="6" s="1"/>
  <c r="I338" i="18"/>
  <c r="B338" i="6" s="1"/>
  <c r="BA338" i="6" s="1"/>
  <c r="D338" i="6" s="1"/>
  <c r="J37" i="18"/>
  <c r="C37" i="6" s="1"/>
  <c r="I37" i="18"/>
  <c r="B37" i="6" s="1"/>
  <c r="BA37" i="6" s="1"/>
  <c r="D37" i="6" s="1"/>
  <c r="I79" i="18"/>
  <c r="B79" i="6" s="1"/>
  <c r="BA79" i="6" s="1"/>
  <c r="D79" i="6" s="1"/>
  <c r="J79" i="18"/>
  <c r="C79" i="6" s="1"/>
  <c r="I151" i="18"/>
  <c r="B151" i="6" s="1"/>
  <c r="BA151" i="6" s="1"/>
  <c r="D151" i="6" s="1"/>
  <c r="J151" i="18"/>
  <c r="C151" i="6" s="1"/>
  <c r="I221" i="18"/>
  <c r="B221" i="6" s="1"/>
  <c r="BA221" i="6" s="1"/>
  <c r="D221" i="6" s="1"/>
  <c r="J221" i="18"/>
  <c r="C221" i="6" s="1"/>
  <c r="J265" i="18"/>
  <c r="C265" i="6" s="1"/>
  <c r="I265" i="18"/>
  <c r="B265" i="6" s="1"/>
  <c r="BA265" i="6" s="1"/>
  <c r="D265" i="6" s="1"/>
  <c r="I44" i="18"/>
  <c r="B44" i="6" s="1"/>
  <c r="BA44" i="6" s="1"/>
  <c r="D44" i="6" s="1"/>
  <c r="J44" i="18"/>
  <c r="C44" i="6" s="1"/>
  <c r="I64" i="18"/>
  <c r="B64" i="6" s="1"/>
  <c r="BA64" i="6" s="1"/>
  <c r="D64" i="6" s="1"/>
  <c r="J64" i="18"/>
  <c r="C64" i="6" s="1"/>
  <c r="J222" i="18"/>
  <c r="C222" i="6" s="1"/>
  <c r="I222" i="18"/>
  <c r="B222" i="6" s="1"/>
  <c r="BA222" i="6" s="1"/>
  <c r="D222" i="6" s="1"/>
  <c r="J238" i="18"/>
  <c r="C238" i="6" s="1"/>
  <c r="I238" i="18"/>
  <c r="B238" i="6" s="1"/>
  <c r="BA238" i="6" s="1"/>
  <c r="D238" i="6" s="1"/>
  <c r="J47" i="18"/>
  <c r="C47" i="6" s="1"/>
  <c r="I47" i="18"/>
  <c r="B47" i="6" s="1"/>
  <c r="BA47" i="6" s="1"/>
  <c r="D47" i="6" s="1"/>
  <c r="J93" i="18"/>
  <c r="C93" i="6" s="1"/>
  <c r="I93" i="18"/>
  <c r="B93" i="6" s="1"/>
  <c r="BA93" i="6" s="1"/>
  <c r="D93" i="6" s="1"/>
  <c r="AA105" i="18"/>
  <c r="Z105" i="18" s="1"/>
  <c r="Y105" i="18" s="1"/>
  <c r="H105" i="18"/>
  <c r="G105" i="18"/>
  <c r="CA105" i="6" s="1"/>
  <c r="I281" i="18"/>
  <c r="B281" i="6" s="1"/>
  <c r="BA281" i="6" s="1"/>
  <c r="J281" i="18"/>
  <c r="C281" i="6" s="1"/>
  <c r="I341" i="18"/>
  <c r="B341" i="6" s="1"/>
  <c r="BA341" i="6" s="1"/>
  <c r="D341" i="6" s="1"/>
  <c r="J341" i="18"/>
  <c r="C341" i="6" s="1"/>
  <c r="J68" i="18"/>
  <c r="C68" i="6" s="1"/>
  <c r="I68" i="18"/>
  <c r="B68" i="6" s="1"/>
  <c r="BA68" i="6" s="1"/>
  <c r="D68" i="6" s="1"/>
  <c r="J102" i="18"/>
  <c r="C102" i="6" s="1"/>
  <c r="I102" i="18"/>
  <c r="B102" i="6" s="1"/>
  <c r="BA102" i="6" s="1"/>
  <c r="D102" i="6" s="1"/>
  <c r="I134" i="18"/>
  <c r="B134" i="6" s="1"/>
  <c r="BA134" i="6" s="1"/>
  <c r="D134" i="6" s="1"/>
  <c r="J134" i="18"/>
  <c r="C134" i="6" s="1"/>
  <c r="I216" i="18"/>
  <c r="B216" i="6" s="1"/>
  <c r="BA216" i="6" s="1"/>
  <c r="D216" i="6" s="1"/>
  <c r="J216" i="18"/>
  <c r="C216" i="6" s="1"/>
  <c r="J41" i="18"/>
  <c r="C41" i="6" s="1"/>
  <c r="I41" i="18"/>
  <c r="B41" i="6" s="1"/>
  <c r="BA41" i="6" s="1"/>
  <c r="D41" i="6" s="1"/>
  <c r="I324" i="18"/>
  <c r="B324" i="6" s="1"/>
  <c r="BA324" i="6" s="1"/>
  <c r="D324" i="6" s="1"/>
  <c r="J324" i="18"/>
  <c r="C324" i="6" s="1"/>
  <c r="J342" i="18"/>
  <c r="C342" i="6" s="1"/>
  <c r="I342" i="18"/>
  <c r="B342" i="6" s="1"/>
  <c r="BA342" i="6" s="1"/>
  <c r="D342" i="6" s="1"/>
  <c r="J348" i="18"/>
  <c r="C348" i="6" s="1"/>
  <c r="I348" i="18"/>
  <c r="B348" i="6" s="1"/>
  <c r="BA348" i="6" s="1"/>
  <c r="D348" i="6" s="1"/>
  <c r="I364" i="18"/>
  <c r="B364" i="6" s="1"/>
  <c r="BA364" i="6" s="1"/>
  <c r="D364" i="6" s="1"/>
  <c r="J364" i="18"/>
  <c r="C364" i="6" s="1"/>
  <c r="I378" i="18"/>
  <c r="B378" i="6" s="1"/>
  <c r="BA378" i="6" s="1"/>
  <c r="D378" i="6" s="1"/>
  <c r="J378" i="18"/>
  <c r="C378" i="6" s="1"/>
  <c r="I51" i="18"/>
  <c r="B51" i="6" s="1"/>
  <c r="BA51" i="6" s="1"/>
  <c r="D51" i="6" s="1"/>
  <c r="J51" i="18"/>
  <c r="C51" i="6" s="1"/>
  <c r="J63" i="18"/>
  <c r="C63" i="6" s="1"/>
  <c r="I63" i="18"/>
  <c r="B63" i="6" s="1"/>
  <c r="BA63" i="6" s="1"/>
  <c r="D63" i="6" s="1"/>
  <c r="J163" i="18"/>
  <c r="C163" i="6" s="1"/>
  <c r="I163" i="18"/>
  <c r="B163" i="6" s="1"/>
  <c r="BA163" i="6" s="1"/>
  <c r="D163" i="6" s="1"/>
  <c r="I279" i="18"/>
  <c r="B279" i="6" s="1"/>
  <c r="BA279" i="6" s="1"/>
  <c r="D279" i="6" s="1"/>
  <c r="J279" i="18"/>
  <c r="C279" i="6" s="1"/>
  <c r="D295" i="6"/>
  <c r="D351" i="6"/>
  <c r="I371" i="18"/>
  <c r="B371" i="6" s="1"/>
  <c r="BA371" i="6" s="1"/>
  <c r="D371" i="6" s="1"/>
  <c r="J371" i="18"/>
  <c r="C371" i="6" s="1"/>
  <c r="I17" i="18"/>
  <c r="B17" i="6" s="1"/>
  <c r="BA17" i="6" s="1"/>
  <c r="D17" i="6" s="1"/>
  <c r="J17" i="18"/>
  <c r="C17" i="6" s="1"/>
  <c r="J20" i="18"/>
  <c r="C20" i="6" s="1"/>
  <c r="I20" i="18"/>
  <c r="B20" i="6" s="1"/>
  <c r="BA20" i="6" s="1"/>
  <c r="D20" i="6" s="1"/>
  <c r="J24" i="18"/>
  <c r="C24" i="6" s="1"/>
  <c r="I24" i="18"/>
  <c r="B24" i="6" s="1"/>
  <c r="BA24" i="6" s="1"/>
  <c r="D24" i="6" s="1"/>
  <c r="J40" i="18"/>
  <c r="C40" i="6" s="1"/>
  <c r="I40" i="18"/>
  <c r="B40" i="6" s="1"/>
  <c r="BA40" i="6" s="1"/>
  <c r="D40" i="6" s="1"/>
  <c r="J48" i="18"/>
  <c r="C48" i="6" s="1"/>
  <c r="I48" i="18"/>
  <c r="B48" i="6" s="1"/>
  <c r="BA48" i="6" s="1"/>
  <c r="D48" i="6" s="1"/>
  <c r="I70" i="18"/>
  <c r="B70" i="6" s="1"/>
  <c r="BA70" i="6" s="1"/>
  <c r="D70" i="6" s="1"/>
  <c r="J70" i="18"/>
  <c r="C70" i="6" s="1"/>
  <c r="I110" i="18"/>
  <c r="B110" i="6" s="1"/>
  <c r="BA110" i="6" s="1"/>
  <c r="D110" i="6" s="1"/>
  <c r="J110" i="18"/>
  <c r="C110" i="6" s="1"/>
  <c r="I118" i="18"/>
  <c r="B118" i="6" s="1"/>
  <c r="BA118" i="6" s="1"/>
  <c r="D118" i="6" s="1"/>
  <c r="J118" i="18"/>
  <c r="C118" i="6" s="1"/>
  <c r="J138" i="18"/>
  <c r="C138" i="6" s="1"/>
  <c r="I138" i="18"/>
  <c r="B138" i="6" s="1"/>
  <c r="BA138" i="6" s="1"/>
  <c r="D138" i="6" s="1"/>
  <c r="J148" i="18"/>
  <c r="C148" i="6" s="1"/>
  <c r="I148" i="18"/>
  <c r="B148" i="6" s="1"/>
  <c r="BA148" i="6" s="1"/>
  <c r="D148" i="6" s="1"/>
  <c r="I184" i="18"/>
  <c r="B184" i="6" s="1"/>
  <c r="BA184" i="6" s="1"/>
  <c r="D184" i="6" s="1"/>
  <c r="J184" i="18"/>
  <c r="C184" i="6" s="1"/>
  <c r="G258" i="18"/>
  <c r="CA258" i="6" s="1"/>
  <c r="AA258" i="18"/>
  <c r="Z258" i="18" s="1"/>
  <c r="Y258" i="18" s="1"/>
  <c r="H258" i="18"/>
  <c r="I286" i="18"/>
  <c r="B286" i="6" s="1"/>
  <c r="BA286" i="6" s="1"/>
  <c r="D286" i="6" s="1"/>
  <c r="J286" i="18"/>
  <c r="C286" i="6" s="1"/>
  <c r="J296" i="18"/>
  <c r="C296" i="6" s="1"/>
  <c r="I296" i="18"/>
  <c r="B296" i="6" s="1"/>
  <c r="BA296" i="6" s="1"/>
  <c r="D296" i="6" s="1"/>
  <c r="I372" i="18"/>
  <c r="B372" i="6" s="1"/>
  <c r="BA372" i="6" s="1"/>
  <c r="D372" i="6" s="1"/>
  <c r="J372" i="18"/>
  <c r="C372" i="6" s="1"/>
  <c r="I288" i="18"/>
  <c r="B288" i="6" s="1"/>
  <c r="BA288" i="6" s="1"/>
  <c r="D288" i="6" s="1"/>
  <c r="J288" i="18"/>
  <c r="C288" i="6" s="1"/>
  <c r="J33" i="18"/>
  <c r="C33" i="6" s="1"/>
  <c r="I33" i="18"/>
  <c r="B33" i="6" s="1"/>
  <c r="BA33" i="6" s="1"/>
  <c r="D33" i="6" s="1"/>
  <c r="I57" i="18"/>
  <c r="B57" i="6" s="1"/>
  <c r="BA57" i="6" s="1"/>
  <c r="J57" i="18"/>
  <c r="C57" i="6" s="1"/>
  <c r="I139" i="18"/>
  <c r="B139" i="6" s="1"/>
  <c r="BA139" i="6" s="1"/>
  <c r="D139" i="6" s="1"/>
  <c r="J139" i="18"/>
  <c r="C139" i="6" s="1"/>
  <c r="J165" i="18"/>
  <c r="C165" i="6" s="1"/>
  <c r="I165" i="18"/>
  <c r="B165" i="6" s="1"/>
  <c r="BA165" i="6" s="1"/>
  <c r="D165" i="6" s="1"/>
  <c r="J235" i="18"/>
  <c r="C235" i="6" s="1"/>
  <c r="I235" i="18"/>
  <c r="B235" i="6" s="1"/>
  <c r="BA235" i="6" s="1"/>
  <c r="D235" i="6" s="1"/>
  <c r="J23" i="18"/>
  <c r="C23" i="6" s="1"/>
  <c r="I23" i="18"/>
  <c r="B23" i="6" s="1"/>
  <c r="BA23" i="6" s="1"/>
  <c r="D23" i="6" s="1"/>
  <c r="I35" i="18"/>
  <c r="B35" i="6" s="1"/>
  <c r="BA35" i="6" s="1"/>
  <c r="D35" i="6" s="1"/>
  <c r="J35" i="18"/>
  <c r="C35" i="6" s="1"/>
  <c r="I199" i="18"/>
  <c r="B199" i="6" s="1"/>
  <c r="BA199" i="6" s="1"/>
  <c r="D199" i="6" s="1"/>
  <c r="J199" i="18"/>
  <c r="C199" i="6" s="1"/>
  <c r="AA19" i="20"/>
  <c r="Z19" i="20" s="1"/>
  <c r="Y19" i="20" s="1"/>
  <c r="W17" i="20"/>
  <c r="D17" i="20"/>
  <c r="E17" i="20" s="1"/>
  <c r="F17" i="20" s="1"/>
  <c r="W22" i="20"/>
  <c r="D22" i="20"/>
  <c r="E22" i="20" s="1"/>
  <c r="F22" i="20" s="1"/>
  <c r="W26" i="20"/>
  <c r="D26" i="20"/>
  <c r="E26" i="20" s="1"/>
  <c r="F26" i="20" s="1"/>
  <c r="W28" i="20"/>
  <c r="D28" i="20"/>
  <c r="E28" i="20" s="1"/>
  <c r="F28" i="20" s="1"/>
  <c r="D32" i="20"/>
  <c r="E32" i="20" s="1"/>
  <c r="F32" i="20" s="1"/>
  <c r="W32" i="20"/>
  <c r="D34" i="20"/>
  <c r="E34" i="20" s="1"/>
  <c r="F34" i="20" s="1"/>
  <c r="W34" i="20"/>
  <c r="AA36" i="20"/>
  <c r="Z36" i="20" s="1"/>
  <c r="Y36" i="20" s="1"/>
  <c r="D42" i="20"/>
  <c r="E42" i="20" s="1"/>
  <c r="F42" i="20" s="1"/>
  <c r="W42" i="20"/>
  <c r="D50" i="20"/>
  <c r="E50" i="20" s="1"/>
  <c r="F50" i="20" s="1"/>
  <c r="W50" i="20"/>
  <c r="W52" i="20"/>
  <c r="D52" i="20"/>
  <c r="E52" i="20" s="1"/>
  <c r="F52" i="20" s="1"/>
  <c r="D54" i="20"/>
  <c r="E54" i="20" s="1"/>
  <c r="F54" i="20" s="1"/>
  <c r="W54" i="20"/>
  <c r="D56" i="20"/>
  <c r="E56" i="20" s="1"/>
  <c r="F56" i="20" s="1"/>
  <c r="W56" i="20"/>
  <c r="W58" i="20"/>
  <c r="D58" i="20"/>
  <c r="E58" i="20" s="1"/>
  <c r="F58" i="20" s="1"/>
  <c r="G62" i="20"/>
  <c r="CB62" i="6" s="1"/>
  <c r="AA62" i="20"/>
  <c r="Z62" i="20" s="1"/>
  <c r="Y62" i="20" s="1"/>
  <c r="D64" i="20"/>
  <c r="E64" i="20" s="1"/>
  <c r="F64" i="20" s="1"/>
  <c r="W64" i="20"/>
  <c r="D66" i="20"/>
  <c r="E66" i="20" s="1"/>
  <c r="F66" i="20" s="1"/>
  <c r="W66" i="20"/>
  <c r="D70" i="20"/>
  <c r="E70" i="20" s="1"/>
  <c r="F70" i="20" s="1"/>
  <c r="W70" i="20"/>
  <c r="B74" i="20"/>
  <c r="W76" i="20"/>
  <c r="D76" i="20"/>
  <c r="E76" i="20" s="1"/>
  <c r="F76" i="20" s="1"/>
  <c r="D78" i="20"/>
  <c r="E78" i="20" s="1"/>
  <c r="F78" i="20" s="1"/>
  <c r="W78" i="20"/>
  <c r="D80" i="20"/>
  <c r="E80" i="20" s="1"/>
  <c r="F80" i="20" s="1"/>
  <c r="W80" i="20"/>
  <c r="W82" i="20"/>
  <c r="D82" i="20"/>
  <c r="E82" i="20" s="1"/>
  <c r="F82" i="20" s="1"/>
  <c r="D84" i="20"/>
  <c r="E84" i="20" s="1"/>
  <c r="F84" i="20" s="1"/>
  <c r="W84" i="20"/>
  <c r="G124" i="20"/>
  <c r="CB124" i="6" s="1"/>
  <c r="W134" i="20"/>
  <c r="D134" i="20"/>
  <c r="E134" i="20" s="1"/>
  <c r="F134" i="20" s="1"/>
  <c r="G138" i="20"/>
  <c r="CB138" i="6" s="1"/>
  <c r="G182" i="20"/>
  <c r="CB182" i="6" s="1"/>
  <c r="D198" i="20"/>
  <c r="E198" i="20" s="1"/>
  <c r="F198" i="20" s="1"/>
  <c r="W198" i="20"/>
  <c r="D218" i="20"/>
  <c r="E218" i="20" s="1"/>
  <c r="F218" i="20" s="1"/>
  <c r="W218" i="20"/>
  <c r="G234" i="20"/>
  <c r="CB234" i="6" s="1"/>
  <c r="G262" i="20"/>
  <c r="CB262" i="6" s="1"/>
  <c r="H284" i="20"/>
  <c r="G284" i="20"/>
  <c r="CB284" i="6" s="1"/>
  <c r="G300" i="20"/>
  <c r="CB300" i="6" s="1"/>
  <c r="H300" i="20"/>
  <c r="G348" i="20"/>
  <c r="CB348" i="6" s="1"/>
  <c r="W366" i="20"/>
  <c r="D366" i="20"/>
  <c r="E366" i="20" s="1"/>
  <c r="F366" i="20" s="1"/>
  <c r="I264" i="18"/>
  <c r="B264" i="6" s="1"/>
  <c r="BA264" i="6" s="1"/>
  <c r="D264" i="6" s="1"/>
  <c r="J264" i="18"/>
  <c r="C264" i="6" s="1"/>
  <c r="J120" i="18"/>
  <c r="C120" i="6" s="1"/>
  <c r="I120" i="18"/>
  <c r="B120" i="6" s="1"/>
  <c r="BA120" i="6" s="1"/>
  <c r="D120" i="6" s="1"/>
  <c r="I160" i="18"/>
  <c r="B160" i="6" s="1"/>
  <c r="BA160" i="6" s="1"/>
  <c r="D160" i="6" s="1"/>
  <c r="J160" i="18"/>
  <c r="C160" i="6" s="1"/>
  <c r="AG15" i="20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D113" i="6"/>
  <c r="I97" i="18"/>
  <c r="B97" i="6" s="1"/>
  <c r="BA97" i="6" s="1"/>
  <c r="D97" i="6" s="1"/>
  <c r="J97" i="18"/>
  <c r="C97" i="6" s="1"/>
  <c r="I315" i="18"/>
  <c r="B315" i="6" s="1"/>
  <c r="BA315" i="6" s="1"/>
  <c r="D315" i="6" s="1"/>
  <c r="J315" i="18"/>
  <c r="C315" i="6" s="1"/>
  <c r="J274" i="18"/>
  <c r="C274" i="6" s="1"/>
  <c r="I274" i="18"/>
  <c r="B274" i="6" s="1"/>
  <c r="BA274" i="6" s="1"/>
  <c r="D274" i="6" s="1"/>
  <c r="I133" i="18"/>
  <c r="B133" i="6" s="1"/>
  <c r="BA133" i="6" s="1"/>
  <c r="D133" i="6" s="1"/>
  <c r="J133" i="18"/>
  <c r="C133" i="6" s="1"/>
  <c r="J167" i="18"/>
  <c r="C167" i="6" s="1"/>
  <c r="I167" i="18"/>
  <c r="B167" i="6" s="1"/>
  <c r="BA167" i="6" s="1"/>
  <c r="D167" i="6" s="1"/>
  <c r="I273" i="18"/>
  <c r="B273" i="6" s="1"/>
  <c r="BA273" i="6" s="1"/>
  <c r="D273" i="6" s="1"/>
  <c r="J273" i="18"/>
  <c r="C273" i="6" s="1"/>
  <c r="H363" i="18"/>
  <c r="AA363" i="18"/>
  <c r="Z363" i="18" s="1"/>
  <c r="Y363" i="18" s="1"/>
  <c r="G363" i="18"/>
  <c r="CA363" i="6" s="1"/>
  <c r="D46" i="20"/>
  <c r="E46" i="20" s="1"/>
  <c r="F46" i="20" s="1"/>
  <c r="W46" i="20"/>
  <c r="J322" i="18"/>
  <c r="C322" i="6" s="1"/>
  <c r="I322" i="18"/>
  <c r="B322" i="6" s="1"/>
  <c r="BA322" i="6" s="1"/>
  <c r="D322" i="6" s="1"/>
  <c r="I336" i="18"/>
  <c r="B336" i="6" s="1"/>
  <c r="BA336" i="6" s="1"/>
  <c r="D336" i="6" s="1"/>
  <c r="J336" i="18"/>
  <c r="C336" i="6" s="1"/>
  <c r="I346" i="18"/>
  <c r="B346" i="6" s="1"/>
  <c r="BA346" i="6" s="1"/>
  <c r="D346" i="6" s="1"/>
  <c r="J346" i="18"/>
  <c r="C346" i="6" s="1"/>
  <c r="I103" i="18"/>
  <c r="B103" i="6" s="1"/>
  <c r="BA103" i="6" s="1"/>
  <c r="D103" i="6" s="1"/>
  <c r="J103" i="18"/>
  <c r="C103" i="6" s="1"/>
  <c r="J337" i="18"/>
  <c r="C337" i="6" s="1"/>
  <c r="I337" i="18"/>
  <c r="B337" i="6" s="1"/>
  <c r="BA337" i="6" s="1"/>
  <c r="J239" i="18"/>
  <c r="C239" i="6" s="1"/>
  <c r="I239" i="18"/>
  <c r="B239" i="6" s="1"/>
  <c r="BA239" i="6" s="1"/>
  <c r="I271" i="18"/>
  <c r="B271" i="6" s="1"/>
  <c r="BA271" i="6" s="1"/>
  <c r="D271" i="6" s="1"/>
  <c r="J271" i="18"/>
  <c r="C271" i="6" s="1"/>
  <c r="I345" i="18"/>
  <c r="B345" i="6" s="1"/>
  <c r="BA345" i="6" s="1"/>
  <c r="D345" i="6" s="1"/>
  <c r="J345" i="18"/>
  <c r="C345" i="6" s="1"/>
  <c r="J106" i="18"/>
  <c r="C106" i="6" s="1"/>
  <c r="I106" i="18"/>
  <c r="B106" i="6" s="1"/>
  <c r="BA106" i="6" s="1"/>
  <c r="D106" i="6" s="1"/>
  <c r="I354" i="18"/>
  <c r="B354" i="6" s="1"/>
  <c r="BA354" i="6" s="1"/>
  <c r="D354" i="6" s="1"/>
  <c r="J354" i="18"/>
  <c r="C354" i="6" s="1"/>
  <c r="I25" i="18"/>
  <c r="B25" i="6" s="1"/>
  <c r="BA25" i="6" s="1"/>
  <c r="D25" i="6" s="1"/>
  <c r="J25" i="18"/>
  <c r="C25" i="6" s="1"/>
  <c r="J175" i="18"/>
  <c r="C175" i="6" s="1"/>
  <c r="I175" i="18"/>
  <c r="B175" i="6" s="1"/>
  <c r="BA175" i="6" s="1"/>
  <c r="D175" i="6" s="1"/>
  <c r="D16" i="20"/>
  <c r="E16" i="20" s="1"/>
  <c r="F16" i="20" s="1"/>
  <c r="W16" i="20"/>
  <c r="AA27" i="20"/>
  <c r="Z27" i="20" s="1"/>
  <c r="Y27" i="20" s="1"/>
  <c r="G27" i="20"/>
  <c r="CB27" i="6" s="1"/>
  <c r="H27" i="20"/>
  <c r="G57" i="20"/>
  <c r="CB57" i="6" s="1"/>
  <c r="AA57" i="20"/>
  <c r="Z57" i="20" s="1"/>
  <c r="Y57" i="20" s="1"/>
  <c r="AA71" i="20"/>
  <c r="Z71" i="20" s="1"/>
  <c r="Y71" i="20" s="1"/>
  <c r="G71" i="20"/>
  <c r="CB71" i="6" s="1"/>
  <c r="AA85" i="20"/>
  <c r="Z85" i="20" s="1"/>
  <c r="Y85" i="20" s="1"/>
  <c r="G85" i="20"/>
  <c r="CB85" i="6" s="1"/>
  <c r="G95" i="20"/>
  <c r="CB95" i="6" s="1"/>
  <c r="AA95" i="20"/>
  <c r="Z95" i="20" s="1"/>
  <c r="Y95" i="20" s="1"/>
  <c r="AA123" i="20"/>
  <c r="Z123" i="20" s="1"/>
  <c r="Y123" i="20" s="1"/>
  <c r="H123" i="20"/>
  <c r="G123" i="20"/>
  <c r="CB123" i="6" s="1"/>
  <c r="I181" i="18"/>
  <c r="B181" i="6" s="1"/>
  <c r="BA181" i="6" s="1"/>
  <c r="D181" i="6" s="1"/>
  <c r="J181" i="18"/>
  <c r="C181" i="6" s="1"/>
  <c r="I195" i="18"/>
  <c r="B195" i="6" s="1"/>
  <c r="BA195" i="6" s="1"/>
  <c r="D195" i="6" s="1"/>
  <c r="J195" i="18"/>
  <c r="C195" i="6" s="1"/>
  <c r="J237" i="18"/>
  <c r="C237" i="6" s="1"/>
  <c r="I237" i="18"/>
  <c r="B237" i="6" s="1"/>
  <c r="BA237" i="6" s="1"/>
  <c r="D237" i="6" s="1"/>
  <c r="J293" i="18"/>
  <c r="C293" i="6" s="1"/>
  <c r="I293" i="18"/>
  <c r="B293" i="6" s="1"/>
  <c r="BA293" i="6" s="1"/>
  <c r="D293" i="6" s="1"/>
  <c r="I96" i="18"/>
  <c r="B96" i="6" s="1"/>
  <c r="BA96" i="6" s="1"/>
  <c r="D96" i="6" s="1"/>
  <c r="J96" i="18"/>
  <c r="C96" i="6" s="1"/>
  <c r="I142" i="18"/>
  <c r="B142" i="6" s="1"/>
  <c r="BA142" i="6" s="1"/>
  <c r="D142" i="6" s="1"/>
  <c r="J142" i="18"/>
  <c r="C142" i="6" s="1"/>
  <c r="I168" i="18"/>
  <c r="B168" i="6" s="1"/>
  <c r="BA168" i="6" s="1"/>
  <c r="D168" i="6" s="1"/>
  <c r="J168" i="18"/>
  <c r="C168" i="6" s="1"/>
  <c r="J174" i="18"/>
  <c r="C174" i="6" s="1"/>
  <c r="I75" i="18"/>
  <c r="B75" i="6" s="1"/>
  <c r="BA75" i="6" s="1"/>
  <c r="D75" i="6" s="1"/>
  <c r="J75" i="18"/>
  <c r="C75" i="6" s="1"/>
  <c r="J115" i="18"/>
  <c r="C115" i="6" s="1"/>
  <c r="I115" i="18"/>
  <c r="B115" i="6" s="1"/>
  <c r="BA115" i="6" s="1"/>
  <c r="D115" i="6" s="1"/>
  <c r="I143" i="18"/>
  <c r="B143" i="6" s="1"/>
  <c r="BA143" i="6" s="1"/>
  <c r="D143" i="6" s="1"/>
  <c r="J143" i="18"/>
  <c r="C143" i="6" s="1"/>
  <c r="J233" i="18"/>
  <c r="C233" i="6" s="1"/>
  <c r="I233" i="18"/>
  <c r="B233" i="6" s="1"/>
  <c r="BA233" i="6" s="1"/>
  <c r="D233" i="6" s="1"/>
  <c r="J303" i="18"/>
  <c r="C303" i="6" s="1"/>
  <c r="I303" i="18"/>
  <c r="B303" i="6" s="1"/>
  <c r="BA303" i="6" s="1"/>
  <c r="D303" i="6" s="1"/>
  <c r="AA333" i="18"/>
  <c r="Z333" i="18" s="1"/>
  <c r="Y333" i="18" s="1"/>
  <c r="G333" i="18"/>
  <c r="CA333" i="6" s="1"/>
  <c r="I38" i="18"/>
  <c r="B38" i="6" s="1"/>
  <c r="BA38" i="6" s="1"/>
  <c r="D38" i="6" s="1"/>
  <c r="J38" i="18"/>
  <c r="C38" i="6" s="1"/>
  <c r="J52" i="18"/>
  <c r="C52" i="6" s="1"/>
  <c r="I52" i="18"/>
  <c r="B52" i="6" s="1"/>
  <c r="BA52" i="6" s="1"/>
  <c r="D52" i="6" s="1"/>
  <c r="I116" i="18"/>
  <c r="B116" i="6" s="1"/>
  <c r="BA116" i="6" s="1"/>
  <c r="D116" i="6" s="1"/>
  <c r="J116" i="18"/>
  <c r="C116" i="6" s="1"/>
  <c r="I172" i="18"/>
  <c r="B172" i="6" s="1"/>
  <c r="BA172" i="6" s="1"/>
  <c r="D172" i="6" s="1"/>
  <c r="J172" i="18"/>
  <c r="C172" i="6" s="1"/>
  <c r="I182" i="18"/>
  <c r="B182" i="6" s="1"/>
  <c r="BA182" i="6" s="1"/>
  <c r="D182" i="6" s="1"/>
  <c r="J182" i="18"/>
  <c r="C182" i="6" s="1"/>
  <c r="J228" i="18"/>
  <c r="C228" i="6" s="1"/>
  <c r="I228" i="18"/>
  <c r="B228" i="6" s="1"/>
  <c r="BA228" i="6" s="1"/>
  <c r="D228" i="6" s="1"/>
  <c r="I254" i="18"/>
  <c r="B254" i="6" s="1"/>
  <c r="BA254" i="6" s="1"/>
  <c r="D254" i="6" s="1"/>
  <c r="J254" i="18"/>
  <c r="C254" i="6" s="1"/>
  <c r="I262" i="18"/>
  <c r="B262" i="6" s="1"/>
  <c r="BA262" i="6" s="1"/>
  <c r="D262" i="6" s="1"/>
  <c r="J262" i="18"/>
  <c r="C262" i="6" s="1"/>
  <c r="J276" i="18"/>
  <c r="C276" i="6" s="1"/>
  <c r="I276" i="18"/>
  <c r="B276" i="6" s="1"/>
  <c r="BA276" i="6" s="1"/>
  <c r="D276" i="6" s="1"/>
  <c r="J308" i="18"/>
  <c r="C308" i="6" s="1"/>
  <c r="I308" i="18"/>
  <c r="B308" i="6" s="1"/>
  <c r="BA308" i="6" s="1"/>
  <c r="D308" i="6" s="1"/>
  <c r="I340" i="18"/>
  <c r="B340" i="6" s="1"/>
  <c r="BA340" i="6" s="1"/>
  <c r="D340" i="6" s="1"/>
  <c r="J340" i="18"/>
  <c r="C340" i="6" s="1"/>
  <c r="I350" i="18"/>
  <c r="B350" i="6" s="1"/>
  <c r="BA350" i="6" s="1"/>
  <c r="D350" i="6" s="1"/>
  <c r="J350" i="18"/>
  <c r="C350" i="6" s="1"/>
  <c r="I358" i="18"/>
  <c r="B358" i="6" s="1"/>
  <c r="BA358" i="6" s="1"/>
  <c r="D358" i="6" s="1"/>
  <c r="J358" i="18"/>
  <c r="C358" i="6" s="1"/>
  <c r="I87" i="18"/>
  <c r="B87" i="6" s="1"/>
  <c r="BA87" i="6" s="1"/>
  <c r="D87" i="6" s="1"/>
  <c r="J87" i="18"/>
  <c r="C87" i="6" s="1"/>
  <c r="D135" i="20"/>
  <c r="E135" i="20" s="1"/>
  <c r="F135" i="20" s="1"/>
  <c r="W135" i="20"/>
  <c r="J173" i="18"/>
  <c r="C173" i="6" s="1"/>
  <c r="I173" i="18"/>
  <c r="B173" i="6" s="1"/>
  <c r="BA173" i="6" s="1"/>
  <c r="D173" i="6" s="1"/>
  <c r="J191" i="18"/>
  <c r="C191" i="6" s="1"/>
  <c r="I191" i="18"/>
  <c r="B191" i="6" s="1"/>
  <c r="BA191" i="6" s="1"/>
  <c r="D191" i="6" s="1"/>
  <c r="I255" i="18"/>
  <c r="B255" i="6" s="1"/>
  <c r="BA255" i="6" s="1"/>
  <c r="D255" i="6" s="1"/>
  <c r="J255" i="18"/>
  <c r="C255" i="6" s="1"/>
  <c r="J287" i="18"/>
  <c r="C287" i="6" s="1"/>
  <c r="I287" i="18"/>
  <c r="B287" i="6" s="1"/>
  <c r="BA287" i="6" s="1"/>
  <c r="D287" i="6" s="1"/>
  <c r="I309" i="18"/>
  <c r="B309" i="6" s="1"/>
  <c r="BA309" i="6" s="1"/>
  <c r="J309" i="18"/>
  <c r="C309" i="6" s="1"/>
  <c r="I377" i="18"/>
  <c r="B377" i="6" s="1"/>
  <c r="BA377" i="6" s="1"/>
  <c r="D377" i="6" s="1"/>
  <c r="J377" i="18"/>
  <c r="C377" i="6" s="1"/>
  <c r="I314" i="18"/>
  <c r="B314" i="6" s="1"/>
  <c r="BA314" i="6" s="1"/>
  <c r="D314" i="6" s="1"/>
  <c r="J314" i="18"/>
  <c r="C314" i="6" s="1"/>
  <c r="I18" i="18"/>
  <c r="B18" i="6" s="1"/>
  <c r="BA18" i="6" s="1"/>
  <c r="D18" i="6" s="1"/>
  <c r="J18" i="18"/>
  <c r="C18" i="6" s="1"/>
  <c r="J45" i="18"/>
  <c r="C45" i="6" s="1"/>
  <c r="I45" i="18"/>
  <c r="B45" i="6" s="1"/>
  <c r="BA45" i="6" s="1"/>
  <c r="D45" i="6" s="1"/>
  <c r="I89" i="18"/>
  <c r="B89" i="6" s="1"/>
  <c r="BA89" i="6" s="1"/>
  <c r="D89" i="6" s="1"/>
  <c r="J89" i="18"/>
  <c r="C89" i="6" s="1"/>
  <c r="I109" i="18"/>
  <c r="B109" i="6" s="1"/>
  <c r="BA109" i="6" s="1"/>
  <c r="D109" i="6" s="1"/>
  <c r="J109" i="18"/>
  <c r="C109" i="6" s="1"/>
  <c r="I129" i="18"/>
  <c r="B129" i="6" s="1"/>
  <c r="BA129" i="6" s="1"/>
  <c r="D129" i="6" s="1"/>
  <c r="J129" i="18"/>
  <c r="C129" i="6" s="1"/>
  <c r="I157" i="18"/>
  <c r="B157" i="6" s="1"/>
  <c r="BA157" i="6" s="1"/>
  <c r="D157" i="6" s="1"/>
  <c r="J157" i="18"/>
  <c r="C157" i="6" s="1"/>
  <c r="J171" i="18"/>
  <c r="C171" i="6" s="1"/>
  <c r="I171" i="18"/>
  <c r="B171" i="6" s="1"/>
  <c r="BA171" i="6" s="1"/>
  <c r="D171" i="6" s="1"/>
  <c r="J289" i="18"/>
  <c r="C289" i="6" s="1"/>
  <c r="I289" i="18"/>
  <c r="B289" i="6" s="1"/>
  <c r="BA289" i="6" s="1"/>
  <c r="D289" i="6" s="1"/>
  <c r="I331" i="18"/>
  <c r="B331" i="6" s="1"/>
  <c r="BA331" i="6" s="1"/>
  <c r="D331" i="6" s="1"/>
  <c r="J331" i="18"/>
  <c r="C331" i="6" s="1"/>
  <c r="J359" i="18"/>
  <c r="C359" i="6" s="1"/>
  <c r="I359" i="18"/>
  <c r="B359" i="6" s="1"/>
  <c r="BA359" i="6" s="1"/>
  <c r="D359" i="6" s="1"/>
  <c r="AL6" i="16"/>
  <c r="AL12" i="16" s="1"/>
  <c r="I192" i="18"/>
  <c r="B192" i="6" s="1"/>
  <c r="BA192" i="6" s="1"/>
  <c r="D192" i="6" s="1"/>
  <c r="J192" i="18"/>
  <c r="C192" i="6" s="1"/>
  <c r="H60" i="18"/>
  <c r="G60" i="18"/>
  <c r="CA60" i="6" s="1"/>
  <c r="AA60" i="18"/>
  <c r="Z60" i="18" s="1"/>
  <c r="Y60" i="18" s="1"/>
  <c r="I82" i="18"/>
  <c r="B82" i="6" s="1"/>
  <c r="BA82" i="6" s="1"/>
  <c r="D82" i="6" s="1"/>
  <c r="J82" i="18"/>
  <c r="C82" i="6" s="1"/>
  <c r="I90" i="18"/>
  <c r="B90" i="6" s="1"/>
  <c r="BA90" i="6" s="1"/>
  <c r="D90" i="6" s="1"/>
  <c r="J90" i="18"/>
  <c r="C90" i="6" s="1"/>
  <c r="I98" i="18"/>
  <c r="B98" i="6" s="1"/>
  <c r="BA98" i="6" s="1"/>
  <c r="D98" i="6" s="1"/>
  <c r="J98" i="18"/>
  <c r="C98" i="6" s="1"/>
  <c r="I122" i="18"/>
  <c r="B122" i="6" s="1"/>
  <c r="BA122" i="6" s="1"/>
  <c r="D122" i="6" s="1"/>
  <c r="J122" i="18"/>
  <c r="C122" i="6" s="1"/>
  <c r="J146" i="18"/>
  <c r="C146" i="6" s="1"/>
  <c r="I146" i="18"/>
  <c r="B146" i="6" s="1"/>
  <c r="BA146" i="6" s="1"/>
  <c r="D146" i="6" s="1"/>
  <c r="I166" i="18"/>
  <c r="B166" i="6" s="1"/>
  <c r="BA166" i="6" s="1"/>
  <c r="D166" i="6" s="1"/>
  <c r="J166" i="18"/>
  <c r="C166" i="6" s="1"/>
  <c r="J188" i="18"/>
  <c r="C188" i="6" s="1"/>
  <c r="I188" i="18"/>
  <c r="B188" i="6" s="1"/>
  <c r="BA188" i="6" s="1"/>
  <c r="D188" i="6" s="1"/>
  <c r="I200" i="18"/>
  <c r="B200" i="6" s="1"/>
  <c r="BA200" i="6" s="1"/>
  <c r="D200" i="6" s="1"/>
  <c r="J200" i="18"/>
  <c r="C200" i="6" s="1"/>
  <c r="J202" i="18"/>
  <c r="C202" i="6" s="1"/>
  <c r="I202" i="18"/>
  <c r="B202" i="6" s="1"/>
  <c r="BA202" i="6" s="1"/>
  <c r="D202" i="6" s="1"/>
  <c r="I218" i="18"/>
  <c r="B218" i="6" s="1"/>
  <c r="BA218" i="6" s="1"/>
  <c r="D218" i="6" s="1"/>
  <c r="J218" i="18"/>
  <c r="C218" i="6" s="1"/>
  <c r="J226" i="18"/>
  <c r="C226" i="6" s="1"/>
  <c r="I226" i="18"/>
  <c r="B226" i="6" s="1"/>
  <c r="BA226" i="6" s="1"/>
  <c r="D226" i="6" s="1"/>
  <c r="J230" i="18"/>
  <c r="C230" i="6" s="1"/>
  <c r="I230" i="18"/>
  <c r="B230" i="6" s="1"/>
  <c r="BA230" i="6" s="1"/>
  <c r="D230" i="6" s="1"/>
  <c r="I252" i="18"/>
  <c r="B252" i="6" s="1"/>
  <c r="BA252" i="6" s="1"/>
  <c r="D252" i="6" s="1"/>
  <c r="J252" i="18"/>
  <c r="C252" i="6" s="1"/>
  <c r="I278" i="18"/>
  <c r="B278" i="6" s="1"/>
  <c r="BA278" i="6" s="1"/>
  <c r="D278" i="6" s="1"/>
  <c r="J278" i="18"/>
  <c r="C278" i="6" s="1"/>
  <c r="I298" i="18"/>
  <c r="B298" i="6" s="1"/>
  <c r="BA298" i="6" s="1"/>
  <c r="D298" i="6" s="1"/>
  <c r="J298" i="18"/>
  <c r="C298" i="6" s="1"/>
  <c r="I312" i="18"/>
  <c r="B312" i="6" s="1"/>
  <c r="BA312" i="6" s="1"/>
  <c r="D312" i="6" s="1"/>
  <c r="J312" i="18"/>
  <c r="C312" i="6" s="1"/>
  <c r="I332" i="18"/>
  <c r="B332" i="6" s="1"/>
  <c r="BA332" i="6" s="1"/>
  <c r="D332" i="6" s="1"/>
  <c r="J332" i="18"/>
  <c r="C332" i="6" s="1"/>
  <c r="I49" i="18"/>
  <c r="B49" i="6" s="1"/>
  <c r="BA49" i="6" s="1"/>
  <c r="D49" i="6" s="1"/>
  <c r="J49" i="18"/>
  <c r="C49" i="6" s="1"/>
  <c r="I53" i="18"/>
  <c r="B53" i="6" s="1"/>
  <c r="BA53" i="6" s="1"/>
  <c r="D53" i="6" s="1"/>
  <c r="J53" i="18"/>
  <c r="C53" i="6" s="1"/>
  <c r="I67" i="18"/>
  <c r="B67" i="6" s="1"/>
  <c r="BA67" i="6" s="1"/>
  <c r="D67" i="6" s="1"/>
  <c r="J67" i="18"/>
  <c r="C67" i="6" s="1"/>
  <c r="I99" i="18"/>
  <c r="B99" i="6" s="1"/>
  <c r="BA99" i="6" s="1"/>
  <c r="J99" i="18"/>
  <c r="C99" i="6" s="1"/>
  <c r="D127" i="6"/>
  <c r="I179" i="18"/>
  <c r="B179" i="6" s="1"/>
  <c r="BA179" i="6" s="1"/>
  <c r="D179" i="6" s="1"/>
  <c r="J179" i="18"/>
  <c r="C179" i="6" s="1"/>
  <c r="W227" i="20"/>
  <c r="D227" i="20"/>
  <c r="E227" i="20" s="1"/>
  <c r="F227" i="20" s="1"/>
  <c r="G241" i="18"/>
  <c r="CA241" i="6" s="1"/>
  <c r="AA241" i="18"/>
  <c r="Z241" i="18" s="1"/>
  <c r="Y241" i="18" s="1"/>
  <c r="H241" i="18"/>
  <c r="I83" i="18"/>
  <c r="B83" i="6" s="1"/>
  <c r="BA83" i="6" s="1"/>
  <c r="D83" i="6" s="1"/>
  <c r="J83" i="18"/>
  <c r="C83" i="6" s="1"/>
  <c r="J107" i="18"/>
  <c r="C107" i="6" s="1"/>
  <c r="I107" i="18"/>
  <c r="B107" i="6" s="1"/>
  <c r="BA107" i="6" s="1"/>
  <c r="D107" i="6" s="1"/>
  <c r="S15" i="20"/>
  <c r="T381" i="20"/>
  <c r="T383" i="20"/>
  <c r="T382" i="20"/>
  <c r="G31" i="20"/>
  <c r="CB31" i="6" s="1"/>
  <c r="H31" i="20"/>
  <c r="AA31" i="20"/>
  <c r="Z31" i="20" s="1"/>
  <c r="Y31" i="20" s="1"/>
  <c r="G49" i="20"/>
  <c r="CB49" i="6" s="1"/>
  <c r="AA49" i="20"/>
  <c r="Z49" i="20" s="1"/>
  <c r="Y49" i="20" s="1"/>
  <c r="G59" i="20"/>
  <c r="CB59" i="6" s="1"/>
  <c r="AA59" i="20"/>
  <c r="Z59" i="20" s="1"/>
  <c r="Y59" i="20" s="1"/>
  <c r="H59" i="20"/>
  <c r="H91" i="20"/>
  <c r="G91" i="20"/>
  <c r="CB91" i="6" s="1"/>
  <c r="AA91" i="20"/>
  <c r="Z91" i="20" s="1"/>
  <c r="Y91" i="20" s="1"/>
  <c r="G127" i="20"/>
  <c r="CB127" i="6" s="1"/>
  <c r="H127" i="20"/>
  <c r="G157" i="20"/>
  <c r="CB157" i="6" s="1"/>
  <c r="AA163" i="20"/>
  <c r="Z163" i="20" s="1"/>
  <c r="Y163" i="20" s="1"/>
  <c r="G163" i="20"/>
  <c r="CB163" i="6" s="1"/>
  <c r="G165" i="20"/>
  <c r="CB165" i="6" s="1"/>
  <c r="AA171" i="20"/>
  <c r="Z171" i="20" s="1"/>
  <c r="Y171" i="20" s="1"/>
  <c r="G171" i="20"/>
  <c r="CB171" i="6" s="1"/>
  <c r="G177" i="20"/>
  <c r="CB177" i="6" s="1"/>
  <c r="H177" i="20"/>
  <c r="G179" i="20"/>
  <c r="CB179" i="6" s="1"/>
  <c r="AA179" i="20"/>
  <c r="Z179" i="20" s="1"/>
  <c r="Y179" i="20" s="1"/>
  <c r="G181" i="20"/>
  <c r="CB181" i="6" s="1"/>
  <c r="G187" i="20"/>
  <c r="CB187" i="6" s="1"/>
  <c r="AA187" i="20"/>
  <c r="Z187" i="20" s="1"/>
  <c r="Y187" i="20" s="1"/>
  <c r="G213" i="20"/>
  <c r="CB213" i="6" s="1"/>
  <c r="G221" i="20"/>
  <c r="CB221" i="6" s="1"/>
  <c r="G255" i="20"/>
  <c r="CB255" i="6" s="1"/>
  <c r="G273" i="20"/>
  <c r="CB273" i="6" s="1"/>
  <c r="G315" i="20"/>
  <c r="CB315" i="6" s="1"/>
  <c r="AA315" i="20"/>
  <c r="Z315" i="20" s="1"/>
  <c r="Y315" i="20" s="1"/>
  <c r="G323" i="20"/>
  <c r="CB323" i="6" s="1"/>
  <c r="AA323" i="20"/>
  <c r="Z323" i="20" s="1"/>
  <c r="Y323" i="20" s="1"/>
  <c r="G325" i="20"/>
  <c r="CB325" i="6" s="1"/>
  <c r="G327" i="20"/>
  <c r="CB327" i="6" s="1"/>
  <c r="H327" i="20"/>
  <c r="G339" i="20"/>
  <c r="CB339" i="6" s="1"/>
  <c r="H339" i="20"/>
  <c r="AA339" i="20"/>
  <c r="Z339" i="20" s="1"/>
  <c r="Y339" i="20" s="1"/>
  <c r="G357" i="20"/>
  <c r="CB357" i="6" s="1"/>
  <c r="G365" i="20"/>
  <c r="CB365" i="6" s="1"/>
  <c r="U10" i="22"/>
  <c r="R381" i="18"/>
  <c r="R382" i="18"/>
  <c r="R383" i="18"/>
  <c r="P15" i="18"/>
  <c r="J34" i="18"/>
  <c r="C34" i="6" s="1"/>
  <c r="I34" i="18"/>
  <c r="B34" i="6" s="1"/>
  <c r="BA34" i="6" s="1"/>
  <c r="D34" i="6" s="1"/>
  <c r="I78" i="18"/>
  <c r="B78" i="6" s="1"/>
  <c r="BA78" i="6" s="1"/>
  <c r="D78" i="6" s="1"/>
  <c r="J78" i="18"/>
  <c r="C78" i="6" s="1"/>
  <c r="I242" i="18"/>
  <c r="B242" i="6" s="1"/>
  <c r="BA242" i="6" s="1"/>
  <c r="D242" i="6" s="1"/>
  <c r="J242" i="18"/>
  <c r="C242" i="6" s="1"/>
  <c r="I374" i="18"/>
  <c r="B374" i="6" s="1"/>
  <c r="BA374" i="6" s="1"/>
  <c r="D374" i="6" s="1"/>
  <c r="J374" i="18"/>
  <c r="C374" i="6" s="1"/>
  <c r="J74" i="18"/>
  <c r="C74" i="6" s="1"/>
  <c r="I74" i="18"/>
  <c r="B74" i="6" s="1"/>
  <c r="BA74" i="6" s="1"/>
  <c r="D74" i="6" s="1"/>
  <c r="I121" i="18"/>
  <c r="B121" i="6" s="1"/>
  <c r="BA121" i="6" s="1"/>
  <c r="D121" i="6" s="1"/>
  <c r="J121" i="18"/>
  <c r="C121" i="6" s="1"/>
  <c r="J275" i="18"/>
  <c r="C275" i="6" s="1"/>
  <c r="I275" i="18"/>
  <c r="B275" i="6" s="1"/>
  <c r="BA275" i="6" s="1"/>
  <c r="D275" i="6" s="1"/>
  <c r="I353" i="18"/>
  <c r="B353" i="6" s="1"/>
  <c r="BA353" i="6" s="1"/>
  <c r="D353" i="6" s="1"/>
  <c r="J353" i="18"/>
  <c r="C353" i="6" s="1"/>
  <c r="I365" i="18"/>
  <c r="B365" i="6" s="1"/>
  <c r="BA365" i="6" s="1"/>
  <c r="J124" i="18"/>
  <c r="C124" i="6" s="1"/>
  <c r="I124" i="18"/>
  <c r="B124" i="6" s="1"/>
  <c r="BA124" i="6" s="1"/>
  <c r="D124" i="6" s="1"/>
  <c r="H180" i="18"/>
  <c r="G180" i="18"/>
  <c r="CA180" i="6" s="1"/>
  <c r="AA180" i="18"/>
  <c r="Z180" i="18" s="1"/>
  <c r="Y180" i="18" s="1"/>
  <c r="J234" i="18"/>
  <c r="C234" i="6" s="1"/>
  <c r="I234" i="18"/>
  <c r="B234" i="6" s="1"/>
  <c r="BA234" i="6" s="1"/>
  <c r="D234" i="6" s="1"/>
  <c r="J39" i="18"/>
  <c r="C39" i="6" s="1"/>
  <c r="I39" i="18"/>
  <c r="B39" i="6" s="1"/>
  <c r="BA39" i="6" s="1"/>
  <c r="D39" i="6" s="1"/>
  <c r="I137" i="18"/>
  <c r="B137" i="6" s="1"/>
  <c r="BA137" i="6" s="1"/>
  <c r="D137" i="6" s="1"/>
  <c r="J137" i="18"/>
  <c r="C137" i="6" s="1"/>
  <c r="I223" i="18"/>
  <c r="B223" i="6" s="1"/>
  <c r="BA223" i="6" s="1"/>
  <c r="D223" i="6" s="1"/>
  <c r="J223" i="18"/>
  <c r="C223" i="6" s="1"/>
  <c r="I263" i="18"/>
  <c r="B263" i="6" s="1"/>
  <c r="BA263" i="6" s="1"/>
  <c r="D263" i="6" s="1"/>
  <c r="J263" i="18"/>
  <c r="C263" i="6" s="1"/>
  <c r="I267" i="18"/>
  <c r="B267" i="6" s="1"/>
  <c r="BA267" i="6" s="1"/>
  <c r="J317" i="18"/>
  <c r="C317" i="6" s="1"/>
  <c r="I317" i="18"/>
  <c r="B317" i="6" s="1"/>
  <c r="BA317" i="6" s="1"/>
  <c r="D317" i="6" s="1"/>
  <c r="I355" i="18"/>
  <c r="B355" i="6" s="1"/>
  <c r="BA355" i="6" s="1"/>
  <c r="D355" i="6" s="1"/>
  <c r="J355" i="18"/>
  <c r="C355" i="6" s="1"/>
  <c r="I30" i="18"/>
  <c r="B30" i="6" s="1"/>
  <c r="BA30" i="6" s="1"/>
  <c r="D30" i="6" s="1"/>
  <c r="J30" i="18"/>
  <c r="C30" i="6" s="1"/>
  <c r="I72" i="18"/>
  <c r="B72" i="6" s="1"/>
  <c r="BA72" i="6" s="1"/>
  <c r="D72" i="6" s="1"/>
  <c r="J72" i="18"/>
  <c r="C72" i="6" s="1"/>
  <c r="I84" i="18"/>
  <c r="B84" i="6" s="1"/>
  <c r="BA84" i="6" s="1"/>
  <c r="D84" i="6" s="1"/>
  <c r="J84" i="18"/>
  <c r="C84" i="6" s="1"/>
  <c r="I152" i="18"/>
  <c r="B152" i="6" s="1"/>
  <c r="BA152" i="6" s="1"/>
  <c r="D152" i="6" s="1"/>
  <c r="I162" i="18"/>
  <c r="B162" i="6" s="1"/>
  <c r="BA162" i="6" s="1"/>
  <c r="D162" i="6" s="1"/>
  <c r="J162" i="18"/>
  <c r="C162" i="6" s="1"/>
  <c r="J176" i="18"/>
  <c r="C176" i="6" s="1"/>
  <c r="J224" i="18"/>
  <c r="C224" i="6" s="1"/>
  <c r="I224" i="18"/>
  <c r="B224" i="6" s="1"/>
  <c r="BA224" i="6" s="1"/>
  <c r="D224" i="6" s="1"/>
  <c r="I236" i="18"/>
  <c r="B236" i="6" s="1"/>
  <c r="BA236" i="6" s="1"/>
  <c r="D236" i="6" s="1"/>
  <c r="J236" i="18"/>
  <c r="C236" i="6" s="1"/>
  <c r="I366" i="18"/>
  <c r="B366" i="6" s="1"/>
  <c r="BA366" i="6" s="1"/>
  <c r="D366" i="6" s="1"/>
  <c r="J366" i="18"/>
  <c r="C366" i="6" s="1"/>
  <c r="I225" i="18"/>
  <c r="B225" i="6" s="1"/>
  <c r="BA225" i="6" s="1"/>
  <c r="J225" i="18"/>
  <c r="C225" i="6" s="1"/>
  <c r="J269" i="18"/>
  <c r="C269" i="6" s="1"/>
  <c r="I269" i="18"/>
  <c r="B269" i="6" s="1"/>
  <c r="BA269" i="6" s="1"/>
  <c r="D269" i="6" s="1"/>
  <c r="J357" i="18"/>
  <c r="C357" i="6" s="1"/>
  <c r="I357" i="18"/>
  <c r="B357" i="6" s="1"/>
  <c r="BA357" i="6" s="1"/>
  <c r="D357" i="6" s="1"/>
  <c r="I294" i="18"/>
  <c r="B294" i="6" s="1"/>
  <c r="BA294" i="6" s="1"/>
  <c r="D294" i="6" s="1"/>
  <c r="J294" i="18"/>
  <c r="C294" i="6" s="1"/>
  <c r="I21" i="18"/>
  <c r="B21" i="6" s="1"/>
  <c r="BA21" i="6" s="1"/>
  <c r="D21" i="6" s="1"/>
  <c r="J21" i="18"/>
  <c r="C21" i="6" s="1"/>
  <c r="G29" i="18"/>
  <c r="CA29" i="6" s="1"/>
  <c r="H29" i="18"/>
  <c r="AA29" i="18"/>
  <c r="Z29" i="18" s="1"/>
  <c r="Y29" i="18" s="1"/>
  <c r="I55" i="18"/>
  <c r="B55" i="6" s="1"/>
  <c r="BA55" i="6" s="1"/>
  <c r="D55" i="6" s="1"/>
  <c r="J55" i="18"/>
  <c r="C55" i="6" s="1"/>
  <c r="J71" i="18"/>
  <c r="C71" i="6" s="1"/>
  <c r="I71" i="18"/>
  <c r="B71" i="6" s="1"/>
  <c r="BA71" i="6" s="1"/>
  <c r="J185" i="18"/>
  <c r="C185" i="6" s="1"/>
  <c r="I185" i="18"/>
  <c r="B185" i="6" s="1"/>
  <c r="BA185" i="6" s="1"/>
  <c r="D185" i="6" s="1"/>
  <c r="I231" i="18"/>
  <c r="B231" i="6" s="1"/>
  <c r="BA231" i="6" s="1"/>
  <c r="D231" i="6" s="1"/>
  <c r="J231" i="18"/>
  <c r="C231" i="6" s="1"/>
  <c r="I245" i="18"/>
  <c r="B245" i="6" s="1"/>
  <c r="BA245" i="6" s="1"/>
  <c r="D245" i="6" s="1"/>
  <c r="J311" i="18"/>
  <c r="C311" i="6" s="1"/>
  <c r="I311" i="18"/>
  <c r="B311" i="6" s="1"/>
  <c r="BA311" i="6" s="1"/>
  <c r="D311" i="6" s="1"/>
  <c r="J313" i="18"/>
  <c r="C313" i="6" s="1"/>
  <c r="I313" i="18"/>
  <c r="B313" i="6" s="1"/>
  <c r="BA313" i="6" s="1"/>
  <c r="D313" i="6" s="1"/>
  <c r="J323" i="18"/>
  <c r="C323" i="6" s="1"/>
  <c r="I323" i="18"/>
  <c r="B323" i="6" s="1"/>
  <c r="BA323" i="6" s="1"/>
  <c r="J369" i="18"/>
  <c r="C369" i="6" s="1"/>
  <c r="I369" i="18"/>
  <c r="B369" i="6" s="1"/>
  <c r="BA369" i="6" s="1"/>
  <c r="D369" i="6" s="1"/>
  <c r="J26" i="18"/>
  <c r="C26" i="6" s="1"/>
  <c r="I26" i="18"/>
  <c r="B26" i="6" s="1"/>
  <c r="BA26" i="6" s="1"/>
  <c r="D26" i="6" s="1"/>
  <c r="J62" i="18"/>
  <c r="C62" i="6" s="1"/>
  <c r="I62" i="18"/>
  <c r="B62" i="6" s="1"/>
  <c r="BA62" i="6" s="1"/>
  <c r="D62" i="6" s="1"/>
  <c r="I80" i="18"/>
  <c r="B80" i="6" s="1"/>
  <c r="BA80" i="6" s="1"/>
  <c r="D80" i="6" s="1"/>
  <c r="J80" i="18"/>
  <c r="C80" i="6" s="1"/>
  <c r="J86" i="18"/>
  <c r="C86" i="6" s="1"/>
  <c r="I86" i="18"/>
  <c r="B86" i="6" s="1"/>
  <c r="BA86" i="6" s="1"/>
  <c r="D86" i="6" s="1"/>
  <c r="I112" i="18"/>
  <c r="B112" i="6" s="1"/>
  <c r="BA112" i="6" s="1"/>
  <c r="D112" i="6" s="1"/>
  <c r="J112" i="18"/>
  <c r="C112" i="6" s="1"/>
  <c r="I130" i="18"/>
  <c r="B130" i="6" s="1"/>
  <c r="BA130" i="6" s="1"/>
  <c r="D130" i="6" s="1"/>
  <c r="J130" i="18"/>
  <c r="C130" i="6" s="1"/>
  <c r="I132" i="18"/>
  <c r="B132" i="6" s="1"/>
  <c r="BA132" i="6" s="1"/>
  <c r="D132" i="6" s="1"/>
  <c r="J132" i="18"/>
  <c r="C132" i="6" s="1"/>
  <c r="J156" i="18"/>
  <c r="C156" i="6" s="1"/>
  <c r="I156" i="18"/>
  <c r="B156" i="6" s="1"/>
  <c r="BA156" i="6" s="1"/>
  <c r="D156" i="6" s="1"/>
  <c r="J190" i="18"/>
  <c r="C190" i="6" s="1"/>
  <c r="I190" i="18"/>
  <c r="B190" i="6" s="1"/>
  <c r="BA190" i="6" s="1"/>
  <c r="D190" i="6" s="1"/>
  <c r="I208" i="18"/>
  <c r="B208" i="6" s="1"/>
  <c r="BA208" i="6" s="1"/>
  <c r="D208" i="6" s="1"/>
  <c r="J208" i="18"/>
  <c r="C208" i="6" s="1"/>
  <c r="AA272" i="18"/>
  <c r="Z272" i="18" s="1"/>
  <c r="Y272" i="18" s="1"/>
  <c r="H272" i="18"/>
  <c r="G272" i="18"/>
  <c r="CA272" i="6" s="1"/>
  <c r="I292" i="18"/>
  <c r="B292" i="6" s="1"/>
  <c r="BA292" i="6" s="1"/>
  <c r="D292" i="6" s="1"/>
  <c r="J292" i="18"/>
  <c r="C292" i="6" s="1"/>
  <c r="I304" i="18"/>
  <c r="B304" i="6" s="1"/>
  <c r="BA304" i="6" s="1"/>
  <c r="D304" i="6" s="1"/>
  <c r="J304" i="18"/>
  <c r="C304" i="6" s="1"/>
  <c r="J326" i="18"/>
  <c r="C326" i="6" s="1"/>
  <c r="I326" i="18"/>
  <c r="B326" i="6" s="1"/>
  <c r="BA326" i="6" s="1"/>
  <c r="D326" i="6" s="1"/>
  <c r="I334" i="18"/>
  <c r="B334" i="6" s="1"/>
  <c r="BA334" i="6" s="1"/>
  <c r="D334" i="6" s="1"/>
  <c r="J334" i="18"/>
  <c r="C334" i="6" s="1"/>
  <c r="I360" i="18"/>
  <c r="B360" i="6" s="1"/>
  <c r="BA360" i="6" s="1"/>
  <c r="D360" i="6" s="1"/>
  <c r="J360" i="18"/>
  <c r="C360" i="6" s="1"/>
  <c r="AG379" i="20"/>
  <c r="AF379" i="20" s="1"/>
  <c r="AD379" i="20" s="1"/>
  <c r="J95" i="18"/>
  <c r="C95" i="6" s="1"/>
  <c r="I95" i="18"/>
  <c r="B95" i="6" s="1"/>
  <c r="BA95" i="6" s="1"/>
  <c r="D95" i="6" s="1"/>
  <c r="J153" i="18"/>
  <c r="C153" i="6" s="1"/>
  <c r="I153" i="18"/>
  <c r="B153" i="6" s="1"/>
  <c r="BA153" i="6" s="1"/>
  <c r="D153" i="6" s="1"/>
  <c r="D169" i="6"/>
  <c r="J211" i="18"/>
  <c r="C211" i="6" s="1"/>
  <c r="I211" i="18"/>
  <c r="B211" i="6" s="1"/>
  <c r="BA211" i="6" s="1"/>
  <c r="J253" i="18"/>
  <c r="C253" i="6" s="1"/>
  <c r="I253" i="18"/>
  <c r="B253" i="6" s="1"/>
  <c r="BA253" i="6" s="1"/>
  <c r="J319" i="18"/>
  <c r="C319" i="6" s="1"/>
  <c r="I319" i="18"/>
  <c r="B319" i="6" s="1"/>
  <c r="BA319" i="6" s="1"/>
  <c r="D319" i="6" s="1"/>
  <c r="I161" i="18"/>
  <c r="B161" i="6" s="1"/>
  <c r="BA161" i="6" s="1"/>
  <c r="D161" i="6" s="1"/>
  <c r="J161" i="18"/>
  <c r="C161" i="6" s="1"/>
  <c r="I249" i="18"/>
  <c r="B249" i="6" s="1"/>
  <c r="BA249" i="6" s="1"/>
  <c r="D249" i="6" s="1"/>
  <c r="J249" i="18"/>
  <c r="C249" i="6" s="1"/>
  <c r="J325" i="18"/>
  <c r="C325" i="6" s="1"/>
  <c r="I325" i="18"/>
  <c r="B325" i="6" s="1"/>
  <c r="BA325" i="6" s="1"/>
  <c r="D325" i="6" s="1"/>
  <c r="AA20" i="20"/>
  <c r="Z20" i="20" s="1"/>
  <c r="Y20" i="20" s="1"/>
  <c r="G20" i="20"/>
  <c r="CB20" i="6" s="1"/>
  <c r="AA30" i="20"/>
  <c r="Z30" i="20" s="1"/>
  <c r="Y30" i="20" s="1"/>
  <c r="G30" i="20"/>
  <c r="CB30" i="6" s="1"/>
  <c r="AA38" i="20"/>
  <c r="Z38" i="20" s="1"/>
  <c r="Y38" i="20" s="1"/>
  <c r="G38" i="20"/>
  <c r="CB38" i="6" s="1"/>
  <c r="W60" i="20"/>
  <c r="W88" i="20"/>
  <c r="D88" i="20"/>
  <c r="E88" i="20" s="1"/>
  <c r="F88" i="20" s="1"/>
  <c r="G160" i="20"/>
  <c r="CB160" i="6" s="1"/>
  <c r="G240" i="20"/>
  <c r="CB240" i="6" s="1"/>
  <c r="H240" i="20"/>
  <c r="G304" i="20"/>
  <c r="CB304" i="6" s="1"/>
  <c r="G316" i="20"/>
  <c r="CB316" i="6" s="1"/>
  <c r="H316" i="20"/>
  <c r="G334" i="20"/>
  <c r="CB334" i="6" s="1"/>
  <c r="G344" i="20"/>
  <c r="CB344" i="6" s="1"/>
  <c r="H344" i="20"/>
  <c r="G370" i="20"/>
  <c r="CB370" i="6" s="1"/>
  <c r="I58" i="18"/>
  <c r="B58" i="6" s="1"/>
  <c r="BA58" i="6" s="1"/>
  <c r="D58" i="6" s="1"/>
  <c r="J58" i="18"/>
  <c r="C58" i="6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G106" i="20"/>
  <c r="CB106" i="6" s="1"/>
  <c r="G228" i="20"/>
  <c r="CB228" i="6" s="1"/>
  <c r="G291" i="20"/>
  <c r="CB291" i="6" s="1"/>
  <c r="AA291" i="20"/>
  <c r="Z291" i="20" s="1"/>
  <c r="Y291" i="20" s="1"/>
  <c r="J291" i="18" l="1"/>
  <c r="C291" i="6" s="1"/>
  <c r="J16" i="18"/>
  <c r="C16" i="6" s="1"/>
  <c r="H85" i="20"/>
  <c r="J22" i="18"/>
  <c r="C22" i="6" s="1"/>
  <c r="J183" i="18"/>
  <c r="C183" i="6" s="1"/>
  <c r="J155" i="18"/>
  <c r="C155" i="6" s="1"/>
  <c r="J56" i="18"/>
  <c r="C56" i="6" s="1"/>
  <c r="J126" i="18"/>
  <c r="C126" i="6" s="1"/>
  <c r="I210" i="18"/>
  <c r="B210" i="6" s="1"/>
  <c r="BA210" i="6" s="1"/>
  <c r="D210" i="6" s="1"/>
  <c r="AA352" i="20"/>
  <c r="Z352" i="20" s="1"/>
  <c r="Y352" i="20" s="1"/>
  <c r="AA117" i="20"/>
  <c r="Z117" i="20" s="1"/>
  <c r="Y117" i="20" s="1"/>
  <c r="J245" i="18"/>
  <c r="C245" i="6" s="1"/>
  <c r="H213" i="20"/>
  <c r="I213" i="20" s="1"/>
  <c r="AA100" i="20"/>
  <c r="Z100" i="20" s="1"/>
  <c r="Y100" i="20" s="1"/>
  <c r="H19" i="20"/>
  <c r="J19" i="20" s="1"/>
  <c r="AA189" i="20"/>
  <c r="Z189" i="20" s="1"/>
  <c r="Y189" i="20" s="1"/>
  <c r="AA161" i="20"/>
  <c r="Z161" i="20" s="1"/>
  <c r="Y161" i="20" s="1"/>
  <c r="AA225" i="20"/>
  <c r="Z225" i="20" s="1"/>
  <c r="Y225" i="20" s="1"/>
  <c r="AA289" i="20"/>
  <c r="Z289" i="20" s="1"/>
  <c r="Y289" i="20" s="1"/>
  <c r="W189" i="20"/>
  <c r="B125" i="20"/>
  <c r="H220" i="20"/>
  <c r="I220" i="20" s="1"/>
  <c r="B61" i="20"/>
  <c r="AD381" i="17"/>
  <c r="AD383" i="17"/>
  <c r="AD382" i="17"/>
  <c r="J285" i="18"/>
  <c r="C285" i="6" s="1"/>
  <c r="I285" i="18"/>
  <c r="B285" i="6" s="1"/>
  <c r="BA285" i="6" s="1"/>
  <c r="D285" i="6" s="1"/>
  <c r="J119" i="17"/>
  <c r="I119" i="17"/>
  <c r="H119" i="18" s="1"/>
  <c r="I119" i="18" s="1"/>
  <c r="B119" i="6" s="1"/>
  <c r="BA119" i="6" s="1"/>
  <c r="D119" i="6" s="1"/>
  <c r="J149" i="17"/>
  <c r="I149" i="17"/>
  <c r="H149" i="18" s="1"/>
  <c r="I301" i="18"/>
  <c r="B301" i="6" s="1"/>
  <c r="BA301" i="6" s="1"/>
  <c r="D301" i="6" s="1"/>
  <c r="J301" i="18"/>
  <c r="C301" i="6" s="1"/>
  <c r="F125" i="18"/>
  <c r="F189" i="18"/>
  <c r="F61" i="18"/>
  <c r="I205" i="17"/>
  <c r="H205" i="18" s="1"/>
  <c r="J205" i="17"/>
  <c r="J349" i="18"/>
  <c r="C349" i="6" s="1"/>
  <c r="I349" i="18"/>
  <c r="B349" i="6" s="1"/>
  <c r="BA349" i="6" s="1"/>
  <c r="D349" i="6" s="1"/>
  <c r="Z149" i="17"/>
  <c r="AL10" i="17"/>
  <c r="I333" i="17"/>
  <c r="H333" i="18" s="1"/>
  <c r="I333" i="18" s="1"/>
  <c r="B333" i="6" s="1"/>
  <c r="BA333" i="6" s="1"/>
  <c r="D333" i="6" s="1"/>
  <c r="J333" i="17"/>
  <c r="P383" i="17"/>
  <c r="P382" i="17"/>
  <c r="V15" i="17"/>
  <c r="P381" i="17"/>
  <c r="I88" i="17"/>
  <c r="H88" i="18" s="1"/>
  <c r="J88" i="17"/>
  <c r="I77" i="18"/>
  <c r="B77" i="6" s="1"/>
  <c r="BA77" i="6" s="1"/>
  <c r="D77" i="6" s="1"/>
  <c r="J77" i="18"/>
  <c r="C77" i="6" s="1"/>
  <c r="C7" i="6"/>
  <c r="Q7" i="7"/>
  <c r="I381" i="16"/>
  <c r="I382" i="16"/>
  <c r="I383" i="16"/>
  <c r="J380" i="20"/>
  <c r="I380" i="20"/>
  <c r="AL7" i="16"/>
  <c r="Z382" i="16"/>
  <c r="Z9" i="16"/>
  <c r="Y15" i="16"/>
  <c r="Z383" i="16"/>
  <c r="Z381" i="16"/>
  <c r="J382" i="16"/>
  <c r="J383" i="16"/>
  <c r="J381" i="16"/>
  <c r="G37" i="19"/>
  <c r="D13" i="19"/>
  <c r="E13" i="19" s="1"/>
  <c r="F13" i="19" s="1"/>
  <c r="H376" i="20"/>
  <c r="J376" i="20" s="1"/>
  <c r="H114" i="20"/>
  <c r="J114" i="20" s="1"/>
  <c r="H36" i="20"/>
  <c r="I36" i="20" s="1"/>
  <c r="AA376" i="20"/>
  <c r="Z376" i="20" s="1"/>
  <c r="Y376" i="20" s="1"/>
  <c r="AA308" i="20"/>
  <c r="Z308" i="20" s="1"/>
  <c r="Y308" i="20" s="1"/>
  <c r="AI383" i="20"/>
  <c r="G220" i="20"/>
  <c r="CB220" i="6" s="1"/>
  <c r="G249" i="20"/>
  <c r="CB249" i="6" s="1"/>
  <c r="G68" i="20"/>
  <c r="CB68" i="6" s="1"/>
  <c r="AA220" i="20"/>
  <c r="Z220" i="20" s="1"/>
  <c r="Y220" i="20" s="1"/>
  <c r="AA214" i="20"/>
  <c r="Z214" i="20" s="1"/>
  <c r="Y214" i="20" s="1"/>
  <c r="AA128" i="20"/>
  <c r="Z128" i="20" s="1"/>
  <c r="Y128" i="20" s="1"/>
  <c r="AA208" i="20"/>
  <c r="Z208" i="20" s="1"/>
  <c r="Y208" i="20" s="1"/>
  <c r="AA156" i="20"/>
  <c r="Z156" i="20" s="1"/>
  <c r="Y156" i="20" s="1"/>
  <c r="AA172" i="20"/>
  <c r="Z172" i="20" s="1"/>
  <c r="Y172" i="20" s="1"/>
  <c r="AA86" i="20"/>
  <c r="Z86" i="20" s="1"/>
  <c r="Y86" i="20" s="1"/>
  <c r="AA24" i="20"/>
  <c r="Z24" i="20" s="1"/>
  <c r="Y24" i="20" s="1"/>
  <c r="AA137" i="20"/>
  <c r="Z137" i="20" s="1"/>
  <c r="Y137" i="20" s="1"/>
  <c r="J101" i="18"/>
  <c r="C101" i="6" s="1"/>
  <c r="H117" i="20"/>
  <c r="I117" i="20" s="1"/>
  <c r="H295" i="20"/>
  <c r="I295" i="20" s="1"/>
  <c r="G66" i="19"/>
  <c r="AA254" i="20"/>
  <c r="Z254" i="20" s="1"/>
  <c r="Y254" i="20" s="1"/>
  <c r="AA270" i="20"/>
  <c r="Z270" i="20" s="1"/>
  <c r="Y270" i="20" s="1"/>
  <c r="AA350" i="20"/>
  <c r="Z350" i="20" s="1"/>
  <c r="Y350" i="20" s="1"/>
  <c r="AA374" i="20"/>
  <c r="Z374" i="20" s="1"/>
  <c r="Y374" i="20" s="1"/>
  <c r="AA295" i="20"/>
  <c r="Z295" i="20" s="1"/>
  <c r="Y295" i="20" s="1"/>
  <c r="AA247" i="20"/>
  <c r="Z247" i="20" s="1"/>
  <c r="Y247" i="20" s="1"/>
  <c r="H145" i="20"/>
  <c r="I145" i="20" s="1"/>
  <c r="AA45" i="20"/>
  <c r="Z45" i="20" s="1"/>
  <c r="Y45" i="20" s="1"/>
  <c r="AA191" i="20"/>
  <c r="Z191" i="20" s="1"/>
  <c r="Y191" i="20" s="1"/>
  <c r="G75" i="20"/>
  <c r="CB75" i="6" s="1"/>
  <c r="AA322" i="20"/>
  <c r="Z322" i="20" s="1"/>
  <c r="Y322" i="20" s="1"/>
  <c r="AA145" i="20"/>
  <c r="Z145" i="20" s="1"/>
  <c r="Y145" i="20" s="1"/>
  <c r="AA271" i="20"/>
  <c r="Z271" i="20" s="1"/>
  <c r="Y271" i="20" s="1"/>
  <c r="G72" i="20"/>
  <c r="CB72" i="6" s="1"/>
  <c r="AA89" i="20"/>
  <c r="Z89" i="20" s="1"/>
  <c r="Y89" i="20" s="1"/>
  <c r="W90" i="20"/>
  <c r="AA226" i="20"/>
  <c r="Z226" i="20" s="1"/>
  <c r="Y226" i="20" s="1"/>
  <c r="AA223" i="20"/>
  <c r="Z223" i="20" s="1"/>
  <c r="Y223" i="20" s="1"/>
  <c r="AA231" i="20"/>
  <c r="Z231" i="20" s="1"/>
  <c r="Y231" i="20" s="1"/>
  <c r="AO16" i="7"/>
  <c r="Q12" i="23"/>
  <c r="D66" i="19"/>
  <c r="AA81" i="20"/>
  <c r="Z81" i="20" s="1"/>
  <c r="Y81" i="20" s="1"/>
  <c r="AA87" i="20"/>
  <c r="Z87" i="20" s="1"/>
  <c r="Y87" i="20" s="1"/>
  <c r="H77" i="20"/>
  <c r="I77" i="20" s="1"/>
  <c r="G41" i="20"/>
  <c r="CB41" i="6" s="1"/>
  <c r="G140" i="20"/>
  <c r="CB140" i="6" s="1"/>
  <c r="G77" i="20"/>
  <c r="CB77" i="6" s="1"/>
  <c r="AA114" i="20"/>
  <c r="Z114" i="20" s="1"/>
  <c r="Y114" i="20" s="1"/>
  <c r="AA21" i="20"/>
  <c r="Z21" i="20" s="1"/>
  <c r="Y21" i="20" s="1"/>
  <c r="AA94" i="20"/>
  <c r="Z94" i="20" s="1"/>
  <c r="Y94" i="20" s="1"/>
  <c r="AA110" i="20"/>
  <c r="Z110" i="20" s="1"/>
  <c r="Y110" i="20" s="1"/>
  <c r="H94" i="20"/>
  <c r="J94" i="20" s="1"/>
  <c r="H128" i="20"/>
  <c r="J128" i="20" s="1"/>
  <c r="D180" i="20"/>
  <c r="E180" i="20" s="1"/>
  <c r="F180" i="20" s="1"/>
  <c r="AA180" i="20" s="1"/>
  <c r="Z180" i="20" s="1"/>
  <c r="Y180" i="20" s="1"/>
  <c r="AA112" i="20"/>
  <c r="Z112" i="20" s="1"/>
  <c r="Y112" i="20" s="1"/>
  <c r="AA140" i="20"/>
  <c r="Z140" i="20" s="1"/>
  <c r="Y140" i="20" s="1"/>
  <c r="AA120" i="20"/>
  <c r="Z120" i="20" s="1"/>
  <c r="Y120" i="20" s="1"/>
  <c r="AI381" i="20"/>
  <c r="AH104" i="20"/>
  <c r="AI382" i="20"/>
  <c r="H247" i="20"/>
  <c r="I247" i="20" s="1"/>
  <c r="H100" i="20"/>
  <c r="J100" i="20" s="1"/>
  <c r="I379" i="18"/>
  <c r="B379" i="6" s="1"/>
  <c r="BA379" i="6" s="1"/>
  <c r="D379" i="6" s="1"/>
  <c r="D48" i="20"/>
  <c r="E48" i="20" s="1"/>
  <c r="F48" i="20" s="1"/>
  <c r="G48" i="20" s="1"/>
  <c r="CB48" i="6" s="1"/>
  <c r="H81" i="20"/>
  <c r="J81" i="20" s="1"/>
  <c r="H315" i="20"/>
  <c r="J315" i="20" s="1"/>
  <c r="H214" i="20"/>
  <c r="I214" i="20" s="1"/>
  <c r="H187" i="20"/>
  <c r="I187" i="20" s="1"/>
  <c r="I302" i="18"/>
  <c r="B302" i="6" s="1"/>
  <c r="BA302" i="6" s="1"/>
  <c r="D302" i="6" s="1"/>
  <c r="H228" i="20"/>
  <c r="I228" i="20" s="1"/>
  <c r="H334" i="20"/>
  <c r="J334" i="20" s="1"/>
  <c r="H171" i="20"/>
  <c r="J171" i="20" s="1"/>
  <c r="H304" i="20"/>
  <c r="J304" i="20" s="1"/>
  <c r="H179" i="20"/>
  <c r="I179" i="20" s="1"/>
  <c r="H291" i="20"/>
  <c r="J291" i="20" s="1"/>
  <c r="H308" i="20"/>
  <c r="I308" i="20" s="1"/>
  <c r="H160" i="20"/>
  <c r="I160" i="20" s="1"/>
  <c r="H72" i="20"/>
  <c r="J72" i="20" s="1"/>
  <c r="H68" i="20"/>
  <c r="J68" i="20" s="1"/>
  <c r="H181" i="20"/>
  <c r="J181" i="20" s="1"/>
  <c r="H163" i="20"/>
  <c r="I163" i="20" s="1"/>
  <c r="H374" i="20"/>
  <c r="J374" i="20" s="1"/>
  <c r="H370" i="20"/>
  <c r="J370" i="20" s="1"/>
  <c r="H352" i="20"/>
  <c r="J352" i="20" s="1"/>
  <c r="H110" i="20"/>
  <c r="J110" i="20" s="1"/>
  <c r="H38" i="20"/>
  <c r="I38" i="20" s="1"/>
  <c r="H271" i="20"/>
  <c r="J271" i="20" s="1"/>
  <c r="H165" i="20"/>
  <c r="J165" i="20" s="1"/>
  <c r="H157" i="20"/>
  <c r="I157" i="20" s="1"/>
  <c r="H89" i="20"/>
  <c r="J89" i="20" s="1"/>
  <c r="H87" i="20"/>
  <c r="J87" i="20" s="1"/>
  <c r="H106" i="20"/>
  <c r="J106" i="20" s="1"/>
  <c r="H350" i="20"/>
  <c r="J350" i="20" s="1"/>
  <c r="H270" i="20"/>
  <c r="J270" i="20" s="1"/>
  <c r="H226" i="20"/>
  <c r="I226" i="20" s="1"/>
  <c r="H172" i="20"/>
  <c r="I172" i="20" s="1"/>
  <c r="H86" i="20"/>
  <c r="I86" i="20" s="1"/>
  <c r="H24" i="20"/>
  <c r="I24" i="20" s="1"/>
  <c r="H20" i="20"/>
  <c r="J20" i="20" s="1"/>
  <c r="H273" i="20"/>
  <c r="I273" i="20" s="1"/>
  <c r="H255" i="20"/>
  <c r="J255" i="20" s="1"/>
  <c r="H221" i="20"/>
  <c r="J221" i="20" s="1"/>
  <c r="H41" i="20"/>
  <c r="J41" i="20" s="1"/>
  <c r="H57" i="20"/>
  <c r="I57" i="20" s="1"/>
  <c r="H348" i="20"/>
  <c r="J348" i="20" s="1"/>
  <c r="AF382" i="18"/>
  <c r="AF381" i="18"/>
  <c r="AF383" i="18"/>
  <c r="AD15" i="18"/>
  <c r="H156" i="20"/>
  <c r="J156" i="20" s="1"/>
  <c r="H30" i="20"/>
  <c r="J30" i="20" s="1"/>
  <c r="Q381" i="22"/>
  <c r="H289" i="20"/>
  <c r="J289" i="20" s="1"/>
  <c r="H191" i="20"/>
  <c r="J191" i="20" s="1"/>
  <c r="H49" i="20"/>
  <c r="I49" i="20" s="1"/>
  <c r="H138" i="20"/>
  <c r="J138" i="20" s="1"/>
  <c r="H66" i="19"/>
  <c r="L66" i="19"/>
  <c r="K66" i="19"/>
  <c r="J66" i="19"/>
  <c r="E66" i="19"/>
  <c r="I66" i="19"/>
  <c r="F66" i="19"/>
  <c r="M66" i="19"/>
  <c r="G60" i="20"/>
  <c r="CB60" i="6" s="1"/>
  <c r="AA60" i="20"/>
  <c r="Z60" i="20" s="1"/>
  <c r="Y60" i="20" s="1"/>
  <c r="D253" i="6"/>
  <c r="AB4" i="6"/>
  <c r="D211" i="6"/>
  <c r="J272" i="18"/>
  <c r="C272" i="6" s="1"/>
  <c r="I272" i="18"/>
  <c r="B272" i="6" s="1"/>
  <c r="BA272" i="6" s="1"/>
  <c r="D272" i="6" s="1"/>
  <c r="J29" i="18"/>
  <c r="C29" i="6" s="1"/>
  <c r="I29" i="18"/>
  <c r="B29" i="6" s="1"/>
  <c r="BA29" i="6" s="1"/>
  <c r="I180" i="18"/>
  <c r="B180" i="6" s="1"/>
  <c r="BA180" i="6" s="1"/>
  <c r="J180" i="18"/>
  <c r="C180" i="6" s="1"/>
  <c r="H325" i="20"/>
  <c r="J295" i="20"/>
  <c r="H223" i="20"/>
  <c r="J213" i="20"/>
  <c r="J241" i="18"/>
  <c r="C241" i="6" s="1"/>
  <c r="I241" i="18"/>
  <c r="B241" i="6" s="1"/>
  <c r="BA241" i="6" s="1"/>
  <c r="D241" i="6" s="1"/>
  <c r="AA227" i="20"/>
  <c r="Z227" i="20" s="1"/>
  <c r="Y227" i="20" s="1"/>
  <c r="G227" i="20"/>
  <c r="CB227" i="6" s="1"/>
  <c r="I60" i="18"/>
  <c r="B60" i="6" s="1"/>
  <c r="BA60" i="6" s="1"/>
  <c r="D60" i="6" s="1"/>
  <c r="J60" i="18"/>
  <c r="C60" i="6" s="1"/>
  <c r="D309" i="6"/>
  <c r="AI4" i="6"/>
  <c r="J123" i="20"/>
  <c r="I123" i="20"/>
  <c r="I85" i="20"/>
  <c r="J85" i="20"/>
  <c r="H45" i="20"/>
  <c r="J27" i="20"/>
  <c r="I27" i="20"/>
  <c r="AA16" i="20"/>
  <c r="Z16" i="20" s="1"/>
  <c r="Y16" i="20" s="1"/>
  <c r="H16" i="20"/>
  <c r="G16" i="20"/>
  <c r="CB16" i="6" s="1"/>
  <c r="I363" i="18"/>
  <c r="B363" i="6" s="1"/>
  <c r="BA363" i="6" s="1"/>
  <c r="D363" i="6" s="1"/>
  <c r="J363" i="18"/>
  <c r="C363" i="6" s="1"/>
  <c r="AE381" i="22"/>
  <c r="AE382" i="22"/>
  <c r="AE383" i="22"/>
  <c r="Q382" i="22"/>
  <c r="AF15" i="20"/>
  <c r="H360" i="20"/>
  <c r="I284" i="20"/>
  <c r="J284" i="20"/>
  <c r="H254" i="20"/>
  <c r="AA218" i="20"/>
  <c r="Z218" i="20" s="1"/>
  <c r="Y218" i="20" s="1"/>
  <c r="H218" i="20"/>
  <c r="G218" i="20"/>
  <c r="CB218" i="6" s="1"/>
  <c r="H208" i="20"/>
  <c r="H182" i="20"/>
  <c r="H124" i="20"/>
  <c r="H112" i="20"/>
  <c r="AA84" i="20"/>
  <c r="Z84" i="20" s="1"/>
  <c r="Y84" i="20" s="1"/>
  <c r="G84" i="20"/>
  <c r="CB84" i="6" s="1"/>
  <c r="H84" i="20"/>
  <c r="G80" i="20"/>
  <c r="CB80" i="6" s="1"/>
  <c r="AA80" i="20"/>
  <c r="Z80" i="20" s="1"/>
  <c r="Y80" i="20" s="1"/>
  <c r="H80" i="20"/>
  <c r="H78" i="20"/>
  <c r="G78" i="20"/>
  <c r="CB78" i="6" s="1"/>
  <c r="AA78" i="20"/>
  <c r="Z78" i="20" s="1"/>
  <c r="Y78" i="20" s="1"/>
  <c r="AA70" i="20"/>
  <c r="Z70" i="20" s="1"/>
  <c r="Y70" i="20" s="1"/>
  <c r="G70" i="20"/>
  <c r="CB70" i="6" s="1"/>
  <c r="H70" i="20"/>
  <c r="H66" i="20"/>
  <c r="AA66" i="20"/>
  <c r="Z66" i="20" s="1"/>
  <c r="Y66" i="20" s="1"/>
  <c r="G66" i="20"/>
  <c r="CB66" i="6" s="1"/>
  <c r="AA64" i="20"/>
  <c r="Z64" i="20" s="1"/>
  <c r="Y64" i="20" s="1"/>
  <c r="G64" i="20"/>
  <c r="CB64" i="6" s="1"/>
  <c r="H64" i="20"/>
  <c r="H58" i="20"/>
  <c r="G58" i="20"/>
  <c r="CB58" i="6" s="1"/>
  <c r="AA58" i="20"/>
  <c r="Z58" i="20" s="1"/>
  <c r="Y58" i="20" s="1"/>
  <c r="H52" i="20"/>
  <c r="AA52" i="20"/>
  <c r="Z52" i="20" s="1"/>
  <c r="Y52" i="20" s="1"/>
  <c r="G52" i="20"/>
  <c r="CB52" i="6" s="1"/>
  <c r="AA34" i="20"/>
  <c r="Z34" i="20" s="1"/>
  <c r="Y34" i="20" s="1"/>
  <c r="G34" i="20"/>
  <c r="CB34" i="6" s="1"/>
  <c r="H34" i="20"/>
  <c r="H32" i="20"/>
  <c r="AA32" i="20"/>
  <c r="Z32" i="20" s="1"/>
  <c r="Y32" i="20" s="1"/>
  <c r="G32" i="20"/>
  <c r="CB32" i="6" s="1"/>
  <c r="AI380" i="22"/>
  <c r="AH380" i="22" s="1"/>
  <c r="AI378" i="22"/>
  <c r="AH378" i="22" s="1"/>
  <c r="AI376" i="22"/>
  <c r="AH376" i="22" s="1"/>
  <c r="AG376" i="22" s="1"/>
  <c r="AF376" i="22" s="1"/>
  <c r="AD376" i="22" s="1"/>
  <c r="AI374" i="22"/>
  <c r="AH374" i="22" s="1"/>
  <c r="AI372" i="22"/>
  <c r="AH372" i="22" s="1"/>
  <c r="AI370" i="22"/>
  <c r="AH370" i="22" s="1"/>
  <c r="AI368" i="22"/>
  <c r="AH368" i="22" s="1"/>
  <c r="AI366" i="22"/>
  <c r="AH366" i="22" s="1"/>
  <c r="AG366" i="22" s="1"/>
  <c r="AF366" i="22" s="1"/>
  <c r="AD366" i="22" s="1"/>
  <c r="AI364" i="22"/>
  <c r="AH364" i="22" s="1"/>
  <c r="AI362" i="22"/>
  <c r="AH362" i="22" s="1"/>
  <c r="AG362" i="22" s="1"/>
  <c r="AF362" i="22" s="1"/>
  <c r="AD362" i="22" s="1"/>
  <c r="AI360" i="22"/>
  <c r="AH360" i="22" s="1"/>
  <c r="AI358" i="22"/>
  <c r="AH358" i="22" s="1"/>
  <c r="AI356" i="22"/>
  <c r="AH356" i="22" s="1"/>
  <c r="AG356" i="22" s="1"/>
  <c r="AF356" i="22" s="1"/>
  <c r="AD356" i="22" s="1"/>
  <c r="AI354" i="22"/>
  <c r="AH354" i="22" s="1"/>
  <c r="AI352" i="22"/>
  <c r="AH352" i="22" s="1"/>
  <c r="AI350" i="22"/>
  <c r="AH350" i="22" s="1"/>
  <c r="AI348" i="22"/>
  <c r="AH348" i="22" s="1"/>
  <c r="AG348" i="22" s="1"/>
  <c r="AF348" i="22" s="1"/>
  <c r="AD348" i="22" s="1"/>
  <c r="AI346" i="22"/>
  <c r="AH346" i="22" s="1"/>
  <c r="AG346" i="22" s="1"/>
  <c r="AF346" i="22" s="1"/>
  <c r="AD346" i="22" s="1"/>
  <c r="AI344" i="22"/>
  <c r="AH344" i="22" s="1"/>
  <c r="AG344" i="22" s="1"/>
  <c r="AF344" i="22" s="1"/>
  <c r="AD344" i="22" s="1"/>
  <c r="AI342" i="22"/>
  <c r="AH342" i="22" s="1"/>
  <c r="AG342" i="22" s="1"/>
  <c r="AF342" i="22" s="1"/>
  <c r="AD342" i="22" s="1"/>
  <c r="AI340" i="22"/>
  <c r="AH340" i="22" s="1"/>
  <c r="AI338" i="22"/>
  <c r="AH338" i="22" s="1"/>
  <c r="AG338" i="22" s="1"/>
  <c r="AF338" i="22" s="1"/>
  <c r="AD338" i="22" s="1"/>
  <c r="AI336" i="22"/>
  <c r="AH336" i="22" s="1"/>
  <c r="AI334" i="22"/>
  <c r="AH334" i="22" s="1"/>
  <c r="AI332" i="22"/>
  <c r="AH332" i="22" s="1"/>
  <c r="AI330" i="22"/>
  <c r="AH330" i="22" s="1"/>
  <c r="AI328" i="22"/>
  <c r="AH328" i="22" s="1"/>
  <c r="AG328" i="22" s="1"/>
  <c r="AF328" i="22" s="1"/>
  <c r="AD328" i="22" s="1"/>
  <c r="AI326" i="22"/>
  <c r="AH326" i="22" s="1"/>
  <c r="AI324" i="22"/>
  <c r="AH324" i="22" s="1"/>
  <c r="AI322" i="22"/>
  <c r="AH322" i="22" s="1"/>
  <c r="AG322" i="22" s="1"/>
  <c r="AF322" i="22" s="1"/>
  <c r="AD322" i="22" s="1"/>
  <c r="AI320" i="22"/>
  <c r="AH320" i="22" s="1"/>
  <c r="AG320" i="22" s="1"/>
  <c r="AF320" i="22" s="1"/>
  <c r="AD320" i="22" s="1"/>
  <c r="AI318" i="22"/>
  <c r="AH318" i="22" s="1"/>
  <c r="AI316" i="22"/>
  <c r="AH316" i="22" s="1"/>
  <c r="AG316" i="22" s="1"/>
  <c r="AF316" i="22" s="1"/>
  <c r="AD316" i="22" s="1"/>
  <c r="AI314" i="22"/>
  <c r="AH314" i="22" s="1"/>
  <c r="AG314" i="22" s="1"/>
  <c r="AF314" i="22" s="1"/>
  <c r="AD314" i="22" s="1"/>
  <c r="AI312" i="22"/>
  <c r="AH312" i="22" s="1"/>
  <c r="AG312" i="22" s="1"/>
  <c r="AF312" i="22" s="1"/>
  <c r="AD312" i="22" s="1"/>
  <c r="AI310" i="22"/>
  <c r="AH310" i="22" s="1"/>
  <c r="AI308" i="22"/>
  <c r="AH308" i="22" s="1"/>
  <c r="AG308" i="22" s="1"/>
  <c r="AF308" i="22" s="1"/>
  <c r="AD308" i="22" s="1"/>
  <c r="AI306" i="22"/>
  <c r="AH306" i="22" s="1"/>
  <c r="AI304" i="22"/>
  <c r="AH304" i="22" s="1"/>
  <c r="AI302" i="22"/>
  <c r="AH302" i="22" s="1"/>
  <c r="AI300" i="22"/>
  <c r="AH300" i="22" s="1"/>
  <c r="AI298" i="22"/>
  <c r="AH298" i="22" s="1"/>
  <c r="AI296" i="22"/>
  <c r="AH296" i="22" s="1"/>
  <c r="AI294" i="22"/>
  <c r="AH294" i="22" s="1"/>
  <c r="AI292" i="22"/>
  <c r="AH292" i="22" s="1"/>
  <c r="AG292" i="22" s="1"/>
  <c r="AF292" i="22" s="1"/>
  <c r="AD292" i="22" s="1"/>
  <c r="AI290" i="22"/>
  <c r="AH290" i="22" s="1"/>
  <c r="AG290" i="22" s="1"/>
  <c r="AF290" i="22" s="1"/>
  <c r="AD290" i="22" s="1"/>
  <c r="AI288" i="22"/>
  <c r="AH288" i="22" s="1"/>
  <c r="AG288" i="22" s="1"/>
  <c r="AF288" i="22" s="1"/>
  <c r="AD288" i="22" s="1"/>
  <c r="AI286" i="22"/>
  <c r="AH286" i="22" s="1"/>
  <c r="AG286" i="22" s="1"/>
  <c r="AF286" i="22" s="1"/>
  <c r="AD286" i="22" s="1"/>
  <c r="AI284" i="22"/>
  <c r="AH284" i="22" s="1"/>
  <c r="AG284" i="22" s="1"/>
  <c r="AF284" i="22" s="1"/>
  <c r="AD284" i="22" s="1"/>
  <c r="AI282" i="22"/>
  <c r="AH282" i="22" s="1"/>
  <c r="AG282" i="22" s="1"/>
  <c r="AF282" i="22" s="1"/>
  <c r="AD282" i="22" s="1"/>
  <c r="AI280" i="22"/>
  <c r="AH280" i="22" s="1"/>
  <c r="AG280" i="22" s="1"/>
  <c r="AF280" i="22" s="1"/>
  <c r="AD280" i="22" s="1"/>
  <c r="AI278" i="22"/>
  <c r="AH278" i="22" s="1"/>
  <c r="AG278" i="22" s="1"/>
  <c r="AF278" i="22" s="1"/>
  <c r="AD278" i="22" s="1"/>
  <c r="AI276" i="22"/>
  <c r="AH276" i="22" s="1"/>
  <c r="AG276" i="22" s="1"/>
  <c r="AF276" i="22" s="1"/>
  <c r="AD276" i="22" s="1"/>
  <c r="AI274" i="22"/>
  <c r="AH274" i="22" s="1"/>
  <c r="AG274" i="22" s="1"/>
  <c r="AF274" i="22" s="1"/>
  <c r="AD274" i="22" s="1"/>
  <c r="AI272" i="22"/>
  <c r="AH272" i="22" s="1"/>
  <c r="AI270" i="22"/>
  <c r="AH270" i="22" s="1"/>
  <c r="AI268" i="22"/>
  <c r="AH268" i="22" s="1"/>
  <c r="AG268" i="22" s="1"/>
  <c r="AF268" i="22" s="1"/>
  <c r="AD268" i="22" s="1"/>
  <c r="AI266" i="22"/>
  <c r="AH266" i="22" s="1"/>
  <c r="AG266" i="22" s="1"/>
  <c r="AF266" i="22" s="1"/>
  <c r="AD266" i="22" s="1"/>
  <c r="AI264" i="22"/>
  <c r="AH264" i="22" s="1"/>
  <c r="AG264" i="22" s="1"/>
  <c r="AF264" i="22" s="1"/>
  <c r="AD264" i="22" s="1"/>
  <c r="AI262" i="22"/>
  <c r="AH262" i="22" s="1"/>
  <c r="AG262" i="22" s="1"/>
  <c r="AF262" i="22" s="1"/>
  <c r="AD262" i="22" s="1"/>
  <c r="AI260" i="22"/>
  <c r="AH260" i="22" s="1"/>
  <c r="AI258" i="22"/>
  <c r="AH258" i="22" s="1"/>
  <c r="AG258" i="22" s="1"/>
  <c r="AF258" i="22" s="1"/>
  <c r="AD258" i="22" s="1"/>
  <c r="AI256" i="22"/>
  <c r="AH256" i="22" s="1"/>
  <c r="AG256" i="22" s="1"/>
  <c r="AF256" i="22" s="1"/>
  <c r="AD256" i="22" s="1"/>
  <c r="AI254" i="22"/>
  <c r="AH254" i="22" s="1"/>
  <c r="AG254" i="22" s="1"/>
  <c r="AF254" i="22" s="1"/>
  <c r="AD254" i="22" s="1"/>
  <c r="AI252" i="22"/>
  <c r="AH252" i="22" s="1"/>
  <c r="AG252" i="22" s="1"/>
  <c r="AF252" i="22" s="1"/>
  <c r="AD252" i="22" s="1"/>
  <c r="AI250" i="22"/>
  <c r="AH250" i="22" s="1"/>
  <c r="AG250" i="22" s="1"/>
  <c r="AF250" i="22" s="1"/>
  <c r="AD250" i="22" s="1"/>
  <c r="AI248" i="22"/>
  <c r="AH248" i="22" s="1"/>
  <c r="AI246" i="22"/>
  <c r="AH246" i="22" s="1"/>
  <c r="AI244" i="22"/>
  <c r="AH244" i="22" s="1"/>
  <c r="AG244" i="22" s="1"/>
  <c r="AF244" i="22" s="1"/>
  <c r="AD244" i="22" s="1"/>
  <c r="AI242" i="22"/>
  <c r="AH242" i="22" s="1"/>
  <c r="AI240" i="22"/>
  <c r="AH240" i="22" s="1"/>
  <c r="AI238" i="22"/>
  <c r="AH238" i="22" s="1"/>
  <c r="AI236" i="22"/>
  <c r="AH236" i="22" s="1"/>
  <c r="AG236" i="22" s="1"/>
  <c r="AF236" i="22" s="1"/>
  <c r="AD236" i="22" s="1"/>
  <c r="AI234" i="22"/>
  <c r="AH234" i="22" s="1"/>
  <c r="AG234" i="22" s="1"/>
  <c r="AF234" i="22" s="1"/>
  <c r="AD234" i="22" s="1"/>
  <c r="AI232" i="22"/>
  <c r="AH232" i="22" s="1"/>
  <c r="AG232" i="22" s="1"/>
  <c r="AF232" i="22" s="1"/>
  <c r="AD232" i="22" s="1"/>
  <c r="AI230" i="22"/>
  <c r="AH230" i="22" s="1"/>
  <c r="AI228" i="22"/>
  <c r="AH228" i="22" s="1"/>
  <c r="AG228" i="22" s="1"/>
  <c r="AF228" i="22" s="1"/>
  <c r="AD228" i="22" s="1"/>
  <c r="AI226" i="22"/>
  <c r="AH226" i="22" s="1"/>
  <c r="AI224" i="22"/>
  <c r="AH224" i="22" s="1"/>
  <c r="AG224" i="22" s="1"/>
  <c r="AF224" i="22" s="1"/>
  <c r="AD224" i="22" s="1"/>
  <c r="AI222" i="22"/>
  <c r="AH222" i="22" s="1"/>
  <c r="AG222" i="22" s="1"/>
  <c r="AF222" i="22" s="1"/>
  <c r="AD222" i="22" s="1"/>
  <c r="AI220" i="22"/>
  <c r="AH220" i="22" s="1"/>
  <c r="AI218" i="22"/>
  <c r="AH218" i="22" s="1"/>
  <c r="AI216" i="22"/>
  <c r="AH216" i="22" s="1"/>
  <c r="AG216" i="22" s="1"/>
  <c r="AF216" i="22" s="1"/>
  <c r="AD216" i="22" s="1"/>
  <c r="AI214" i="22"/>
  <c r="AH214" i="22" s="1"/>
  <c r="AI212" i="22"/>
  <c r="AH212" i="22" s="1"/>
  <c r="AI210" i="22"/>
  <c r="AH210" i="22" s="1"/>
  <c r="AG210" i="22" s="1"/>
  <c r="AF210" i="22" s="1"/>
  <c r="AD210" i="22" s="1"/>
  <c r="AI208" i="22"/>
  <c r="AH208" i="22" s="1"/>
  <c r="AG208" i="22" s="1"/>
  <c r="AF208" i="22" s="1"/>
  <c r="AD208" i="22" s="1"/>
  <c r="AI206" i="22"/>
  <c r="AH206" i="22" s="1"/>
  <c r="AI204" i="22"/>
  <c r="AH204" i="22" s="1"/>
  <c r="AI202" i="22"/>
  <c r="AH202" i="22" s="1"/>
  <c r="AG202" i="22" s="1"/>
  <c r="AF202" i="22" s="1"/>
  <c r="AD202" i="22" s="1"/>
  <c r="AI200" i="22"/>
  <c r="AH200" i="22" s="1"/>
  <c r="AG200" i="22" s="1"/>
  <c r="AF200" i="22" s="1"/>
  <c r="AD200" i="22" s="1"/>
  <c r="AI198" i="22"/>
  <c r="AH198" i="22" s="1"/>
  <c r="AG198" i="22" s="1"/>
  <c r="AF198" i="22" s="1"/>
  <c r="AD198" i="22" s="1"/>
  <c r="AI196" i="22"/>
  <c r="AH196" i="22" s="1"/>
  <c r="AG196" i="22" s="1"/>
  <c r="AF196" i="22" s="1"/>
  <c r="AD196" i="22" s="1"/>
  <c r="AI194" i="22"/>
  <c r="AH194" i="22" s="1"/>
  <c r="AI192" i="22"/>
  <c r="AH192" i="22" s="1"/>
  <c r="AI190" i="22"/>
  <c r="AH190" i="22" s="1"/>
  <c r="AI188" i="22"/>
  <c r="AH188" i="22" s="1"/>
  <c r="AG188" i="22" s="1"/>
  <c r="AF188" i="22" s="1"/>
  <c r="AD188" i="22" s="1"/>
  <c r="AI186" i="22"/>
  <c r="AH186" i="22" s="1"/>
  <c r="AG186" i="22" s="1"/>
  <c r="AF186" i="22" s="1"/>
  <c r="AD186" i="22" s="1"/>
  <c r="AI184" i="22"/>
  <c r="AH184" i="22" s="1"/>
  <c r="AI182" i="22"/>
  <c r="AH182" i="22" s="1"/>
  <c r="AI180" i="22"/>
  <c r="AH180" i="22" s="1"/>
  <c r="AI178" i="22"/>
  <c r="AH178" i="22" s="1"/>
  <c r="AG178" i="22" s="1"/>
  <c r="AF178" i="22" s="1"/>
  <c r="AD178" i="22" s="1"/>
  <c r="AI176" i="22"/>
  <c r="AH176" i="22" s="1"/>
  <c r="AG176" i="22" s="1"/>
  <c r="AF176" i="22" s="1"/>
  <c r="AD176" i="22" s="1"/>
  <c r="AI174" i="22"/>
  <c r="AH174" i="22" s="1"/>
  <c r="AG174" i="22" s="1"/>
  <c r="AF174" i="22" s="1"/>
  <c r="AD174" i="22" s="1"/>
  <c r="AI172" i="22"/>
  <c r="AH172" i="22" s="1"/>
  <c r="AI170" i="22"/>
  <c r="AH170" i="22" s="1"/>
  <c r="AI168" i="22"/>
  <c r="AH168" i="22" s="1"/>
  <c r="AI166" i="22"/>
  <c r="AH166" i="22" s="1"/>
  <c r="AG166" i="22" s="1"/>
  <c r="AF166" i="22" s="1"/>
  <c r="AD166" i="22" s="1"/>
  <c r="AI164" i="22"/>
  <c r="AH164" i="22" s="1"/>
  <c r="AI162" i="22"/>
  <c r="AH162" i="22" s="1"/>
  <c r="AI160" i="22"/>
  <c r="AH160" i="22" s="1"/>
  <c r="AI158" i="22"/>
  <c r="AH158" i="22" s="1"/>
  <c r="AG158" i="22" s="1"/>
  <c r="AF158" i="22" s="1"/>
  <c r="AD158" i="22" s="1"/>
  <c r="AI156" i="22"/>
  <c r="AH156" i="22" s="1"/>
  <c r="AG156" i="22" s="1"/>
  <c r="AF156" i="22" s="1"/>
  <c r="AD156" i="22" s="1"/>
  <c r="AI154" i="22"/>
  <c r="AH154" i="22" s="1"/>
  <c r="AG154" i="22" s="1"/>
  <c r="AF154" i="22" s="1"/>
  <c r="AD154" i="22" s="1"/>
  <c r="AI152" i="22"/>
  <c r="AH152" i="22" s="1"/>
  <c r="AI150" i="22"/>
  <c r="AH150" i="22" s="1"/>
  <c r="AG150" i="22" s="1"/>
  <c r="AF150" i="22" s="1"/>
  <c r="AD150" i="22" s="1"/>
  <c r="AI148" i="22"/>
  <c r="AH148" i="22" s="1"/>
  <c r="AI146" i="22"/>
  <c r="AH146" i="22" s="1"/>
  <c r="AI144" i="22"/>
  <c r="AH144" i="22" s="1"/>
  <c r="AG144" i="22" s="1"/>
  <c r="AF144" i="22" s="1"/>
  <c r="AD144" i="22" s="1"/>
  <c r="AI142" i="22"/>
  <c r="AH142" i="22" s="1"/>
  <c r="AG142" i="22" s="1"/>
  <c r="AF142" i="22" s="1"/>
  <c r="AD142" i="22" s="1"/>
  <c r="AI140" i="22"/>
  <c r="AH140" i="22" s="1"/>
  <c r="AG140" i="22" s="1"/>
  <c r="AF140" i="22" s="1"/>
  <c r="AD140" i="22" s="1"/>
  <c r="AI138" i="22"/>
  <c r="AH138" i="22" s="1"/>
  <c r="AG138" i="22" s="1"/>
  <c r="AF138" i="22" s="1"/>
  <c r="AD138" i="22" s="1"/>
  <c r="AI136" i="22"/>
  <c r="AH136" i="22" s="1"/>
  <c r="AI134" i="22"/>
  <c r="AH134" i="22" s="1"/>
  <c r="AG134" i="22" s="1"/>
  <c r="AF134" i="22" s="1"/>
  <c r="AD134" i="22" s="1"/>
  <c r="AI132" i="22"/>
  <c r="AH132" i="22" s="1"/>
  <c r="AG132" i="22" s="1"/>
  <c r="AF132" i="22" s="1"/>
  <c r="AD132" i="22" s="1"/>
  <c r="AI130" i="22"/>
  <c r="AH130" i="22" s="1"/>
  <c r="AG130" i="22" s="1"/>
  <c r="AF130" i="22" s="1"/>
  <c r="AD130" i="22" s="1"/>
  <c r="AI128" i="22"/>
  <c r="AH128" i="22" s="1"/>
  <c r="AI126" i="22"/>
  <c r="AH126" i="22" s="1"/>
  <c r="AI124" i="22"/>
  <c r="AH124" i="22" s="1"/>
  <c r="AG124" i="22" s="1"/>
  <c r="AF124" i="22" s="1"/>
  <c r="AD124" i="22" s="1"/>
  <c r="AI122" i="22"/>
  <c r="AH122" i="22" s="1"/>
  <c r="AG122" i="22" s="1"/>
  <c r="AF122" i="22" s="1"/>
  <c r="AD122" i="22" s="1"/>
  <c r="AI120" i="22"/>
  <c r="AH120" i="22" s="1"/>
  <c r="AG120" i="22" s="1"/>
  <c r="AF120" i="22" s="1"/>
  <c r="AD120" i="22" s="1"/>
  <c r="AI118" i="22"/>
  <c r="AH118" i="22" s="1"/>
  <c r="AG118" i="22" s="1"/>
  <c r="AF118" i="22" s="1"/>
  <c r="AD118" i="22" s="1"/>
  <c r="AI116" i="22"/>
  <c r="AH116" i="22" s="1"/>
  <c r="AG116" i="22" s="1"/>
  <c r="AF116" i="22" s="1"/>
  <c r="AD116" i="22" s="1"/>
  <c r="AI114" i="22"/>
  <c r="AH114" i="22" s="1"/>
  <c r="AI112" i="22"/>
  <c r="AH112" i="22" s="1"/>
  <c r="AI110" i="22"/>
  <c r="AH110" i="22" s="1"/>
  <c r="AI108" i="22"/>
  <c r="AH108" i="22" s="1"/>
  <c r="AG108" i="22" s="1"/>
  <c r="AF108" i="22" s="1"/>
  <c r="AD108" i="22" s="1"/>
  <c r="AI106" i="22"/>
  <c r="AH106" i="22" s="1"/>
  <c r="AG106" i="22" s="1"/>
  <c r="AF106" i="22" s="1"/>
  <c r="AD106" i="22" s="1"/>
  <c r="AI104" i="22"/>
  <c r="AH104" i="22" s="1"/>
  <c r="AG104" i="22" s="1"/>
  <c r="AF104" i="22" s="1"/>
  <c r="AD104" i="22" s="1"/>
  <c r="AI102" i="22"/>
  <c r="AH102" i="22" s="1"/>
  <c r="AI100" i="22"/>
  <c r="AH100" i="22" s="1"/>
  <c r="AI98" i="22"/>
  <c r="AH98" i="22" s="1"/>
  <c r="AI96" i="22"/>
  <c r="AH96" i="22" s="1"/>
  <c r="AG96" i="22" s="1"/>
  <c r="AF96" i="22" s="1"/>
  <c r="AD96" i="22" s="1"/>
  <c r="AI94" i="22"/>
  <c r="AH94" i="22" s="1"/>
  <c r="AG94" i="22" s="1"/>
  <c r="AF94" i="22" s="1"/>
  <c r="AD94" i="22" s="1"/>
  <c r="AI92" i="22"/>
  <c r="AH92" i="22" s="1"/>
  <c r="AI90" i="22"/>
  <c r="AH90" i="22" s="1"/>
  <c r="AI88" i="22"/>
  <c r="AH88" i="22" s="1"/>
  <c r="AI86" i="22"/>
  <c r="AH86" i="22" s="1"/>
  <c r="AI84" i="22"/>
  <c r="AH84" i="22" s="1"/>
  <c r="AI82" i="22"/>
  <c r="AH82" i="22" s="1"/>
  <c r="AG82" i="22" s="1"/>
  <c r="AF82" i="22" s="1"/>
  <c r="AD82" i="22" s="1"/>
  <c r="AI80" i="22"/>
  <c r="AH80" i="22" s="1"/>
  <c r="AI78" i="22"/>
  <c r="AH78" i="22" s="1"/>
  <c r="AI76" i="22"/>
  <c r="AH76" i="22" s="1"/>
  <c r="AI74" i="22"/>
  <c r="AH74" i="22" s="1"/>
  <c r="AG74" i="22" s="1"/>
  <c r="AF74" i="22" s="1"/>
  <c r="AD74" i="22" s="1"/>
  <c r="AI72" i="22"/>
  <c r="AH72" i="22" s="1"/>
  <c r="AI70" i="22"/>
  <c r="AH70" i="22" s="1"/>
  <c r="AG70" i="22" s="1"/>
  <c r="AF70" i="22" s="1"/>
  <c r="AD70" i="22" s="1"/>
  <c r="AI68" i="22"/>
  <c r="AH68" i="22" s="1"/>
  <c r="AI66" i="22"/>
  <c r="AH66" i="22" s="1"/>
  <c r="AI64" i="22"/>
  <c r="AH64" i="22" s="1"/>
  <c r="AG64" i="22" s="1"/>
  <c r="AF64" i="22" s="1"/>
  <c r="AD64" i="22" s="1"/>
  <c r="AI62" i="22"/>
  <c r="AH62" i="22" s="1"/>
  <c r="AG62" i="22" s="1"/>
  <c r="AF62" i="22" s="1"/>
  <c r="AD62" i="22" s="1"/>
  <c r="AI60" i="22"/>
  <c r="AH60" i="22" s="1"/>
  <c r="AG60" i="22" s="1"/>
  <c r="AF60" i="22" s="1"/>
  <c r="AD60" i="22" s="1"/>
  <c r="AI58" i="22"/>
  <c r="AH58" i="22" s="1"/>
  <c r="AI56" i="22"/>
  <c r="AH56" i="22" s="1"/>
  <c r="AG56" i="22" s="1"/>
  <c r="AF56" i="22" s="1"/>
  <c r="AD56" i="22" s="1"/>
  <c r="AI54" i="22"/>
  <c r="AH54" i="22" s="1"/>
  <c r="AG54" i="22" s="1"/>
  <c r="AF54" i="22" s="1"/>
  <c r="AD54" i="22" s="1"/>
  <c r="AI52" i="22"/>
  <c r="AH52" i="22" s="1"/>
  <c r="AG52" i="22" s="1"/>
  <c r="AF52" i="22" s="1"/>
  <c r="AD52" i="22" s="1"/>
  <c r="AI50" i="22"/>
  <c r="AH50" i="22" s="1"/>
  <c r="AI48" i="22"/>
  <c r="AH48" i="22" s="1"/>
  <c r="AG48" i="22" s="1"/>
  <c r="AF48" i="22" s="1"/>
  <c r="AD48" i="22" s="1"/>
  <c r="AI46" i="22"/>
  <c r="AH46" i="22" s="1"/>
  <c r="AG46" i="22" s="1"/>
  <c r="AF46" i="22" s="1"/>
  <c r="AD46" i="22" s="1"/>
  <c r="AI44" i="22"/>
  <c r="AH44" i="22" s="1"/>
  <c r="AI42" i="22"/>
  <c r="AH42" i="22" s="1"/>
  <c r="AG42" i="22" s="1"/>
  <c r="AF42" i="22" s="1"/>
  <c r="AD42" i="22" s="1"/>
  <c r="AI40" i="22"/>
  <c r="AH40" i="22" s="1"/>
  <c r="AI38" i="22"/>
  <c r="AH38" i="22" s="1"/>
  <c r="AI36" i="22"/>
  <c r="AH36" i="22" s="1"/>
  <c r="AG36" i="22" s="1"/>
  <c r="AF36" i="22" s="1"/>
  <c r="AD36" i="22" s="1"/>
  <c r="AI34" i="22"/>
  <c r="AH34" i="22" s="1"/>
  <c r="AI32" i="22"/>
  <c r="AH32" i="22" s="1"/>
  <c r="AG32" i="22" s="1"/>
  <c r="AF32" i="22" s="1"/>
  <c r="AD32" i="22" s="1"/>
  <c r="AI30" i="22"/>
  <c r="AH30" i="22" s="1"/>
  <c r="AG30" i="22" s="1"/>
  <c r="AF30" i="22" s="1"/>
  <c r="AD30" i="22" s="1"/>
  <c r="AI28" i="22"/>
  <c r="AH28" i="22" s="1"/>
  <c r="AG28" i="22" s="1"/>
  <c r="AF28" i="22" s="1"/>
  <c r="AD28" i="22" s="1"/>
  <c r="AI26" i="22"/>
  <c r="AH26" i="22" s="1"/>
  <c r="AG26" i="22" s="1"/>
  <c r="AF26" i="22" s="1"/>
  <c r="AD26" i="22" s="1"/>
  <c r="AI24" i="22"/>
  <c r="AH24" i="22" s="1"/>
  <c r="AI22" i="22"/>
  <c r="AH22" i="22" s="1"/>
  <c r="AI16" i="22"/>
  <c r="AH16" i="22" s="1"/>
  <c r="AI19" i="22"/>
  <c r="AH19" i="22" s="1"/>
  <c r="AI20" i="22"/>
  <c r="AH20" i="22" s="1"/>
  <c r="D281" i="6"/>
  <c r="J105" i="18"/>
  <c r="C105" i="6" s="1"/>
  <c r="I105" i="18"/>
  <c r="B105" i="6" s="1"/>
  <c r="BA105" i="6" s="1"/>
  <c r="D105" i="6" s="1"/>
  <c r="W379" i="20"/>
  <c r="D379" i="20"/>
  <c r="E379" i="20" s="1"/>
  <c r="F379" i="20" s="1"/>
  <c r="U380" i="22"/>
  <c r="T380" i="22" s="1"/>
  <c r="U378" i="22"/>
  <c r="T378" i="22" s="1"/>
  <c r="U376" i="22"/>
  <c r="T376" i="22" s="1"/>
  <c r="S376" i="22" s="1"/>
  <c r="R376" i="22" s="1"/>
  <c r="P376" i="22" s="1"/>
  <c r="V376" i="22" s="1"/>
  <c r="B376" i="22" s="1"/>
  <c r="U374" i="22"/>
  <c r="T374" i="22" s="1"/>
  <c r="U372" i="22"/>
  <c r="T372" i="22" s="1"/>
  <c r="S372" i="22" s="1"/>
  <c r="R372" i="22" s="1"/>
  <c r="P372" i="22" s="1"/>
  <c r="V372" i="22" s="1"/>
  <c r="B372" i="22" s="1"/>
  <c r="U370" i="22"/>
  <c r="T370" i="22" s="1"/>
  <c r="S370" i="22" s="1"/>
  <c r="R370" i="22" s="1"/>
  <c r="P370" i="22" s="1"/>
  <c r="V370" i="22" s="1"/>
  <c r="B370" i="22" s="1"/>
  <c r="U368" i="22"/>
  <c r="T368" i="22" s="1"/>
  <c r="U366" i="22"/>
  <c r="T366" i="22" s="1"/>
  <c r="S366" i="22" s="1"/>
  <c r="R366" i="22" s="1"/>
  <c r="P366" i="22" s="1"/>
  <c r="V366" i="22" s="1"/>
  <c r="B366" i="22" s="1"/>
  <c r="U364" i="22"/>
  <c r="T364" i="22" s="1"/>
  <c r="U362" i="22"/>
  <c r="T362" i="22" s="1"/>
  <c r="S362" i="22" s="1"/>
  <c r="R362" i="22" s="1"/>
  <c r="P362" i="22" s="1"/>
  <c r="V362" i="22" s="1"/>
  <c r="B362" i="22" s="1"/>
  <c r="U360" i="22"/>
  <c r="T360" i="22" s="1"/>
  <c r="S360" i="22" s="1"/>
  <c r="R360" i="22" s="1"/>
  <c r="P360" i="22" s="1"/>
  <c r="V360" i="22" s="1"/>
  <c r="B360" i="22" s="1"/>
  <c r="U358" i="22"/>
  <c r="T358" i="22" s="1"/>
  <c r="S358" i="22" s="1"/>
  <c r="R358" i="22" s="1"/>
  <c r="P358" i="22" s="1"/>
  <c r="V358" i="22" s="1"/>
  <c r="B358" i="22" s="1"/>
  <c r="U356" i="22"/>
  <c r="T356" i="22" s="1"/>
  <c r="U354" i="22"/>
  <c r="T354" i="22" s="1"/>
  <c r="S354" i="22" s="1"/>
  <c r="R354" i="22" s="1"/>
  <c r="P354" i="22" s="1"/>
  <c r="V354" i="22" s="1"/>
  <c r="B354" i="22" s="1"/>
  <c r="U352" i="22"/>
  <c r="T352" i="22" s="1"/>
  <c r="S352" i="22" s="1"/>
  <c r="R352" i="22" s="1"/>
  <c r="P352" i="22" s="1"/>
  <c r="V352" i="22" s="1"/>
  <c r="B352" i="22" s="1"/>
  <c r="U350" i="22"/>
  <c r="T350" i="22" s="1"/>
  <c r="U348" i="22"/>
  <c r="T348" i="22" s="1"/>
  <c r="S348" i="22" s="1"/>
  <c r="R348" i="22" s="1"/>
  <c r="P348" i="22" s="1"/>
  <c r="V348" i="22" s="1"/>
  <c r="B348" i="22" s="1"/>
  <c r="U346" i="22"/>
  <c r="T346" i="22" s="1"/>
  <c r="U344" i="22"/>
  <c r="T344" i="22" s="1"/>
  <c r="S344" i="22" s="1"/>
  <c r="R344" i="22" s="1"/>
  <c r="P344" i="22" s="1"/>
  <c r="V344" i="22" s="1"/>
  <c r="B344" i="22" s="1"/>
  <c r="U342" i="22"/>
  <c r="T342" i="22" s="1"/>
  <c r="U340" i="22"/>
  <c r="T340" i="22" s="1"/>
  <c r="S340" i="22" s="1"/>
  <c r="R340" i="22" s="1"/>
  <c r="P340" i="22" s="1"/>
  <c r="V340" i="22" s="1"/>
  <c r="B340" i="22" s="1"/>
  <c r="U338" i="22"/>
  <c r="T338" i="22" s="1"/>
  <c r="S338" i="22" s="1"/>
  <c r="R338" i="22" s="1"/>
  <c r="P338" i="22" s="1"/>
  <c r="V338" i="22" s="1"/>
  <c r="B338" i="22" s="1"/>
  <c r="U336" i="22"/>
  <c r="T336" i="22" s="1"/>
  <c r="U334" i="22"/>
  <c r="T334" i="22" s="1"/>
  <c r="U332" i="22"/>
  <c r="T332" i="22" s="1"/>
  <c r="S332" i="22" s="1"/>
  <c r="R332" i="22" s="1"/>
  <c r="P332" i="22" s="1"/>
  <c r="V332" i="22" s="1"/>
  <c r="B332" i="22" s="1"/>
  <c r="U330" i="22"/>
  <c r="T330" i="22" s="1"/>
  <c r="U328" i="22"/>
  <c r="T328" i="22" s="1"/>
  <c r="S328" i="22" s="1"/>
  <c r="R328" i="22" s="1"/>
  <c r="P328" i="22" s="1"/>
  <c r="V328" i="22" s="1"/>
  <c r="B328" i="22" s="1"/>
  <c r="U326" i="22"/>
  <c r="T326" i="22" s="1"/>
  <c r="U324" i="22"/>
  <c r="T324" i="22" s="1"/>
  <c r="S324" i="22" s="1"/>
  <c r="R324" i="22" s="1"/>
  <c r="P324" i="22" s="1"/>
  <c r="V324" i="22" s="1"/>
  <c r="B324" i="22" s="1"/>
  <c r="U322" i="22"/>
  <c r="T322" i="22" s="1"/>
  <c r="S322" i="22" s="1"/>
  <c r="R322" i="22" s="1"/>
  <c r="P322" i="22" s="1"/>
  <c r="V322" i="22" s="1"/>
  <c r="B322" i="22" s="1"/>
  <c r="U320" i="22"/>
  <c r="T320" i="22" s="1"/>
  <c r="U318" i="22"/>
  <c r="T318" i="22" s="1"/>
  <c r="S318" i="22" s="1"/>
  <c r="R318" i="22" s="1"/>
  <c r="P318" i="22" s="1"/>
  <c r="V318" i="22" s="1"/>
  <c r="B318" i="22" s="1"/>
  <c r="U316" i="22"/>
  <c r="T316" i="22" s="1"/>
  <c r="S316" i="22" s="1"/>
  <c r="R316" i="22" s="1"/>
  <c r="P316" i="22" s="1"/>
  <c r="V316" i="22" s="1"/>
  <c r="B316" i="22" s="1"/>
  <c r="U314" i="22"/>
  <c r="T314" i="22" s="1"/>
  <c r="U312" i="22"/>
  <c r="T312" i="22" s="1"/>
  <c r="U310" i="22"/>
  <c r="T310" i="22" s="1"/>
  <c r="S310" i="22" s="1"/>
  <c r="R310" i="22" s="1"/>
  <c r="P310" i="22" s="1"/>
  <c r="V310" i="22" s="1"/>
  <c r="B310" i="22" s="1"/>
  <c r="U308" i="22"/>
  <c r="T308" i="22" s="1"/>
  <c r="U306" i="22"/>
  <c r="T306" i="22" s="1"/>
  <c r="S306" i="22" s="1"/>
  <c r="R306" i="22" s="1"/>
  <c r="P306" i="22" s="1"/>
  <c r="V306" i="22" s="1"/>
  <c r="B306" i="22" s="1"/>
  <c r="U304" i="22"/>
  <c r="T304" i="22" s="1"/>
  <c r="U302" i="22"/>
  <c r="T302" i="22" s="1"/>
  <c r="S302" i="22" s="1"/>
  <c r="R302" i="22" s="1"/>
  <c r="P302" i="22" s="1"/>
  <c r="U300" i="22"/>
  <c r="T300" i="22" s="1"/>
  <c r="U298" i="22"/>
  <c r="T298" i="22" s="1"/>
  <c r="S298" i="22" s="1"/>
  <c r="R298" i="22" s="1"/>
  <c r="P298" i="22" s="1"/>
  <c r="V298" i="22" s="1"/>
  <c r="B298" i="22" s="1"/>
  <c r="U296" i="22"/>
  <c r="T296" i="22" s="1"/>
  <c r="S296" i="22" s="1"/>
  <c r="R296" i="22" s="1"/>
  <c r="P296" i="22" s="1"/>
  <c r="V296" i="22" s="1"/>
  <c r="B296" i="22" s="1"/>
  <c r="U294" i="22"/>
  <c r="T294" i="22" s="1"/>
  <c r="S294" i="22" s="1"/>
  <c r="R294" i="22" s="1"/>
  <c r="P294" i="22" s="1"/>
  <c r="V294" i="22" s="1"/>
  <c r="B294" i="22" s="1"/>
  <c r="U292" i="22"/>
  <c r="T292" i="22" s="1"/>
  <c r="S292" i="22" s="1"/>
  <c r="R292" i="22" s="1"/>
  <c r="P292" i="22" s="1"/>
  <c r="V292" i="22" s="1"/>
  <c r="B292" i="22" s="1"/>
  <c r="U290" i="22"/>
  <c r="T290" i="22" s="1"/>
  <c r="S290" i="22" s="1"/>
  <c r="R290" i="22" s="1"/>
  <c r="P290" i="22" s="1"/>
  <c r="V290" i="22" s="1"/>
  <c r="B290" i="22" s="1"/>
  <c r="U288" i="22"/>
  <c r="T288" i="22" s="1"/>
  <c r="S288" i="22" s="1"/>
  <c r="R288" i="22" s="1"/>
  <c r="P288" i="22" s="1"/>
  <c r="V288" i="22" s="1"/>
  <c r="B288" i="22" s="1"/>
  <c r="U286" i="22"/>
  <c r="T286" i="22" s="1"/>
  <c r="U284" i="22"/>
  <c r="T284" i="22" s="1"/>
  <c r="S284" i="22" s="1"/>
  <c r="R284" i="22" s="1"/>
  <c r="P284" i="22" s="1"/>
  <c r="V284" i="22" s="1"/>
  <c r="B284" i="22" s="1"/>
  <c r="U282" i="22"/>
  <c r="T282" i="22" s="1"/>
  <c r="S282" i="22" s="1"/>
  <c r="R282" i="22" s="1"/>
  <c r="P282" i="22" s="1"/>
  <c r="V282" i="22" s="1"/>
  <c r="B282" i="22" s="1"/>
  <c r="U280" i="22"/>
  <c r="T280" i="22" s="1"/>
  <c r="S280" i="22" s="1"/>
  <c r="R280" i="22" s="1"/>
  <c r="P280" i="22" s="1"/>
  <c r="V280" i="22" s="1"/>
  <c r="B280" i="22" s="1"/>
  <c r="U278" i="22"/>
  <c r="T278" i="22" s="1"/>
  <c r="S278" i="22" s="1"/>
  <c r="R278" i="22" s="1"/>
  <c r="P278" i="22" s="1"/>
  <c r="V278" i="22" s="1"/>
  <c r="B278" i="22" s="1"/>
  <c r="U276" i="22"/>
  <c r="T276" i="22" s="1"/>
  <c r="U274" i="22"/>
  <c r="T274" i="22" s="1"/>
  <c r="U272" i="22"/>
  <c r="T272" i="22" s="1"/>
  <c r="S272" i="22" s="1"/>
  <c r="R272" i="22" s="1"/>
  <c r="P272" i="22" s="1"/>
  <c r="U270" i="22"/>
  <c r="T270" i="22" s="1"/>
  <c r="S270" i="22" s="1"/>
  <c r="R270" i="22" s="1"/>
  <c r="P270" i="22" s="1"/>
  <c r="V270" i="22" s="1"/>
  <c r="B270" i="22" s="1"/>
  <c r="U268" i="22"/>
  <c r="T268" i="22" s="1"/>
  <c r="U266" i="22"/>
  <c r="T266" i="22" s="1"/>
  <c r="U264" i="22"/>
  <c r="T264" i="22" s="1"/>
  <c r="U262" i="22"/>
  <c r="T262" i="22" s="1"/>
  <c r="S262" i="22" s="1"/>
  <c r="R262" i="22" s="1"/>
  <c r="P262" i="22" s="1"/>
  <c r="V262" i="22" s="1"/>
  <c r="B262" i="22" s="1"/>
  <c r="U260" i="22"/>
  <c r="T260" i="22" s="1"/>
  <c r="S260" i="22" s="1"/>
  <c r="R260" i="22" s="1"/>
  <c r="P260" i="22" s="1"/>
  <c r="V260" i="22" s="1"/>
  <c r="B260" i="22" s="1"/>
  <c r="U258" i="22"/>
  <c r="T258" i="22" s="1"/>
  <c r="U256" i="22"/>
  <c r="T256" i="22" s="1"/>
  <c r="S256" i="22" s="1"/>
  <c r="R256" i="22" s="1"/>
  <c r="P256" i="22" s="1"/>
  <c r="V256" i="22" s="1"/>
  <c r="B256" i="22" s="1"/>
  <c r="U254" i="22"/>
  <c r="T254" i="22" s="1"/>
  <c r="S254" i="22" s="1"/>
  <c r="R254" i="22" s="1"/>
  <c r="P254" i="22" s="1"/>
  <c r="V254" i="22" s="1"/>
  <c r="B254" i="22" s="1"/>
  <c r="U252" i="22"/>
  <c r="T252" i="22" s="1"/>
  <c r="S252" i="22" s="1"/>
  <c r="R252" i="22" s="1"/>
  <c r="P252" i="22" s="1"/>
  <c r="V252" i="22" s="1"/>
  <c r="B252" i="22" s="1"/>
  <c r="U250" i="22"/>
  <c r="T250" i="22" s="1"/>
  <c r="S250" i="22" s="1"/>
  <c r="R250" i="22" s="1"/>
  <c r="P250" i="22" s="1"/>
  <c r="V250" i="22" s="1"/>
  <c r="B250" i="22" s="1"/>
  <c r="U248" i="22"/>
  <c r="T248" i="22" s="1"/>
  <c r="S248" i="22" s="1"/>
  <c r="R248" i="22" s="1"/>
  <c r="P248" i="22" s="1"/>
  <c r="V248" i="22" s="1"/>
  <c r="B248" i="22" s="1"/>
  <c r="U246" i="22"/>
  <c r="T246" i="22" s="1"/>
  <c r="U244" i="22"/>
  <c r="T244" i="22" s="1"/>
  <c r="U242" i="22"/>
  <c r="T242" i="22" s="1"/>
  <c r="U240" i="22"/>
  <c r="T240" i="22" s="1"/>
  <c r="S240" i="22" s="1"/>
  <c r="R240" i="22" s="1"/>
  <c r="P240" i="22" s="1"/>
  <c r="V240" i="22" s="1"/>
  <c r="B240" i="22" s="1"/>
  <c r="U238" i="22"/>
  <c r="T238" i="22" s="1"/>
  <c r="U236" i="22"/>
  <c r="T236" i="22" s="1"/>
  <c r="U234" i="22"/>
  <c r="T234" i="22" s="1"/>
  <c r="U232" i="22"/>
  <c r="T232" i="22" s="1"/>
  <c r="S232" i="22" s="1"/>
  <c r="R232" i="22" s="1"/>
  <c r="P232" i="22" s="1"/>
  <c r="V232" i="22" s="1"/>
  <c r="B232" i="22" s="1"/>
  <c r="U230" i="22"/>
  <c r="T230" i="22" s="1"/>
  <c r="U228" i="22"/>
  <c r="T228" i="22" s="1"/>
  <c r="U226" i="22"/>
  <c r="T226" i="22" s="1"/>
  <c r="U224" i="22"/>
  <c r="T224" i="22" s="1"/>
  <c r="U222" i="22"/>
  <c r="T222" i="22" s="1"/>
  <c r="S222" i="22" s="1"/>
  <c r="R222" i="22" s="1"/>
  <c r="P222" i="22" s="1"/>
  <c r="V222" i="22" s="1"/>
  <c r="B222" i="22" s="1"/>
  <c r="U220" i="22"/>
  <c r="T220" i="22" s="1"/>
  <c r="S220" i="22" s="1"/>
  <c r="R220" i="22" s="1"/>
  <c r="P220" i="22" s="1"/>
  <c r="V220" i="22" s="1"/>
  <c r="B220" i="22" s="1"/>
  <c r="U218" i="22"/>
  <c r="T218" i="22" s="1"/>
  <c r="U216" i="22"/>
  <c r="T216" i="22" s="1"/>
  <c r="S216" i="22" s="1"/>
  <c r="R216" i="22" s="1"/>
  <c r="P216" i="22" s="1"/>
  <c r="V216" i="22" s="1"/>
  <c r="B216" i="22" s="1"/>
  <c r="U214" i="22"/>
  <c r="T214" i="22" s="1"/>
  <c r="S214" i="22" s="1"/>
  <c r="R214" i="22" s="1"/>
  <c r="P214" i="22" s="1"/>
  <c r="V214" i="22" s="1"/>
  <c r="B214" i="22" s="1"/>
  <c r="U212" i="22"/>
  <c r="T212" i="22" s="1"/>
  <c r="S212" i="22" s="1"/>
  <c r="R212" i="22" s="1"/>
  <c r="P212" i="22" s="1"/>
  <c r="V212" i="22" s="1"/>
  <c r="B212" i="22" s="1"/>
  <c r="U210" i="22"/>
  <c r="T210" i="22" s="1"/>
  <c r="U208" i="22"/>
  <c r="T208" i="22" s="1"/>
  <c r="U206" i="22"/>
  <c r="T206" i="22" s="1"/>
  <c r="S206" i="22" s="1"/>
  <c r="R206" i="22" s="1"/>
  <c r="P206" i="22" s="1"/>
  <c r="V206" i="22" s="1"/>
  <c r="B206" i="22" s="1"/>
  <c r="U204" i="22"/>
  <c r="T204" i="22" s="1"/>
  <c r="S204" i="22" s="1"/>
  <c r="R204" i="22" s="1"/>
  <c r="P204" i="22" s="1"/>
  <c r="V204" i="22" s="1"/>
  <c r="B204" i="22" s="1"/>
  <c r="U202" i="22"/>
  <c r="T202" i="22" s="1"/>
  <c r="U200" i="22"/>
  <c r="T200" i="22" s="1"/>
  <c r="S200" i="22" s="1"/>
  <c r="R200" i="22" s="1"/>
  <c r="P200" i="22" s="1"/>
  <c r="V200" i="22" s="1"/>
  <c r="B200" i="22" s="1"/>
  <c r="U198" i="22"/>
  <c r="T198" i="22" s="1"/>
  <c r="U196" i="22"/>
  <c r="T196" i="22" s="1"/>
  <c r="U194" i="22"/>
  <c r="T194" i="22" s="1"/>
  <c r="U192" i="22"/>
  <c r="T192" i="22" s="1"/>
  <c r="S192" i="22" s="1"/>
  <c r="R192" i="22" s="1"/>
  <c r="P192" i="22" s="1"/>
  <c r="V192" i="22" s="1"/>
  <c r="B192" i="22" s="1"/>
  <c r="U190" i="22"/>
  <c r="T190" i="22" s="1"/>
  <c r="U188" i="22"/>
  <c r="T188" i="22" s="1"/>
  <c r="S188" i="22" s="1"/>
  <c r="R188" i="22" s="1"/>
  <c r="P188" i="22" s="1"/>
  <c r="V188" i="22" s="1"/>
  <c r="B188" i="22" s="1"/>
  <c r="U186" i="22"/>
  <c r="T186" i="22" s="1"/>
  <c r="S186" i="22" s="1"/>
  <c r="R186" i="22" s="1"/>
  <c r="P186" i="22" s="1"/>
  <c r="V186" i="22" s="1"/>
  <c r="B186" i="22" s="1"/>
  <c r="U184" i="22"/>
  <c r="T184" i="22" s="1"/>
  <c r="U182" i="22"/>
  <c r="T182" i="22" s="1"/>
  <c r="U180" i="22"/>
  <c r="T180" i="22" s="1"/>
  <c r="S180" i="22" s="1"/>
  <c r="R180" i="22" s="1"/>
  <c r="P180" i="22" s="1"/>
  <c r="U178" i="22"/>
  <c r="T178" i="22" s="1"/>
  <c r="U176" i="22"/>
  <c r="T176" i="22" s="1"/>
  <c r="S176" i="22" s="1"/>
  <c r="R176" i="22" s="1"/>
  <c r="P176" i="22" s="1"/>
  <c r="V176" i="22" s="1"/>
  <c r="B176" i="22" s="1"/>
  <c r="U174" i="22"/>
  <c r="T174" i="22" s="1"/>
  <c r="S174" i="22" s="1"/>
  <c r="R174" i="22" s="1"/>
  <c r="P174" i="22" s="1"/>
  <c r="V174" i="22" s="1"/>
  <c r="B174" i="22" s="1"/>
  <c r="U172" i="22"/>
  <c r="T172" i="22" s="1"/>
  <c r="U170" i="22"/>
  <c r="T170" i="22" s="1"/>
  <c r="S170" i="22" s="1"/>
  <c r="R170" i="22" s="1"/>
  <c r="P170" i="22" s="1"/>
  <c r="V170" i="22" s="1"/>
  <c r="B170" i="22" s="1"/>
  <c r="U168" i="22"/>
  <c r="T168" i="22" s="1"/>
  <c r="S168" i="22" s="1"/>
  <c r="R168" i="22" s="1"/>
  <c r="P168" i="22" s="1"/>
  <c r="V168" i="22" s="1"/>
  <c r="B168" i="22" s="1"/>
  <c r="U166" i="22"/>
  <c r="T166" i="22" s="1"/>
  <c r="U164" i="22"/>
  <c r="T164" i="22" s="1"/>
  <c r="U162" i="22"/>
  <c r="T162" i="22" s="1"/>
  <c r="S162" i="22" s="1"/>
  <c r="R162" i="22" s="1"/>
  <c r="P162" i="22" s="1"/>
  <c r="V162" i="22" s="1"/>
  <c r="B162" i="22" s="1"/>
  <c r="U160" i="22"/>
  <c r="T160" i="22" s="1"/>
  <c r="U158" i="22"/>
  <c r="T158" i="22" s="1"/>
  <c r="U156" i="22"/>
  <c r="T156" i="22" s="1"/>
  <c r="U154" i="22"/>
  <c r="T154" i="22" s="1"/>
  <c r="U152" i="22"/>
  <c r="T152" i="22" s="1"/>
  <c r="S152" i="22" s="1"/>
  <c r="R152" i="22" s="1"/>
  <c r="P152" i="22" s="1"/>
  <c r="V152" i="22" s="1"/>
  <c r="B152" i="22" s="1"/>
  <c r="U150" i="22"/>
  <c r="T150" i="22" s="1"/>
  <c r="U148" i="22"/>
  <c r="T148" i="22" s="1"/>
  <c r="S148" i="22" s="1"/>
  <c r="R148" i="22" s="1"/>
  <c r="P148" i="22" s="1"/>
  <c r="V148" i="22" s="1"/>
  <c r="B148" i="22" s="1"/>
  <c r="U146" i="22"/>
  <c r="T146" i="22" s="1"/>
  <c r="U144" i="22"/>
  <c r="T144" i="22" s="1"/>
  <c r="S144" i="22" s="1"/>
  <c r="R144" i="22" s="1"/>
  <c r="P144" i="22" s="1"/>
  <c r="V144" i="22" s="1"/>
  <c r="B144" i="22" s="1"/>
  <c r="U142" i="22"/>
  <c r="T142" i="22" s="1"/>
  <c r="U140" i="22"/>
  <c r="T140" i="22" s="1"/>
  <c r="S140" i="22" s="1"/>
  <c r="R140" i="22" s="1"/>
  <c r="P140" i="22" s="1"/>
  <c r="V140" i="22" s="1"/>
  <c r="B140" i="22" s="1"/>
  <c r="U138" i="22"/>
  <c r="T138" i="22" s="1"/>
  <c r="S138" i="22" s="1"/>
  <c r="R138" i="22" s="1"/>
  <c r="P138" i="22" s="1"/>
  <c r="V138" i="22" s="1"/>
  <c r="B138" i="22" s="1"/>
  <c r="U136" i="22"/>
  <c r="T136" i="22" s="1"/>
  <c r="U134" i="22"/>
  <c r="T134" i="22" s="1"/>
  <c r="S134" i="22" s="1"/>
  <c r="R134" i="22" s="1"/>
  <c r="P134" i="22" s="1"/>
  <c r="V134" i="22" s="1"/>
  <c r="B134" i="22" s="1"/>
  <c r="U132" i="22"/>
  <c r="T132" i="22" s="1"/>
  <c r="U130" i="22"/>
  <c r="T130" i="22" s="1"/>
  <c r="U128" i="22"/>
  <c r="T128" i="22" s="1"/>
  <c r="U126" i="22"/>
  <c r="T126" i="22" s="1"/>
  <c r="S126" i="22" s="1"/>
  <c r="R126" i="22" s="1"/>
  <c r="P126" i="22" s="1"/>
  <c r="V126" i="22" s="1"/>
  <c r="B126" i="22" s="1"/>
  <c r="U124" i="22"/>
  <c r="T124" i="22" s="1"/>
  <c r="U122" i="22"/>
  <c r="T122" i="22" s="1"/>
  <c r="S122" i="22" s="1"/>
  <c r="R122" i="22" s="1"/>
  <c r="P122" i="22" s="1"/>
  <c r="V122" i="22" s="1"/>
  <c r="B122" i="22" s="1"/>
  <c r="U120" i="22"/>
  <c r="T120" i="22" s="1"/>
  <c r="S120" i="22" s="1"/>
  <c r="R120" i="22" s="1"/>
  <c r="P120" i="22" s="1"/>
  <c r="V120" i="22" s="1"/>
  <c r="B120" i="22" s="1"/>
  <c r="U118" i="22"/>
  <c r="T118" i="22" s="1"/>
  <c r="U116" i="22"/>
  <c r="T116" i="22" s="1"/>
  <c r="U114" i="22"/>
  <c r="T114" i="22" s="1"/>
  <c r="U112" i="22"/>
  <c r="T112" i="22" s="1"/>
  <c r="S112" i="22" s="1"/>
  <c r="R112" i="22" s="1"/>
  <c r="P112" i="22" s="1"/>
  <c r="V112" i="22" s="1"/>
  <c r="B112" i="22" s="1"/>
  <c r="U110" i="22"/>
  <c r="T110" i="22" s="1"/>
  <c r="U108" i="22"/>
  <c r="T108" i="22" s="1"/>
  <c r="S108" i="22" s="1"/>
  <c r="R108" i="22" s="1"/>
  <c r="P108" i="22" s="1"/>
  <c r="V108" i="22" s="1"/>
  <c r="B108" i="22" s="1"/>
  <c r="U106" i="22"/>
  <c r="T106" i="22" s="1"/>
  <c r="S106" i="22" s="1"/>
  <c r="R106" i="22" s="1"/>
  <c r="P106" i="22" s="1"/>
  <c r="V106" i="22" s="1"/>
  <c r="B106" i="22" s="1"/>
  <c r="U104" i="22"/>
  <c r="T104" i="22" s="1"/>
  <c r="U102" i="22"/>
  <c r="T102" i="22" s="1"/>
  <c r="U100" i="22"/>
  <c r="T100" i="22" s="1"/>
  <c r="S100" i="22" s="1"/>
  <c r="R100" i="22" s="1"/>
  <c r="P100" i="22" s="1"/>
  <c r="V100" i="22" s="1"/>
  <c r="B100" i="22" s="1"/>
  <c r="U98" i="22"/>
  <c r="T98" i="22" s="1"/>
  <c r="U96" i="22"/>
  <c r="T96" i="22" s="1"/>
  <c r="U94" i="22"/>
  <c r="T94" i="22" s="1"/>
  <c r="S94" i="22" s="1"/>
  <c r="R94" i="22" s="1"/>
  <c r="P94" i="22" s="1"/>
  <c r="V94" i="22" s="1"/>
  <c r="B94" i="22" s="1"/>
  <c r="U92" i="22"/>
  <c r="T92" i="22" s="1"/>
  <c r="U90" i="22"/>
  <c r="T90" i="22" s="1"/>
  <c r="U88" i="22"/>
  <c r="T88" i="22" s="1"/>
  <c r="S88" i="22" s="1"/>
  <c r="R88" i="22" s="1"/>
  <c r="P88" i="22" s="1"/>
  <c r="U86" i="22"/>
  <c r="T86" i="22" s="1"/>
  <c r="U84" i="22"/>
  <c r="T84" i="22" s="1"/>
  <c r="U82" i="22"/>
  <c r="T82" i="22" s="1"/>
  <c r="S82" i="22" s="1"/>
  <c r="R82" i="22" s="1"/>
  <c r="P82" i="22" s="1"/>
  <c r="V82" i="22" s="1"/>
  <c r="B82" i="22" s="1"/>
  <c r="U80" i="22"/>
  <c r="T80" i="22" s="1"/>
  <c r="U78" i="22"/>
  <c r="T78" i="22" s="1"/>
  <c r="U76" i="22"/>
  <c r="T76" i="22" s="1"/>
  <c r="U74" i="22"/>
  <c r="T74" i="22" s="1"/>
  <c r="S74" i="22" s="1"/>
  <c r="R74" i="22" s="1"/>
  <c r="P74" i="22" s="1"/>
  <c r="V74" i="22" s="1"/>
  <c r="B74" i="22" s="1"/>
  <c r="U72" i="22"/>
  <c r="T72" i="22" s="1"/>
  <c r="S72" i="22" s="1"/>
  <c r="R72" i="22" s="1"/>
  <c r="P72" i="22" s="1"/>
  <c r="V72" i="22" s="1"/>
  <c r="B72" i="22" s="1"/>
  <c r="U70" i="22"/>
  <c r="T70" i="22" s="1"/>
  <c r="S70" i="22" s="1"/>
  <c r="R70" i="22" s="1"/>
  <c r="P70" i="22" s="1"/>
  <c r="V70" i="22" s="1"/>
  <c r="B70" i="22" s="1"/>
  <c r="U68" i="22"/>
  <c r="T68" i="22" s="1"/>
  <c r="U66" i="22"/>
  <c r="T66" i="22" s="1"/>
  <c r="S66" i="22" s="1"/>
  <c r="R66" i="22" s="1"/>
  <c r="P66" i="22" s="1"/>
  <c r="V66" i="22" s="1"/>
  <c r="B66" i="22" s="1"/>
  <c r="U64" i="22"/>
  <c r="T64" i="22" s="1"/>
  <c r="U62" i="22"/>
  <c r="T62" i="22" s="1"/>
  <c r="S62" i="22" s="1"/>
  <c r="R62" i="22" s="1"/>
  <c r="P62" i="22" s="1"/>
  <c r="V62" i="22" s="1"/>
  <c r="B62" i="22" s="1"/>
  <c r="U60" i="22"/>
  <c r="T60" i="22" s="1"/>
  <c r="S60" i="22" s="1"/>
  <c r="R60" i="22" s="1"/>
  <c r="P60" i="22" s="1"/>
  <c r="U58" i="22"/>
  <c r="T58" i="22" s="1"/>
  <c r="S58" i="22" s="1"/>
  <c r="R58" i="22" s="1"/>
  <c r="P58" i="22" s="1"/>
  <c r="V58" i="22" s="1"/>
  <c r="B58" i="22" s="1"/>
  <c r="U56" i="22"/>
  <c r="T56" i="22" s="1"/>
  <c r="S56" i="22" s="1"/>
  <c r="R56" i="22" s="1"/>
  <c r="P56" i="22" s="1"/>
  <c r="V56" i="22" s="1"/>
  <c r="B56" i="22" s="1"/>
  <c r="U54" i="22"/>
  <c r="T54" i="22" s="1"/>
  <c r="S54" i="22" s="1"/>
  <c r="R54" i="22" s="1"/>
  <c r="P54" i="22" s="1"/>
  <c r="V54" i="22" s="1"/>
  <c r="B54" i="22" s="1"/>
  <c r="U52" i="22"/>
  <c r="T52" i="22" s="1"/>
  <c r="U50" i="22"/>
  <c r="T50" i="22" s="1"/>
  <c r="U48" i="22"/>
  <c r="T48" i="22" s="1"/>
  <c r="S48" i="22" s="1"/>
  <c r="R48" i="22" s="1"/>
  <c r="P48" i="22" s="1"/>
  <c r="V48" i="22" s="1"/>
  <c r="B48" i="22" s="1"/>
  <c r="U46" i="22"/>
  <c r="T46" i="22" s="1"/>
  <c r="S46" i="22" s="1"/>
  <c r="R46" i="22" s="1"/>
  <c r="P46" i="22" s="1"/>
  <c r="V46" i="22" s="1"/>
  <c r="U44" i="22"/>
  <c r="T44" i="22" s="1"/>
  <c r="S44" i="22" s="1"/>
  <c r="R44" i="22" s="1"/>
  <c r="P44" i="22" s="1"/>
  <c r="V44" i="22" s="1"/>
  <c r="B44" i="22" s="1"/>
  <c r="U42" i="22"/>
  <c r="T42" i="22" s="1"/>
  <c r="S42" i="22" s="1"/>
  <c r="R42" i="22" s="1"/>
  <c r="P42" i="22" s="1"/>
  <c r="V42" i="22" s="1"/>
  <c r="B42" i="22" s="1"/>
  <c r="U40" i="22"/>
  <c r="T40" i="22" s="1"/>
  <c r="S40" i="22" s="1"/>
  <c r="R40" i="22" s="1"/>
  <c r="P40" i="22" s="1"/>
  <c r="V40" i="22" s="1"/>
  <c r="B40" i="22" s="1"/>
  <c r="U38" i="22"/>
  <c r="T38" i="22" s="1"/>
  <c r="S38" i="22" s="1"/>
  <c r="R38" i="22" s="1"/>
  <c r="P38" i="22" s="1"/>
  <c r="V38" i="22" s="1"/>
  <c r="B38" i="22" s="1"/>
  <c r="U36" i="22"/>
  <c r="T36" i="22" s="1"/>
  <c r="U34" i="22"/>
  <c r="T34" i="22" s="1"/>
  <c r="S34" i="22" s="1"/>
  <c r="R34" i="22" s="1"/>
  <c r="P34" i="22" s="1"/>
  <c r="V34" i="22" s="1"/>
  <c r="B34" i="22" s="1"/>
  <c r="U32" i="22"/>
  <c r="T32" i="22" s="1"/>
  <c r="S32" i="22" s="1"/>
  <c r="R32" i="22" s="1"/>
  <c r="P32" i="22" s="1"/>
  <c r="V32" i="22" s="1"/>
  <c r="B32" i="22" s="1"/>
  <c r="U30" i="22"/>
  <c r="T30" i="22" s="1"/>
  <c r="U28" i="22"/>
  <c r="T28" i="22" s="1"/>
  <c r="U26" i="22"/>
  <c r="T26" i="22" s="1"/>
  <c r="S26" i="22" s="1"/>
  <c r="R26" i="22" s="1"/>
  <c r="P26" i="22" s="1"/>
  <c r="V26" i="22" s="1"/>
  <c r="B26" i="22" s="1"/>
  <c r="U24" i="22"/>
  <c r="T24" i="22" s="1"/>
  <c r="S24" i="22" s="1"/>
  <c r="R24" i="22" s="1"/>
  <c r="P24" i="22" s="1"/>
  <c r="V24" i="22" s="1"/>
  <c r="B24" i="22" s="1"/>
  <c r="U21" i="22"/>
  <c r="T21" i="22" s="1"/>
  <c r="U15" i="22"/>
  <c r="U17" i="22"/>
  <c r="T17" i="22" s="1"/>
  <c r="S17" i="22" s="1"/>
  <c r="R17" i="22" s="1"/>
  <c r="P17" i="22" s="1"/>
  <c r="V17" i="22" s="1"/>
  <c r="B17" i="22" s="1"/>
  <c r="U18" i="22"/>
  <c r="T18" i="22" s="1"/>
  <c r="S18" i="22" s="1"/>
  <c r="R18" i="22" s="1"/>
  <c r="P18" i="22" s="1"/>
  <c r="V18" i="22" s="1"/>
  <c r="B18" i="22" s="1"/>
  <c r="J373" i="20"/>
  <c r="I373" i="20"/>
  <c r="G349" i="20"/>
  <c r="CB349" i="6" s="1"/>
  <c r="AA349" i="20"/>
  <c r="Z349" i="20" s="1"/>
  <c r="Y349" i="20" s="1"/>
  <c r="H349" i="20"/>
  <c r="H331" i="20"/>
  <c r="G331" i="20"/>
  <c r="CB331" i="6" s="1"/>
  <c r="AA331" i="20"/>
  <c r="Z331" i="20" s="1"/>
  <c r="Y331" i="20" s="1"/>
  <c r="J321" i="20"/>
  <c r="I321" i="20"/>
  <c r="H269" i="20"/>
  <c r="H249" i="20"/>
  <c r="H225" i="20"/>
  <c r="H175" i="20"/>
  <c r="W149" i="20"/>
  <c r="D149" i="20"/>
  <c r="E149" i="20" s="1"/>
  <c r="F149" i="20" s="1"/>
  <c r="H75" i="20"/>
  <c r="H47" i="20"/>
  <c r="H21" i="20"/>
  <c r="H18" i="20"/>
  <c r="J196" i="18"/>
  <c r="C196" i="6" s="1"/>
  <c r="I196" i="18"/>
  <c r="B196" i="6" s="1"/>
  <c r="BA196" i="6" s="1"/>
  <c r="D196" i="6" s="1"/>
  <c r="AA358" i="20"/>
  <c r="Z358" i="20" s="1"/>
  <c r="Y358" i="20" s="1"/>
  <c r="G358" i="20"/>
  <c r="CB358" i="6" s="1"/>
  <c r="H358" i="20"/>
  <c r="G338" i="20"/>
  <c r="CB338" i="6" s="1"/>
  <c r="AA338" i="20"/>
  <c r="Z338" i="20" s="1"/>
  <c r="Y338" i="20" s="1"/>
  <c r="H338" i="20"/>
  <c r="G332" i="20"/>
  <c r="CB332" i="6" s="1"/>
  <c r="AA332" i="20"/>
  <c r="Z332" i="20" s="1"/>
  <c r="Y332" i="20" s="1"/>
  <c r="H332" i="20"/>
  <c r="G324" i="20"/>
  <c r="CB324" i="6" s="1"/>
  <c r="H324" i="20"/>
  <c r="AA324" i="20"/>
  <c r="Z324" i="20" s="1"/>
  <c r="Y324" i="20" s="1"/>
  <c r="G306" i="20"/>
  <c r="CB306" i="6" s="1"/>
  <c r="AA306" i="20"/>
  <c r="Z306" i="20" s="1"/>
  <c r="Y306" i="20" s="1"/>
  <c r="H306" i="20"/>
  <c r="G298" i="20"/>
  <c r="CB298" i="6" s="1"/>
  <c r="AA298" i="20"/>
  <c r="Z298" i="20" s="1"/>
  <c r="Y298" i="20" s="1"/>
  <c r="H298" i="20"/>
  <c r="G294" i="20"/>
  <c r="CB294" i="6" s="1"/>
  <c r="H294" i="20"/>
  <c r="AA294" i="20"/>
  <c r="Z294" i="20" s="1"/>
  <c r="Y294" i="20" s="1"/>
  <c r="AA290" i="20"/>
  <c r="Z290" i="20" s="1"/>
  <c r="Y290" i="20" s="1"/>
  <c r="H290" i="20"/>
  <c r="G290" i="20"/>
  <c r="CB290" i="6" s="1"/>
  <c r="H286" i="20"/>
  <c r="AA286" i="20"/>
  <c r="Z286" i="20" s="1"/>
  <c r="Y286" i="20" s="1"/>
  <c r="G286" i="20"/>
  <c r="CB286" i="6" s="1"/>
  <c r="G280" i="20"/>
  <c r="CB280" i="6" s="1"/>
  <c r="H280" i="20"/>
  <c r="AA280" i="20"/>
  <c r="Z280" i="20" s="1"/>
  <c r="Y280" i="20" s="1"/>
  <c r="W272" i="20"/>
  <c r="D272" i="20"/>
  <c r="E272" i="20" s="1"/>
  <c r="F272" i="20" s="1"/>
  <c r="AA266" i="20"/>
  <c r="Z266" i="20" s="1"/>
  <c r="Y266" i="20" s="1"/>
  <c r="H266" i="20"/>
  <c r="G266" i="20"/>
  <c r="CB266" i="6" s="1"/>
  <c r="AA260" i="20"/>
  <c r="Z260" i="20" s="1"/>
  <c r="Y260" i="20" s="1"/>
  <c r="G260" i="20"/>
  <c r="CB260" i="6" s="1"/>
  <c r="H260" i="20"/>
  <c r="AA246" i="20"/>
  <c r="Z246" i="20" s="1"/>
  <c r="Y246" i="20" s="1"/>
  <c r="G246" i="20"/>
  <c r="CB246" i="6" s="1"/>
  <c r="H246" i="20"/>
  <c r="H230" i="20"/>
  <c r="AA230" i="20"/>
  <c r="Z230" i="20" s="1"/>
  <c r="Y230" i="20" s="1"/>
  <c r="G230" i="20"/>
  <c r="CB230" i="6" s="1"/>
  <c r="H222" i="20"/>
  <c r="AA222" i="20"/>
  <c r="Z222" i="20" s="1"/>
  <c r="Y222" i="20" s="1"/>
  <c r="G222" i="20"/>
  <c r="CB222" i="6" s="1"/>
  <c r="W196" i="20"/>
  <c r="D196" i="20"/>
  <c r="E196" i="20" s="1"/>
  <c r="F196" i="20" s="1"/>
  <c r="AA192" i="20"/>
  <c r="Z192" i="20" s="1"/>
  <c r="Y192" i="20" s="1"/>
  <c r="H192" i="20"/>
  <c r="G192" i="20"/>
  <c r="CB192" i="6" s="1"/>
  <c r="AA170" i="20"/>
  <c r="Z170" i="20" s="1"/>
  <c r="Y170" i="20" s="1"/>
  <c r="G170" i="20"/>
  <c r="CB170" i="6" s="1"/>
  <c r="H170" i="20"/>
  <c r="D166" i="20"/>
  <c r="E166" i="20" s="1"/>
  <c r="F166" i="20" s="1"/>
  <c r="W166" i="20"/>
  <c r="G154" i="20"/>
  <c r="CB154" i="6" s="1"/>
  <c r="H154" i="20"/>
  <c r="AA154" i="20"/>
  <c r="Z154" i="20" s="1"/>
  <c r="Y154" i="20" s="1"/>
  <c r="H150" i="20"/>
  <c r="AA150" i="20"/>
  <c r="Z150" i="20" s="1"/>
  <c r="Y150" i="20" s="1"/>
  <c r="G150" i="20"/>
  <c r="CB150" i="6" s="1"/>
  <c r="G142" i="20"/>
  <c r="CB142" i="6" s="1"/>
  <c r="AA142" i="20"/>
  <c r="Z142" i="20" s="1"/>
  <c r="Y142" i="20" s="1"/>
  <c r="H142" i="20"/>
  <c r="H132" i="20"/>
  <c r="G132" i="20"/>
  <c r="CB132" i="6" s="1"/>
  <c r="AA132" i="20"/>
  <c r="Z132" i="20" s="1"/>
  <c r="Y132" i="20" s="1"/>
  <c r="AA102" i="20"/>
  <c r="Z102" i="20" s="1"/>
  <c r="Y102" i="20" s="1"/>
  <c r="G102" i="20"/>
  <c r="CB102" i="6" s="1"/>
  <c r="H102" i="20"/>
  <c r="G96" i="20"/>
  <c r="CB96" i="6" s="1"/>
  <c r="AA96" i="20"/>
  <c r="Z96" i="20" s="1"/>
  <c r="Y96" i="20" s="1"/>
  <c r="H96" i="20"/>
  <c r="G40" i="20"/>
  <c r="CB40" i="6" s="1"/>
  <c r="AA40" i="20"/>
  <c r="Z40" i="20" s="1"/>
  <c r="Y40" i="20" s="1"/>
  <c r="H40" i="20"/>
  <c r="AA375" i="20"/>
  <c r="Z375" i="20" s="1"/>
  <c r="Y375" i="20" s="1"/>
  <c r="G375" i="20"/>
  <c r="CB375" i="6" s="1"/>
  <c r="H375" i="20"/>
  <c r="W363" i="20"/>
  <c r="D363" i="20"/>
  <c r="E363" i="20" s="1"/>
  <c r="F363" i="20" s="1"/>
  <c r="G353" i="20"/>
  <c r="CB353" i="6" s="1"/>
  <c r="AA353" i="20"/>
  <c r="Z353" i="20" s="1"/>
  <c r="Y353" i="20" s="1"/>
  <c r="H353" i="20"/>
  <c r="G347" i="20"/>
  <c r="CB347" i="6" s="1"/>
  <c r="H347" i="20"/>
  <c r="AA347" i="20"/>
  <c r="Z347" i="20" s="1"/>
  <c r="Y347" i="20" s="1"/>
  <c r="AA341" i="20"/>
  <c r="Z341" i="20" s="1"/>
  <c r="Y341" i="20" s="1"/>
  <c r="G341" i="20"/>
  <c r="CB341" i="6" s="1"/>
  <c r="H341" i="20"/>
  <c r="D333" i="20"/>
  <c r="E333" i="20" s="1"/>
  <c r="F333" i="20" s="1"/>
  <c r="W333" i="20"/>
  <c r="D319" i="20"/>
  <c r="E319" i="20" s="1"/>
  <c r="F319" i="20" s="1"/>
  <c r="W319" i="20"/>
  <c r="AA313" i="20"/>
  <c r="Z313" i="20" s="1"/>
  <c r="Y313" i="20" s="1"/>
  <c r="H313" i="20"/>
  <c r="G313" i="20"/>
  <c r="CB313" i="6" s="1"/>
  <c r="AA305" i="20"/>
  <c r="Z305" i="20" s="1"/>
  <c r="Y305" i="20" s="1"/>
  <c r="H305" i="20"/>
  <c r="G305" i="20"/>
  <c r="CB305" i="6" s="1"/>
  <c r="AA297" i="20"/>
  <c r="Z297" i="20" s="1"/>
  <c r="Y297" i="20" s="1"/>
  <c r="G297" i="20"/>
  <c r="CB297" i="6" s="1"/>
  <c r="H297" i="20"/>
  <c r="H283" i="20"/>
  <c r="AA283" i="20"/>
  <c r="Z283" i="20" s="1"/>
  <c r="Y283" i="20" s="1"/>
  <c r="G283" i="20"/>
  <c r="CB283" i="6" s="1"/>
  <c r="G279" i="20"/>
  <c r="CB279" i="6" s="1"/>
  <c r="AA279" i="20"/>
  <c r="Z279" i="20" s="1"/>
  <c r="Y279" i="20" s="1"/>
  <c r="H279" i="20"/>
  <c r="AA263" i="20"/>
  <c r="Z263" i="20" s="1"/>
  <c r="Y263" i="20" s="1"/>
  <c r="H263" i="20"/>
  <c r="G263" i="20"/>
  <c r="CB263" i="6" s="1"/>
  <c r="AA253" i="20"/>
  <c r="Z253" i="20" s="1"/>
  <c r="Y253" i="20" s="1"/>
  <c r="G253" i="20"/>
  <c r="CB253" i="6" s="1"/>
  <c r="H253" i="20"/>
  <c r="D241" i="20"/>
  <c r="E241" i="20" s="1"/>
  <c r="F241" i="20" s="1"/>
  <c r="W241" i="20"/>
  <c r="H235" i="20"/>
  <c r="AA235" i="20"/>
  <c r="Z235" i="20" s="1"/>
  <c r="Y235" i="20" s="1"/>
  <c r="G235" i="20"/>
  <c r="CB235" i="6" s="1"/>
  <c r="G199" i="20"/>
  <c r="CB199" i="6" s="1"/>
  <c r="H199" i="20"/>
  <c r="AA199" i="20"/>
  <c r="Z199" i="20" s="1"/>
  <c r="Y199" i="20" s="1"/>
  <c r="H185" i="20"/>
  <c r="G185" i="20"/>
  <c r="CB185" i="6" s="1"/>
  <c r="AA185" i="20"/>
  <c r="Z185" i="20" s="1"/>
  <c r="Y185" i="20" s="1"/>
  <c r="AA173" i="20"/>
  <c r="Z173" i="20" s="1"/>
  <c r="Y173" i="20" s="1"/>
  <c r="G173" i="20"/>
  <c r="CB173" i="6" s="1"/>
  <c r="H173" i="20"/>
  <c r="G159" i="20"/>
  <c r="CB159" i="6" s="1"/>
  <c r="AA159" i="20"/>
  <c r="Z159" i="20" s="1"/>
  <c r="Y159" i="20" s="1"/>
  <c r="H159" i="20"/>
  <c r="G141" i="20"/>
  <c r="CB141" i="6" s="1"/>
  <c r="AA141" i="20"/>
  <c r="Z141" i="20" s="1"/>
  <c r="Y141" i="20" s="1"/>
  <c r="H141" i="20"/>
  <c r="G133" i="20"/>
  <c r="CB133" i="6" s="1"/>
  <c r="H133" i="20"/>
  <c r="AA133" i="20"/>
  <c r="Z133" i="20" s="1"/>
  <c r="Y133" i="20" s="1"/>
  <c r="H121" i="20"/>
  <c r="G121" i="20"/>
  <c r="CB121" i="6" s="1"/>
  <c r="AA121" i="20"/>
  <c r="Z121" i="20" s="1"/>
  <c r="Y121" i="20" s="1"/>
  <c r="AA111" i="20"/>
  <c r="Z111" i="20" s="1"/>
  <c r="Y111" i="20" s="1"/>
  <c r="G111" i="20"/>
  <c r="CB111" i="6" s="1"/>
  <c r="H111" i="20"/>
  <c r="G103" i="20"/>
  <c r="CB103" i="6" s="1"/>
  <c r="AA103" i="20"/>
  <c r="Z103" i="20" s="1"/>
  <c r="Y103" i="20" s="1"/>
  <c r="H103" i="20"/>
  <c r="AA99" i="20"/>
  <c r="Z99" i="20" s="1"/>
  <c r="Y99" i="20" s="1"/>
  <c r="H99" i="20"/>
  <c r="G99" i="20"/>
  <c r="CB99" i="6" s="1"/>
  <c r="G73" i="20"/>
  <c r="CB73" i="6" s="1"/>
  <c r="AA73" i="20"/>
  <c r="Z73" i="20" s="1"/>
  <c r="Y73" i="20" s="1"/>
  <c r="H73" i="20"/>
  <c r="G51" i="20"/>
  <c r="CB51" i="6" s="1"/>
  <c r="AA51" i="20"/>
  <c r="Z51" i="20" s="1"/>
  <c r="Y51" i="20" s="1"/>
  <c r="H51" i="20"/>
  <c r="G39" i="20"/>
  <c r="CB39" i="6" s="1"/>
  <c r="AA39" i="20"/>
  <c r="Z39" i="20" s="1"/>
  <c r="Y39" i="20" s="1"/>
  <c r="H39" i="20"/>
  <c r="W29" i="20"/>
  <c r="D29" i="20"/>
  <c r="E29" i="20" s="1"/>
  <c r="F29" i="20" s="1"/>
  <c r="AA23" i="20"/>
  <c r="Z23" i="20" s="1"/>
  <c r="Y23" i="20" s="1"/>
  <c r="G23" i="20"/>
  <c r="CB23" i="6" s="1"/>
  <c r="H23" i="20"/>
  <c r="AA378" i="20"/>
  <c r="Z378" i="20" s="1"/>
  <c r="Y378" i="20" s="1"/>
  <c r="G378" i="20"/>
  <c r="CB378" i="6" s="1"/>
  <c r="H378" i="20"/>
  <c r="H368" i="20"/>
  <c r="G368" i="20"/>
  <c r="CB368" i="6" s="1"/>
  <c r="AA368" i="20"/>
  <c r="Z368" i="20" s="1"/>
  <c r="Y368" i="20" s="1"/>
  <c r="G346" i="20"/>
  <c r="CB346" i="6" s="1"/>
  <c r="H346" i="20"/>
  <c r="AA346" i="20"/>
  <c r="Z346" i="20" s="1"/>
  <c r="Y346" i="20" s="1"/>
  <c r="G340" i="20"/>
  <c r="CB340" i="6" s="1"/>
  <c r="H340" i="20"/>
  <c r="AA340" i="20"/>
  <c r="Z340" i="20" s="1"/>
  <c r="Y340" i="20" s="1"/>
  <c r="G330" i="20"/>
  <c r="CB330" i="6" s="1"/>
  <c r="H330" i="20"/>
  <c r="AA330" i="20"/>
  <c r="Z330" i="20" s="1"/>
  <c r="Y330" i="20" s="1"/>
  <c r="G326" i="20"/>
  <c r="CB326" i="6" s="1"/>
  <c r="H326" i="20"/>
  <c r="AA326" i="20"/>
  <c r="Z326" i="20" s="1"/>
  <c r="Y326" i="20" s="1"/>
  <c r="AA310" i="20"/>
  <c r="Z310" i="20" s="1"/>
  <c r="Y310" i="20" s="1"/>
  <c r="H310" i="20"/>
  <c r="G310" i="20"/>
  <c r="CB310" i="6" s="1"/>
  <c r="W302" i="20"/>
  <c r="D302" i="20"/>
  <c r="E302" i="20" s="1"/>
  <c r="F302" i="20" s="1"/>
  <c r="G296" i="20"/>
  <c r="CB296" i="6" s="1"/>
  <c r="AA296" i="20"/>
  <c r="Z296" i="20" s="1"/>
  <c r="Y296" i="20" s="1"/>
  <c r="H296" i="20"/>
  <c r="W288" i="20"/>
  <c r="D288" i="20"/>
  <c r="E288" i="20" s="1"/>
  <c r="F288" i="20" s="1"/>
  <c r="G282" i="20"/>
  <c r="CB282" i="6" s="1"/>
  <c r="AA282" i="20"/>
  <c r="Z282" i="20" s="1"/>
  <c r="Y282" i="20" s="1"/>
  <c r="H282" i="20"/>
  <c r="G268" i="20"/>
  <c r="CB268" i="6" s="1"/>
  <c r="H268" i="20"/>
  <c r="AA268" i="20"/>
  <c r="Z268" i="20" s="1"/>
  <c r="Y268" i="20" s="1"/>
  <c r="AA264" i="20"/>
  <c r="Z264" i="20" s="1"/>
  <c r="Y264" i="20" s="1"/>
  <c r="H264" i="20"/>
  <c r="G264" i="20"/>
  <c r="CB264" i="6" s="1"/>
  <c r="W258" i="20"/>
  <c r="D258" i="20"/>
  <c r="E258" i="20" s="1"/>
  <c r="F258" i="20" s="1"/>
  <c r="G252" i="20"/>
  <c r="CB252" i="6" s="1"/>
  <c r="H252" i="20"/>
  <c r="AA252" i="20"/>
  <c r="Z252" i="20" s="1"/>
  <c r="Y252" i="20" s="1"/>
  <c r="AA238" i="20"/>
  <c r="Z238" i="20" s="1"/>
  <c r="Y238" i="20" s="1"/>
  <c r="H238" i="20"/>
  <c r="G238" i="20"/>
  <c r="CB238" i="6" s="1"/>
  <c r="D210" i="20"/>
  <c r="E210" i="20" s="1"/>
  <c r="F210" i="20" s="1"/>
  <c r="W210" i="20"/>
  <c r="H204" i="20"/>
  <c r="AA204" i="20"/>
  <c r="Z204" i="20" s="1"/>
  <c r="Y204" i="20" s="1"/>
  <c r="G204" i="20"/>
  <c r="CB204" i="6" s="1"/>
  <c r="H200" i="20"/>
  <c r="G200" i="20"/>
  <c r="CB200" i="6" s="1"/>
  <c r="AA200" i="20"/>
  <c r="Z200" i="20" s="1"/>
  <c r="Y200" i="20" s="1"/>
  <c r="AA194" i="20"/>
  <c r="Z194" i="20" s="1"/>
  <c r="Y194" i="20" s="1"/>
  <c r="G194" i="20"/>
  <c r="CB194" i="6" s="1"/>
  <c r="H194" i="20"/>
  <c r="AA174" i="20"/>
  <c r="Z174" i="20" s="1"/>
  <c r="Y174" i="20" s="1"/>
  <c r="G174" i="20"/>
  <c r="CB174" i="6" s="1"/>
  <c r="H174" i="20"/>
  <c r="G168" i="20"/>
  <c r="CB168" i="6" s="1"/>
  <c r="H168" i="20"/>
  <c r="AA168" i="20"/>
  <c r="Z168" i="20" s="1"/>
  <c r="Y168" i="20" s="1"/>
  <c r="H158" i="20"/>
  <c r="AA158" i="20"/>
  <c r="Z158" i="20" s="1"/>
  <c r="Y158" i="20" s="1"/>
  <c r="G158" i="20"/>
  <c r="CB158" i="6" s="1"/>
  <c r="G152" i="20"/>
  <c r="CB152" i="6" s="1"/>
  <c r="H152" i="20"/>
  <c r="AA152" i="20"/>
  <c r="Z152" i="20" s="1"/>
  <c r="Y152" i="20" s="1"/>
  <c r="AA148" i="20"/>
  <c r="Z148" i="20" s="1"/>
  <c r="Y148" i="20" s="1"/>
  <c r="H148" i="20"/>
  <c r="G148" i="20"/>
  <c r="CB148" i="6" s="1"/>
  <c r="AA136" i="20"/>
  <c r="Z136" i="20" s="1"/>
  <c r="Y136" i="20" s="1"/>
  <c r="H136" i="20"/>
  <c r="G136" i="20"/>
  <c r="CB136" i="6" s="1"/>
  <c r="G130" i="20"/>
  <c r="CB130" i="6" s="1"/>
  <c r="H130" i="20"/>
  <c r="AA130" i="20"/>
  <c r="Z130" i="20" s="1"/>
  <c r="Y130" i="20" s="1"/>
  <c r="AA122" i="20"/>
  <c r="Z122" i="20" s="1"/>
  <c r="Y122" i="20" s="1"/>
  <c r="G122" i="20"/>
  <c r="CB122" i="6" s="1"/>
  <c r="H122" i="20"/>
  <c r="G98" i="20"/>
  <c r="CB98" i="6" s="1"/>
  <c r="AA98" i="20"/>
  <c r="Z98" i="20" s="1"/>
  <c r="Y98" i="20" s="1"/>
  <c r="H98" i="20"/>
  <c r="AA92" i="20"/>
  <c r="Z92" i="20" s="1"/>
  <c r="Y92" i="20" s="1"/>
  <c r="G92" i="20"/>
  <c r="CB92" i="6" s="1"/>
  <c r="H92" i="20"/>
  <c r="H44" i="20"/>
  <c r="G44" i="20"/>
  <c r="CB44" i="6" s="1"/>
  <c r="AA44" i="20"/>
  <c r="Z44" i="20" s="1"/>
  <c r="Y44" i="20" s="1"/>
  <c r="AA343" i="20"/>
  <c r="Z343" i="20" s="1"/>
  <c r="Y343" i="20" s="1"/>
  <c r="G343" i="20"/>
  <c r="CB343" i="6" s="1"/>
  <c r="H343" i="20"/>
  <c r="G337" i="20"/>
  <c r="CB337" i="6" s="1"/>
  <c r="H337" i="20"/>
  <c r="AA337" i="20"/>
  <c r="Z337" i="20" s="1"/>
  <c r="Y337" i="20" s="1"/>
  <c r="AA329" i="20"/>
  <c r="Z329" i="20" s="1"/>
  <c r="Y329" i="20" s="1"/>
  <c r="H329" i="20"/>
  <c r="G329" i="20"/>
  <c r="CB329" i="6" s="1"/>
  <c r="G307" i="20"/>
  <c r="CB307" i="6" s="1"/>
  <c r="H307" i="20"/>
  <c r="AA307" i="20"/>
  <c r="Z307" i="20" s="1"/>
  <c r="Y307" i="20" s="1"/>
  <c r="H303" i="20"/>
  <c r="G303" i="20"/>
  <c r="CB303" i="6" s="1"/>
  <c r="AA303" i="20"/>
  <c r="Z303" i="20" s="1"/>
  <c r="Y303" i="20" s="1"/>
  <c r="AA299" i="20"/>
  <c r="Z299" i="20" s="1"/>
  <c r="Y299" i="20" s="1"/>
  <c r="G299" i="20"/>
  <c r="CB299" i="6" s="1"/>
  <c r="H299" i="20"/>
  <c r="AA285" i="20"/>
  <c r="Z285" i="20" s="1"/>
  <c r="Y285" i="20" s="1"/>
  <c r="G285" i="20"/>
  <c r="CB285" i="6" s="1"/>
  <c r="AA281" i="20"/>
  <c r="Z281" i="20" s="1"/>
  <c r="Y281" i="20" s="1"/>
  <c r="H281" i="20"/>
  <c r="G281" i="20"/>
  <c r="CB281" i="6" s="1"/>
  <c r="AA277" i="20"/>
  <c r="Z277" i="20" s="1"/>
  <c r="Y277" i="20" s="1"/>
  <c r="H277" i="20"/>
  <c r="G277" i="20"/>
  <c r="CB277" i="6" s="1"/>
  <c r="AA261" i="20"/>
  <c r="Z261" i="20" s="1"/>
  <c r="Y261" i="20" s="1"/>
  <c r="G261" i="20"/>
  <c r="CB261" i="6" s="1"/>
  <c r="H261" i="20"/>
  <c r="AA257" i="20"/>
  <c r="Z257" i="20" s="1"/>
  <c r="Y257" i="20" s="1"/>
  <c r="G257" i="20"/>
  <c r="CB257" i="6" s="1"/>
  <c r="H257" i="20"/>
  <c r="AA237" i="20"/>
  <c r="Z237" i="20" s="1"/>
  <c r="Y237" i="20" s="1"/>
  <c r="G237" i="20"/>
  <c r="CB237" i="6" s="1"/>
  <c r="H237" i="20"/>
  <c r="G233" i="20"/>
  <c r="CB233" i="6" s="1"/>
  <c r="AA233" i="20"/>
  <c r="Z233" i="20" s="1"/>
  <c r="Y233" i="20" s="1"/>
  <c r="H233" i="20"/>
  <c r="AA215" i="20"/>
  <c r="Z215" i="20" s="1"/>
  <c r="Y215" i="20" s="1"/>
  <c r="H215" i="20"/>
  <c r="G215" i="20"/>
  <c r="CB215" i="6" s="1"/>
  <c r="AA201" i="20"/>
  <c r="Z201" i="20" s="1"/>
  <c r="Y201" i="20" s="1"/>
  <c r="G201" i="20"/>
  <c r="CB201" i="6" s="1"/>
  <c r="H201" i="20"/>
  <c r="H183" i="20"/>
  <c r="AA183" i="20"/>
  <c r="Z183" i="20" s="1"/>
  <c r="Y183" i="20" s="1"/>
  <c r="G183" i="20"/>
  <c r="CB183" i="6" s="1"/>
  <c r="AA167" i="20"/>
  <c r="Z167" i="20" s="1"/>
  <c r="Y167" i="20" s="1"/>
  <c r="G167" i="20"/>
  <c r="CB167" i="6" s="1"/>
  <c r="H167" i="20"/>
  <c r="H147" i="20"/>
  <c r="AA147" i="20"/>
  <c r="Z147" i="20" s="1"/>
  <c r="Y147" i="20" s="1"/>
  <c r="G147" i="20"/>
  <c r="CB147" i="6" s="1"/>
  <c r="AA131" i="20"/>
  <c r="Z131" i="20" s="1"/>
  <c r="Y131" i="20" s="1"/>
  <c r="H131" i="20"/>
  <c r="G131" i="20"/>
  <c r="CB131" i="6" s="1"/>
  <c r="D119" i="20"/>
  <c r="E119" i="20" s="1"/>
  <c r="F119" i="20" s="1"/>
  <c r="W119" i="20"/>
  <c r="G113" i="20"/>
  <c r="CB113" i="6" s="1"/>
  <c r="AA113" i="20"/>
  <c r="Z113" i="20" s="1"/>
  <c r="Y113" i="20" s="1"/>
  <c r="H113" i="20"/>
  <c r="W105" i="20"/>
  <c r="D105" i="20"/>
  <c r="E105" i="20" s="1"/>
  <c r="F105" i="20" s="1"/>
  <c r="AA97" i="20"/>
  <c r="Z97" i="20" s="1"/>
  <c r="Y97" i="20" s="1"/>
  <c r="H97" i="20"/>
  <c r="G97" i="20"/>
  <c r="CB97" i="6" s="1"/>
  <c r="AA65" i="20"/>
  <c r="Z65" i="20" s="1"/>
  <c r="Y65" i="20" s="1"/>
  <c r="H65" i="20"/>
  <c r="G65" i="20"/>
  <c r="CB65" i="6" s="1"/>
  <c r="AA53" i="20"/>
  <c r="Z53" i="20" s="1"/>
  <c r="Y53" i="20" s="1"/>
  <c r="H53" i="20"/>
  <c r="G53" i="20"/>
  <c r="CB53" i="6" s="1"/>
  <c r="AA37" i="20"/>
  <c r="Z37" i="20" s="1"/>
  <c r="Y37" i="20" s="1"/>
  <c r="G37" i="20"/>
  <c r="CB37" i="6" s="1"/>
  <c r="H37" i="20"/>
  <c r="G33" i="20"/>
  <c r="CB33" i="6" s="1"/>
  <c r="H33" i="20"/>
  <c r="AA33" i="20"/>
  <c r="Z33" i="20" s="1"/>
  <c r="Y33" i="20" s="1"/>
  <c r="Q10" i="23"/>
  <c r="AE20" i="23" s="1"/>
  <c r="AS15" i="7"/>
  <c r="I344" i="20"/>
  <c r="J344" i="20"/>
  <c r="J316" i="20"/>
  <c r="I316" i="20"/>
  <c r="I240" i="20"/>
  <c r="J240" i="20"/>
  <c r="G90" i="20"/>
  <c r="CB90" i="6" s="1"/>
  <c r="H90" i="20"/>
  <c r="AA90" i="20"/>
  <c r="Z90" i="20" s="1"/>
  <c r="Y90" i="20" s="1"/>
  <c r="G88" i="20"/>
  <c r="CB88" i="6" s="1"/>
  <c r="AA88" i="20"/>
  <c r="Z88" i="20" s="1"/>
  <c r="Y88" i="20" s="1"/>
  <c r="D323" i="6"/>
  <c r="D71" i="6"/>
  <c r="D225" i="6"/>
  <c r="D267" i="6"/>
  <c r="D365" i="6"/>
  <c r="P382" i="18"/>
  <c r="P383" i="18"/>
  <c r="V15" i="18"/>
  <c r="P381" i="18"/>
  <c r="H365" i="20"/>
  <c r="H357" i="20"/>
  <c r="J339" i="20"/>
  <c r="I339" i="20"/>
  <c r="J327" i="20"/>
  <c r="I327" i="20"/>
  <c r="H323" i="20"/>
  <c r="I177" i="20"/>
  <c r="J177" i="20"/>
  <c r="H137" i="20"/>
  <c r="J127" i="20"/>
  <c r="I127" i="20"/>
  <c r="I91" i="20"/>
  <c r="J91" i="20"/>
  <c r="I59" i="20"/>
  <c r="J59" i="20"/>
  <c r="J31" i="20"/>
  <c r="I31" i="20"/>
  <c r="S383" i="20"/>
  <c r="S382" i="20"/>
  <c r="S381" i="20"/>
  <c r="R15" i="20"/>
  <c r="D99" i="6"/>
  <c r="AJ4" i="16"/>
  <c r="P13" i="19" s="1"/>
  <c r="G135" i="20"/>
  <c r="CB135" i="6" s="1"/>
  <c r="AA135" i="20"/>
  <c r="Z135" i="20" s="1"/>
  <c r="Y135" i="20" s="1"/>
  <c r="H95" i="20"/>
  <c r="H71" i="20"/>
  <c r="D239" i="6"/>
  <c r="D337" i="6"/>
  <c r="AA46" i="20"/>
  <c r="Z46" i="20" s="1"/>
  <c r="Y46" i="20" s="1"/>
  <c r="G46" i="20"/>
  <c r="CB46" i="6" s="1"/>
  <c r="H322" i="20"/>
  <c r="Q383" i="22"/>
  <c r="G366" i="20"/>
  <c r="CB366" i="6" s="1"/>
  <c r="AA366" i="20"/>
  <c r="Z366" i="20" s="1"/>
  <c r="Y366" i="20" s="1"/>
  <c r="H366" i="20"/>
  <c r="I300" i="20"/>
  <c r="J300" i="20"/>
  <c r="H262" i="20"/>
  <c r="H234" i="20"/>
  <c r="J220" i="20"/>
  <c r="G198" i="20"/>
  <c r="CB198" i="6" s="1"/>
  <c r="H198" i="20"/>
  <c r="AA198" i="20"/>
  <c r="Z198" i="20" s="1"/>
  <c r="Y198" i="20" s="1"/>
  <c r="I140" i="20"/>
  <c r="J140" i="20"/>
  <c r="AA134" i="20"/>
  <c r="Z134" i="20" s="1"/>
  <c r="Y134" i="20" s="1"/>
  <c r="G134" i="20"/>
  <c r="CB134" i="6" s="1"/>
  <c r="H134" i="20"/>
  <c r="H120" i="20"/>
  <c r="AA82" i="20"/>
  <c r="Z82" i="20" s="1"/>
  <c r="Y82" i="20" s="1"/>
  <c r="H82" i="20"/>
  <c r="G82" i="20"/>
  <c r="CB82" i="6" s="1"/>
  <c r="G76" i="20"/>
  <c r="CB76" i="6" s="1"/>
  <c r="H76" i="20"/>
  <c r="AA76" i="20"/>
  <c r="Z76" i="20" s="1"/>
  <c r="Y76" i="20" s="1"/>
  <c r="W74" i="20"/>
  <c r="D74" i="20"/>
  <c r="E74" i="20" s="1"/>
  <c r="F74" i="20" s="1"/>
  <c r="H62" i="20"/>
  <c r="AA56" i="20"/>
  <c r="Z56" i="20" s="1"/>
  <c r="Y56" i="20" s="1"/>
  <c r="G56" i="20"/>
  <c r="CB56" i="6" s="1"/>
  <c r="H56" i="20"/>
  <c r="AA54" i="20"/>
  <c r="Z54" i="20" s="1"/>
  <c r="Y54" i="20" s="1"/>
  <c r="H54" i="20"/>
  <c r="G54" i="20"/>
  <c r="CB54" i="6" s="1"/>
  <c r="G50" i="20"/>
  <c r="CB50" i="6" s="1"/>
  <c r="H50" i="20"/>
  <c r="AA50" i="20"/>
  <c r="Z50" i="20" s="1"/>
  <c r="Y50" i="20" s="1"/>
  <c r="G42" i="20"/>
  <c r="CB42" i="6" s="1"/>
  <c r="AA42" i="20"/>
  <c r="Z42" i="20" s="1"/>
  <c r="Y42" i="20" s="1"/>
  <c r="H42" i="20"/>
  <c r="G28" i="20"/>
  <c r="CB28" i="6" s="1"/>
  <c r="H28" i="20"/>
  <c r="AA28" i="20"/>
  <c r="Z28" i="20" s="1"/>
  <c r="Y28" i="20" s="1"/>
  <c r="G26" i="20"/>
  <c r="CB26" i="6" s="1"/>
  <c r="H26" i="20"/>
  <c r="AA26" i="20"/>
  <c r="Z26" i="20" s="1"/>
  <c r="Y26" i="20" s="1"/>
  <c r="AA22" i="20"/>
  <c r="Z22" i="20" s="1"/>
  <c r="Y22" i="20" s="1"/>
  <c r="G22" i="20"/>
  <c r="CB22" i="6" s="1"/>
  <c r="H22" i="20"/>
  <c r="G17" i="20"/>
  <c r="CB17" i="6" s="1"/>
  <c r="H17" i="20"/>
  <c r="AA17" i="20"/>
  <c r="Z17" i="20" s="1"/>
  <c r="Y17" i="20" s="1"/>
  <c r="I19" i="20"/>
  <c r="D183" i="6"/>
  <c r="D57" i="6"/>
  <c r="AI379" i="22"/>
  <c r="AI377" i="22"/>
  <c r="AH377" i="22" s="1"/>
  <c r="AG377" i="22" s="1"/>
  <c r="AF377" i="22" s="1"/>
  <c r="AD377" i="22" s="1"/>
  <c r="AI375" i="22"/>
  <c r="AH375" i="22" s="1"/>
  <c r="AG375" i="22" s="1"/>
  <c r="AF375" i="22" s="1"/>
  <c r="AD375" i="22" s="1"/>
  <c r="AI373" i="22"/>
  <c r="AH373" i="22" s="1"/>
  <c r="AI371" i="22"/>
  <c r="AH371" i="22" s="1"/>
  <c r="AI369" i="22"/>
  <c r="AH369" i="22" s="1"/>
  <c r="AI367" i="22"/>
  <c r="AH367" i="22" s="1"/>
  <c r="AI365" i="22"/>
  <c r="AH365" i="22" s="1"/>
  <c r="AI363" i="22"/>
  <c r="AH363" i="22" s="1"/>
  <c r="AI361" i="22"/>
  <c r="AH361" i="22" s="1"/>
  <c r="AI359" i="22"/>
  <c r="AH359" i="22" s="1"/>
  <c r="AG359" i="22" s="1"/>
  <c r="AF359" i="22" s="1"/>
  <c r="AD359" i="22" s="1"/>
  <c r="AI357" i="22"/>
  <c r="AH357" i="22" s="1"/>
  <c r="AI355" i="22"/>
  <c r="AH355" i="22" s="1"/>
  <c r="AI353" i="22"/>
  <c r="AH353" i="22" s="1"/>
  <c r="AG353" i="22" s="1"/>
  <c r="AF353" i="22" s="1"/>
  <c r="AD353" i="22" s="1"/>
  <c r="AI351" i="22"/>
  <c r="AH351" i="22" s="1"/>
  <c r="AG351" i="22" s="1"/>
  <c r="AF351" i="22" s="1"/>
  <c r="AD351" i="22" s="1"/>
  <c r="AI349" i="22"/>
  <c r="AH349" i="22" s="1"/>
  <c r="AG349" i="22" s="1"/>
  <c r="AF349" i="22" s="1"/>
  <c r="AD349" i="22" s="1"/>
  <c r="AI347" i="22"/>
  <c r="AH347" i="22" s="1"/>
  <c r="AI345" i="22"/>
  <c r="AH345" i="22" s="1"/>
  <c r="AI343" i="22"/>
  <c r="AH343" i="22" s="1"/>
  <c r="AI341" i="22"/>
  <c r="AH341" i="22" s="1"/>
  <c r="AG341" i="22" s="1"/>
  <c r="AF341" i="22" s="1"/>
  <c r="AD341" i="22" s="1"/>
  <c r="AI339" i="22"/>
  <c r="AH339" i="22" s="1"/>
  <c r="AG339" i="22" s="1"/>
  <c r="AF339" i="22" s="1"/>
  <c r="AD339" i="22" s="1"/>
  <c r="AI337" i="22"/>
  <c r="AH337" i="22" s="1"/>
  <c r="AI335" i="22"/>
  <c r="AH335" i="22" s="1"/>
  <c r="AG335" i="22" s="1"/>
  <c r="AF335" i="22" s="1"/>
  <c r="AD335" i="22" s="1"/>
  <c r="AI333" i="22"/>
  <c r="AH333" i="22" s="1"/>
  <c r="AG333" i="22" s="1"/>
  <c r="AF333" i="22" s="1"/>
  <c r="AD333" i="22" s="1"/>
  <c r="AI331" i="22"/>
  <c r="AH331" i="22" s="1"/>
  <c r="AG331" i="22" s="1"/>
  <c r="AF331" i="22" s="1"/>
  <c r="AD331" i="22" s="1"/>
  <c r="AI329" i="22"/>
  <c r="AH329" i="22" s="1"/>
  <c r="AI327" i="22"/>
  <c r="AH327" i="22" s="1"/>
  <c r="AG327" i="22" s="1"/>
  <c r="AF327" i="22" s="1"/>
  <c r="AD327" i="22" s="1"/>
  <c r="AI325" i="22"/>
  <c r="AH325" i="22" s="1"/>
  <c r="AG325" i="22" s="1"/>
  <c r="AF325" i="22" s="1"/>
  <c r="AD325" i="22" s="1"/>
  <c r="AI323" i="22"/>
  <c r="AH323" i="22" s="1"/>
  <c r="AG323" i="22" s="1"/>
  <c r="AF323" i="22" s="1"/>
  <c r="AD323" i="22" s="1"/>
  <c r="AI321" i="22"/>
  <c r="AH321" i="22" s="1"/>
  <c r="AG321" i="22" s="1"/>
  <c r="AF321" i="22" s="1"/>
  <c r="AD321" i="22" s="1"/>
  <c r="AI319" i="22"/>
  <c r="AH319" i="22" s="1"/>
  <c r="AG319" i="22" s="1"/>
  <c r="AF319" i="22" s="1"/>
  <c r="AD319" i="22" s="1"/>
  <c r="AI317" i="22"/>
  <c r="AH317" i="22" s="1"/>
  <c r="AG317" i="22" s="1"/>
  <c r="AF317" i="22" s="1"/>
  <c r="AD317" i="22" s="1"/>
  <c r="AI315" i="22"/>
  <c r="AH315" i="22" s="1"/>
  <c r="AI313" i="22"/>
  <c r="AH313" i="22" s="1"/>
  <c r="AG313" i="22" s="1"/>
  <c r="AF313" i="22" s="1"/>
  <c r="AD313" i="22" s="1"/>
  <c r="AI311" i="22"/>
  <c r="AH311" i="22" s="1"/>
  <c r="AG311" i="22" s="1"/>
  <c r="AF311" i="22" s="1"/>
  <c r="AD311" i="22" s="1"/>
  <c r="AI309" i="22"/>
  <c r="AH309" i="22" s="1"/>
  <c r="AI307" i="22"/>
  <c r="AH307" i="22" s="1"/>
  <c r="AG307" i="22" s="1"/>
  <c r="AF307" i="22" s="1"/>
  <c r="AD307" i="22" s="1"/>
  <c r="AI305" i="22"/>
  <c r="AH305" i="22" s="1"/>
  <c r="AG305" i="22" s="1"/>
  <c r="AF305" i="22" s="1"/>
  <c r="AD305" i="22" s="1"/>
  <c r="AI303" i="22"/>
  <c r="AH303" i="22" s="1"/>
  <c r="AI301" i="22"/>
  <c r="AH301" i="22" s="1"/>
  <c r="AG301" i="22" s="1"/>
  <c r="AF301" i="22" s="1"/>
  <c r="AD301" i="22" s="1"/>
  <c r="AI299" i="22"/>
  <c r="AH299" i="22" s="1"/>
  <c r="AG299" i="22" s="1"/>
  <c r="AF299" i="22" s="1"/>
  <c r="AD299" i="22" s="1"/>
  <c r="AI297" i="22"/>
  <c r="AH297" i="22" s="1"/>
  <c r="AG297" i="22" s="1"/>
  <c r="AF297" i="22" s="1"/>
  <c r="AD297" i="22" s="1"/>
  <c r="AI295" i="22"/>
  <c r="AH295" i="22" s="1"/>
  <c r="AI293" i="22"/>
  <c r="AH293" i="22" s="1"/>
  <c r="AI291" i="22"/>
  <c r="AH291" i="22" s="1"/>
  <c r="AI289" i="22"/>
  <c r="AH289" i="22" s="1"/>
  <c r="AG289" i="22" s="1"/>
  <c r="AF289" i="22" s="1"/>
  <c r="AD289" i="22" s="1"/>
  <c r="AI287" i="22"/>
  <c r="AH287" i="22" s="1"/>
  <c r="AG287" i="22" s="1"/>
  <c r="AF287" i="22" s="1"/>
  <c r="AD287" i="22" s="1"/>
  <c r="AI285" i="22"/>
  <c r="AH285" i="22" s="1"/>
  <c r="AI283" i="22"/>
  <c r="AH283" i="22" s="1"/>
  <c r="AG283" i="22" s="1"/>
  <c r="AF283" i="22" s="1"/>
  <c r="AD283" i="22" s="1"/>
  <c r="AI281" i="22"/>
  <c r="AH281" i="22" s="1"/>
  <c r="AG281" i="22" s="1"/>
  <c r="AF281" i="22" s="1"/>
  <c r="AD281" i="22" s="1"/>
  <c r="AI279" i="22"/>
  <c r="AH279" i="22" s="1"/>
  <c r="AI277" i="22"/>
  <c r="AH277" i="22" s="1"/>
  <c r="AG277" i="22" s="1"/>
  <c r="AF277" i="22" s="1"/>
  <c r="AD277" i="22" s="1"/>
  <c r="AI275" i="22"/>
  <c r="AH275" i="22" s="1"/>
  <c r="AI273" i="22"/>
  <c r="AH273" i="22" s="1"/>
  <c r="AI271" i="22"/>
  <c r="AH271" i="22" s="1"/>
  <c r="AG271" i="22" s="1"/>
  <c r="AF271" i="22" s="1"/>
  <c r="AD271" i="22" s="1"/>
  <c r="AI269" i="22"/>
  <c r="AH269" i="22" s="1"/>
  <c r="AI267" i="22"/>
  <c r="AH267" i="22" s="1"/>
  <c r="AG267" i="22" s="1"/>
  <c r="AF267" i="22" s="1"/>
  <c r="AD267" i="22" s="1"/>
  <c r="AI265" i="22"/>
  <c r="AH265" i="22" s="1"/>
  <c r="AI263" i="22"/>
  <c r="AH263" i="22" s="1"/>
  <c r="AI261" i="22"/>
  <c r="AH261" i="22" s="1"/>
  <c r="AG261" i="22" s="1"/>
  <c r="AF261" i="22" s="1"/>
  <c r="AD261" i="22" s="1"/>
  <c r="AI259" i="22"/>
  <c r="AH259" i="22" s="1"/>
  <c r="AG259" i="22" s="1"/>
  <c r="AF259" i="22" s="1"/>
  <c r="AD259" i="22" s="1"/>
  <c r="AI257" i="22"/>
  <c r="AH257" i="22" s="1"/>
  <c r="AG257" i="22" s="1"/>
  <c r="AF257" i="22" s="1"/>
  <c r="AD257" i="22" s="1"/>
  <c r="AI255" i="22"/>
  <c r="AH255" i="22" s="1"/>
  <c r="AI253" i="22"/>
  <c r="AH253" i="22" s="1"/>
  <c r="AG253" i="22" s="1"/>
  <c r="AF253" i="22" s="1"/>
  <c r="AD253" i="22" s="1"/>
  <c r="AI251" i="22"/>
  <c r="AH251" i="22" s="1"/>
  <c r="AG251" i="22" s="1"/>
  <c r="AF251" i="22" s="1"/>
  <c r="AD251" i="22" s="1"/>
  <c r="AI249" i="22"/>
  <c r="AH249" i="22" s="1"/>
  <c r="AI247" i="22"/>
  <c r="AH247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241" i="22"/>
  <c r="AH241" i="22" s="1"/>
  <c r="AI239" i="22"/>
  <c r="AH239" i="22" s="1"/>
  <c r="AG239" i="22" s="1"/>
  <c r="AF239" i="22" s="1"/>
  <c r="AD239" i="22" s="1"/>
  <c r="AI237" i="22"/>
  <c r="AH237" i="22" s="1"/>
  <c r="AG237" i="22" s="1"/>
  <c r="AF237" i="22" s="1"/>
  <c r="AD237" i="22" s="1"/>
  <c r="AI235" i="22"/>
  <c r="AH235" i="22" s="1"/>
  <c r="AG235" i="22" s="1"/>
  <c r="AF235" i="22" s="1"/>
  <c r="AD235" i="22" s="1"/>
  <c r="AI233" i="22"/>
  <c r="AH233" i="22" s="1"/>
  <c r="AI231" i="22"/>
  <c r="AH231" i="22" s="1"/>
  <c r="AI229" i="22"/>
  <c r="AH229" i="22" s="1"/>
  <c r="AI227" i="22"/>
  <c r="AH227" i="22" s="1"/>
  <c r="AG227" i="22" s="1"/>
  <c r="AF227" i="22" s="1"/>
  <c r="AD227" i="22" s="1"/>
  <c r="AI225" i="22"/>
  <c r="AH225" i="22" s="1"/>
  <c r="AG225" i="22" s="1"/>
  <c r="AF225" i="22" s="1"/>
  <c r="AD225" i="22" s="1"/>
  <c r="AI223" i="22"/>
  <c r="AH223" i="22" s="1"/>
  <c r="AG223" i="22" s="1"/>
  <c r="AF223" i="22" s="1"/>
  <c r="AD223" i="22" s="1"/>
  <c r="AI221" i="22"/>
  <c r="AH221" i="22" s="1"/>
  <c r="AI219" i="22"/>
  <c r="AH219" i="22" s="1"/>
  <c r="AI217" i="22"/>
  <c r="AH217" i="22" s="1"/>
  <c r="AI215" i="22"/>
  <c r="AH215" i="22" s="1"/>
  <c r="AG215" i="22" s="1"/>
  <c r="AF215" i="22" s="1"/>
  <c r="AD215" i="22" s="1"/>
  <c r="AI213" i="22"/>
  <c r="AH213" i="22" s="1"/>
  <c r="AI211" i="22"/>
  <c r="AH211" i="22" s="1"/>
  <c r="AG211" i="22" s="1"/>
  <c r="AF211" i="22" s="1"/>
  <c r="AD211" i="22" s="1"/>
  <c r="AI209" i="22"/>
  <c r="AH209" i="22" s="1"/>
  <c r="AI207" i="22"/>
  <c r="AH207" i="22" s="1"/>
  <c r="AI205" i="22"/>
  <c r="AH205" i="22" s="1"/>
  <c r="AI203" i="22"/>
  <c r="AH203" i="22" s="1"/>
  <c r="AG203" i="22" s="1"/>
  <c r="AF203" i="22" s="1"/>
  <c r="AD203" i="22" s="1"/>
  <c r="AI201" i="22"/>
  <c r="AH201" i="22" s="1"/>
  <c r="AI199" i="22"/>
  <c r="AH199" i="22" s="1"/>
  <c r="AG199" i="22" s="1"/>
  <c r="AF199" i="22" s="1"/>
  <c r="AD199" i="22" s="1"/>
  <c r="AI197" i="22"/>
  <c r="AH197" i="22" s="1"/>
  <c r="AG197" i="22" s="1"/>
  <c r="AF197" i="22" s="1"/>
  <c r="AD197" i="22" s="1"/>
  <c r="AI195" i="22"/>
  <c r="AH195" i="22" s="1"/>
  <c r="AI193" i="22"/>
  <c r="AH193" i="22" s="1"/>
  <c r="AG193" i="22" s="1"/>
  <c r="AF193" i="22" s="1"/>
  <c r="AD193" i="22" s="1"/>
  <c r="AI191" i="22"/>
  <c r="AH191" i="22" s="1"/>
  <c r="AI189" i="22"/>
  <c r="AH189" i="22" s="1"/>
  <c r="AI187" i="22"/>
  <c r="AH187" i="22" s="1"/>
  <c r="AG187" i="22" s="1"/>
  <c r="AF187" i="22" s="1"/>
  <c r="AD187" i="22" s="1"/>
  <c r="AI185" i="22"/>
  <c r="AH185" i="22" s="1"/>
  <c r="AI183" i="22"/>
  <c r="AH183" i="22" s="1"/>
  <c r="AI181" i="22"/>
  <c r="AH181" i="22" s="1"/>
  <c r="AG181" i="22" s="1"/>
  <c r="AF181" i="22" s="1"/>
  <c r="AD181" i="22" s="1"/>
  <c r="AI179" i="22"/>
  <c r="AH179" i="22" s="1"/>
  <c r="AG179" i="22" s="1"/>
  <c r="AF179" i="22" s="1"/>
  <c r="AD179" i="22" s="1"/>
  <c r="AI177" i="22"/>
  <c r="AH177" i="22" s="1"/>
  <c r="AI175" i="22"/>
  <c r="AH175" i="22" s="1"/>
  <c r="AG175" i="22" s="1"/>
  <c r="AF175" i="22" s="1"/>
  <c r="AD175" i="22" s="1"/>
  <c r="AI173" i="22"/>
  <c r="AH173" i="22" s="1"/>
  <c r="AI171" i="22"/>
  <c r="AH171" i="22" s="1"/>
  <c r="AI169" i="22"/>
  <c r="AH169" i="22" s="1"/>
  <c r="AG169" i="22" s="1"/>
  <c r="AF169" i="22" s="1"/>
  <c r="AD169" i="22" s="1"/>
  <c r="AI167" i="22"/>
  <c r="AH167" i="22" s="1"/>
  <c r="AG167" i="22" s="1"/>
  <c r="AF167" i="22" s="1"/>
  <c r="AD167" i="22" s="1"/>
  <c r="AI165" i="22"/>
  <c r="AH165" i="22" s="1"/>
  <c r="AG165" i="22" s="1"/>
  <c r="AF165" i="22" s="1"/>
  <c r="AD165" i="22" s="1"/>
  <c r="AI163" i="22"/>
  <c r="AH163" i="22" s="1"/>
  <c r="AI161" i="22"/>
  <c r="AH161" i="22" s="1"/>
  <c r="AI159" i="22"/>
  <c r="AH159" i="22" s="1"/>
  <c r="AG159" i="22" s="1"/>
  <c r="AF159" i="22" s="1"/>
  <c r="AD159" i="22" s="1"/>
  <c r="AI157" i="22"/>
  <c r="AH157" i="22" s="1"/>
  <c r="AG157" i="22" s="1"/>
  <c r="AF157" i="22" s="1"/>
  <c r="AD157" i="22" s="1"/>
  <c r="AI155" i="22"/>
  <c r="AH155" i="22" s="1"/>
  <c r="AG155" i="22" s="1"/>
  <c r="AF155" i="22" s="1"/>
  <c r="AD155" i="22" s="1"/>
  <c r="AI153" i="22"/>
  <c r="AH153" i="22" s="1"/>
  <c r="AI151" i="22"/>
  <c r="AH151" i="22" s="1"/>
  <c r="AG151" i="22" s="1"/>
  <c r="AF151" i="22" s="1"/>
  <c r="AD151" i="22" s="1"/>
  <c r="AI149" i="22"/>
  <c r="AH149" i="22" s="1"/>
  <c r="AG149" i="22" s="1"/>
  <c r="AF149" i="22" s="1"/>
  <c r="AD149" i="22" s="1"/>
  <c r="AI147" i="22"/>
  <c r="AH147" i="22" s="1"/>
  <c r="AG147" i="22" s="1"/>
  <c r="AF147" i="22" s="1"/>
  <c r="AD147" i="22" s="1"/>
  <c r="AI145" i="22"/>
  <c r="AH145" i="22" s="1"/>
  <c r="AI143" i="22"/>
  <c r="AH143" i="22" s="1"/>
  <c r="AG143" i="22" s="1"/>
  <c r="AF143" i="22" s="1"/>
  <c r="AD143" i="22" s="1"/>
  <c r="AI141" i="22"/>
  <c r="AH141" i="22" s="1"/>
  <c r="AG141" i="22" s="1"/>
  <c r="AF141" i="22" s="1"/>
  <c r="AD141" i="22" s="1"/>
  <c r="AI139" i="22"/>
  <c r="AH139" i="22" s="1"/>
  <c r="AI137" i="22"/>
  <c r="AH137" i="22" s="1"/>
  <c r="AG137" i="22" s="1"/>
  <c r="AF137" i="22" s="1"/>
  <c r="AD137" i="22" s="1"/>
  <c r="AI135" i="22"/>
  <c r="AH135" i="22" s="1"/>
  <c r="AG135" i="22" s="1"/>
  <c r="AF135" i="22" s="1"/>
  <c r="AD135" i="22" s="1"/>
  <c r="AI133" i="22"/>
  <c r="AH133" i="22" s="1"/>
  <c r="AI131" i="22"/>
  <c r="AH131" i="22" s="1"/>
  <c r="AI129" i="22"/>
  <c r="AH129" i="22" s="1"/>
  <c r="AG129" i="22" s="1"/>
  <c r="AF129" i="22" s="1"/>
  <c r="AD129" i="22" s="1"/>
  <c r="AI127" i="22"/>
  <c r="AH127" i="22" s="1"/>
  <c r="AI125" i="22"/>
  <c r="AH125" i="22" s="1"/>
  <c r="AI123" i="22"/>
  <c r="AH123" i="22" s="1"/>
  <c r="AG123" i="22" s="1"/>
  <c r="AF123" i="22" s="1"/>
  <c r="AD123" i="22" s="1"/>
  <c r="AI121" i="22"/>
  <c r="AH121" i="22" s="1"/>
  <c r="AG121" i="22" s="1"/>
  <c r="AF121" i="22" s="1"/>
  <c r="AD121" i="22" s="1"/>
  <c r="AI119" i="22"/>
  <c r="AH119" i="22" s="1"/>
  <c r="AG119" i="22" s="1"/>
  <c r="AF119" i="22" s="1"/>
  <c r="AD119" i="22" s="1"/>
  <c r="AI117" i="22"/>
  <c r="AH117" i="22" s="1"/>
  <c r="AI115" i="22"/>
  <c r="AH115" i="22" s="1"/>
  <c r="AG115" i="22" s="1"/>
  <c r="AF115" i="22" s="1"/>
  <c r="AD115" i="22" s="1"/>
  <c r="AI113" i="22"/>
  <c r="AH113" i="22" s="1"/>
  <c r="AG113" i="22" s="1"/>
  <c r="AF113" i="22" s="1"/>
  <c r="AD113" i="22" s="1"/>
  <c r="AI111" i="22"/>
  <c r="AH111" i="22" s="1"/>
  <c r="AI109" i="22"/>
  <c r="AH109" i="22" s="1"/>
  <c r="AI107" i="22"/>
  <c r="AH107" i="22" s="1"/>
  <c r="AI105" i="22"/>
  <c r="AH105" i="22" s="1"/>
  <c r="AI103" i="22"/>
  <c r="AH103" i="22" s="1"/>
  <c r="AG103" i="22" s="1"/>
  <c r="AF103" i="22" s="1"/>
  <c r="AD103" i="22" s="1"/>
  <c r="AI101" i="22"/>
  <c r="AH101" i="22" s="1"/>
  <c r="AI99" i="22"/>
  <c r="AH99" i="22" s="1"/>
  <c r="AI97" i="22"/>
  <c r="AH97" i="22" s="1"/>
  <c r="AI95" i="22"/>
  <c r="AH95" i="22" s="1"/>
  <c r="AI93" i="22"/>
  <c r="AH93" i="22" s="1"/>
  <c r="AG93" i="22" s="1"/>
  <c r="AF93" i="22" s="1"/>
  <c r="AD93" i="22" s="1"/>
  <c r="AI91" i="22"/>
  <c r="AH91" i="22" s="1"/>
  <c r="AG91" i="22" s="1"/>
  <c r="AF91" i="22" s="1"/>
  <c r="AD91" i="22" s="1"/>
  <c r="AI89" i="22"/>
  <c r="AH89" i="22" s="1"/>
  <c r="AG89" i="22" s="1"/>
  <c r="AF89" i="22" s="1"/>
  <c r="AD89" i="22" s="1"/>
  <c r="AI87" i="22"/>
  <c r="AH87" i="22" s="1"/>
  <c r="AI85" i="22"/>
  <c r="AH85" i="22" s="1"/>
  <c r="AI83" i="22"/>
  <c r="AH83" i="22" s="1"/>
  <c r="AG83" i="22" s="1"/>
  <c r="AF83" i="22" s="1"/>
  <c r="AD83" i="22" s="1"/>
  <c r="AI81" i="22"/>
  <c r="AH81" i="22" s="1"/>
  <c r="AI79" i="22"/>
  <c r="AH79" i="22" s="1"/>
  <c r="AG79" i="22" s="1"/>
  <c r="AF79" i="22" s="1"/>
  <c r="AD79" i="22" s="1"/>
  <c r="AI77" i="22"/>
  <c r="AH77" i="22" s="1"/>
  <c r="AG77" i="22" s="1"/>
  <c r="AF77" i="22" s="1"/>
  <c r="AD77" i="22" s="1"/>
  <c r="AI75" i="22"/>
  <c r="AH75" i="22" s="1"/>
  <c r="AI73" i="22"/>
  <c r="AH73" i="22" s="1"/>
  <c r="AI71" i="22"/>
  <c r="AH71" i="22" s="1"/>
  <c r="AI69" i="22"/>
  <c r="AH69" i="22" s="1"/>
  <c r="AI67" i="22"/>
  <c r="AH67" i="22" s="1"/>
  <c r="AG67" i="22" s="1"/>
  <c r="AF67" i="22" s="1"/>
  <c r="AD67" i="22" s="1"/>
  <c r="AI65" i="22"/>
  <c r="AH65" i="22" s="1"/>
  <c r="AG65" i="22" s="1"/>
  <c r="AF65" i="22" s="1"/>
  <c r="AD65" i="22" s="1"/>
  <c r="AI63" i="22"/>
  <c r="AH63" i="22" s="1"/>
  <c r="AG63" i="22" s="1"/>
  <c r="AF63" i="22" s="1"/>
  <c r="AD63" i="22" s="1"/>
  <c r="AI61" i="22"/>
  <c r="AH61" i="22" s="1"/>
  <c r="AI59" i="22"/>
  <c r="AH59" i="22" s="1"/>
  <c r="AI57" i="22"/>
  <c r="AH57" i="22" s="1"/>
  <c r="AG57" i="22" s="1"/>
  <c r="AF57" i="22" s="1"/>
  <c r="AD57" i="22" s="1"/>
  <c r="AI55" i="22"/>
  <c r="AH55" i="22" s="1"/>
  <c r="AG55" i="22" s="1"/>
  <c r="AF55" i="22" s="1"/>
  <c r="AD55" i="22" s="1"/>
  <c r="AI53" i="22"/>
  <c r="AH53" i="22" s="1"/>
  <c r="AI51" i="22"/>
  <c r="AH51" i="22" s="1"/>
  <c r="AI49" i="22"/>
  <c r="AH49" i="22" s="1"/>
  <c r="AG49" i="22" s="1"/>
  <c r="AF49" i="22" s="1"/>
  <c r="AD49" i="22" s="1"/>
  <c r="AI47" i="22"/>
  <c r="AH47" i="22" s="1"/>
  <c r="AG47" i="22" s="1"/>
  <c r="AF47" i="22" s="1"/>
  <c r="AD47" i="22" s="1"/>
  <c r="AI45" i="22"/>
  <c r="AH45" i="22" s="1"/>
  <c r="AG45" i="22" s="1"/>
  <c r="AF45" i="22" s="1"/>
  <c r="AD45" i="22" s="1"/>
  <c r="AI43" i="22"/>
  <c r="AH43" i="22" s="1"/>
  <c r="AI41" i="22"/>
  <c r="AH41" i="22" s="1"/>
  <c r="AG41" i="22" s="1"/>
  <c r="AF41" i="22" s="1"/>
  <c r="AD41" i="22" s="1"/>
  <c r="AI39" i="22"/>
  <c r="AH39" i="22" s="1"/>
  <c r="AG39" i="22" s="1"/>
  <c r="AF39" i="22" s="1"/>
  <c r="AD39" i="22" s="1"/>
  <c r="AI37" i="22"/>
  <c r="AH37" i="22" s="1"/>
  <c r="AI35" i="22"/>
  <c r="AH35" i="22" s="1"/>
  <c r="AI33" i="22"/>
  <c r="AH33" i="22" s="1"/>
  <c r="AG33" i="22" s="1"/>
  <c r="AF33" i="22" s="1"/>
  <c r="AD33" i="22" s="1"/>
  <c r="AI31" i="22"/>
  <c r="AH31" i="22" s="1"/>
  <c r="AI29" i="22"/>
  <c r="AH29" i="22" s="1"/>
  <c r="AG29" i="22" s="1"/>
  <c r="AF29" i="22" s="1"/>
  <c r="AD29" i="22" s="1"/>
  <c r="AI27" i="22"/>
  <c r="AH27" i="22" s="1"/>
  <c r="AI25" i="22"/>
  <c r="AH25" i="22" s="1"/>
  <c r="AG25" i="22" s="1"/>
  <c r="AF25" i="22" s="1"/>
  <c r="AD25" i="22" s="1"/>
  <c r="AI23" i="22"/>
  <c r="AH23" i="22" s="1"/>
  <c r="AI18" i="22"/>
  <c r="AH18" i="22" s="1"/>
  <c r="AG18" i="22" s="1"/>
  <c r="AF18" i="22" s="1"/>
  <c r="AD18" i="22" s="1"/>
  <c r="AI15" i="22"/>
  <c r="AI21" i="22"/>
  <c r="AH21" i="22" s="1"/>
  <c r="AI17" i="22"/>
  <c r="AH17" i="22" s="1"/>
  <c r="J258" i="18"/>
  <c r="C258" i="6" s="1"/>
  <c r="I258" i="18"/>
  <c r="B258" i="6" s="1"/>
  <c r="BA258" i="6" s="1"/>
  <c r="D258" i="6" s="1"/>
  <c r="X4" i="6"/>
  <c r="D155" i="6"/>
  <c r="U379" i="22"/>
  <c r="U377" i="22"/>
  <c r="T377" i="22" s="1"/>
  <c r="S377" i="22" s="1"/>
  <c r="R377" i="22" s="1"/>
  <c r="P377" i="22" s="1"/>
  <c r="V377" i="22" s="1"/>
  <c r="B377" i="22" s="1"/>
  <c r="U375" i="22"/>
  <c r="T375" i="22" s="1"/>
  <c r="U373" i="22"/>
  <c r="T373" i="22" s="1"/>
  <c r="S373" i="22" s="1"/>
  <c r="R373" i="22" s="1"/>
  <c r="P373" i="22" s="1"/>
  <c r="V373" i="22" s="1"/>
  <c r="B373" i="22" s="1"/>
  <c r="U371" i="22"/>
  <c r="T371" i="22" s="1"/>
  <c r="U369" i="22"/>
  <c r="T369" i="22" s="1"/>
  <c r="S369" i="22" s="1"/>
  <c r="R369" i="22" s="1"/>
  <c r="P369" i="22" s="1"/>
  <c r="V369" i="22" s="1"/>
  <c r="B369" i="22" s="1"/>
  <c r="U367" i="22"/>
  <c r="T367" i="22" s="1"/>
  <c r="S367" i="22" s="1"/>
  <c r="R367" i="22" s="1"/>
  <c r="P367" i="22" s="1"/>
  <c r="V367" i="22" s="1"/>
  <c r="B367" i="22" s="1"/>
  <c r="U365" i="22"/>
  <c r="T365" i="22" s="1"/>
  <c r="U363" i="22"/>
  <c r="T363" i="22" s="1"/>
  <c r="S363" i="22" s="1"/>
  <c r="R363" i="22" s="1"/>
  <c r="P363" i="22" s="1"/>
  <c r="U361" i="22"/>
  <c r="T361" i="22" s="1"/>
  <c r="U359" i="22"/>
  <c r="T359" i="22" s="1"/>
  <c r="S359" i="22" s="1"/>
  <c r="R359" i="22" s="1"/>
  <c r="P359" i="22" s="1"/>
  <c r="V359" i="22" s="1"/>
  <c r="B359" i="22" s="1"/>
  <c r="U357" i="22"/>
  <c r="T357" i="22" s="1"/>
  <c r="U355" i="22"/>
  <c r="T355" i="22" s="1"/>
  <c r="S355" i="22" s="1"/>
  <c r="R355" i="22" s="1"/>
  <c r="P355" i="22" s="1"/>
  <c r="V355" i="22" s="1"/>
  <c r="B355" i="22" s="1"/>
  <c r="U353" i="22"/>
  <c r="T353" i="22" s="1"/>
  <c r="U351" i="22"/>
  <c r="T351" i="22" s="1"/>
  <c r="U349" i="22"/>
  <c r="T349" i="22" s="1"/>
  <c r="U347" i="22"/>
  <c r="T347" i="22" s="1"/>
  <c r="S347" i="22" s="1"/>
  <c r="R347" i="22" s="1"/>
  <c r="P347" i="22" s="1"/>
  <c r="V347" i="22" s="1"/>
  <c r="B347" i="22" s="1"/>
  <c r="U345" i="22"/>
  <c r="T345" i="22" s="1"/>
  <c r="S345" i="22" s="1"/>
  <c r="R345" i="22" s="1"/>
  <c r="P345" i="22" s="1"/>
  <c r="V345" i="22" s="1"/>
  <c r="B345" i="22" s="1"/>
  <c r="U343" i="22"/>
  <c r="T343" i="22" s="1"/>
  <c r="S343" i="22" s="1"/>
  <c r="R343" i="22" s="1"/>
  <c r="P343" i="22" s="1"/>
  <c r="V343" i="22" s="1"/>
  <c r="B343" i="22" s="1"/>
  <c r="U341" i="22"/>
  <c r="T341" i="22" s="1"/>
  <c r="U339" i="22"/>
  <c r="T339" i="22" s="1"/>
  <c r="S339" i="22" s="1"/>
  <c r="R339" i="22" s="1"/>
  <c r="P339" i="22" s="1"/>
  <c r="V339" i="22" s="1"/>
  <c r="B339" i="22" s="1"/>
  <c r="U337" i="22"/>
  <c r="T337" i="22" s="1"/>
  <c r="U335" i="22"/>
  <c r="T335" i="22" s="1"/>
  <c r="U333" i="22"/>
  <c r="T333" i="22" s="1"/>
  <c r="S333" i="22" s="1"/>
  <c r="R333" i="22" s="1"/>
  <c r="P333" i="22" s="1"/>
  <c r="U331" i="22"/>
  <c r="T331" i="22" s="1"/>
  <c r="U329" i="22"/>
  <c r="T329" i="22" s="1"/>
  <c r="S329" i="22" s="1"/>
  <c r="R329" i="22" s="1"/>
  <c r="P329" i="22" s="1"/>
  <c r="V329" i="22" s="1"/>
  <c r="B329" i="22" s="1"/>
  <c r="U327" i="22"/>
  <c r="T327" i="22" s="1"/>
  <c r="S327" i="22" s="1"/>
  <c r="R327" i="22" s="1"/>
  <c r="P327" i="22" s="1"/>
  <c r="V327" i="22" s="1"/>
  <c r="B327" i="22" s="1"/>
  <c r="U325" i="22"/>
  <c r="T325" i="22" s="1"/>
  <c r="S325" i="22" s="1"/>
  <c r="R325" i="22" s="1"/>
  <c r="P325" i="22" s="1"/>
  <c r="V325" i="22" s="1"/>
  <c r="B325" i="22" s="1"/>
  <c r="U323" i="22"/>
  <c r="T323" i="22" s="1"/>
  <c r="U321" i="22"/>
  <c r="T321" i="22" s="1"/>
  <c r="S321" i="22" s="1"/>
  <c r="R321" i="22" s="1"/>
  <c r="P321" i="22" s="1"/>
  <c r="V321" i="22" s="1"/>
  <c r="B321" i="22" s="1"/>
  <c r="U319" i="22"/>
  <c r="T319" i="22" s="1"/>
  <c r="S319" i="22" s="1"/>
  <c r="R319" i="22" s="1"/>
  <c r="P319" i="22" s="1"/>
  <c r="V319" i="22" s="1"/>
  <c r="U317" i="22"/>
  <c r="T317" i="22" s="1"/>
  <c r="U315" i="22"/>
  <c r="T315" i="22" s="1"/>
  <c r="U313" i="22"/>
  <c r="T313" i="22" s="1"/>
  <c r="S313" i="22" s="1"/>
  <c r="R313" i="22" s="1"/>
  <c r="P313" i="22" s="1"/>
  <c r="V313" i="22" s="1"/>
  <c r="B313" i="22" s="1"/>
  <c r="U311" i="22"/>
  <c r="T311" i="22" s="1"/>
  <c r="S311" i="22" s="1"/>
  <c r="R311" i="22" s="1"/>
  <c r="P311" i="22" s="1"/>
  <c r="V311" i="22" s="1"/>
  <c r="B311" i="22" s="1"/>
  <c r="U309" i="22"/>
  <c r="T309" i="22" s="1"/>
  <c r="U307" i="22"/>
  <c r="T307" i="22" s="1"/>
  <c r="S307" i="22" s="1"/>
  <c r="R307" i="22" s="1"/>
  <c r="P307" i="22" s="1"/>
  <c r="V307" i="22" s="1"/>
  <c r="B307" i="22" s="1"/>
  <c r="U305" i="22"/>
  <c r="T305" i="22" s="1"/>
  <c r="S305" i="22" s="1"/>
  <c r="R305" i="22" s="1"/>
  <c r="P305" i="22" s="1"/>
  <c r="V305" i="22" s="1"/>
  <c r="B305" i="22" s="1"/>
  <c r="U303" i="22"/>
  <c r="T303" i="22" s="1"/>
  <c r="U301" i="22"/>
  <c r="T301" i="22" s="1"/>
  <c r="S301" i="22" s="1"/>
  <c r="R301" i="22" s="1"/>
  <c r="P301" i="22" s="1"/>
  <c r="V301" i="22" s="1"/>
  <c r="B301" i="22" s="1"/>
  <c r="U299" i="22"/>
  <c r="T299" i="22" s="1"/>
  <c r="S299" i="22" s="1"/>
  <c r="R299" i="22" s="1"/>
  <c r="P299" i="22" s="1"/>
  <c r="V299" i="22" s="1"/>
  <c r="B299" i="22" s="1"/>
  <c r="U297" i="22"/>
  <c r="T297" i="22" s="1"/>
  <c r="U295" i="22"/>
  <c r="T295" i="22" s="1"/>
  <c r="U293" i="22"/>
  <c r="T293" i="22" s="1"/>
  <c r="S293" i="22" s="1"/>
  <c r="R293" i="22" s="1"/>
  <c r="P293" i="22" s="1"/>
  <c r="V293" i="22" s="1"/>
  <c r="B293" i="22" s="1"/>
  <c r="U291" i="22"/>
  <c r="T291" i="22" s="1"/>
  <c r="S291" i="22" s="1"/>
  <c r="R291" i="22" s="1"/>
  <c r="P291" i="22" s="1"/>
  <c r="V291" i="22" s="1"/>
  <c r="B291" i="22" s="1"/>
  <c r="U289" i="22"/>
  <c r="T289" i="22" s="1"/>
  <c r="S289" i="22" s="1"/>
  <c r="R289" i="22" s="1"/>
  <c r="P289" i="22" s="1"/>
  <c r="V289" i="22" s="1"/>
  <c r="B289" i="22" s="1"/>
  <c r="U287" i="22"/>
  <c r="T287" i="22" s="1"/>
  <c r="U285" i="22"/>
  <c r="T285" i="22" s="1"/>
  <c r="S285" i="22" s="1"/>
  <c r="R285" i="22" s="1"/>
  <c r="P285" i="22" s="1"/>
  <c r="V285" i="22" s="1"/>
  <c r="B285" i="22" s="1"/>
  <c r="U283" i="22"/>
  <c r="T283" i="22" s="1"/>
  <c r="S283" i="22" s="1"/>
  <c r="R283" i="22" s="1"/>
  <c r="P283" i="22" s="1"/>
  <c r="V283" i="22" s="1"/>
  <c r="B283" i="22" s="1"/>
  <c r="U281" i="22"/>
  <c r="T281" i="22" s="1"/>
  <c r="S281" i="22" s="1"/>
  <c r="R281" i="22" s="1"/>
  <c r="P281" i="22" s="1"/>
  <c r="V281" i="22" s="1"/>
  <c r="B281" i="22" s="1"/>
  <c r="U279" i="22"/>
  <c r="T279" i="22" s="1"/>
  <c r="S279" i="22" s="1"/>
  <c r="R279" i="22" s="1"/>
  <c r="P279" i="22" s="1"/>
  <c r="V279" i="22" s="1"/>
  <c r="B279" i="22" s="1"/>
  <c r="U277" i="22"/>
  <c r="T277" i="22" s="1"/>
  <c r="S277" i="22" s="1"/>
  <c r="R277" i="22" s="1"/>
  <c r="P277" i="22" s="1"/>
  <c r="V277" i="22" s="1"/>
  <c r="B277" i="22" s="1"/>
  <c r="U275" i="22"/>
  <c r="T275" i="22" s="1"/>
  <c r="S275" i="22" s="1"/>
  <c r="R275" i="22" s="1"/>
  <c r="P275" i="22" s="1"/>
  <c r="V275" i="22" s="1"/>
  <c r="B275" i="22" s="1"/>
  <c r="U273" i="22"/>
  <c r="T273" i="22" s="1"/>
  <c r="U271" i="22"/>
  <c r="T271" i="22" s="1"/>
  <c r="U269" i="22"/>
  <c r="T269" i="22" s="1"/>
  <c r="U267" i="22"/>
  <c r="T267" i="22" s="1"/>
  <c r="S267" i="22" s="1"/>
  <c r="R267" i="22" s="1"/>
  <c r="P267" i="22" s="1"/>
  <c r="V267" i="22" s="1"/>
  <c r="B267" i="22" s="1"/>
  <c r="U265" i="22"/>
  <c r="T265" i="22" s="1"/>
  <c r="S265" i="22" s="1"/>
  <c r="R265" i="22" s="1"/>
  <c r="P265" i="22" s="1"/>
  <c r="V265" i="22" s="1"/>
  <c r="B265" i="22" s="1"/>
  <c r="U263" i="22"/>
  <c r="T263" i="22" s="1"/>
  <c r="S263" i="22" s="1"/>
  <c r="R263" i="22" s="1"/>
  <c r="P263" i="22" s="1"/>
  <c r="V263" i="22" s="1"/>
  <c r="B263" i="22" s="1"/>
  <c r="U261" i="22"/>
  <c r="T261" i="22" s="1"/>
  <c r="U259" i="22"/>
  <c r="T259" i="22" s="1"/>
  <c r="S259" i="22" s="1"/>
  <c r="R259" i="22" s="1"/>
  <c r="P259" i="22" s="1"/>
  <c r="V259" i="22" s="1"/>
  <c r="B259" i="22" s="1"/>
  <c r="U257" i="22"/>
  <c r="T257" i="22" s="1"/>
  <c r="U255" i="22"/>
  <c r="T255" i="22" s="1"/>
  <c r="S255" i="22" s="1"/>
  <c r="R255" i="22" s="1"/>
  <c r="P255" i="22" s="1"/>
  <c r="V255" i="22" s="1"/>
  <c r="B255" i="22" s="1"/>
  <c r="U253" i="22"/>
  <c r="T253" i="22" s="1"/>
  <c r="S253" i="22" s="1"/>
  <c r="R253" i="22" s="1"/>
  <c r="P253" i="22" s="1"/>
  <c r="V253" i="22" s="1"/>
  <c r="B253" i="22" s="1"/>
  <c r="U251" i="22"/>
  <c r="T251" i="22" s="1"/>
  <c r="U249" i="22"/>
  <c r="T249" i="22" s="1"/>
  <c r="S249" i="22" s="1"/>
  <c r="R249" i="22" s="1"/>
  <c r="P249" i="22" s="1"/>
  <c r="V249" i="22" s="1"/>
  <c r="B249" i="22" s="1"/>
  <c r="U247" i="22"/>
  <c r="T247" i="22" s="1"/>
  <c r="S247" i="22" s="1"/>
  <c r="R247" i="22" s="1"/>
  <c r="P247" i="22" s="1"/>
  <c r="V247" i="22" s="1"/>
  <c r="B247" i="22" s="1"/>
  <c r="U245" i="22"/>
  <c r="T245" i="22" s="1"/>
  <c r="U243" i="22"/>
  <c r="T243" i="22" s="1"/>
  <c r="S243" i="22" s="1"/>
  <c r="R243" i="22" s="1"/>
  <c r="P243" i="22" s="1"/>
  <c r="V243" i="22" s="1"/>
  <c r="B243" i="22" s="1"/>
  <c r="U241" i="22"/>
  <c r="T241" i="22" s="1"/>
  <c r="S241" i="22" s="1"/>
  <c r="R241" i="22" s="1"/>
  <c r="P241" i="22" s="1"/>
  <c r="U239" i="22"/>
  <c r="T239" i="22" s="1"/>
  <c r="U237" i="22"/>
  <c r="T237" i="22" s="1"/>
  <c r="U235" i="22"/>
  <c r="T235" i="22" s="1"/>
  <c r="S235" i="22" s="1"/>
  <c r="R235" i="22" s="1"/>
  <c r="P235" i="22" s="1"/>
  <c r="V235" i="22" s="1"/>
  <c r="B235" i="22" s="1"/>
  <c r="U233" i="22"/>
  <c r="T233" i="22" s="1"/>
  <c r="S233" i="22" s="1"/>
  <c r="R233" i="22" s="1"/>
  <c r="P233" i="22" s="1"/>
  <c r="V233" i="22" s="1"/>
  <c r="B233" i="22" s="1"/>
  <c r="U231" i="22"/>
  <c r="T231" i="22" s="1"/>
  <c r="S231" i="22" s="1"/>
  <c r="R231" i="22" s="1"/>
  <c r="P231" i="22" s="1"/>
  <c r="V231" i="22" s="1"/>
  <c r="B231" i="22" s="1"/>
  <c r="U229" i="22"/>
  <c r="T229" i="22" s="1"/>
  <c r="S229" i="22" s="1"/>
  <c r="R229" i="22" s="1"/>
  <c r="P229" i="22" s="1"/>
  <c r="V229" i="22" s="1"/>
  <c r="B229" i="22" s="1"/>
  <c r="U227" i="22"/>
  <c r="T227" i="22" s="1"/>
  <c r="U225" i="22"/>
  <c r="T225" i="22" s="1"/>
  <c r="S225" i="22" s="1"/>
  <c r="R225" i="22" s="1"/>
  <c r="P225" i="22" s="1"/>
  <c r="V225" i="22" s="1"/>
  <c r="B225" i="22" s="1"/>
  <c r="U223" i="22"/>
  <c r="T223" i="22" s="1"/>
  <c r="S223" i="22" s="1"/>
  <c r="R223" i="22" s="1"/>
  <c r="P223" i="22" s="1"/>
  <c r="V223" i="22" s="1"/>
  <c r="B223" i="22" s="1"/>
  <c r="U221" i="22"/>
  <c r="T221" i="22" s="1"/>
  <c r="S221" i="22" s="1"/>
  <c r="R221" i="22" s="1"/>
  <c r="P221" i="22" s="1"/>
  <c r="V221" i="22" s="1"/>
  <c r="B221" i="22" s="1"/>
  <c r="U219" i="22"/>
  <c r="T219" i="22" s="1"/>
  <c r="S219" i="22" s="1"/>
  <c r="R219" i="22" s="1"/>
  <c r="P219" i="22" s="1"/>
  <c r="V219" i="22" s="1"/>
  <c r="B219" i="22" s="1"/>
  <c r="U217" i="22"/>
  <c r="T217" i="22" s="1"/>
  <c r="U215" i="22"/>
  <c r="T215" i="22" s="1"/>
  <c r="S215" i="22" s="1"/>
  <c r="R215" i="22" s="1"/>
  <c r="P215" i="22" s="1"/>
  <c r="V215" i="22" s="1"/>
  <c r="B215" i="22" s="1"/>
  <c r="U213" i="22"/>
  <c r="T213" i="22" s="1"/>
  <c r="S213" i="22" s="1"/>
  <c r="R213" i="22" s="1"/>
  <c r="P213" i="22" s="1"/>
  <c r="V213" i="22" s="1"/>
  <c r="B213" i="22" s="1"/>
  <c r="U211" i="22"/>
  <c r="T211" i="22" s="1"/>
  <c r="U209" i="22"/>
  <c r="T209" i="22" s="1"/>
  <c r="U207" i="22"/>
  <c r="T207" i="22" s="1"/>
  <c r="S207" i="22" s="1"/>
  <c r="R207" i="22" s="1"/>
  <c r="P207" i="22" s="1"/>
  <c r="V207" i="22" s="1"/>
  <c r="B207" i="22" s="1"/>
  <c r="U205" i="22"/>
  <c r="T205" i="22" s="1"/>
  <c r="S205" i="22" s="1"/>
  <c r="R205" i="22" s="1"/>
  <c r="P205" i="22" s="1"/>
  <c r="V205" i="22" s="1"/>
  <c r="B205" i="22" s="1"/>
  <c r="U203" i="22"/>
  <c r="T203" i="22" s="1"/>
  <c r="U201" i="22"/>
  <c r="T201" i="22" s="1"/>
  <c r="S201" i="22" s="1"/>
  <c r="R201" i="22" s="1"/>
  <c r="P201" i="22" s="1"/>
  <c r="V201" i="22" s="1"/>
  <c r="B201" i="22" s="1"/>
  <c r="U199" i="22"/>
  <c r="T199" i="22" s="1"/>
  <c r="S199" i="22" s="1"/>
  <c r="R199" i="22" s="1"/>
  <c r="P199" i="22" s="1"/>
  <c r="V199" i="22" s="1"/>
  <c r="B199" i="22" s="1"/>
  <c r="U197" i="22"/>
  <c r="T197" i="22" s="1"/>
  <c r="S197" i="22" s="1"/>
  <c r="R197" i="22" s="1"/>
  <c r="P197" i="22" s="1"/>
  <c r="V197" i="22" s="1"/>
  <c r="B197" i="22" s="1"/>
  <c r="U195" i="22"/>
  <c r="T195" i="22" s="1"/>
  <c r="S195" i="22" s="1"/>
  <c r="R195" i="22" s="1"/>
  <c r="P195" i="22" s="1"/>
  <c r="V195" i="22" s="1"/>
  <c r="B195" i="22" s="1"/>
  <c r="U193" i="22"/>
  <c r="T193" i="22" s="1"/>
  <c r="U191" i="22"/>
  <c r="T191" i="22" s="1"/>
  <c r="S191" i="22" s="1"/>
  <c r="R191" i="22" s="1"/>
  <c r="P191" i="22" s="1"/>
  <c r="V191" i="22" s="1"/>
  <c r="B191" i="22" s="1"/>
  <c r="U189" i="22"/>
  <c r="T189" i="22" s="1"/>
  <c r="U187" i="22"/>
  <c r="T187" i="22" s="1"/>
  <c r="U185" i="22"/>
  <c r="T185" i="22" s="1"/>
  <c r="S185" i="22" s="1"/>
  <c r="R185" i="22" s="1"/>
  <c r="P185" i="22" s="1"/>
  <c r="V185" i="22" s="1"/>
  <c r="B185" i="22" s="1"/>
  <c r="U183" i="22"/>
  <c r="T183" i="22" s="1"/>
  <c r="S183" i="22" s="1"/>
  <c r="R183" i="22" s="1"/>
  <c r="P183" i="22" s="1"/>
  <c r="V183" i="22" s="1"/>
  <c r="B183" i="22" s="1"/>
  <c r="U181" i="22"/>
  <c r="T181" i="22" s="1"/>
  <c r="S181" i="22" s="1"/>
  <c r="R181" i="22" s="1"/>
  <c r="P181" i="22" s="1"/>
  <c r="V181" i="22" s="1"/>
  <c r="B181" i="22" s="1"/>
  <c r="U179" i="22"/>
  <c r="T179" i="22" s="1"/>
  <c r="U177" i="22"/>
  <c r="T177" i="22" s="1"/>
  <c r="S177" i="22" s="1"/>
  <c r="R177" i="22" s="1"/>
  <c r="P177" i="22" s="1"/>
  <c r="V177" i="22" s="1"/>
  <c r="B177" i="22" s="1"/>
  <c r="U175" i="22"/>
  <c r="T175" i="22" s="1"/>
  <c r="S175" i="22" s="1"/>
  <c r="R175" i="22" s="1"/>
  <c r="P175" i="22" s="1"/>
  <c r="V175" i="22" s="1"/>
  <c r="B175" i="22" s="1"/>
  <c r="U173" i="22"/>
  <c r="T173" i="22" s="1"/>
  <c r="S173" i="22" s="1"/>
  <c r="R173" i="22" s="1"/>
  <c r="P173" i="22" s="1"/>
  <c r="V173" i="22" s="1"/>
  <c r="B173" i="22" s="1"/>
  <c r="U171" i="22"/>
  <c r="T171" i="22" s="1"/>
  <c r="S171" i="22" s="1"/>
  <c r="R171" i="22" s="1"/>
  <c r="P171" i="22" s="1"/>
  <c r="V171" i="22" s="1"/>
  <c r="B171" i="22" s="1"/>
  <c r="U169" i="22"/>
  <c r="T169" i="22" s="1"/>
  <c r="U167" i="22"/>
  <c r="T167" i="22" s="1"/>
  <c r="U165" i="22"/>
  <c r="T165" i="22" s="1"/>
  <c r="S165" i="22" s="1"/>
  <c r="R165" i="22" s="1"/>
  <c r="P165" i="22" s="1"/>
  <c r="V165" i="22" s="1"/>
  <c r="B165" i="22" s="1"/>
  <c r="U163" i="22"/>
  <c r="T163" i="22" s="1"/>
  <c r="U161" i="22"/>
  <c r="T161" i="22" s="1"/>
  <c r="U159" i="22"/>
  <c r="T159" i="22" s="1"/>
  <c r="S159" i="22" s="1"/>
  <c r="R159" i="22" s="1"/>
  <c r="P159" i="22" s="1"/>
  <c r="V159" i="22" s="1"/>
  <c r="B159" i="22" s="1"/>
  <c r="U157" i="22"/>
  <c r="T157" i="22" s="1"/>
  <c r="S157" i="22" s="1"/>
  <c r="R157" i="22" s="1"/>
  <c r="P157" i="22" s="1"/>
  <c r="V157" i="22" s="1"/>
  <c r="B157" i="22" s="1"/>
  <c r="U155" i="22"/>
  <c r="T155" i="22" s="1"/>
  <c r="S155" i="22" s="1"/>
  <c r="R155" i="22" s="1"/>
  <c r="P155" i="22" s="1"/>
  <c r="V155" i="22" s="1"/>
  <c r="B155" i="22" s="1"/>
  <c r="U153" i="22"/>
  <c r="T153" i="22" s="1"/>
  <c r="S153" i="22" s="1"/>
  <c r="R153" i="22" s="1"/>
  <c r="P153" i="22" s="1"/>
  <c r="V153" i="22" s="1"/>
  <c r="B153" i="22" s="1"/>
  <c r="U151" i="22"/>
  <c r="T151" i="22" s="1"/>
  <c r="U149" i="22"/>
  <c r="T149" i="22" s="1"/>
  <c r="U147" i="22"/>
  <c r="T147" i="22" s="1"/>
  <c r="S147" i="22" s="1"/>
  <c r="R147" i="22" s="1"/>
  <c r="P147" i="22" s="1"/>
  <c r="V147" i="22" s="1"/>
  <c r="B147" i="22" s="1"/>
  <c r="U145" i="22"/>
  <c r="T145" i="22" s="1"/>
  <c r="U143" i="22"/>
  <c r="T143" i="22" s="1"/>
  <c r="S143" i="22" s="1"/>
  <c r="R143" i="22" s="1"/>
  <c r="P143" i="22" s="1"/>
  <c r="V143" i="22" s="1"/>
  <c r="B143" i="22" s="1"/>
  <c r="U141" i="22"/>
  <c r="T141" i="22" s="1"/>
  <c r="S141" i="22" s="1"/>
  <c r="R141" i="22" s="1"/>
  <c r="P141" i="22" s="1"/>
  <c r="V141" i="22" s="1"/>
  <c r="B141" i="22" s="1"/>
  <c r="U139" i="22"/>
  <c r="T139" i="22" s="1"/>
  <c r="U137" i="22"/>
  <c r="T137" i="22" s="1"/>
  <c r="U135" i="22"/>
  <c r="T135" i="22" s="1"/>
  <c r="U133" i="22"/>
  <c r="T133" i="22" s="1"/>
  <c r="S133" i="22" s="1"/>
  <c r="R133" i="22" s="1"/>
  <c r="P133" i="22" s="1"/>
  <c r="V133" i="22" s="1"/>
  <c r="B133" i="22" s="1"/>
  <c r="U131" i="22"/>
  <c r="T131" i="22" s="1"/>
  <c r="U129" i="22"/>
  <c r="T129" i="22" s="1"/>
  <c r="U127" i="22"/>
  <c r="T127" i="22" s="1"/>
  <c r="S127" i="22" s="1"/>
  <c r="R127" i="22" s="1"/>
  <c r="P127" i="22" s="1"/>
  <c r="V127" i="22" s="1"/>
  <c r="B127" i="22" s="1"/>
  <c r="U125" i="22"/>
  <c r="T125" i="22" s="1"/>
  <c r="U123" i="22"/>
  <c r="T123" i="22" s="1"/>
  <c r="U121" i="22"/>
  <c r="T121" i="22" s="1"/>
  <c r="U119" i="22"/>
  <c r="T119" i="22" s="1"/>
  <c r="U117" i="22"/>
  <c r="T117" i="22" s="1"/>
  <c r="S117" i="22" s="1"/>
  <c r="R117" i="22" s="1"/>
  <c r="P117" i="22" s="1"/>
  <c r="V117" i="22" s="1"/>
  <c r="B117" i="22" s="1"/>
  <c r="U115" i="22"/>
  <c r="T115" i="22" s="1"/>
  <c r="S115" i="22" s="1"/>
  <c r="R115" i="22" s="1"/>
  <c r="P115" i="22" s="1"/>
  <c r="V115" i="22" s="1"/>
  <c r="B115" i="22" s="1"/>
  <c r="U113" i="22"/>
  <c r="T113" i="22" s="1"/>
  <c r="U111" i="22"/>
  <c r="T111" i="22" s="1"/>
  <c r="U109" i="22"/>
  <c r="T109" i="22" s="1"/>
  <c r="U107" i="22"/>
  <c r="T107" i="22" s="1"/>
  <c r="S107" i="22" s="1"/>
  <c r="R107" i="22" s="1"/>
  <c r="P107" i="22" s="1"/>
  <c r="V107" i="22" s="1"/>
  <c r="B107" i="22" s="1"/>
  <c r="U105" i="22"/>
  <c r="T105" i="22" s="1"/>
  <c r="U103" i="22"/>
  <c r="T103" i="22" s="1"/>
  <c r="U101" i="22"/>
  <c r="T101" i="22" s="1"/>
  <c r="U99" i="22"/>
  <c r="T99" i="22" s="1"/>
  <c r="U97" i="22"/>
  <c r="T97" i="22" s="1"/>
  <c r="S97" i="22" s="1"/>
  <c r="R97" i="22" s="1"/>
  <c r="P97" i="22" s="1"/>
  <c r="V97" i="22" s="1"/>
  <c r="B97" i="22" s="1"/>
  <c r="U95" i="22"/>
  <c r="T95" i="22" s="1"/>
  <c r="U93" i="22"/>
  <c r="T93" i="22" s="1"/>
  <c r="S93" i="22" s="1"/>
  <c r="R93" i="22" s="1"/>
  <c r="P93" i="22" s="1"/>
  <c r="V93" i="22" s="1"/>
  <c r="B93" i="22" s="1"/>
  <c r="U91" i="22"/>
  <c r="T91" i="22" s="1"/>
  <c r="U89" i="22"/>
  <c r="T89" i="22" s="1"/>
  <c r="U87" i="22"/>
  <c r="T87" i="22" s="1"/>
  <c r="U85" i="22"/>
  <c r="T85" i="22" s="1"/>
  <c r="U83" i="22"/>
  <c r="T83" i="22" s="1"/>
  <c r="S83" i="22" s="1"/>
  <c r="R83" i="22" s="1"/>
  <c r="P83" i="22" s="1"/>
  <c r="V83" i="22" s="1"/>
  <c r="B83" i="22" s="1"/>
  <c r="U81" i="22"/>
  <c r="T81" i="22" s="1"/>
  <c r="S81" i="22" s="1"/>
  <c r="R81" i="22" s="1"/>
  <c r="P81" i="22" s="1"/>
  <c r="V81" i="22" s="1"/>
  <c r="B81" i="22" s="1"/>
  <c r="U79" i="22"/>
  <c r="T79" i="22" s="1"/>
  <c r="U77" i="22"/>
  <c r="T77" i="22" s="1"/>
  <c r="S77" i="22" s="1"/>
  <c r="R77" i="22" s="1"/>
  <c r="P77" i="22" s="1"/>
  <c r="V77" i="22" s="1"/>
  <c r="B77" i="22" s="1"/>
  <c r="U75" i="22"/>
  <c r="T75" i="22" s="1"/>
  <c r="U73" i="22"/>
  <c r="T73" i="22" s="1"/>
  <c r="U71" i="22"/>
  <c r="T71" i="22" s="1"/>
  <c r="U69" i="22"/>
  <c r="T69" i="22" s="1"/>
  <c r="S69" i="22" s="1"/>
  <c r="R69" i="22" s="1"/>
  <c r="P69" i="22" s="1"/>
  <c r="V69" i="22" s="1"/>
  <c r="B69" i="22" s="1"/>
  <c r="U67" i="22"/>
  <c r="T67" i="22" s="1"/>
  <c r="S67" i="22" s="1"/>
  <c r="R67" i="22" s="1"/>
  <c r="P67" i="22" s="1"/>
  <c r="V67" i="22" s="1"/>
  <c r="B67" i="22" s="1"/>
  <c r="U65" i="22"/>
  <c r="T65" i="22" s="1"/>
  <c r="S65" i="22" s="1"/>
  <c r="R65" i="22" s="1"/>
  <c r="P65" i="22" s="1"/>
  <c r="V65" i="22" s="1"/>
  <c r="B65" i="22" s="1"/>
  <c r="U63" i="22"/>
  <c r="T63" i="22" s="1"/>
  <c r="U61" i="22"/>
  <c r="T61" i="22" s="1"/>
  <c r="U59" i="22"/>
  <c r="T59" i="22" s="1"/>
  <c r="U57" i="22"/>
  <c r="T57" i="22" s="1"/>
  <c r="U55" i="22"/>
  <c r="T55" i="22" s="1"/>
  <c r="U53" i="22"/>
  <c r="T53" i="22" s="1"/>
  <c r="S53" i="22" s="1"/>
  <c r="R53" i="22" s="1"/>
  <c r="P53" i="22" s="1"/>
  <c r="V53" i="22" s="1"/>
  <c r="B53" i="22" s="1"/>
  <c r="U51" i="22"/>
  <c r="T51" i="22" s="1"/>
  <c r="U49" i="22"/>
  <c r="T49" i="22" s="1"/>
  <c r="S49" i="22" s="1"/>
  <c r="R49" i="22" s="1"/>
  <c r="P49" i="22" s="1"/>
  <c r="V49" i="22" s="1"/>
  <c r="B49" i="22" s="1"/>
  <c r="U47" i="22"/>
  <c r="T47" i="22" s="1"/>
  <c r="S47" i="22" s="1"/>
  <c r="R47" i="22" s="1"/>
  <c r="P47" i="22" s="1"/>
  <c r="V47" i="22" s="1"/>
  <c r="B47" i="22" s="1"/>
  <c r="U45" i="22"/>
  <c r="T45" i="22" s="1"/>
  <c r="U43" i="22"/>
  <c r="T43" i="22" s="1"/>
  <c r="S43" i="22" s="1"/>
  <c r="R43" i="22" s="1"/>
  <c r="P43" i="22" s="1"/>
  <c r="V43" i="22" s="1"/>
  <c r="B43" i="22" s="1"/>
  <c r="U41" i="22"/>
  <c r="T41" i="22" s="1"/>
  <c r="S41" i="22" s="1"/>
  <c r="R41" i="22" s="1"/>
  <c r="P41" i="22" s="1"/>
  <c r="V41" i="22" s="1"/>
  <c r="B41" i="22" s="1"/>
  <c r="U39" i="22"/>
  <c r="T39" i="22" s="1"/>
  <c r="S39" i="22" s="1"/>
  <c r="R39" i="22" s="1"/>
  <c r="P39" i="22" s="1"/>
  <c r="V39" i="22" s="1"/>
  <c r="B39" i="22" s="1"/>
  <c r="U37" i="22"/>
  <c r="T37" i="22" s="1"/>
  <c r="U35" i="22"/>
  <c r="T35" i="22" s="1"/>
  <c r="S35" i="22" s="1"/>
  <c r="R35" i="22" s="1"/>
  <c r="P35" i="22" s="1"/>
  <c r="V35" i="22" s="1"/>
  <c r="B35" i="22" s="1"/>
  <c r="U33" i="22"/>
  <c r="T33" i="22" s="1"/>
  <c r="U31" i="22"/>
  <c r="T31" i="22" s="1"/>
  <c r="S31" i="22" s="1"/>
  <c r="R31" i="22" s="1"/>
  <c r="P31" i="22" s="1"/>
  <c r="V31" i="22" s="1"/>
  <c r="B31" i="22" s="1"/>
  <c r="U29" i="22"/>
  <c r="T29" i="22" s="1"/>
  <c r="U27" i="22"/>
  <c r="T27" i="22" s="1"/>
  <c r="U25" i="22"/>
  <c r="T25" i="22" s="1"/>
  <c r="S25" i="22" s="1"/>
  <c r="R25" i="22" s="1"/>
  <c r="P25" i="22" s="1"/>
  <c r="V25" i="22" s="1"/>
  <c r="B25" i="22" s="1"/>
  <c r="U16" i="22"/>
  <c r="T16" i="22" s="1"/>
  <c r="U23" i="22"/>
  <c r="T23" i="22" s="1"/>
  <c r="U19" i="22"/>
  <c r="T19" i="22" s="1"/>
  <c r="U20" i="22"/>
  <c r="T20" i="22" s="1"/>
  <c r="S20" i="22" s="1"/>
  <c r="R20" i="22" s="1"/>
  <c r="P20" i="22" s="1"/>
  <c r="V20" i="22" s="1"/>
  <c r="B20" i="22" s="1"/>
  <c r="U22" i="22"/>
  <c r="T22" i="22" s="1"/>
  <c r="S22" i="22" s="1"/>
  <c r="R22" i="22" s="1"/>
  <c r="P22" i="22" s="1"/>
  <c r="V22" i="22" s="1"/>
  <c r="B22" i="22" s="1"/>
  <c r="H369" i="20"/>
  <c r="I367" i="20"/>
  <c r="J367" i="20"/>
  <c r="H345" i="20"/>
  <c r="I335" i="20"/>
  <c r="J335" i="20"/>
  <c r="H267" i="20"/>
  <c r="H239" i="20"/>
  <c r="H231" i="20"/>
  <c r="I169" i="20"/>
  <c r="J169" i="20"/>
  <c r="H161" i="20"/>
  <c r="H151" i="20"/>
  <c r="H143" i="20"/>
  <c r="H93" i="20"/>
  <c r="J227" i="18"/>
  <c r="C227" i="6" s="1"/>
  <c r="I227" i="18"/>
  <c r="B227" i="6" s="1"/>
  <c r="BA227" i="6" s="1"/>
  <c r="D227" i="6" s="1"/>
  <c r="I135" i="18"/>
  <c r="B135" i="6" s="1"/>
  <c r="BA135" i="6" s="1"/>
  <c r="D135" i="6" s="1"/>
  <c r="J135" i="18"/>
  <c r="C135" i="6" s="1"/>
  <c r="I46" i="18"/>
  <c r="B46" i="6" s="1"/>
  <c r="BA46" i="6" s="1"/>
  <c r="J46" i="18"/>
  <c r="C46" i="6" s="1"/>
  <c r="G372" i="20"/>
  <c r="CB372" i="6" s="1"/>
  <c r="H372" i="20"/>
  <c r="AA372" i="20"/>
  <c r="Z372" i="20" s="1"/>
  <c r="Y372" i="20" s="1"/>
  <c r="H364" i="20"/>
  <c r="AA364" i="20"/>
  <c r="Z364" i="20" s="1"/>
  <c r="Y364" i="20" s="1"/>
  <c r="G364" i="20"/>
  <c r="CB364" i="6" s="1"/>
  <c r="AA354" i="20"/>
  <c r="Z354" i="20" s="1"/>
  <c r="Y354" i="20" s="1"/>
  <c r="H354" i="20"/>
  <c r="G354" i="20"/>
  <c r="CB354" i="6" s="1"/>
  <c r="AA342" i="20"/>
  <c r="Z342" i="20" s="1"/>
  <c r="Y342" i="20" s="1"/>
  <c r="G342" i="20"/>
  <c r="CB342" i="6" s="1"/>
  <c r="H342" i="20"/>
  <c r="AA328" i="20"/>
  <c r="Z328" i="20" s="1"/>
  <c r="Y328" i="20" s="1"/>
  <c r="H328" i="20"/>
  <c r="G328" i="20"/>
  <c r="CB328" i="6" s="1"/>
  <c r="AA318" i="20"/>
  <c r="Z318" i="20" s="1"/>
  <c r="Y318" i="20" s="1"/>
  <c r="G318" i="20"/>
  <c r="CB318" i="6" s="1"/>
  <c r="H318" i="20"/>
  <c r="AA312" i="20"/>
  <c r="Z312" i="20" s="1"/>
  <c r="Y312" i="20" s="1"/>
  <c r="G312" i="20"/>
  <c r="CB312" i="6" s="1"/>
  <c r="H312" i="20"/>
  <c r="AA276" i="20"/>
  <c r="Z276" i="20" s="1"/>
  <c r="Y276" i="20" s="1"/>
  <c r="G276" i="20"/>
  <c r="CB276" i="6" s="1"/>
  <c r="H276" i="20"/>
  <c r="AA256" i="20"/>
  <c r="Z256" i="20" s="1"/>
  <c r="Y256" i="20" s="1"/>
  <c r="H256" i="20"/>
  <c r="G256" i="20"/>
  <c r="CB256" i="6" s="1"/>
  <c r="AA250" i="20"/>
  <c r="Z250" i="20" s="1"/>
  <c r="Y250" i="20" s="1"/>
  <c r="G250" i="20"/>
  <c r="CB250" i="6" s="1"/>
  <c r="H250" i="20"/>
  <c r="G242" i="20"/>
  <c r="CB242" i="6" s="1"/>
  <c r="AA242" i="20"/>
  <c r="Z242" i="20" s="1"/>
  <c r="Y242" i="20" s="1"/>
  <c r="H242" i="20"/>
  <c r="G236" i="20"/>
  <c r="CB236" i="6" s="1"/>
  <c r="AA236" i="20"/>
  <c r="Z236" i="20" s="1"/>
  <c r="Y236" i="20" s="1"/>
  <c r="H236" i="20"/>
  <c r="AA212" i="20"/>
  <c r="Z212" i="20" s="1"/>
  <c r="Y212" i="20" s="1"/>
  <c r="G212" i="20"/>
  <c r="CB212" i="6" s="1"/>
  <c r="H212" i="20"/>
  <c r="H206" i="20"/>
  <c r="G206" i="20"/>
  <c r="CB206" i="6" s="1"/>
  <c r="AA206" i="20"/>
  <c r="Z206" i="20" s="1"/>
  <c r="Y206" i="20" s="1"/>
  <c r="G202" i="20"/>
  <c r="CB202" i="6" s="1"/>
  <c r="AA202" i="20"/>
  <c r="Z202" i="20" s="1"/>
  <c r="Y202" i="20" s="1"/>
  <c r="H202" i="20"/>
  <c r="H188" i="20"/>
  <c r="G188" i="20"/>
  <c r="CB188" i="6" s="1"/>
  <c r="AA188" i="20"/>
  <c r="Z188" i="20" s="1"/>
  <c r="Y188" i="20" s="1"/>
  <c r="AA184" i="20"/>
  <c r="Z184" i="20" s="1"/>
  <c r="Y184" i="20" s="1"/>
  <c r="G184" i="20"/>
  <c r="CB184" i="6" s="1"/>
  <c r="H184" i="20"/>
  <c r="AA176" i="20"/>
  <c r="Z176" i="20" s="1"/>
  <c r="Y176" i="20" s="1"/>
  <c r="H176" i="20"/>
  <c r="G176" i="20"/>
  <c r="CB176" i="6" s="1"/>
  <c r="AA162" i="20"/>
  <c r="Z162" i="20" s="1"/>
  <c r="Y162" i="20" s="1"/>
  <c r="G162" i="20"/>
  <c r="CB162" i="6" s="1"/>
  <c r="H162" i="20"/>
  <c r="G146" i="20"/>
  <c r="CB146" i="6" s="1"/>
  <c r="H146" i="20"/>
  <c r="AA146" i="20"/>
  <c r="Z146" i="20" s="1"/>
  <c r="Y146" i="20" s="1"/>
  <c r="G126" i="20"/>
  <c r="CB126" i="6" s="1"/>
  <c r="AA126" i="20"/>
  <c r="Z126" i="20" s="1"/>
  <c r="Y126" i="20" s="1"/>
  <c r="H126" i="20"/>
  <c r="G118" i="20"/>
  <c r="CB118" i="6" s="1"/>
  <c r="AA118" i="20"/>
  <c r="Z118" i="20" s="1"/>
  <c r="Y118" i="20" s="1"/>
  <c r="H118" i="20"/>
  <c r="G108" i="20"/>
  <c r="CB108" i="6" s="1"/>
  <c r="H108" i="20"/>
  <c r="AA108" i="20"/>
  <c r="Z108" i="20" s="1"/>
  <c r="Y108" i="20" s="1"/>
  <c r="G359" i="20"/>
  <c r="CB359" i="6" s="1"/>
  <c r="H359" i="20"/>
  <c r="AA359" i="20"/>
  <c r="Z359" i="20" s="1"/>
  <c r="Y359" i="20" s="1"/>
  <c r="G309" i="20"/>
  <c r="CB309" i="6" s="1"/>
  <c r="H309" i="20"/>
  <c r="AA309" i="20"/>
  <c r="Z309" i="20" s="1"/>
  <c r="Y309" i="20" s="1"/>
  <c r="H301" i="20"/>
  <c r="G301" i="20"/>
  <c r="CB301" i="6" s="1"/>
  <c r="AA301" i="20"/>
  <c r="Z301" i="20" s="1"/>
  <c r="Y301" i="20" s="1"/>
  <c r="G287" i="20"/>
  <c r="CB287" i="6" s="1"/>
  <c r="AA287" i="20"/>
  <c r="Z287" i="20" s="1"/>
  <c r="Y287" i="20" s="1"/>
  <c r="H287" i="20"/>
  <c r="G275" i="20"/>
  <c r="CB275" i="6" s="1"/>
  <c r="H275" i="20"/>
  <c r="AA275" i="20"/>
  <c r="Z275" i="20" s="1"/>
  <c r="Y275" i="20" s="1"/>
  <c r="AA259" i="20"/>
  <c r="Z259" i="20" s="1"/>
  <c r="Y259" i="20" s="1"/>
  <c r="H259" i="20"/>
  <c r="G259" i="20"/>
  <c r="CB259" i="6" s="1"/>
  <c r="AA245" i="20"/>
  <c r="Z245" i="20" s="1"/>
  <c r="Y245" i="20" s="1"/>
  <c r="H245" i="20"/>
  <c r="G245" i="20"/>
  <c r="CB245" i="6" s="1"/>
  <c r="G229" i="20"/>
  <c r="CB229" i="6" s="1"/>
  <c r="H229" i="20"/>
  <c r="AA229" i="20"/>
  <c r="Z229" i="20" s="1"/>
  <c r="Y229" i="20" s="1"/>
  <c r="G217" i="20"/>
  <c r="CB217" i="6" s="1"/>
  <c r="AA217" i="20"/>
  <c r="Z217" i="20" s="1"/>
  <c r="Y217" i="20" s="1"/>
  <c r="H217" i="20"/>
  <c r="G211" i="20"/>
  <c r="CB211" i="6" s="1"/>
  <c r="AA211" i="20"/>
  <c r="Z211" i="20" s="1"/>
  <c r="Y211" i="20" s="1"/>
  <c r="H211" i="20"/>
  <c r="AA207" i="20"/>
  <c r="Z207" i="20" s="1"/>
  <c r="Y207" i="20" s="1"/>
  <c r="G207" i="20"/>
  <c r="CB207" i="6" s="1"/>
  <c r="H207" i="20"/>
  <c r="H203" i="20"/>
  <c r="AA203" i="20"/>
  <c r="Z203" i="20" s="1"/>
  <c r="Y203" i="20" s="1"/>
  <c r="G203" i="20"/>
  <c r="CB203" i="6" s="1"/>
  <c r="G195" i="20"/>
  <c r="CB195" i="6" s="1"/>
  <c r="H195" i="20"/>
  <c r="AA195" i="20"/>
  <c r="Z195" i="20" s="1"/>
  <c r="Y195" i="20" s="1"/>
  <c r="G153" i="20"/>
  <c r="CB153" i="6" s="1"/>
  <c r="AA153" i="20"/>
  <c r="Z153" i="20" s="1"/>
  <c r="Y153" i="20" s="1"/>
  <c r="H153" i="20"/>
  <c r="G129" i="20"/>
  <c r="CB129" i="6" s="1"/>
  <c r="AA129" i="20"/>
  <c r="Z129" i="20" s="1"/>
  <c r="Y129" i="20" s="1"/>
  <c r="H129" i="20"/>
  <c r="AA115" i="20"/>
  <c r="Z115" i="20" s="1"/>
  <c r="Y115" i="20" s="1"/>
  <c r="H115" i="20"/>
  <c r="G115" i="20"/>
  <c r="CB115" i="6" s="1"/>
  <c r="H107" i="20"/>
  <c r="AA107" i="20"/>
  <c r="Z107" i="20" s="1"/>
  <c r="Y107" i="20" s="1"/>
  <c r="G107" i="20"/>
  <c r="CB107" i="6" s="1"/>
  <c r="G83" i="20"/>
  <c r="CB83" i="6" s="1"/>
  <c r="AA83" i="20"/>
  <c r="Z83" i="20" s="1"/>
  <c r="Y83" i="20" s="1"/>
  <c r="H83" i="20"/>
  <c r="AA67" i="20"/>
  <c r="Z67" i="20" s="1"/>
  <c r="Y67" i="20" s="1"/>
  <c r="G67" i="20"/>
  <c r="CB67" i="6" s="1"/>
  <c r="H67" i="20"/>
  <c r="H63" i="20"/>
  <c r="AA63" i="20"/>
  <c r="Z63" i="20" s="1"/>
  <c r="Y63" i="20" s="1"/>
  <c r="G63" i="20"/>
  <c r="CB63" i="6" s="1"/>
  <c r="H55" i="20"/>
  <c r="G55" i="20"/>
  <c r="CB55" i="6" s="1"/>
  <c r="AA55" i="20"/>
  <c r="Z55" i="20" s="1"/>
  <c r="Y55" i="20" s="1"/>
  <c r="G35" i="20"/>
  <c r="CB35" i="6" s="1"/>
  <c r="AA35" i="20"/>
  <c r="Z35" i="20" s="1"/>
  <c r="Y35" i="20" s="1"/>
  <c r="H35" i="20"/>
  <c r="AA362" i="20"/>
  <c r="Z362" i="20" s="1"/>
  <c r="Y362" i="20" s="1"/>
  <c r="H362" i="20"/>
  <c r="G362" i="20"/>
  <c r="CB362" i="6" s="1"/>
  <c r="G356" i="20"/>
  <c r="CB356" i="6" s="1"/>
  <c r="AA356" i="20"/>
  <c r="Z356" i="20" s="1"/>
  <c r="Y356" i="20" s="1"/>
  <c r="H356" i="20"/>
  <c r="AA336" i="20"/>
  <c r="Z336" i="20" s="1"/>
  <c r="Y336" i="20" s="1"/>
  <c r="H336" i="20"/>
  <c r="G336" i="20"/>
  <c r="CB336" i="6" s="1"/>
  <c r="G320" i="20"/>
  <c r="CB320" i="6" s="1"/>
  <c r="AA320" i="20"/>
  <c r="Z320" i="20" s="1"/>
  <c r="Y320" i="20" s="1"/>
  <c r="H320" i="20"/>
  <c r="AA314" i="20"/>
  <c r="Z314" i="20" s="1"/>
  <c r="Y314" i="20" s="1"/>
  <c r="G314" i="20"/>
  <c r="CB314" i="6" s="1"/>
  <c r="H314" i="20"/>
  <c r="AA292" i="20"/>
  <c r="Z292" i="20" s="1"/>
  <c r="Y292" i="20" s="1"/>
  <c r="H292" i="20"/>
  <c r="G292" i="20"/>
  <c r="CB292" i="6" s="1"/>
  <c r="G278" i="20"/>
  <c r="CB278" i="6" s="1"/>
  <c r="AA278" i="20"/>
  <c r="Z278" i="20" s="1"/>
  <c r="Y278" i="20" s="1"/>
  <c r="H278" i="20"/>
  <c r="AA274" i="20"/>
  <c r="Z274" i="20" s="1"/>
  <c r="Y274" i="20" s="1"/>
  <c r="G274" i="20"/>
  <c r="CB274" i="6" s="1"/>
  <c r="H274" i="20"/>
  <c r="AA248" i="20"/>
  <c r="Z248" i="20" s="1"/>
  <c r="Y248" i="20" s="1"/>
  <c r="G248" i="20"/>
  <c r="CB248" i="6" s="1"/>
  <c r="H248" i="20"/>
  <c r="G244" i="20"/>
  <c r="CB244" i="6" s="1"/>
  <c r="AA244" i="20"/>
  <c r="Z244" i="20" s="1"/>
  <c r="Y244" i="20" s="1"/>
  <c r="H244" i="20"/>
  <c r="G232" i="20"/>
  <c r="CB232" i="6" s="1"/>
  <c r="H232" i="20"/>
  <c r="AA232" i="20"/>
  <c r="Z232" i="20" s="1"/>
  <c r="Y232" i="20" s="1"/>
  <c r="AA224" i="20"/>
  <c r="Z224" i="20" s="1"/>
  <c r="Y224" i="20" s="1"/>
  <c r="G224" i="20"/>
  <c r="CB224" i="6" s="1"/>
  <c r="H224" i="20"/>
  <c r="AA216" i="20"/>
  <c r="Z216" i="20" s="1"/>
  <c r="Y216" i="20" s="1"/>
  <c r="H216" i="20"/>
  <c r="G216" i="20"/>
  <c r="CB216" i="6" s="1"/>
  <c r="G190" i="20"/>
  <c r="CB190" i="6" s="1"/>
  <c r="AA190" i="20"/>
  <c r="Z190" i="20" s="1"/>
  <c r="Y190" i="20" s="1"/>
  <c r="H190" i="20"/>
  <c r="AA186" i="20"/>
  <c r="Z186" i="20" s="1"/>
  <c r="Y186" i="20" s="1"/>
  <c r="H186" i="20"/>
  <c r="G186" i="20"/>
  <c r="CB186" i="6" s="1"/>
  <c r="G178" i="20"/>
  <c r="CB178" i="6" s="1"/>
  <c r="AA178" i="20"/>
  <c r="Z178" i="20" s="1"/>
  <c r="Y178" i="20" s="1"/>
  <c r="H178" i="20"/>
  <c r="AA164" i="20"/>
  <c r="Z164" i="20" s="1"/>
  <c r="Y164" i="20" s="1"/>
  <c r="H164" i="20"/>
  <c r="G164" i="20"/>
  <c r="CB164" i="6" s="1"/>
  <c r="AA144" i="20"/>
  <c r="Z144" i="20" s="1"/>
  <c r="Y144" i="20" s="1"/>
  <c r="G144" i="20"/>
  <c r="CB144" i="6" s="1"/>
  <c r="H144" i="20"/>
  <c r="G116" i="20"/>
  <c r="CB116" i="6" s="1"/>
  <c r="AA116" i="20"/>
  <c r="Z116" i="20" s="1"/>
  <c r="Y116" i="20" s="1"/>
  <c r="H116" i="20"/>
  <c r="G104" i="20"/>
  <c r="CB104" i="6" s="1"/>
  <c r="H104" i="20"/>
  <c r="AA377" i="20"/>
  <c r="Z377" i="20" s="1"/>
  <c r="Y377" i="20" s="1"/>
  <c r="H377" i="20"/>
  <c r="G377" i="20"/>
  <c r="CB377" i="6" s="1"/>
  <c r="H371" i="20"/>
  <c r="AA371" i="20"/>
  <c r="Z371" i="20" s="1"/>
  <c r="Y371" i="20" s="1"/>
  <c r="G371" i="20"/>
  <c r="CB371" i="6" s="1"/>
  <c r="G361" i="20"/>
  <c r="CB361" i="6" s="1"/>
  <c r="H361" i="20"/>
  <c r="AA361" i="20"/>
  <c r="Z361" i="20" s="1"/>
  <c r="Y361" i="20" s="1"/>
  <c r="AA355" i="20"/>
  <c r="Z355" i="20" s="1"/>
  <c r="Y355" i="20" s="1"/>
  <c r="G355" i="20"/>
  <c r="CB355" i="6" s="1"/>
  <c r="H355" i="20"/>
  <c r="H351" i="20"/>
  <c r="AA351" i="20"/>
  <c r="Z351" i="20" s="1"/>
  <c r="Y351" i="20" s="1"/>
  <c r="G351" i="20"/>
  <c r="CB351" i="6" s="1"/>
  <c r="G317" i="20"/>
  <c r="CB317" i="6" s="1"/>
  <c r="AA317" i="20"/>
  <c r="Z317" i="20" s="1"/>
  <c r="Y317" i="20" s="1"/>
  <c r="H317" i="20"/>
  <c r="AA311" i="20"/>
  <c r="Z311" i="20" s="1"/>
  <c r="Y311" i="20" s="1"/>
  <c r="G311" i="20"/>
  <c r="CB311" i="6" s="1"/>
  <c r="H311" i="20"/>
  <c r="G293" i="20"/>
  <c r="CB293" i="6" s="1"/>
  <c r="AA293" i="20"/>
  <c r="Z293" i="20" s="1"/>
  <c r="Y293" i="20" s="1"/>
  <c r="H293" i="20"/>
  <c r="AA265" i="20"/>
  <c r="Z265" i="20" s="1"/>
  <c r="Y265" i="20" s="1"/>
  <c r="H265" i="20"/>
  <c r="G265" i="20"/>
  <c r="CB265" i="6" s="1"/>
  <c r="AA251" i="20"/>
  <c r="Z251" i="20" s="1"/>
  <c r="Y251" i="20" s="1"/>
  <c r="G251" i="20"/>
  <c r="CB251" i="6" s="1"/>
  <c r="H251" i="20"/>
  <c r="H243" i="20"/>
  <c r="AA243" i="20"/>
  <c r="Z243" i="20" s="1"/>
  <c r="Y243" i="20" s="1"/>
  <c r="G243" i="20"/>
  <c r="CB243" i="6" s="1"/>
  <c r="G219" i="20"/>
  <c r="CB219" i="6" s="1"/>
  <c r="AA219" i="20"/>
  <c r="Z219" i="20" s="1"/>
  <c r="Y219" i="20" s="1"/>
  <c r="H219" i="20"/>
  <c r="AA209" i="20"/>
  <c r="Z209" i="20" s="1"/>
  <c r="Y209" i="20" s="1"/>
  <c r="H209" i="20"/>
  <c r="G209" i="20"/>
  <c r="CB209" i="6" s="1"/>
  <c r="G205" i="20"/>
  <c r="CB205" i="6" s="1"/>
  <c r="AA205" i="20"/>
  <c r="Z205" i="20" s="1"/>
  <c r="Y205" i="20" s="1"/>
  <c r="G197" i="20"/>
  <c r="CB197" i="6" s="1"/>
  <c r="AA197" i="20"/>
  <c r="Z197" i="20" s="1"/>
  <c r="Y197" i="20" s="1"/>
  <c r="H197" i="20"/>
  <c r="AA193" i="20"/>
  <c r="Z193" i="20" s="1"/>
  <c r="Y193" i="20" s="1"/>
  <c r="G193" i="20"/>
  <c r="CB193" i="6" s="1"/>
  <c r="H193" i="20"/>
  <c r="H155" i="20"/>
  <c r="AA155" i="20"/>
  <c r="Z155" i="20" s="1"/>
  <c r="Y155" i="20" s="1"/>
  <c r="G155" i="20"/>
  <c r="CB155" i="6" s="1"/>
  <c r="G139" i="20"/>
  <c r="CB139" i="6" s="1"/>
  <c r="AA139" i="20"/>
  <c r="Z139" i="20" s="1"/>
  <c r="Y139" i="20" s="1"/>
  <c r="H139" i="20"/>
  <c r="AA109" i="20"/>
  <c r="Z109" i="20" s="1"/>
  <c r="Y109" i="20" s="1"/>
  <c r="G109" i="20"/>
  <c r="CB109" i="6" s="1"/>
  <c r="H109" i="20"/>
  <c r="G101" i="20"/>
  <c r="CB101" i="6" s="1"/>
  <c r="H101" i="20"/>
  <c r="AA101" i="20"/>
  <c r="Z101" i="20" s="1"/>
  <c r="Y101" i="20" s="1"/>
  <c r="AA79" i="20"/>
  <c r="Z79" i="20" s="1"/>
  <c r="Y79" i="20" s="1"/>
  <c r="G79" i="20"/>
  <c r="CB79" i="6" s="1"/>
  <c r="H79" i="20"/>
  <c r="H69" i="20"/>
  <c r="AA69" i="20"/>
  <c r="Z69" i="20" s="1"/>
  <c r="Y69" i="20" s="1"/>
  <c r="G69" i="20"/>
  <c r="CB69" i="6" s="1"/>
  <c r="AA43" i="20"/>
  <c r="Z43" i="20" s="1"/>
  <c r="Y43" i="20" s="1"/>
  <c r="G43" i="20"/>
  <c r="CB43" i="6" s="1"/>
  <c r="H43" i="20"/>
  <c r="G25" i="20"/>
  <c r="CB25" i="6" s="1"/>
  <c r="H25" i="20"/>
  <c r="AA25" i="20"/>
  <c r="Z25" i="20" s="1"/>
  <c r="Y25" i="20" s="1"/>
  <c r="R4" i="6" l="1"/>
  <c r="J36" i="20"/>
  <c r="I376" i="20"/>
  <c r="H285" i="20"/>
  <c r="AG4" i="6"/>
  <c r="I94" i="20"/>
  <c r="J333" i="18"/>
  <c r="C333" i="6" s="1"/>
  <c r="AK4" i="6"/>
  <c r="J119" i="18"/>
  <c r="C119" i="6" s="1"/>
  <c r="D125" i="20"/>
  <c r="E125" i="20" s="1"/>
  <c r="F125" i="20" s="1"/>
  <c r="W125" i="20"/>
  <c r="W61" i="20"/>
  <c r="D61" i="20"/>
  <c r="E61" i="20" s="1"/>
  <c r="F61" i="20" s="1"/>
  <c r="G61" i="18"/>
  <c r="CA61" i="6" s="1"/>
  <c r="H61" i="18"/>
  <c r="AA61" i="18"/>
  <c r="Z61" i="18" s="1"/>
  <c r="Y61" i="18" s="1"/>
  <c r="H125" i="18"/>
  <c r="G125" i="18"/>
  <c r="CA125" i="6" s="1"/>
  <c r="AA125" i="18"/>
  <c r="Z125" i="18" s="1"/>
  <c r="Y125" i="18" s="1"/>
  <c r="I88" i="18"/>
  <c r="J88" i="18"/>
  <c r="C88" i="6" s="1"/>
  <c r="B64" i="19"/>
  <c r="N64" i="19" s="1"/>
  <c r="V383" i="17"/>
  <c r="V382" i="17"/>
  <c r="V381" i="17"/>
  <c r="F15" i="17"/>
  <c r="Y149" i="17"/>
  <c r="AL6" i="17" s="1"/>
  <c r="AL8" i="17"/>
  <c r="I205" i="18"/>
  <c r="J205" i="18"/>
  <c r="C205" i="6" s="1"/>
  <c r="H189" i="18"/>
  <c r="AA189" i="18"/>
  <c r="Z189" i="18" s="1"/>
  <c r="Y189" i="18" s="1"/>
  <c r="G189" i="18"/>
  <c r="CA189" i="6" s="1"/>
  <c r="I149" i="18"/>
  <c r="B149" i="6" s="1"/>
  <c r="BA149" i="6" s="1"/>
  <c r="J149" i="18"/>
  <c r="C149" i="6" s="1"/>
  <c r="AL5" i="16"/>
  <c r="AL11" i="16" s="1"/>
  <c r="Y381" i="16"/>
  <c r="X9" i="16"/>
  <c r="AM6" i="16"/>
  <c r="AM12" i="16" s="1"/>
  <c r="Y383" i="16"/>
  <c r="Y382" i="16"/>
  <c r="J145" i="20"/>
  <c r="I114" i="20"/>
  <c r="Q16" i="23"/>
  <c r="J117" i="20"/>
  <c r="Q63" i="23"/>
  <c r="AE84" i="23"/>
  <c r="AE11" i="23"/>
  <c r="I128" i="20"/>
  <c r="J77" i="20"/>
  <c r="AE52" i="23"/>
  <c r="G180" i="20"/>
  <c r="CB180" i="6" s="1"/>
  <c r="J247" i="20"/>
  <c r="AE314" i="23"/>
  <c r="AE186" i="23"/>
  <c r="AE100" i="23"/>
  <c r="AE68" i="23"/>
  <c r="AE36" i="23"/>
  <c r="I72" i="20"/>
  <c r="I370" i="20"/>
  <c r="AH4" i="6"/>
  <c r="H48" i="20"/>
  <c r="I48" i="20" s="1"/>
  <c r="I100" i="20"/>
  <c r="I81" i="20"/>
  <c r="AG104" i="20"/>
  <c r="AH381" i="20"/>
  <c r="AH382" i="20"/>
  <c r="AH383" i="20"/>
  <c r="AM4" i="6"/>
  <c r="AA48" i="20"/>
  <c r="Z48" i="20" s="1"/>
  <c r="Y48" i="20" s="1"/>
  <c r="I315" i="20"/>
  <c r="J228" i="20"/>
  <c r="AE370" i="23"/>
  <c r="AE334" i="23"/>
  <c r="AE270" i="23"/>
  <c r="AE206" i="23"/>
  <c r="AE108" i="23"/>
  <c r="AE92" i="23"/>
  <c r="AE76" i="23"/>
  <c r="AE60" i="23"/>
  <c r="AE44" i="23"/>
  <c r="AE28" i="23"/>
  <c r="I255" i="20"/>
  <c r="J214" i="20"/>
  <c r="Q287" i="23"/>
  <c r="Q159" i="23"/>
  <c r="Q351" i="23"/>
  <c r="Q223" i="23"/>
  <c r="Q95" i="23"/>
  <c r="J187" i="20"/>
  <c r="Q375" i="23"/>
  <c r="Q319" i="23"/>
  <c r="Q255" i="23"/>
  <c r="Q191" i="23"/>
  <c r="Q127" i="23"/>
  <c r="I87" i="20"/>
  <c r="I334" i="20"/>
  <c r="J160" i="20"/>
  <c r="Q31" i="23"/>
  <c r="Q55" i="23"/>
  <c r="Q71" i="23"/>
  <c r="Q87" i="23"/>
  <c r="Q103" i="23"/>
  <c r="Q119" i="23"/>
  <c r="Q135" i="23"/>
  <c r="Q151" i="23"/>
  <c r="Q167" i="23"/>
  <c r="Q183" i="23"/>
  <c r="Q199" i="23"/>
  <c r="Q215" i="23"/>
  <c r="Q231" i="23"/>
  <c r="Q247" i="23"/>
  <c r="Q263" i="23"/>
  <c r="Q279" i="23"/>
  <c r="Q295" i="23"/>
  <c r="Q311" i="23"/>
  <c r="Q327" i="23"/>
  <c r="Q343" i="23"/>
  <c r="Q359" i="23"/>
  <c r="Q371" i="23"/>
  <c r="Q379" i="23"/>
  <c r="AT15" i="7" s="1"/>
  <c r="AE17" i="23"/>
  <c r="AE24" i="23"/>
  <c r="AE32" i="23"/>
  <c r="AE40" i="23"/>
  <c r="AE48" i="23"/>
  <c r="AE56" i="23"/>
  <c r="AE64" i="23"/>
  <c r="AE72" i="23"/>
  <c r="AE80" i="23"/>
  <c r="AE88" i="23"/>
  <c r="AE96" i="23"/>
  <c r="AE104" i="23"/>
  <c r="AE168" i="23"/>
  <c r="AE204" i="23"/>
  <c r="AE236" i="23"/>
  <c r="AE268" i="23"/>
  <c r="AE300" i="23"/>
  <c r="AE332" i="23"/>
  <c r="Q367" i="23"/>
  <c r="Q335" i="23"/>
  <c r="Q303" i="23"/>
  <c r="Q271" i="23"/>
  <c r="Q239" i="23"/>
  <c r="Q207" i="23"/>
  <c r="Q175" i="23"/>
  <c r="Q143" i="23"/>
  <c r="Q111" i="23"/>
  <c r="Q79" i="23"/>
  <c r="Q47" i="23"/>
  <c r="Q23" i="23"/>
  <c r="Q39" i="23"/>
  <c r="Q51" i="23"/>
  <c r="Q59" i="23"/>
  <c r="Q67" i="23"/>
  <c r="Q75" i="23"/>
  <c r="Q83" i="23"/>
  <c r="Q91" i="23"/>
  <c r="Q99" i="23"/>
  <c r="Q107" i="23"/>
  <c r="Q115" i="23"/>
  <c r="Q123" i="23"/>
  <c r="Q131" i="23"/>
  <c r="Q139" i="23"/>
  <c r="Q147" i="23"/>
  <c r="Q155" i="23"/>
  <c r="Q163" i="23"/>
  <c r="Q171" i="23"/>
  <c r="Q179" i="23"/>
  <c r="Q187" i="23"/>
  <c r="Q195" i="23"/>
  <c r="Q203" i="23"/>
  <c r="Q211" i="23"/>
  <c r="Q219" i="23"/>
  <c r="Q227" i="23"/>
  <c r="Q235" i="23"/>
  <c r="Q243" i="23"/>
  <c r="Q251" i="23"/>
  <c r="Q259" i="23"/>
  <c r="Q267" i="23"/>
  <c r="Q275" i="23"/>
  <c r="Q283" i="23"/>
  <c r="Q291" i="23"/>
  <c r="Q299" i="23"/>
  <c r="Q307" i="23"/>
  <c r="Q315" i="23"/>
  <c r="Q323" i="23"/>
  <c r="Q331" i="23"/>
  <c r="Q339" i="23"/>
  <c r="Q347" i="23"/>
  <c r="Q355" i="23"/>
  <c r="Q363" i="23"/>
  <c r="Q369" i="23"/>
  <c r="Q373" i="23"/>
  <c r="Q377" i="23"/>
  <c r="AE19" i="23"/>
  <c r="AE22" i="23"/>
  <c r="AE26" i="23"/>
  <c r="AE30" i="23"/>
  <c r="AE34" i="23"/>
  <c r="AE38" i="23"/>
  <c r="AE42" i="23"/>
  <c r="AE46" i="23"/>
  <c r="AE50" i="23"/>
  <c r="AE54" i="23"/>
  <c r="AE58" i="23"/>
  <c r="AE62" i="23"/>
  <c r="AE66" i="23"/>
  <c r="AE70" i="23"/>
  <c r="AE74" i="23"/>
  <c r="AE78" i="23"/>
  <c r="AE82" i="23"/>
  <c r="AE86" i="23"/>
  <c r="AE90" i="23"/>
  <c r="AE94" i="23"/>
  <c r="AE98" i="23"/>
  <c r="AE102" i="23"/>
  <c r="AE126" i="23"/>
  <c r="AE158" i="23"/>
  <c r="I171" i="20"/>
  <c r="J179" i="20"/>
  <c r="I110" i="20"/>
  <c r="I304" i="20"/>
  <c r="I291" i="20"/>
  <c r="J163" i="20"/>
  <c r="I41" i="20"/>
  <c r="I191" i="20"/>
  <c r="J86" i="20"/>
  <c r="I348" i="20"/>
  <c r="J157" i="20"/>
  <c r="I271" i="20"/>
  <c r="I68" i="20"/>
  <c r="I350" i="20"/>
  <c r="I138" i="20"/>
  <c r="I221" i="20"/>
  <c r="I289" i="20"/>
  <c r="J24" i="20"/>
  <c r="J308" i="20"/>
  <c r="I352" i="20"/>
  <c r="I181" i="20"/>
  <c r="J49" i="20"/>
  <c r="J38" i="20"/>
  <c r="J172" i="20"/>
  <c r="I374" i="20"/>
  <c r="I89" i="20"/>
  <c r="J273" i="20"/>
  <c r="J57" i="20"/>
  <c r="I165" i="20"/>
  <c r="I156" i="20"/>
  <c r="I270" i="20"/>
  <c r="I106" i="20"/>
  <c r="I30" i="20"/>
  <c r="I20" i="20"/>
  <c r="J226" i="20"/>
  <c r="AD4" i="6"/>
  <c r="T4" i="6"/>
  <c r="AF4" i="6"/>
  <c r="AJ4" i="6"/>
  <c r="AD382" i="18"/>
  <c r="AD383" i="18"/>
  <c r="AD381" i="18"/>
  <c r="AU15" i="7"/>
  <c r="Q17" i="23"/>
  <c r="Q21" i="23"/>
  <c r="Q25" i="23"/>
  <c r="Q29" i="23"/>
  <c r="Q33" i="23"/>
  <c r="Q37" i="23"/>
  <c r="Q41" i="23"/>
  <c r="Q45" i="23"/>
  <c r="Q48" i="23"/>
  <c r="Q50" i="23"/>
  <c r="Q52" i="23"/>
  <c r="Q54" i="23"/>
  <c r="Q56" i="23"/>
  <c r="Q58" i="23"/>
  <c r="Q60" i="23"/>
  <c r="Q62" i="23"/>
  <c r="Q64" i="23"/>
  <c r="Q66" i="23"/>
  <c r="Q68" i="23"/>
  <c r="Q70" i="23"/>
  <c r="Q72" i="23"/>
  <c r="Q74" i="23"/>
  <c r="Q76" i="23"/>
  <c r="Q78" i="23"/>
  <c r="Q80" i="23"/>
  <c r="Q82" i="23"/>
  <c r="Q84" i="23"/>
  <c r="Q86" i="23"/>
  <c r="Q88" i="23"/>
  <c r="Q90" i="23"/>
  <c r="Q92" i="23"/>
  <c r="Q94" i="23"/>
  <c r="Q96" i="23"/>
  <c r="Q98" i="23"/>
  <c r="Q100" i="23"/>
  <c r="Q102" i="23"/>
  <c r="Q104" i="23"/>
  <c r="Q106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276" i="23"/>
  <c r="Q278" i="23"/>
  <c r="Q280" i="23"/>
  <c r="Q282" i="23"/>
  <c r="Q284" i="23"/>
  <c r="Q286" i="23"/>
  <c r="Q288" i="23"/>
  <c r="Q290" i="23"/>
  <c r="Q292" i="23"/>
  <c r="Q294" i="23"/>
  <c r="Q296" i="23"/>
  <c r="Q298" i="23"/>
  <c r="Q300" i="23"/>
  <c r="Q302" i="23"/>
  <c r="Q304" i="23"/>
  <c r="Q306" i="23"/>
  <c r="Q308" i="23"/>
  <c r="Q310" i="23"/>
  <c r="Q312" i="23"/>
  <c r="Q314" i="23"/>
  <c r="Q316" i="23"/>
  <c r="Q318" i="23"/>
  <c r="Q320" i="23"/>
  <c r="Q322" i="23"/>
  <c r="Q324" i="23"/>
  <c r="Q326" i="23"/>
  <c r="Q328" i="23"/>
  <c r="Q330" i="23"/>
  <c r="Q332" i="23"/>
  <c r="Q334" i="23"/>
  <c r="Q336" i="23"/>
  <c r="Q338" i="23"/>
  <c r="Q340" i="23"/>
  <c r="Q342" i="23"/>
  <c r="Q344" i="23"/>
  <c r="Q346" i="23"/>
  <c r="Q348" i="23"/>
  <c r="Q350" i="23"/>
  <c r="Q352" i="23"/>
  <c r="Q354" i="23"/>
  <c r="Q356" i="23"/>
  <c r="Q358" i="23"/>
  <c r="Q360" i="23"/>
  <c r="Q362" i="23"/>
  <c r="Q364" i="23"/>
  <c r="Q366" i="23"/>
  <c r="AE371" i="23"/>
  <c r="AE355" i="23"/>
  <c r="AE339" i="23"/>
  <c r="AE323" i="23"/>
  <c r="AE313" i="23"/>
  <c r="AE305" i="23"/>
  <c r="AE297" i="23"/>
  <c r="AE289" i="23"/>
  <c r="AE281" i="23"/>
  <c r="AE273" i="23"/>
  <c r="AE265" i="23"/>
  <c r="AE257" i="23"/>
  <c r="AE249" i="23"/>
  <c r="AE241" i="23"/>
  <c r="AE233" i="23"/>
  <c r="AE225" i="23"/>
  <c r="AE217" i="23"/>
  <c r="AE209" i="23"/>
  <c r="AE201" i="23"/>
  <c r="AE193" i="23"/>
  <c r="AE185" i="23"/>
  <c r="AE177" i="23"/>
  <c r="AE169" i="23"/>
  <c r="AE161" i="23"/>
  <c r="AE153" i="23"/>
  <c r="AE145" i="23"/>
  <c r="AE139" i="23"/>
  <c r="AE135" i="23"/>
  <c r="AE131" i="23"/>
  <c r="AE127" i="23"/>
  <c r="AE123" i="23"/>
  <c r="AE119" i="23"/>
  <c r="AE115" i="23"/>
  <c r="AE111" i="23"/>
  <c r="AE107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H180" i="20"/>
  <c r="I180" i="20" s="1"/>
  <c r="D46" i="6"/>
  <c r="P4" i="6"/>
  <c r="D180" i="6"/>
  <c r="Y4" i="6"/>
  <c r="V4" i="6"/>
  <c r="AL4" i="6"/>
  <c r="AC4" i="6"/>
  <c r="AE4" i="6"/>
  <c r="I25" i="20"/>
  <c r="J25" i="20"/>
  <c r="J43" i="20"/>
  <c r="I43" i="20"/>
  <c r="I69" i="20"/>
  <c r="J69" i="20"/>
  <c r="J197" i="20"/>
  <c r="I197" i="20"/>
  <c r="J243" i="20"/>
  <c r="I243" i="20"/>
  <c r="J311" i="20"/>
  <c r="I311" i="20"/>
  <c r="I351" i="20"/>
  <c r="J351" i="20"/>
  <c r="I116" i="20"/>
  <c r="J116" i="20"/>
  <c r="J248" i="20"/>
  <c r="I248" i="20"/>
  <c r="J278" i="20"/>
  <c r="I278" i="20"/>
  <c r="I292" i="20"/>
  <c r="J292" i="20"/>
  <c r="I314" i="20"/>
  <c r="J314" i="20"/>
  <c r="I55" i="20"/>
  <c r="J55" i="20"/>
  <c r="J67" i="20"/>
  <c r="I67" i="20"/>
  <c r="I107" i="20"/>
  <c r="J107" i="20"/>
  <c r="I115" i="20"/>
  <c r="J115" i="20"/>
  <c r="J129" i="20"/>
  <c r="I129" i="20"/>
  <c r="I207" i="20"/>
  <c r="J207" i="20"/>
  <c r="I217" i="20"/>
  <c r="J217" i="20"/>
  <c r="J229" i="20"/>
  <c r="I229" i="20"/>
  <c r="J259" i="20"/>
  <c r="I259" i="20"/>
  <c r="I301" i="20"/>
  <c r="J301" i="20"/>
  <c r="J309" i="20"/>
  <c r="I309" i="20"/>
  <c r="J108" i="20"/>
  <c r="I108" i="20"/>
  <c r="J118" i="20"/>
  <c r="I118" i="20"/>
  <c r="J188" i="20"/>
  <c r="I188" i="20"/>
  <c r="I206" i="20"/>
  <c r="J206" i="20"/>
  <c r="I236" i="20"/>
  <c r="J236" i="20"/>
  <c r="J250" i="20"/>
  <c r="I250" i="20"/>
  <c r="J256" i="20"/>
  <c r="I256" i="20"/>
  <c r="J276" i="20"/>
  <c r="I276" i="20"/>
  <c r="J318" i="20"/>
  <c r="I318" i="20"/>
  <c r="J328" i="20"/>
  <c r="I328" i="20"/>
  <c r="J342" i="20"/>
  <c r="I342" i="20"/>
  <c r="J354" i="20"/>
  <c r="I354" i="20"/>
  <c r="I364" i="20"/>
  <c r="J364" i="20"/>
  <c r="I372" i="20"/>
  <c r="J372" i="20"/>
  <c r="J93" i="20"/>
  <c r="I93" i="20"/>
  <c r="J151" i="20"/>
  <c r="I151" i="20"/>
  <c r="I231" i="20"/>
  <c r="J231" i="20"/>
  <c r="I267" i="20"/>
  <c r="J267" i="20"/>
  <c r="I369" i="20"/>
  <c r="J369" i="20"/>
  <c r="D20" i="22"/>
  <c r="E20" i="22" s="1"/>
  <c r="F20" i="22" s="1"/>
  <c r="W20" i="22"/>
  <c r="S23" i="22"/>
  <c r="R23" i="22" s="1"/>
  <c r="P23" i="22" s="1"/>
  <c r="V23" i="22" s="1"/>
  <c r="B23" i="22" s="1"/>
  <c r="D25" i="22"/>
  <c r="E25" i="22" s="1"/>
  <c r="F25" i="22" s="1"/>
  <c r="W25" i="22"/>
  <c r="S29" i="22"/>
  <c r="R29" i="22" s="1"/>
  <c r="P29" i="22" s="1"/>
  <c r="S33" i="22"/>
  <c r="R33" i="22" s="1"/>
  <c r="P33" i="22" s="1"/>
  <c r="V33" i="22" s="1"/>
  <c r="B33" i="22" s="1"/>
  <c r="S37" i="22"/>
  <c r="R37" i="22" s="1"/>
  <c r="P37" i="22" s="1"/>
  <c r="V37" i="22" s="1"/>
  <c r="B37" i="22" s="1"/>
  <c r="W41" i="22"/>
  <c r="D41" i="22"/>
  <c r="E41" i="22" s="1"/>
  <c r="F41" i="22" s="1"/>
  <c r="S45" i="22"/>
  <c r="R45" i="22" s="1"/>
  <c r="P45" i="22" s="1"/>
  <c r="V45" i="22" s="1"/>
  <c r="B45" i="22" s="1"/>
  <c r="W49" i="22"/>
  <c r="D49" i="22"/>
  <c r="E49" i="22" s="1"/>
  <c r="F49" i="22" s="1"/>
  <c r="W53" i="22"/>
  <c r="D53" i="22"/>
  <c r="E53" i="22" s="1"/>
  <c r="F53" i="22" s="1"/>
  <c r="S57" i="22"/>
  <c r="R57" i="22" s="1"/>
  <c r="P57" i="22" s="1"/>
  <c r="V57" i="22" s="1"/>
  <c r="B57" i="22" s="1"/>
  <c r="S61" i="22"/>
  <c r="R61" i="22" s="1"/>
  <c r="P61" i="22" s="1"/>
  <c r="V61" i="22" s="1"/>
  <c r="B61" i="22" s="1"/>
  <c r="D65" i="22"/>
  <c r="E65" i="22" s="1"/>
  <c r="F65" i="22" s="1"/>
  <c r="W65" i="22"/>
  <c r="D69" i="22"/>
  <c r="E69" i="22" s="1"/>
  <c r="F69" i="22" s="1"/>
  <c r="W69" i="22"/>
  <c r="S73" i="22"/>
  <c r="R73" i="22" s="1"/>
  <c r="P73" i="22" s="1"/>
  <c r="V73" i="22" s="1"/>
  <c r="B73" i="22" s="1"/>
  <c r="W77" i="22"/>
  <c r="D77" i="22"/>
  <c r="E77" i="22" s="1"/>
  <c r="F77" i="22" s="1"/>
  <c r="W81" i="22"/>
  <c r="D81" i="22"/>
  <c r="E81" i="22" s="1"/>
  <c r="F81" i="22" s="1"/>
  <c r="S85" i="22"/>
  <c r="R85" i="22" s="1"/>
  <c r="P85" i="22" s="1"/>
  <c r="V85" i="22" s="1"/>
  <c r="B85" i="22" s="1"/>
  <c r="S89" i="22"/>
  <c r="R89" i="22" s="1"/>
  <c r="P89" i="22" s="1"/>
  <c r="V89" i="22" s="1"/>
  <c r="B89" i="22" s="1"/>
  <c r="W93" i="22"/>
  <c r="D93" i="22"/>
  <c r="E93" i="22" s="1"/>
  <c r="F93" i="22" s="1"/>
  <c r="D97" i="22"/>
  <c r="E97" i="22" s="1"/>
  <c r="F97" i="22" s="1"/>
  <c r="W97" i="22"/>
  <c r="S101" i="22"/>
  <c r="R101" i="22" s="1"/>
  <c r="P101" i="22" s="1"/>
  <c r="V101" i="22" s="1"/>
  <c r="B101" i="22" s="1"/>
  <c r="S105" i="22"/>
  <c r="R105" i="22" s="1"/>
  <c r="P105" i="22" s="1"/>
  <c r="V105" i="22" s="1"/>
  <c r="S109" i="22"/>
  <c r="R109" i="22" s="1"/>
  <c r="P109" i="22" s="1"/>
  <c r="V109" i="22" s="1"/>
  <c r="B109" i="22" s="1"/>
  <c r="S113" i="22"/>
  <c r="R113" i="22" s="1"/>
  <c r="P113" i="22" s="1"/>
  <c r="V113" i="22" s="1"/>
  <c r="B113" i="22" s="1"/>
  <c r="W117" i="22"/>
  <c r="D117" i="22"/>
  <c r="E117" i="22" s="1"/>
  <c r="F117" i="22" s="1"/>
  <c r="S121" i="22"/>
  <c r="R121" i="22" s="1"/>
  <c r="P121" i="22" s="1"/>
  <c r="V121" i="22" s="1"/>
  <c r="B121" i="22" s="1"/>
  <c r="S125" i="22"/>
  <c r="R125" i="22" s="1"/>
  <c r="P125" i="22" s="1"/>
  <c r="V125" i="22" s="1"/>
  <c r="B125" i="22" s="1"/>
  <c r="S129" i="22"/>
  <c r="R129" i="22" s="1"/>
  <c r="P129" i="22" s="1"/>
  <c r="V129" i="22" s="1"/>
  <c r="B129" i="22" s="1"/>
  <c r="D133" i="22"/>
  <c r="E133" i="22" s="1"/>
  <c r="F133" i="22" s="1"/>
  <c r="W133" i="22"/>
  <c r="S137" i="22"/>
  <c r="R137" i="22" s="1"/>
  <c r="P137" i="22" s="1"/>
  <c r="V137" i="22" s="1"/>
  <c r="B137" i="22" s="1"/>
  <c r="W141" i="22"/>
  <c r="D141" i="22"/>
  <c r="E141" i="22" s="1"/>
  <c r="F141" i="22" s="1"/>
  <c r="S145" i="22"/>
  <c r="R145" i="22" s="1"/>
  <c r="P145" i="22" s="1"/>
  <c r="V145" i="22" s="1"/>
  <c r="B145" i="22" s="1"/>
  <c r="S149" i="22"/>
  <c r="R149" i="22" s="1"/>
  <c r="P149" i="22" s="1"/>
  <c r="W153" i="22"/>
  <c r="D153" i="22"/>
  <c r="E153" i="22" s="1"/>
  <c r="F153" i="22" s="1"/>
  <c r="W157" i="22"/>
  <c r="D157" i="22"/>
  <c r="E157" i="22" s="1"/>
  <c r="F157" i="22" s="1"/>
  <c r="S161" i="22"/>
  <c r="R161" i="22" s="1"/>
  <c r="P161" i="22" s="1"/>
  <c r="V161" i="22" s="1"/>
  <c r="B161" i="22" s="1"/>
  <c r="D165" i="22"/>
  <c r="E165" i="22" s="1"/>
  <c r="F165" i="22" s="1"/>
  <c r="W165" i="22"/>
  <c r="S169" i="22"/>
  <c r="R169" i="22" s="1"/>
  <c r="P169" i="22" s="1"/>
  <c r="V169" i="22" s="1"/>
  <c r="B169" i="22" s="1"/>
  <c r="D173" i="22"/>
  <c r="E173" i="22" s="1"/>
  <c r="F173" i="22" s="1"/>
  <c r="W173" i="22"/>
  <c r="D177" i="22"/>
  <c r="E177" i="22" s="1"/>
  <c r="F177" i="22" s="1"/>
  <c r="W177" i="22"/>
  <c r="D181" i="22"/>
  <c r="E181" i="22" s="1"/>
  <c r="F181" i="22" s="1"/>
  <c r="W181" i="22"/>
  <c r="D185" i="22"/>
  <c r="E185" i="22" s="1"/>
  <c r="F185" i="22" s="1"/>
  <c r="W185" i="22"/>
  <c r="S189" i="22"/>
  <c r="R189" i="22" s="1"/>
  <c r="P189" i="22" s="1"/>
  <c r="V189" i="22" s="1"/>
  <c r="B189" i="22" s="1"/>
  <c r="S193" i="22"/>
  <c r="R193" i="22" s="1"/>
  <c r="P193" i="22" s="1"/>
  <c r="V193" i="22" s="1"/>
  <c r="B193" i="22" s="1"/>
  <c r="D197" i="22"/>
  <c r="E197" i="22" s="1"/>
  <c r="F197" i="22" s="1"/>
  <c r="W197" i="22"/>
  <c r="W201" i="22"/>
  <c r="D201" i="22"/>
  <c r="E201" i="22" s="1"/>
  <c r="F201" i="22" s="1"/>
  <c r="W205" i="22"/>
  <c r="D205" i="22"/>
  <c r="E205" i="22" s="1"/>
  <c r="F205" i="22" s="1"/>
  <c r="S209" i="22"/>
  <c r="R209" i="22" s="1"/>
  <c r="P209" i="22" s="1"/>
  <c r="V209" i="22" s="1"/>
  <c r="B209" i="22" s="1"/>
  <c r="D213" i="22"/>
  <c r="E213" i="22" s="1"/>
  <c r="F213" i="22" s="1"/>
  <c r="W213" i="22"/>
  <c r="S217" i="22"/>
  <c r="R217" i="22" s="1"/>
  <c r="P217" i="22" s="1"/>
  <c r="V217" i="22" s="1"/>
  <c r="B217" i="22" s="1"/>
  <c r="D221" i="22"/>
  <c r="E221" i="22" s="1"/>
  <c r="F221" i="22" s="1"/>
  <c r="W221" i="22"/>
  <c r="W225" i="22"/>
  <c r="D225" i="22"/>
  <c r="E225" i="22" s="1"/>
  <c r="F225" i="22" s="1"/>
  <c r="D229" i="22"/>
  <c r="E229" i="22" s="1"/>
  <c r="F229" i="22" s="1"/>
  <c r="W229" i="22"/>
  <c r="D233" i="22"/>
  <c r="E233" i="22" s="1"/>
  <c r="F233" i="22" s="1"/>
  <c r="W233" i="22"/>
  <c r="S237" i="22"/>
  <c r="R237" i="22" s="1"/>
  <c r="P237" i="22" s="1"/>
  <c r="V237" i="22" s="1"/>
  <c r="B237" i="22" s="1"/>
  <c r="AH39" i="7"/>
  <c r="V241" i="22"/>
  <c r="B241" i="22" s="1"/>
  <c r="S245" i="22"/>
  <c r="R245" i="22" s="1"/>
  <c r="P245" i="22" s="1"/>
  <c r="V245" i="22" s="1"/>
  <c r="B245" i="22" s="1"/>
  <c r="D249" i="22"/>
  <c r="E249" i="22" s="1"/>
  <c r="F249" i="22" s="1"/>
  <c r="W249" i="22"/>
  <c r="D253" i="22"/>
  <c r="E253" i="22" s="1"/>
  <c r="F253" i="22" s="1"/>
  <c r="W253" i="22"/>
  <c r="S257" i="22"/>
  <c r="R257" i="22" s="1"/>
  <c r="P257" i="22" s="1"/>
  <c r="V257" i="22" s="1"/>
  <c r="B257" i="22" s="1"/>
  <c r="S261" i="22"/>
  <c r="R261" i="22" s="1"/>
  <c r="P261" i="22" s="1"/>
  <c r="V261" i="22" s="1"/>
  <c r="B261" i="22" s="1"/>
  <c r="D265" i="22"/>
  <c r="E265" i="22" s="1"/>
  <c r="F265" i="22" s="1"/>
  <c r="W265" i="22"/>
  <c r="S269" i="22"/>
  <c r="R269" i="22" s="1"/>
  <c r="P269" i="22" s="1"/>
  <c r="V269" i="22" s="1"/>
  <c r="B269" i="22" s="1"/>
  <c r="S273" i="22"/>
  <c r="R273" i="22" s="1"/>
  <c r="P273" i="22" s="1"/>
  <c r="V273" i="22" s="1"/>
  <c r="B273" i="22" s="1"/>
  <c r="D277" i="22"/>
  <c r="E277" i="22" s="1"/>
  <c r="F277" i="22" s="1"/>
  <c r="W277" i="22"/>
  <c r="W281" i="22"/>
  <c r="D281" i="22"/>
  <c r="E281" i="22" s="1"/>
  <c r="F281" i="22" s="1"/>
  <c r="D285" i="22"/>
  <c r="E285" i="22" s="1"/>
  <c r="F285" i="22" s="1"/>
  <c r="W285" i="22"/>
  <c r="D289" i="22"/>
  <c r="E289" i="22" s="1"/>
  <c r="F289" i="22" s="1"/>
  <c r="W289" i="22"/>
  <c r="D293" i="22"/>
  <c r="E293" i="22" s="1"/>
  <c r="F293" i="22" s="1"/>
  <c r="W293" i="22"/>
  <c r="S297" i="22"/>
  <c r="R297" i="22" s="1"/>
  <c r="P297" i="22" s="1"/>
  <c r="V297" i="22" s="1"/>
  <c r="B297" i="22" s="1"/>
  <c r="W301" i="22"/>
  <c r="D301" i="22"/>
  <c r="E301" i="22" s="1"/>
  <c r="F301" i="22" s="1"/>
  <c r="D305" i="22"/>
  <c r="E305" i="22" s="1"/>
  <c r="F305" i="22" s="1"/>
  <c r="W305" i="22"/>
  <c r="S309" i="22"/>
  <c r="R309" i="22" s="1"/>
  <c r="P309" i="22" s="1"/>
  <c r="V309" i="22" s="1"/>
  <c r="B309" i="22" s="1"/>
  <c r="D313" i="22"/>
  <c r="E313" i="22" s="1"/>
  <c r="F313" i="22" s="1"/>
  <c r="W313" i="22"/>
  <c r="S317" i="22"/>
  <c r="R317" i="22" s="1"/>
  <c r="P317" i="22" s="1"/>
  <c r="V317" i="22" s="1"/>
  <c r="B317" i="22" s="1"/>
  <c r="W321" i="22"/>
  <c r="D321" i="22"/>
  <c r="E321" i="22" s="1"/>
  <c r="F321" i="22" s="1"/>
  <c r="W325" i="22"/>
  <c r="D325" i="22"/>
  <c r="E325" i="22" s="1"/>
  <c r="F325" i="22" s="1"/>
  <c r="D329" i="22"/>
  <c r="E329" i="22" s="1"/>
  <c r="F329" i="22" s="1"/>
  <c r="W329" i="22"/>
  <c r="AH42" i="7"/>
  <c r="V333" i="22"/>
  <c r="B333" i="22" s="1"/>
  <c r="S337" i="22"/>
  <c r="R337" i="22" s="1"/>
  <c r="P337" i="22" s="1"/>
  <c r="V337" i="22" s="1"/>
  <c r="B337" i="22" s="1"/>
  <c r="S341" i="22"/>
  <c r="R341" i="22" s="1"/>
  <c r="P341" i="22" s="1"/>
  <c r="V341" i="22" s="1"/>
  <c r="B341" i="22" s="1"/>
  <c r="W345" i="22"/>
  <c r="D345" i="22"/>
  <c r="E345" i="22" s="1"/>
  <c r="F345" i="22" s="1"/>
  <c r="S349" i="22"/>
  <c r="R349" i="22" s="1"/>
  <c r="P349" i="22" s="1"/>
  <c r="V349" i="22" s="1"/>
  <c r="S353" i="22"/>
  <c r="R353" i="22" s="1"/>
  <c r="P353" i="22" s="1"/>
  <c r="V353" i="22" s="1"/>
  <c r="B353" i="22" s="1"/>
  <c r="S357" i="22"/>
  <c r="R357" i="22" s="1"/>
  <c r="P357" i="22" s="1"/>
  <c r="V357" i="22" s="1"/>
  <c r="B357" i="22" s="1"/>
  <c r="S361" i="22"/>
  <c r="R361" i="22" s="1"/>
  <c r="P361" i="22" s="1"/>
  <c r="V361" i="22" s="1"/>
  <c r="B361" i="22" s="1"/>
  <c r="S365" i="22"/>
  <c r="R365" i="22" s="1"/>
  <c r="P365" i="22" s="1"/>
  <c r="V365" i="22" s="1"/>
  <c r="B365" i="22" s="1"/>
  <c r="W369" i="22"/>
  <c r="D369" i="22"/>
  <c r="E369" i="22" s="1"/>
  <c r="F369" i="22" s="1"/>
  <c r="W373" i="22"/>
  <c r="D373" i="22"/>
  <c r="E373" i="22" s="1"/>
  <c r="F373" i="22" s="1"/>
  <c r="D377" i="22"/>
  <c r="E377" i="22" s="1"/>
  <c r="F377" i="22" s="1"/>
  <c r="W377" i="22"/>
  <c r="AG17" i="22"/>
  <c r="AF17" i="22" s="1"/>
  <c r="AD17" i="22" s="1"/>
  <c r="AI381" i="22"/>
  <c r="AI383" i="22"/>
  <c r="AH15" i="22"/>
  <c r="AI382" i="22"/>
  <c r="AG23" i="22"/>
  <c r="AF23" i="22" s="1"/>
  <c r="AD23" i="22" s="1"/>
  <c r="AG27" i="22"/>
  <c r="AF27" i="22" s="1"/>
  <c r="AD27" i="22" s="1"/>
  <c r="AG31" i="22"/>
  <c r="AF31" i="22" s="1"/>
  <c r="AD31" i="22" s="1"/>
  <c r="AG35" i="22"/>
  <c r="AF35" i="22" s="1"/>
  <c r="AD35" i="22" s="1"/>
  <c r="AG43" i="22"/>
  <c r="AF43" i="22" s="1"/>
  <c r="AD43" i="22" s="1"/>
  <c r="AG51" i="22"/>
  <c r="AF51" i="22" s="1"/>
  <c r="AD51" i="22" s="1"/>
  <c r="AG59" i="22"/>
  <c r="AF59" i="22" s="1"/>
  <c r="AD59" i="22" s="1"/>
  <c r="AG71" i="22"/>
  <c r="AF71" i="22" s="1"/>
  <c r="AD71" i="22" s="1"/>
  <c r="AG75" i="22"/>
  <c r="AF75" i="22" s="1"/>
  <c r="AD75" i="22" s="1"/>
  <c r="AG87" i="22"/>
  <c r="AF87" i="22" s="1"/>
  <c r="AD87" i="22" s="1"/>
  <c r="AG95" i="22"/>
  <c r="AF95" i="22" s="1"/>
  <c r="AD95" i="22" s="1"/>
  <c r="AG99" i="22"/>
  <c r="AF99" i="22" s="1"/>
  <c r="AD99" i="22" s="1"/>
  <c r="AG107" i="22"/>
  <c r="AF107" i="22" s="1"/>
  <c r="AD107" i="22" s="1"/>
  <c r="AG111" i="22"/>
  <c r="AF111" i="22" s="1"/>
  <c r="AD111" i="22" s="1"/>
  <c r="AG127" i="22"/>
  <c r="AF127" i="22" s="1"/>
  <c r="AD127" i="22" s="1"/>
  <c r="AG131" i="22"/>
  <c r="AF131" i="22" s="1"/>
  <c r="AD131" i="22" s="1"/>
  <c r="AG139" i="22"/>
  <c r="AF139" i="22" s="1"/>
  <c r="AD139" i="22" s="1"/>
  <c r="AG163" i="22"/>
  <c r="AF163" i="22" s="1"/>
  <c r="AD163" i="22" s="1"/>
  <c r="AG171" i="22"/>
  <c r="AF171" i="22" s="1"/>
  <c r="AD171" i="22" s="1"/>
  <c r="AG183" i="22"/>
  <c r="AF183" i="22" s="1"/>
  <c r="AD183" i="22" s="1"/>
  <c r="AG191" i="22"/>
  <c r="AF191" i="22" s="1"/>
  <c r="AD191" i="22" s="1"/>
  <c r="AG195" i="22"/>
  <c r="AF195" i="22" s="1"/>
  <c r="AD195" i="22" s="1"/>
  <c r="AG207" i="22"/>
  <c r="AF207" i="22" s="1"/>
  <c r="AD207" i="22" s="1"/>
  <c r="AG219" i="22"/>
  <c r="AF219" i="22" s="1"/>
  <c r="AD219" i="22" s="1"/>
  <c r="AG231" i="22"/>
  <c r="AF231" i="22" s="1"/>
  <c r="AD231" i="22" s="1"/>
  <c r="AG247" i="22"/>
  <c r="AF247" i="22" s="1"/>
  <c r="AD247" i="22" s="1"/>
  <c r="AG255" i="22"/>
  <c r="AF255" i="22" s="1"/>
  <c r="AD255" i="22" s="1"/>
  <c r="AG263" i="22"/>
  <c r="AF263" i="22" s="1"/>
  <c r="AD263" i="22" s="1"/>
  <c r="AG275" i="22"/>
  <c r="AF275" i="22" s="1"/>
  <c r="AD275" i="22" s="1"/>
  <c r="AG279" i="22"/>
  <c r="AF279" i="22" s="1"/>
  <c r="AD279" i="22" s="1"/>
  <c r="AG291" i="22"/>
  <c r="AF291" i="22" s="1"/>
  <c r="AD291" i="22" s="1"/>
  <c r="AG295" i="22"/>
  <c r="AF295" i="22" s="1"/>
  <c r="AD295" i="22" s="1"/>
  <c r="AG303" i="22"/>
  <c r="AF303" i="22" s="1"/>
  <c r="AD303" i="22" s="1"/>
  <c r="AG315" i="22"/>
  <c r="AF315" i="22" s="1"/>
  <c r="AD315" i="22" s="1"/>
  <c r="AG343" i="22"/>
  <c r="AF343" i="22" s="1"/>
  <c r="AD343" i="22" s="1"/>
  <c r="AG347" i="22"/>
  <c r="AF347" i="22" s="1"/>
  <c r="AD347" i="22" s="1"/>
  <c r="AG355" i="22"/>
  <c r="AF355" i="22" s="1"/>
  <c r="AD355" i="22" s="1"/>
  <c r="AG363" i="22"/>
  <c r="AF363" i="22" s="1"/>
  <c r="AD363" i="22" s="1"/>
  <c r="AG367" i="22"/>
  <c r="AF367" i="22" s="1"/>
  <c r="AD367" i="22" s="1"/>
  <c r="AG371" i="22"/>
  <c r="AF371" i="22" s="1"/>
  <c r="AD371" i="22" s="1"/>
  <c r="AH379" i="22"/>
  <c r="AG379" i="22" s="1"/>
  <c r="AF379" i="22" s="1"/>
  <c r="AD379" i="22" s="1"/>
  <c r="AI12" i="23"/>
  <c r="I17" i="20"/>
  <c r="J17" i="20"/>
  <c r="I22" i="20"/>
  <c r="J22" i="20"/>
  <c r="I26" i="20"/>
  <c r="J26" i="20"/>
  <c r="I50" i="20"/>
  <c r="J50" i="20"/>
  <c r="I62" i="20"/>
  <c r="J62" i="20"/>
  <c r="AA74" i="20"/>
  <c r="Z74" i="20" s="1"/>
  <c r="Y74" i="20" s="1"/>
  <c r="H74" i="20"/>
  <c r="G74" i="20"/>
  <c r="CB74" i="6" s="1"/>
  <c r="I82" i="20"/>
  <c r="J82" i="20"/>
  <c r="I120" i="20"/>
  <c r="J120" i="20"/>
  <c r="I262" i="20"/>
  <c r="J262" i="20"/>
  <c r="J322" i="20"/>
  <c r="I322" i="20"/>
  <c r="J71" i="20"/>
  <c r="I71" i="20"/>
  <c r="H135" i="20"/>
  <c r="I323" i="20"/>
  <c r="J323" i="20"/>
  <c r="I365" i="20"/>
  <c r="J365" i="20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I65" i="20"/>
  <c r="J65" i="20"/>
  <c r="H105" i="20"/>
  <c r="G105" i="20"/>
  <c r="CB105" i="6" s="1"/>
  <c r="AA105" i="20"/>
  <c r="Z105" i="20" s="1"/>
  <c r="Y105" i="20" s="1"/>
  <c r="J113" i="20"/>
  <c r="I113" i="20"/>
  <c r="AA119" i="20"/>
  <c r="Z119" i="20" s="1"/>
  <c r="Y119" i="20" s="1"/>
  <c r="H119" i="20"/>
  <c r="G119" i="20"/>
  <c r="CB119" i="6" s="1"/>
  <c r="J131" i="20"/>
  <c r="I131" i="20"/>
  <c r="I147" i="20"/>
  <c r="J147" i="20"/>
  <c r="I183" i="20"/>
  <c r="J183" i="20"/>
  <c r="J237" i="20"/>
  <c r="I237" i="20"/>
  <c r="I261" i="20"/>
  <c r="J261" i="20"/>
  <c r="J277" i="20"/>
  <c r="I277" i="20"/>
  <c r="I285" i="20"/>
  <c r="J285" i="20"/>
  <c r="J299" i="20"/>
  <c r="I299" i="20"/>
  <c r="I329" i="20"/>
  <c r="J329" i="20"/>
  <c r="I44" i="20"/>
  <c r="J44" i="20"/>
  <c r="I98" i="20"/>
  <c r="J98" i="20"/>
  <c r="J136" i="20"/>
  <c r="I136" i="20"/>
  <c r="J152" i="20"/>
  <c r="I152" i="20"/>
  <c r="I158" i="20"/>
  <c r="J158" i="20"/>
  <c r="J168" i="20"/>
  <c r="I168" i="20"/>
  <c r="I174" i="20"/>
  <c r="J174" i="20"/>
  <c r="J200" i="20"/>
  <c r="I200" i="20"/>
  <c r="I252" i="20"/>
  <c r="J252" i="20"/>
  <c r="I264" i="20"/>
  <c r="J264" i="20"/>
  <c r="D288" i="22"/>
  <c r="E288" i="22" s="1"/>
  <c r="F288" i="22" s="1"/>
  <c r="W288" i="22"/>
  <c r="H302" i="20"/>
  <c r="G302" i="20"/>
  <c r="CB302" i="6" s="1"/>
  <c r="AA302" i="20"/>
  <c r="Z302" i="20" s="1"/>
  <c r="Y302" i="20" s="1"/>
  <c r="J326" i="20"/>
  <c r="I326" i="20"/>
  <c r="J340" i="20"/>
  <c r="I340" i="20"/>
  <c r="J378" i="20"/>
  <c r="I378" i="20"/>
  <c r="G29" i="20"/>
  <c r="CB29" i="6" s="1"/>
  <c r="AA29" i="20"/>
  <c r="Z29" i="20" s="1"/>
  <c r="Y29" i="20" s="1"/>
  <c r="H29" i="20"/>
  <c r="I39" i="20"/>
  <c r="J39" i="20"/>
  <c r="J73" i="20"/>
  <c r="I73" i="20"/>
  <c r="I99" i="20"/>
  <c r="J99" i="20"/>
  <c r="I103" i="20"/>
  <c r="J103" i="20"/>
  <c r="I121" i="20"/>
  <c r="J121" i="20"/>
  <c r="J133" i="20"/>
  <c r="I133" i="20"/>
  <c r="J141" i="20"/>
  <c r="I141" i="20"/>
  <c r="J173" i="20"/>
  <c r="I173" i="20"/>
  <c r="I253" i="20"/>
  <c r="J253" i="20"/>
  <c r="I263" i="20"/>
  <c r="J263" i="20"/>
  <c r="I279" i="20"/>
  <c r="J279" i="20"/>
  <c r="J297" i="20"/>
  <c r="I297" i="20"/>
  <c r="I305" i="20"/>
  <c r="J305" i="20"/>
  <c r="I341" i="20"/>
  <c r="J341" i="20"/>
  <c r="I347" i="20"/>
  <c r="J347" i="20"/>
  <c r="J353" i="20"/>
  <c r="I353" i="20"/>
  <c r="J40" i="20"/>
  <c r="I40" i="20"/>
  <c r="J102" i="20"/>
  <c r="I102" i="20"/>
  <c r="I142" i="20"/>
  <c r="J142" i="20"/>
  <c r="I170" i="20"/>
  <c r="J170" i="20"/>
  <c r="I192" i="20"/>
  <c r="J192" i="20"/>
  <c r="J230" i="20"/>
  <c r="I230" i="20"/>
  <c r="J260" i="20"/>
  <c r="I260" i="20"/>
  <c r="J266" i="20"/>
  <c r="I266" i="20"/>
  <c r="AA272" i="20"/>
  <c r="Z272" i="20" s="1"/>
  <c r="Y272" i="20" s="1"/>
  <c r="G272" i="20"/>
  <c r="CB272" i="6" s="1"/>
  <c r="H272" i="20"/>
  <c r="J294" i="20"/>
  <c r="I294" i="20"/>
  <c r="J298" i="20"/>
  <c r="I298" i="20"/>
  <c r="I338" i="20"/>
  <c r="J338" i="20"/>
  <c r="J21" i="20"/>
  <c r="I21" i="20"/>
  <c r="I75" i="20"/>
  <c r="J75" i="20"/>
  <c r="I225" i="20"/>
  <c r="J225" i="20"/>
  <c r="I269" i="20"/>
  <c r="J269" i="20"/>
  <c r="I349" i="20"/>
  <c r="J349" i="20"/>
  <c r="D17" i="22"/>
  <c r="E17" i="22" s="1"/>
  <c r="F17" i="22" s="1"/>
  <c r="W17" i="22"/>
  <c r="S21" i="22"/>
  <c r="R21" i="22" s="1"/>
  <c r="P21" i="22" s="1"/>
  <c r="V21" i="22" s="1"/>
  <c r="B21" i="22" s="1"/>
  <c r="W26" i="22"/>
  <c r="D26" i="22"/>
  <c r="E26" i="22" s="1"/>
  <c r="F26" i="22" s="1"/>
  <c r="S30" i="22"/>
  <c r="R30" i="22" s="1"/>
  <c r="P30" i="22" s="1"/>
  <c r="V30" i="22" s="1"/>
  <c r="B30" i="22" s="1"/>
  <c r="D34" i="22"/>
  <c r="E34" i="22" s="1"/>
  <c r="F34" i="22" s="1"/>
  <c r="W34" i="22"/>
  <c r="D38" i="22"/>
  <c r="E38" i="22" s="1"/>
  <c r="F38" i="22" s="1"/>
  <c r="W38" i="22"/>
  <c r="W42" i="22"/>
  <c r="D42" i="22"/>
  <c r="E42" i="22" s="1"/>
  <c r="F42" i="22" s="1"/>
  <c r="B46" i="22"/>
  <c r="S50" i="22"/>
  <c r="R50" i="22" s="1"/>
  <c r="P50" i="22" s="1"/>
  <c r="V50" i="22" s="1"/>
  <c r="B50" i="22" s="1"/>
  <c r="D54" i="22"/>
  <c r="E54" i="22" s="1"/>
  <c r="F54" i="22" s="1"/>
  <c r="W54" i="22"/>
  <c r="D58" i="22"/>
  <c r="E58" i="22" s="1"/>
  <c r="F58" i="22" s="1"/>
  <c r="W58" i="22"/>
  <c r="D62" i="22"/>
  <c r="E62" i="22" s="1"/>
  <c r="F62" i="22" s="1"/>
  <c r="W62" i="22"/>
  <c r="D66" i="22"/>
  <c r="E66" i="22" s="1"/>
  <c r="F66" i="22" s="1"/>
  <c r="W66" i="22"/>
  <c r="W70" i="22"/>
  <c r="D70" i="22"/>
  <c r="E70" i="22" s="1"/>
  <c r="F70" i="22" s="1"/>
  <c r="S78" i="22"/>
  <c r="R78" i="22" s="1"/>
  <c r="P78" i="22" s="1"/>
  <c r="V78" i="22" s="1"/>
  <c r="B78" i="22" s="1"/>
  <c r="W82" i="22"/>
  <c r="D82" i="22"/>
  <c r="E82" i="22" s="1"/>
  <c r="F82" i="22" s="1"/>
  <c r="S86" i="22"/>
  <c r="R86" i="22" s="1"/>
  <c r="P86" i="22" s="1"/>
  <c r="V86" i="22" s="1"/>
  <c r="B86" i="22" s="1"/>
  <c r="S90" i="22"/>
  <c r="R90" i="22" s="1"/>
  <c r="P90" i="22" s="1"/>
  <c r="V90" i="22" s="1"/>
  <c r="B90" i="22" s="1"/>
  <c r="D94" i="22"/>
  <c r="E94" i="22" s="1"/>
  <c r="F94" i="22" s="1"/>
  <c r="W94" i="22"/>
  <c r="S98" i="22"/>
  <c r="R98" i="22" s="1"/>
  <c r="P98" i="22" s="1"/>
  <c r="V98" i="22" s="1"/>
  <c r="B98" i="22" s="1"/>
  <c r="S102" i="22"/>
  <c r="R102" i="22" s="1"/>
  <c r="P102" i="22" s="1"/>
  <c r="V102" i="22" s="1"/>
  <c r="B102" i="22" s="1"/>
  <c r="W106" i="22"/>
  <c r="D106" i="22"/>
  <c r="E106" i="22" s="1"/>
  <c r="F106" i="22" s="1"/>
  <c r="S110" i="22"/>
  <c r="R110" i="22" s="1"/>
  <c r="P110" i="22" s="1"/>
  <c r="V110" i="22" s="1"/>
  <c r="B110" i="22" s="1"/>
  <c r="S114" i="22"/>
  <c r="R114" i="22" s="1"/>
  <c r="P114" i="22" s="1"/>
  <c r="V114" i="22" s="1"/>
  <c r="B114" i="22" s="1"/>
  <c r="S118" i="22"/>
  <c r="R118" i="22" s="1"/>
  <c r="P118" i="22" s="1"/>
  <c r="V118" i="22" s="1"/>
  <c r="B118" i="22" s="1"/>
  <c r="D122" i="22"/>
  <c r="E122" i="22" s="1"/>
  <c r="F122" i="22" s="1"/>
  <c r="W122" i="22"/>
  <c r="W126" i="22"/>
  <c r="D126" i="22"/>
  <c r="E126" i="22" s="1"/>
  <c r="F126" i="22" s="1"/>
  <c r="S130" i="22"/>
  <c r="R130" i="22" s="1"/>
  <c r="P130" i="22" s="1"/>
  <c r="V130" i="22" s="1"/>
  <c r="B130" i="22" s="1"/>
  <c r="D134" i="22"/>
  <c r="E134" i="22" s="1"/>
  <c r="F134" i="22" s="1"/>
  <c r="W134" i="22"/>
  <c r="D138" i="22"/>
  <c r="E138" i="22" s="1"/>
  <c r="F138" i="22" s="1"/>
  <c r="W138" i="22"/>
  <c r="S142" i="22"/>
  <c r="R142" i="22" s="1"/>
  <c r="P142" i="22" s="1"/>
  <c r="V142" i="22" s="1"/>
  <c r="B142" i="22" s="1"/>
  <c r="S146" i="22"/>
  <c r="R146" i="22" s="1"/>
  <c r="P146" i="22" s="1"/>
  <c r="V146" i="22" s="1"/>
  <c r="B146" i="22" s="1"/>
  <c r="S150" i="22"/>
  <c r="R150" i="22" s="1"/>
  <c r="P150" i="22" s="1"/>
  <c r="V150" i="22" s="1"/>
  <c r="B150" i="22" s="1"/>
  <c r="S154" i="22"/>
  <c r="R154" i="22" s="1"/>
  <c r="P154" i="22" s="1"/>
  <c r="V154" i="22" s="1"/>
  <c r="B154" i="22" s="1"/>
  <c r="S158" i="22"/>
  <c r="R158" i="22" s="1"/>
  <c r="P158" i="22" s="1"/>
  <c r="V158" i="22" s="1"/>
  <c r="B158" i="22" s="1"/>
  <c r="W162" i="22"/>
  <c r="D162" i="22"/>
  <c r="E162" i="22" s="1"/>
  <c r="F162" i="22" s="1"/>
  <c r="S166" i="22"/>
  <c r="R166" i="22" s="1"/>
  <c r="P166" i="22" s="1"/>
  <c r="V166" i="22" s="1"/>
  <c r="D170" i="22"/>
  <c r="E170" i="22" s="1"/>
  <c r="F170" i="22" s="1"/>
  <c r="W170" i="22"/>
  <c r="W174" i="22"/>
  <c r="D174" i="22"/>
  <c r="E174" i="22" s="1"/>
  <c r="F174" i="22" s="1"/>
  <c r="S178" i="22"/>
  <c r="R178" i="22" s="1"/>
  <c r="P178" i="22" s="1"/>
  <c r="V178" i="22" s="1"/>
  <c r="B178" i="22" s="1"/>
  <c r="S182" i="22"/>
  <c r="R182" i="22" s="1"/>
  <c r="P182" i="22" s="1"/>
  <c r="V182" i="22" s="1"/>
  <c r="B182" i="22" s="1"/>
  <c r="D186" i="22"/>
  <c r="E186" i="22" s="1"/>
  <c r="F186" i="22" s="1"/>
  <c r="W186" i="22"/>
  <c r="S190" i="22"/>
  <c r="R190" i="22" s="1"/>
  <c r="P190" i="22" s="1"/>
  <c r="V190" i="22" s="1"/>
  <c r="B190" i="22" s="1"/>
  <c r="S194" i="22"/>
  <c r="R194" i="22" s="1"/>
  <c r="P194" i="22" s="1"/>
  <c r="V194" i="22" s="1"/>
  <c r="B194" i="22" s="1"/>
  <c r="S198" i="22"/>
  <c r="R198" i="22" s="1"/>
  <c r="P198" i="22" s="1"/>
  <c r="V198" i="22" s="1"/>
  <c r="B198" i="22" s="1"/>
  <c r="S202" i="22"/>
  <c r="R202" i="22" s="1"/>
  <c r="P202" i="22" s="1"/>
  <c r="V202" i="22" s="1"/>
  <c r="B202" i="22" s="1"/>
  <c r="D206" i="22"/>
  <c r="E206" i="22" s="1"/>
  <c r="F206" i="22" s="1"/>
  <c r="W206" i="22"/>
  <c r="S210" i="22"/>
  <c r="R210" i="22" s="1"/>
  <c r="P210" i="22" s="1"/>
  <c r="W214" i="22"/>
  <c r="D214" i="22"/>
  <c r="E214" i="22" s="1"/>
  <c r="F214" i="22" s="1"/>
  <c r="S218" i="22"/>
  <c r="R218" i="22" s="1"/>
  <c r="P218" i="22" s="1"/>
  <c r="V218" i="22" s="1"/>
  <c r="B218" i="22" s="1"/>
  <c r="D222" i="22"/>
  <c r="E222" i="22" s="1"/>
  <c r="F222" i="22" s="1"/>
  <c r="W222" i="22"/>
  <c r="S226" i="22"/>
  <c r="R226" i="22" s="1"/>
  <c r="P226" i="22" s="1"/>
  <c r="V226" i="22" s="1"/>
  <c r="B226" i="22" s="1"/>
  <c r="S230" i="22"/>
  <c r="R230" i="22" s="1"/>
  <c r="P230" i="22" s="1"/>
  <c r="V230" i="22" s="1"/>
  <c r="B230" i="22" s="1"/>
  <c r="S234" i="22"/>
  <c r="R234" i="22" s="1"/>
  <c r="P234" i="22" s="1"/>
  <c r="V234" i="22" s="1"/>
  <c r="B234" i="22" s="1"/>
  <c r="S238" i="22"/>
  <c r="R238" i="22" s="1"/>
  <c r="P238" i="22" s="1"/>
  <c r="V238" i="22" s="1"/>
  <c r="B238" i="22" s="1"/>
  <c r="S242" i="22"/>
  <c r="R242" i="22" s="1"/>
  <c r="P242" i="22" s="1"/>
  <c r="V242" i="22" s="1"/>
  <c r="B242" i="22" s="1"/>
  <c r="S246" i="22"/>
  <c r="R246" i="22" s="1"/>
  <c r="P246" i="22" s="1"/>
  <c r="V246" i="22" s="1"/>
  <c r="B246" i="22" s="1"/>
  <c r="D250" i="22"/>
  <c r="E250" i="22" s="1"/>
  <c r="F250" i="22" s="1"/>
  <c r="W250" i="22"/>
  <c r="W254" i="22"/>
  <c r="D254" i="22"/>
  <c r="E254" i="22" s="1"/>
  <c r="F254" i="22" s="1"/>
  <c r="S258" i="22"/>
  <c r="R258" i="22" s="1"/>
  <c r="P258" i="22" s="1"/>
  <c r="V258" i="22" s="1"/>
  <c r="W262" i="22"/>
  <c r="D262" i="22"/>
  <c r="E262" i="22" s="1"/>
  <c r="F262" i="22" s="1"/>
  <c r="S266" i="22"/>
  <c r="R266" i="22" s="1"/>
  <c r="P266" i="22" s="1"/>
  <c r="V266" i="22" s="1"/>
  <c r="B266" i="22" s="1"/>
  <c r="D270" i="22"/>
  <c r="E270" i="22" s="1"/>
  <c r="F270" i="22" s="1"/>
  <c r="W270" i="22"/>
  <c r="S274" i="22"/>
  <c r="R274" i="22" s="1"/>
  <c r="P274" i="22" s="1"/>
  <c r="V274" i="22" s="1"/>
  <c r="B274" i="22" s="1"/>
  <c r="W278" i="22"/>
  <c r="D278" i="22"/>
  <c r="E278" i="22" s="1"/>
  <c r="F278" i="22" s="1"/>
  <c r="W282" i="22"/>
  <c r="D282" i="22"/>
  <c r="E282" i="22" s="1"/>
  <c r="F282" i="22" s="1"/>
  <c r="S286" i="22"/>
  <c r="R286" i="22" s="1"/>
  <c r="P286" i="22" s="1"/>
  <c r="V286" i="22" s="1"/>
  <c r="B286" i="22" s="1"/>
  <c r="W290" i="22"/>
  <c r="D290" i="22"/>
  <c r="E290" i="22" s="1"/>
  <c r="F290" i="22" s="1"/>
  <c r="W294" i="22"/>
  <c r="D294" i="22"/>
  <c r="E294" i="22" s="1"/>
  <c r="F294" i="22" s="1"/>
  <c r="W298" i="22"/>
  <c r="D298" i="22"/>
  <c r="E298" i="22" s="1"/>
  <c r="F298" i="22" s="1"/>
  <c r="AH41" i="7"/>
  <c r="V302" i="22"/>
  <c r="B302" i="22" s="1"/>
  <c r="W306" i="22"/>
  <c r="D306" i="22"/>
  <c r="E306" i="22" s="1"/>
  <c r="F306" i="22" s="1"/>
  <c r="D310" i="22"/>
  <c r="E310" i="22" s="1"/>
  <c r="F310" i="22" s="1"/>
  <c r="W310" i="22"/>
  <c r="S314" i="22"/>
  <c r="R314" i="22" s="1"/>
  <c r="P314" i="22" s="1"/>
  <c r="V314" i="22" s="1"/>
  <c r="B314" i="22" s="1"/>
  <c r="D318" i="22"/>
  <c r="E318" i="22" s="1"/>
  <c r="F318" i="22" s="1"/>
  <c r="W318" i="22"/>
  <c r="W322" i="22"/>
  <c r="D322" i="22"/>
  <c r="E322" i="22" s="1"/>
  <c r="F322" i="22" s="1"/>
  <c r="S326" i="22"/>
  <c r="R326" i="22" s="1"/>
  <c r="P326" i="22" s="1"/>
  <c r="V326" i="22" s="1"/>
  <c r="B326" i="22" s="1"/>
  <c r="S330" i="22"/>
  <c r="R330" i="22" s="1"/>
  <c r="P330" i="22" s="1"/>
  <c r="V330" i="22" s="1"/>
  <c r="B330" i="22" s="1"/>
  <c r="S334" i="22"/>
  <c r="R334" i="22" s="1"/>
  <c r="P334" i="22" s="1"/>
  <c r="V334" i="22" s="1"/>
  <c r="B334" i="22" s="1"/>
  <c r="D338" i="22"/>
  <c r="E338" i="22" s="1"/>
  <c r="F338" i="22" s="1"/>
  <c r="W338" i="22"/>
  <c r="S342" i="22"/>
  <c r="R342" i="22" s="1"/>
  <c r="P342" i="22" s="1"/>
  <c r="V342" i="22" s="1"/>
  <c r="B342" i="22" s="1"/>
  <c r="S346" i="22"/>
  <c r="R346" i="22" s="1"/>
  <c r="P346" i="22" s="1"/>
  <c r="V346" i="22" s="1"/>
  <c r="B346" i="22" s="1"/>
  <c r="S350" i="22"/>
  <c r="R350" i="22" s="1"/>
  <c r="P350" i="22" s="1"/>
  <c r="V350" i="22" s="1"/>
  <c r="B350" i="22" s="1"/>
  <c r="W354" i="22"/>
  <c r="D354" i="22"/>
  <c r="E354" i="22" s="1"/>
  <c r="F354" i="22" s="1"/>
  <c r="D358" i="22"/>
  <c r="E358" i="22" s="1"/>
  <c r="F358" i="22" s="1"/>
  <c r="W358" i="22"/>
  <c r="W362" i="22"/>
  <c r="D362" i="22"/>
  <c r="E362" i="22" s="1"/>
  <c r="F362" i="22" s="1"/>
  <c r="D366" i="22"/>
  <c r="E366" i="22" s="1"/>
  <c r="F366" i="22" s="1"/>
  <c r="W366" i="22"/>
  <c r="D370" i="22"/>
  <c r="E370" i="22" s="1"/>
  <c r="F370" i="22" s="1"/>
  <c r="W370" i="22"/>
  <c r="S374" i="22"/>
  <c r="R374" i="22" s="1"/>
  <c r="P374" i="22" s="1"/>
  <c r="V374" i="22" s="1"/>
  <c r="B374" i="22" s="1"/>
  <c r="S378" i="22"/>
  <c r="R378" i="22" s="1"/>
  <c r="P378" i="22" s="1"/>
  <c r="V378" i="22" s="1"/>
  <c r="B378" i="22" s="1"/>
  <c r="G379" i="20"/>
  <c r="CB379" i="6" s="1"/>
  <c r="AA379" i="20"/>
  <c r="Z379" i="20" s="1"/>
  <c r="Y379" i="20" s="1"/>
  <c r="H379" i="20"/>
  <c r="AG20" i="22"/>
  <c r="AF20" i="22" s="1"/>
  <c r="AD20" i="22" s="1"/>
  <c r="AG16" i="22"/>
  <c r="AF16" i="22" s="1"/>
  <c r="AD16" i="22" s="1"/>
  <c r="AG24" i="22"/>
  <c r="AF24" i="22" s="1"/>
  <c r="AD24" i="22" s="1"/>
  <c r="AG40" i="22"/>
  <c r="AF40" i="22" s="1"/>
  <c r="AD40" i="22" s="1"/>
  <c r="AG44" i="22"/>
  <c r="AF44" i="22" s="1"/>
  <c r="AD44" i="22" s="1"/>
  <c r="AG68" i="22"/>
  <c r="AF68" i="22" s="1"/>
  <c r="AD68" i="22" s="1"/>
  <c r="AG72" i="22"/>
  <c r="AF72" i="22" s="1"/>
  <c r="AD72" i="22" s="1"/>
  <c r="AG76" i="22"/>
  <c r="AF76" i="22" s="1"/>
  <c r="AD76" i="22" s="1"/>
  <c r="AG80" i="22"/>
  <c r="AF80" i="22" s="1"/>
  <c r="AD80" i="22" s="1"/>
  <c r="AG84" i="22"/>
  <c r="AF84" i="22" s="1"/>
  <c r="AD84" i="22" s="1"/>
  <c r="AG88" i="22"/>
  <c r="AF88" i="22" s="1"/>
  <c r="AD88" i="22" s="1"/>
  <c r="AG92" i="22"/>
  <c r="AF92" i="22" s="1"/>
  <c r="AD92" i="22" s="1"/>
  <c r="AG100" i="22"/>
  <c r="AF100" i="22" s="1"/>
  <c r="AD100" i="22" s="1"/>
  <c r="AG112" i="22"/>
  <c r="AF112" i="22" s="1"/>
  <c r="AD112" i="22" s="1"/>
  <c r="AG128" i="22"/>
  <c r="AF128" i="22" s="1"/>
  <c r="AD128" i="22" s="1"/>
  <c r="AG136" i="22"/>
  <c r="AF136" i="22" s="1"/>
  <c r="AD136" i="22" s="1"/>
  <c r="AG148" i="22"/>
  <c r="AF148" i="22" s="1"/>
  <c r="AD148" i="22" s="1"/>
  <c r="AG152" i="22"/>
  <c r="AF152" i="22" s="1"/>
  <c r="AD152" i="22" s="1"/>
  <c r="AG160" i="22"/>
  <c r="AF160" i="22" s="1"/>
  <c r="AD160" i="22" s="1"/>
  <c r="AG164" i="22"/>
  <c r="AF164" i="22" s="1"/>
  <c r="AD164" i="22" s="1"/>
  <c r="AG168" i="22"/>
  <c r="AF168" i="22" s="1"/>
  <c r="AD168" i="22" s="1"/>
  <c r="AG172" i="22"/>
  <c r="AF172" i="22" s="1"/>
  <c r="AD172" i="22" s="1"/>
  <c r="AG180" i="22"/>
  <c r="AF180" i="22" s="1"/>
  <c r="AD180" i="22" s="1"/>
  <c r="AG184" i="22"/>
  <c r="AF184" i="22" s="1"/>
  <c r="AD184" i="22" s="1"/>
  <c r="AG192" i="22"/>
  <c r="AF192" i="22" s="1"/>
  <c r="AD192" i="22" s="1"/>
  <c r="AG204" i="22"/>
  <c r="AF204" i="22" s="1"/>
  <c r="AD204" i="22" s="1"/>
  <c r="AG212" i="22"/>
  <c r="AF212" i="22" s="1"/>
  <c r="AD212" i="22" s="1"/>
  <c r="AG220" i="22"/>
  <c r="AF220" i="22" s="1"/>
  <c r="AD220" i="22" s="1"/>
  <c r="AG240" i="22"/>
  <c r="AF240" i="22" s="1"/>
  <c r="AD240" i="22" s="1"/>
  <c r="AG248" i="22"/>
  <c r="AF248" i="22" s="1"/>
  <c r="AD248" i="22" s="1"/>
  <c r="AG260" i="22"/>
  <c r="AF260" i="22" s="1"/>
  <c r="AD260" i="22" s="1"/>
  <c r="AG272" i="22"/>
  <c r="AF272" i="22" s="1"/>
  <c r="AD272" i="22" s="1"/>
  <c r="AG296" i="22"/>
  <c r="AF296" i="22" s="1"/>
  <c r="AD296" i="22" s="1"/>
  <c r="AG300" i="22"/>
  <c r="AF300" i="22" s="1"/>
  <c r="AD300" i="22" s="1"/>
  <c r="AG304" i="22"/>
  <c r="AF304" i="22" s="1"/>
  <c r="AD304" i="22" s="1"/>
  <c r="AG324" i="22"/>
  <c r="AF324" i="22" s="1"/>
  <c r="AD324" i="22" s="1"/>
  <c r="AG332" i="22"/>
  <c r="AF332" i="22" s="1"/>
  <c r="AD332" i="22" s="1"/>
  <c r="AG336" i="22"/>
  <c r="AF336" i="22" s="1"/>
  <c r="AD336" i="22" s="1"/>
  <c r="AG340" i="22"/>
  <c r="AF340" i="22" s="1"/>
  <c r="AD340" i="22" s="1"/>
  <c r="AG352" i="22"/>
  <c r="AF352" i="22" s="1"/>
  <c r="AD352" i="22" s="1"/>
  <c r="AG360" i="22"/>
  <c r="AF360" i="22" s="1"/>
  <c r="AD360" i="22" s="1"/>
  <c r="AG364" i="22"/>
  <c r="AF364" i="22" s="1"/>
  <c r="AD364" i="22" s="1"/>
  <c r="AG368" i="22"/>
  <c r="AF368" i="22" s="1"/>
  <c r="AD368" i="22" s="1"/>
  <c r="AG372" i="22"/>
  <c r="AF372" i="22" s="1"/>
  <c r="AD372" i="22" s="1"/>
  <c r="AG380" i="22"/>
  <c r="AF380" i="22" s="1"/>
  <c r="AD380" i="22" s="1"/>
  <c r="I34" i="20"/>
  <c r="J34" i="20"/>
  <c r="I58" i="20"/>
  <c r="J58" i="20"/>
  <c r="J66" i="20"/>
  <c r="I66" i="20"/>
  <c r="I78" i="20"/>
  <c r="J78" i="20"/>
  <c r="J84" i="20"/>
  <c r="I84" i="20"/>
  <c r="J124" i="20"/>
  <c r="I124" i="20"/>
  <c r="I182" i="20"/>
  <c r="J182" i="20"/>
  <c r="I360" i="20"/>
  <c r="J360" i="20"/>
  <c r="I16" i="20"/>
  <c r="J16" i="20"/>
  <c r="J45" i="20"/>
  <c r="I45" i="20"/>
  <c r="I223" i="20"/>
  <c r="J223" i="20"/>
  <c r="D29" i="6"/>
  <c r="O4" i="6"/>
  <c r="J155" i="20"/>
  <c r="I155" i="20"/>
  <c r="J79" i="20"/>
  <c r="I79" i="20"/>
  <c r="I101" i="20"/>
  <c r="J101" i="20"/>
  <c r="I109" i="20"/>
  <c r="J109" i="20"/>
  <c r="J139" i="20"/>
  <c r="I139" i="20"/>
  <c r="I193" i="20"/>
  <c r="J193" i="20"/>
  <c r="J209" i="20"/>
  <c r="I209" i="20"/>
  <c r="J219" i="20"/>
  <c r="I219" i="20"/>
  <c r="I251" i="20"/>
  <c r="J251" i="20"/>
  <c r="I265" i="20"/>
  <c r="J265" i="20"/>
  <c r="J293" i="20"/>
  <c r="I293" i="20"/>
  <c r="I317" i="20"/>
  <c r="J317" i="20"/>
  <c r="I355" i="20"/>
  <c r="J355" i="20"/>
  <c r="J361" i="20"/>
  <c r="I361" i="20"/>
  <c r="J371" i="20"/>
  <c r="I371" i="20"/>
  <c r="J377" i="20"/>
  <c r="I377" i="20"/>
  <c r="I104" i="20"/>
  <c r="J104" i="20"/>
  <c r="J144" i="20"/>
  <c r="I144" i="20"/>
  <c r="I164" i="20"/>
  <c r="J164" i="20"/>
  <c r="J178" i="20"/>
  <c r="I178" i="20"/>
  <c r="J186" i="20"/>
  <c r="I186" i="20"/>
  <c r="I190" i="20"/>
  <c r="J190" i="20"/>
  <c r="I216" i="20"/>
  <c r="J216" i="20"/>
  <c r="I224" i="20"/>
  <c r="J224" i="20"/>
  <c r="J232" i="20"/>
  <c r="I232" i="20"/>
  <c r="J244" i="20"/>
  <c r="I244" i="20"/>
  <c r="I274" i="20"/>
  <c r="J274" i="20"/>
  <c r="I320" i="20"/>
  <c r="J320" i="20"/>
  <c r="I336" i="20"/>
  <c r="J336" i="20"/>
  <c r="I356" i="20"/>
  <c r="J356" i="20"/>
  <c r="J362" i="20"/>
  <c r="I362" i="20"/>
  <c r="J35" i="20"/>
  <c r="I35" i="20"/>
  <c r="J63" i="20"/>
  <c r="I63" i="20"/>
  <c r="J83" i="20"/>
  <c r="I83" i="20"/>
  <c r="J153" i="20"/>
  <c r="I153" i="20"/>
  <c r="J195" i="20"/>
  <c r="I195" i="20"/>
  <c r="J203" i="20"/>
  <c r="I203" i="20"/>
  <c r="J211" i="20"/>
  <c r="I211" i="20"/>
  <c r="J245" i="20"/>
  <c r="I245" i="20"/>
  <c r="J275" i="20"/>
  <c r="I275" i="20"/>
  <c r="I287" i="20"/>
  <c r="J287" i="20"/>
  <c r="J359" i="20"/>
  <c r="I359" i="20"/>
  <c r="J126" i="20"/>
  <c r="I126" i="20"/>
  <c r="I146" i="20"/>
  <c r="J146" i="20"/>
  <c r="I162" i="20"/>
  <c r="J162" i="20"/>
  <c r="I176" i="20"/>
  <c r="J176" i="20"/>
  <c r="J184" i="20"/>
  <c r="I184" i="20"/>
  <c r="J202" i="20"/>
  <c r="I202" i="20"/>
  <c r="J212" i="20"/>
  <c r="I212" i="20"/>
  <c r="I242" i="20"/>
  <c r="J242" i="20"/>
  <c r="I312" i="20"/>
  <c r="J312" i="20"/>
  <c r="I143" i="20"/>
  <c r="J143" i="20"/>
  <c r="J161" i="20"/>
  <c r="I161" i="20"/>
  <c r="I239" i="20"/>
  <c r="J239" i="20"/>
  <c r="I345" i="20"/>
  <c r="J345" i="20"/>
  <c r="D22" i="22"/>
  <c r="E22" i="22" s="1"/>
  <c r="F22" i="22" s="1"/>
  <c r="W22" i="22"/>
  <c r="S19" i="22"/>
  <c r="R19" i="22" s="1"/>
  <c r="P19" i="22" s="1"/>
  <c r="V19" i="22" s="1"/>
  <c r="B19" i="22" s="1"/>
  <c r="S16" i="22"/>
  <c r="R16" i="22" s="1"/>
  <c r="P16" i="22" s="1"/>
  <c r="V16" i="22" s="1"/>
  <c r="B16" i="22" s="1"/>
  <c r="S27" i="22"/>
  <c r="R27" i="22" s="1"/>
  <c r="P27" i="22" s="1"/>
  <c r="V27" i="22" s="1"/>
  <c r="B27" i="22" s="1"/>
  <c r="D31" i="22"/>
  <c r="E31" i="22" s="1"/>
  <c r="F31" i="22" s="1"/>
  <c r="W31" i="22"/>
  <c r="D35" i="22"/>
  <c r="E35" i="22" s="1"/>
  <c r="F35" i="22" s="1"/>
  <c r="W35" i="22"/>
  <c r="W39" i="22"/>
  <c r="D39" i="22"/>
  <c r="E39" i="22" s="1"/>
  <c r="F39" i="22" s="1"/>
  <c r="D43" i="22"/>
  <c r="E43" i="22" s="1"/>
  <c r="F43" i="22" s="1"/>
  <c r="W43" i="22"/>
  <c r="D47" i="22"/>
  <c r="E47" i="22" s="1"/>
  <c r="F47" i="22" s="1"/>
  <c r="W47" i="22"/>
  <c r="S51" i="22"/>
  <c r="R51" i="22" s="1"/>
  <c r="P51" i="22" s="1"/>
  <c r="V51" i="22" s="1"/>
  <c r="B51" i="22" s="1"/>
  <c r="S55" i="22"/>
  <c r="R55" i="22" s="1"/>
  <c r="P55" i="22" s="1"/>
  <c r="V55" i="22" s="1"/>
  <c r="B55" i="22" s="1"/>
  <c r="S59" i="22"/>
  <c r="R59" i="22" s="1"/>
  <c r="P59" i="22" s="1"/>
  <c r="V59" i="22" s="1"/>
  <c r="B59" i="22" s="1"/>
  <c r="S63" i="22"/>
  <c r="R63" i="22" s="1"/>
  <c r="P63" i="22" s="1"/>
  <c r="V63" i="22" s="1"/>
  <c r="B63" i="22" s="1"/>
  <c r="W67" i="22"/>
  <c r="D67" i="22"/>
  <c r="E67" i="22" s="1"/>
  <c r="F67" i="22" s="1"/>
  <c r="S71" i="22"/>
  <c r="R71" i="22" s="1"/>
  <c r="P71" i="22" s="1"/>
  <c r="V71" i="22" s="1"/>
  <c r="B71" i="22" s="1"/>
  <c r="S75" i="22"/>
  <c r="R75" i="22" s="1"/>
  <c r="P75" i="22" s="1"/>
  <c r="V75" i="22" s="1"/>
  <c r="S79" i="22"/>
  <c r="R79" i="22" s="1"/>
  <c r="P79" i="22" s="1"/>
  <c r="V79" i="22" s="1"/>
  <c r="B79" i="22" s="1"/>
  <c r="D83" i="22"/>
  <c r="E83" i="22" s="1"/>
  <c r="F83" i="22" s="1"/>
  <c r="W83" i="22"/>
  <c r="S87" i="22"/>
  <c r="R87" i="22" s="1"/>
  <c r="P87" i="22" s="1"/>
  <c r="V87" i="22" s="1"/>
  <c r="B87" i="22" s="1"/>
  <c r="S91" i="22"/>
  <c r="R91" i="22" s="1"/>
  <c r="P91" i="22" s="1"/>
  <c r="V91" i="22" s="1"/>
  <c r="B91" i="22" s="1"/>
  <c r="S95" i="22"/>
  <c r="R95" i="22" s="1"/>
  <c r="P95" i="22" s="1"/>
  <c r="V95" i="22" s="1"/>
  <c r="B95" i="22" s="1"/>
  <c r="S99" i="22"/>
  <c r="R99" i="22" s="1"/>
  <c r="P99" i="22" s="1"/>
  <c r="V99" i="22" s="1"/>
  <c r="B99" i="22" s="1"/>
  <c r="S103" i="22"/>
  <c r="R103" i="22" s="1"/>
  <c r="P103" i="22" s="1"/>
  <c r="V103" i="22" s="1"/>
  <c r="B103" i="22" s="1"/>
  <c r="W107" i="22"/>
  <c r="D107" i="22"/>
  <c r="E107" i="22" s="1"/>
  <c r="F107" i="22" s="1"/>
  <c r="S111" i="22"/>
  <c r="R111" i="22" s="1"/>
  <c r="P111" i="22" s="1"/>
  <c r="V111" i="22" s="1"/>
  <c r="B111" i="22" s="1"/>
  <c r="W115" i="22"/>
  <c r="D115" i="22"/>
  <c r="E115" i="22" s="1"/>
  <c r="F115" i="22" s="1"/>
  <c r="S119" i="22"/>
  <c r="R119" i="22" s="1"/>
  <c r="P119" i="22" s="1"/>
  <c r="S123" i="22"/>
  <c r="R123" i="22" s="1"/>
  <c r="P123" i="22" s="1"/>
  <c r="V123" i="22" s="1"/>
  <c r="B123" i="22" s="1"/>
  <c r="W127" i="22"/>
  <c r="D127" i="22"/>
  <c r="E127" i="22" s="1"/>
  <c r="F127" i="22" s="1"/>
  <c r="S131" i="22"/>
  <c r="R131" i="22" s="1"/>
  <c r="P131" i="22" s="1"/>
  <c r="V131" i="22" s="1"/>
  <c r="B131" i="22" s="1"/>
  <c r="S135" i="22"/>
  <c r="R135" i="22" s="1"/>
  <c r="P135" i="22" s="1"/>
  <c r="V135" i="22" s="1"/>
  <c r="S139" i="22"/>
  <c r="R139" i="22" s="1"/>
  <c r="P139" i="22" s="1"/>
  <c r="V139" i="22" s="1"/>
  <c r="B139" i="22" s="1"/>
  <c r="D143" i="22"/>
  <c r="E143" i="22" s="1"/>
  <c r="F143" i="22" s="1"/>
  <c r="W143" i="22"/>
  <c r="W147" i="22"/>
  <c r="D147" i="22"/>
  <c r="E147" i="22" s="1"/>
  <c r="F147" i="22" s="1"/>
  <c r="S151" i="22"/>
  <c r="R151" i="22" s="1"/>
  <c r="P151" i="22" s="1"/>
  <c r="V151" i="22" s="1"/>
  <c r="B151" i="22" s="1"/>
  <c r="W155" i="22"/>
  <c r="D155" i="22"/>
  <c r="E155" i="22" s="1"/>
  <c r="F155" i="22" s="1"/>
  <c r="W159" i="22"/>
  <c r="D159" i="22"/>
  <c r="E159" i="22" s="1"/>
  <c r="F159" i="22" s="1"/>
  <c r="S163" i="22"/>
  <c r="R163" i="22" s="1"/>
  <c r="P163" i="22" s="1"/>
  <c r="V163" i="22" s="1"/>
  <c r="B163" i="22" s="1"/>
  <c r="S167" i="22"/>
  <c r="R167" i="22" s="1"/>
  <c r="P167" i="22" s="1"/>
  <c r="V167" i="22" s="1"/>
  <c r="B167" i="22" s="1"/>
  <c r="D171" i="22"/>
  <c r="E171" i="22" s="1"/>
  <c r="F171" i="22" s="1"/>
  <c r="W171" i="22"/>
  <c r="D175" i="22"/>
  <c r="E175" i="22" s="1"/>
  <c r="F175" i="22" s="1"/>
  <c r="W175" i="22"/>
  <c r="S179" i="22"/>
  <c r="R179" i="22" s="1"/>
  <c r="P179" i="22" s="1"/>
  <c r="V179" i="22" s="1"/>
  <c r="B179" i="22" s="1"/>
  <c r="W183" i="22"/>
  <c r="D183" i="22"/>
  <c r="E183" i="22" s="1"/>
  <c r="F183" i="22" s="1"/>
  <c r="S187" i="22"/>
  <c r="R187" i="22" s="1"/>
  <c r="P187" i="22" s="1"/>
  <c r="V187" i="22" s="1"/>
  <c r="B187" i="22" s="1"/>
  <c r="D191" i="22"/>
  <c r="E191" i="22" s="1"/>
  <c r="F191" i="22" s="1"/>
  <c r="W191" i="22"/>
  <c r="D195" i="22"/>
  <c r="E195" i="22" s="1"/>
  <c r="F195" i="22" s="1"/>
  <c r="W195" i="22"/>
  <c r="W199" i="22"/>
  <c r="D199" i="22"/>
  <c r="E199" i="22" s="1"/>
  <c r="F199" i="22" s="1"/>
  <c r="S203" i="22"/>
  <c r="R203" i="22" s="1"/>
  <c r="P203" i="22" s="1"/>
  <c r="V203" i="22" s="1"/>
  <c r="B203" i="22" s="1"/>
  <c r="D207" i="22"/>
  <c r="E207" i="22" s="1"/>
  <c r="F207" i="22" s="1"/>
  <c r="W207" i="22"/>
  <c r="S211" i="22"/>
  <c r="R211" i="22" s="1"/>
  <c r="P211" i="22" s="1"/>
  <c r="V211" i="22" s="1"/>
  <c r="B211" i="22" s="1"/>
  <c r="W215" i="22"/>
  <c r="D215" i="22"/>
  <c r="E215" i="22" s="1"/>
  <c r="F215" i="22" s="1"/>
  <c r="D219" i="22"/>
  <c r="E219" i="22" s="1"/>
  <c r="F219" i="22" s="1"/>
  <c r="W219" i="22"/>
  <c r="D223" i="22"/>
  <c r="E223" i="22" s="1"/>
  <c r="F223" i="22" s="1"/>
  <c r="W223" i="22"/>
  <c r="S227" i="22"/>
  <c r="R227" i="22" s="1"/>
  <c r="P227" i="22" s="1"/>
  <c r="V227" i="22" s="1"/>
  <c r="D231" i="22"/>
  <c r="E231" i="22" s="1"/>
  <c r="F231" i="22" s="1"/>
  <c r="W231" i="22"/>
  <c r="W235" i="22"/>
  <c r="D235" i="22"/>
  <c r="E235" i="22" s="1"/>
  <c r="F235" i="22" s="1"/>
  <c r="S239" i="22"/>
  <c r="R239" i="22" s="1"/>
  <c r="P239" i="22" s="1"/>
  <c r="V239" i="22" s="1"/>
  <c r="B239" i="22" s="1"/>
  <c r="D243" i="22"/>
  <c r="E243" i="22" s="1"/>
  <c r="F243" i="22" s="1"/>
  <c r="W243" i="22"/>
  <c r="W247" i="22"/>
  <c r="D247" i="22"/>
  <c r="E247" i="22" s="1"/>
  <c r="F247" i="22" s="1"/>
  <c r="S251" i="22"/>
  <c r="R251" i="22" s="1"/>
  <c r="P251" i="22" s="1"/>
  <c r="V251" i="22" s="1"/>
  <c r="B251" i="22" s="1"/>
  <c r="D255" i="22"/>
  <c r="E255" i="22" s="1"/>
  <c r="F255" i="22" s="1"/>
  <c r="W255" i="22"/>
  <c r="D259" i="22"/>
  <c r="E259" i="22" s="1"/>
  <c r="F259" i="22" s="1"/>
  <c r="W259" i="22"/>
  <c r="W263" i="22"/>
  <c r="D263" i="22"/>
  <c r="E263" i="22" s="1"/>
  <c r="F263" i="22" s="1"/>
  <c r="W267" i="22"/>
  <c r="D267" i="22"/>
  <c r="E267" i="22" s="1"/>
  <c r="F267" i="22" s="1"/>
  <c r="S271" i="22"/>
  <c r="R271" i="22" s="1"/>
  <c r="P271" i="22" s="1"/>
  <c r="V271" i="22" s="1"/>
  <c r="B271" i="22" s="1"/>
  <c r="D275" i="22"/>
  <c r="E275" i="22" s="1"/>
  <c r="F275" i="22" s="1"/>
  <c r="W275" i="22"/>
  <c r="D279" i="22"/>
  <c r="E279" i="22" s="1"/>
  <c r="F279" i="22" s="1"/>
  <c r="W279" i="22"/>
  <c r="W283" i="22"/>
  <c r="D283" i="22"/>
  <c r="E283" i="22" s="1"/>
  <c r="F283" i="22" s="1"/>
  <c r="S287" i="22"/>
  <c r="R287" i="22" s="1"/>
  <c r="P287" i="22" s="1"/>
  <c r="V287" i="22" s="1"/>
  <c r="B287" i="22" s="1"/>
  <c r="W291" i="22"/>
  <c r="D291" i="22"/>
  <c r="E291" i="22" s="1"/>
  <c r="F291" i="22" s="1"/>
  <c r="S295" i="22"/>
  <c r="R295" i="22" s="1"/>
  <c r="P295" i="22" s="1"/>
  <c r="V295" i="22" s="1"/>
  <c r="B295" i="22" s="1"/>
  <c r="W299" i="22"/>
  <c r="D299" i="22"/>
  <c r="E299" i="22" s="1"/>
  <c r="F299" i="22" s="1"/>
  <c r="S303" i="22"/>
  <c r="R303" i="22" s="1"/>
  <c r="P303" i="22" s="1"/>
  <c r="V303" i="22" s="1"/>
  <c r="B303" i="22" s="1"/>
  <c r="W307" i="22"/>
  <c r="D307" i="22"/>
  <c r="E307" i="22" s="1"/>
  <c r="F307" i="22" s="1"/>
  <c r="W311" i="22"/>
  <c r="D311" i="22"/>
  <c r="E311" i="22" s="1"/>
  <c r="F311" i="22" s="1"/>
  <c r="S315" i="22"/>
  <c r="R315" i="22" s="1"/>
  <c r="P315" i="22" s="1"/>
  <c r="V315" i="22" s="1"/>
  <c r="B315" i="22" s="1"/>
  <c r="S323" i="22"/>
  <c r="R323" i="22" s="1"/>
  <c r="P323" i="22" s="1"/>
  <c r="V323" i="22" s="1"/>
  <c r="B323" i="22" s="1"/>
  <c r="D327" i="22"/>
  <c r="E327" i="22" s="1"/>
  <c r="F327" i="22" s="1"/>
  <c r="W327" i="22"/>
  <c r="S331" i="22"/>
  <c r="R331" i="22" s="1"/>
  <c r="P331" i="22" s="1"/>
  <c r="V331" i="22" s="1"/>
  <c r="B331" i="22" s="1"/>
  <c r="S335" i="22"/>
  <c r="R335" i="22" s="1"/>
  <c r="P335" i="22" s="1"/>
  <c r="V335" i="22" s="1"/>
  <c r="B335" i="22" s="1"/>
  <c r="D339" i="22"/>
  <c r="E339" i="22" s="1"/>
  <c r="F339" i="22" s="1"/>
  <c r="W339" i="22"/>
  <c r="D343" i="22"/>
  <c r="E343" i="22" s="1"/>
  <c r="F343" i="22" s="1"/>
  <c r="W343" i="22"/>
  <c r="D347" i="22"/>
  <c r="E347" i="22" s="1"/>
  <c r="F347" i="22" s="1"/>
  <c r="W347" i="22"/>
  <c r="S351" i="22"/>
  <c r="R351" i="22" s="1"/>
  <c r="P351" i="22" s="1"/>
  <c r="V351" i="22" s="1"/>
  <c r="B351" i="22" s="1"/>
  <c r="D355" i="22"/>
  <c r="E355" i="22" s="1"/>
  <c r="F355" i="22" s="1"/>
  <c r="W355" i="22"/>
  <c r="W359" i="22"/>
  <c r="D359" i="22"/>
  <c r="E359" i="22" s="1"/>
  <c r="F359" i="22" s="1"/>
  <c r="AH43" i="7"/>
  <c r="V363" i="22"/>
  <c r="B363" i="22" s="1"/>
  <c r="W367" i="22"/>
  <c r="D367" i="22"/>
  <c r="E367" i="22" s="1"/>
  <c r="F367" i="22" s="1"/>
  <c r="S371" i="22"/>
  <c r="R371" i="22" s="1"/>
  <c r="P371" i="22" s="1"/>
  <c r="V371" i="22" s="1"/>
  <c r="B371" i="22" s="1"/>
  <c r="S375" i="22"/>
  <c r="R375" i="22" s="1"/>
  <c r="P375" i="22" s="1"/>
  <c r="V375" i="22" s="1"/>
  <c r="B375" i="22" s="1"/>
  <c r="U12" i="23"/>
  <c r="AN16" i="7"/>
  <c r="AT11" i="7" s="1"/>
  <c r="U11" i="23" s="1"/>
  <c r="T379" i="22"/>
  <c r="S379" i="22" s="1"/>
  <c r="R379" i="22" s="1"/>
  <c r="P379" i="22" s="1"/>
  <c r="AG21" i="22"/>
  <c r="AF21" i="22" s="1"/>
  <c r="AD21" i="22" s="1"/>
  <c r="AG37" i="22"/>
  <c r="AF37" i="22" s="1"/>
  <c r="AD37" i="22" s="1"/>
  <c r="AG53" i="22"/>
  <c r="AF53" i="22" s="1"/>
  <c r="AD53" i="22" s="1"/>
  <c r="AG61" i="22"/>
  <c r="AF61" i="22" s="1"/>
  <c r="AD61" i="22" s="1"/>
  <c r="AG69" i="22"/>
  <c r="AF69" i="22" s="1"/>
  <c r="AD69" i="22" s="1"/>
  <c r="AG73" i="22"/>
  <c r="AF73" i="22" s="1"/>
  <c r="AD73" i="22" s="1"/>
  <c r="AG81" i="22"/>
  <c r="AF81" i="22" s="1"/>
  <c r="AD81" i="22" s="1"/>
  <c r="AG85" i="22"/>
  <c r="AF85" i="22" s="1"/>
  <c r="AD85" i="22" s="1"/>
  <c r="AG97" i="22"/>
  <c r="AF97" i="22" s="1"/>
  <c r="AD97" i="22" s="1"/>
  <c r="AG101" i="22"/>
  <c r="AF101" i="22" s="1"/>
  <c r="AD101" i="22" s="1"/>
  <c r="AG105" i="22"/>
  <c r="AF105" i="22" s="1"/>
  <c r="AD105" i="22" s="1"/>
  <c r="AG109" i="22"/>
  <c r="AF109" i="22" s="1"/>
  <c r="AD109" i="22" s="1"/>
  <c r="AG117" i="22"/>
  <c r="AF117" i="22" s="1"/>
  <c r="AD117" i="22" s="1"/>
  <c r="AG125" i="22"/>
  <c r="AF125" i="22" s="1"/>
  <c r="AD125" i="22" s="1"/>
  <c r="AG133" i="22"/>
  <c r="AF133" i="22" s="1"/>
  <c r="AD133" i="22" s="1"/>
  <c r="AG145" i="22"/>
  <c r="AF145" i="22" s="1"/>
  <c r="AD145" i="22" s="1"/>
  <c r="AG153" i="22"/>
  <c r="AF153" i="22" s="1"/>
  <c r="AD153" i="22" s="1"/>
  <c r="AG161" i="22"/>
  <c r="AF161" i="22" s="1"/>
  <c r="AD161" i="22" s="1"/>
  <c r="AG173" i="22"/>
  <c r="AF173" i="22" s="1"/>
  <c r="AD173" i="22" s="1"/>
  <c r="AG177" i="22"/>
  <c r="AF177" i="22" s="1"/>
  <c r="AD177" i="22" s="1"/>
  <c r="AG185" i="22"/>
  <c r="AF185" i="22" s="1"/>
  <c r="AD185" i="22" s="1"/>
  <c r="AG189" i="22"/>
  <c r="AF189" i="22" s="1"/>
  <c r="AD189" i="22" s="1"/>
  <c r="AG201" i="22"/>
  <c r="AF201" i="22" s="1"/>
  <c r="AD201" i="22" s="1"/>
  <c r="AG205" i="22"/>
  <c r="AF205" i="22" s="1"/>
  <c r="AD205" i="22" s="1"/>
  <c r="AG209" i="22"/>
  <c r="AF209" i="22" s="1"/>
  <c r="AD209" i="22" s="1"/>
  <c r="AG213" i="22"/>
  <c r="AF213" i="22" s="1"/>
  <c r="AD213" i="22" s="1"/>
  <c r="AG217" i="22"/>
  <c r="AF217" i="22" s="1"/>
  <c r="AD217" i="22" s="1"/>
  <c r="AG221" i="22"/>
  <c r="AF221" i="22" s="1"/>
  <c r="AD221" i="22" s="1"/>
  <c r="AG229" i="22"/>
  <c r="AF229" i="22" s="1"/>
  <c r="AD229" i="22" s="1"/>
  <c r="AG233" i="22"/>
  <c r="AF233" i="22" s="1"/>
  <c r="AD233" i="22" s="1"/>
  <c r="AG241" i="22"/>
  <c r="AF241" i="22" s="1"/>
  <c r="AD241" i="22" s="1"/>
  <c r="AG249" i="22"/>
  <c r="AF249" i="22" s="1"/>
  <c r="AD249" i="22" s="1"/>
  <c r="AG265" i="22"/>
  <c r="AF265" i="22" s="1"/>
  <c r="AD265" i="22" s="1"/>
  <c r="AG269" i="22"/>
  <c r="AF269" i="22" s="1"/>
  <c r="AD269" i="22" s="1"/>
  <c r="AG273" i="22"/>
  <c r="AF273" i="22" s="1"/>
  <c r="AD273" i="22" s="1"/>
  <c r="AG285" i="22"/>
  <c r="AF285" i="22" s="1"/>
  <c r="AD285" i="22" s="1"/>
  <c r="AG293" i="22"/>
  <c r="AF293" i="22" s="1"/>
  <c r="AD293" i="22" s="1"/>
  <c r="AG309" i="22"/>
  <c r="AF309" i="22" s="1"/>
  <c r="AD309" i="22" s="1"/>
  <c r="AG329" i="22"/>
  <c r="AF329" i="22" s="1"/>
  <c r="AD329" i="22" s="1"/>
  <c r="AG337" i="22"/>
  <c r="AF337" i="22" s="1"/>
  <c r="AD337" i="22" s="1"/>
  <c r="AG345" i="22"/>
  <c r="AF345" i="22" s="1"/>
  <c r="AD345" i="22" s="1"/>
  <c r="AG357" i="22"/>
  <c r="AF357" i="22" s="1"/>
  <c r="AD357" i="22" s="1"/>
  <c r="AG361" i="22"/>
  <c r="AF361" i="22" s="1"/>
  <c r="AD361" i="22" s="1"/>
  <c r="AG365" i="22"/>
  <c r="AF365" i="22" s="1"/>
  <c r="AD365" i="22" s="1"/>
  <c r="AG369" i="22"/>
  <c r="AF369" i="22" s="1"/>
  <c r="AD369" i="22" s="1"/>
  <c r="AG373" i="22"/>
  <c r="AF373" i="22" s="1"/>
  <c r="AD373" i="22" s="1"/>
  <c r="J28" i="20"/>
  <c r="I28" i="20"/>
  <c r="I42" i="20"/>
  <c r="J42" i="20"/>
  <c r="J48" i="20"/>
  <c r="I54" i="20"/>
  <c r="J54" i="20"/>
  <c r="I56" i="20"/>
  <c r="J56" i="20"/>
  <c r="D74" i="22"/>
  <c r="E74" i="22" s="1"/>
  <c r="F74" i="22" s="1"/>
  <c r="W74" i="22"/>
  <c r="I76" i="20"/>
  <c r="J76" i="20"/>
  <c r="I134" i="20"/>
  <c r="J134" i="20"/>
  <c r="J198" i="20"/>
  <c r="I198" i="20"/>
  <c r="I234" i="20"/>
  <c r="J234" i="20"/>
  <c r="I366" i="20"/>
  <c r="J366" i="20"/>
  <c r="H46" i="20"/>
  <c r="I95" i="20"/>
  <c r="J95" i="20"/>
  <c r="R382" i="20"/>
  <c r="R383" i="20"/>
  <c r="R381" i="20"/>
  <c r="P15" i="20"/>
  <c r="I137" i="20"/>
  <c r="J137" i="20"/>
  <c r="J357" i="20"/>
  <c r="I357" i="20"/>
  <c r="I90" i="20"/>
  <c r="J90" i="20"/>
  <c r="Q12" i="24"/>
  <c r="I33" i="20"/>
  <c r="J33" i="20"/>
  <c r="J37" i="20"/>
  <c r="I37" i="20"/>
  <c r="J53" i="20"/>
  <c r="I53" i="20"/>
  <c r="J97" i="20"/>
  <c r="I97" i="20"/>
  <c r="I167" i="20"/>
  <c r="J167" i="20"/>
  <c r="J201" i="20"/>
  <c r="I201" i="20"/>
  <c r="I215" i="20"/>
  <c r="J215" i="20"/>
  <c r="J233" i="20"/>
  <c r="I233" i="20"/>
  <c r="I257" i="20"/>
  <c r="J257" i="20"/>
  <c r="J281" i="20"/>
  <c r="I281" i="20"/>
  <c r="I303" i="20"/>
  <c r="J303" i="20"/>
  <c r="I307" i="20"/>
  <c r="J307" i="20"/>
  <c r="I337" i="20"/>
  <c r="J337" i="20"/>
  <c r="I343" i="20"/>
  <c r="J343" i="20"/>
  <c r="J92" i="20"/>
  <c r="I92" i="20"/>
  <c r="J122" i="20"/>
  <c r="I122" i="20"/>
  <c r="I130" i="20"/>
  <c r="J130" i="20"/>
  <c r="I148" i="20"/>
  <c r="J148" i="20"/>
  <c r="I194" i="20"/>
  <c r="J194" i="20"/>
  <c r="I204" i="20"/>
  <c r="J204" i="20"/>
  <c r="AA210" i="20"/>
  <c r="Z210" i="20" s="1"/>
  <c r="Y210" i="20" s="1"/>
  <c r="H210" i="20"/>
  <c r="G210" i="20"/>
  <c r="CB210" i="6" s="1"/>
  <c r="I238" i="20"/>
  <c r="J238" i="20"/>
  <c r="G258" i="20"/>
  <c r="CB258" i="6" s="1"/>
  <c r="AA258" i="20"/>
  <c r="Z258" i="20" s="1"/>
  <c r="Y258" i="20" s="1"/>
  <c r="H258" i="20"/>
  <c r="J268" i="20"/>
  <c r="I268" i="20"/>
  <c r="J282" i="20"/>
  <c r="I282" i="20"/>
  <c r="AA288" i="20"/>
  <c r="Z288" i="20" s="1"/>
  <c r="Y288" i="20" s="1"/>
  <c r="H288" i="20"/>
  <c r="G288" i="20"/>
  <c r="CB288" i="6" s="1"/>
  <c r="J296" i="20"/>
  <c r="I296" i="20"/>
  <c r="I310" i="20"/>
  <c r="J310" i="20"/>
  <c r="J330" i="20"/>
  <c r="I330" i="20"/>
  <c r="I346" i="20"/>
  <c r="J346" i="20"/>
  <c r="I368" i="20"/>
  <c r="J368" i="20"/>
  <c r="J23" i="20"/>
  <c r="I23" i="20"/>
  <c r="J51" i="20"/>
  <c r="I51" i="20"/>
  <c r="J111" i="20"/>
  <c r="I111" i="20"/>
  <c r="J159" i="20"/>
  <c r="I159" i="20"/>
  <c r="I185" i="20"/>
  <c r="J185" i="20"/>
  <c r="I199" i="20"/>
  <c r="J199" i="20"/>
  <c r="I235" i="20"/>
  <c r="J235" i="20"/>
  <c r="H241" i="20"/>
  <c r="AA241" i="20"/>
  <c r="Z241" i="20" s="1"/>
  <c r="Y241" i="20" s="1"/>
  <c r="G241" i="20"/>
  <c r="CB241" i="6" s="1"/>
  <c r="I283" i="20"/>
  <c r="J283" i="20"/>
  <c r="J313" i="20"/>
  <c r="I313" i="20"/>
  <c r="B319" i="22"/>
  <c r="G319" i="20"/>
  <c r="CB319" i="6" s="1"/>
  <c r="H319" i="20"/>
  <c r="AA319" i="20"/>
  <c r="Z319" i="20" s="1"/>
  <c r="Y319" i="20" s="1"/>
  <c r="AA333" i="20"/>
  <c r="Z333" i="20" s="1"/>
  <c r="Y333" i="20" s="1"/>
  <c r="H333" i="20"/>
  <c r="G333" i="20"/>
  <c r="CB333" i="6" s="1"/>
  <c r="AA363" i="20"/>
  <c r="Z363" i="20" s="1"/>
  <c r="Y363" i="20" s="1"/>
  <c r="G363" i="20"/>
  <c r="CB363" i="6" s="1"/>
  <c r="H363" i="20"/>
  <c r="J375" i="20"/>
  <c r="I375" i="20"/>
  <c r="J96" i="20"/>
  <c r="I96" i="20"/>
  <c r="I132" i="20"/>
  <c r="J132" i="20"/>
  <c r="J150" i="20"/>
  <c r="I150" i="20"/>
  <c r="I154" i="20"/>
  <c r="J154" i="20"/>
  <c r="H166" i="20"/>
  <c r="AA166" i="20"/>
  <c r="Z166" i="20" s="1"/>
  <c r="Y166" i="20" s="1"/>
  <c r="G166" i="20"/>
  <c r="CB166" i="6" s="1"/>
  <c r="AA196" i="20"/>
  <c r="Z196" i="20" s="1"/>
  <c r="Y196" i="20" s="1"/>
  <c r="G196" i="20"/>
  <c r="CB196" i="6" s="1"/>
  <c r="H196" i="20"/>
  <c r="I222" i="20"/>
  <c r="J222" i="20"/>
  <c r="J246" i="20"/>
  <c r="I246" i="20"/>
  <c r="J280" i="20"/>
  <c r="I280" i="20"/>
  <c r="J286" i="20"/>
  <c r="I286" i="20"/>
  <c r="I290" i="20"/>
  <c r="J290" i="20"/>
  <c r="J306" i="20"/>
  <c r="I306" i="20"/>
  <c r="J324" i="20"/>
  <c r="I324" i="20"/>
  <c r="I332" i="20"/>
  <c r="J332" i="20"/>
  <c r="J358" i="20"/>
  <c r="I358" i="20"/>
  <c r="I18" i="20"/>
  <c r="J18" i="20"/>
  <c r="I47" i="20"/>
  <c r="J47" i="20"/>
  <c r="AA149" i="20"/>
  <c r="Z149" i="20" s="1"/>
  <c r="Y149" i="20" s="1"/>
  <c r="G149" i="20"/>
  <c r="CB149" i="6" s="1"/>
  <c r="H149" i="20"/>
  <c r="J175" i="20"/>
  <c r="I175" i="20"/>
  <c r="J249" i="20"/>
  <c r="I249" i="20"/>
  <c r="I331" i="20"/>
  <c r="J331" i="20"/>
  <c r="W18" i="22"/>
  <c r="D18" i="22"/>
  <c r="E18" i="22" s="1"/>
  <c r="F18" i="22" s="1"/>
  <c r="U382" i="22"/>
  <c r="U383" i="22"/>
  <c r="T15" i="22"/>
  <c r="U381" i="22"/>
  <c r="D24" i="22"/>
  <c r="E24" i="22" s="1"/>
  <c r="F24" i="22" s="1"/>
  <c r="W24" i="22"/>
  <c r="S28" i="22"/>
  <c r="R28" i="22" s="1"/>
  <c r="P28" i="22" s="1"/>
  <c r="V28" i="22" s="1"/>
  <c r="B28" i="22" s="1"/>
  <c r="D32" i="22"/>
  <c r="E32" i="22" s="1"/>
  <c r="F32" i="22" s="1"/>
  <c r="W32" i="22"/>
  <c r="S36" i="22"/>
  <c r="R36" i="22" s="1"/>
  <c r="P36" i="22" s="1"/>
  <c r="V36" i="22" s="1"/>
  <c r="B36" i="22" s="1"/>
  <c r="W40" i="22"/>
  <c r="D40" i="22"/>
  <c r="E40" i="22" s="1"/>
  <c r="F40" i="22" s="1"/>
  <c r="W44" i="22"/>
  <c r="D44" i="22"/>
  <c r="E44" i="22" s="1"/>
  <c r="F44" i="22" s="1"/>
  <c r="W48" i="22"/>
  <c r="D48" i="22"/>
  <c r="E48" i="22" s="1"/>
  <c r="F48" i="22" s="1"/>
  <c r="S52" i="22"/>
  <c r="R52" i="22" s="1"/>
  <c r="P52" i="22" s="1"/>
  <c r="V52" i="22" s="1"/>
  <c r="B52" i="22" s="1"/>
  <c r="W56" i="22"/>
  <c r="D56" i="22"/>
  <c r="E56" i="22" s="1"/>
  <c r="F56" i="22" s="1"/>
  <c r="AH33" i="7"/>
  <c r="V60" i="22"/>
  <c r="B60" i="22" s="1"/>
  <c r="S64" i="22"/>
  <c r="R64" i="22" s="1"/>
  <c r="P64" i="22" s="1"/>
  <c r="V64" i="22" s="1"/>
  <c r="B64" i="22" s="1"/>
  <c r="S68" i="22"/>
  <c r="R68" i="22" s="1"/>
  <c r="P68" i="22" s="1"/>
  <c r="V68" i="22" s="1"/>
  <c r="B68" i="22" s="1"/>
  <c r="D72" i="22"/>
  <c r="E72" i="22" s="1"/>
  <c r="F72" i="22" s="1"/>
  <c r="W72" i="22"/>
  <c r="S76" i="22"/>
  <c r="R76" i="22" s="1"/>
  <c r="P76" i="22" s="1"/>
  <c r="V76" i="22" s="1"/>
  <c r="B76" i="22" s="1"/>
  <c r="S80" i="22"/>
  <c r="R80" i="22" s="1"/>
  <c r="P80" i="22" s="1"/>
  <c r="V80" i="22" s="1"/>
  <c r="B80" i="22" s="1"/>
  <c r="S84" i="22"/>
  <c r="R84" i="22" s="1"/>
  <c r="P84" i="22" s="1"/>
  <c r="V84" i="22" s="1"/>
  <c r="B84" i="22" s="1"/>
  <c r="AH34" i="7"/>
  <c r="V88" i="22"/>
  <c r="B88" i="22" s="1"/>
  <c r="S92" i="22"/>
  <c r="R92" i="22" s="1"/>
  <c r="P92" i="22" s="1"/>
  <c r="V92" i="22" s="1"/>
  <c r="B92" i="22" s="1"/>
  <c r="S96" i="22"/>
  <c r="R96" i="22" s="1"/>
  <c r="P96" i="22" s="1"/>
  <c r="V96" i="22" s="1"/>
  <c r="B96" i="22" s="1"/>
  <c r="D100" i="22"/>
  <c r="E100" i="22" s="1"/>
  <c r="F100" i="22" s="1"/>
  <c r="W100" i="22"/>
  <c r="S104" i="22"/>
  <c r="R104" i="22" s="1"/>
  <c r="P104" i="22" s="1"/>
  <c r="V104" i="22" s="1"/>
  <c r="B104" i="22" s="1"/>
  <c r="D108" i="22"/>
  <c r="E108" i="22" s="1"/>
  <c r="F108" i="22" s="1"/>
  <c r="W108" i="22"/>
  <c r="W112" i="22"/>
  <c r="D112" i="22"/>
  <c r="E112" i="22" s="1"/>
  <c r="F112" i="22" s="1"/>
  <c r="S116" i="22"/>
  <c r="R116" i="22" s="1"/>
  <c r="P116" i="22" s="1"/>
  <c r="V116" i="22" s="1"/>
  <c r="B116" i="22" s="1"/>
  <c r="W120" i="22"/>
  <c r="D120" i="22"/>
  <c r="E120" i="22" s="1"/>
  <c r="F120" i="22" s="1"/>
  <c r="S124" i="22"/>
  <c r="R124" i="22" s="1"/>
  <c r="P124" i="22" s="1"/>
  <c r="V124" i="22" s="1"/>
  <c r="B124" i="22" s="1"/>
  <c r="S128" i="22"/>
  <c r="R128" i="22" s="1"/>
  <c r="P128" i="22" s="1"/>
  <c r="V128" i="22" s="1"/>
  <c r="B128" i="22" s="1"/>
  <c r="S132" i="22"/>
  <c r="R132" i="22" s="1"/>
  <c r="P132" i="22" s="1"/>
  <c r="V132" i="22" s="1"/>
  <c r="B132" i="22" s="1"/>
  <c r="S136" i="22"/>
  <c r="R136" i="22" s="1"/>
  <c r="P136" i="22" s="1"/>
  <c r="V136" i="22" s="1"/>
  <c r="B136" i="22" s="1"/>
  <c r="W140" i="22"/>
  <c r="D140" i="22"/>
  <c r="E140" i="22" s="1"/>
  <c r="F140" i="22" s="1"/>
  <c r="W144" i="22"/>
  <c r="D144" i="22"/>
  <c r="E144" i="22" s="1"/>
  <c r="F144" i="22" s="1"/>
  <c r="D148" i="22"/>
  <c r="E148" i="22" s="1"/>
  <c r="F148" i="22" s="1"/>
  <c r="W148" i="22"/>
  <c r="D152" i="22"/>
  <c r="E152" i="22" s="1"/>
  <c r="F152" i="22" s="1"/>
  <c r="W152" i="22"/>
  <c r="S156" i="22"/>
  <c r="R156" i="22" s="1"/>
  <c r="P156" i="22" s="1"/>
  <c r="V156" i="22" s="1"/>
  <c r="B156" i="22" s="1"/>
  <c r="S160" i="22"/>
  <c r="R160" i="22" s="1"/>
  <c r="P160" i="22" s="1"/>
  <c r="V160" i="22" s="1"/>
  <c r="B160" i="22" s="1"/>
  <c r="S164" i="22"/>
  <c r="R164" i="22" s="1"/>
  <c r="P164" i="22" s="1"/>
  <c r="V164" i="22" s="1"/>
  <c r="B164" i="22" s="1"/>
  <c r="W168" i="22"/>
  <c r="D168" i="22"/>
  <c r="E168" i="22" s="1"/>
  <c r="F168" i="22" s="1"/>
  <c r="S172" i="22"/>
  <c r="R172" i="22" s="1"/>
  <c r="P172" i="22" s="1"/>
  <c r="V172" i="22" s="1"/>
  <c r="B172" i="22" s="1"/>
  <c r="W176" i="22"/>
  <c r="D176" i="22"/>
  <c r="E176" i="22" s="1"/>
  <c r="F176" i="22" s="1"/>
  <c r="AH37" i="7"/>
  <c r="V180" i="22"/>
  <c r="B180" i="22" s="1"/>
  <c r="S184" i="22"/>
  <c r="R184" i="22" s="1"/>
  <c r="P184" i="22" s="1"/>
  <c r="V184" i="22" s="1"/>
  <c r="B184" i="22" s="1"/>
  <c r="D188" i="22"/>
  <c r="E188" i="22" s="1"/>
  <c r="F188" i="22" s="1"/>
  <c r="W188" i="22"/>
  <c r="D192" i="22"/>
  <c r="E192" i="22" s="1"/>
  <c r="F192" i="22" s="1"/>
  <c r="W192" i="22"/>
  <c r="S196" i="22"/>
  <c r="R196" i="22" s="1"/>
  <c r="P196" i="22" s="1"/>
  <c r="V196" i="22" s="1"/>
  <c r="W200" i="22"/>
  <c r="D200" i="22"/>
  <c r="E200" i="22" s="1"/>
  <c r="F200" i="22" s="1"/>
  <c r="D204" i="22"/>
  <c r="E204" i="22" s="1"/>
  <c r="F204" i="22" s="1"/>
  <c r="W204" i="22"/>
  <c r="S208" i="22"/>
  <c r="R208" i="22" s="1"/>
  <c r="P208" i="22" s="1"/>
  <c r="V208" i="22" s="1"/>
  <c r="B208" i="22" s="1"/>
  <c r="W212" i="22"/>
  <c r="D212" i="22"/>
  <c r="E212" i="22" s="1"/>
  <c r="F212" i="22" s="1"/>
  <c r="D216" i="22"/>
  <c r="E216" i="22" s="1"/>
  <c r="F216" i="22" s="1"/>
  <c r="W216" i="22"/>
  <c r="W220" i="22"/>
  <c r="D220" i="22"/>
  <c r="E220" i="22" s="1"/>
  <c r="F220" i="22" s="1"/>
  <c r="S224" i="22"/>
  <c r="R224" i="22" s="1"/>
  <c r="P224" i="22" s="1"/>
  <c r="V224" i="22" s="1"/>
  <c r="B224" i="22" s="1"/>
  <c r="S228" i="22"/>
  <c r="R228" i="22" s="1"/>
  <c r="P228" i="22" s="1"/>
  <c r="V228" i="22" s="1"/>
  <c r="B228" i="22" s="1"/>
  <c r="W232" i="22"/>
  <c r="D232" i="22"/>
  <c r="E232" i="22" s="1"/>
  <c r="F232" i="22" s="1"/>
  <c r="S236" i="22"/>
  <c r="R236" i="22" s="1"/>
  <c r="P236" i="22" s="1"/>
  <c r="V236" i="22" s="1"/>
  <c r="B236" i="22" s="1"/>
  <c r="W240" i="22"/>
  <c r="D240" i="22"/>
  <c r="E240" i="22" s="1"/>
  <c r="F240" i="22" s="1"/>
  <c r="S244" i="22"/>
  <c r="R244" i="22" s="1"/>
  <c r="P244" i="22" s="1"/>
  <c r="V244" i="22" s="1"/>
  <c r="B244" i="22" s="1"/>
  <c r="D248" i="22"/>
  <c r="E248" i="22" s="1"/>
  <c r="F248" i="22" s="1"/>
  <c r="W248" i="22"/>
  <c r="D252" i="22"/>
  <c r="E252" i="22" s="1"/>
  <c r="F252" i="22" s="1"/>
  <c r="W252" i="22"/>
  <c r="D256" i="22"/>
  <c r="E256" i="22" s="1"/>
  <c r="F256" i="22" s="1"/>
  <c r="W256" i="22"/>
  <c r="D260" i="22"/>
  <c r="E260" i="22" s="1"/>
  <c r="F260" i="22" s="1"/>
  <c r="W260" i="22"/>
  <c r="S264" i="22"/>
  <c r="R264" i="22" s="1"/>
  <c r="P264" i="22" s="1"/>
  <c r="V264" i="22" s="1"/>
  <c r="B264" i="22" s="1"/>
  <c r="S268" i="22"/>
  <c r="R268" i="22" s="1"/>
  <c r="P268" i="22" s="1"/>
  <c r="V268" i="22" s="1"/>
  <c r="B268" i="22" s="1"/>
  <c r="AH40" i="7"/>
  <c r="V272" i="22"/>
  <c r="B272" i="22" s="1"/>
  <c r="S276" i="22"/>
  <c r="R276" i="22" s="1"/>
  <c r="P276" i="22" s="1"/>
  <c r="V276" i="22" s="1"/>
  <c r="B276" i="22" s="1"/>
  <c r="W280" i="22"/>
  <c r="D280" i="22"/>
  <c r="E280" i="22" s="1"/>
  <c r="F280" i="22" s="1"/>
  <c r="W284" i="22"/>
  <c r="D284" i="22"/>
  <c r="E284" i="22" s="1"/>
  <c r="F284" i="22" s="1"/>
  <c r="W292" i="22"/>
  <c r="D292" i="22"/>
  <c r="E292" i="22" s="1"/>
  <c r="F292" i="22" s="1"/>
  <c r="D296" i="22"/>
  <c r="E296" i="22" s="1"/>
  <c r="F296" i="22" s="1"/>
  <c r="W296" i="22"/>
  <c r="S300" i="22"/>
  <c r="R300" i="22" s="1"/>
  <c r="P300" i="22" s="1"/>
  <c r="V300" i="22" s="1"/>
  <c r="B300" i="22" s="1"/>
  <c r="S304" i="22"/>
  <c r="R304" i="22" s="1"/>
  <c r="P304" i="22" s="1"/>
  <c r="V304" i="22" s="1"/>
  <c r="B304" i="22" s="1"/>
  <c r="S308" i="22"/>
  <c r="R308" i="22" s="1"/>
  <c r="P308" i="22" s="1"/>
  <c r="V308" i="22" s="1"/>
  <c r="B308" i="22" s="1"/>
  <c r="S312" i="22"/>
  <c r="R312" i="22" s="1"/>
  <c r="P312" i="22" s="1"/>
  <c r="V312" i="22" s="1"/>
  <c r="B312" i="22" s="1"/>
  <c r="D316" i="22"/>
  <c r="E316" i="22" s="1"/>
  <c r="F316" i="22" s="1"/>
  <c r="W316" i="22"/>
  <c r="S320" i="22"/>
  <c r="R320" i="22" s="1"/>
  <c r="P320" i="22" s="1"/>
  <c r="V320" i="22" s="1"/>
  <c r="D324" i="22"/>
  <c r="E324" i="22" s="1"/>
  <c r="F324" i="22" s="1"/>
  <c r="W324" i="22"/>
  <c r="W328" i="22"/>
  <c r="D328" i="22"/>
  <c r="E328" i="22" s="1"/>
  <c r="F328" i="22" s="1"/>
  <c r="W332" i="22"/>
  <c r="D332" i="22"/>
  <c r="E332" i="22" s="1"/>
  <c r="F332" i="22" s="1"/>
  <c r="S336" i="22"/>
  <c r="R336" i="22" s="1"/>
  <c r="P336" i="22" s="1"/>
  <c r="V336" i="22" s="1"/>
  <c r="B336" i="22" s="1"/>
  <c r="D340" i="22"/>
  <c r="E340" i="22" s="1"/>
  <c r="F340" i="22" s="1"/>
  <c r="W340" i="22"/>
  <c r="W344" i="22"/>
  <c r="D344" i="22"/>
  <c r="E344" i="22" s="1"/>
  <c r="F344" i="22" s="1"/>
  <c r="W348" i="22"/>
  <c r="D348" i="22"/>
  <c r="E348" i="22" s="1"/>
  <c r="F348" i="22" s="1"/>
  <c r="W352" i="22"/>
  <c r="D352" i="22"/>
  <c r="E352" i="22" s="1"/>
  <c r="F352" i="22" s="1"/>
  <c r="S356" i="22"/>
  <c r="R356" i="22" s="1"/>
  <c r="P356" i="22" s="1"/>
  <c r="V356" i="22" s="1"/>
  <c r="B356" i="22" s="1"/>
  <c r="W360" i="22"/>
  <c r="D360" i="22"/>
  <c r="E360" i="22" s="1"/>
  <c r="F360" i="22" s="1"/>
  <c r="S364" i="22"/>
  <c r="R364" i="22" s="1"/>
  <c r="P364" i="22" s="1"/>
  <c r="V364" i="22" s="1"/>
  <c r="B364" i="22" s="1"/>
  <c r="S368" i="22"/>
  <c r="R368" i="22" s="1"/>
  <c r="P368" i="22" s="1"/>
  <c r="V368" i="22" s="1"/>
  <c r="B368" i="22" s="1"/>
  <c r="D372" i="22"/>
  <c r="E372" i="22" s="1"/>
  <c r="F372" i="22" s="1"/>
  <c r="W372" i="22"/>
  <c r="D376" i="22"/>
  <c r="E376" i="22" s="1"/>
  <c r="F376" i="22" s="1"/>
  <c r="W376" i="22"/>
  <c r="S380" i="22"/>
  <c r="R380" i="22" s="1"/>
  <c r="P380" i="22" s="1"/>
  <c r="V380" i="22" s="1"/>
  <c r="AG19" i="22"/>
  <c r="AF19" i="22" s="1"/>
  <c r="AD19" i="22" s="1"/>
  <c r="AG22" i="22"/>
  <c r="AF22" i="22" s="1"/>
  <c r="AD22" i="22" s="1"/>
  <c r="AG34" i="22"/>
  <c r="AF34" i="22" s="1"/>
  <c r="AD34" i="22" s="1"/>
  <c r="AG38" i="22"/>
  <c r="AF38" i="22" s="1"/>
  <c r="AD38" i="22" s="1"/>
  <c r="AG50" i="22"/>
  <c r="AF50" i="22" s="1"/>
  <c r="AD50" i="22" s="1"/>
  <c r="AG58" i="22"/>
  <c r="AF58" i="22" s="1"/>
  <c r="AD58" i="22" s="1"/>
  <c r="AG66" i="22"/>
  <c r="AF66" i="22" s="1"/>
  <c r="AD66" i="22" s="1"/>
  <c r="AG78" i="22"/>
  <c r="AF78" i="22" s="1"/>
  <c r="AD78" i="22" s="1"/>
  <c r="AG86" i="22"/>
  <c r="AF86" i="22" s="1"/>
  <c r="AD86" i="22" s="1"/>
  <c r="AG90" i="22"/>
  <c r="AF90" i="22" s="1"/>
  <c r="AD90" i="22" s="1"/>
  <c r="AG98" i="22"/>
  <c r="AF98" i="22" s="1"/>
  <c r="AD98" i="22" s="1"/>
  <c r="AG102" i="22"/>
  <c r="AF102" i="22" s="1"/>
  <c r="AD102" i="22" s="1"/>
  <c r="AG110" i="22"/>
  <c r="AF110" i="22" s="1"/>
  <c r="AD110" i="22" s="1"/>
  <c r="AG114" i="22"/>
  <c r="AF114" i="22" s="1"/>
  <c r="AD114" i="22" s="1"/>
  <c r="AG126" i="22"/>
  <c r="AF126" i="22" s="1"/>
  <c r="AD126" i="22" s="1"/>
  <c r="AG146" i="22"/>
  <c r="AF146" i="22" s="1"/>
  <c r="AD146" i="22" s="1"/>
  <c r="AG162" i="22"/>
  <c r="AF162" i="22" s="1"/>
  <c r="AD162" i="22" s="1"/>
  <c r="AG170" i="22"/>
  <c r="AF170" i="22" s="1"/>
  <c r="AD170" i="22" s="1"/>
  <c r="AG182" i="22"/>
  <c r="AF182" i="22" s="1"/>
  <c r="AD182" i="22" s="1"/>
  <c r="AG190" i="22"/>
  <c r="AF190" i="22" s="1"/>
  <c r="AD190" i="22" s="1"/>
  <c r="AG194" i="22"/>
  <c r="AF194" i="22" s="1"/>
  <c r="AD194" i="22" s="1"/>
  <c r="AG206" i="22"/>
  <c r="AF206" i="22" s="1"/>
  <c r="AD206" i="22" s="1"/>
  <c r="AG214" i="22"/>
  <c r="AF214" i="22" s="1"/>
  <c r="AD214" i="22" s="1"/>
  <c r="AG218" i="22"/>
  <c r="AF218" i="22" s="1"/>
  <c r="AD218" i="22" s="1"/>
  <c r="AG226" i="22"/>
  <c r="AF226" i="22" s="1"/>
  <c r="AD226" i="22" s="1"/>
  <c r="AG230" i="22"/>
  <c r="AF230" i="22" s="1"/>
  <c r="AD230" i="22" s="1"/>
  <c r="AG238" i="22"/>
  <c r="AF238" i="22" s="1"/>
  <c r="AD238" i="22" s="1"/>
  <c r="AG242" i="22"/>
  <c r="AF242" i="22" s="1"/>
  <c r="AD242" i="22" s="1"/>
  <c r="AG246" i="22"/>
  <c r="AF246" i="22" s="1"/>
  <c r="AD246" i="22" s="1"/>
  <c r="AG270" i="22"/>
  <c r="AF270" i="22" s="1"/>
  <c r="AD270" i="22" s="1"/>
  <c r="AG294" i="22"/>
  <c r="AF294" i="22" s="1"/>
  <c r="AD294" i="22" s="1"/>
  <c r="AG298" i="22"/>
  <c r="AF298" i="22" s="1"/>
  <c r="AD298" i="22" s="1"/>
  <c r="AG302" i="22"/>
  <c r="AF302" i="22" s="1"/>
  <c r="AD302" i="22" s="1"/>
  <c r="AG306" i="22"/>
  <c r="AF306" i="22" s="1"/>
  <c r="AD306" i="22" s="1"/>
  <c r="AG310" i="22"/>
  <c r="AF310" i="22" s="1"/>
  <c r="AD310" i="22" s="1"/>
  <c r="AG318" i="22"/>
  <c r="AF318" i="22" s="1"/>
  <c r="AD318" i="22" s="1"/>
  <c r="AG326" i="22"/>
  <c r="AF326" i="22" s="1"/>
  <c r="AD326" i="22" s="1"/>
  <c r="AG330" i="22"/>
  <c r="AF330" i="22" s="1"/>
  <c r="AD330" i="22" s="1"/>
  <c r="AG334" i="22"/>
  <c r="AF334" i="22" s="1"/>
  <c r="AD334" i="22" s="1"/>
  <c r="AG350" i="22"/>
  <c r="AF350" i="22" s="1"/>
  <c r="AD350" i="22" s="1"/>
  <c r="AG354" i="22"/>
  <c r="AF354" i="22" s="1"/>
  <c r="AD354" i="22" s="1"/>
  <c r="AG358" i="22"/>
  <c r="AF358" i="22" s="1"/>
  <c r="AD358" i="22" s="1"/>
  <c r="AG370" i="22"/>
  <c r="AF370" i="22" s="1"/>
  <c r="AD370" i="22" s="1"/>
  <c r="AG374" i="22"/>
  <c r="AF374" i="22" s="1"/>
  <c r="AD374" i="22" s="1"/>
  <c r="AG378" i="22"/>
  <c r="AF378" i="22" s="1"/>
  <c r="AD378" i="22" s="1"/>
  <c r="J32" i="20"/>
  <c r="I32" i="20"/>
  <c r="I52" i="20"/>
  <c r="J52" i="20"/>
  <c r="J64" i="20"/>
  <c r="I64" i="20"/>
  <c r="I70" i="20"/>
  <c r="J70" i="20"/>
  <c r="I80" i="20"/>
  <c r="J80" i="20"/>
  <c r="I112" i="20"/>
  <c r="J112" i="20"/>
  <c r="J208" i="20"/>
  <c r="I208" i="20"/>
  <c r="I218" i="20"/>
  <c r="J218" i="20"/>
  <c r="I254" i="20"/>
  <c r="J254" i="20"/>
  <c r="AD15" i="20"/>
  <c r="H227" i="20"/>
  <c r="J325" i="20"/>
  <c r="I325" i="20"/>
  <c r="H60" i="20"/>
  <c r="Q381" i="23" l="1"/>
  <c r="AL12" i="17"/>
  <c r="AJ4" i="17" s="1"/>
  <c r="P14" i="19" s="1"/>
  <c r="G125" i="20"/>
  <c r="CB125" i="6" s="1"/>
  <c r="AA125" i="20"/>
  <c r="Z125" i="20" s="1"/>
  <c r="Y125" i="20" s="1"/>
  <c r="G61" i="20"/>
  <c r="CB61" i="6" s="1"/>
  <c r="AA61" i="20"/>
  <c r="Z61" i="20" s="1"/>
  <c r="Y61" i="20" s="1"/>
  <c r="I189" i="18"/>
  <c r="J189" i="18"/>
  <c r="C189" i="6" s="1"/>
  <c r="B205" i="6"/>
  <c r="BA205" i="6" s="1"/>
  <c r="H205" i="20"/>
  <c r="I125" i="18"/>
  <c r="J125" i="18"/>
  <c r="C125" i="6" s="1"/>
  <c r="I61" i="18"/>
  <c r="J61" i="18"/>
  <c r="C61" i="6" s="1"/>
  <c r="D149" i="6"/>
  <c r="W4" i="6"/>
  <c r="F9" i="17"/>
  <c r="F383" i="17"/>
  <c r="AK10" i="17"/>
  <c r="AK12" i="17" s="1"/>
  <c r="AK13" i="17" s="1"/>
  <c r="F381" i="17"/>
  <c r="AA15" i="17"/>
  <c r="AM10" i="17"/>
  <c r="G15" i="17"/>
  <c r="F382" i="17"/>
  <c r="H15" i="17"/>
  <c r="B88" i="6"/>
  <c r="BA88" i="6" s="1"/>
  <c r="H88" i="20"/>
  <c r="AE338" i="23"/>
  <c r="AE372" i="23"/>
  <c r="AE116" i="23"/>
  <c r="AE376" i="23"/>
  <c r="AE344" i="23"/>
  <c r="AE282" i="23"/>
  <c r="AE218" i="23"/>
  <c r="AE132" i="23"/>
  <c r="AE378" i="23"/>
  <c r="AE362" i="23"/>
  <c r="AE346" i="23"/>
  <c r="AE318" i="23"/>
  <c r="AE286" i="23"/>
  <c r="AE254" i="23"/>
  <c r="AE222" i="23"/>
  <c r="AE190" i="23"/>
  <c r="AE140" i="23"/>
  <c r="AE120" i="23"/>
  <c r="AE152" i="23"/>
  <c r="AE180" i="23"/>
  <c r="AE196" i="23"/>
  <c r="AE212" i="23"/>
  <c r="AE228" i="23"/>
  <c r="AE244" i="23"/>
  <c r="AE260" i="23"/>
  <c r="AE276" i="23"/>
  <c r="AE292" i="23"/>
  <c r="AE308" i="23"/>
  <c r="AE324" i="23"/>
  <c r="AE340" i="23"/>
  <c r="AE118" i="23"/>
  <c r="AE134" i="23"/>
  <c r="AE150" i="23"/>
  <c r="AE166" i="23"/>
  <c r="AE375" i="23"/>
  <c r="AE367" i="23"/>
  <c r="AE359" i="23"/>
  <c r="AE351" i="23"/>
  <c r="AE343" i="23"/>
  <c r="AE335" i="23"/>
  <c r="AE327" i="23"/>
  <c r="AE319" i="23"/>
  <c r="AE315" i="23"/>
  <c r="AE311" i="23"/>
  <c r="AE307" i="23"/>
  <c r="AE303" i="23"/>
  <c r="AE299" i="23"/>
  <c r="AE295" i="23"/>
  <c r="AE291" i="23"/>
  <c r="AE287" i="23"/>
  <c r="AE283" i="23"/>
  <c r="AE279" i="23"/>
  <c r="AE275" i="23"/>
  <c r="AE271" i="23"/>
  <c r="AE267" i="23"/>
  <c r="AE263" i="23"/>
  <c r="AE259" i="23"/>
  <c r="AE255" i="23"/>
  <c r="AE251" i="23"/>
  <c r="AE247" i="23"/>
  <c r="AE243" i="23"/>
  <c r="AE239" i="23"/>
  <c r="AE235" i="23"/>
  <c r="AE231" i="23"/>
  <c r="AE227" i="23"/>
  <c r="AE223" i="23"/>
  <c r="AE219" i="23"/>
  <c r="AE215" i="23"/>
  <c r="AE211" i="23"/>
  <c r="AE207" i="23"/>
  <c r="AE203" i="23"/>
  <c r="AE199" i="23"/>
  <c r="AE195" i="23"/>
  <c r="AE191" i="23"/>
  <c r="AE187" i="23"/>
  <c r="AE183" i="23"/>
  <c r="AE179" i="23"/>
  <c r="AE175" i="23"/>
  <c r="AE171" i="23"/>
  <c r="AE167" i="23"/>
  <c r="AE163" i="23"/>
  <c r="AE159" i="23"/>
  <c r="AE155" i="23"/>
  <c r="AE151" i="23"/>
  <c r="AE147" i="23"/>
  <c r="AE143" i="23"/>
  <c r="AE105" i="23"/>
  <c r="AE109" i="23"/>
  <c r="AE113" i="23"/>
  <c r="AE117" i="23"/>
  <c r="AE121" i="23"/>
  <c r="AE125" i="23"/>
  <c r="AE129" i="23"/>
  <c r="AE133" i="23"/>
  <c r="AE137" i="23"/>
  <c r="AE141" i="23"/>
  <c r="AE149" i="23"/>
  <c r="AE157" i="23"/>
  <c r="AE165" i="23"/>
  <c r="AE173" i="23"/>
  <c r="AE181" i="23"/>
  <c r="AE189" i="23"/>
  <c r="AE197" i="23"/>
  <c r="AE205" i="23"/>
  <c r="AE213" i="23"/>
  <c r="AE221" i="23"/>
  <c r="AE229" i="23"/>
  <c r="AE237" i="23"/>
  <c r="AE245" i="23"/>
  <c r="AE253" i="23"/>
  <c r="AE261" i="23"/>
  <c r="AE269" i="23"/>
  <c r="AE277" i="23"/>
  <c r="AE285" i="23"/>
  <c r="AE293" i="23"/>
  <c r="AE301" i="23"/>
  <c r="AE309" i="23"/>
  <c r="AE317" i="23"/>
  <c r="AE331" i="23"/>
  <c r="AE347" i="23"/>
  <c r="AE363" i="23"/>
  <c r="AE379" i="23"/>
  <c r="AE12" i="24" s="1"/>
  <c r="AE174" i="23"/>
  <c r="AE142" i="23"/>
  <c r="AE110" i="23"/>
  <c r="AE316" i="23"/>
  <c r="AE284" i="23"/>
  <c r="AE252" i="23"/>
  <c r="AE220" i="23"/>
  <c r="AE188" i="23"/>
  <c r="AE136" i="23"/>
  <c r="AE172" i="23"/>
  <c r="AE238" i="23"/>
  <c r="AE302" i="23"/>
  <c r="AE354" i="23"/>
  <c r="AE250" i="23"/>
  <c r="AE360" i="23"/>
  <c r="AE210" i="23"/>
  <c r="AM13" i="16"/>
  <c r="AK4" i="16"/>
  <c r="R13" i="19" s="1"/>
  <c r="N14" i="19" s="1"/>
  <c r="AE274" i="23"/>
  <c r="Z11" i="16"/>
  <c r="Z5" i="16" s="1"/>
  <c r="H13" i="19" s="1"/>
  <c r="H37" i="19" s="1"/>
  <c r="AA11" i="16"/>
  <c r="AA5" i="16" s="1"/>
  <c r="I13" i="19" s="1"/>
  <c r="I37" i="19" s="1"/>
  <c r="Y11" i="16"/>
  <c r="J13" i="19"/>
  <c r="AJ3" i="16"/>
  <c r="O13" i="19" s="1"/>
  <c r="M13" i="19" s="1"/>
  <c r="AL13" i="16"/>
  <c r="AE356" i="23"/>
  <c r="AE306" i="23"/>
  <c r="AE242" i="23"/>
  <c r="AE178" i="23"/>
  <c r="AE368" i="23"/>
  <c r="AE352" i="23"/>
  <c r="AE330" i="23"/>
  <c r="AE298" i="23"/>
  <c r="AE266" i="23"/>
  <c r="AE234" i="23"/>
  <c r="AE202" i="23"/>
  <c r="AE164" i="23"/>
  <c r="AE374" i="23"/>
  <c r="AE366" i="23"/>
  <c r="AE358" i="23"/>
  <c r="AE350" i="23"/>
  <c r="AE342" i="23"/>
  <c r="AE326" i="23"/>
  <c r="AE310" i="23"/>
  <c r="AE294" i="23"/>
  <c r="AE278" i="23"/>
  <c r="AE262" i="23"/>
  <c r="AE246" i="23"/>
  <c r="AE230" i="23"/>
  <c r="AE214" i="23"/>
  <c r="AE198" i="23"/>
  <c r="AE182" i="23"/>
  <c r="AE156" i="23"/>
  <c r="AE124" i="23"/>
  <c r="AE112" i="23"/>
  <c r="AE128" i="23"/>
  <c r="AE144" i="23"/>
  <c r="AE160" i="23"/>
  <c r="AE176" i="23"/>
  <c r="AE184" i="23"/>
  <c r="AE192" i="23"/>
  <c r="AE200" i="23"/>
  <c r="AE208" i="23"/>
  <c r="AE216" i="23"/>
  <c r="AE224" i="23"/>
  <c r="AE232" i="23"/>
  <c r="AE240" i="23"/>
  <c r="AE248" i="23"/>
  <c r="AE256" i="23"/>
  <c r="AE264" i="23"/>
  <c r="AE272" i="23"/>
  <c r="AE280" i="23"/>
  <c r="AE288" i="23"/>
  <c r="AE296" i="23"/>
  <c r="AE304" i="23"/>
  <c r="AE312" i="23"/>
  <c r="AE320" i="23"/>
  <c r="AE328" i="23"/>
  <c r="AE336" i="23"/>
  <c r="AE106" i="23"/>
  <c r="AE114" i="23"/>
  <c r="AE122" i="23"/>
  <c r="AE130" i="23"/>
  <c r="AE138" i="23"/>
  <c r="AE146" i="23"/>
  <c r="AE154" i="23"/>
  <c r="AE162" i="23"/>
  <c r="AE170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194" i="23"/>
  <c r="AE258" i="23"/>
  <c r="AE322" i="23"/>
  <c r="AE364" i="23"/>
  <c r="AE148" i="23"/>
  <c r="AE226" i="23"/>
  <c r="AE290" i="23"/>
  <c r="AE348" i="23"/>
  <c r="AF104" i="20"/>
  <c r="AG382" i="20"/>
  <c r="AG381" i="20"/>
  <c r="AG383" i="20"/>
  <c r="V379" i="22"/>
  <c r="B379" i="22" s="1"/>
  <c r="D379" i="22" s="1"/>
  <c r="E379" i="22" s="1"/>
  <c r="F379" i="22" s="1"/>
  <c r="D41" i="19"/>
  <c r="AJ6" i="18"/>
  <c r="AJ5" i="18"/>
  <c r="J180" i="20"/>
  <c r="AE382" i="23"/>
  <c r="B380" i="22"/>
  <c r="D380" i="22" s="1"/>
  <c r="E380" i="22" s="1"/>
  <c r="F380" i="22" s="1"/>
  <c r="B320" i="22"/>
  <c r="D320" i="22" s="1"/>
  <c r="E320" i="22" s="1"/>
  <c r="F320" i="22" s="1"/>
  <c r="L67" i="19"/>
  <c r="B75" i="22"/>
  <c r="D75" i="22" s="1"/>
  <c r="E75" i="22" s="1"/>
  <c r="F75" i="22" s="1"/>
  <c r="D67" i="19"/>
  <c r="C67" i="19"/>
  <c r="N65" i="19"/>
  <c r="K67" i="19"/>
  <c r="W368" i="22"/>
  <c r="D368" i="22"/>
  <c r="E368" i="22" s="1"/>
  <c r="F368" i="22" s="1"/>
  <c r="D308" i="22"/>
  <c r="E308" i="22" s="1"/>
  <c r="F308" i="22" s="1"/>
  <c r="W308" i="22"/>
  <c r="D224" i="22"/>
  <c r="E224" i="22" s="1"/>
  <c r="F224" i="22" s="1"/>
  <c r="W224" i="22"/>
  <c r="W164" i="22"/>
  <c r="D164" i="22"/>
  <c r="E164" i="22" s="1"/>
  <c r="F164" i="22" s="1"/>
  <c r="W136" i="22"/>
  <c r="D136" i="22"/>
  <c r="E136" i="22" s="1"/>
  <c r="F136" i="22" s="1"/>
  <c r="W124" i="22"/>
  <c r="D124" i="22"/>
  <c r="E124" i="22" s="1"/>
  <c r="F124" i="22" s="1"/>
  <c r="W104" i="22"/>
  <c r="D104" i="22"/>
  <c r="E104" i="22" s="1"/>
  <c r="F104" i="22" s="1"/>
  <c r="D92" i="22"/>
  <c r="E92" i="22" s="1"/>
  <c r="F92" i="22" s="1"/>
  <c r="W92" i="22"/>
  <c r="D52" i="22"/>
  <c r="E52" i="22" s="1"/>
  <c r="F52" i="22" s="1"/>
  <c r="W52" i="22"/>
  <c r="W28" i="22"/>
  <c r="D28" i="22"/>
  <c r="E28" i="22" s="1"/>
  <c r="F28" i="22" s="1"/>
  <c r="W375" i="22"/>
  <c r="D375" i="22"/>
  <c r="E375" i="22" s="1"/>
  <c r="F375" i="22" s="1"/>
  <c r="D295" i="22"/>
  <c r="E295" i="22" s="1"/>
  <c r="F295" i="22" s="1"/>
  <c r="W295" i="22"/>
  <c r="D251" i="22"/>
  <c r="E251" i="22" s="1"/>
  <c r="F251" i="22" s="1"/>
  <c r="W251" i="22"/>
  <c r="W203" i="22"/>
  <c r="D203" i="22"/>
  <c r="E203" i="22" s="1"/>
  <c r="F203" i="22" s="1"/>
  <c r="B135" i="22"/>
  <c r="D71" i="22"/>
  <c r="E71" i="22" s="1"/>
  <c r="F71" i="22" s="1"/>
  <c r="W71" i="22"/>
  <c r="W55" i="22"/>
  <c r="D55" i="22"/>
  <c r="E55" i="22" s="1"/>
  <c r="F55" i="22" s="1"/>
  <c r="D19" i="22"/>
  <c r="E19" i="22" s="1"/>
  <c r="F19" i="22" s="1"/>
  <c r="W19" i="22"/>
  <c r="D346" i="22"/>
  <c r="E346" i="22" s="1"/>
  <c r="F346" i="22" s="1"/>
  <c r="W346" i="22"/>
  <c r="D334" i="22"/>
  <c r="E334" i="22" s="1"/>
  <c r="F334" i="22" s="1"/>
  <c r="W334" i="22"/>
  <c r="W274" i="22"/>
  <c r="D274" i="22"/>
  <c r="E274" i="22" s="1"/>
  <c r="F274" i="22" s="1"/>
  <c r="D242" i="22"/>
  <c r="E242" i="22" s="1"/>
  <c r="F242" i="22" s="1"/>
  <c r="W242" i="22"/>
  <c r="D226" i="22"/>
  <c r="E226" i="22" s="1"/>
  <c r="F226" i="22" s="1"/>
  <c r="W226" i="22"/>
  <c r="D198" i="22"/>
  <c r="E198" i="22" s="1"/>
  <c r="F198" i="22" s="1"/>
  <c r="W198" i="22"/>
  <c r="D178" i="22"/>
  <c r="E178" i="22" s="1"/>
  <c r="F178" i="22" s="1"/>
  <c r="W178" i="22"/>
  <c r="D150" i="22"/>
  <c r="E150" i="22" s="1"/>
  <c r="F150" i="22" s="1"/>
  <c r="W150" i="22"/>
  <c r="W142" i="22"/>
  <c r="D142" i="22"/>
  <c r="E142" i="22" s="1"/>
  <c r="F142" i="22" s="1"/>
  <c r="D102" i="22"/>
  <c r="E102" i="22" s="1"/>
  <c r="F102" i="22" s="1"/>
  <c r="W102" i="22"/>
  <c r="W86" i="22"/>
  <c r="D86" i="22"/>
  <c r="E86" i="22" s="1"/>
  <c r="F86" i="22" s="1"/>
  <c r="D50" i="22"/>
  <c r="E50" i="22" s="1"/>
  <c r="F50" i="22" s="1"/>
  <c r="W50" i="22"/>
  <c r="B349" i="22"/>
  <c r="D273" i="22"/>
  <c r="E273" i="22" s="1"/>
  <c r="F273" i="22" s="1"/>
  <c r="W273" i="22"/>
  <c r="D261" i="22"/>
  <c r="E261" i="22" s="1"/>
  <c r="F261" i="22" s="1"/>
  <c r="W261" i="22"/>
  <c r="W209" i="22"/>
  <c r="D209" i="22"/>
  <c r="E209" i="22" s="1"/>
  <c r="F209" i="22" s="1"/>
  <c r="D189" i="22"/>
  <c r="E189" i="22" s="1"/>
  <c r="F189" i="22" s="1"/>
  <c r="W189" i="22"/>
  <c r="W161" i="22"/>
  <c r="D161" i="22"/>
  <c r="E161" i="22" s="1"/>
  <c r="F161" i="22" s="1"/>
  <c r="D145" i="22"/>
  <c r="E145" i="22" s="1"/>
  <c r="F145" i="22" s="1"/>
  <c r="W145" i="22"/>
  <c r="W125" i="22"/>
  <c r="D125" i="22"/>
  <c r="E125" i="22" s="1"/>
  <c r="F125" i="22" s="1"/>
  <c r="W101" i="22"/>
  <c r="D101" i="22"/>
  <c r="E101" i="22" s="1"/>
  <c r="F101" i="22" s="1"/>
  <c r="D61" i="22"/>
  <c r="E61" i="22" s="1"/>
  <c r="F61" i="22" s="1"/>
  <c r="W61" i="22"/>
  <c r="W45" i="22"/>
  <c r="D45" i="22"/>
  <c r="E45" i="22" s="1"/>
  <c r="F45" i="22" s="1"/>
  <c r="W364" i="22"/>
  <c r="D364" i="22"/>
  <c r="E364" i="22" s="1"/>
  <c r="F364" i="22" s="1"/>
  <c r="W276" i="22"/>
  <c r="D276" i="22"/>
  <c r="E276" i="22" s="1"/>
  <c r="F276" i="22" s="1"/>
  <c r="D208" i="22"/>
  <c r="E208" i="22" s="1"/>
  <c r="F208" i="22" s="1"/>
  <c r="W208" i="22"/>
  <c r="D160" i="22"/>
  <c r="E160" i="22" s="1"/>
  <c r="F160" i="22" s="1"/>
  <c r="W160" i="22"/>
  <c r="D128" i="22"/>
  <c r="E128" i="22" s="1"/>
  <c r="F128" i="22" s="1"/>
  <c r="W128" i="22"/>
  <c r="D116" i="22"/>
  <c r="E116" i="22" s="1"/>
  <c r="F116" i="22" s="1"/>
  <c r="W116" i="22"/>
  <c r="D96" i="22"/>
  <c r="E96" i="22" s="1"/>
  <c r="F96" i="22" s="1"/>
  <c r="W96" i="22"/>
  <c r="D80" i="22"/>
  <c r="E80" i="22" s="1"/>
  <c r="F80" i="22" s="1"/>
  <c r="W80" i="22"/>
  <c r="W36" i="22"/>
  <c r="D36" i="22"/>
  <c r="E36" i="22" s="1"/>
  <c r="F36" i="22" s="1"/>
  <c r="D371" i="22"/>
  <c r="E371" i="22" s="1"/>
  <c r="F371" i="22" s="1"/>
  <c r="W371" i="22"/>
  <c r="W271" i="22"/>
  <c r="D271" i="22"/>
  <c r="E271" i="22" s="1"/>
  <c r="F271" i="22" s="1"/>
  <c r="D211" i="22"/>
  <c r="E211" i="22" s="1"/>
  <c r="F211" i="22" s="1"/>
  <c r="W211" i="22"/>
  <c r="D163" i="22"/>
  <c r="E163" i="22" s="1"/>
  <c r="F163" i="22" s="1"/>
  <c r="W163" i="22"/>
  <c r="W131" i="22"/>
  <c r="D131" i="22"/>
  <c r="E131" i="22" s="1"/>
  <c r="F131" i="22" s="1"/>
  <c r="D59" i="22"/>
  <c r="E59" i="22" s="1"/>
  <c r="F59" i="22" s="1"/>
  <c r="W59" i="22"/>
  <c r="D51" i="22"/>
  <c r="E51" i="22" s="1"/>
  <c r="F51" i="22" s="1"/>
  <c r="W51" i="22"/>
  <c r="W342" i="22"/>
  <c r="D342" i="22"/>
  <c r="E342" i="22" s="1"/>
  <c r="F342" i="22" s="1"/>
  <c r="D314" i="22"/>
  <c r="E314" i="22" s="1"/>
  <c r="F314" i="22" s="1"/>
  <c r="W314" i="22"/>
  <c r="D246" i="22"/>
  <c r="E246" i="22" s="1"/>
  <c r="F246" i="22" s="1"/>
  <c r="W246" i="22"/>
  <c r="W230" i="22"/>
  <c r="D230" i="22"/>
  <c r="E230" i="22" s="1"/>
  <c r="F230" i="22" s="1"/>
  <c r="AH38" i="7"/>
  <c r="V210" i="22"/>
  <c r="B210" i="22" s="1"/>
  <c r="D194" i="22"/>
  <c r="E194" i="22" s="1"/>
  <c r="F194" i="22" s="1"/>
  <c r="W194" i="22"/>
  <c r="D154" i="22"/>
  <c r="E154" i="22" s="1"/>
  <c r="F154" i="22" s="1"/>
  <c r="W154" i="22"/>
  <c r="D146" i="22"/>
  <c r="E146" i="22" s="1"/>
  <c r="F146" i="22" s="1"/>
  <c r="W146" i="22"/>
  <c r="D114" i="22"/>
  <c r="E114" i="22" s="1"/>
  <c r="F114" i="22" s="1"/>
  <c r="W114" i="22"/>
  <c r="D90" i="22"/>
  <c r="E90" i="22" s="1"/>
  <c r="F90" i="22" s="1"/>
  <c r="W90" i="22"/>
  <c r="D78" i="22"/>
  <c r="E78" i="22" s="1"/>
  <c r="F78" i="22" s="1"/>
  <c r="W78" i="22"/>
  <c r="W337" i="22"/>
  <c r="D337" i="22"/>
  <c r="E337" i="22" s="1"/>
  <c r="F337" i="22" s="1"/>
  <c r="D269" i="22"/>
  <c r="E269" i="22" s="1"/>
  <c r="F269" i="22" s="1"/>
  <c r="W269" i="22"/>
  <c r="D257" i="22"/>
  <c r="E257" i="22" s="1"/>
  <c r="F257" i="22" s="1"/>
  <c r="W257" i="22"/>
  <c r="D193" i="22"/>
  <c r="E193" i="22" s="1"/>
  <c r="F193" i="22" s="1"/>
  <c r="W193" i="22"/>
  <c r="W169" i="22"/>
  <c r="D169" i="22"/>
  <c r="E169" i="22" s="1"/>
  <c r="F169" i="22" s="1"/>
  <c r="AH36" i="7"/>
  <c r="V149" i="22"/>
  <c r="B149" i="22" s="1"/>
  <c r="W129" i="22"/>
  <c r="D129" i="22"/>
  <c r="E129" i="22" s="1"/>
  <c r="F129" i="22" s="1"/>
  <c r="D109" i="22"/>
  <c r="E109" i="22" s="1"/>
  <c r="F109" i="22" s="1"/>
  <c r="W109" i="22"/>
  <c r="D73" i="22"/>
  <c r="E73" i="22" s="1"/>
  <c r="F73" i="22" s="1"/>
  <c r="W73" i="22"/>
  <c r="W57" i="22"/>
  <c r="D57" i="22"/>
  <c r="E57" i="22" s="1"/>
  <c r="F57" i="22" s="1"/>
  <c r="W23" i="22"/>
  <c r="D23" i="22"/>
  <c r="E23" i="22" s="1"/>
  <c r="F23" i="22" s="1"/>
  <c r="AA372" i="22"/>
  <c r="Z372" i="22" s="1"/>
  <c r="Y372" i="22" s="1"/>
  <c r="G372" i="22"/>
  <c r="CC372" i="6" s="1"/>
  <c r="H372" i="22"/>
  <c r="D336" i="22"/>
  <c r="E336" i="22" s="1"/>
  <c r="F336" i="22" s="1"/>
  <c r="W336" i="22"/>
  <c r="G316" i="22"/>
  <c r="CC316" i="6" s="1"/>
  <c r="AA316" i="22"/>
  <c r="Z316" i="22" s="1"/>
  <c r="Y316" i="22" s="1"/>
  <c r="H316" i="22"/>
  <c r="W304" i="22"/>
  <c r="D304" i="22"/>
  <c r="E304" i="22" s="1"/>
  <c r="F304" i="22" s="1"/>
  <c r="G296" i="22"/>
  <c r="CC296" i="6" s="1"/>
  <c r="AA296" i="22"/>
  <c r="Z296" i="22" s="1"/>
  <c r="Y296" i="22" s="1"/>
  <c r="H296" i="22"/>
  <c r="D268" i="22"/>
  <c r="E268" i="22" s="1"/>
  <c r="F268" i="22" s="1"/>
  <c r="W268" i="22"/>
  <c r="AA260" i="22"/>
  <c r="Z260" i="22" s="1"/>
  <c r="Y260" i="22" s="1"/>
  <c r="H260" i="22"/>
  <c r="G260" i="22"/>
  <c r="CC260" i="6" s="1"/>
  <c r="D244" i="22"/>
  <c r="E244" i="22" s="1"/>
  <c r="F244" i="22" s="1"/>
  <c r="W244" i="22"/>
  <c r="W236" i="22"/>
  <c r="D236" i="22"/>
  <c r="E236" i="22" s="1"/>
  <c r="F236" i="22" s="1"/>
  <c r="B196" i="22"/>
  <c r="AA188" i="22"/>
  <c r="Z188" i="22" s="1"/>
  <c r="Y188" i="22" s="1"/>
  <c r="G188" i="22"/>
  <c r="CC188" i="6" s="1"/>
  <c r="H188" i="22"/>
  <c r="W172" i="22"/>
  <c r="D172" i="22"/>
  <c r="E172" i="22" s="1"/>
  <c r="F172" i="22" s="1"/>
  <c r="AA152" i="22"/>
  <c r="Z152" i="22" s="1"/>
  <c r="Y152" i="22" s="1"/>
  <c r="H152" i="22"/>
  <c r="G152" i="22"/>
  <c r="CC152" i="6" s="1"/>
  <c r="W132" i="22"/>
  <c r="D132" i="22"/>
  <c r="E132" i="22" s="1"/>
  <c r="F132" i="22" s="1"/>
  <c r="G100" i="22"/>
  <c r="CC100" i="6" s="1"/>
  <c r="AA100" i="22"/>
  <c r="Z100" i="22" s="1"/>
  <c r="Y100" i="22" s="1"/>
  <c r="H100" i="22"/>
  <c r="D76" i="22"/>
  <c r="E76" i="22" s="1"/>
  <c r="F76" i="22" s="1"/>
  <c r="W76" i="22"/>
  <c r="D64" i="22"/>
  <c r="E64" i="22" s="1"/>
  <c r="F64" i="22" s="1"/>
  <c r="W64" i="22"/>
  <c r="AA32" i="22"/>
  <c r="Z32" i="22" s="1"/>
  <c r="Y32" i="22" s="1"/>
  <c r="G32" i="22"/>
  <c r="CC32" i="6" s="1"/>
  <c r="H32" i="22"/>
  <c r="AA18" i="22"/>
  <c r="Z18" i="22" s="1"/>
  <c r="Y18" i="22" s="1"/>
  <c r="H18" i="22"/>
  <c r="G18" i="22"/>
  <c r="CC18" i="6" s="1"/>
  <c r="I149" i="20"/>
  <c r="J149" i="20"/>
  <c r="J319" i="20"/>
  <c r="I319" i="20"/>
  <c r="W319" i="22"/>
  <c r="D319" i="22"/>
  <c r="E319" i="22" s="1"/>
  <c r="F319" i="22" s="1"/>
  <c r="AA360" i="22"/>
  <c r="Z360" i="22" s="1"/>
  <c r="Y360" i="22" s="1"/>
  <c r="G360" i="22"/>
  <c r="CC360" i="6" s="1"/>
  <c r="H360" i="22"/>
  <c r="AA352" i="22"/>
  <c r="Z352" i="22" s="1"/>
  <c r="Y352" i="22" s="1"/>
  <c r="H352" i="22"/>
  <c r="G352" i="22"/>
  <c r="CC352" i="6" s="1"/>
  <c r="G348" i="22"/>
  <c r="CC348" i="6" s="1"/>
  <c r="H348" i="22"/>
  <c r="AA348" i="22"/>
  <c r="Z348" i="22" s="1"/>
  <c r="Y348" i="22" s="1"/>
  <c r="AA344" i="22"/>
  <c r="Z344" i="22" s="1"/>
  <c r="Y344" i="22" s="1"/>
  <c r="H344" i="22"/>
  <c r="G344" i="22"/>
  <c r="CC344" i="6" s="1"/>
  <c r="AA332" i="22"/>
  <c r="Z332" i="22" s="1"/>
  <c r="Y332" i="22" s="1"/>
  <c r="H332" i="22"/>
  <c r="G332" i="22"/>
  <c r="CC332" i="6" s="1"/>
  <c r="H328" i="22"/>
  <c r="G328" i="22"/>
  <c r="CC328" i="6" s="1"/>
  <c r="AA328" i="22"/>
  <c r="Z328" i="22" s="1"/>
  <c r="Y328" i="22" s="1"/>
  <c r="G292" i="22"/>
  <c r="CC292" i="6" s="1"/>
  <c r="H292" i="22"/>
  <c r="AA292" i="22"/>
  <c r="Z292" i="22" s="1"/>
  <c r="Y292" i="22" s="1"/>
  <c r="G284" i="22"/>
  <c r="CC284" i="6" s="1"/>
  <c r="AA284" i="22"/>
  <c r="Z284" i="22" s="1"/>
  <c r="Y284" i="22" s="1"/>
  <c r="H284" i="22"/>
  <c r="AA280" i="22"/>
  <c r="Z280" i="22" s="1"/>
  <c r="Y280" i="22" s="1"/>
  <c r="G280" i="22"/>
  <c r="CC280" i="6" s="1"/>
  <c r="H280" i="22"/>
  <c r="D272" i="22"/>
  <c r="E272" i="22" s="1"/>
  <c r="F272" i="22" s="1"/>
  <c r="W272" i="22"/>
  <c r="AA240" i="22"/>
  <c r="Z240" i="22" s="1"/>
  <c r="Y240" i="22" s="1"/>
  <c r="H240" i="22"/>
  <c r="G240" i="22"/>
  <c r="CC240" i="6" s="1"/>
  <c r="AA232" i="22"/>
  <c r="Z232" i="22" s="1"/>
  <c r="Y232" i="22" s="1"/>
  <c r="G232" i="22"/>
  <c r="CC232" i="6" s="1"/>
  <c r="H232" i="22"/>
  <c r="AA220" i="22"/>
  <c r="Z220" i="22" s="1"/>
  <c r="Y220" i="22" s="1"/>
  <c r="G220" i="22"/>
  <c r="CC220" i="6" s="1"/>
  <c r="H220" i="22"/>
  <c r="G212" i="22"/>
  <c r="CC212" i="6" s="1"/>
  <c r="AA212" i="22"/>
  <c r="Z212" i="22" s="1"/>
  <c r="Y212" i="22" s="1"/>
  <c r="H212" i="22"/>
  <c r="G200" i="22"/>
  <c r="CC200" i="6" s="1"/>
  <c r="AA200" i="22"/>
  <c r="Z200" i="22" s="1"/>
  <c r="Y200" i="22" s="1"/>
  <c r="H200" i="22"/>
  <c r="W180" i="22"/>
  <c r="D180" i="22"/>
  <c r="E180" i="22" s="1"/>
  <c r="F180" i="22" s="1"/>
  <c r="AA176" i="22"/>
  <c r="Z176" i="22" s="1"/>
  <c r="Y176" i="22" s="1"/>
  <c r="G176" i="22"/>
  <c r="CC176" i="6" s="1"/>
  <c r="H176" i="22"/>
  <c r="AA168" i="22"/>
  <c r="Z168" i="22" s="1"/>
  <c r="Y168" i="22" s="1"/>
  <c r="G168" i="22"/>
  <c r="CC168" i="6" s="1"/>
  <c r="H168" i="22"/>
  <c r="G144" i="22"/>
  <c r="CC144" i="6" s="1"/>
  <c r="AA144" i="22"/>
  <c r="Z144" i="22" s="1"/>
  <c r="Y144" i="22" s="1"/>
  <c r="H144" i="22"/>
  <c r="G140" i="22"/>
  <c r="CC140" i="6" s="1"/>
  <c r="AA140" i="22"/>
  <c r="Z140" i="22" s="1"/>
  <c r="Y140" i="22" s="1"/>
  <c r="H140" i="22"/>
  <c r="G120" i="22"/>
  <c r="CC120" i="6" s="1"/>
  <c r="H120" i="22"/>
  <c r="AA120" i="22"/>
  <c r="Z120" i="22" s="1"/>
  <c r="Y120" i="22" s="1"/>
  <c r="G112" i="22"/>
  <c r="CC112" i="6" s="1"/>
  <c r="AA112" i="22"/>
  <c r="Z112" i="22" s="1"/>
  <c r="Y112" i="22" s="1"/>
  <c r="H112" i="22"/>
  <c r="D88" i="22"/>
  <c r="E88" i="22" s="1"/>
  <c r="F88" i="22" s="1"/>
  <c r="W88" i="22"/>
  <c r="D60" i="22"/>
  <c r="E60" i="22" s="1"/>
  <c r="F60" i="22" s="1"/>
  <c r="W60" i="22"/>
  <c r="AA56" i="22"/>
  <c r="Z56" i="22" s="1"/>
  <c r="Y56" i="22" s="1"/>
  <c r="H56" i="22"/>
  <c r="G56" i="22"/>
  <c r="CC56" i="6" s="1"/>
  <c r="AA48" i="22"/>
  <c r="Z48" i="22" s="1"/>
  <c r="Y48" i="22" s="1"/>
  <c r="H48" i="22"/>
  <c r="G48" i="22"/>
  <c r="CC48" i="6" s="1"/>
  <c r="AA44" i="22"/>
  <c r="Z44" i="22" s="1"/>
  <c r="Y44" i="22" s="1"/>
  <c r="H44" i="22"/>
  <c r="G44" i="22"/>
  <c r="CC44" i="6" s="1"/>
  <c r="H40" i="22"/>
  <c r="AA40" i="22"/>
  <c r="Z40" i="22" s="1"/>
  <c r="Y40" i="22" s="1"/>
  <c r="G40" i="22"/>
  <c r="CC40" i="6" s="1"/>
  <c r="T382" i="22"/>
  <c r="S15" i="22"/>
  <c r="T383" i="22"/>
  <c r="T381" i="22"/>
  <c r="J196" i="20"/>
  <c r="I196" i="20"/>
  <c r="J363" i="20"/>
  <c r="I363" i="20"/>
  <c r="J333" i="20"/>
  <c r="I333" i="20"/>
  <c r="J241" i="20"/>
  <c r="I241" i="20"/>
  <c r="I288" i="20"/>
  <c r="H288" i="22" s="1"/>
  <c r="J288" i="20"/>
  <c r="J258" i="20"/>
  <c r="I258" i="20"/>
  <c r="J210" i="20"/>
  <c r="I210" i="20"/>
  <c r="Q10" i="24"/>
  <c r="Q95" i="24" s="1"/>
  <c r="AY15" i="7"/>
  <c r="Q21" i="24"/>
  <c r="G74" i="22"/>
  <c r="CC74" i="6" s="1"/>
  <c r="AA74" i="22"/>
  <c r="Z74" i="22" s="1"/>
  <c r="Y74" i="22" s="1"/>
  <c r="U10" i="23"/>
  <c r="U71" i="23" s="1"/>
  <c r="T71" i="23" s="1"/>
  <c r="AA367" i="22"/>
  <c r="Z367" i="22" s="1"/>
  <c r="Y367" i="22" s="1"/>
  <c r="G367" i="22"/>
  <c r="CC367" i="6" s="1"/>
  <c r="H367" i="22"/>
  <c r="W363" i="22"/>
  <c r="D363" i="22"/>
  <c r="E363" i="22" s="1"/>
  <c r="F363" i="22" s="1"/>
  <c r="H359" i="22"/>
  <c r="G359" i="22"/>
  <c r="CC359" i="6" s="1"/>
  <c r="AA359" i="22"/>
  <c r="Z359" i="22" s="1"/>
  <c r="Y359" i="22" s="1"/>
  <c r="G311" i="22"/>
  <c r="CC311" i="6" s="1"/>
  <c r="AA311" i="22"/>
  <c r="Z311" i="22" s="1"/>
  <c r="Y311" i="22" s="1"/>
  <c r="H311" i="22"/>
  <c r="G307" i="22"/>
  <c r="CC307" i="6" s="1"/>
  <c r="AA307" i="22"/>
  <c r="Z307" i="22" s="1"/>
  <c r="Y307" i="22" s="1"/>
  <c r="H307" i="22"/>
  <c r="AA299" i="22"/>
  <c r="Z299" i="22" s="1"/>
  <c r="Y299" i="22" s="1"/>
  <c r="H299" i="22"/>
  <c r="G299" i="22"/>
  <c r="CC299" i="6" s="1"/>
  <c r="AA291" i="22"/>
  <c r="Z291" i="22" s="1"/>
  <c r="Y291" i="22" s="1"/>
  <c r="G291" i="22"/>
  <c r="CC291" i="6" s="1"/>
  <c r="H291" i="22"/>
  <c r="G283" i="22"/>
  <c r="CC283" i="6" s="1"/>
  <c r="AA283" i="22"/>
  <c r="Z283" i="22" s="1"/>
  <c r="Y283" i="22" s="1"/>
  <c r="H283" i="22"/>
  <c r="G267" i="22"/>
  <c r="CC267" i="6" s="1"/>
  <c r="AA267" i="22"/>
  <c r="Z267" i="22" s="1"/>
  <c r="Y267" i="22" s="1"/>
  <c r="H267" i="22"/>
  <c r="G263" i="22"/>
  <c r="CC263" i="6" s="1"/>
  <c r="H263" i="22"/>
  <c r="AA263" i="22"/>
  <c r="Z263" i="22" s="1"/>
  <c r="Y263" i="22" s="1"/>
  <c r="G247" i="22"/>
  <c r="CC247" i="6" s="1"/>
  <c r="AA247" i="22"/>
  <c r="Z247" i="22" s="1"/>
  <c r="Y247" i="22" s="1"/>
  <c r="H247" i="22"/>
  <c r="AA235" i="22"/>
  <c r="Z235" i="22" s="1"/>
  <c r="Y235" i="22" s="1"/>
  <c r="H235" i="22"/>
  <c r="G235" i="22"/>
  <c r="CC235" i="6" s="1"/>
  <c r="H215" i="22"/>
  <c r="G215" i="22"/>
  <c r="CC215" i="6" s="1"/>
  <c r="AA215" i="22"/>
  <c r="Z215" i="22" s="1"/>
  <c r="Y215" i="22" s="1"/>
  <c r="G199" i="22"/>
  <c r="CC199" i="6" s="1"/>
  <c r="AA199" i="22"/>
  <c r="Z199" i="22" s="1"/>
  <c r="Y199" i="22" s="1"/>
  <c r="H199" i="22"/>
  <c r="AA183" i="22"/>
  <c r="Z183" i="22" s="1"/>
  <c r="Y183" i="22" s="1"/>
  <c r="H183" i="22"/>
  <c r="G183" i="22"/>
  <c r="CC183" i="6" s="1"/>
  <c r="G159" i="22"/>
  <c r="CC159" i="6" s="1"/>
  <c r="AA159" i="22"/>
  <c r="Z159" i="22" s="1"/>
  <c r="Y159" i="22" s="1"/>
  <c r="H159" i="22"/>
  <c r="G155" i="22"/>
  <c r="CC155" i="6" s="1"/>
  <c r="H155" i="22"/>
  <c r="AA155" i="22"/>
  <c r="Z155" i="22" s="1"/>
  <c r="Y155" i="22" s="1"/>
  <c r="AA147" i="22"/>
  <c r="Z147" i="22" s="1"/>
  <c r="Y147" i="22" s="1"/>
  <c r="G147" i="22"/>
  <c r="CC147" i="6" s="1"/>
  <c r="H147" i="22"/>
  <c r="G127" i="22"/>
  <c r="CC127" i="6" s="1"/>
  <c r="H127" i="22"/>
  <c r="AA127" i="22"/>
  <c r="Z127" i="22" s="1"/>
  <c r="Y127" i="22" s="1"/>
  <c r="G115" i="22"/>
  <c r="CC115" i="6" s="1"/>
  <c r="AA115" i="22"/>
  <c r="Z115" i="22" s="1"/>
  <c r="Y115" i="22" s="1"/>
  <c r="H115" i="22"/>
  <c r="G107" i="22"/>
  <c r="CC107" i="6" s="1"/>
  <c r="AA107" i="22"/>
  <c r="Z107" i="22" s="1"/>
  <c r="Y107" i="22" s="1"/>
  <c r="H107" i="22"/>
  <c r="G67" i="22"/>
  <c r="CC67" i="6" s="1"/>
  <c r="AA67" i="22"/>
  <c r="Z67" i="22" s="1"/>
  <c r="Y67" i="22" s="1"/>
  <c r="H67" i="22"/>
  <c r="G39" i="22"/>
  <c r="CC39" i="6" s="1"/>
  <c r="AA39" i="22"/>
  <c r="Z39" i="22" s="1"/>
  <c r="Y39" i="22" s="1"/>
  <c r="H39" i="22"/>
  <c r="J379" i="20"/>
  <c r="I379" i="20"/>
  <c r="G370" i="22"/>
  <c r="CC370" i="6" s="1"/>
  <c r="H370" i="22"/>
  <c r="AA370" i="22"/>
  <c r="Z370" i="22" s="1"/>
  <c r="Y370" i="22" s="1"/>
  <c r="AA366" i="22"/>
  <c r="Z366" i="22" s="1"/>
  <c r="Y366" i="22" s="1"/>
  <c r="H366" i="22"/>
  <c r="G366" i="22"/>
  <c r="CC366" i="6" s="1"/>
  <c r="AA362" i="22"/>
  <c r="Z362" i="22" s="1"/>
  <c r="Y362" i="22" s="1"/>
  <c r="H362" i="22"/>
  <c r="G362" i="22"/>
  <c r="CC362" i="6" s="1"/>
  <c r="AA354" i="22"/>
  <c r="Z354" i="22" s="1"/>
  <c r="Y354" i="22" s="1"/>
  <c r="H354" i="22"/>
  <c r="G354" i="22"/>
  <c r="CC354" i="6" s="1"/>
  <c r="G322" i="22"/>
  <c r="CC322" i="6" s="1"/>
  <c r="AA322" i="22"/>
  <c r="Z322" i="22" s="1"/>
  <c r="Y322" i="22" s="1"/>
  <c r="H322" i="22"/>
  <c r="G306" i="22"/>
  <c r="CC306" i="6" s="1"/>
  <c r="AA306" i="22"/>
  <c r="Z306" i="22" s="1"/>
  <c r="Y306" i="22" s="1"/>
  <c r="H306" i="22"/>
  <c r="D302" i="22"/>
  <c r="E302" i="22" s="1"/>
  <c r="F302" i="22" s="1"/>
  <c r="W302" i="22"/>
  <c r="AA298" i="22"/>
  <c r="Z298" i="22" s="1"/>
  <c r="Y298" i="22" s="1"/>
  <c r="H298" i="22"/>
  <c r="G298" i="22"/>
  <c r="CC298" i="6" s="1"/>
  <c r="G294" i="22"/>
  <c r="CC294" i="6" s="1"/>
  <c r="AA294" i="22"/>
  <c r="Z294" i="22" s="1"/>
  <c r="Y294" i="22" s="1"/>
  <c r="H294" i="22"/>
  <c r="G290" i="22"/>
  <c r="CC290" i="6" s="1"/>
  <c r="AA290" i="22"/>
  <c r="Z290" i="22" s="1"/>
  <c r="Y290" i="22" s="1"/>
  <c r="H290" i="22"/>
  <c r="AA282" i="22"/>
  <c r="Z282" i="22" s="1"/>
  <c r="Y282" i="22" s="1"/>
  <c r="H282" i="22"/>
  <c r="G282" i="22"/>
  <c r="CC282" i="6" s="1"/>
  <c r="H278" i="22"/>
  <c r="AA278" i="22"/>
  <c r="Z278" i="22" s="1"/>
  <c r="Y278" i="22" s="1"/>
  <c r="G278" i="22"/>
  <c r="CC278" i="6" s="1"/>
  <c r="AA262" i="22"/>
  <c r="Z262" i="22" s="1"/>
  <c r="Y262" i="22" s="1"/>
  <c r="G262" i="22"/>
  <c r="CC262" i="6" s="1"/>
  <c r="H262" i="22"/>
  <c r="AA254" i="22"/>
  <c r="Z254" i="22" s="1"/>
  <c r="Y254" i="22" s="1"/>
  <c r="G254" i="22"/>
  <c r="CC254" i="6" s="1"/>
  <c r="H254" i="22"/>
  <c r="AA214" i="22"/>
  <c r="Z214" i="22" s="1"/>
  <c r="Y214" i="22" s="1"/>
  <c r="H214" i="22"/>
  <c r="G214" i="22"/>
  <c r="CC214" i="6" s="1"/>
  <c r="G174" i="22"/>
  <c r="CC174" i="6" s="1"/>
  <c r="H174" i="22"/>
  <c r="AA174" i="22"/>
  <c r="Z174" i="22" s="1"/>
  <c r="Y174" i="22" s="1"/>
  <c r="G162" i="22"/>
  <c r="CC162" i="6" s="1"/>
  <c r="AA162" i="22"/>
  <c r="Z162" i="22" s="1"/>
  <c r="Y162" i="22" s="1"/>
  <c r="H162" i="22"/>
  <c r="G126" i="22"/>
  <c r="CC126" i="6" s="1"/>
  <c r="AA126" i="22"/>
  <c r="Z126" i="22" s="1"/>
  <c r="Y126" i="22" s="1"/>
  <c r="H126" i="22"/>
  <c r="AA106" i="22"/>
  <c r="Z106" i="22" s="1"/>
  <c r="Y106" i="22" s="1"/>
  <c r="H106" i="22"/>
  <c r="G106" i="22"/>
  <c r="CC106" i="6" s="1"/>
  <c r="AA82" i="22"/>
  <c r="Z82" i="22" s="1"/>
  <c r="Y82" i="22" s="1"/>
  <c r="G82" i="22"/>
  <c r="CC82" i="6" s="1"/>
  <c r="H82" i="22"/>
  <c r="AA70" i="22"/>
  <c r="Z70" i="22" s="1"/>
  <c r="Y70" i="22" s="1"/>
  <c r="H70" i="22"/>
  <c r="G70" i="22"/>
  <c r="CC70" i="6" s="1"/>
  <c r="D46" i="22"/>
  <c r="E46" i="22" s="1"/>
  <c r="F46" i="22" s="1"/>
  <c r="W46" i="22"/>
  <c r="AA42" i="22"/>
  <c r="Z42" i="22" s="1"/>
  <c r="Y42" i="22" s="1"/>
  <c r="G42" i="22"/>
  <c r="CC42" i="6" s="1"/>
  <c r="H42" i="22"/>
  <c r="G26" i="22"/>
  <c r="CC26" i="6" s="1"/>
  <c r="AA26" i="22"/>
  <c r="Z26" i="22" s="1"/>
  <c r="Y26" i="22" s="1"/>
  <c r="H26" i="22"/>
  <c r="I272" i="20"/>
  <c r="J272" i="20"/>
  <c r="I302" i="20"/>
  <c r="J302" i="20"/>
  <c r="W15" i="18"/>
  <c r="B383" i="18"/>
  <c r="AK6" i="18"/>
  <c r="D15" i="18"/>
  <c r="B382" i="18"/>
  <c r="H9" i="18"/>
  <c r="B15" i="19" s="1"/>
  <c r="B381" i="18"/>
  <c r="G373" i="22"/>
  <c r="CC373" i="6" s="1"/>
  <c r="AA373" i="22"/>
  <c r="Z373" i="22" s="1"/>
  <c r="Y373" i="22" s="1"/>
  <c r="H373" i="22"/>
  <c r="H369" i="22"/>
  <c r="G369" i="22"/>
  <c r="CC369" i="6" s="1"/>
  <c r="AA369" i="22"/>
  <c r="Z369" i="22" s="1"/>
  <c r="Y369" i="22" s="1"/>
  <c r="AA345" i="22"/>
  <c r="Z345" i="22" s="1"/>
  <c r="Y345" i="22" s="1"/>
  <c r="H345" i="22"/>
  <c r="G345" i="22"/>
  <c r="CC345" i="6" s="1"/>
  <c r="W333" i="22"/>
  <c r="D333" i="22"/>
  <c r="E333" i="22" s="1"/>
  <c r="F333" i="22" s="1"/>
  <c r="AA325" i="22"/>
  <c r="Z325" i="22" s="1"/>
  <c r="Y325" i="22" s="1"/>
  <c r="G325" i="22"/>
  <c r="CC325" i="6" s="1"/>
  <c r="H325" i="22"/>
  <c r="H321" i="22"/>
  <c r="G321" i="22"/>
  <c r="CC321" i="6" s="1"/>
  <c r="AA321" i="22"/>
  <c r="Z321" i="22" s="1"/>
  <c r="Y321" i="22" s="1"/>
  <c r="G301" i="22"/>
  <c r="CC301" i="6" s="1"/>
  <c r="H301" i="22"/>
  <c r="AA301" i="22"/>
  <c r="Z301" i="22" s="1"/>
  <c r="Y301" i="22" s="1"/>
  <c r="AA281" i="22"/>
  <c r="Z281" i="22" s="1"/>
  <c r="Y281" i="22" s="1"/>
  <c r="H281" i="22"/>
  <c r="G281" i="22"/>
  <c r="CC281" i="6" s="1"/>
  <c r="W241" i="22"/>
  <c r="D241" i="22"/>
  <c r="E241" i="22" s="1"/>
  <c r="F241" i="22" s="1"/>
  <c r="AA225" i="22"/>
  <c r="Z225" i="22" s="1"/>
  <c r="Y225" i="22" s="1"/>
  <c r="H225" i="22"/>
  <c r="G225" i="22"/>
  <c r="CC225" i="6" s="1"/>
  <c r="AA205" i="22"/>
  <c r="Z205" i="22" s="1"/>
  <c r="Y205" i="22" s="1"/>
  <c r="G205" i="22"/>
  <c r="CC205" i="6" s="1"/>
  <c r="AA201" i="22"/>
  <c r="Z201" i="22" s="1"/>
  <c r="Y201" i="22" s="1"/>
  <c r="G201" i="22"/>
  <c r="CC201" i="6" s="1"/>
  <c r="H201" i="22"/>
  <c r="AA157" i="22"/>
  <c r="Z157" i="22" s="1"/>
  <c r="Y157" i="22" s="1"/>
  <c r="G157" i="22"/>
  <c r="CC157" i="6" s="1"/>
  <c r="H157" i="22"/>
  <c r="AA153" i="22"/>
  <c r="Z153" i="22" s="1"/>
  <c r="Y153" i="22" s="1"/>
  <c r="G153" i="22"/>
  <c r="CC153" i="6" s="1"/>
  <c r="H153" i="22"/>
  <c r="AA141" i="22"/>
  <c r="Z141" i="22" s="1"/>
  <c r="Y141" i="22" s="1"/>
  <c r="H141" i="22"/>
  <c r="G141" i="22"/>
  <c r="CC141" i="6" s="1"/>
  <c r="D137" i="22"/>
  <c r="E137" i="22" s="1"/>
  <c r="F137" i="22" s="1"/>
  <c r="W137" i="22"/>
  <c r="W121" i="22"/>
  <c r="D121" i="22"/>
  <c r="E121" i="22" s="1"/>
  <c r="F121" i="22" s="1"/>
  <c r="AA117" i="22"/>
  <c r="Z117" i="22" s="1"/>
  <c r="Y117" i="22" s="1"/>
  <c r="G117" i="22"/>
  <c r="CC117" i="6" s="1"/>
  <c r="H117" i="22"/>
  <c r="W113" i="22"/>
  <c r="D113" i="22"/>
  <c r="E113" i="22" s="1"/>
  <c r="F113" i="22" s="1"/>
  <c r="B105" i="22"/>
  <c r="AA93" i="22"/>
  <c r="Z93" i="22" s="1"/>
  <c r="Y93" i="22" s="1"/>
  <c r="H93" i="22"/>
  <c r="G93" i="22"/>
  <c r="CC93" i="6" s="1"/>
  <c r="D89" i="22"/>
  <c r="E89" i="22" s="1"/>
  <c r="F89" i="22" s="1"/>
  <c r="W89" i="22"/>
  <c r="D85" i="22"/>
  <c r="E85" i="22" s="1"/>
  <c r="F85" i="22" s="1"/>
  <c r="W85" i="22"/>
  <c r="AA81" i="22"/>
  <c r="Z81" i="22" s="1"/>
  <c r="Y81" i="22" s="1"/>
  <c r="H81" i="22"/>
  <c r="G81" i="22"/>
  <c r="CC81" i="6" s="1"/>
  <c r="AA77" i="22"/>
  <c r="Z77" i="22" s="1"/>
  <c r="Y77" i="22" s="1"/>
  <c r="H77" i="22"/>
  <c r="G77" i="22"/>
  <c r="CC77" i="6" s="1"/>
  <c r="G53" i="22"/>
  <c r="CC53" i="6" s="1"/>
  <c r="H53" i="22"/>
  <c r="AA53" i="22"/>
  <c r="Z53" i="22" s="1"/>
  <c r="Y53" i="22" s="1"/>
  <c r="AA49" i="22"/>
  <c r="Z49" i="22" s="1"/>
  <c r="Y49" i="22" s="1"/>
  <c r="H49" i="22"/>
  <c r="G49" i="22"/>
  <c r="CC49" i="6" s="1"/>
  <c r="AA41" i="22"/>
  <c r="Z41" i="22" s="1"/>
  <c r="Y41" i="22" s="1"/>
  <c r="G41" i="22"/>
  <c r="CC41" i="6" s="1"/>
  <c r="H41" i="22"/>
  <c r="W37" i="22"/>
  <c r="D37" i="22"/>
  <c r="E37" i="22" s="1"/>
  <c r="F37" i="22" s="1"/>
  <c r="W33" i="22"/>
  <c r="D33" i="22"/>
  <c r="E33" i="22" s="1"/>
  <c r="F33" i="22" s="1"/>
  <c r="AH32" i="7"/>
  <c r="V29" i="22"/>
  <c r="B29" i="22" s="1"/>
  <c r="J60" i="20"/>
  <c r="I60" i="20"/>
  <c r="I227" i="20"/>
  <c r="J227" i="20"/>
  <c r="G376" i="22"/>
  <c r="CC376" i="6" s="1"/>
  <c r="AA376" i="22"/>
  <c r="Z376" i="22" s="1"/>
  <c r="Y376" i="22" s="1"/>
  <c r="H376" i="22"/>
  <c r="D356" i="22"/>
  <c r="E356" i="22" s="1"/>
  <c r="F356" i="22" s="1"/>
  <c r="W356" i="22"/>
  <c r="G340" i="22"/>
  <c r="CC340" i="6" s="1"/>
  <c r="AA340" i="22"/>
  <c r="Z340" i="22" s="1"/>
  <c r="Y340" i="22" s="1"/>
  <c r="H340" i="22"/>
  <c r="G324" i="22"/>
  <c r="CC324" i="6" s="1"/>
  <c r="AA324" i="22"/>
  <c r="Z324" i="22" s="1"/>
  <c r="Y324" i="22" s="1"/>
  <c r="H324" i="22"/>
  <c r="W312" i="22"/>
  <c r="D312" i="22"/>
  <c r="E312" i="22" s="1"/>
  <c r="F312" i="22" s="1"/>
  <c r="W300" i="22"/>
  <c r="D300" i="22"/>
  <c r="E300" i="22" s="1"/>
  <c r="F300" i="22" s="1"/>
  <c r="D264" i="22"/>
  <c r="E264" i="22" s="1"/>
  <c r="F264" i="22" s="1"/>
  <c r="W264" i="22"/>
  <c r="G256" i="22"/>
  <c r="CC256" i="6" s="1"/>
  <c r="AA256" i="22"/>
  <c r="Z256" i="22" s="1"/>
  <c r="Y256" i="22" s="1"/>
  <c r="H256" i="22"/>
  <c r="AA252" i="22"/>
  <c r="Z252" i="22" s="1"/>
  <c r="Y252" i="22" s="1"/>
  <c r="H252" i="22"/>
  <c r="G252" i="22"/>
  <c r="CC252" i="6" s="1"/>
  <c r="G248" i="22"/>
  <c r="CC248" i="6" s="1"/>
  <c r="H248" i="22"/>
  <c r="AA248" i="22"/>
  <c r="Z248" i="22" s="1"/>
  <c r="Y248" i="22" s="1"/>
  <c r="W228" i="22"/>
  <c r="D228" i="22"/>
  <c r="E228" i="22" s="1"/>
  <c r="F228" i="22" s="1"/>
  <c r="AA216" i="22"/>
  <c r="Z216" i="22" s="1"/>
  <c r="Y216" i="22" s="1"/>
  <c r="H216" i="22"/>
  <c r="G216" i="22"/>
  <c r="CC216" i="6" s="1"/>
  <c r="AA204" i="22"/>
  <c r="Z204" i="22" s="1"/>
  <c r="Y204" i="22" s="1"/>
  <c r="H204" i="22"/>
  <c r="G204" i="22"/>
  <c r="CC204" i="6" s="1"/>
  <c r="G192" i="22"/>
  <c r="CC192" i="6" s="1"/>
  <c r="H192" i="22"/>
  <c r="AA192" i="22"/>
  <c r="Z192" i="22" s="1"/>
  <c r="Y192" i="22" s="1"/>
  <c r="D184" i="22"/>
  <c r="E184" i="22" s="1"/>
  <c r="F184" i="22" s="1"/>
  <c r="W184" i="22"/>
  <c r="W156" i="22"/>
  <c r="D156" i="22"/>
  <c r="E156" i="22" s="1"/>
  <c r="F156" i="22" s="1"/>
  <c r="G148" i="22"/>
  <c r="CC148" i="6" s="1"/>
  <c r="AA148" i="22"/>
  <c r="Z148" i="22" s="1"/>
  <c r="Y148" i="22" s="1"/>
  <c r="H148" i="22"/>
  <c r="AA108" i="22"/>
  <c r="Z108" i="22" s="1"/>
  <c r="Y108" i="22" s="1"/>
  <c r="H108" i="22"/>
  <c r="G108" i="22"/>
  <c r="CC108" i="6" s="1"/>
  <c r="D84" i="22"/>
  <c r="E84" i="22" s="1"/>
  <c r="F84" i="22" s="1"/>
  <c r="W84" i="22"/>
  <c r="G72" i="22"/>
  <c r="CC72" i="6" s="1"/>
  <c r="H72" i="22"/>
  <c r="AA72" i="22"/>
  <c r="Z72" i="22" s="1"/>
  <c r="Y72" i="22" s="1"/>
  <c r="D68" i="22"/>
  <c r="E68" i="22" s="1"/>
  <c r="F68" i="22" s="1"/>
  <c r="W68" i="22"/>
  <c r="G24" i="22"/>
  <c r="CC24" i="6" s="1"/>
  <c r="H24" i="22"/>
  <c r="AA24" i="22"/>
  <c r="Z24" i="22" s="1"/>
  <c r="Y24" i="22" s="1"/>
  <c r="J166" i="20"/>
  <c r="I166" i="20"/>
  <c r="V15" i="20"/>
  <c r="P382" i="20"/>
  <c r="P381" i="20"/>
  <c r="P383" i="20"/>
  <c r="J46" i="20"/>
  <c r="I46" i="20"/>
  <c r="W379" i="22"/>
  <c r="AS16" i="7"/>
  <c r="U170" i="23"/>
  <c r="T170" i="23" s="1"/>
  <c r="U298" i="23"/>
  <c r="T298" i="23" s="1"/>
  <c r="U379" i="23"/>
  <c r="AA355" i="22"/>
  <c r="Z355" i="22" s="1"/>
  <c r="Y355" i="22" s="1"/>
  <c r="H355" i="22"/>
  <c r="G355" i="22"/>
  <c r="CC355" i="6" s="1"/>
  <c r="W351" i="22"/>
  <c r="D351" i="22"/>
  <c r="E351" i="22" s="1"/>
  <c r="F351" i="22" s="1"/>
  <c r="AA347" i="22"/>
  <c r="Z347" i="22" s="1"/>
  <c r="Y347" i="22" s="1"/>
  <c r="H347" i="22"/>
  <c r="G347" i="22"/>
  <c r="CC347" i="6" s="1"/>
  <c r="AA343" i="22"/>
  <c r="Z343" i="22" s="1"/>
  <c r="Y343" i="22" s="1"/>
  <c r="H343" i="22"/>
  <c r="G343" i="22"/>
  <c r="CC343" i="6" s="1"/>
  <c r="G339" i="22"/>
  <c r="CC339" i="6" s="1"/>
  <c r="AA339" i="22"/>
  <c r="Z339" i="22" s="1"/>
  <c r="Y339" i="22" s="1"/>
  <c r="H339" i="22"/>
  <c r="D335" i="22"/>
  <c r="E335" i="22" s="1"/>
  <c r="F335" i="22" s="1"/>
  <c r="W335" i="22"/>
  <c r="W331" i="22"/>
  <c r="D331" i="22"/>
  <c r="E331" i="22" s="1"/>
  <c r="F331" i="22" s="1"/>
  <c r="AA327" i="22"/>
  <c r="Z327" i="22" s="1"/>
  <c r="Y327" i="22" s="1"/>
  <c r="G327" i="22"/>
  <c r="CC327" i="6" s="1"/>
  <c r="H327" i="22"/>
  <c r="W323" i="22"/>
  <c r="D323" i="22"/>
  <c r="E323" i="22" s="1"/>
  <c r="F323" i="22" s="1"/>
  <c r="D315" i="22"/>
  <c r="E315" i="22" s="1"/>
  <c r="F315" i="22" s="1"/>
  <c r="W315" i="22"/>
  <c r="D303" i="22"/>
  <c r="E303" i="22" s="1"/>
  <c r="F303" i="22" s="1"/>
  <c r="W303" i="22"/>
  <c r="D287" i="22"/>
  <c r="E287" i="22" s="1"/>
  <c r="F287" i="22" s="1"/>
  <c r="W287" i="22"/>
  <c r="G279" i="22"/>
  <c r="CC279" i="6" s="1"/>
  <c r="H279" i="22"/>
  <c r="AA279" i="22"/>
  <c r="Z279" i="22" s="1"/>
  <c r="Y279" i="22" s="1"/>
  <c r="G275" i="22"/>
  <c r="CC275" i="6" s="1"/>
  <c r="AA275" i="22"/>
  <c r="Z275" i="22" s="1"/>
  <c r="Y275" i="22" s="1"/>
  <c r="H275" i="22"/>
  <c r="AA259" i="22"/>
  <c r="Z259" i="22" s="1"/>
  <c r="Y259" i="22" s="1"/>
  <c r="G259" i="22"/>
  <c r="CC259" i="6" s="1"/>
  <c r="H259" i="22"/>
  <c r="AA255" i="22"/>
  <c r="Z255" i="22" s="1"/>
  <c r="Y255" i="22" s="1"/>
  <c r="H255" i="22"/>
  <c r="G255" i="22"/>
  <c r="CC255" i="6" s="1"/>
  <c r="AA243" i="22"/>
  <c r="Z243" i="22" s="1"/>
  <c r="Y243" i="22" s="1"/>
  <c r="H243" i="22"/>
  <c r="G243" i="22"/>
  <c r="CC243" i="6" s="1"/>
  <c r="D239" i="22"/>
  <c r="E239" i="22" s="1"/>
  <c r="F239" i="22" s="1"/>
  <c r="W239" i="22"/>
  <c r="G231" i="22"/>
  <c r="CC231" i="6" s="1"/>
  <c r="H231" i="22"/>
  <c r="AA231" i="22"/>
  <c r="Z231" i="22" s="1"/>
  <c r="Y231" i="22" s="1"/>
  <c r="I67" i="19"/>
  <c r="B227" i="22"/>
  <c r="AA223" i="22"/>
  <c r="Z223" i="22" s="1"/>
  <c r="Y223" i="22" s="1"/>
  <c r="G223" i="22"/>
  <c r="CC223" i="6" s="1"/>
  <c r="H223" i="22"/>
  <c r="H219" i="22"/>
  <c r="G219" i="22"/>
  <c r="CC219" i="6" s="1"/>
  <c r="AA219" i="22"/>
  <c r="Z219" i="22" s="1"/>
  <c r="Y219" i="22" s="1"/>
  <c r="G207" i="22"/>
  <c r="CC207" i="6" s="1"/>
  <c r="AA207" i="22"/>
  <c r="Z207" i="22" s="1"/>
  <c r="Y207" i="22" s="1"/>
  <c r="H207" i="22"/>
  <c r="AA195" i="22"/>
  <c r="Z195" i="22" s="1"/>
  <c r="Y195" i="22" s="1"/>
  <c r="G195" i="22"/>
  <c r="CC195" i="6" s="1"/>
  <c r="H195" i="22"/>
  <c r="G191" i="22"/>
  <c r="CC191" i="6" s="1"/>
  <c r="H191" i="22"/>
  <c r="AA191" i="22"/>
  <c r="Z191" i="22" s="1"/>
  <c r="Y191" i="22" s="1"/>
  <c r="W187" i="22"/>
  <c r="D187" i="22"/>
  <c r="E187" i="22" s="1"/>
  <c r="F187" i="22" s="1"/>
  <c r="D179" i="22"/>
  <c r="E179" i="22" s="1"/>
  <c r="F179" i="22" s="1"/>
  <c r="W179" i="22"/>
  <c r="G175" i="22"/>
  <c r="CC175" i="6" s="1"/>
  <c r="AA175" i="22"/>
  <c r="Z175" i="22" s="1"/>
  <c r="Y175" i="22" s="1"/>
  <c r="H175" i="22"/>
  <c r="AA171" i="22"/>
  <c r="Z171" i="22" s="1"/>
  <c r="Y171" i="22" s="1"/>
  <c r="H171" i="22"/>
  <c r="G171" i="22"/>
  <c r="CC171" i="6" s="1"/>
  <c r="D167" i="22"/>
  <c r="E167" i="22" s="1"/>
  <c r="F167" i="22" s="1"/>
  <c r="W167" i="22"/>
  <c r="W151" i="22"/>
  <c r="D151" i="22"/>
  <c r="E151" i="22" s="1"/>
  <c r="F151" i="22" s="1"/>
  <c r="G143" i="22"/>
  <c r="CC143" i="6" s="1"/>
  <c r="AA143" i="22"/>
  <c r="Z143" i="22" s="1"/>
  <c r="Y143" i="22" s="1"/>
  <c r="H143" i="22"/>
  <c r="W139" i="22"/>
  <c r="D139" i="22"/>
  <c r="E139" i="22" s="1"/>
  <c r="F139" i="22" s="1"/>
  <c r="W123" i="22"/>
  <c r="D123" i="22"/>
  <c r="E123" i="22" s="1"/>
  <c r="F123" i="22" s="1"/>
  <c r="AH35" i="7"/>
  <c r="V119" i="22"/>
  <c r="B119" i="22" s="1"/>
  <c r="D111" i="22"/>
  <c r="E111" i="22" s="1"/>
  <c r="F111" i="22" s="1"/>
  <c r="W111" i="22"/>
  <c r="D103" i="22"/>
  <c r="E103" i="22" s="1"/>
  <c r="F103" i="22" s="1"/>
  <c r="W103" i="22"/>
  <c r="D99" i="22"/>
  <c r="E99" i="22" s="1"/>
  <c r="F99" i="22" s="1"/>
  <c r="W99" i="22"/>
  <c r="D95" i="22"/>
  <c r="E95" i="22" s="1"/>
  <c r="F95" i="22" s="1"/>
  <c r="W95" i="22"/>
  <c r="D91" i="22"/>
  <c r="E91" i="22" s="1"/>
  <c r="F91" i="22" s="1"/>
  <c r="W91" i="22"/>
  <c r="W87" i="22"/>
  <c r="D87" i="22"/>
  <c r="E87" i="22" s="1"/>
  <c r="F87" i="22" s="1"/>
  <c r="AA83" i="22"/>
  <c r="Z83" i="22" s="1"/>
  <c r="Y83" i="22" s="1"/>
  <c r="G83" i="22"/>
  <c r="CC83" i="6" s="1"/>
  <c r="H83" i="22"/>
  <c r="W79" i="22"/>
  <c r="D79" i="22"/>
  <c r="E79" i="22" s="1"/>
  <c r="F79" i="22" s="1"/>
  <c r="W63" i="22"/>
  <c r="D63" i="22"/>
  <c r="E63" i="22" s="1"/>
  <c r="F63" i="22" s="1"/>
  <c r="G47" i="22"/>
  <c r="CC47" i="6" s="1"/>
  <c r="AA47" i="22"/>
  <c r="Z47" i="22" s="1"/>
  <c r="Y47" i="22" s="1"/>
  <c r="H47" i="22"/>
  <c r="AA43" i="22"/>
  <c r="Z43" i="22" s="1"/>
  <c r="Y43" i="22" s="1"/>
  <c r="H43" i="22"/>
  <c r="G43" i="22"/>
  <c r="CC43" i="6" s="1"/>
  <c r="G35" i="22"/>
  <c r="CC35" i="6" s="1"/>
  <c r="AA35" i="22"/>
  <c r="Z35" i="22" s="1"/>
  <c r="Y35" i="22" s="1"/>
  <c r="H35" i="22"/>
  <c r="G31" i="22"/>
  <c r="CC31" i="6" s="1"/>
  <c r="AA31" i="22"/>
  <c r="Z31" i="22" s="1"/>
  <c r="Y31" i="22" s="1"/>
  <c r="H31" i="22"/>
  <c r="D27" i="22"/>
  <c r="E27" i="22" s="1"/>
  <c r="F27" i="22" s="1"/>
  <c r="W27" i="22"/>
  <c r="D16" i="22"/>
  <c r="E16" i="22" s="1"/>
  <c r="F16" i="22" s="1"/>
  <c r="W16" i="22"/>
  <c r="AA22" i="22"/>
  <c r="Z22" i="22" s="1"/>
  <c r="Y22" i="22" s="1"/>
  <c r="G22" i="22"/>
  <c r="CC22" i="6" s="1"/>
  <c r="H22" i="22"/>
  <c r="D378" i="22"/>
  <c r="E378" i="22" s="1"/>
  <c r="F378" i="22" s="1"/>
  <c r="W378" i="22"/>
  <c r="W374" i="22"/>
  <c r="D374" i="22"/>
  <c r="E374" i="22" s="1"/>
  <c r="F374" i="22" s="1"/>
  <c r="AA358" i="22"/>
  <c r="Z358" i="22" s="1"/>
  <c r="Y358" i="22" s="1"/>
  <c r="H358" i="22"/>
  <c r="G358" i="22"/>
  <c r="CC358" i="6" s="1"/>
  <c r="D350" i="22"/>
  <c r="E350" i="22" s="1"/>
  <c r="F350" i="22" s="1"/>
  <c r="W350" i="22"/>
  <c r="AA338" i="22"/>
  <c r="Z338" i="22" s="1"/>
  <c r="Y338" i="22" s="1"/>
  <c r="H338" i="22"/>
  <c r="G338" i="22"/>
  <c r="CC338" i="6" s="1"/>
  <c r="D330" i="22"/>
  <c r="E330" i="22" s="1"/>
  <c r="F330" i="22" s="1"/>
  <c r="W330" i="22"/>
  <c r="D326" i="22"/>
  <c r="E326" i="22" s="1"/>
  <c r="F326" i="22" s="1"/>
  <c r="W326" i="22"/>
  <c r="AA318" i="22"/>
  <c r="Z318" i="22" s="1"/>
  <c r="Y318" i="22" s="1"/>
  <c r="H318" i="22"/>
  <c r="G318" i="22"/>
  <c r="CC318" i="6" s="1"/>
  <c r="G310" i="22"/>
  <c r="CC310" i="6" s="1"/>
  <c r="AA310" i="22"/>
  <c r="Z310" i="22" s="1"/>
  <c r="Y310" i="22" s="1"/>
  <c r="H310" i="22"/>
  <c r="D286" i="22"/>
  <c r="E286" i="22" s="1"/>
  <c r="F286" i="22" s="1"/>
  <c r="W286" i="22"/>
  <c r="G270" i="22"/>
  <c r="CC270" i="6" s="1"/>
  <c r="AA270" i="22"/>
  <c r="Z270" i="22" s="1"/>
  <c r="Y270" i="22" s="1"/>
  <c r="H270" i="22"/>
  <c r="W266" i="22"/>
  <c r="D266" i="22"/>
  <c r="E266" i="22" s="1"/>
  <c r="F266" i="22" s="1"/>
  <c r="J67" i="19"/>
  <c r="B258" i="22"/>
  <c r="G250" i="22"/>
  <c r="CC250" i="6" s="1"/>
  <c r="AA250" i="22"/>
  <c r="Z250" i="22" s="1"/>
  <c r="Y250" i="22" s="1"/>
  <c r="H250" i="22"/>
  <c r="W238" i="22"/>
  <c r="D238" i="22"/>
  <c r="E238" i="22" s="1"/>
  <c r="F238" i="22" s="1"/>
  <c r="W234" i="22"/>
  <c r="D234" i="22"/>
  <c r="E234" i="22" s="1"/>
  <c r="F234" i="22" s="1"/>
  <c r="G222" i="22"/>
  <c r="CC222" i="6" s="1"/>
  <c r="AA222" i="22"/>
  <c r="Z222" i="22" s="1"/>
  <c r="Y222" i="22" s="1"/>
  <c r="H222" i="22"/>
  <c r="D218" i="22"/>
  <c r="E218" i="22" s="1"/>
  <c r="F218" i="22" s="1"/>
  <c r="W218" i="22"/>
  <c r="G206" i="22"/>
  <c r="CC206" i="6" s="1"/>
  <c r="AA206" i="22"/>
  <c r="Z206" i="22" s="1"/>
  <c r="Y206" i="22" s="1"/>
  <c r="H206" i="22"/>
  <c r="W202" i="22"/>
  <c r="D202" i="22"/>
  <c r="E202" i="22" s="1"/>
  <c r="F202" i="22" s="1"/>
  <c r="W190" i="22"/>
  <c r="D190" i="22"/>
  <c r="E190" i="22" s="1"/>
  <c r="F190" i="22" s="1"/>
  <c r="AA186" i="22"/>
  <c r="Z186" i="22" s="1"/>
  <c r="Y186" i="22" s="1"/>
  <c r="G186" i="22"/>
  <c r="CC186" i="6" s="1"/>
  <c r="H186" i="22"/>
  <c r="W182" i="22"/>
  <c r="D182" i="22"/>
  <c r="E182" i="22" s="1"/>
  <c r="F182" i="22" s="1"/>
  <c r="AA170" i="22"/>
  <c r="Z170" i="22" s="1"/>
  <c r="Y170" i="22" s="1"/>
  <c r="G170" i="22"/>
  <c r="CC170" i="6" s="1"/>
  <c r="H170" i="22"/>
  <c r="G67" i="19"/>
  <c r="B166" i="22"/>
  <c r="W158" i="22"/>
  <c r="D158" i="22"/>
  <c r="E158" i="22" s="1"/>
  <c r="F158" i="22" s="1"/>
  <c r="AA138" i="22"/>
  <c r="Z138" i="22" s="1"/>
  <c r="Y138" i="22" s="1"/>
  <c r="G138" i="22"/>
  <c r="CC138" i="6" s="1"/>
  <c r="H138" i="22"/>
  <c r="AA134" i="22"/>
  <c r="Z134" i="22" s="1"/>
  <c r="Y134" i="22" s="1"/>
  <c r="H134" i="22"/>
  <c r="G134" i="22"/>
  <c r="CC134" i="6" s="1"/>
  <c r="W130" i="22"/>
  <c r="D130" i="22"/>
  <c r="E130" i="22" s="1"/>
  <c r="F130" i="22" s="1"/>
  <c r="H122" i="22"/>
  <c r="AA122" i="22"/>
  <c r="Z122" i="22" s="1"/>
  <c r="Y122" i="22" s="1"/>
  <c r="G122" i="22"/>
  <c r="CC122" i="6" s="1"/>
  <c r="D118" i="22"/>
  <c r="E118" i="22" s="1"/>
  <c r="F118" i="22" s="1"/>
  <c r="W118" i="22"/>
  <c r="W110" i="22"/>
  <c r="D110" i="22"/>
  <c r="E110" i="22" s="1"/>
  <c r="F110" i="22" s="1"/>
  <c r="W98" i="22"/>
  <c r="D98" i="22"/>
  <c r="E98" i="22" s="1"/>
  <c r="F98" i="22" s="1"/>
  <c r="G94" i="22"/>
  <c r="CC94" i="6" s="1"/>
  <c r="AA94" i="22"/>
  <c r="Z94" i="22" s="1"/>
  <c r="Y94" i="22" s="1"/>
  <c r="H94" i="22"/>
  <c r="AA66" i="22"/>
  <c r="Z66" i="22" s="1"/>
  <c r="Y66" i="22" s="1"/>
  <c r="G66" i="22"/>
  <c r="CC66" i="6" s="1"/>
  <c r="H66" i="22"/>
  <c r="G62" i="22"/>
  <c r="CC62" i="6" s="1"/>
  <c r="AA62" i="22"/>
  <c r="Z62" i="22" s="1"/>
  <c r="Y62" i="22" s="1"/>
  <c r="H62" i="22"/>
  <c r="G58" i="22"/>
  <c r="CC58" i="6" s="1"/>
  <c r="H58" i="22"/>
  <c r="AA58" i="22"/>
  <c r="Z58" i="22" s="1"/>
  <c r="Y58" i="22" s="1"/>
  <c r="AA54" i="22"/>
  <c r="Z54" i="22" s="1"/>
  <c r="Y54" i="22" s="1"/>
  <c r="H54" i="22"/>
  <c r="G54" i="22"/>
  <c r="CC54" i="6" s="1"/>
  <c r="AA38" i="22"/>
  <c r="Z38" i="22" s="1"/>
  <c r="Y38" i="22" s="1"/>
  <c r="H38" i="22"/>
  <c r="G38" i="22"/>
  <c r="CC38" i="6" s="1"/>
  <c r="AA34" i="22"/>
  <c r="Z34" i="22" s="1"/>
  <c r="Y34" i="22" s="1"/>
  <c r="H34" i="22"/>
  <c r="G34" i="22"/>
  <c r="CC34" i="6" s="1"/>
  <c r="W30" i="22"/>
  <c r="D30" i="22"/>
  <c r="E30" i="22" s="1"/>
  <c r="F30" i="22" s="1"/>
  <c r="W21" i="22"/>
  <c r="D21" i="22"/>
  <c r="E21" i="22" s="1"/>
  <c r="F21" i="22" s="1"/>
  <c r="AA17" i="22"/>
  <c r="Z17" i="22" s="1"/>
  <c r="Y17" i="22" s="1"/>
  <c r="H17" i="22"/>
  <c r="G17" i="22"/>
  <c r="CC17" i="6" s="1"/>
  <c r="J29" i="20"/>
  <c r="I29" i="20"/>
  <c r="AA288" i="22"/>
  <c r="Z288" i="22" s="1"/>
  <c r="Y288" i="22" s="1"/>
  <c r="G288" i="22"/>
  <c r="CC288" i="6" s="1"/>
  <c r="J119" i="20"/>
  <c r="I119" i="20"/>
  <c r="J105" i="20"/>
  <c r="I105" i="20"/>
  <c r="Q382" i="23"/>
  <c r="Q383" i="23"/>
  <c r="I135" i="20"/>
  <c r="J135" i="20"/>
  <c r="J74" i="20"/>
  <c r="I74" i="20"/>
  <c r="H74" i="22" s="1"/>
  <c r="AI31" i="23"/>
  <c r="AH31" i="23" s="1"/>
  <c r="AG31" i="23" s="1"/>
  <c r="AF31" i="23" s="1"/>
  <c r="AD31" i="23" s="1"/>
  <c r="AI63" i="23"/>
  <c r="AH63" i="23" s="1"/>
  <c r="AI95" i="23"/>
  <c r="AH95" i="23" s="1"/>
  <c r="AG95" i="23" s="1"/>
  <c r="AF95" i="23" s="1"/>
  <c r="AD95" i="23" s="1"/>
  <c r="AH383" i="22"/>
  <c r="AG15" i="22"/>
  <c r="AH382" i="22"/>
  <c r="AH381" i="22"/>
  <c r="AA377" i="22"/>
  <c r="Z377" i="22" s="1"/>
  <c r="Y377" i="22" s="1"/>
  <c r="H377" i="22"/>
  <c r="G377" i="22"/>
  <c r="CC377" i="6" s="1"/>
  <c r="D365" i="22"/>
  <c r="E365" i="22" s="1"/>
  <c r="F365" i="22" s="1"/>
  <c r="W365" i="22"/>
  <c r="D361" i="22"/>
  <c r="E361" i="22" s="1"/>
  <c r="F361" i="22" s="1"/>
  <c r="W361" i="22"/>
  <c r="W357" i="22"/>
  <c r="D357" i="22"/>
  <c r="E357" i="22" s="1"/>
  <c r="F357" i="22" s="1"/>
  <c r="W353" i="22"/>
  <c r="D353" i="22"/>
  <c r="E353" i="22" s="1"/>
  <c r="F353" i="22" s="1"/>
  <c r="W341" i="22"/>
  <c r="D341" i="22"/>
  <c r="E341" i="22" s="1"/>
  <c r="F341" i="22" s="1"/>
  <c r="AA329" i="22"/>
  <c r="Z329" i="22" s="1"/>
  <c r="Y329" i="22" s="1"/>
  <c r="G329" i="22"/>
  <c r="CC329" i="6" s="1"/>
  <c r="H329" i="22"/>
  <c r="W317" i="22"/>
  <c r="D317" i="22"/>
  <c r="E317" i="22" s="1"/>
  <c r="F317" i="22" s="1"/>
  <c r="G313" i="22"/>
  <c r="CC313" i="6" s="1"/>
  <c r="AA313" i="22"/>
  <c r="Z313" i="22" s="1"/>
  <c r="Y313" i="22" s="1"/>
  <c r="H313" i="22"/>
  <c r="W309" i="22"/>
  <c r="D309" i="22"/>
  <c r="E309" i="22" s="1"/>
  <c r="F309" i="22" s="1"/>
  <c r="G305" i="22"/>
  <c r="CC305" i="6" s="1"/>
  <c r="H305" i="22"/>
  <c r="AA305" i="22"/>
  <c r="Z305" i="22" s="1"/>
  <c r="Y305" i="22" s="1"/>
  <c r="D297" i="22"/>
  <c r="E297" i="22" s="1"/>
  <c r="F297" i="22" s="1"/>
  <c r="W297" i="22"/>
  <c r="G293" i="22"/>
  <c r="CC293" i="6" s="1"/>
  <c r="AA293" i="22"/>
  <c r="Z293" i="22" s="1"/>
  <c r="Y293" i="22" s="1"/>
  <c r="H293" i="22"/>
  <c r="AA289" i="22"/>
  <c r="Z289" i="22" s="1"/>
  <c r="Y289" i="22" s="1"/>
  <c r="G289" i="22"/>
  <c r="CC289" i="6" s="1"/>
  <c r="H289" i="22"/>
  <c r="AA285" i="22"/>
  <c r="Z285" i="22" s="1"/>
  <c r="Y285" i="22" s="1"/>
  <c r="H285" i="22"/>
  <c r="G285" i="22"/>
  <c r="CC285" i="6" s="1"/>
  <c r="G277" i="22"/>
  <c r="CC277" i="6" s="1"/>
  <c r="AA277" i="22"/>
  <c r="Z277" i="22" s="1"/>
  <c r="Y277" i="22" s="1"/>
  <c r="H277" i="22"/>
  <c r="G265" i="22"/>
  <c r="CC265" i="6" s="1"/>
  <c r="H265" i="22"/>
  <c r="AA265" i="22"/>
  <c r="Z265" i="22" s="1"/>
  <c r="Y265" i="22" s="1"/>
  <c r="AA253" i="22"/>
  <c r="Z253" i="22" s="1"/>
  <c r="Y253" i="22" s="1"/>
  <c r="G253" i="22"/>
  <c r="CC253" i="6" s="1"/>
  <c r="H253" i="22"/>
  <c r="G249" i="22"/>
  <c r="CC249" i="6" s="1"/>
  <c r="AA249" i="22"/>
  <c r="Z249" i="22" s="1"/>
  <c r="Y249" i="22" s="1"/>
  <c r="H249" i="22"/>
  <c r="D245" i="22"/>
  <c r="E245" i="22" s="1"/>
  <c r="F245" i="22" s="1"/>
  <c r="W245" i="22"/>
  <c r="D237" i="22"/>
  <c r="E237" i="22" s="1"/>
  <c r="F237" i="22" s="1"/>
  <c r="W237" i="22"/>
  <c r="G233" i="22"/>
  <c r="CC233" i="6" s="1"/>
  <c r="AA233" i="22"/>
  <c r="Z233" i="22" s="1"/>
  <c r="Y233" i="22" s="1"/>
  <c r="H233" i="22"/>
  <c r="G229" i="22"/>
  <c r="CC229" i="6" s="1"/>
  <c r="AA229" i="22"/>
  <c r="Z229" i="22" s="1"/>
  <c r="Y229" i="22" s="1"/>
  <c r="H229" i="22"/>
  <c r="H221" i="22"/>
  <c r="G221" i="22"/>
  <c r="CC221" i="6" s="1"/>
  <c r="AA221" i="22"/>
  <c r="Z221" i="22" s="1"/>
  <c r="Y221" i="22" s="1"/>
  <c r="D217" i="22"/>
  <c r="E217" i="22" s="1"/>
  <c r="F217" i="22" s="1"/>
  <c r="W217" i="22"/>
  <c r="AA213" i="22"/>
  <c r="Z213" i="22" s="1"/>
  <c r="Y213" i="22" s="1"/>
  <c r="G213" i="22"/>
  <c r="CC213" i="6" s="1"/>
  <c r="H213" i="22"/>
  <c r="AA197" i="22"/>
  <c r="Z197" i="22" s="1"/>
  <c r="Y197" i="22" s="1"/>
  <c r="G197" i="22"/>
  <c r="CC197" i="6" s="1"/>
  <c r="H197" i="22"/>
  <c r="G185" i="22"/>
  <c r="CC185" i="6" s="1"/>
  <c r="AA185" i="22"/>
  <c r="Z185" i="22" s="1"/>
  <c r="Y185" i="22" s="1"/>
  <c r="H185" i="22"/>
  <c r="G181" i="22"/>
  <c r="CC181" i="6" s="1"/>
  <c r="H181" i="22"/>
  <c r="AA181" i="22"/>
  <c r="Z181" i="22" s="1"/>
  <c r="Y181" i="22" s="1"/>
  <c r="AA177" i="22"/>
  <c r="Z177" i="22" s="1"/>
  <c r="Y177" i="22" s="1"/>
  <c r="H177" i="22"/>
  <c r="G177" i="22"/>
  <c r="CC177" i="6" s="1"/>
  <c r="G173" i="22"/>
  <c r="CC173" i="6" s="1"/>
  <c r="AA173" i="22"/>
  <c r="Z173" i="22" s="1"/>
  <c r="Y173" i="22" s="1"/>
  <c r="H173" i="22"/>
  <c r="AA165" i="22"/>
  <c r="Z165" i="22" s="1"/>
  <c r="Y165" i="22" s="1"/>
  <c r="G165" i="22"/>
  <c r="CC165" i="6" s="1"/>
  <c r="H165" i="22"/>
  <c r="G133" i="22"/>
  <c r="CC133" i="6" s="1"/>
  <c r="H133" i="22"/>
  <c r="AA133" i="22"/>
  <c r="Z133" i="22" s="1"/>
  <c r="Y133" i="22" s="1"/>
  <c r="G97" i="22"/>
  <c r="CC97" i="6" s="1"/>
  <c r="AA97" i="22"/>
  <c r="Z97" i="22" s="1"/>
  <c r="Y97" i="22" s="1"/>
  <c r="H97" i="22"/>
  <c r="G69" i="22"/>
  <c r="CC69" i="6" s="1"/>
  <c r="AA69" i="22"/>
  <c r="Z69" i="22" s="1"/>
  <c r="Y69" i="22" s="1"/>
  <c r="H69" i="22"/>
  <c r="AA65" i="22"/>
  <c r="Z65" i="22" s="1"/>
  <c r="Y65" i="22" s="1"/>
  <c r="G65" i="22"/>
  <c r="CC65" i="6" s="1"/>
  <c r="H65" i="22"/>
  <c r="AA25" i="22"/>
  <c r="Z25" i="22" s="1"/>
  <c r="Y25" i="22" s="1"/>
  <c r="H25" i="22"/>
  <c r="G25" i="22"/>
  <c r="CC25" i="6" s="1"/>
  <c r="AA20" i="22"/>
  <c r="Z20" i="22" s="1"/>
  <c r="Y20" i="22" s="1"/>
  <c r="G20" i="22"/>
  <c r="CC20" i="6" s="1"/>
  <c r="H20" i="22"/>
  <c r="AI79" i="23" l="1"/>
  <c r="AH79" i="23" s="1"/>
  <c r="AG79" i="23" s="1"/>
  <c r="AF79" i="23" s="1"/>
  <c r="AD79" i="23" s="1"/>
  <c r="AI47" i="23"/>
  <c r="AH47" i="23" s="1"/>
  <c r="AG47" i="23" s="1"/>
  <c r="AF47" i="23" s="1"/>
  <c r="AD47" i="23" s="1"/>
  <c r="AI20" i="23"/>
  <c r="AH20" i="23" s="1"/>
  <c r="AG20" i="23" s="1"/>
  <c r="AF20" i="23" s="1"/>
  <c r="AD20" i="23" s="1"/>
  <c r="U347" i="23"/>
  <c r="T347" i="23" s="1"/>
  <c r="S347" i="23" s="1"/>
  <c r="R347" i="23" s="1"/>
  <c r="P347" i="23" s="1"/>
  <c r="V347" i="23" s="1"/>
  <c r="B347" i="23" s="1"/>
  <c r="U234" i="23"/>
  <c r="T234" i="23" s="1"/>
  <c r="U106" i="23"/>
  <c r="T106" i="23" s="1"/>
  <c r="S106" i="23" s="1"/>
  <c r="R106" i="23" s="1"/>
  <c r="P106" i="23" s="1"/>
  <c r="V106" i="23" s="1"/>
  <c r="B106" i="23" s="1"/>
  <c r="D88" i="6"/>
  <c r="S4" i="6"/>
  <c r="I205" i="20"/>
  <c r="H205" i="22" s="1"/>
  <c r="J205" i="20"/>
  <c r="I88" i="20"/>
  <c r="J88" i="20"/>
  <c r="J15" i="17"/>
  <c r="I15" i="17"/>
  <c r="BZ15" i="6"/>
  <c r="G382" i="17"/>
  <c r="G381" i="17"/>
  <c r="G383" i="17"/>
  <c r="G12" i="17" s="1"/>
  <c r="Z15" i="17"/>
  <c r="AA9" i="17"/>
  <c r="AA382" i="17"/>
  <c r="AL9" i="17"/>
  <c r="AM8" i="17"/>
  <c r="AA383" i="17"/>
  <c r="AA381" i="17"/>
  <c r="F11" i="17"/>
  <c r="AB9" i="17"/>
  <c r="G14" i="19"/>
  <c r="J38" i="19" s="1"/>
  <c r="B61" i="6"/>
  <c r="BA61" i="6" s="1"/>
  <c r="H61" i="20"/>
  <c r="B125" i="6"/>
  <c r="BA125" i="6" s="1"/>
  <c r="H125" i="20"/>
  <c r="D205" i="6"/>
  <c r="AA4" i="6"/>
  <c r="B189" i="6"/>
  <c r="BA189" i="6" s="1"/>
  <c r="H189" i="20"/>
  <c r="U363" i="23"/>
  <c r="T363" i="23" s="1"/>
  <c r="U330" i="23"/>
  <c r="T330" i="23" s="1"/>
  <c r="S330" i="23" s="1"/>
  <c r="R330" i="23" s="1"/>
  <c r="P330" i="23" s="1"/>
  <c r="V330" i="23" s="1"/>
  <c r="B330" i="23" s="1"/>
  <c r="D330" i="23" s="1"/>
  <c r="E330" i="23" s="1"/>
  <c r="F330" i="23" s="1"/>
  <c r="U266" i="23"/>
  <c r="T266" i="23" s="1"/>
  <c r="U202" i="23"/>
  <c r="T202" i="23" s="1"/>
  <c r="S202" i="23" s="1"/>
  <c r="R202" i="23" s="1"/>
  <c r="P202" i="23" s="1"/>
  <c r="V202" i="23" s="1"/>
  <c r="B202" i="23" s="1"/>
  <c r="U138" i="23"/>
  <c r="T138" i="23" s="1"/>
  <c r="AI11" i="23"/>
  <c r="AI343" i="23" s="1"/>
  <c r="AH343" i="23" s="1"/>
  <c r="AG343" i="23" s="1"/>
  <c r="AF343" i="23" s="1"/>
  <c r="AD343" i="23" s="1"/>
  <c r="AE383" i="23"/>
  <c r="AE381" i="23"/>
  <c r="U21" i="23"/>
  <c r="T21" i="23" s="1"/>
  <c r="AI377" i="23"/>
  <c r="AH377" i="23" s="1"/>
  <c r="AG377" i="23" s="1"/>
  <c r="AF377" i="23" s="1"/>
  <c r="AD377" i="23" s="1"/>
  <c r="AI345" i="23"/>
  <c r="AH345" i="23" s="1"/>
  <c r="AG345" i="23" s="1"/>
  <c r="AF345" i="23" s="1"/>
  <c r="AD345" i="23" s="1"/>
  <c r="AI293" i="23"/>
  <c r="AH293" i="23" s="1"/>
  <c r="AG293" i="23" s="1"/>
  <c r="AF293" i="23" s="1"/>
  <c r="AD293" i="23" s="1"/>
  <c r="AI229" i="23"/>
  <c r="AH229" i="23" s="1"/>
  <c r="AG229" i="23" s="1"/>
  <c r="AF229" i="23" s="1"/>
  <c r="AD229" i="23" s="1"/>
  <c r="AI165" i="23"/>
  <c r="AH165" i="23" s="1"/>
  <c r="AG165" i="23" s="1"/>
  <c r="AF165" i="23" s="1"/>
  <c r="AD165" i="23" s="1"/>
  <c r="AI103" i="23"/>
  <c r="AH103" i="23" s="1"/>
  <c r="AG103" i="23" s="1"/>
  <c r="AF103" i="23" s="1"/>
  <c r="AD103" i="23" s="1"/>
  <c r="AI87" i="23"/>
  <c r="AH87" i="23" s="1"/>
  <c r="AG87" i="23" s="1"/>
  <c r="AF87" i="23" s="1"/>
  <c r="AD87" i="23" s="1"/>
  <c r="AI71" i="23"/>
  <c r="AH71" i="23" s="1"/>
  <c r="AG71" i="23" s="1"/>
  <c r="AF71" i="23" s="1"/>
  <c r="AD71" i="23" s="1"/>
  <c r="AI55" i="23"/>
  <c r="AH55" i="23" s="1"/>
  <c r="AG55" i="23" s="1"/>
  <c r="AF55" i="23" s="1"/>
  <c r="AD55" i="23" s="1"/>
  <c r="AI39" i="23"/>
  <c r="AH39" i="23" s="1"/>
  <c r="AI19" i="23"/>
  <c r="AH19" i="23" s="1"/>
  <c r="AG19" i="23" s="1"/>
  <c r="AF19" i="23" s="1"/>
  <c r="AD19" i="23" s="1"/>
  <c r="U371" i="23"/>
  <c r="T371" i="23" s="1"/>
  <c r="S371" i="23" s="1"/>
  <c r="R371" i="23" s="1"/>
  <c r="P371" i="23" s="1"/>
  <c r="V371" i="23" s="1"/>
  <c r="B371" i="23" s="1"/>
  <c r="W371" i="23" s="1"/>
  <c r="U355" i="23"/>
  <c r="T355" i="23" s="1"/>
  <c r="S355" i="23" s="1"/>
  <c r="R355" i="23" s="1"/>
  <c r="P355" i="23" s="1"/>
  <c r="V355" i="23" s="1"/>
  <c r="B355" i="23" s="1"/>
  <c r="W355" i="23" s="1"/>
  <c r="U339" i="23"/>
  <c r="T339" i="23" s="1"/>
  <c r="U314" i="23"/>
  <c r="T314" i="23" s="1"/>
  <c r="S314" i="23" s="1"/>
  <c r="R314" i="23" s="1"/>
  <c r="P314" i="23" s="1"/>
  <c r="V314" i="23" s="1"/>
  <c r="B314" i="23" s="1"/>
  <c r="U282" i="23"/>
  <c r="T282" i="23" s="1"/>
  <c r="U250" i="23"/>
  <c r="T250" i="23" s="1"/>
  <c r="U218" i="23"/>
  <c r="T218" i="23" s="1"/>
  <c r="U186" i="23"/>
  <c r="T186" i="23" s="1"/>
  <c r="S186" i="23" s="1"/>
  <c r="R186" i="23" s="1"/>
  <c r="P186" i="23" s="1"/>
  <c r="V186" i="23" s="1"/>
  <c r="B186" i="23" s="1"/>
  <c r="D186" i="23" s="1"/>
  <c r="E186" i="23" s="1"/>
  <c r="F186" i="23" s="1"/>
  <c r="U154" i="23"/>
  <c r="T154" i="23" s="1"/>
  <c r="U122" i="23"/>
  <c r="T122" i="23" s="1"/>
  <c r="S122" i="23" s="1"/>
  <c r="R122" i="23" s="1"/>
  <c r="P122" i="23" s="1"/>
  <c r="V122" i="23" s="1"/>
  <c r="B122" i="23" s="1"/>
  <c r="U90" i="23"/>
  <c r="T90" i="23" s="1"/>
  <c r="U39" i="23"/>
  <c r="T39" i="23" s="1"/>
  <c r="AI364" i="23"/>
  <c r="AH364" i="23" s="1"/>
  <c r="AG364" i="23" s="1"/>
  <c r="AF364" i="23" s="1"/>
  <c r="AD364" i="23" s="1"/>
  <c r="AI348" i="23"/>
  <c r="AH348" i="23" s="1"/>
  <c r="AG348" i="23" s="1"/>
  <c r="AF348" i="23" s="1"/>
  <c r="AD348" i="23" s="1"/>
  <c r="AI331" i="23"/>
  <c r="AH331" i="23" s="1"/>
  <c r="AG331" i="23" s="1"/>
  <c r="AF331" i="23" s="1"/>
  <c r="AD331" i="23" s="1"/>
  <c r="AI299" i="23"/>
  <c r="AH299" i="23" s="1"/>
  <c r="AG299" i="23" s="1"/>
  <c r="AF299" i="23" s="1"/>
  <c r="AD299" i="23" s="1"/>
  <c r="AI267" i="23"/>
  <c r="AH267" i="23" s="1"/>
  <c r="AG267" i="23" s="1"/>
  <c r="AF267" i="23" s="1"/>
  <c r="AD267" i="23" s="1"/>
  <c r="AI235" i="23"/>
  <c r="AH235" i="23" s="1"/>
  <c r="AG235" i="23" s="1"/>
  <c r="AF235" i="23" s="1"/>
  <c r="AD235" i="23" s="1"/>
  <c r="AI203" i="23"/>
  <c r="AH203" i="23" s="1"/>
  <c r="AI171" i="23"/>
  <c r="AH171" i="23" s="1"/>
  <c r="AG171" i="23" s="1"/>
  <c r="AF171" i="23" s="1"/>
  <c r="AD171" i="23" s="1"/>
  <c r="AI115" i="23"/>
  <c r="AH115" i="23" s="1"/>
  <c r="AG115" i="23" s="1"/>
  <c r="AF115" i="23" s="1"/>
  <c r="AD115" i="23" s="1"/>
  <c r="AI99" i="23"/>
  <c r="AH99" i="23" s="1"/>
  <c r="AG99" i="23" s="1"/>
  <c r="AF99" i="23" s="1"/>
  <c r="AD99" i="23" s="1"/>
  <c r="AI91" i="23"/>
  <c r="AH91" i="23" s="1"/>
  <c r="AI83" i="23"/>
  <c r="AH83" i="23" s="1"/>
  <c r="AG83" i="23" s="1"/>
  <c r="AF83" i="23" s="1"/>
  <c r="AD83" i="23" s="1"/>
  <c r="AI75" i="23"/>
  <c r="AH75" i="23" s="1"/>
  <c r="AG75" i="23" s="1"/>
  <c r="AF75" i="23" s="1"/>
  <c r="AD75" i="23" s="1"/>
  <c r="AI67" i="23"/>
  <c r="AH67" i="23" s="1"/>
  <c r="AG67" i="23" s="1"/>
  <c r="AF67" i="23" s="1"/>
  <c r="AD67" i="23" s="1"/>
  <c r="AI59" i="23"/>
  <c r="AH59" i="23" s="1"/>
  <c r="AG59" i="23" s="1"/>
  <c r="AF59" i="23" s="1"/>
  <c r="AD59" i="23" s="1"/>
  <c r="AI51" i="23"/>
  <c r="AH51" i="23" s="1"/>
  <c r="AG51" i="23" s="1"/>
  <c r="AF51" i="23" s="1"/>
  <c r="AD51" i="23" s="1"/>
  <c r="AI43" i="23"/>
  <c r="AH43" i="23" s="1"/>
  <c r="AG43" i="23" s="1"/>
  <c r="AF43" i="23" s="1"/>
  <c r="AD43" i="23" s="1"/>
  <c r="AI35" i="23"/>
  <c r="AH35" i="23" s="1"/>
  <c r="AI27" i="23"/>
  <c r="AH27" i="23" s="1"/>
  <c r="AG27" i="23" s="1"/>
  <c r="AF27" i="23" s="1"/>
  <c r="AD27" i="23" s="1"/>
  <c r="AI17" i="23"/>
  <c r="AH17" i="23" s="1"/>
  <c r="AG17" i="23" s="1"/>
  <c r="AF17" i="23" s="1"/>
  <c r="AD17" i="23" s="1"/>
  <c r="U375" i="23"/>
  <c r="T375" i="23" s="1"/>
  <c r="U367" i="23"/>
  <c r="T367" i="23" s="1"/>
  <c r="U359" i="23"/>
  <c r="T359" i="23" s="1"/>
  <c r="U351" i="23"/>
  <c r="T351" i="23" s="1"/>
  <c r="S351" i="23" s="1"/>
  <c r="R351" i="23" s="1"/>
  <c r="P351" i="23" s="1"/>
  <c r="V351" i="23" s="1"/>
  <c r="B351" i="23" s="1"/>
  <c r="U343" i="23"/>
  <c r="T343" i="23" s="1"/>
  <c r="U335" i="23"/>
  <c r="T335" i="23" s="1"/>
  <c r="S335" i="23" s="1"/>
  <c r="R335" i="23" s="1"/>
  <c r="P335" i="23" s="1"/>
  <c r="V335" i="23" s="1"/>
  <c r="B335" i="23" s="1"/>
  <c r="W335" i="23" s="1"/>
  <c r="U322" i="23"/>
  <c r="T322" i="23" s="1"/>
  <c r="S322" i="23" s="1"/>
  <c r="R322" i="23" s="1"/>
  <c r="P322" i="23" s="1"/>
  <c r="V322" i="23" s="1"/>
  <c r="B322" i="23" s="1"/>
  <c r="U306" i="23"/>
  <c r="T306" i="23" s="1"/>
  <c r="S306" i="23" s="1"/>
  <c r="R306" i="23" s="1"/>
  <c r="P306" i="23" s="1"/>
  <c r="V306" i="23" s="1"/>
  <c r="B306" i="23" s="1"/>
  <c r="U290" i="23"/>
  <c r="T290" i="23" s="1"/>
  <c r="S290" i="23" s="1"/>
  <c r="R290" i="23" s="1"/>
  <c r="P290" i="23" s="1"/>
  <c r="V290" i="23" s="1"/>
  <c r="B290" i="23" s="1"/>
  <c r="U274" i="23"/>
  <c r="T274" i="23" s="1"/>
  <c r="S274" i="23" s="1"/>
  <c r="R274" i="23" s="1"/>
  <c r="P274" i="23" s="1"/>
  <c r="V274" i="23" s="1"/>
  <c r="B274" i="23" s="1"/>
  <c r="U258" i="23"/>
  <c r="T258" i="23" s="1"/>
  <c r="S258" i="23" s="1"/>
  <c r="R258" i="23" s="1"/>
  <c r="P258" i="23" s="1"/>
  <c r="V258" i="23" s="1"/>
  <c r="U242" i="23"/>
  <c r="T242" i="23" s="1"/>
  <c r="S242" i="23" s="1"/>
  <c r="R242" i="23" s="1"/>
  <c r="P242" i="23" s="1"/>
  <c r="V242" i="23" s="1"/>
  <c r="B242" i="23" s="1"/>
  <c r="D242" i="23" s="1"/>
  <c r="E242" i="23" s="1"/>
  <c r="F242" i="23" s="1"/>
  <c r="U226" i="23"/>
  <c r="T226" i="23" s="1"/>
  <c r="U210" i="23"/>
  <c r="T210" i="23" s="1"/>
  <c r="S210" i="23" s="1"/>
  <c r="R210" i="23" s="1"/>
  <c r="P210" i="23" s="1"/>
  <c r="U194" i="23"/>
  <c r="T194" i="23" s="1"/>
  <c r="U178" i="23"/>
  <c r="T178" i="23" s="1"/>
  <c r="S178" i="23" s="1"/>
  <c r="R178" i="23" s="1"/>
  <c r="P178" i="23" s="1"/>
  <c r="V178" i="23" s="1"/>
  <c r="B178" i="23" s="1"/>
  <c r="U162" i="23"/>
  <c r="T162" i="23" s="1"/>
  <c r="U146" i="23"/>
  <c r="T146" i="23" s="1"/>
  <c r="U130" i="23"/>
  <c r="T130" i="23" s="1"/>
  <c r="S130" i="23" s="1"/>
  <c r="R130" i="23" s="1"/>
  <c r="P130" i="23" s="1"/>
  <c r="V130" i="23" s="1"/>
  <c r="B130" i="23" s="1"/>
  <c r="U114" i="23"/>
  <c r="T114" i="23" s="1"/>
  <c r="U98" i="23"/>
  <c r="T98" i="23" s="1"/>
  <c r="U82" i="23"/>
  <c r="T82" i="23" s="1"/>
  <c r="S82" i="23" s="1"/>
  <c r="R82" i="23" s="1"/>
  <c r="P82" i="23" s="1"/>
  <c r="V82" i="23" s="1"/>
  <c r="B82" i="23" s="1"/>
  <c r="U55" i="23"/>
  <c r="T55" i="23" s="1"/>
  <c r="S55" i="23" s="1"/>
  <c r="R55" i="23" s="1"/>
  <c r="P55" i="23" s="1"/>
  <c r="V55" i="23" s="1"/>
  <c r="B55" i="23" s="1"/>
  <c r="M67" i="19"/>
  <c r="W320" i="22"/>
  <c r="AD104" i="20"/>
  <c r="AF383" i="20"/>
  <c r="AF381" i="20"/>
  <c r="AF382" i="20"/>
  <c r="U31" i="23"/>
  <c r="T31" i="23" s="1"/>
  <c r="U47" i="23"/>
  <c r="T47" i="23" s="1"/>
  <c r="U63" i="23"/>
  <c r="T63" i="23" s="1"/>
  <c r="S63" i="23" s="1"/>
  <c r="R63" i="23" s="1"/>
  <c r="P63" i="23" s="1"/>
  <c r="V63" i="23" s="1"/>
  <c r="B63" i="23" s="1"/>
  <c r="U78" i="23"/>
  <c r="T78" i="23" s="1"/>
  <c r="S78" i="23" s="1"/>
  <c r="R78" i="23" s="1"/>
  <c r="P78" i="23" s="1"/>
  <c r="V78" i="23" s="1"/>
  <c r="B78" i="23" s="1"/>
  <c r="U86" i="23"/>
  <c r="T86" i="23" s="1"/>
  <c r="S86" i="23" s="1"/>
  <c r="R86" i="23" s="1"/>
  <c r="P86" i="23" s="1"/>
  <c r="V86" i="23" s="1"/>
  <c r="B86" i="23" s="1"/>
  <c r="W86" i="23" s="1"/>
  <c r="U94" i="23"/>
  <c r="T94" i="23" s="1"/>
  <c r="S94" i="23" s="1"/>
  <c r="R94" i="23" s="1"/>
  <c r="P94" i="23" s="1"/>
  <c r="V94" i="23" s="1"/>
  <c r="B94" i="23" s="1"/>
  <c r="U102" i="23"/>
  <c r="T102" i="23" s="1"/>
  <c r="S102" i="23" s="1"/>
  <c r="R102" i="23" s="1"/>
  <c r="P102" i="23" s="1"/>
  <c r="V102" i="23" s="1"/>
  <c r="B102" i="23" s="1"/>
  <c r="U110" i="23"/>
  <c r="T110" i="23" s="1"/>
  <c r="S110" i="23" s="1"/>
  <c r="R110" i="23" s="1"/>
  <c r="P110" i="23" s="1"/>
  <c r="V110" i="23" s="1"/>
  <c r="B110" i="23" s="1"/>
  <c r="U118" i="23"/>
  <c r="T118" i="23" s="1"/>
  <c r="S118" i="23" s="1"/>
  <c r="R118" i="23" s="1"/>
  <c r="P118" i="23" s="1"/>
  <c r="V118" i="23" s="1"/>
  <c r="B118" i="23" s="1"/>
  <c r="W118" i="23" s="1"/>
  <c r="U126" i="23"/>
  <c r="T126" i="23" s="1"/>
  <c r="U134" i="23"/>
  <c r="T134" i="23" s="1"/>
  <c r="S134" i="23" s="1"/>
  <c r="R134" i="23" s="1"/>
  <c r="P134" i="23" s="1"/>
  <c r="V134" i="23" s="1"/>
  <c r="B134" i="23" s="1"/>
  <c r="U142" i="23"/>
  <c r="T142" i="23" s="1"/>
  <c r="S142" i="23" s="1"/>
  <c r="R142" i="23" s="1"/>
  <c r="P142" i="23" s="1"/>
  <c r="V142" i="23" s="1"/>
  <c r="B142" i="23" s="1"/>
  <c r="U150" i="23"/>
  <c r="T150" i="23" s="1"/>
  <c r="U158" i="23"/>
  <c r="T158" i="23" s="1"/>
  <c r="S158" i="23" s="1"/>
  <c r="R158" i="23" s="1"/>
  <c r="P158" i="23" s="1"/>
  <c r="V158" i="23" s="1"/>
  <c r="B158" i="23" s="1"/>
  <c r="U166" i="23"/>
  <c r="T166" i="23" s="1"/>
  <c r="U174" i="23"/>
  <c r="T174" i="23" s="1"/>
  <c r="S174" i="23" s="1"/>
  <c r="R174" i="23" s="1"/>
  <c r="P174" i="23" s="1"/>
  <c r="V174" i="23" s="1"/>
  <c r="B174" i="23" s="1"/>
  <c r="U182" i="23"/>
  <c r="T182" i="23" s="1"/>
  <c r="S182" i="23" s="1"/>
  <c r="R182" i="23" s="1"/>
  <c r="P182" i="23" s="1"/>
  <c r="V182" i="23" s="1"/>
  <c r="B182" i="23" s="1"/>
  <c r="U190" i="23"/>
  <c r="T190" i="23" s="1"/>
  <c r="S190" i="23" s="1"/>
  <c r="R190" i="23" s="1"/>
  <c r="P190" i="23" s="1"/>
  <c r="V190" i="23" s="1"/>
  <c r="B190" i="23" s="1"/>
  <c r="U198" i="23"/>
  <c r="T198" i="23" s="1"/>
  <c r="S198" i="23" s="1"/>
  <c r="R198" i="23" s="1"/>
  <c r="P198" i="23" s="1"/>
  <c r="V198" i="23" s="1"/>
  <c r="B198" i="23" s="1"/>
  <c r="W198" i="23" s="1"/>
  <c r="U206" i="23"/>
  <c r="T206" i="23" s="1"/>
  <c r="S206" i="23" s="1"/>
  <c r="R206" i="23" s="1"/>
  <c r="P206" i="23" s="1"/>
  <c r="V206" i="23" s="1"/>
  <c r="B206" i="23" s="1"/>
  <c r="U214" i="23"/>
  <c r="T214" i="23" s="1"/>
  <c r="S214" i="23" s="1"/>
  <c r="R214" i="23" s="1"/>
  <c r="P214" i="23" s="1"/>
  <c r="V214" i="23" s="1"/>
  <c r="B214" i="23" s="1"/>
  <c r="W214" i="23" s="1"/>
  <c r="U222" i="23"/>
  <c r="T222" i="23" s="1"/>
  <c r="S222" i="23" s="1"/>
  <c r="R222" i="23" s="1"/>
  <c r="P222" i="23" s="1"/>
  <c r="V222" i="23" s="1"/>
  <c r="B222" i="23" s="1"/>
  <c r="U230" i="23"/>
  <c r="T230" i="23" s="1"/>
  <c r="S230" i="23" s="1"/>
  <c r="R230" i="23" s="1"/>
  <c r="P230" i="23" s="1"/>
  <c r="V230" i="23" s="1"/>
  <c r="B230" i="23" s="1"/>
  <c r="D230" i="23" s="1"/>
  <c r="E230" i="23" s="1"/>
  <c r="F230" i="23" s="1"/>
  <c r="U238" i="23"/>
  <c r="T238" i="23" s="1"/>
  <c r="S238" i="23" s="1"/>
  <c r="R238" i="23" s="1"/>
  <c r="P238" i="23" s="1"/>
  <c r="V238" i="23" s="1"/>
  <c r="B238" i="23" s="1"/>
  <c r="D238" i="23" s="1"/>
  <c r="E238" i="23" s="1"/>
  <c r="F238" i="23" s="1"/>
  <c r="U246" i="23"/>
  <c r="T246" i="23" s="1"/>
  <c r="S246" i="23" s="1"/>
  <c r="R246" i="23" s="1"/>
  <c r="P246" i="23" s="1"/>
  <c r="V246" i="23" s="1"/>
  <c r="B246" i="23" s="1"/>
  <c r="U254" i="23"/>
  <c r="T254" i="23" s="1"/>
  <c r="U262" i="23"/>
  <c r="T262" i="23" s="1"/>
  <c r="U270" i="23"/>
  <c r="T270" i="23" s="1"/>
  <c r="S270" i="23" s="1"/>
  <c r="R270" i="23" s="1"/>
  <c r="P270" i="23" s="1"/>
  <c r="V270" i="23" s="1"/>
  <c r="B270" i="23" s="1"/>
  <c r="W270" i="23" s="1"/>
  <c r="U278" i="23"/>
  <c r="T278" i="23" s="1"/>
  <c r="S278" i="23" s="1"/>
  <c r="R278" i="23" s="1"/>
  <c r="P278" i="23" s="1"/>
  <c r="V278" i="23" s="1"/>
  <c r="B278" i="23" s="1"/>
  <c r="U286" i="23"/>
  <c r="T286" i="23" s="1"/>
  <c r="S286" i="23" s="1"/>
  <c r="R286" i="23" s="1"/>
  <c r="P286" i="23" s="1"/>
  <c r="V286" i="23" s="1"/>
  <c r="B286" i="23" s="1"/>
  <c r="W286" i="23" s="1"/>
  <c r="U294" i="23"/>
  <c r="T294" i="23" s="1"/>
  <c r="U302" i="23"/>
  <c r="T302" i="23" s="1"/>
  <c r="S302" i="23" s="1"/>
  <c r="R302" i="23" s="1"/>
  <c r="P302" i="23" s="1"/>
  <c r="AH53" i="7" s="1"/>
  <c r="U310" i="23"/>
  <c r="T310" i="23" s="1"/>
  <c r="S310" i="23" s="1"/>
  <c r="R310" i="23" s="1"/>
  <c r="P310" i="23" s="1"/>
  <c r="V310" i="23" s="1"/>
  <c r="B310" i="23" s="1"/>
  <c r="U318" i="23"/>
  <c r="T318" i="23" s="1"/>
  <c r="U326" i="23"/>
  <c r="T326" i="23" s="1"/>
  <c r="S326" i="23" s="1"/>
  <c r="R326" i="23" s="1"/>
  <c r="P326" i="23" s="1"/>
  <c r="V326" i="23" s="1"/>
  <c r="B326" i="23" s="1"/>
  <c r="U333" i="23"/>
  <c r="T333" i="23" s="1"/>
  <c r="S333" i="23" s="1"/>
  <c r="R333" i="23" s="1"/>
  <c r="P333" i="23" s="1"/>
  <c r="U337" i="23"/>
  <c r="T337" i="23" s="1"/>
  <c r="S337" i="23" s="1"/>
  <c r="R337" i="23" s="1"/>
  <c r="P337" i="23" s="1"/>
  <c r="V337" i="23" s="1"/>
  <c r="B337" i="23" s="1"/>
  <c r="W337" i="23" s="1"/>
  <c r="U341" i="23"/>
  <c r="T341" i="23" s="1"/>
  <c r="S341" i="23" s="1"/>
  <c r="R341" i="23" s="1"/>
  <c r="P341" i="23" s="1"/>
  <c r="V341" i="23" s="1"/>
  <c r="B341" i="23" s="1"/>
  <c r="U345" i="23"/>
  <c r="T345" i="23" s="1"/>
  <c r="S345" i="23" s="1"/>
  <c r="R345" i="23" s="1"/>
  <c r="P345" i="23" s="1"/>
  <c r="V345" i="23" s="1"/>
  <c r="B345" i="23" s="1"/>
  <c r="U349" i="23"/>
  <c r="T349" i="23" s="1"/>
  <c r="S349" i="23" s="1"/>
  <c r="R349" i="23" s="1"/>
  <c r="P349" i="23" s="1"/>
  <c r="V349" i="23" s="1"/>
  <c r="B349" i="23" s="1"/>
  <c r="U353" i="23"/>
  <c r="T353" i="23" s="1"/>
  <c r="U357" i="23"/>
  <c r="T357" i="23" s="1"/>
  <c r="S357" i="23" s="1"/>
  <c r="R357" i="23" s="1"/>
  <c r="P357" i="23" s="1"/>
  <c r="V357" i="23" s="1"/>
  <c r="B357" i="23" s="1"/>
  <c r="U361" i="23"/>
  <c r="T361" i="23" s="1"/>
  <c r="S361" i="23" s="1"/>
  <c r="R361" i="23" s="1"/>
  <c r="P361" i="23" s="1"/>
  <c r="V361" i="23" s="1"/>
  <c r="B361" i="23" s="1"/>
  <c r="U365" i="23"/>
  <c r="T365" i="23" s="1"/>
  <c r="U369" i="23"/>
  <c r="T369" i="23" s="1"/>
  <c r="S369" i="23" s="1"/>
  <c r="R369" i="23" s="1"/>
  <c r="P369" i="23" s="1"/>
  <c r="V369" i="23" s="1"/>
  <c r="B369" i="23" s="1"/>
  <c r="U373" i="23"/>
  <c r="T373" i="23" s="1"/>
  <c r="S373" i="23" s="1"/>
  <c r="R373" i="23" s="1"/>
  <c r="P373" i="23" s="1"/>
  <c r="V373" i="23" s="1"/>
  <c r="B373" i="23" s="1"/>
  <c r="U377" i="23"/>
  <c r="T377" i="23" s="1"/>
  <c r="AI18" i="23"/>
  <c r="AH18" i="23" s="1"/>
  <c r="AG18" i="23" s="1"/>
  <c r="AF18" i="23" s="1"/>
  <c r="AD18" i="23" s="1"/>
  <c r="AI21" i="23"/>
  <c r="AH21" i="23" s="1"/>
  <c r="AI25" i="23"/>
  <c r="AH25" i="23" s="1"/>
  <c r="AI29" i="23"/>
  <c r="AH29" i="23" s="1"/>
  <c r="AG29" i="23" s="1"/>
  <c r="AF29" i="23" s="1"/>
  <c r="AD29" i="23" s="1"/>
  <c r="AI33" i="23"/>
  <c r="AH33" i="23" s="1"/>
  <c r="AG33" i="23" s="1"/>
  <c r="AF33" i="23" s="1"/>
  <c r="AD33" i="23" s="1"/>
  <c r="AI37" i="23"/>
  <c r="AH37" i="23" s="1"/>
  <c r="AG37" i="23" s="1"/>
  <c r="AF37" i="23" s="1"/>
  <c r="AD37" i="23" s="1"/>
  <c r="AI41" i="23"/>
  <c r="AH41" i="23" s="1"/>
  <c r="AG41" i="23" s="1"/>
  <c r="AF41" i="23" s="1"/>
  <c r="AD41" i="23" s="1"/>
  <c r="AI45" i="23"/>
  <c r="AH45" i="23" s="1"/>
  <c r="AG45" i="23" s="1"/>
  <c r="AF45" i="23" s="1"/>
  <c r="AD45" i="23" s="1"/>
  <c r="AI49" i="23"/>
  <c r="AH49" i="23" s="1"/>
  <c r="AI53" i="23"/>
  <c r="AH53" i="23" s="1"/>
  <c r="AG53" i="23" s="1"/>
  <c r="AF53" i="23" s="1"/>
  <c r="AD53" i="23" s="1"/>
  <c r="AI57" i="23"/>
  <c r="AH57" i="23" s="1"/>
  <c r="AG57" i="23" s="1"/>
  <c r="AF57" i="23" s="1"/>
  <c r="AD57" i="23" s="1"/>
  <c r="AI61" i="23"/>
  <c r="AH61" i="23" s="1"/>
  <c r="AG61" i="23" s="1"/>
  <c r="AF61" i="23" s="1"/>
  <c r="AD61" i="23" s="1"/>
  <c r="AI65" i="23"/>
  <c r="AH65" i="23" s="1"/>
  <c r="AG65" i="23" s="1"/>
  <c r="AF65" i="23" s="1"/>
  <c r="AD65" i="23" s="1"/>
  <c r="AI69" i="23"/>
  <c r="AH69" i="23" s="1"/>
  <c r="AG69" i="23" s="1"/>
  <c r="AF69" i="23" s="1"/>
  <c r="AD69" i="23" s="1"/>
  <c r="AI73" i="23"/>
  <c r="AH73" i="23" s="1"/>
  <c r="AG73" i="23" s="1"/>
  <c r="AF73" i="23" s="1"/>
  <c r="AD73" i="23" s="1"/>
  <c r="AI77" i="23"/>
  <c r="AH77" i="23" s="1"/>
  <c r="AG77" i="23" s="1"/>
  <c r="AF77" i="23" s="1"/>
  <c r="AD77" i="23" s="1"/>
  <c r="AI81" i="23"/>
  <c r="AH81" i="23" s="1"/>
  <c r="AG81" i="23" s="1"/>
  <c r="AF81" i="23" s="1"/>
  <c r="AD81" i="23" s="1"/>
  <c r="AI85" i="23"/>
  <c r="AH85" i="23" s="1"/>
  <c r="AG85" i="23" s="1"/>
  <c r="AF85" i="23" s="1"/>
  <c r="AD85" i="23" s="1"/>
  <c r="AI89" i="23"/>
  <c r="AH89" i="23" s="1"/>
  <c r="AG89" i="23" s="1"/>
  <c r="AF89" i="23" s="1"/>
  <c r="AD89" i="23" s="1"/>
  <c r="AI93" i="23"/>
  <c r="AH93" i="23" s="1"/>
  <c r="AG93" i="23" s="1"/>
  <c r="AF93" i="23" s="1"/>
  <c r="AD93" i="23" s="1"/>
  <c r="AI97" i="23"/>
  <c r="AH97" i="23" s="1"/>
  <c r="AG97" i="23" s="1"/>
  <c r="AF97" i="23" s="1"/>
  <c r="AD97" i="23" s="1"/>
  <c r="AI101" i="23"/>
  <c r="AH101" i="23" s="1"/>
  <c r="AG101" i="23" s="1"/>
  <c r="AF101" i="23" s="1"/>
  <c r="AD101" i="23" s="1"/>
  <c r="AI109" i="23"/>
  <c r="AH109" i="23" s="1"/>
  <c r="AG109" i="23" s="1"/>
  <c r="AF109" i="23" s="1"/>
  <c r="AD109" i="23" s="1"/>
  <c r="AI141" i="23"/>
  <c r="AH141" i="23" s="1"/>
  <c r="AG141" i="23" s="1"/>
  <c r="AF141" i="23" s="1"/>
  <c r="AD141" i="23" s="1"/>
  <c r="AI168" i="23"/>
  <c r="AH168" i="23" s="1"/>
  <c r="AG168" i="23" s="1"/>
  <c r="AF168" i="23" s="1"/>
  <c r="AD168" i="23" s="1"/>
  <c r="AI184" i="23"/>
  <c r="AH184" i="23" s="1"/>
  <c r="AG184" i="23" s="1"/>
  <c r="AF184" i="23" s="1"/>
  <c r="AD184" i="23" s="1"/>
  <c r="AI200" i="23"/>
  <c r="AH200" i="23" s="1"/>
  <c r="AG200" i="23" s="1"/>
  <c r="AF200" i="23" s="1"/>
  <c r="AD200" i="23" s="1"/>
  <c r="AI216" i="23"/>
  <c r="AH216" i="23" s="1"/>
  <c r="AG216" i="23" s="1"/>
  <c r="AF216" i="23" s="1"/>
  <c r="AD216" i="23" s="1"/>
  <c r="AI232" i="23"/>
  <c r="AH232" i="23" s="1"/>
  <c r="AG232" i="23" s="1"/>
  <c r="AF232" i="23" s="1"/>
  <c r="AD232" i="23" s="1"/>
  <c r="AI248" i="23"/>
  <c r="AH248" i="23" s="1"/>
  <c r="AG248" i="23" s="1"/>
  <c r="AF248" i="23" s="1"/>
  <c r="AD248" i="23" s="1"/>
  <c r="AI264" i="23"/>
  <c r="AH264" i="23" s="1"/>
  <c r="AG264" i="23" s="1"/>
  <c r="AF264" i="23" s="1"/>
  <c r="AD264" i="23" s="1"/>
  <c r="AI280" i="23"/>
  <c r="AH280" i="23" s="1"/>
  <c r="AG280" i="23" s="1"/>
  <c r="AF280" i="23" s="1"/>
  <c r="AD280" i="23" s="1"/>
  <c r="AI296" i="23"/>
  <c r="AH296" i="23" s="1"/>
  <c r="AG296" i="23" s="1"/>
  <c r="AF296" i="23" s="1"/>
  <c r="AD296" i="23" s="1"/>
  <c r="AI312" i="23"/>
  <c r="AH312" i="23" s="1"/>
  <c r="AG312" i="23" s="1"/>
  <c r="AF312" i="23" s="1"/>
  <c r="AD312" i="23" s="1"/>
  <c r="AI328" i="23"/>
  <c r="AH328" i="23" s="1"/>
  <c r="AG328" i="23" s="1"/>
  <c r="AF328" i="23" s="1"/>
  <c r="AD328" i="23" s="1"/>
  <c r="U22" i="23"/>
  <c r="T22" i="23" s="1"/>
  <c r="U17" i="23"/>
  <c r="T17" i="23" s="1"/>
  <c r="S17" i="23" s="1"/>
  <c r="R17" i="23" s="1"/>
  <c r="P17" i="23" s="1"/>
  <c r="V17" i="23" s="1"/>
  <c r="B17" i="23" s="1"/>
  <c r="U27" i="23"/>
  <c r="T27" i="23" s="1"/>
  <c r="S27" i="23" s="1"/>
  <c r="R27" i="23" s="1"/>
  <c r="P27" i="23" s="1"/>
  <c r="V27" i="23" s="1"/>
  <c r="B27" i="23" s="1"/>
  <c r="W27" i="23" s="1"/>
  <c r="U35" i="23"/>
  <c r="T35" i="23" s="1"/>
  <c r="S35" i="23" s="1"/>
  <c r="R35" i="23" s="1"/>
  <c r="P35" i="23" s="1"/>
  <c r="V35" i="23" s="1"/>
  <c r="B35" i="23" s="1"/>
  <c r="U43" i="23"/>
  <c r="T43" i="23" s="1"/>
  <c r="U51" i="23"/>
  <c r="T51" i="23" s="1"/>
  <c r="S51" i="23" s="1"/>
  <c r="R51" i="23" s="1"/>
  <c r="P51" i="23" s="1"/>
  <c r="V51" i="23" s="1"/>
  <c r="B51" i="23" s="1"/>
  <c r="W51" i="23" s="1"/>
  <c r="U59" i="23"/>
  <c r="T59" i="23" s="1"/>
  <c r="S59" i="23" s="1"/>
  <c r="R59" i="23" s="1"/>
  <c r="P59" i="23" s="1"/>
  <c r="V59" i="23" s="1"/>
  <c r="B59" i="23" s="1"/>
  <c r="D59" i="23" s="1"/>
  <c r="E59" i="23" s="1"/>
  <c r="F59" i="23" s="1"/>
  <c r="U67" i="23"/>
  <c r="T67" i="23" s="1"/>
  <c r="S67" i="23" s="1"/>
  <c r="R67" i="23" s="1"/>
  <c r="P67" i="23" s="1"/>
  <c r="V67" i="23" s="1"/>
  <c r="B67" i="23" s="1"/>
  <c r="W67" i="23" s="1"/>
  <c r="U75" i="23"/>
  <c r="T75" i="23" s="1"/>
  <c r="U80" i="23"/>
  <c r="T80" i="23" s="1"/>
  <c r="U84" i="23"/>
  <c r="T84" i="23" s="1"/>
  <c r="S84" i="23" s="1"/>
  <c r="R84" i="23" s="1"/>
  <c r="P84" i="23" s="1"/>
  <c r="V84" i="23" s="1"/>
  <c r="B84" i="23" s="1"/>
  <c r="W84" i="23" s="1"/>
  <c r="U88" i="23"/>
  <c r="T88" i="23" s="1"/>
  <c r="S88" i="23" s="1"/>
  <c r="R88" i="23" s="1"/>
  <c r="P88" i="23" s="1"/>
  <c r="AH46" i="7" s="1"/>
  <c r="U92" i="23"/>
  <c r="T92" i="23" s="1"/>
  <c r="U96" i="23"/>
  <c r="T96" i="23" s="1"/>
  <c r="S96" i="23" s="1"/>
  <c r="R96" i="23" s="1"/>
  <c r="P96" i="23" s="1"/>
  <c r="V96" i="23" s="1"/>
  <c r="B96" i="23" s="1"/>
  <c r="U100" i="23"/>
  <c r="T100" i="23" s="1"/>
  <c r="S100" i="23" s="1"/>
  <c r="R100" i="23" s="1"/>
  <c r="P100" i="23" s="1"/>
  <c r="V100" i="23" s="1"/>
  <c r="B100" i="23" s="1"/>
  <c r="D100" i="23" s="1"/>
  <c r="E100" i="23" s="1"/>
  <c r="F100" i="23" s="1"/>
  <c r="U104" i="23"/>
  <c r="T104" i="23" s="1"/>
  <c r="S104" i="23" s="1"/>
  <c r="R104" i="23" s="1"/>
  <c r="P104" i="23" s="1"/>
  <c r="V104" i="23" s="1"/>
  <c r="B104" i="23" s="1"/>
  <c r="U108" i="23"/>
  <c r="T108" i="23" s="1"/>
  <c r="U112" i="23"/>
  <c r="T112" i="23" s="1"/>
  <c r="S112" i="23" s="1"/>
  <c r="R112" i="23" s="1"/>
  <c r="P112" i="23" s="1"/>
  <c r="V112" i="23" s="1"/>
  <c r="B112" i="23" s="1"/>
  <c r="D112" i="23" s="1"/>
  <c r="E112" i="23" s="1"/>
  <c r="F112" i="23" s="1"/>
  <c r="U116" i="23"/>
  <c r="T116" i="23" s="1"/>
  <c r="U120" i="23"/>
  <c r="T120" i="23" s="1"/>
  <c r="U124" i="23"/>
  <c r="T124" i="23" s="1"/>
  <c r="S124" i="23" s="1"/>
  <c r="R124" i="23" s="1"/>
  <c r="P124" i="23" s="1"/>
  <c r="V124" i="23" s="1"/>
  <c r="B124" i="23" s="1"/>
  <c r="D124" i="23" s="1"/>
  <c r="E124" i="23" s="1"/>
  <c r="F124" i="23" s="1"/>
  <c r="U128" i="23"/>
  <c r="T128" i="23" s="1"/>
  <c r="S128" i="23" s="1"/>
  <c r="R128" i="23" s="1"/>
  <c r="P128" i="23" s="1"/>
  <c r="V128" i="23" s="1"/>
  <c r="B128" i="23" s="1"/>
  <c r="D128" i="23" s="1"/>
  <c r="E128" i="23" s="1"/>
  <c r="F128" i="23" s="1"/>
  <c r="U132" i="23"/>
  <c r="T132" i="23" s="1"/>
  <c r="U136" i="23"/>
  <c r="T136" i="23" s="1"/>
  <c r="S136" i="23" s="1"/>
  <c r="R136" i="23" s="1"/>
  <c r="P136" i="23" s="1"/>
  <c r="V136" i="23" s="1"/>
  <c r="B136" i="23" s="1"/>
  <c r="D136" i="23" s="1"/>
  <c r="E136" i="23" s="1"/>
  <c r="F136" i="23" s="1"/>
  <c r="U140" i="23"/>
  <c r="T140" i="23" s="1"/>
  <c r="U144" i="23"/>
  <c r="T144" i="23" s="1"/>
  <c r="S144" i="23" s="1"/>
  <c r="R144" i="23" s="1"/>
  <c r="P144" i="23" s="1"/>
  <c r="V144" i="23" s="1"/>
  <c r="B144" i="23" s="1"/>
  <c r="U148" i="23"/>
  <c r="T148" i="23" s="1"/>
  <c r="U152" i="23"/>
  <c r="T152" i="23" s="1"/>
  <c r="S152" i="23" s="1"/>
  <c r="R152" i="23" s="1"/>
  <c r="P152" i="23" s="1"/>
  <c r="V152" i="23" s="1"/>
  <c r="B152" i="23" s="1"/>
  <c r="U156" i="23"/>
  <c r="T156" i="23" s="1"/>
  <c r="U160" i="23"/>
  <c r="T160" i="23" s="1"/>
  <c r="S160" i="23" s="1"/>
  <c r="R160" i="23" s="1"/>
  <c r="P160" i="23" s="1"/>
  <c r="V160" i="23" s="1"/>
  <c r="B160" i="23" s="1"/>
  <c r="U164" i="23"/>
  <c r="T164" i="23" s="1"/>
  <c r="U168" i="23"/>
  <c r="T168" i="23" s="1"/>
  <c r="S168" i="23" s="1"/>
  <c r="R168" i="23" s="1"/>
  <c r="P168" i="23" s="1"/>
  <c r="V168" i="23" s="1"/>
  <c r="B168" i="23" s="1"/>
  <c r="D168" i="23" s="1"/>
  <c r="E168" i="23" s="1"/>
  <c r="F168" i="23" s="1"/>
  <c r="U172" i="23"/>
  <c r="T172" i="23" s="1"/>
  <c r="U176" i="23"/>
  <c r="T176" i="23" s="1"/>
  <c r="U180" i="23"/>
  <c r="T180" i="23" s="1"/>
  <c r="U184" i="23"/>
  <c r="T184" i="23" s="1"/>
  <c r="U188" i="23"/>
  <c r="T188" i="23" s="1"/>
  <c r="S188" i="23" s="1"/>
  <c r="R188" i="23" s="1"/>
  <c r="P188" i="23" s="1"/>
  <c r="V188" i="23" s="1"/>
  <c r="B188" i="23" s="1"/>
  <c r="D188" i="23" s="1"/>
  <c r="E188" i="23" s="1"/>
  <c r="F188" i="23" s="1"/>
  <c r="U192" i="23"/>
  <c r="T192" i="23" s="1"/>
  <c r="S192" i="23" s="1"/>
  <c r="R192" i="23" s="1"/>
  <c r="P192" i="23" s="1"/>
  <c r="V192" i="23" s="1"/>
  <c r="B192" i="23" s="1"/>
  <c r="D192" i="23" s="1"/>
  <c r="E192" i="23" s="1"/>
  <c r="F192" i="23" s="1"/>
  <c r="U196" i="23"/>
  <c r="T196" i="23" s="1"/>
  <c r="S196" i="23" s="1"/>
  <c r="R196" i="23" s="1"/>
  <c r="P196" i="23" s="1"/>
  <c r="V196" i="23" s="1"/>
  <c r="B196" i="23" s="1"/>
  <c r="U200" i="23"/>
  <c r="T200" i="23" s="1"/>
  <c r="S200" i="23" s="1"/>
  <c r="R200" i="23" s="1"/>
  <c r="P200" i="23" s="1"/>
  <c r="V200" i="23" s="1"/>
  <c r="B200" i="23" s="1"/>
  <c r="D200" i="23" s="1"/>
  <c r="E200" i="23" s="1"/>
  <c r="F200" i="23" s="1"/>
  <c r="U204" i="23"/>
  <c r="T204" i="23" s="1"/>
  <c r="U208" i="23"/>
  <c r="T208" i="23" s="1"/>
  <c r="S208" i="23" s="1"/>
  <c r="R208" i="23" s="1"/>
  <c r="P208" i="23" s="1"/>
  <c r="V208" i="23" s="1"/>
  <c r="B208" i="23" s="1"/>
  <c r="W208" i="23" s="1"/>
  <c r="U212" i="23"/>
  <c r="T212" i="23" s="1"/>
  <c r="U216" i="23"/>
  <c r="T216" i="23" s="1"/>
  <c r="S216" i="23" s="1"/>
  <c r="R216" i="23" s="1"/>
  <c r="P216" i="23" s="1"/>
  <c r="V216" i="23" s="1"/>
  <c r="B216" i="23" s="1"/>
  <c r="U220" i="23"/>
  <c r="T220" i="23" s="1"/>
  <c r="U224" i="23"/>
  <c r="T224" i="23" s="1"/>
  <c r="S224" i="23" s="1"/>
  <c r="R224" i="23" s="1"/>
  <c r="P224" i="23" s="1"/>
  <c r="V224" i="23" s="1"/>
  <c r="B224" i="23" s="1"/>
  <c r="U228" i="23"/>
  <c r="T228" i="23" s="1"/>
  <c r="U232" i="23"/>
  <c r="T232" i="23" s="1"/>
  <c r="S232" i="23" s="1"/>
  <c r="R232" i="23" s="1"/>
  <c r="P232" i="23" s="1"/>
  <c r="V232" i="23" s="1"/>
  <c r="B232" i="23" s="1"/>
  <c r="U236" i="23"/>
  <c r="T236" i="23" s="1"/>
  <c r="U240" i="23"/>
  <c r="T240" i="23" s="1"/>
  <c r="S240" i="23" s="1"/>
  <c r="R240" i="23" s="1"/>
  <c r="P240" i="23" s="1"/>
  <c r="V240" i="23" s="1"/>
  <c r="B240" i="23" s="1"/>
  <c r="D240" i="23" s="1"/>
  <c r="E240" i="23" s="1"/>
  <c r="F240" i="23" s="1"/>
  <c r="U244" i="23"/>
  <c r="T244" i="23" s="1"/>
  <c r="U248" i="23"/>
  <c r="T248" i="23" s="1"/>
  <c r="S248" i="23" s="1"/>
  <c r="R248" i="23" s="1"/>
  <c r="P248" i="23" s="1"/>
  <c r="V248" i="23" s="1"/>
  <c r="B248" i="23" s="1"/>
  <c r="U252" i="23"/>
  <c r="T252" i="23" s="1"/>
  <c r="U256" i="23"/>
  <c r="T256" i="23" s="1"/>
  <c r="S256" i="23" s="1"/>
  <c r="R256" i="23" s="1"/>
  <c r="P256" i="23" s="1"/>
  <c r="V256" i="23" s="1"/>
  <c r="B256" i="23" s="1"/>
  <c r="D256" i="23" s="1"/>
  <c r="E256" i="23" s="1"/>
  <c r="F256" i="23" s="1"/>
  <c r="U260" i="23"/>
  <c r="T260" i="23" s="1"/>
  <c r="S260" i="23" s="1"/>
  <c r="R260" i="23" s="1"/>
  <c r="P260" i="23" s="1"/>
  <c r="V260" i="23" s="1"/>
  <c r="B260" i="23" s="1"/>
  <c r="W260" i="23" s="1"/>
  <c r="U264" i="23"/>
  <c r="T264" i="23" s="1"/>
  <c r="S264" i="23" s="1"/>
  <c r="R264" i="23" s="1"/>
  <c r="P264" i="23" s="1"/>
  <c r="V264" i="23" s="1"/>
  <c r="B264" i="23" s="1"/>
  <c r="U268" i="23"/>
  <c r="T268" i="23" s="1"/>
  <c r="S268" i="23" s="1"/>
  <c r="R268" i="23" s="1"/>
  <c r="P268" i="23" s="1"/>
  <c r="V268" i="23" s="1"/>
  <c r="B268" i="23" s="1"/>
  <c r="D268" i="23" s="1"/>
  <c r="E268" i="23" s="1"/>
  <c r="F268" i="23" s="1"/>
  <c r="U272" i="23"/>
  <c r="T272" i="23" s="1"/>
  <c r="U276" i="23"/>
  <c r="T276" i="23" s="1"/>
  <c r="U280" i="23"/>
  <c r="T280" i="23" s="1"/>
  <c r="U284" i="23"/>
  <c r="T284" i="23" s="1"/>
  <c r="U288" i="23"/>
  <c r="T288" i="23" s="1"/>
  <c r="S288" i="23" s="1"/>
  <c r="R288" i="23" s="1"/>
  <c r="P288" i="23" s="1"/>
  <c r="V288" i="23" s="1"/>
  <c r="U292" i="23"/>
  <c r="T292" i="23" s="1"/>
  <c r="U296" i="23"/>
  <c r="T296" i="23" s="1"/>
  <c r="S296" i="23" s="1"/>
  <c r="R296" i="23" s="1"/>
  <c r="P296" i="23" s="1"/>
  <c r="V296" i="23" s="1"/>
  <c r="B296" i="23" s="1"/>
  <c r="U300" i="23"/>
  <c r="T300" i="23" s="1"/>
  <c r="U304" i="23"/>
  <c r="T304" i="23" s="1"/>
  <c r="U308" i="23"/>
  <c r="T308" i="23" s="1"/>
  <c r="U312" i="23"/>
  <c r="T312" i="23" s="1"/>
  <c r="U316" i="23"/>
  <c r="T316" i="23" s="1"/>
  <c r="S316" i="23" s="1"/>
  <c r="R316" i="23" s="1"/>
  <c r="P316" i="23" s="1"/>
  <c r="V316" i="23" s="1"/>
  <c r="B316" i="23" s="1"/>
  <c r="D316" i="23" s="1"/>
  <c r="E316" i="23" s="1"/>
  <c r="F316" i="23" s="1"/>
  <c r="U320" i="23"/>
  <c r="T320" i="23" s="1"/>
  <c r="S320" i="23" s="1"/>
  <c r="R320" i="23" s="1"/>
  <c r="P320" i="23" s="1"/>
  <c r="V320" i="23" s="1"/>
  <c r="U324" i="23"/>
  <c r="T324" i="23" s="1"/>
  <c r="U328" i="23"/>
  <c r="T328" i="23" s="1"/>
  <c r="S328" i="23" s="1"/>
  <c r="R328" i="23" s="1"/>
  <c r="P328" i="23" s="1"/>
  <c r="V328" i="23" s="1"/>
  <c r="B328" i="23" s="1"/>
  <c r="U332" i="23"/>
  <c r="T332" i="23" s="1"/>
  <c r="U334" i="23"/>
  <c r="T334" i="23" s="1"/>
  <c r="S334" i="23" s="1"/>
  <c r="R334" i="23" s="1"/>
  <c r="P334" i="23" s="1"/>
  <c r="V334" i="23" s="1"/>
  <c r="B334" i="23" s="1"/>
  <c r="U336" i="23"/>
  <c r="T336" i="23" s="1"/>
  <c r="U338" i="23"/>
  <c r="T338" i="23" s="1"/>
  <c r="S338" i="23" s="1"/>
  <c r="R338" i="23" s="1"/>
  <c r="P338" i="23" s="1"/>
  <c r="V338" i="23" s="1"/>
  <c r="B338" i="23" s="1"/>
  <c r="U340" i="23"/>
  <c r="T340" i="23" s="1"/>
  <c r="U342" i="23"/>
  <c r="T342" i="23" s="1"/>
  <c r="S342" i="23" s="1"/>
  <c r="R342" i="23" s="1"/>
  <c r="P342" i="23" s="1"/>
  <c r="V342" i="23" s="1"/>
  <c r="B342" i="23" s="1"/>
  <c r="U344" i="23"/>
  <c r="T344" i="23" s="1"/>
  <c r="U346" i="23"/>
  <c r="T346" i="23" s="1"/>
  <c r="S346" i="23" s="1"/>
  <c r="R346" i="23" s="1"/>
  <c r="P346" i="23" s="1"/>
  <c r="V346" i="23" s="1"/>
  <c r="B346" i="23" s="1"/>
  <c r="U348" i="23"/>
  <c r="T348" i="23" s="1"/>
  <c r="U350" i="23"/>
  <c r="T350" i="23" s="1"/>
  <c r="S350" i="23" s="1"/>
  <c r="R350" i="23" s="1"/>
  <c r="P350" i="23" s="1"/>
  <c r="V350" i="23" s="1"/>
  <c r="B350" i="23" s="1"/>
  <c r="U352" i="23"/>
  <c r="T352" i="23" s="1"/>
  <c r="S352" i="23" s="1"/>
  <c r="R352" i="23" s="1"/>
  <c r="P352" i="23" s="1"/>
  <c r="V352" i="23" s="1"/>
  <c r="B352" i="23" s="1"/>
  <c r="D352" i="23" s="1"/>
  <c r="E352" i="23" s="1"/>
  <c r="F352" i="23" s="1"/>
  <c r="U354" i="23"/>
  <c r="T354" i="23" s="1"/>
  <c r="S354" i="23" s="1"/>
  <c r="R354" i="23" s="1"/>
  <c r="P354" i="23" s="1"/>
  <c r="V354" i="23" s="1"/>
  <c r="B354" i="23" s="1"/>
  <c r="U356" i="23"/>
  <c r="T356" i="23" s="1"/>
  <c r="U358" i="23"/>
  <c r="T358" i="23" s="1"/>
  <c r="S358" i="23" s="1"/>
  <c r="R358" i="23" s="1"/>
  <c r="P358" i="23" s="1"/>
  <c r="V358" i="23" s="1"/>
  <c r="B358" i="23" s="1"/>
  <c r="U360" i="23"/>
  <c r="T360" i="23" s="1"/>
  <c r="S360" i="23" s="1"/>
  <c r="R360" i="23" s="1"/>
  <c r="P360" i="23" s="1"/>
  <c r="V360" i="23" s="1"/>
  <c r="B360" i="23" s="1"/>
  <c r="D360" i="23" s="1"/>
  <c r="E360" i="23" s="1"/>
  <c r="F360" i="23" s="1"/>
  <c r="U362" i="23"/>
  <c r="T362" i="23" s="1"/>
  <c r="S362" i="23" s="1"/>
  <c r="R362" i="23" s="1"/>
  <c r="P362" i="23" s="1"/>
  <c r="V362" i="23" s="1"/>
  <c r="B362" i="23" s="1"/>
  <c r="U364" i="23"/>
  <c r="T364" i="23" s="1"/>
  <c r="S364" i="23" s="1"/>
  <c r="R364" i="23" s="1"/>
  <c r="P364" i="23" s="1"/>
  <c r="V364" i="23" s="1"/>
  <c r="B364" i="23" s="1"/>
  <c r="D364" i="23" s="1"/>
  <c r="E364" i="23" s="1"/>
  <c r="F364" i="23" s="1"/>
  <c r="U366" i="23"/>
  <c r="T366" i="23" s="1"/>
  <c r="S366" i="23" s="1"/>
  <c r="R366" i="23" s="1"/>
  <c r="P366" i="23" s="1"/>
  <c r="V366" i="23" s="1"/>
  <c r="B366" i="23" s="1"/>
  <c r="U368" i="23"/>
  <c r="T368" i="23" s="1"/>
  <c r="S368" i="23" s="1"/>
  <c r="R368" i="23" s="1"/>
  <c r="P368" i="23" s="1"/>
  <c r="V368" i="23" s="1"/>
  <c r="B368" i="23" s="1"/>
  <c r="D368" i="23" s="1"/>
  <c r="E368" i="23" s="1"/>
  <c r="F368" i="23" s="1"/>
  <c r="U370" i="23"/>
  <c r="T370" i="23" s="1"/>
  <c r="S370" i="23" s="1"/>
  <c r="R370" i="23" s="1"/>
  <c r="P370" i="23" s="1"/>
  <c r="V370" i="23" s="1"/>
  <c r="B370" i="23" s="1"/>
  <c r="U372" i="23"/>
  <c r="T372" i="23" s="1"/>
  <c r="U374" i="23"/>
  <c r="T374" i="23" s="1"/>
  <c r="S374" i="23" s="1"/>
  <c r="R374" i="23" s="1"/>
  <c r="P374" i="23" s="1"/>
  <c r="V374" i="23" s="1"/>
  <c r="B374" i="23" s="1"/>
  <c r="U376" i="23"/>
  <c r="T376" i="23" s="1"/>
  <c r="S376" i="23" s="1"/>
  <c r="R376" i="23" s="1"/>
  <c r="P376" i="23" s="1"/>
  <c r="V376" i="23" s="1"/>
  <c r="B376" i="23" s="1"/>
  <c r="W376" i="23" s="1"/>
  <c r="U378" i="23"/>
  <c r="T378" i="23" s="1"/>
  <c r="S378" i="23" s="1"/>
  <c r="R378" i="23" s="1"/>
  <c r="P378" i="23" s="1"/>
  <c r="V378" i="23" s="1"/>
  <c r="B378" i="23" s="1"/>
  <c r="AI22" i="23"/>
  <c r="AH22" i="23" s="1"/>
  <c r="AG22" i="23" s="1"/>
  <c r="AF22" i="23" s="1"/>
  <c r="AD22" i="23" s="1"/>
  <c r="AI23" i="23"/>
  <c r="AH23" i="23" s="1"/>
  <c r="AG23" i="23" s="1"/>
  <c r="AF23" i="23" s="1"/>
  <c r="AD23" i="23" s="1"/>
  <c r="AI16" i="23"/>
  <c r="AH16" i="23" s="1"/>
  <c r="AG16" i="23" s="1"/>
  <c r="AF16" i="23" s="1"/>
  <c r="AD16" i="23" s="1"/>
  <c r="AI15" i="23"/>
  <c r="AI24" i="23"/>
  <c r="AH24" i="23" s="1"/>
  <c r="AG24" i="23" s="1"/>
  <c r="AF24" i="23" s="1"/>
  <c r="AD24" i="23" s="1"/>
  <c r="AI26" i="23"/>
  <c r="AH26" i="23" s="1"/>
  <c r="AG26" i="23" s="1"/>
  <c r="AF26" i="23" s="1"/>
  <c r="AD26" i="23" s="1"/>
  <c r="AI28" i="23"/>
  <c r="AH28" i="23" s="1"/>
  <c r="AG28" i="23" s="1"/>
  <c r="AF28" i="23" s="1"/>
  <c r="AD28" i="23" s="1"/>
  <c r="AI30" i="23"/>
  <c r="AH30" i="23" s="1"/>
  <c r="AG30" i="23" s="1"/>
  <c r="AF30" i="23" s="1"/>
  <c r="AD30" i="23" s="1"/>
  <c r="AI32" i="23"/>
  <c r="AH32" i="23" s="1"/>
  <c r="AI34" i="23"/>
  <c r="AH34" i="23" s="1"/>
  <c r="AG34" i="23" s="1"/>
  <c r="AF34" i="23" s="1"/>
  <c r="AD34" i="23" s="1"/>
  <c r="AI36" i="23"/>
  <c r="AH36" i="23" s="1"/>
  <c r="AG36" i="23" s="1"/>
  <c r="AF36" i="23" s="1"/>
  <c r="AD36" i="23" s="1"/>
  <c r="AI38" i="23"/>
  <c r="AH38" i="23" s="1"/>
  <c r="AG38" i="23" s="1"/>
  <c r="AF38" i="23" s="1"/>
  <c r="AD38" i="23" s="1"/>
  <c r="AI40" i="23"/>
  <c r="AH40" i="23" s="1"/>
  <c r="AI42" i="23"/>
  <c r="AH42" i="23" s="1"/>
  <c r="AG42" i="23" s="1"/>
  <c r="AF42" i="23" s="1"/>
  <c r="AD42" i="23" s="1"/>
  <c r="AI44" i="23"/>
  <c r="AH44" i="23" s="1"/>
  <c r="AG44" i="23" s="1"/>
  <c r="AF44" i="23" s="1"/>
  <c r="AD44" i="23" s="1"/>
  <c r="AI46" i="23"/>
  <c r="AH46" i="23" s="1"/>
  <c r="AG46" i="23" s="1"/>
  <c r="AF46" i="23" s="1"/>
  <c r="AD46" i="23" s="1"/>
  <c r="AI48" i="23"/>
  <c r="AH48" i="23" s="1"/>
  <c r="AG48" i="23" s="1"/>
  <c r="AF48" i="23" s="1"/>
  <c r="AD48" i="23" s="1"/>
  <c r="AI50" i="23"/>
  <c r="AH50" i="23" s="1"/>
  <c r="AG50" i="23" s="1"/>
  <c r="AF50" i="23" s="1"/>
  <c r="AD50" i="23" s="1"/>
  <c r="AI52" i="23"/>
  <c r="AH52" i="23" s="1"/>
  <c r="AI54" i="23"/>
  <c r="AH54" i="23" s="1"/>
  <c r="AG54" i="23" s="1"/>
  <c r="AF54" i="23" s="1"/>
  <c r="AD54" i="23" s="1"/>
  <c r="AI56" i="23"/>
  <c r="AH56" i="23" s="1"/>
  <c r="AG56" i="23" s="1"/>
  <c r="AF56" i="23" s="1"/>
  <c r="AD56" i="23" s="1"/>
  <c r="AI58" i="23"/>
  <c r="AH58" i="23" s="1"/>
  <c r="AG58" i="23" s="1"/>
  <c r="AF58" i="23" s="1"/>
  <c r="AD58" i="23" s="1"/>
  <c r="AI60" i="23"/>
  <c r="AH60" i="23" s="1"/>
  <c r="AG60" i="23" s="1"/>
  <c r="AF60" i="23" s="1"/>
  <c r="AD60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I102" i="23"/>
  <c r="AH102" i="23" s="1"/>
  <c r="AG102" i="23" s="1"/>
  <c r="AF102" i="23" s="1"/>
  <c r="AD102" i="23" s="1"/>
  <c r="AI114" i="23"/>
  <c r="AH114" i="23" s="1"/>
  <c r="AG114" i="23" s="1"/>
  <c r="AF114" i="23" s="1"/>
  <c r="AD114" i="23" s="1"/>
  <c r="AI130" i="23"/>
  <c r="AH130" i="23" s="1"/>
  <c r="AG130" i="23" s="1"/>
  <c r="AF130" i="23" s="1"/>
  <c r="AD130" i="23" s="1"/>
  <c r="AI146" i="23"/>
  <c r="AH146" i="23" s="1"/>
  <c r="AG146" i="23" s="1"/>
  <c r="AF146" i="23" s="1"/>
  <c r="AD146" i="23" s="1"/>
  <c r="AI162" i="23"/>
  <c r="AH162" i="23" s="1"/>
  <c r="AG162" i="23" s="1"/>
  <c r="AF162" i="23" s="1"/>
  <c r="AD162" i="23" s="1"/>
  <c r="Q293" i="24"/>
  <c r="Q357" i="24"/>
  <c r="Q229" i="24"/>
  <c r="Q325" i="24"/>
  <c r="Q261" i="24"/>
  <c r="Q167" i="24"/>
  <c r="Q373" i="24"/>
  <c r="Q341" i="24"/>
  <c r="Q309" i="24"/>
  <c r="Q277" i="24"/>
  <c r="Q245" i="24"/>
  <c r="Q199" i="24"/>
  <c r="Q127" i="24"/>
  <c r="AU16" i="7"/>
  <c r="U23" i="23"/>
  <c r="T23" i="23" s="1"/>
  <c r="S23" i="23" s="1"/>
  <c r="R23" i="23" s="1"/>
  <c r="P23" i="23" s="1"/>
  <c r="V23" i="23" s="1"/>
  <c r="B23" i="23" s="1"/>
  <c r="U18" i="23"/>
  <c r="T18" i="23" s="1"/>
  <c r="S18" i="23" s="1"/>
  <c r="R18" i="23" s="1"/>
  <c r="P18" i="23" s="1"/>
  <c r="V18" i="23" s="1"/>
  <c r="B18" i="23" s="1"/>
  <c r="U19" i="23"/>
  <c r="T19" i="23" s="1"/>
  <c r="U20" i="23"/>
  <c r="T20" i="23" s="1"/>
  <c r="S20" i="23" s="1"/>
  <c r="R20" i="23" s="1"/>
  <c r="P20" i="23" s="1"/>
  <c r="V20" i="23" s="1"/>
  <c r="B20" i="23" s="1"/>
  <c r="U24" i="23"/>
  <c r="T24" i="23" s="1"/>
  <c r="S24" i="23" s="1"/>
  <c r="R24" i="23" s="1"/>
  <c r="P24" i="23" s="1"/>
  <c r="V24" i="23" s="1"/>
  <c r="B24" i="23" s="1"/>
  <c r="U26" i="23"/>
  <c r="T26" i="23" s="1"/>
  <c r="S26" i="23" s="1"/>
  <c r="R26" i="23" s="1"/>
  <c r="P26" i="23" s="1"/>
  <c r="V26" i="23" s="1"/>
  <c r="B26" i="23" s="1"/>
  <c r="W26" i="23" s="1"/>
  <c r="U28" i="23"/>
  <c r="T28" i="23" s="1"/>
  <c r="U30" i="23"/>
  <c r="T30" i="23" s="1"/>
  <c r="S30" i="23" s="1"/>
  <c r="R30" i="23" s="1"/>
  <c r="P30" i="23" s="1"/>
  <c r="V30" i="23" s="1"/>
  <c r="B30" i="23" s="1"/>
  <c r="U32" i="23"/>
  <c r="T32" i="23" s="1"/>
  <c r="S32" i="23" s="1"/>
  <c r="R32" i="23" s="1"/>
  <c r="P32" i="23" s="1"/>
  <c r="V32" i="23" s="1"/>
  <c r="B32" i="23" s="1"/>
  <c r="U34" i="23"/>
  <c r="T34" i="23" s="1"/>
  <c r="S34" i="23" s="1"/>
  <c r="R34" i="23" s="1"/>
  <c r="P34" i="23" s="1"/>
  <c r="V34" i="23" s="1"/>
  <c r="B34" i="23" s="1"/>
  <c r="U36" i="23"/>
  <c r="T36" i="23" s="1"/>
  <c r="U38" i="23"/>
  <c r="T38" i="23" s="1"/>
  <c r="S38" i="23" s="1"/>
  <c r="R38" i="23" s="1"/>
  <c r="P38" i="23" s="1"/>
  <c r="V38" i="23" s="1"/>
  <c r="B38" i="23" s="1"/>
  <c r="U40" i="23"/>
  <c r="T40" i="23" s="1"/>
  <c r="S40" i="23" s="1"/>
  <c r="R40" i="23" s="1"/>
  <c r="P40" i="23" s="1"/>
  <c r="V40" i="23" s="1"/>
  <c r="B40" i="23" s="1"/>
  <c r="U42" i="23"/>
  <c r="T42" i="23" s="1"/>
  <c r="S42" i="23" s="1"/>
  <c r="R42" i="23" s="1"/>
  <c r="P42" i="23" s="1"/>
  <c r="V42" i="23" s="1"/>
  <c r="B42" i="23" s="1"/>
  <c r="U44" i="23"/>
  <c r="T44" i="23" s="1"/>
  <c r="U46" i="23"/>
  <c r="T46" i="23" s="1"/>
  <c r="S46" i="23" s="1"/>
  <c r="R46" i="23" s="1"/>
  <c r="P46" i="23" s="1"/>
  <c r="V46" i="23" s="1"/>
  <c r="U48" i="23"/>
  <c r="T48" i="23" s="1"/>
  <c r="S48" i="23" s="1"/>
  <c r="R48" i="23" s="1"/>
  <c r="P48" i="23" s="1"/>
  <c r="V48" i="23" s="1"/>
  <c r="B48" i="23" s="1"/>
  <c r="U50" i="23"/>
  <c r="T50" i="23" s="1"/>
  <c r="S50" i="23" s="1"/>
  <c r="R50" i="23" s="1"/>
  <c r="P50" i="23" s="1"/>
  <c r="V50" i="23" s="1"/>
  <c r="B50" i="23" s="1"/>
  <c r="U52" i="23"/>
  <c r="T52" i="23" s="1"/>
  <c r="U54" i="23"/>
  <c r="T54" i="23" s="1"/>
  <c r="S54" i="23" s="1"/>
  <c r="R54" i="23" s="1"/>
  <c r="P54" i="23" s="1"/>
  <c r="V54" i="23" s="1"/>
  <c r="B54" i="23" s="1"/>
  <c r="U56" i="23"/>
  <c r="T56" i="23" s="1"/>
  <c r="S56" i="23" s="1"/>
  <c r="R56" i="23" s="1"/>
  <c r="P56" i="23" s="1"/>
  <c r="V56" i="23" s="1"/>
  <c r="B56" i="23" s="1"/>
  <c r="U58" i="23"/>
  <c r="T58" i="23" s="1"/>
  <c r="S58" i="23" s="1"/>
  <c r="R58" i="23" s="1"/>
  <c r="P58" i="23" s="1"/>
  <c r="V58" i="23" s="1"/>
  <c r="B58" i="23" s="1"/>
  <c r="U60" i="23"/>
  <c r="T60" i="23" s="1"/>
  <c r="U62" i="23"/>
  <c r="T62" i="23" s="1"/>
  <c r="S62" i="23" s="1"/>
  <c r="R62" i="23" s="1"/>
  <c r="P62" i="23" s="1"/>
  <c r="V62" i="23" s="1"/>
  <c r="B62" i="23" s="1"/>
  <c r="U64" i="23"/>
  <c r="T64" i="23" s="1"/>
  <c r="S64" i="23" s="1"/>
  <c r="R64" i="23" s="1"/>
  <c r="P64" i="23" s="1"/>
  <c r="V64" i="23" s="1"/>
  <c r="B64" i="23" s="1"/>
  <c r="U66" i="23"/>
  <c r="T66" i="23" s="1"/>
  <c r="S66" i="23" s="1"/>
  <c r="R66" i="23" s="1"/>
  <c r="P66" i="23" s="1"/>
  <c r="V66" i="23" s="1"/>
  <c r="B66" i="23" s="1"/>
  <c r="W66" i="23" s="1"/>
  <c r="U68" i="23"/>
  <c r="T68" i="23" s="1"/>
  <c r="U70" i="23"/>
  <c r="T70" i="23" s="1"/>
  <c r="S70" i="23" s="1"/>
  <c r="R70" i="23" s="1"/>
  <c r="P70" i="23" s="1"/>
  <c r="V70" i="23" s="1"/>
  <c r="B70" i="23" s="1"/>
  <c r="U72" i="23"/>
  <c r="T72" i="23" s="1"/>
  <c r="S72" i="23" s="1"/>
  <c r="R72" i="23" s="1"/>
  <c r="P72" i="23" s="1"/>
  <c r="V72" i="23" s="1"/>
  <c r="B72" i="23" s="1"/>
  <c r="U74" i="23"/>
  <c r="T74" i="23" s="1"/>
  <c r="S74" i="23" s="1"/>
  <c r="R74" i="23" s="1"/>
  <c r="P74" i="23" s="1"/>
  <c r="V74" i="23" s="1"/>
  <c r="B74" i="23" s="1"/>
  <c r="U76" i="23"/>
  <c r="T76" i="23" s="1"/>
  <c r="U15" i="23"/>
  <c r="T15" i="23" s="1"/>
  <c r="U16" i="23"/>
  <c r="T16" i="23" s="1"/>
  <c r="S16" i="23" s="1"/>
  <c r="R16" i="23" s="1"/>
  <c r="P16" i="23" s="1"/>
  <c r="V16" i="23" s="1"/>
  <c r="B16" i="23" s="1"/>
  <c r="U25" i="23"/>
  <c r="T25" i="23" s="1"/>
  <c r="S25" i="23" s="1"/>
  <c r="R25" i="23" s="1"/>
  <c r="P25" i="23" s="1"/>
  <c r="V25" i="23" s="1"/>
  <c r="B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B33" i="23" s="1"/>
  <c r="U37" i="23"/>
  <c r="T37" i="23" s="1"/>
  <c r="S37" i="23" s="1"/>
  <c r="R37" i="23" s="1"/>
  <c r="P37" i="23" s="1"/>
  <c r="V37" i="23" s="1"/>
  <c r="B37" i="23" s="1"/>
  <c r="U41" i="23"/>
  <c r="T41" i="23" s="1"/>
  <c r="S41" i="23" s="1"/>
  <c r="R41" i="23" s="1"/>
  <c r="P41" i="23" s="1"/>
  <c r="V41" i="23" s="1"/>
  <c r="B41" i="23" s="1"/>
  <c r="U45" i="23"/>
  <c r="T45" i="23" s="1"/>
  <c r="S45" i="23" s="1"/>
  <c r="R45" i="23" s="1"/>
  <c r="P45" i="23" s="1"/>
  <c r="V45" i="23" s="1"/>
  <c r="B45" i="23" s="1"/>
  <c r="U49" i="23"/>
  <c r="T49" i="23" s="1"/>
  <c r="S49" i="23" s="1"/>
  <c r="R49" i="23" s="1"/>
  <c r="P49" i="23" s="1"/>
  <c r="V49" i="23" s="1"/>
  <c r="B49" i="23" s="1"/>
  <c r="U53" i="23"/>
  <c r="T53" i="23" s="1"/>
  <c r="S53" i="23" s="1"/>
  <c r="R53" i="23" s="1"/>
  <c r="P53" i="23" s="1"/>
  <c r="V53" i="23" s="1"/>
  <c r="B53" i="23" s="1"/>
  <c r="D53" i="23" s="1"/>
  <c r="E53" i="23" s="1"/>
  <c r="F53" i="23" s="1"/>
  <c r="U57" i="23"/>
  <c r="T57" i="23" s="1"/>
  <c r="S57" i="23" s="1"/>
  <c r="R57" i="23" s="1"/>
  <c r="P57" i="23" s="1"/>
  <c r="V57" i="23" s="1"/>
  <c r="B57" i="23" s="1"/>
  <c r="U61" i="23"/>
  <c r="T61" i="23" s="1"/>
  <c r="S61" i="23" s="1"/>
  <c r="R61" i="23" s="1"/>
  <c r="P61" i="23" s="1"/>
  <c r="V61" i="23" s="1"/>
  <c r="B61" i="23" s="1"/>
  <c r="U65" i="23"/>
  <c r="T65" i="23" s="1"/>
  <c r="S65" i="23" s="1"/>
  <c r="R65" i="23" s="1"/>
  <c r="P65" i="23" s="1"/>
  <c r="V65" i="23" s="1"/>
  <c r="B65" i="23" s="1"/>
  <c r="U69" i="23"/>
  <c r="T69" i="23" s="1"/>
  <c r="S69" i="23" s="1"/>
  <c r="R69" i="23" s="1"/>
  <c r="P69" i="23" s="1"/>
  <c r="V69" i="23" s="1"/>
  <c r="B69" i="23" s="1"/>
  <c r="U73" i="23"/>
  <c r="T73" i="23" s="1"/>
  <c r="S73" i="23" s="1"/>
  <c r="R73" i="23" s="1"/>
  <c r="P73" i="23" s="1"/>
  <c r="V73" i="23" s="1"/>
  <c r="B73" i="23" s="1"/>
  <c r="U77" i="23"/>
  <c r="T77" i="23" s="1"/>
  <c r="U79" i="23"/>
  <c r="T79" i="23" s="1"/>
  <c r="S79" i="23" s="1"/>
  <c r="R79" i="23" s="1"/>
  <c r="P79" i="23" s="1"/>
  <c r="V79" i="23" s="1"/>
  <c r="B79" i="23" s="1"/>
  <c r="U81" i="23"/>
  <c r="T81" i="23" s="1"/>
  <c r="S81" i="23" s="1"/>
  <c r="R81" i="23" s="1"/>
  <c r="P81" i="23" s="1"/>
  <c r="V81" i="23" s="1"/>
  <c r="B81" i="23" s="1"/>
  <c r="U83" i="23"/>
  <c r="T83" i="23" s="1"/>
  <c r="S83" i="23" s="1"/>
  <c r="R83" i="23" s="1"/>
  <c r="P83" i="23" s="1"/>
  <c r="V83" i="23" s="1"/>
  <c r="B83" i="23" s="1"/>
  <c r="U85" i="23"/>
  <c r="T85" i="23" s="1"/>
  <c r="S85" i="23" s="1"/>
  <c r="R85" i="23" s="1"/>
  <c r="P85" i="23" s="1"/>
  <c r="V85" i="23" s="1"/>
  <c r="B85" i="23" s="1"/>
  <c r="U87" i="23"/>
  <c r="T87" i="23" s="1"/>
  <c r="S87" i="23" s="1"/>
  <c r="R87" i="23" s="1"/>
  <c r="P87" i="23" s="1"/>
  <c r="V87" i="23" s="1"/>
  <c r="B87" i="23" s="1"/>
  <c r="U89" i="23"/>
  <c r="T89" i="23" s="1"/>
  <c r="S89" i="23" s="1"/>
  <c r="R89" i="23" s="1"/>
  <c r="P89" i="23" s="1"/>
  <c r="V89" i="23" s="1"/>
  <c r="B89" i="23" s="1"/>
  <c r="U91" i="23"/>
  <c r="T91" i="23" s="1"/>
  <c r="S91" i="23" s="1"/>
  <c r="R91" i="23" s="1"/>
  <c r="P91" i="23" s="1"/>
  <c r="V91" i="23" s="1"/>
  <c r="B91" i="23" s="1"/>
  <c r="U93" i="23"/>
  <c r="T93" i="23" s="1"/>
  <c r="U95" i="23"/>
  <c r="T95" i="23" s="1"/>
  <c r="S95" i="23" s="1"/>
  <c r="R95" i="23" s="1"/>
  <c r="P95" i="23" s="1"/>
  <c r="V95" i="23" s="1"/>
  <c r="B95" i="23" s="1"/>
  <c r="U97" i="23"/>
  <c r="T97" i="23" s="1"/>
  <c r="S97" i="23" s="1"/>
  <c r="R97" i="23" s="1"/>
  <c r="P97" i="23" s="1"/>
  <c r="V97" i="23" s="1"/>
  <c r="B97" i="23" s="1"/>
  <c r="D97" i="23" s="1"/>
  <c r="E97" i="23" s="1"/>
  <c r="F97" i="23" s="1"/>
  <c r="U99" i="23"/>
  <c r="T99" i="23" s="1"/>
  <c r="S99" i="23" s="1"/>
  <c r="R99" i="23" s="1"/>
  <c r="P99" i="23" s="1"/>
  <c r="V99" i="23" s="1"/>
  <c r="B99" i="23" s="1"/>
  <c r="U101" i="23"/>
  <c r="T101" i="23" s="1"/>
  <c r="S101" i="23" s="1"/>
  <c r="R101" i="23" s="1"/>
  <c r="P101" i="23" s="1"/>
  <c r="V101" i="23" s="1"/>
  <c r="B101" i="23" s="1"/>
  <c r="W101" i="23" s="1"/>
  <c r="U103" i="23"/>
  <c r="T103" i="23" s="1"/>
  <c r="S103" i="23" s="1"/>
  <c r="R103" i="23" s="1"/>
  <c r="P103" i="23" s="1"/>
  <c r="V103" i="23" s="1"/>
  <c r="B103" i="23" s="1"/>
  <c r="U105" i="23"/>
  <c r="T105" i="23" s="1"/>
  <c r="S105" i="23" s="1"/>
  <c r="R105" i="23" s="1"/>
  <c r="P105" i="23" s="1"/>
  <c r="V105" i="23" s="1"/>
  <c r="B105" i="23" s="1"/>
  <c r="U107" i="23"/>
  <c r="T107" i="23" s="1"/>
  <c r="S107" i="23" s="1"/>
  <c r="R107" i="23" s="1"/>
  <c r="P107" i="23" s="1"/>
  <c r="V107" i="23" s="1"/>
  <c r="B107" i="23" s="1"/>
  <c r="U109" i="23"/>
  <c r="T109" i="23" s="1"/>
  <c r="S109" i="23" s="1"/>
  <c r="R109" i="23" s="1"/>
  <c r="P109" i="23" s="1"/>
  <c r="V109" i="23" s="1"/>
  <c r="B109" i="23" s="1"/>
  <c r="U111" i="23"/>
  <c r="T111" i="23" s="1"/>
  <c r="S111" i="23" s="1"/>
  <c r="R111" i="23" s="1"/>
  <c r="P111" i="23" s="1"/>
  <c r="V111" i="23" s="1"/>
  <c r="B111" i="23" s="1"/>
  <c r="U113" i="23"/>
  <c r="T113" i="23" s="1"/>
  <c r="S113" i="23" s="1"/>
  <c r="R113" i="23" s="1"/>
  <c r="P113" i="23" s="1"/>
  <c r="V113" i="23" s="1"/>
  <c r="B113" i="23" s="1"/>
  <c r="W113" i="23" s="1"/>
  <c r="U115" i="23"/>
  <c r="T115" i="23" s="1"/>
  <c r="S115" i="23" s="1"/>
  <c r="R115" i="23" s="1"/>
  <c r="P115" i="23" s="1"/>
  <c r="V115" i="23" s="1"/>
  <c r="B115" i="23" s="1"/>
  <c r="U117" i="23"/>
  <c r="T117" i="23" s="1"/>
  <c r="S117" i="23" s="1"/>
  <c r="R117" i="23" s="1"/>
  <c r="P117" i="23" s="1"/>
  <c r="V117" i="23" s="1"/>
  <c r="B117" i="23" s="1"/>
  <c r="U119" i="23"/>
  <c r="T119" i="23" s="1"/>
  <c r="S119" i="23" s="1"/>
  <c r="R119" i="23" s="1"/>
  <c r="P119" i="23" s="1"/>
  <c r="U121" i="23"/>
  <c r="T121" i="23" s="1"/>
  <c r="S121" i="23" s="1"/>
  <c r="R121" i="23" s="1"/>
  <c r="P121" i="23" s="1"/>
  <c r="V121" i="23" s="1"/>
  <c r="B121" i="23" s="1"/>
  <c r="U123" i="23"/>
  <c r="T123" i="23" s="1"/>
  <c r="S123" i="23" s="1"/>
  <c r="R123" i="23" s="1"/>
  <c r="P123" i="23" s="1"/>
  <c r="V123" i="23" s="1"/>
  <c r="B123" i="23" s="1"/>
  <c r="U125" i="23"/>
  <c r="T125" i="23" s="1"/>
  <c r="U127" i="23"/>
  <c r="T127" i="23" s="1"/>
  <c r="S127" i="23" s="1"/>
  <c r="R127" i="23" s="1"/>
  <c r="P127" i="23" s="1"/>
  <c r="V127" i="23" s="1"/>
  <c r="B127" i="23" s="1"/>
  <c r="U129" i="23"/>
  <c r="T129" i="23" s="1"/>
  <c r="S129" i="23" s="1"/>
  <c r="R129" i="23" s="1"/>
  <c r="P129" i="23" s="1"/>
  <c r="V129" i="23" s="1"/>
  <c r="B129" i="23" s="1"/>
  <c r="U131" i="23"/>
  <c r="T131" i="23" s="1"/>
  <c r="S131" i="23" s="1"/>
  <c r="R131" i="23" s="1"/>
  <c r="P131" i="23" s="1"/>
  <c r="V131" i="23" s="1"/>
  <c r="B131" i="23" s="1"/>
  <c r="U133" i="23"/>
  <c r="T133" i="23" s="1"/>
  <c r="S133" i="23" s="1"/>
  <c r="R133" i="23" s="1"/>
  <c r="P133" i="23" s="1"/>
  <c r="V133" i="23" s="1"/>
  <c r="B133" i="23" s="1"/>
  <c r="U135" i="23"/>
  <c r="T135" i="23" s="1"/>
  <c r="S135" i="23" s="1"/>
  <c r="R135" i="23" s="1"/>
  <c r="P135" i="23" s="1"/>
  <c r="V135" i="23" s="1"/>
  <c r="U137" i="23"/>
  <c r="T137" i="23" s="1"/>
  <c r="S137" i="23" s="1"/>
  <c r="R137" i="23" s="1"/>
  <c r="P137" i="23" s="1"/>
  <c r="V137" i="23" s="1"/>
  <c r="B137" i="23" s="1"/>
  <c r="D137" i="23" s="1"/>
  <c r="E137" i="23" s="1"/>
  <c r="F137" i="23" s="1"/>
  <c r="U139" i="23"/>
  <c r="T139" i="23" s="1"/>
  <c r="S139" i="23" s="1"/>
  <c r="R139" i="23" s="1"/>
  <c r="P139" i="23" s="1"/>
  <c r="V139" i="23" s="1"/>
  <c r="B139" i="23" s="1"/>
  <c r="U141" i="23"/>
  <c r="T141" i="23" s="1"/>
  <c r="S141" i="23" s="1"/>
  <c r="R141" i="23" s="1"/>
  <c r="P141" i="23" s="1"/>
  <c r="V141" i="23" s="1"/>
  <c r="B141" i="23" s="1"/>
  <c r="U143" i="23"/>
  <c r="T143" i="23" s="1"/>
  <c r="S143" i="23" s="1"/>
  <c r="R143" i="23" s="1"/>
  <c r="P143" i="23" s="1"/>
  <c r="V143" i="23" s="1"/>
  <c r="B143" i="23" s="1"/>
  <c r="W143" i="23" s="1"/>
  <c r="U145" i="23"/>
  <c r="T145" i="23" s="1"/>
  <c r="U147" i="23"/>
  <c r="T147" i="23" s="1"/>
  <c r="U149" i="23"/>
  <c r="T149" i="23" s="1"/>
  <c r="U151" i="23"/>
  <c r="T151" i="23" s="1"/>
  <c r="U153" i="23"/>
  <c r="T153" i="23" s="1"/>
  <c r="S153" i="23" s="1"/>
  <c r="R153" i="23" s="1"/>
  <c r="P153" i="23" s="1"/>
  <c r="V153" i="23" s="1"/>
  <c r="B153" i="23" s="1"/>
  <c r="W153" i="23" s="1"/>
  <c r="U155" i="23"/>
  <c r="T155" i="23" s="1"/>
  <c r="S155" i="23" s="1"/>
  <c r="R155" i="23" s="1"/>
  <c r="P155" i="23" s="1"/>
  <c r="V155" i="23" s="1"/>
  <c r="B155" i="23" s="1"/>
  <c r="U157" i="23"/>
  <c r="T157" i="23" s="1"/>
  <c r="U159" i="23"/>
  <c r="T159" i="23" s="1"/>
  <c r="S159" i="23" s="1"/>
  <c r="R159" i="23" s="1"/>
  <c r="P159" i="23" s="1"/>
  <c r="V159" i="23" s="1"/>
  <c r="B159" i="23" s="1"/>
  <c r="D159" i="23" s="1"/>
  <c r="E159" i="23" s="1"/>
  <c r="F159" i="23" s="1"/>
  <c r="U161" i="23"/>
  <c r="T161" i="23" s="1"/>
  <c r="S161" i="23" s="1"/>
  <c r="R161" i="23" s="1"/>
  <c r="P161" i="23" s="1"/>
  <c r="V161" i="23" s="1"/>
  <c r="B161" i="23" s="1"/>
  <c r="U163" i="23"/>
  <c r="T163" i="23" s="1"/>
  <c r="S163" i="23" s="1"/>
  <c r="R163" i="23" s="1"/>
  <c r="P163" i="23" s="1"/>
  <c r="V163" i="23" s="1"/>
  <c r="B163" i="23" s="1"/>
  <c r="U165" i="23"/>
  <c r="T165" i="23" s="1"/>
  <c r="S165" i="23" s="1"/>
  <c r="R165" i="23" s="1"/>
  <c r="P165" i="23" s="1"/>
  <c r="V165" i="23" s="1"/>
  <c r="B165" i="23" s="1"/>
  <c r="U167" i="23"/>
  <c r="T167" i="23" s="1"/>
  <c r="S167" i="23" s="1"/>
  <c r="R167" i="23" s="1"/>
  <c r="P167" i="23" s="1"/>
  <c r="V167" i="23" s="1"/>
  <c r="B167" i="23" s="1"/>
  <c r="U169" i="23"/>
  <c r="T169" i="23" s="1"/>
  <c r="S169" i="23" s="1"/>
  <c r="R169" i="23" s="1"/>
  <c r="P169" i="23" s="1"/>
  <c r="V169" i="23" s="1"/>
  <c r="B169" i="23" s="1"/>
  <c r="U171" i="23"/>
  <c r="T171" i="23" s="1"/>
  <c r="S171" i="23" s="1"/>
  <c r="R171" i="23" s="1"/>
  <c r="P171" i="23" s="1"/>
  <c r="V171" i="23" s="1"/>
  <c r="B171" i="23" s="1"/>
  <c r="U173" i="23"/>
  <c r="T173" i="23" s="1"/>
  <c r="U175" i="23"/>
  <c r="T175" i="23" s="1"/>
  <c r="S175" i="23" s="1"/>
  <c r="R175" i="23" s="1"/>
  <c r="P175" i="23" s="1"/>
  <c r="V175" i="23" s="1"/>
  <c r="B175" i="23" s="1"/>
  <c r="U177" i="23"/>
  <c r="T177" i="23" s="1"/>
  <c r="S177" i="23" s="1"/>
  <c r="R177" i="23" s="1"/>
  <c r="P177" i="23" s="1"/>
  <c r="V177" i="23" s="1"/>
  <c r="B177" i="23" s="1"/>
  <c r="U179" i="23"/>
  <c r="T179" i="23" s="1"/>
  <c r="S179" i="23" s="1"/>
  <c r="R179" i="23" s="1"/>
  <c r="P179" i="23" s="1"/>
  <c r="V179" i="23" s="1"/>
  <c r="B179" i="23" s="1"/>
  <c r="U181" i="23"/>
  <c r="T181" i="23" s="1"/>
  <c r="S181" i="23" s="1"/>
  <c r="R181" i="23" s="1"/>
  <c r="P181" i="23" s="1"/>
  <c r="V181" i="23" s="1"/>
  <c r="B181" i="23" s="1"/>
  <c r="U183" i="23"/>
  <c r="T183" i="23" s="1"/>
  <c r="S183" i="23" s="1"/>
  <c r="R183" i="23" s="1"/>
  <c r="P183" i="23" s="1"/>
  <c r="V183" i="23" s="1"/>
  <c r="B183" i="23" s="1"/>
  <c r="W183" i="23" s="1"/>
  <c r="U185" i="23"/>
  <c r="T185" i="23" s="1"/>
  <c r="S185" i="23" s="1"/>
  <c r="R185" i="23" s="1"/>
  <c r="P185" i="23" s="1"/>
  <c r="V185" i="23" s="1"/>
  <c r="B185" i="23" s="1"/>
  <c r="U187" i="23"/>
  <c r="T187" i="23" s="1"/>
  <c r="S187" i="23" s="1"/>
  <c r="R187" i="23" s="1"/>
  <c r="P187" i="23" s="1"/>
  <c r="V187" i="23" s="1"/>
  <c r="B187" i="23" s="1"/>
  <c r="U189" i="23"/>
  <c r="T189" i="23" s="1"/>
  <c r="U191" i="23"/>
  <c r="T191" i="23" s="1"/>
  <c r="S191" i="23" s="1"/>
  <c r="R191" i="23" s="1"/>
  <c r="P191" i="23" s="1"/>
  <c r="V191" i="23" s="1"/>
  <c r="B191" i="23" s="1"/>
  <c r="U193" i="23"/>
  <c r="T193" i="23" s="1"/>
  <c r="S193" i="23" s="1"/>
  <c r="R193" i="23" s="1"/>
  <c r="P193" i="23" s="1"/>
  <c r="V193" i="23" s="1"/>
  <c r="B193" i="23" s="1"/>
  <c r="U195" i="23"/>
  <c r="T195" i="23" s="1"/>
  <c r="S195" i="23" s="1"/>
  <c r="R195" i="23" s="1"/>
  <c r="P195" i="23" s="1"/>
  <c r="V195" i="23" s="1"/>
  <c r="B195" i="23" s="1"/>
  <c r="D195" i="23" s="1"/>
  <c r="E195" i="23" s="1"/>
  <c r="F195" i="23" s="1"/>
  <c r="U197" i="23"/>
  <c r="T197" i="23" s="1"/>
  <c r="S197" i="23" s="1"/>
  <c r="R197" i="23" s="1"/>
  <c r="P197" i="23" s="1"/>
  <c r="V197" i="23" s="1"/>
  <c r="B197" i="23" s="1"/>
  <c r="U199" i="23"/>
  <c r="T199" i="23" s="1"/>
  <c r="S199" i="23" s="1"/>
  <c r="R199" i="23" s="1"/>
  <c r="P199" i="23" s="1"/>
  <c r="V199" i="23" s="1"/>
  <c r="B199" i="23" s="1"/>
  <c r="U201" i="23"/>
  <c r="T201" i="23" s="1"/>
  <c r="S201" i="23" s="1"/>
  <c r="R201" i="23" s="1"/>
  <c r="P201" i="23" s="1"/>
  <c r="V201" i="23" s="1"/>
  <c r="B201" i="23" s="1"/>
  <c r="U203" i="23"/>
  <c r="T203" i="23" s="1"/>
  <c r="S203" i="23" s="1"/>
  <c r="R203" i="23" s="1"/>
  <c r="P203" i="23" s="1"/>
  <c r="V203" i="23" s="1"/>
  <c r="B203" i="23" s="1"/>
  <c r="U205" i="23"/>
  <c r="T205" i="23" s="1"/>
  <c r="U207" i="23"/>
  <c r="T207" i="23" s="1"/>
  <c r="S207" i="23" s="1"/>
  <c r="R207" i="23" s="1"/>
  <c r="P207" i="23" s="1"/>
  <c r="V207" i="23" s="1"/>
  <c r="B207" i="23" s="1"/>
  <c r="U209" i="23"/>
  <c r="T209" i="23" s="1"/>
  <c r="S209" i="23" s="1"/>
  <c r="R209" i="23" s="1"/>
  <c r="P209" i="23" s="1"/>
  <c r="V209" i="23" s="1"/>
  <c r="B209" i="23" s="1"/>
  <c r="U211" i="23"/>
  <c r="T211" i="23" s="1"/>
  <c r="S211" i="23" s="1"/>
  <c r="R211" i="23" s="1"/>
  <c r="P211" i="23" s="1"/>
  <c r="V211" i="23" s="1"/>
  <c r="B211" i="23" s="1"/>
  <c r="U213" i="23"/>
  <c r="T213" i="23" s="1"/>
  <c r="S213" i="23" s="1"/>
  <c r="R213" i="23" s="1"/>
  <c r="P213" i="23" s="1"/>
  <c r="V213" i="23" s="1"/>
  <c r="B213" i="23" s="1"/>
  <c r="U215" i="23"/>
  <c r="T215" i="23" s="1"/>
  <c r="S215" i="23" s="1"/>
  <c r="R215" i="23" s="1"/>
  <c r="P215" i="23" s="1"/>
  <c r="V215" i="23" s="1"/>
  <c r="B215" i="23" s="1"/>
  <c r="U217" i="23"/>
  <c r="T217" i="23" s="1"/>
  <c r="S217" i="23" s="1"/>
  <c r="R217" i="23" s="1"/>
  <c r="P217" i="23" s="1"/>
  <c r="V217" i="23" s="1"/>
  <c r="B217" i="23" s="1"/>
  <c r="U219" i="23"/>
  <c r="T219" i="23" s="1"/>
  <c r="S219" i="23" s="1"/>
  <c r="R219" i="23" s="1"/>
  <c r="P219" i="23" s="1"/>
  <c r="V219" i="23" s="1"/>
  <c r="B219" i="23" s="1"/>
  <c r="U221" i="23"/>
  <c r="T221" i="23" s="1"/>
  <c r="U223" i="23"/>
  <c r="T223" i="23" s="1"/>
  <c r="S223" i="23" s="1"/>
  <c r="R223" i="23" s="1"/>
  <c r="P223" i="23" s="1"/>
  <c r="V223" i="23" s="1"/>
  <c r="B223" i="23" s="1"/>
  <c r="U225" i="23"/>
  <c r="T225" i="23" s="1"/>
  <c r="S225" i="23" s="1"/>
  <c r="R225" i="23" s="1"/>
  <c r="P225" i="23" s="1"/>
  <c r="V225" i="23" s="1"/>
  <c r="B225" i="23" s="1"/>
  <c r="D225" i="23" s="1"/>
  <c r="E225" i="23" s="1"/>
  <c r="F225" i="23" s="1"/>
  <c r="U227" i="23"/>
  <c r="T227" i="23" s="1"/>
  <c r="S227" i="23" s="1"/>
  <c r="R227" i="23" s="1"/>
  <c r="P227" i="23" s="1"/>
  <c r="V227" i="23" s="1"/>
  <c r="B227" i="23" s="1"/>
  <c r="U229" i="23"/>
  <c r="T229" i="23" s="1"/>
  <c r="S229" i="23" s="1"/>
  <c r="R229" i="23" s="1"/>
  <c r="P229" i="23" s="1"/>
  <c r="V229" i="23" s="1"/>
  <c r="B229" i="23" s="1"/>
  <c r="U231" i="23"/>
  <c r="T231" i="23" s="1"/>
  <c r="S231" i="23" s="1"/>
  <c r="R231" i="23" s="1"/>
  <c r="P231" i="23" s="1"/>
  <c r="V231" i="23" s="1"/>
  <c r="B231" i="23" s="1"/>
  <c r="U233" i="23"/>
  <c r="T233" i="23" s="1"/>
  <c r="S233" i="23" s="1"/>
  <c r="R233" i="23" s="1"/>
  <c r="P233" i="23" s="1"/>
  <c r="V233" i="23" s="1"/>
  <c r="B233" i="23" s="1"/>
  <c r="U235" i="23"/>
  <c r="T235" i="23" s="1"/>
  <c r="S235" i="23" s="1"/>
  <c r="R235" i="23" s="1"/>
  <c r="P235" i="23" s="1"/>
  <c r="V235" i="23" s="1"/>
  <c r="B235" i="23" s="1"/>
  <c r="U237" i="23"/>
  <c r="T237" i="23" s="1"/>
  <c r="S237" i="23" s="1"/>
  <c r="R237" i="23" s="1"/>
  <c r="P237" i="23" s="1"/>
  <c r="V237" i="23" s="1"/>
  <c r="B237" i="23" s="1"/>
  <c r="U239" i="23"/>
  <c r="T239" i="23" s="1"/>
  <c r="S239" i="23" s="1"/>
  <c r="R239" i="23" s="1"/>
  <c r="P239" i="23" s="1"/>
  <c r="V239" i="23" s="1"/>
  <c r="B239" i="23" s="1"/>
  <c r="D239" i="23" s="1"/>
  <c r="E239" i="23" s="1"/>
  <c r="F239" i="23" s="1"/>
  <c r="U241" i="23"/>
  <c r="T241" i="23" s="1"/>
  <c r="U243" i="23"/>
  <c r="T243" i="23" s="1"/>
  <c r="S243" i="23" s="1"/>
  <c r="R243" i="23" s="1"/>
  <c r="P243" i="23" s="1"/>
  <c r="V243" i="23" s="1"/>
  <c r="B243" i="23" s="1"/>
  <c r="U245" i="23"/>
  <c r="T245" i="23" s="1"/>
  <c r="S245" i="23" s="1"/>
  <c r="R245" i="23" s="1"/>
  <c r="P245" i="23" s="1"/>
  <c r="V245" i="23" s="1"/>
  <c r="B245" i="23" s="1"/>
  <c r="U247" i="23"/>
  <c r="T247" i="23" s="1"/>
  <c r="S247" i="23" s="1"/>
  <c r="R247" i="23" s="1"/>
  <c r="P247" i="23" s="1"/>
  <c r="V247" i="23" s="1"/>
  <c r="B247" i="23" s="1"/>
  <c r="U249" i="23"/>
  <c r="T249" i="23" s="1"/>
  <c r="S249" i="23" s="1"/>
  <c r="R249" i="23" s="1"/>
  <c r="P249" i="23" s="1"/>
  <c r="V249" i="23" s="1"/>
  <c r="B249" i="23" s="1"/>
  <c r="U251" i="23"/>
  <c r="T251" i="23" s="1"/>
  <c r="S251" i="23" s="1"/>
  <c r="R251" i="23" s="1"/>
  <c r="P251" i="23" s="1"/>
  <c r="V251" i="23" s="1"/>
  <c r="B251" i="23" s="1"/>
  <c r="W251" i="23" s="1"/>
  <c r="U253" i="23"/>
  <c r="T253" i="23" s="1"/>
  <c r="S253" i="23" s="1"/>
  <c r="R253" i="23" s="1"/>
  <c r="P253" i="23" s="1"/>
  <c r="V253" i="23" s="1"/>
  <c r="B253" i="23" s="1"/>
  <c r="U255" i="23"/>
  <c r="T255" i="23" s="1"/>
  <c r="S255" i="23" s="1"/>
  <c r="R255" i="23" s="1"/>
  <c r="P255" i="23" s="1"/>
  <c r="V255" i="23" s="1"/>
  <c r="B255" i="23" s="1"/>
  <c r="U257" i="23"/>
  <c r="T257" i="23" s="1"/>
  <c r="S257" i="23" s="1"/>
  <c r="R257" i="23" s="1"/>
  <c r="P257" i="23" s="1"/>
  <c r="V257" i="23" s="1"/>
  <c r="B257" i="23" s="1"/>
  <c r="W257" i="23" s="1"/>
  <c r="U259" i="23"/>
  <c r="T259" i="23" s="1"/>
  <c r="S259" i="23" s="1"/>
  <c r="R259" i="23" s="1"/>
  <c r="P259" i="23" s="1"/>
  <c r="V259" i="23" s="1"/>
  <c r="B259" i="23" s="1"/>
  <c r="U261" i="23"/>
  <c r="T261" i="23" s="1"/>
  <c r="U263" i="23"/>
  <c r="T263" i="23" s="1"/>
  <c r="S263" i="23" s="1"/>
  <c r="R263" i="23" s="1"/>
  <c r="P263" i="23" s="1"/>
  <c r="V263" i="23" s="1"/>
  <c r="B263" i="23" s="1"/>
  <c r="U265" i="23"/>
  <c r="T265" i="23" s="1"/>
  <c r="S265" i="23" s="1"/>
  <c r="R265" i="23" s="1"/>
  <c r="P265" i="23" s="1"/>
  <c r="V265" i="23" s="1"/>
  <c r="B265" i="23" s="1"/>
  <c r="U267" i="23"/>
  <c r="T267" i="23" s="1"/>
  <c r="S267" i="23" s="1"/>
  <c r="R267" i="23" s="1"/>
  <c r="P267" i="23" s="1"/>
  <c r="V267" i="23" s="1"/>
  <c r="B267" i="23" s="1"/>
  <c r="U269" i="23"/>
  <c r="T269" i="23" s="1"/>
  <c r="S269" i="23" s="1"/>
  <c r="R269" i="23" s="1"/>
  <c r="P269" i="23" s="1"/>
  <c r="V269" i="23" s="1"/>
  <c r="B269" i="23" s="1"/>
  <c r="U271" i="23"/>
  <c r="T271" i="23" s="1"/>
  <c r="S271" i="23" s="1"/>
  <c r="R271" i="23" s="1"/>
  <c r="P271" i="23" s="1"/>
  <c r="V271" i="23" s="1"/>
  <c r="B271" i="23" s="1"/>
  <c r="U273" i="23"/>
  <c r="T273" i="23" s="1"/>
  <c r="S273" i="23" s="1"/>
  <c r="R273" i="23" s="1"/>
  <c r="P273" i="23" s="1"/>
  <c r="V273" i="23" s="1"/>
  <c r="B273" i="23" s="1"/>
  <c r="U275" i="23"/>
  <c r="T275" i="23" s="1"/>
  <c r="S275" i="23" s="1"/>
  <c r="R275" i="23" s="1"/>
  <c r="P275" i="23" s="1"/>
  <c r="V275" i="23" s="1"/>
  <c r="B275" i="23" s="1"/>
  <c r="U277" i="23"/>
  <c r="T277" i="23" s="1"/>
  <c r="U279" i="23"/>
  <c r="T279" i="23" s="1"/>
  <c r="S279" i="23" s="1"/>
  <c r="R279" i="23" s="1"/>
  <c r="P279" i="23" s="1"/>
  <c r="V279" i="23" s="1"/>
  <c r="B279" i="23" s="1"/>
  <c r="U281" i="23"/>
  <c r="T281" i="23" s="1"/>
  <c r="S281" i="23" s="1"/>
  <c r="R281" i="23" s="1"/>
  <c r="P281" i="23" s="1"/>
  <c r="V281" i="23" s="1"/>
  <c r="B281" i="23" s="1"/>
  <c r="U283" i="23"/>
  <c r="T283" i="23" s="1"/>
  <c r="S283" i="23" s="1"/>
  <c r="R283" i="23" s="1"/>
  <c r="P283" i="23" s="1"/>
  <c r="V283" i="23" s="1"/>
  <c r="B283" i="23" s="1"/>
  <c r="U285" i="23"/>
  <c r="T285" i="23" s="1"/>
  <c r="S285" i="23" s="1"/>
  <c r="R285" i="23" s="1"/>
  <c r="P285" i="23" s="1"/>
  <c r="V285" i="23" s="1"/>
  <c r="B285" i="23" s="1"/>
  <c r="U287" i="23"/>
  <c r="T287" i="23" s="1"/>
  <c r="S287" i="23" s="1"/>
  <c r="R287" i="23" s="1"/>
  <c r="P287" i="23" s="1"/>
  <c r="V287" i="23" s="1"/>
  <c r="B287" i="23" s="1"/>
  <c r="U289" i="23"/>
  <c r="T289" i="23" s="1"/>
  <c r="S289" i="23" s="1"/>
  <c r="R289" i="23" s="1"/>
  <c r="P289" i="23" s="1"/>
  <c r="V289" i="23" s="1"/>
  <c r="B289" i="23" s="1"/>
  <c r="U291" i="23"/>
  <c r="T291" i="23" s="1"/>
  <c r="S291" i="23" s="1"/>
  <c r="R291" i="23" s="1"/>
  <c r="P291" i="23" s="1"/>
  <c r="V291" i="23" s="1"/>
  <c r="B291" i="23" s="1"/>
  <c r="U293" i="23"/>
  <c r="T293" i="23" s="1"/>
  <c r="U295" i="23"/>
  <c r="T295" i="23" s="1"/>
  <c r="S295" i="23" s="1"/>
  <c r="R295" i="23" s="1"/>
  <c r="P295" i="23" s="1"/>
  <c r="V295" i="23" s="1"/>
  <c r="B295" i="23" s="1"/>
  <c r="W295" i="23" s="1"/>
  <c r="U297" i="23"/>
  <c r="T297" i="23" s="1"/>
  <c r="S297" i="23" s="1"/>
  <c r="R297" i="23" s="1"/>
  <c r="P297" i="23" s="1"/>
  <c r="V297" i="23" s="1"/>
  <c r="B297" i="23" s="1"/>
  <c r="D297" i="23" s="1"/>
  <c r="E297" i="23" s="1"/>
  <c r="F297" i="23" s="1"/>
  <c r="U299" i="23"/>
  <c r="T299" i="23" s="1"/>
  <c r="S299" i="23" s="1"/>
  <c r="R299" i="23" s="1"/>
  <c r="P299" i="23" s="1"/>
  <c r="V299" i="23" s="1"/>
  <c r="B299" i="23" s="1"/>
  <c r="W299" i="23" s="1"/>
  <c r="U301" i="23"/>
  <c r="T301" i="23" s="1"/>
  <c r="S301" i="23" s="1"/>
  <c r="R301" i="23" s="1"/>
  <c r="P301" i="23" s="1"/>
  <c r="V301" i="23" s="1"/>
  <c r="B301" i="23" s="1"/>
  <c r="U303" i="23"/>
  <c r="T303" i="23" s="1"/>
  <c r="S303" i="23" s="1"/>
  <c r="R303" i="23" s="1"/>
  <c r="P303" i="23" s="1"/>
  <c r="V303" i="23" s="1"/>
  <c r="B303" i="23" s="1"/>
  <c r="U305" i="23"/>
  <c r="T305" i="23" s="1"/>
  <c r="S305" i="23" s="1"/>
  <c r="R305" i="23" s="1"/>
  <c r="P305" i="23" s="1"/>
  <c r="V305" i="23" s="1"/>
  <c r="B305" i="23" s="1"/>
  <c r="U307" i="23"/>
  <c r="T307" i="23" s="1"/>
  <c r="S307" i="23" s="1"/>
  <c r="R307" i="23" s="1"/>
  <c r="P307" i="23" s="1"/>
  <c r="V307" i="23" s="1"/>
  <c r="B307" i="23" s="1"/>
  <c r="U309" i="23"/>
  <c r="T309" i="23" s="1"/>
  <c r="S309" i="23" s="1"/>
  <c r="R309" i="23" s="1"/>
  <c r="P309" i="23" s="1"/>
  <c r="V309" i="23" s="1"/>
  <c r="B309" i="23" s="1"/>
  <c r="U311" i="23"/>
  <c r="T311" i="23" s="1"/>
  <c r="S311" i="23" s="1"/>
  <c r="R311" i="23" s="1"/>
  <c r="P311" i="23" s="1"/>
  <c r="V311" i="23" s="1"/>
  <c r="B311" i="23" s="1"/>
  <c r="U313" i="23"/>
  <c r="T313" i="23" s="1"/>
  <c r="U315" i="23"/>
  <c r="T315" i="23" s="1"/>
  <c r="S315" i="23" s="1"/>
  <c r="R315" i="23" s="1"/>
  <c r="P315" i="23" s="1"/>
  <c r="V315" i="23" s="1"/>
  <c r="B315" i="23" s="1"/>
  <c r="U317" i="23"/>
  <c r="T317" i="23" s="1"/>
  <c r="S317" i="23" s="1"/>
  <c r="R317" i="23" s="1"/>
  <c r="P317" i="23" s="1"/>
  <c r="V317" i="23" s="1"/>
  <c r="B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B321" i="23" s="1"/>
  <c r="W321" i="23" s="1"/>
  <c r="U323" i="23"/>
  <c r="T323" i="23" s="1"/>
  <c r="S323" i="23" s="1"/>
  <c r="R323" i="23" s="1"/>
  <c r="P323" i="23" s="1"/>
  <c r="V323" i="23" s="1"/>
  <c r="B323" i="23" s="1"/>
  <c r="U325" i="23"/>
  <c r="T325" i="23" s="1"/>
  <c r="S325" i="23" s="1"/>
  <c r="R325" i="23" s="1"/>
  <c r="P325" i="23" s="1"/>
  <c r="V325" i="23" s="1"/>
  <c r="B325" i="23" s="1"/>
  <c r="W325" i="23" s="1"/>
  <c r="U327" i="23"/>
  <c r="T327" i="23" s="1"/>
  <c r="S327" i="23" s="1"/>
  <c r="R327" i="23" s="1"/>
  <c r="P327" i="23" s="1"/>
  <c r="V327" i="23" s="1"/>
  <c r="B327" i="23" s="1"/>
  <c r="U329" i="23"/>
  <c r="T329" i="23" s="1"/>
  <c r="S329" i="23" s="1"/>
  <c r="R329" i="23" s="1"/>
  <c r="P329" i="23" s="1"/>
  <c r="V329" i="23" s="1"/>
  <c r="B329" i="23" s="1"/>
  <c r="U331" i="23"/>
  <c r="T331" i="23" s="1"/>
  <c r="S331" i="23" s="1"/>
  <c r="R331" i="23" s="1"/>
  <c r="P331" i="23" s="1"/>
  <c r="V331" i="23" s="1"/>
  <c r="B331" i="23" s="1"/>
  <c r="Q365" i="24"/>
  <c r="Q349" i="24"/>
  <c r="Q333" i="24"/>
  <c r="Q317" i="24"/>
  <c r="Q301" i="24"/>
  <c r="Q285" i="24"/>
  <c r="Q269" i="24"/>
  <c r="Q253" i="24"/>
  <c r="Q237" i="24"/>
  <c r="Q215" i="24"/>
  <c r="Q183" i="24"/>
  <c r="Q151" i="24"/>
  <c r="Q19" i="24"/>
  <c r="Q67" i="24"/>
  <c r="Q87" i="24"/>
  <c r="Q103" i="24"/>
  <c r="Q119" i="24"/>
  <c r="Q135" i="24"/>
  <c r="Q147" i="24"/>
  <c r="Q155" i="24"/>
  <c r="Q163" i="24"/>
  <c r="Q171" i="24"/>
  <c r="Q179" i="24"/>
  <c r="Q187" i="24"/>
  <c r="Q195" i="24"/>
  <c r="Q203" i="24"/>
  <c r="Q211" i="24"/>
  <c r="Q219" i="24"/>
  <c r="Q227" i="24"/>
  <c r="Q231" i="24"/>
  <c r="Q235" i="24"/>
  <c r="Q239" i="24"/>
  <c r="Q243" i="24"/>
  <c r="Q247" i="24"/>
  <c r="Q251" i="24"/>
  <c r="Q255" i="24"/>
  <c r="Q259" i="24"/>
  <c r="Q263" i="24"/>
  <c r="Q267" i="24"/>
  <c r="Q271" i="24"/>
  <c r="Q275" i="24"/>
  <c r="Q279" i="24"/>
  <c r="Q283" i="24"/>
  <c r="Q287" i="24"/>
  <c r="Q291" i="24"/>
  <c r="Q295" i="24"/>
  <c r="Q299" i="24"/>
  <c r="Q303" i="24"/>
  <c r="Q307" i="24"/>
  <c r="Q311" i="24"/>
  <c r="Q315" i="24"/>
  <c r="Q319" i="24"/>
  <c r="Q323" i="24"/>
  <c r="Q327" i="24"/>
  <c r="Q331" i="24"/>
  <c r="Q335" i="24"/>
  <c r="Q339" i="24"/>
  <c r="Q343" i="24"/>
  <c r="Q347" i="24"/>
  <c r="Q351" i="24"/>
  <c r="Q355" i="24"/>
  <c r="Q359" i="24"/>
  <c r="Q363" i="24"/>
  <c r="Q367" i="24"/>
  <c r="Q371" i="24"/>
  <c r="Q375" i="24"/>
  <c r="Q379" i="24"/>
  <c r="Q79" i="24"/>
  <c r="Q111" i="24"/>
  <c r="Q143" i="24"/>
  <c r="Q159" i="24"/>
  <c r="Q175" i="24"/>
  <c r="Q191" i="24"/>
  <c r="Q207" i="24"/>
  <c r="Q223" i="24"/>
  <c r="Q233" i="24"/>
  <c r="Q241" i="24"/>
  <c r="Q249" i="24"/>
  <c r="Q257" i="24"/>
  <c r="Q265" i="24"/>
  <c r="Q273" i="24"/>
  <c r="Q281" i="24"/>
  <c r="Q289" i="24"/>
  <c r="Q297" i="24"/>
  <c r="Q305" i="24"/>
  <c r="Q313" i="24"/>
  <c r="Q321" i="24"/>
  <c r="Q329" i="24"/>
  <c r="Q337" i="24"/>
  <c r="Q345" i="24"/>
  <c r="Q353" i="24"/>
  <c r="Q361" i="24"/>
  <c r="Q369" i="24"/>
  <c r="Q377" i="24"/>
  <c r="Q139" i="24"/>
  <c r="Q131" i="24"/>
  <c r="Q123" i="24"/>
  <c r="Q115" i="24"/>
  <c r="Q107" i="24"/>
  <c r="Q99" i="24"/>
  <c r="Q91" i="24"/>
  <c r="Q83" i="24"/>
  <c r="Q75" i="24"/>
  <c r="Q59" i="24"/>
  <c r="AJ8" i="18"/>
  <c r="AJ7" i="18"/>
  <c r="W380" i="22"/>
  <c r="Q71" i="24"/>
  <c r="Q63" i="24"/>
  <c r="Q50" i="24"/>
  <c r="Q55" i="24"/>
  <c r="Q42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6" i="24"/>
  <c r="Q34" i="24"/>
  <c r="W75" i="22"/>
  <c r="Q38" i="24"/>
  <c r="Q30" i="24"/>
  <c r="Q2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48" i="24"/>
  <c r="Q44" i="24"/>
  <c r="Q40" i="24"/>
  <c r="Q36" i="24"/>
  <c r="Q32" i="24"/>
  <c r="Q28" i="24"/>
  <c r="Q24" i="24"/>
  <c r="B320" i="23"/>
  <c r="W320" i="23" s="1"/>
  <c r="H67" i="19"/>
  <c r="Q51" i="24"/>
  <c r="Q49" i="24"/>
  <c r="Q47" i="24"/>
  <c r="Q45" i="24"/>
  <c r="Q43" i="24"/>
  <c r="Q41" i="24"/>
  <c r="Q39" i="24"/>
  <c r="Q37" i="24"/>
  <c r="Q35" i="24"/>
  <c r="Q33" i="24"/>
  <c r="Q31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J74" i="22"/>
  <c r="I74" i="22"/>
  <c r="I20" i="22"/>
  <c r="J20" i="22"/>
  <c r="I25" i="22"/>
  <c r="J25" i="22"/>
  <c r="I97" i="22"/>
  <c r="J97" i="22"/>
  <c r="J133" i="22"/>
  <c r="I133" i="22"/>
  <c r="J165" i="22"/>
  <c r="I165" i="22"/>
  <c r="J181" i="22"/>
  <c r="I181" i="22"/>
  <c r="I249" i="22"/>
  <c r="J249" i="22"/>
  <c r="J293" i="22"/>
  <c r="I293" i="22"/>
  <c r="AA309" i="22"/>
  <c r="Z309" i="22" s="1"/>
  <c r="Y309" i="22" s="1"/>
  <c r="G309" i="22"/>
  <c r="CC309" i="6" s="1"/>
  <c r="H309" i="22"/>
  <c r="G341" i="22"/>
  <c r="CC341" i="6" s="1"/>
  <c r="AA341" i="22"/>
  <c r="Z341" i="22" s="1"/>
  <c r="Y341" i="22" s="1"/>
  <c r="H341" i="22"/>
  <c r="G357" i="22"/>
  <c r="CC357" i="6" s="1"/>
  <c r="AA357" i="22"/>
  <c r="Z357" i="22" s="1"/>
  <c r="Y357" i="22" s="1"/>
  <c r="H357" i="22"/>
  <c r="I69" i="22"/>
  <c r="J69" i="22"/>
  <c r="I173" i="22"/>
  <c r="J173" i="22"/>
  <c r="I177" i="22"/>
  <c r="J177" i="22"/>
  <c r="J197" i="22"/>
  <c r="I197" i="22"/>
  <c r="I221" i="22"/>
  <c r="J221" i="22"/>
  <c r="J233" i="22"/>
  <c r="I233" i="22"/>
  <c r="G237" i="22"/>
  <c r="CC237" i="6" s="1"/>
  <c r="H237" i="22"/>
  <c r="AA237" i="22"/>
  <c r="Z237" i="22" s="1"/>
  <c r="Y237" i="22" s="1"/>
  <c r="H245" i="22"/>
  <c r="G245" i="22"/>
  <c r="CC245" i="6" s="1"/>
  <c r="AA245" i="22"/>
  <c r="Z245" i="22" s="1"/>
  <c r="Y245" i="22" s="1"/>
  <c r="I253" i="22"/>
  <c r="J253" i="22"/>
  <c r="I265" i="22"/>
  <c r="J265" i="22"/>
  <c r="J277" i="22"/>
  <c r="I277" i="22"/>
  <c r="I285" i="22"/>
  <c r="J285" i="22"/>
  <c r="I289" i="22"/>
  <c r="J289" i="22"/>
  <c r="G317" i="22"/>
  <c r="CC317" i="6" s="1"/>
  <c r="H317" i="22"/>
  <c r="AA317" i="22"/>
  <c r="Z317" i="22" s="1"/>
  <c r="Y317" i="22" s="1"/>
  <c r="I329" i="22"/>
  <c r="J329" i="22"/>
  <c r="G361" i="22"/>
  <c r="CC361" i="6" s="1"/>
  <c r="AA361" i="22"/>
  <c r="Z361" i="22" s="1"/>
  <c r="Y361" i="22" s="1"/>
  <c r="H361" i="22"/>
  <c r="H365" i="22"/>
  <c r="AA365" i="22"/>
  <c r="Z365" i="22" s="1"/>
  <c r="Y365" i="22" s="1"/>
  <c r="G365" i="22"/>
  <c r="CC365" i="6" s="1"/>
  <c r="I377" i="22"/>
  <c r="J377" i="22"/>
  <c r="AG100" i="23"/>
  <c r="AF100" i="23" s="1"/>
  <c r="AD100" i="23" s="1"/>
  <c r="AG88" i="23"/>
  <c r="AF88" i="23" s="1"/>
  <c r="AD88" i="23" s="1"/>
  <c r="AG52" i="23"/>
  <c r="AF52" i="23" s="1"/>
  <c r="AD52" i="23" s="1"/>
  <c r="AG40" i="23"/>
  <c r="AF40" i="23" s="1"/>
  <c r="AD40" i="23" s="1"/>
  <c r="AG32" i="23"/>
  <c r="AF32" i="23" s="1"/>
  <c r="AD32" i="23" s="1"/>
  <c r="J17" i="22"/>
  <c r="I17" i="22"/>
  <c r="G21" i="22"/>
  <c r="CC21" i="6" s="1"/>
  <c r="AA21" i="22"/>
  <c r="Z21" i="22" s="1"/>
  <c r="Y21" i="22" s="1"/>
  <c r="H21" i="22"/>
  <c r="G30" i="22"/>
  <c r="CC30" i="6" s="1"/>
  <c r="H30" i="22"/>
  <c r="AA30" i="22"/>
  <c r="Z30" i="22" s="1"/>
  <c r="Y30" i="22" s="1"/>
  <c r="J38" i="22"/>
  <c r="I38" i="22"/>
  <c r="I58" i="22"/>
  <c r="J58" i="22"/>
  <c r="J62" i="22"/>
  <c r="I62" i="22"/>
  <c r="I94" i="22"/>
  <c r="J94" i="22"/>
  <c r="G118" i="22"/>
  <c r="CC118" i="6" s="1"/>
  <c r="H118" i="22"/>
  <c r="AA118" i="22"/>
  <c r="Z118" i="22" s="1"/>
  <c r="Y118" i="22" s="1"/>
  <c r="AA130" i="22"/>
  <c r="Z130" i="22" s="1"/>
  <c r="Y130" i="22" s="1"/>
  <c r="G130" i="22"/>
  <c r="CC130" i="6" s="1"/>
  <c r="H130" i="22"/>
  <c r="G158" i="22"/>
  <c r="CC158" i="6" s="1"/>
  <c r="H158" i="22"/>
  <c r="AA158" i="22"/>
  <c r="Z158" i="22" s="1"/>
  <c r="Y158" i="22" s="1"/>
  <c r="D166" i="22"/>
  <c r="E166" i="22" s="1"/>
  <c r="F166" i="22" s="1"/>
  <c r="W166" i="22"/>
  <c r="I170" i="22"/>
  <c r="J170" i="22"/>
  <c r="AA190" i="22"/>
  <c r="Z190" i="22" s="1"/>
  <c r="Y190" i="22" s="1"/>
  <c r="H190" i="22"/>
  <c r="G190" i="22"/>
  <c r="CC190" i="6" s="1"/>
  <c r="G202" i="22"/>
  <c r="CC202" i="6" s="1"/>
  <c r="H202" i="22"/>
  <c r="AA202" i="22"/>
  <c r="Z202" i="22" s="1"/>
  <c r="Y202" i="22" s="1"/>
  <c r="J206" i="22"/>
  <c r="I206" i="22"/>
  <c r="H218" i="22"/>
  <c r="AA218" i="22"/>
  <c r="Z218" i="22" s="1"/>
  <c r="Y218" i="22" s="1"/>
  <c r="G218" i="22"/>
  <c r="CC218" i="6" s="1"/>
  <c r="G234" i="22"/>
  <c r="CC234" i="6" s="1"/>
  <c r="H234" i="22"/>
  <c r="AA234" i="22"/>
  <c r="Z234" i="22" s="1"/>
  <c r="Y234" i="22" s="1"/>
  <c r="G238" i="22"/>
  <c r="CC238" i="6" s="1"/>
  <c r="H238" i="22"/>
  <c r="AA238" i="22"/>
  <c r="Z238" i="22" s="1"/>
  <c r="Y238" i="22" s="1"/>
  <c r="J250" i="22"/>
  <c r="I250" i="22"/>
  <c r="J310" i="22"/>
  <c r="I310" i="22"/>
  <c r="J318" i="22"/>
  <c r="I318" i="22"/>
  <c r="AA350" i="22"/>
  <c r="Z350" i="22" s="1"/>
  <c r="Y350" i="22" s="1"/>
  <c r="G350" i="22"/>
  <c r="CC350" i="6" s="1"/>
  <c r="H350" i="22"/>
  <c r="I358" i="22"/>
  <c r="J358" i="22"/>
  <c r="G380" i="22"/>
  <c r="CC380" i="6" s="1"/>
  <c r="AA380" i="22"/>
  <c r="Z380" i="22" s="1"/>
  <c r="Y380" i="22" s="1"/>
  <c r="H380" i="22"/>
  <c r="AA374" i="22"/>
  <c r="Z374" i="22" s="1"/>
  <c r="Y374" i="22" s="1"/>
  <c r="G374" i="22"/>
  <c r="CC374" i="6" s="1"/>
  <c r="H374" i="22"/>
  <c r="I31" i="22"/>
  <c r="J31" i="22"/>
  <c r="AA63" i="22"/>
  <c r="Z63" i="22" s="1"/>
  <c r="Y63" i="22" s="1"/>
  <c r="H63" i="22"/>
  <c r="G63" i="22"/>
  <c r="CC63" i="6" s="1"/>
  <c r="G79" i="22"/>
  <c r="CC79" i="6" s="1"/>
  <c r="H79" i="22"/>
  <c r="AA79" i="22"/>
  <c r="Z79" i="22" s="1"/>
  <c r="Y79" i="22" s="1"/>
  <c r="J83" i="22"/>
  <c r="I83" i="22"/>
  <c r="G91" i="22"/>
  <c r="CC91" i="6" s="1"/>
  <c r="H91" i="22"/>
  <c r="AA91" i="22"/>
  <c r="Z91" i="22" s="1"/>
  <c r="Y91" i="22" s="1"/>
  <c r="H95" i="22"/>
  <c r="G95" i="22"/>
  <c r="CC95" i="6" s="1"/>
  <c r="AA95" i="22"/>
  <c r="Z95" i="22" s="1"/>
  <c r="Y95" i="22" s="1"/>
  <c r="G99" i="22"/>
  <c r="CC99" i="6" s="1"/>
  <c r="H99" i="22"/>
  <c r="AA99" i="22"/>
  <c r="Z99" i="22" s="1"/>
  <c r="Y99" i="22" s="1"/>
  <c r="AA103" i="22"/>
  <c r="Z103" i="22" s="1"/>
  <c r="Y103" i="22" s="1"/>
  <c r="H103" i="22"/>
  <c r="G103" i="22"/>
  <c r="CC103" i="6" s="1"/>
  <c r="AA111" i="22"/>
  <c r="Z111" i="22" s="1"/>
  <c r="Y111" i="22" s="1"/>
  <c r="G111" i="22"/>
  <c r="CC111" i="6" s="1"/>
  <c r="H111" i="22"/>
  <c r="AA151" i="22"/>
  <c r="Z151" i="22" s="1"/>
  <c r="Y151" i="22" s="1"/>
  <c r="G151" i="22"/>
  <c r="CC151" i="6" s="1"/>
  <c r="H151" i="22"/>
  <c r="G187" i="22"/>
  <c r="CC187" i="6" s="1"/>
  <c r="H187" i="22"/>
  <c r="AA187" i="22"/>
  <c r="Z187" i="22" s="1"/>
  <c r="Y187" i="22" s="1"/>
  <c r="J207" i="22"/>
  <c r="I207" i="22"/>
  <c r="J223" i="22"/>
  <c r="I223" i="22"/>
  <c r="I231" i="22"/>
  <c r="J231" i="22"/>
  <c r="J255" i="22"/>
  <c r="I255" i="22"/>
  <c r="J259" i="22"/>
  <c r="I259" i="22"/>
  <c r="AA287" i="22"/>
  <c r="Z287" i="22" s="1"/>
  <c r="Y287" i="22" s="1"/>
  <c r="G287" i="22"/>
  <c r="CC287" i="6" s="1"/>
  <c r="H287" i="22"/>
  <c r="G303" i="22"/>
  <c r="CC303" i="6" s="1"/>
  <c r="AA303" i="22"/>
  <c r="Z303" i="22" s="1"/>
  <c r="Y303" i="22" s="1"/>
  <c r="H303" i="22"/>
  <c r="AA315" i="22"/>
  <c r="Z315" i="22" s="1"/>
  <c r="Y315" i="22" s="1"/>
  <c r="G315" i="22"/>
  <c r="CC315" i="6" s="1"/>
  <c r="H315" i="22"/>
  <c r="AA331" i="22"/>
  <c r="Z331" i="22" s="1"/>
  <c r="Y331" i="22" s="1"/>
  <c r="H331" i="22"/>
  <c r="G331" i="22"/>
  <c r="CC331" i="6" s="1"/>
  <c r="I339" i="22"/>
  <c r="J339" i="22"/>
  <c r="J343" i="22"/>
  <c r="I343" i="22"/>
  <c r="J355" i="22"/>
  <c r="I355" i="22"/>
  <c r="T379" i="23"/>
  <c r="U12" i="24"/>
  <c r="AT16" i="7"/>
  <c r="AZ11" i="7" s="1"/>
  <c r="U11" i="24" s="1"/>
  <c r="S377" i="23"/>
  <c r="R377" i="23" s="1"/>
  <c r="P377" i="23" s="1"/>
  <c r="V377" i="23" s="1"/>
  <c r="B377" i="23" s="1"/>
  <c r="S375" i="23"/>
  <c r="R375" i="23" s="1"/>
  <c r="P375" i="23" s="1"/>
  <c r="V375" i="23" s="1"/>
  <c r="B375" i="23" s="1"/>
  <c r="D371" i="23"/>
  <c r="E371" i="23" s="1"/>
  <c r="F371" i="23" s="1"/>
  <c r="S367" i="23"/>
  <c r="R367" i="23" s="1"/>
  <c r="P367" i="23" s="1"/>
  <c r="V367" i="23" s="1"/>
  <c r="B367" i="23" s="1"/>
  <c r="S365" i="23"/>
  <c r="R365" i="23" s="1"/>
  <c r="P365" i="23" s="1"/>
  <c r="V365" i="23" s="1"/>
  <c r="B365" i="23" s="1"/>
  <c r="S363" i="23"/>
  <c r="R363" i="23" s="1"/>
  <c r="P363" i="23" s="1"/>
  <c r="S359" i="23"/>
  <c r="R359" i="23" s="1"/>
  <c r="P359" i="23" s="1"/>
  <c r="V359" i="23" s="1"/>
  <c r="B359" i="23" s="1"/>
  <c r="S353" i="23"/>
  <c r="R353" i="23" s="1"/>
  <c r="P353" i="23" s="1"/>
  <c r="V353" i="23" s="1"/>
  <c r="B353" i="23" s="1"/>
  <c r="S343" i="23"/>
  <c r="R343" i="23" s="1"/>
  <c r="P343" i="23" s="1"/>
  <c r="V343" i="23" s="1"/>
  <c r="B343" i="23" s="1"/>
  <c r="S339" i="23"/>
  <c r="R339" i="23" s="1"/>
  <c r="P339" i="23" s="1"/>
  <c r="V339" i="23" s="1"/>
  <c r="B339" i="23" s="1"/>
  <c r="S313" i="23"/>
  <c r="R313" i="23" s="1"/>
  <c r="P313" i="23" s="1"/>
  <c r="V313" i="23" s="1"/>
  <c r="B313" i="23" s="1"/>
  <c r="S293" i="23"/>
  <c r="R293" i="23" s="1"/>
  <c r="P293" i="23" s="1"/>
  <c r="V293" i="23" s="1"/>
  <c r="B293" i="23" s="1"/>
  <c r="S277" i="23"/>
  <c r="R277" i="23" s="1"/>
  <c r="P277" i="23" s="1"/>
  <c r="V277" i="23" s="1"/>
  <c r="B277" i="23" s="1"/>
  <c r="S261" i="23"/>
  <c r="R261" i="23" s="1"/>
  <c r="P261" i="23" s="1"/>
  <c r="V261" i="23" s="1"/>
  <c r="B261" i="23" s="1"/>
  <c r="S241" i="23"/>
  <c r="R241" i="23" s="1"/>
  <c r="P241" i="23" s="1"/>
  <c r="S221" i="23"/>
  <c r="R221" i="23" s="1"/>
  <c r="P221" i="23" s="1"/>
  <c r="V221" i="23" s="1"/>
  <c r="B221" i="23" s="1"/>
  <c r="S205" i="23"/>
  <c r="R205" i="23" s="1"/>
  <c r="P205" i="23" s="1"/>
  <c r="V205" i="23" s="1"/>
  <c r="B205" i="23" s="1"/>
  <c r="S189" i="23"/>
  <c r="R189" i="23" s="1"/>
  <c r="P189" i="23" s="1"/>
  <c r="V189" i="23" s="1"/>
  <c r="B189" i="23" s="1"/>
  <c r="S173" i="23"/>
  <c r="R173" i="23" s="1"/>
  <c r="P173" i="23" s="1"/>
  <c r="V173" i="23" s="1"/>
  <c r="B173" i="23" s="1"/>
  <c r="S157" i="23"/>
  <c r="R157" i="23" s="1"/>
  <c r="P157" i="23" s="1"/>
  <c r="V157" i="23" s="1"/>
  <c r="B157" i="23" s="1"/>
  <c r="S151" i="23"/>
  <c r="R151" i="23" s="1"/>
  <c r="P151" i="23" s="1"/>
  <c r="V151" i="23" s="1"/>
  <c r="B151" i="23" s="1"/>
  <c r="S149" i="23"/>
  <c r="R149" i="23" s="1"/>
  <c r="P149" i="23" s="1"/>
  <c r="S147" i="23"/>
  <c r="R147" i="23" s="1"/>
  <c r="P147" i="23" s="1"/>
  <c r="V147" i="23" s="1"/>
  <c r="B147" i="23" s="1"/>
  <c r="S145" i="23"/>
  <c r="R145" i="23" s="1"/>
  <c r="P145" i="23" s="1"/>
  <c r="V145" i="23" s="1"/>
  <c r="B145" i="23" s="1"/>
  <c r="S125" i="23"/>
  <c r="R125" i="23" s="1"/>
  <c r="P125" i="23" s="1"/>
  <c r="V125" i="23" s="1"/>
  <c r="B125" i="23" s="1"/>
  <c r="S93" i="23"/>
  <c r="R93" i="23" s="1"/>
  <c r="P93" i="23" s="1"/>
  <c r="V93" i="23" s="1"/>
  <c r="B93" i="23" s="1"/>
  <c r="S77" i="23"/>
  <c r="R77" i="23" s="1"/>
  <c r="P77" i="23" s="1"/>
  <c r="V77" i="23" s="1"/>
  <c r="B77" i="23" s="1"/>
  <c r="S75" i="23"/>
  <c r="R75" i="23" s="1"/>
  <c r="P75" i="23" s="1"/>
  <c r="V75" i="23" s="1"/>
  <c r="B75" i="23" s="1"/>
  <c r="S71" i="23"/>
  <c r="R71" i="23" s="1"/>
  <c r="P71" i="23" s="1"/>
  <c r="V71" i="23" s="1"/>
  <c r="B71" i="23" s="1"/>
  <c r="S47" i="23"/>
  <c r="R47" i="23" s="1"/>
  <c r="P47" i="23" s="1"/>
  <c r="V47" i="23" s="1"/>
  <c r="B47" i="23" s="1"/>
  <c r="S43" i="23"/>
  <c r="R43" i="23" s="1"/>
  <c r="P43" i="23" s="1"/>
  <c r="V43" i="23" s="1"/>
  <c r="B43" i="23" s="1"/>
  <c r="S39" i="23"/>
  <c r="R39" i="23" s="1"/>
  <c r="P39" i="23" s="1"/>
  <c r="V39" i="23" s="1"/>
  <c r="B39" i="23" s="1"/>
  <c r="S31" i="23"/>
  <c r="R31" i="23" s="1"/>
  <c r="P31" i="23" s="1"/>
  <c r="V31" i="23" s="1"/>
  <c r="B31" i="23" s="1"/>
  <c r="S21" i="23"/>
  <c r="R21" i="23" s="1"/>
  <c r="P21" i="23" s="1"/>
  <c r="V21" i="23" s="1"/>
  <c r="B21" i="23" s="1"/>
  <c r="S22" i="23"/>
  <c r="R22" i="23" s="1"/>
  <c r="P22" i="23" s="1"/>
  <c r="V22" i="23" s="1"/>
  <c r="B22" i="23" s="1"/>
  <c r="H379" i="22"/>
  <c r="AA379" i="22"/>
  <c r="Z379" i="22" s="1"/>
  <c r="Y379" i="22" s="1"/>
  <c r="G379" i="22"/>
  <c r="CC379" i="6" s="1"/>
  <c r="AA68" i="22"/>
  <c r="Z68" i="22" s="1"/>
  <c r="Y68" i="22" s="1"/>
  <c r="G68" i="22"/>
  <c r="CC68" i="6" s="1"/>
  <c r="H68" i="22"/>
  <c r="J72" i="22"/>
  <c r="I72" i="22"/>
  <c r="AA156" i="22"/>
  <c r="Z156" i="22" s="1"/>
  <c r="Y156" i="22" s="1"/>
  <c r="H156" i="22"/>
  <c r="G156" i="22"/>
  <c r="CC156" i="6" s="1"/>
  <c r="J204" i="22"/>
  <c r="I204" i="22"/>
  <c r="I248" i="22"/>
  <c r="J248" i="22"/>
  <c r="AA300" i="22"/>
  <c r="Z300" i="22" s="1"/>
  <c r="Y300" i="22" s="1"/>
  <c r="G300" i="22"/>
  <c r="CC300" i="6" s="1"/>
  <c r="H300" i="22"/>
  <c r="G312" i="22"/>
  <c r="CC312" i="6" s="1"/>
  <c r="AA312" i="22"/>
  <c r="Z312" i="22" s="1"/>
  <c r="Y312" i="22" s="1"/>
  <c r="H312" i="22"/>
  <c r="J324" i="22"/>
  <c r="I324" i="22"/>
  <c r="J376" i="22"/>
  <c r="I376" i="22"/>
  <c r="J53" i="22"/>
  <c r="I53" i="22"/>
  <c r="I81" i="22"/>
  <c r="J81" i="22"/>
  <c r="AA121" i="22"/>
  <c r="Z121" i="22" s="1"/>
  <c r="Y121" i="22" s="1"/>
  <c r="G121" i="22"/>
  <c r="CC121" i="6" s="1"/>
  <c r="H121" i="22"/>
  <c r="J157" i="22"/>
  <c r="I157" i="22"/>
  <c r="J225" i="22"/>
  <c r="I225" i="22"/>
  <c r="AA241" i="22"/>
  <c r="Z241" i="22" s="1"/>
  <c r="Y241" i="22" s="1"/>
  <c r="G241" i="22"/>
  <c r="CC241" i="6" s="1"/>
  <c r="H241" i="22"/>
  <c r="I301" i="22"/>
  <c r="J301" i="22"/>
  <c r="I321" i="22"/>
  <c r="J321" i="22"/>
  <c r="AA333" i="22"/>
  <c r="Z333" i="22" s="1"/>
  <c r="Y333" i="22" s="1"/>
  <c r="G333" i="22"/>
  <c r="CC333" i="6" s="1"/>
  <c r="H333" i="22"/>
  <c r="J373" i="22"/>
  <c r="I373" i="22"/>
  <c r="J42" i="22"/>
  <c r="I42" i="22"/>
  <c r="G46" i="22"/>
  <c r="CC46" i="6" s="1"/>
  <c r="H46" i="22"/>
  <c r="AA46" i="22"/>
  <c r="Z46" i="22" s="1"/>
  <c r="Y46" i="22" s="1"/>
  <c r="J162" i="22"/>
  <c r="I162" i="22"/>
  <c r="J174" i="22"/>
  <c r="I174" i="22"/>
  <c r="J262" i="22"/>
  <c r="I262" i="22"/>
  <c r="I294" i="22"/>
  <c r="J294" i="22"/>
  <c r="J298" i="22"/>
  <c r="I298" i="22"/>
  <c r="J306" i="22"/>
  <c r="I306" i="22"/>
  <c r="J362" i="22"/>
  <c r="I362" i="22"/>
  <c r="I370" i="22"/>
  <c r="J370" i="22"/>
  <c r="J39" i="22"/>
  <c r="I39" i="22"/>
  <c r="I107" i="22"/>
  <c r="J107" i="22"/>
  <c r="I215" i="22"/>
  <c r="J215" i="22"/>
  <c r="I235" i="22"/>
  <c r="J235" i="22"/>
  <c r="J247" i="22"/>
  <c r="I247" i="22"/>
  <c r="I263" i="22"/>
  <c r="J263" i="22"/>
  <c r="I267" i="22"/>
  <c r="J267" i="22"/>
  <c r="J291" i="22"/>
  <c r="I291" i="22"/>
  <c r="I299" i="22"/>
  <c r="J299" i="22"/>
  <c r="I307" i="22"/>
  <c r="J307" i="22"/>
  <c r="J359" i="22"/>
  <c r="I359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S381" i="22"/>
  <c r="S383" i="22"/>
  <c r="S382" i="22"/>
  <c r="R15" i="22"/>
  <c r="I40" i="22"/>
  <c r="J40" i="22"/>
  <c r="I44" i="22"/>
  <c r="J44" i="22"/>
  <c r="J56" i="22"/>
  <c r="I56" i="22"/>
  <c r="I112" i="22"/>
  <c r="J112" i="22"/>
  <c r="J120" i="22"/>
  <c r="I120" i="22"/>
  <c r="J140" i="22"/>
  <c r="I140" i="22"/>
  <c r="J168" i="22"/>
  <c r="I168" i="22"/>
  <c r="AA180" i="22"/>
  <c r="Z180" i="22" s="1"/>
  <c r="Y180" i="22" s="1"/>
  <c r="H180" i="22"/>
  <c r="G180" i="22"/>
  <c r="CC180" i="6" s="1"/>
  <c r="J200" i="22"/>
  <c r="I200" i="22"/>
  <c r="I220" i="22"/>
  <c r="J220" i="22"/>
  <c r="G272" i="22"/>
  <c r="CC272" i="6" s="1"/>
  <c r="H272" i="22"/>
  <c r="AA272" i="22"/>
  <c r="Z272" i="22" s="1"/>
  <c r="Y272" i="22" s="1"/>
  <c r="I284" i="22"/>
  <c r="J284" i="22"/>
  <c r="I292" i="22"/>
  <c r="J292" i="22"/>
  <c r="J328" i="22"/>
  <c r="I328" i="22"/>
  <c r="I332" i="22"/>
  <c r="J332" i="22"/>
  <c r="I348" i="22"/>
  <c r="J348" i="22"/>
  <c r="I18" i="22"/>
  <c r="J18" i="22"/>
  <c r="J32" i="22"/>
  <c r="I32" i="22"/>
  <c r="G64" i="22"/>
  <c r="CC64" i="6" s="1"/>
  <c r="AA64" i="22"/>
  <c r="Z64" i="22" s="1"/>
  <c r="Y64" i="22" s="1"/>
  <c r="H64" i="22"/>
  <c r="AA76" i="22"/>
  <c r="Z76" i="22" s="1"/>
  <c r="Y76" i="22" s="1"/>
  <c r="H76" i="22"/>
  <c r="G76" i="22"/>
  <c r="CC76" i="6" s="1"/>
  <c r="AA132" i="22"/>
  <c r="Z132" i="22" s="1"/>
  <c r="Y132" i="22" s="1"/>
  <c r="H132" i="22"/>
  <c r="G132" i="22"/>
  <c r="CC132" i="6" s="1"/>
  <c r="D196" i="22"/>
  <c r="E196" i="22" s="1"/>
  <c r="F196" i="22" s="1"/>
  <c r="W196" i="22"/>
  <c r="G236" i="22"/>
  <c r="CC236" i="6" s="1"/>
  <c r="AA236" i="22"/>
  <c r="Z236" i="22" s="1"/>
  <c r="Y236" i="22" s="1"/>
  <c r="H236" i="22"/>
  <c r="H268" i="22"/>
  <c r="AA268" i="22"/>
  <c r="Z268" i="22" s="1"/>
  <c r="Y268" i="22" s="1"/>
  <c r="G268" i="22"/>
  <c r="CC268" i="6" s="1"/>
  <c r="G304" i="22"/>
  <c r="CC304" i="6" s="1"/>
  <c r="AA304" i="22"/>
  <c r="Z304" i="22" s="1"/>
  <c r="Y304" i="22" s="1"/>
  <c r="H304" i="22"/>
  <c r="J316" i="22"/>
  <c r="I316" i="22"/>
  <c r="G336" i="22"/>
  <c r="CC336" i="6" s="1"/>
  <c r="AA336" i="22"/>
  <c r="Z336" i="22" s="1"/>
  <c r="Y336" i="22" s="1"/>
  <c r="H336" i="22"/>
  <c r="G23" i="22"/>
  <c r="CC23" i="6" s="1"/>
  <c r="H23" i="22"/>
  <c r="AA23" i="22"/>
  <c r="Z23" i="22" s="1"/>
  <c r="Y23" i="22" s="1"/>
  <c r="G57" i="22"/>
  <c r="CC57" i="6" s="1"/>
  <c r="H57" i="22"/>
  <c r="AA57" i="22"/>
  <c r="Z57" i="22" s="1"/>
  <c r="Y57" i="22" s="1"/>
  <c r="G129" i="22"/>
  <c r="CC129" i="6" s="1"/>
  <c r="H129" i="22"/>
  <c r="AA129" i="22"/>
  <c r="Z129" i="22" s="1"/>
  <c r="Y129" i="22" s="1"/>
  <c r="W149" i="22"/>
  <c r="D149" i="22"/>
  <c r="E149" i="22" s="1"/>
  <c r="F149" i="22" s="1"/>
  <c r="G169" i="22"/>
  <c r="CC169" i="6" s="1"/>
  <c r="AA169" i="22"/>
  <c r="Z169" i="22" s="1"/>
  <c r="Y169" i="22" s="1"/>
  <c r="H169" i="22"/>
  <c r="G337" i="22"/>
  <c r="CC337" i="6" s="1"/>
  <c r="H337" i="22"/>
  <c r="AA337" i="22"/>
  <c r="Z337" i="22" s="1"/>
  <c r="Y337" i="22" s="1"/>
  <c r="W210" i="22"/>
  <c r="D210" i="22"/>
  <c r="E210" i="22" s="1"/>
  <c r="F210" i="22" s="1"/>
  <c r="H230" i="22"/>
  <c r="G230" i="22"/>
  <c r="CC230" i="6" s="1"/>
  <c r="AA230" i="22"/>
  <c r="Z230" i="22" s="1"/>
  <c r="Y230" i="22" s="1"/>
  <c r="AA342" i="22"/>
  <c r="Z342" i="22" s="1"/>
  <c r="Y342" i="22" s="1"/>
  <c r="G342" i="22"/>
  <c r="CC342" i="6" s="1"/>
  <c r="H342" i="22"/>
  <c r="AA131" i="22"/>
  <c r="Z131" i="22" s="1"/>
  <c r="Y131" i="22" s="1"/>
  <c r="G131" i="22"/>
  <c r="CC131" i="6" s="1"/>
  <c r="H131" i="22"/>
  <c r="AA271" i="22"/>
  <c r="Z271" i="22" s="1"/>
  <c r="Y271" i="22" s="1"/>
  <c r="G271" i="22"/>
  <c r="CC271" i="6" s="1"/>
  <c r="H271" i="22"/>
  <c r="AA36" i="22"/>
  <c r="Z36" i="22" s="1"/>
  <c r="Y36" i="22" s="1"/>
  <c r="G36" i="22"/>
  <c r="CC36" i="6" s="1"/>
  <c r="H36" i="22"/>
  <c r="G276" i="22"/>
  <c r="CC276" i="6" s="1"/>
  <c r="H276" i="22"/>
  <c r="AA276" i="22"/>
  <c r="Z276" i="22" s="1"/>
  <c r="Y276" i="22" s="1"/>
  <c r="G364" i="22"/>
  <c r="CC364" i="6" s="1"/>
  <c r="H364" i="22"/>
  <c r="AA364" i="22"/>
  <c r="Z364" i="22" s="1"/>
  <c r="Y364" i="22" s="1"/>
  <c r="AA45" i="22"/>
  <c r="Z45" i="22" s="1"/>
  <c r="Y45" i="22" s="1"/>
  <c r="G45" i="22"/>
  <c r="CC45" i="6" s="1"/>
  <c r="H45" i="22"/>
  <c r="G101" i="22"/>
  <c r="CC101" i="6" s="1"/>
  <c r="H101" i="22"/>
  <c r="AA101" i="22"/>
  <c r="Z101" i="22" s="1"/>
  <c r="Y101" i="22" s="1"/>
  <c r="G125" i="22"/>
  <c r="CC125" i="6" s="1"/>
  <c r="AA125" i="22"/>
  <c r="Z125" i="22" s="1"/>
  <c r="Y125" i="22" s="1"/>
  <c r="AA161" i="22"/>
  <c r="Z161" i="22" s="1"/>
  <c r="Y161" i="22" s="1"/>
  <c r="G161" i="22"/>
  <c r="CC161" i="6" s="1"/>
  <c r="H161" i="22"/>
  <c r="AA209" i="22"/>
  <c r="Z209" i="22" s="1"/>
  <c r="Y209" i="22" s="1"/>
  <c r="H209" i="22"/>
  <c r="G209" i="22"/>
  <c r="CC209" i="6" s="1"/>
  <c r="W349" i="22"/>
  <c r="D349" i="22"/>
  <c r="E349" i="22" s="1"/>
  <c r="F349" i="22" s="1"/>
  <c r="G86" i="22"/>
  <c r="CC86" i="6" s="1"/>
  <c r="AA86" i="22"/>
  <c r="Z86" i="22" s="1"/>
  <c r="Y86" i="22" s="1"/>
  <c r="H86" i="22"/>
  <c r="AA142" i="22"/>
  <c r="Z142" i="22" s="1"/>
  <c r="Y142" i="22" s="1"/>
  <c r="H142" i="22"/>
  <c r="G142" i="22"/>
  <c r="CC142" i="6" s="1"/>
  <c r="AA274" i="22"/>
  <c r="Z274" i="22" s="1"/>
  <c r="Y274" i="22" s="1"/>
  <c r="H274" i="22"/>
  <c r="G274" i="22"/>
  <c r="CC274" i="6" s="1"/>
  <c r="AA55" i="22"/>
  <c r="Z55" i="22" s="1"/>
  <c r="Y55" i="22" s="1"/>
  <c r="H55" i="22"/>
  <c r="G55" i="22"/>
  <c r="CC55" i="6" s="1"/>
  <c r="W135" i="22"/>
  <c r="D135" i="22"/>
  <c r="E135" i="22" s="1"/>
  <c r="F135" i="22" s="1"/>
  <c r="AA203" i="22"/>
  <c r="Z203" i="22" s="1"/>
  <c r="Y203" i="22" s="1"/>
  <c r="G203" i="22"/>
  <c r="CC203" i="6" s="1"/>
  <c r="H203" i="22"/>
  <c r="G375" i="22"/>
  <c r="CC375" i="6" s="1"/>
  <c r="AA375" i="22"/>
  <c r="Z375" i="22" s="1"/>
  <c r="Y375" i="22" s="1"/>
  <c r="H375" i="22"/>
  <c r="G28" i="22"/>
  <c r="CC28" i="6" s="1"/>
  <c r="H28" i="22"/>
  <c r="AA28" i="22"/>
  <c r="Z28" i="22" s="1"/>
  <c r="Y28" i="22" s="1"/>
  <c r="G104" i="22"/>
  <c r="CC104" i="6" s="1"/>
  <c r="H104" i="22"/>
  <c r="AA104" i="22"/>
  <c r="Z104" i="22" s="1"/>
  <c r="Y104" i="22" s="1"/>
  <c r="G124" i="22"/>
  <c r="CC124" i="6" s="1"/>
  <c r="H124" i="22"/>
  <c r="AA124" i="22"/>
  <c r="Z124" i="22" s="1"/>
  <c r="Y124" i="22" s="1"/>
  <c r="G136" i="22"/>
  <c r="CC136" i="6" s="1"/>
  <c r="AA136" i="22"/>
  <c r="Z136" i="22" s="1"/>
  <c r="Y136" i="22" s="1"/>
  <c r="H136" i="22"/>
  <c r="AA164" i="22"/>
  <c r="Z164" i="22" s="1"/>
  <c r="Y164" i="22" s="1"/>
  <c r="G164" i="22"/>
  <c r="CC164" i="6" s="1"/>
  <c r="H164" i="22"/>
  <c r="H368" i="22"/>
  <c r="AA368" i="22"/>
  <c r="Z368" i="22" s="1"/>
  <c r="Y368" i="22" s="1"/>
  <c r="G368" i="22"/>
  <c r="CC368" i="6" s="1"/>
  <c r="I65" i="22"/>
  <c r="J65" i="22"/>
  <c r="I185" i="22"/>
  <c r="J185" i="22"/>
  <c r="I213" i="22"/>
  <c r="J213" i="22"/>
  <c r="AA217" i="22"/>
  <c r="Z217" i="22" s="1"/>
  <c r="Y217" i="22" s="1"/>
  <c r="G217" i="22"/>
  <c r="CC217" i="6" s="1"/>
  <c r="H217" i="22"/>
  <c r="J229" i="22"/>
  <c r="I229" i="22"/>
  <c r="G297" i="22"/>
  <c r="CC297" i="6" s="1"/>
  <c r="H297" i="22"/>
  <c r="AA297" i="22"/>
  <c r="Z297" i="22" s="1"/>
  <c r="Y297" i="22" s="1"/>
  <c r="J305" i="22"/>
  <c r="I305" i="22"/>
  <c r="I313" i="22"/>
  <c r="J313" i="22"/>
  <c r="AA353" i="22"/>
  <c r="Z353" i="22" s="1"/>
  <c r="Y353" i="22" s="1"/>
  <c r="H353" i="22"/>
  <c r="G353" i="22"/>
  <c r="CC353" i="6" s="1"/>
  <c r="AG382" i="22"/>
  <c r="AG383" i="22"/>
  <c r="AG381" i="22"/>
  <c r="AF15" i="22"/>
  <c r="AG203" i="23"/>
  <c r="AF203" i="23" s="1"/>
  <c r="AD203" i="23" s="1"/>
  <c r="AG91" i="23"/>
  <c r="AF91" i="23" s="1"/>
  <c r="AD91" i="23" s="1"/>
  <c r="AG63" i="23"/>
  <c r="AF63" i="23" s="1"/>
  <c r="AD63" i="23" s="1"/>
  <c r="AG49" i="23"/>
  <c r="AF49" i="23" s="1"/>
  <c r="AD49" i="23" s="1"/>
  <c r="AG39" i="23"/>
  <c r="AF39" i="23" s="1"/>
  <c r="AD39" i="23" s="1"/>
  <c r="AG35" i="23"/>
  <c r="AF35" i="23" s="1"/>
  <c r="AD35" i="23" s="1"/>
  <c r="AG25" i="23"/>
  <c r="AF25" i="23" s="1"/>
  <c r="AD25" i="23" s="1"/>
  <c r="AG21" i="23"/>
  <c r="AF21" i="23" s="1"/>
  <c r="AD21" i="23" s="1"/>
  <c r="I288" i="22"/>
  <c r="J288" i="22"/>
  <c r="J34" i="22"/>
  <c r="I34" i="22"/>
  <c r="I54" i="22"/>
  <c r="J54" i="22"/>
  <c r="J66" i="22"/>
  <c r="I66" i="22"/>
  <c r="AA98" i="22"/>
  <c r="Z98" i="22" s="1"/>
  <c r="Y98" i="22" s="1"/>
  <c r="G98" i="22"/>
  <c r="CC98" i="6" s="1"/>
  <c r="H98" i="22"/>
  <c r="G110" i="22"/>
  <c r="CC110" i="6" s="1"/>
  <c r="AA110" i="22"/>
  <c r="Z110" i="22" s="1"/>
  <c r="Y110" i="22" s="1"/>
  <c r="H110" i="22"/>
  <c r="J122" i="22"/>
  <c r="I122" i="22"/>
  <c r="J134" i="22"/>
  <c r="I134" i="22"/>
  <c r="J138" i="22"/>
  <c r="I138" i="22"/>
  <c r="G182" i="22"/>
  <c r="CC182" i="6" s="1"/>
  <c r="AA182" i="22"/>
  <c r="Z182" i="22" s="1"/>
  <c r="Y182" i="22" s="1"/>
  <c r="H182" i="22"/>
  <c r="I186" i="22"/>
  <c r="J186" i="22"/>
  <c r="I222" i="22"/>
  <c r="J222" i="22"/>
  <c r="W258" i="22"/>
  <c r="D258" i="22"/>
  <c r="E258" i="22" s="1"/>
  <c r="F258" i="22" s="1"/>
  <c r="H266" i="22"/>
  <c r="G266" i="22"/>
  <c r="CC266" i="6" s="1"/>
  <c r="AA266" i="22"/>
  <c r="Z266" i="22" s="1"/>
  <c r="Y266" i="22" s="1"/>
  <c r="I270" i="22"/>
  <c r="J270" i="22"/>
  <c r="G286" i="22"/>
  <c r="CC286" i="6" s="1"/>
  <c r="H286" i="22"/>
  <c r="AA286" i="22"/>
  <c r="Z286" i="22" s="1"/>
  <c r="Y286" i="22" s="1"/>
  <c r="AA326" i="22"/>
  <c r="Z326" i="22" s="1"/>
  <c r="Y326" i="22" s="1"/>
  <c r="G326" i="22"/>
  <c r="CC326" i="6" s="1"/>
  <c r="H326" i="22"/>
  <c r="G330" i="22"/>
  <c r="CC330" i="6" s="1"/>
  <c r="AA330" i="22"/>
  <c r="Z330" i="22" s="1"/>
  <c r="Y330" i="22" s="1"/>
  <c r="H330" i="22"/>
  <c r="I338" i="22"/>
  <c r="J338" i="22"/>
  <c r="G378" i="22"/>
  <c r="CC378" i="6" s="1"/>
  <c r="H378" i="22"/>
  <c r="AA378" i="22"/>
  <c r="Z378" i="22" s="1"/>
  <c r="Y378" i="22" s="1"/>
  <c r="J22" i="22"/>
  <c r="I22" i="22"/>
  <c r="AA16" i="22"/>
  <c r="Z16" i="22" s="1"/>
  <c r="Y16" i="22" s="1"/>
  <c r="G16" i="22"/>
  <c r="CC16" i="6" s="1"/>
  <c r="H16" i="22"/>
  <c r="AA27" i="22"/>
  <c r="Z27" i="22" s="1"/>
  <c r="Y27" i="22" s="1"/>
  <c r="G27" i="22"/>
  <c r="CC27" i="6" s="1"/>
  <c r="H27" i="22"/>
  <c r="J35" i="22"/>
  <c r="I35" i="22"/>
  <c r="J43" i="22"/>
  <c r="I43" i="22"/>
  <c r="J47" i="22"/>
  <c r="I47" i="22"/>
  <c r="AA75" i="22"/>
  <c r="Z75" i="22" s="1"/>
  <c r="Y75" i="22" s="1"/>
  <c r="G75" i="22"/>
  <c r="CC75" i="6" s="1"/>
  <c r="H75" i="22"/>
  <c r="G87" i="22"/>
  <c r="CC87" i="6" s="1"/>
  <c r="AA87" i="22"/>
  <c r="Z87" i="22" s="1"/>
  <c r="Y87" i="22" s="1"/>
  <c r="H87" i="22"/>
  <c r="D119" i="22"/>
  <c r="E119" i="22" s="1"/>
  <c r="F119" i="22" s="1"/>
  <c r="W119" i="22"/>
  <c r="H123" i="22"/>
  <c r="AA123" i="22"/>
  <c r="Z123" i="22" s="1"/>
  <c r="Y123" i="22" s="1"/>
  <c r="G123" i="22"/>
  <c r="CC123" i="6" s="1"/>
  <c r="AA139" i="22"/>
  <c r="Z139" i="22" s="1"/>
  <c r="Y139" i="22" s="1"/>
  <c r="H139" i="22"/>
  <c r="G139" i="22"/>
  <c r="CC139" i="6" s="1"/>
  <c r="J143" i="22"/>
  <c r="I143" i="22"/>
  <c r="AA167" i="22"/>
  <c r="Z167" i="22" s="1"/>
  <c r="Y167" i="22" s="1"/>
  <c r="G167" i="22"/>
  <c r="CC167" i="6" s="1"/>
  <c r="H167" i="22"/>
  <c r="J171" i="22"/>
  <c r="I171" i="22"/>
  <c r="I175" i="22"/>
  <c r="J175" i="22"/>
  <c r="G179" i="22"/>
  <c r="CC179" i="6" s="1"/>
  <c r="H179" i="22"/>
  <c r="AA179" i="22"/>
  <c r="Z179" i="22" s="1"/>
  <c r="Y179" i="22" s="1"/>
  <c r="J191" i="22"/>
  <c r="I191" i="22"/>
  <c r="J195" i="22"/>
  <c r="I195" i="22"/>
  <c r="J219" i="22"/>
  <c r="I219" i="22"/>
  <c r="W227" i="22"/>
  <c r="D227" i="22"/>
  <c r="E227" i="22" s="1"/>
  <c r="F227" i="22" s="1"/>
  <c r="G239" i="22"/>
  <c r="CC239" i="6" s="1"/>
  <c r="AA239" i="22"/>
  <c r="Z239" i="22" s="1"/>
  <c r="Y239" i="22" s="1"/>
  <c r="H239" i="22"/>
  <c r="I243" i="22"/>
  <c r="J243" i="22"/>
  <c r="I275" i="22"/>
  <c r="J275" i="22"/>
  <c r="I279" i="22"/>
  <c r="J279" i="22"/>
  <c r="G323" i="22"/>
  <c r="CC323" i="6" s="1"/>
  <c r="AA323" i="22"/>
  <c r="Z323" i="22" s="1"/>
  <c r="Y323" i="22" s="1"/>
  <c r="H323" i="22"/>
  <c r="J327" i="22"/>
  <c r="I327" i="22"/>
  <c r="AA335" i="22"/>
  <c r="Z335" i="22" s="1"/>
  <c r="Y335" i="22" s="1"/>
  <c r="G335" i="22"/>
  <c r="CC335" i="6" s="1"/>
  <c r="H335" i="22"/>
  <c r="I347" i="22"/>
  <c r="J347" i="22"/>
  <c r="G351" i="22"/>
  <c r="CC351" i="6" s="1"/>
  <c r="H351" i="22"/>
  <c r="AA351" i="22"/>
  <c r="Z351" i="22" s="1"/>
  <c r="Y351" i="22" s="1"/>
  <c r="S372" i="23"/>
  <c r="R372" i="23" s="1"/>
  <c r="P372" i="23" s="1"/>
  <c r="V372" i="23" s="1"/>
  <c r="B372" i="23" s="1"/>
  <c r="S356" i="23"/>
  <c r="R356" i="23" s="1"/>
  <c r="P356" i="23" s="1"/>
  <c r="V356" i="23" s="1"/>
  <c r="B356" i="23" s="1"/>
  <c r="S348" i="23"/>
  <c r="R348" i="23" s="1"/>
  <c r="P348" i="23" s="1"/>
  <c r="V348" i="23" s="1"/>
  <c r="B348" i="23" s="1"/>
  <c r="S344" i="23"/>
  <c r="R344" i="23" s="1"/>
  <c r="P344" i="23" s="1"/>
  <c r="V344" i="23" s="1"/>
  <c r="B344" i="23" s="1"/>
  <c r="S340" i="23"/>
  <c r="R340" i="23" s="1"/>
  <c r="P340" i="23" s="1"/>
  <c r="V340" i="23" s="1"/>
  <c r="B340" i="23" s="1"/>
  <c r="S336" i="23"/>
  <c r="R336" i="23" s="1"/>
  <c r="P336" i="23" s="1"/>
  <c r="V336" i="23" s="1"/>
  <c r="B336" i="23" s="1"/>
  <c r="S332" i="23"/>
  <c r="R332" i="23" s="1"/>
  <c r="P332" i="23" s="1"/>
  <c r="V332" i="23" s="1"/>
  <c r="B332" i="23" s="1"/>
  <c r="S324" i="23"/>
  <c r="R324" i="23" s="1"/>
  <c r="P324" i="23" s="1"/>
  <c r="V324" i="23" s="1"/>
  <c r="B324" i="23" s="1"/>
  <c r="S318" i="23"/>
  <c r="R318" i="23" s="1"/>
  <c r="P318" i="23" s="1"/>
  <c r="V318" i="23" s="1"/>
  <c r="B318" i="23" s="1"/>
  <c r="S312" i="23"/>
  <c r="R312" i="23" s="1"/>
  <c r="P312" i="23" s="1"/>
  <c r="V312" i="23" s="1"/>
  <c r="B312" i="23" s="1"/>
  <c r="S308" i="23"/>
  <c r="R308" i="23" s="1"/>
  <c r="P308" i="23" s="1"/>
  <c r="V308" i="23" s="1"/>
  <c r="B308" i="23" s="1"/>
  <c r="S304" i="23"/>
  <c r="R304" i="23" s="1"/>
  <c r="P304" i="23" s="1"/>
  <c r="V304" i="23" s="1"/>
  <c r="B304" i="23" s="1"/>
  <c r="S300" i="23"/>
  <c r="R300" i="23" s="1"/>
  <c r="P300" i="23" s="1"/>
  <c r="V300" i="23" s="1"/>
  <c r="B300" i="23" s="1"/>
  <c r="S298" i="23"/>
  <c r="R298" i="23" s="1"/>
  <c r="P298" i="23" s="1"/>
  <c r="V298" i="23" s="1"/>
  <c r="B298" i="23" s="1"/>
  <c r="S294" i="23"/>
  <c r="R294" i="23" s="1"/>
  <c r="P294" i="23" s="1"/>
  <c r="V294" i="23" s="1"/>
  <c r="B294" i="23" s="1"/>
  <c r="S292" i="23"/>
  <c r="R292" i="23" s="1"/>
  <c r="P292" i="23" s="1"/>
  <c r="V292" i="23" s="1"/>
  <c r="B292" i="23" s="1"/>
  <c r="S284" i="23"/>
  <c r="R284" i="23" s="1"/>
  <c r="P284" i="23" s="1"/>
  <c r="V284" i="23" s="1"/>
  <c r="B284" i="23" s="1"/>
  <c r="S282" i="23"/>
  <c r="R282" i="23" s="1"/>
  <c r="P282" i="23" s="1"/>
  <c r="V282" i="23" s="1"/>
  <c r="B282" i="23" s="1"/>
  <c r="S280" i="23"/>
  <c r="R280" i="23" s="1"/>
  <c r="P280" i="23" s="1"/>
  <c r="V280" i="23" s="1"/>
  <c r="B280" i="23" s="1"/>
  <c r="S276" i="23"/>
  <c r="R276" i="23" s="1"/>
  <c r="P276" i="23" s="1"/>
  <c r="V276" i="23" s="1"/>
  <c r="B276" i="23" s="1"/>
  <c r="S272" i="23"/>
  <c r="R272" i="23" s="1"/>
  <c r="P272" i="23" s="1"/>
  <c r="S266" i="23"/>
  <c r="R266" i="23" s="1"/>
  <c r="P266" i="23" s="1"/>
  <c r="V266" i="23" s="1"/>
  <c r="B266" i="23" s="1"/>
  <c r="S262" i="23"/>
  <c r="R262" i="23" s="1"/>
  <c r="P262" i="23" s="1"/>
  <c r="V262" i="23" s="1"/>
  <c r="B262" i="23" s="1"/>
  <c r="S254" i="23"/>
  <c r="R254" i="23" s="1"/>
  <c r="P254" i="23" s="1"/>
  <c r="V254" i="23" s="1"/>
  <c r="B254" i="23" s="1"/>
  <c r="S252" i="23"/>
  <c r="R252" i="23" s="1"/>
  <c r="P252" i="23" s="1"/>
  <c r="V252" i="23" s="1"/>
  <c r="B252" i="23" s="1"/>
  <c r="S250" i="23"/>
  <c r="R250" i="23" s="1"/>
  <c r="P250" i="23" s="1"/>
  <c r="V250" i="23" s="1"/>
  <c r="B250" i="23" s="1"/>
  <c r="S244" i="23"/>
  <c r="R244" i="23" s="1"/>
  <c r="P244" i="23" s="1"/>
  <c r="V244" i="23" s="1"/>
  <c r="B244" i="23" s="1"/>
  <c r="W242" i="23"/>
  <c r="S236" i="23"/>
  <c r="R236" i="23" s="1"/>
  <c r="P236" i="23" s="1"/>
  <c r="V236" i="23" s="1"/>
  <c r="B236" i="23" s="1"/>
  <c r="S234" i="23"/>
  <c r="R234" i="23" s="1"/>
  <c r="P234" i="23" s="1"/>
  <c r="V234" i="23" s="1"/>
  <c r="B234" i="23" s="1"/>
  <c r="S228" i="23"/>
  <c r="R228" i="23" s="1"/>
  <c r="P228" i="23" s="1"/>
  <c r="V228" i="23" s="1"/>
  <c r="B228" i="23" s="1"/>
  <c r="S226" i="23"/>
  <c r="R226" i="23" s="1"/>
  <c r="P226" i="23" s="1"/>
  <c r="V226" i="23" s="1"/>
  <c r="B226" i="23" s="1"/>
  <c r="S220" i="23"/>
  <c r="R220" i="23" s="1"/>
  <c r="P220" i="23" s="1"/>
  <c r="V220" i="23" s="1"/>
  <c r="B220" i="23" s="1"/>
  <c r="S218" i="23"/>
  <c r="R218" i="23" s="1"/>
  <c r="P218" i="23" s="1"/>
  <c r="V218" i="23" s="1"/>
  <c r="B218" i="23" s="1"/>
  <c r="S212" i="23"/>
  <c r="R212" i="23" s="1"/>
  <c r="P212" i="23" s="1"/>
  <c r="V212" i="23" s="1"/>
  <c r="B212" i="23" s="1"/>
  <c r="S204" i="23"/>
  <c r="R204" i="23" s="1"/>
  <c r="P204" i="23" s="1"/>
  <c r="V204" i="23" s="1"/>
  <c r="B204" i="23" s="1"/>
  <c r="S194" i="23"/>
  <c r="R194" i="23" s="1"/>
  <c r="P194" i="23" s="1"/>
  <c r="V194" i="23" s="1"/>
  <c r="B194" i="23" s="1"/>
  <c r="S184" i="23"/>
  <c r="R184" i="23" s="1"/>
  <c r="P184" i="23" s="1"/>
  <c r="V184" i="23" s="1"/>
  <c r="B184" i="23" s="1"/>
  <c r="S180" i="23"/>
  <c r="R180" i="23" s="1"/>
  <c r="P180" i="23" s="1"/>
  <c r="S176" i="23"/>
  <c r="R176" i="23" s="1"/>
  <c r="P176" i="23" s="1"/>
  <c r="V176" i="23" s="1"/>
  <c r="B176" i="23" s="1"/>
  <c r="S172" i="23"/>
  <c r="R172" i="23" s="1"/>
  <c r="P172" i="23" s="1"/>
  <c r="V172" i="23" s="1"/>
  <c r="B172" i="23" s="1"/>
  <c r="S170" i="23"/>
  <c r="R170" i="23" s="1"/>
  <c r="P170" i="23" s="1"/>
  <c r="V170" i="23" s="1"/>
  <c r="B170" i="23" s="1"/>
  <c r="S166" i="23"/>
  <c r="R166" i="23" s="1"/>
  <c r="P166" i="23" s="1"/>
  <c r="V166" i="23" s="1"/>
  <c r="S164" i="23"/>
  <c r="R164" i="23" s="1"/>
  <c r="P164" i="23" s="1"/>
  <c r="V164" i="23" s="1"/>
  <c r="B164" i="23" s="1"/>
  <c r="S162" i="23"/>
  <c r="R162" i="23" s="1"/>
  <c r="P162" i="23" s="1"/>
  <c r="V162" i="23" s="1"/>
  <c r="B162" i="23" s="1"/>
  <c r="S156" i="23"/>
  <c r="R156" i="23" s="1"/>
  <c r="P156" i="23" s="1"/>
  <c r="V156" i="23" s="1"/>
  <c r="B156" i="23" s="1"/>
  <c r="S154" i="23"/>
  <c r="R154" i="23" s="1"/>
  <c r="P154" i="23" s="1"/>
  <c r="V154" i="23" s="1"/>
  <c r="B154" i="23" s="1"/>
  <c r="S150" i="23"/>
  <c r="R150" i="23" s="1"/>
  <c r="P150" i="23" s="1"/>
  <c r="V150" i="23" s="1"/>
  <c r="B150" i="23" s="1"/>
  <c r="S148" i="23"/>
  <c r="R148" i="23" s="1"/>
  <c r="P148" i="23" s="1"/>
  <c r="V148" i="23" s="1"/>
  <c r="B148" i="23" s="1"/>
  <c r="S146" i="23"/>
  <c r="R146" i="23" s="1"/>
  <c r="P146" i="23" s="1"/>
  <c r="V146" i="23" s="1"/>
  <c r="B146" i="23" s="1"/>
  <c r="S140" i="23"/>
  <c r="R140" i="23" s="1"/>
  <c r="P140" i="23" s="1"/>
  <c r="V140" i="23" s="1"/>
  <c r="B140" i="23" s="1"/>
  <c r="S138" i="23"/>
  <c r="R138" i="23" s="1"/>
  <c r="P138" i="23" s="1"/>
  <c r="V138" i="23" s="1"/>
  <c r="B138" i="23" s="1"/>
  <c r="S132" i="23"/>
  <c r="R132" i="23" s="1"/>
  <c r="P132" i="23" s="1"/>
  <c r="V132" i="23" s="1"/>
  <c r="B132" i="23" s="1"/>
  <c r="S126" i="23"/>
  <c r="R126" i="23" s="1"/>
  <c r="P126" i="23" s="1"/>
  <c r="V126" i="23" s="1"/>
  <c r="B126" i="23" s="1"/>
  <c r="S120" i="23"/>
  <c r="R120" i="23" s="1"/>
  <c r="P120" i="23" s="1"/>
  <c r="V120" i="23" s="1"/>
  <c r="B120" i="23" s="1"/>
  <c r="S116" i="23"/>
  <c r="R116" i="23" s="1"/>
  <c r="P116" i="23" s="1"/>
  <c r="V116" i="23" s="1"/>
  <c r="B116" i="23" s="1"/>
  <c r="S114" i="23"/>
  <c r="R114" i="23" s="1"/>
  <c r="P114" i="23" s="1"/>
  <c r="V114" i="23" s="1"/>
  <c r="B114" i="23" s="1"/>
  <c r="S108" i="23"/>
  <c r="R108" i="23" s="1"/>
  <c r="P108" i="23" s="1"/>
  <c r="V108" i="23" s="1"/>
  <c r="B108" i="23" s="1"/>
  <c r="S98" i="23"/>
  <c r="R98" i="23" s="1"/>
  <c r="P98" i="23" s="1"/>
  <c r="V98" i="23" s="1"/>
  <c r="B98" i="23" s="1"/>
  <c r="S92" i="23"/>
  <c r="R92" i="23" s="1"/>
  <c r="P92" i="23" s="1"/>
  <c r="V92" i="23" s="1"/>
  <c r="B92" i="23" s="1"/>
  <c r="S90" i="23"/>
  <c r="R90" i="23" s="1"/>
  <c r="P90" i="23" s="1"/>
  <c r="V90" i="23" s="1"/>
  <c r="B90" i="23" s="1"/>
  <c r="S80" i="23"/>
  <c r="R80" i="23" s="1"/>
  <c r="P80" i="23" s="1"/>
  <c r="V80" i="23" s="1"/>
  <c r="B80" i="23" s="1"/>
  <c r="S76" i="23"/>
  <c r="R76" i="23" s="1"/>
  <c r="P76" i="23" s="1"/>
  <c r="V76" i="23" s="1"/>
  <c r="B76" i="23" s="1"/>
  <c r="S68" i="23"/>
  <c r="R68" i="23" s="1"/>
  <c r="P68" i="23" s="1"/>
  <c r="V68" i="23" s="1"/>
  <c r="B68" i="23" s="1"/>
  <c r="S60" i="23"/>
  <c r="R60" i="23" s="1"/>
  <c r="P60" i="23" s="1"/>
  <c r="S52" i="23"/>
  <c r="R52" i="23" s="1"/>
  <c r="P52" i="23" s="1"/>
  <c r="V52" i="23" s="1"/>
  <c r="B52" i="23" s="1"/>
  <c r="S44" i="23"/>
  <c r="R44" i="23" s="1"/>
  <c r="P44" i="23" s="1"/>
  <c r="V44" i="23" s="1"/>
  <c r="B44" i="23" s="1"/>
  <c r="S36" i="23"/>
  <c r="R36" i="23" s="1"/>
  <c r="P36" i="23" s="1"/>
  <c r="V36" i="23" s="1"/>
  <c r="B36" i="23" s="1"/>
  <c r="S28" i="23"/>
  <c r="R28" i="23" s="1"/>
  <c r="P28" i="23" s="1"/>
  <c r="V28" i="23" s="1"/>
  <c r="B28" i="23" s="1"/>
  <c r="S19" i="23"/>
  <c r="R19" i="23" s="1"/>
  <c r="P19" i="23" s="1"/>
  <c r="V19" i="23" s="1"/>
  <c r="B19" i="23" s="1"/>
  <c r="B66" i="19"/>
  <c r="V380" i="20"/>
  <c r="V381" i="20" s="1"/>
  <c r="I24" i="22"/>
  <c r="J24" i="22"/>
  <c r="G84" i="22"/>
  <c r="CC84" i="6" s="1"/>
  <c r="AA84" i="22"/>
  <c r="Z84" i="22" s="1"/>
  <c r="Y84" i="22" s="1"/>
  <c r="H84" i="22"/>
  <c r="I108" i="22"/>
  <c r="J108" i="22"/>
  <c r="I148" i="22"/>
  <c r="J148" i="22"/>
  <c r="AA184" i="22"/>
  <c r="Z184" i="22" s="1"/>
  <c r="Y184" i="22" s="1"/>
  <c r="G184" i="22"/>
  <c r="CC184" i="6" s="1"/>
  <c r="H184" i="22"/>
  <c r="J192" i="22"/>
  <c r="I192" i="22"/>
  <c r="J216" i="22"/>
  <c r="I216" i="22"/>
  <c r="AA228" i="22"/>
  <c r="Z228" i="22" s="1"/>
  <c r="Y228" i="22" s="1"/>
  <c r="H228" i="22"/>
  <c r="G228" i="22"/>
  <c r="CC228" i="6" s="1"/>
  <c r="I252" i="22"/>
  <c r="J252" i="22"/>
  <c r="J256" i="22"/>
  <c r="I256" i="22"/>
  <c r="AA264" i="22"/>
  <c r="Z264" i="22" s="1"/>
  <c r="Y264" i="22" s="1"/>
  <c r="G264" i="22"/>
  <c r="CC264" i="6" s="1"/>
  <c r="H264" i="22"/>
  <c r="J340" i="22"/>
  <c r="I340" i="22"/>
  <c r="G356" i="22"/>
  <c r="CC356" i="6" s="1"/>
  <c r="H356" i="22"/>
  <c r="AA356" i="22"/>
  <c r="Z356" i="22" s="1"/>
  <c r="Y356" i="22" s="1"/>
  <c r="D29" i="22"/>
  <c r="E29" i="22" s="1"/>
  <c r="F29" i="22" s="1"/>
  <c r="W29" i="22"/>
  <c r="AA33" i="22"/>
  <c r="Z33" i="22" s="1"/>
  <c r="Y33" i="22" s="1"/>
  <c r="H33" i="22"/>
  <c r="G33" i="22"/>
  <c r="CC33" i="6" s="1"/>
  <c r="H37" i="22"/>
  <c r="AA37" i="22"/>
  <c r="Z37" i="22" s="1"/>
  <c r="Y37" i="22" s="1"/>
  <c r="G37" i="22"/>
  <c r="CC37" i="6" s="1"/>
  <c r="J41" i="22"/>
  <c r="I41" i="22"/>
  <c r="I49" i="22"/>
  <c r="J49" i="22"/>
  <c r="J77" i="22"/>
  <c r="I77" i="22"/>
  <c r="G85" i="22"/>
  <c r="CC85" i="6" s="1"/>
  <c r="AA85" i="22"/>
  <c r="Z85" i="22" s="1"/>
  <c r="Y85" i="22" s="1"/>
  <c r="H85" i="22"/>
  <c r="AA89" i="22"/>
  <c r="Z89" i="22" s="1"/>
  <c r="Y89" i="22" s="1"/>
  <c r="G89" i="22"/>
  <c r="CC89" i="6" s="1"/>
  <c r="H89" i="22"/>
  <c r="I93" i="22"/>
  <c r="J93" i="22"/>
  <c r="D105" i="22"/>
  <c r="E105" i="22" s="1"/>
  <c r="F105" i="22" s="1"/>
  <c r="W105" i="22"/>
  <c r="AA113" i="22"/>
  <c r="Z113" i="22" s="1"/>
  <c r="Y113" i="22" s="1"/>
  <c r="H113" i="22"/>
  <c r="G113" i="22"/>
  <c r="CC113" i="6" s="1"/>
  <c r="J117" i="22"/>
  <c r="I117" i="22"/>
  <c r="G137" i="22"/>
  <c r="CC137" i="6" s="1"/>
  <c r="AA137" i="22"/>
  <c r="Z137" i="22" s="1"/>
  <c r="Y137" i="22" s="1"/>
  <c r="H137" i="22"/>
  <c r="J141" i="22"/>
  <c r="I141" i="22"/>
  <c r="I153" i="22"/>
  <c r="J153" i="22"/>
  <c r="J201" i="22"/>
  <c r="I201" i="22"/>
  <c r="I205" i="22"/>
  <c r="J281" i="22"/>
  <c r="I281" i="22"/>
  <c r="J325" i="22"/>
  <c r="I325" i="22"/>
  <c r="I345" i="22"/>
  <c r="J345" i="22"/>
  <c r="J369" i="22"/>
  <c r="I369" i="22"/>
  <c r="B15" i="20"/>
  <c r="AK5" i="20" s="1"/>
  <c r="D383" i="18"/>
  <c r="D382" i="18"/>
  <c r="D9" i="18"/>
  <c r="D11" i="18" s="1"/>
  <c r="E39" i="19" s="1"/>
  <c r="E15" i="18"/>
  <c r="D381" i="18"/>
  <c r="I26" i="22"/>
  <c r="J26" i="22"/>
  <c r="J70" i="22"/>
  <c r="I70" i="22"/>
  <c r="I82" i="22"/>
  <c r="J82" i="22"/>
  <c r="I106" i="22"/>
  <c r="J106" i="22"/>
  <c r="I126" i="22"/>
  <c r="J126" i="22"/>
  <c r="J214" i="22"/>
  <c r="I214" i="22"/>
  <c r="J254" i="22"/>
  <c r="I254" i="22"/>
  <c r="J278" i="22"/>
  <c r="I278" i="22"/>
  <c r="I282" i="22"/>
  <c r="J282" i="22"/>
  <c r="I290" i="22"/>
  <c r="J290" i="22"/>
  <c r="AA302" i="22"/>
  <c r="Z302" i="22" s="1"/>
  <c r="Y302" i="22" s="1"/>
  <c r="H302" i="22"/>
  <c r="G302" i="22"/>
  <c r="CC302" i="6" s="1"/>
  <c r="I322" i="22"/>
  <c r="J322" i="22"/>
  <c r="J354" i="22"/>
  <c r="I354" i="22"/>
  <c r="J366" i="22"/>
  <c r="I366" i="22"/>
  <c r="I67" i="22"/>
  <c r="J67" i="22"/>
  <c r="I115" i="22"/>
  <c r="J115" i="22"/>
  <c r="J127" i="22"/>
  <c r="I127" i="22"/>
  <c r="I147" i="22"/>
  <c r="J147" i="22"/>
  <c r="I155" i="22"/>
  <c r="J155" i="22"/>
  <c r="J159" i="22"/>
  <c r="I159" i="22"/>
  <c r="J183" i="22"/>
  <c r="I183" i="22"/>
  <c r="J199" i="22"/>
  <c r="I199" i="22"/>
  <c r="I283" i="22"/>
  <c r="J283" i="22"/>
  <c r="J311" i="22"/>
  <c r="I311" i="22"/>
  <c r="G363" i="22"/>
  <c r="CC363" i="6" s="1"/>
  <c r="AA363" i="22"/>
  <c r="Z363" i="22" s="1"/>
  <c r="Y363" i="22" s="1"/>
  <c r="H363" i="22"/>
  <c r="J367" i="22"/>
  <c r="I367" i="22"/>
  <c r="I48" i="22"/>
  <c r="J48" i="22"/>
  <c r="G60" i="22"/>
  <c r="CC60" i="6" s="1"/>
  <c r="AA60" i="22"/>
  <c r="Z60" i="22" s="1"/>
  <c r="Y60" i="22" s="1"/>
  <c r="H60" i="22"/>
  <c r="G88" i="22"/>
  <c r="CC88" i="6" s="1"/>
  <c r="AA88" i="22"/>
  <c r="Z88" i="22" s="1"/>
  <c r="Y88" i="22" s="1"/>
  <c r="H88" i="22"/>
  <c r="I144" i="22"/>
  <c r="J144" i="22"/>
  <c r="I176" i="22"/>
  <c r="J176" i="22"/>
  <c r="I212" i="22"/>
  <c r="J212" i="22"/>
  <c r="J232" i="22"/>
  <c r="I232" i="22"/>
  <c r="J240" i="22"/>
  <c r="I240" i="22"/>
  <c r="J280" i="22"/>
  <c r="I280" i="22"/>
  <c r="J344" i="22"/>
  <c r="I344" i="22"/>
  <c r="I352" i="22"/>
  <c r="J352" i="22"/>
  <c r="J360" i="22"/>
  <c r="I360" i="22"/>
  <c r="G319" i="22"/>
  <c r="CC319" i="6" s="1"/>
  <c r="H319" i="22"/>
  <c r="AA319" i="22"/>
  <c r="Z319" i="22" s="1"/>
  <c r="Y319" i="22" s="1"/>
  <c r="I100" i="22"/>
  <c r="J100" i="22"/>
  <c r="J152" i="22"/>
  <c r="I152" i="22"/>
  <c r="AA172" i="22"/>
  <c r="Z172" i="22" s="1"/>
  <c r="Y172" i="22" s="1"/>
  <c r="H172" i="22"/>
  <c r="G172" i="22"/>
  <c r="CC172" i="6" s="1"/>
  <c r="J188" i="22"/>
  <c r="I188" i="22"/>
  <c r="G244" i="22"/>
  <c r="CC244" i="6" s="1"/>
  <c r="H244" i="22"/>
  <c r="AA244" i="22"/>
  <c r="Z244" i="22" s="1"/>
  <c r="Y244" i="22" s="1"/>
  <c r="J260" i="22"/>
  <c r="I260" i="22"/>
  <c r="I296" i="22"/>
  <c r="J296" i="22"/>
  <c r="G320" i="22"/>
  <c r="CC320" i="6" s="1"/>
  <c r="H320" i="22"/>
  <c r="AA320" i="22"/>
  <c r="Z320" i="22" s="1"/>
  <c r="Y320" i="22" s="1"/>
  <c r="I372" i="22"/>
  <c r="J372" i="22"/>
  <c r="H73" i="22"/>
  <c r="AA73" i="22"/>
  <c r="Z73" i="22" s="1"/>
  <c r="Y73" i="22" s="1"/>
  <c r="G73" i="22"/>
  <c r="CC73" i="6" s="1"/>
  <c r="G109" i="22"/>
  <c r="CC109" i="6" s="1"/>
  <c r="AA109" i="22"/>
  <c r="Z109" i="22" s="1"/>
  <c r="Y109" i="22" s="1"/>
  <c r="H109" i="22"/>
  <c r="G193" i="22"/>
  <c r="CC193" i="6" s="1"/>
  <c r="AA193" i="22"/>
  <c r="Z193" i="22" s="1"/>
  <c r="Y193" i="22" s="1"/>
  <c r="H193" i="22"/>
  <c r="AA257" i="22"/>
  <c r="Z257" i="22" s="1"/>
  <c r="Y257" i="22" s="1"/>
  <c r="H257" i="22"/>
  <c r="G257" i="22"/>
  <c r="CC257" i="6" s="1"/>
  <c r="AA269" i="22"/>
  <c r="Z269" i="22" s="1"/>
  <c r="Y269" i="22" s="1"/>
  <c r="G269" i="22"/>
  <c r="CC269" i="6" s="1"/>
  <c r="H269" i="22"/>
  <c r="G78" i="22"/>
  <c r="CC78" i="6" s="1"/>
  <c r="AA78" i="22"/>
  <c r="Z78" i="22" s="1"/>
  <c r="Y78" i="22" s="1"/>
  <c r="H78" i="22"/>
  <c r="G90" i="22"/>
  <c r="CC90" i="6" s="1"/>
  <c r="AA90" i="22"/>
  <c r="Z90" i="22" s="1"/>
  <c r="Y90" i="22" s="1"/>
  <c r="H90" i="22"/>
  <c r="G114" i="22"/>
  <c r="CC114" i="6" s="1"/>
  <c r="AA114" i="22"/>
  <c r="Z114" i="22" s="1"/>
  <c r="Y114" i="22" s="1"/>
  <c r="H114" i="22"/>
  <c r="G146" i="22"/>
  <c r="CC146" i="6" s="1"/>
  <c r="H146" i="22"/>
  <c r="AA146" i="22"/>
  <c r="Z146" i="22" s="1"/>
  <c r="Y146" i="22" s="1"/>
  <c r="AA154" i="22"/>
  <c r="Z154" i="22" s="1"/>
  <c r="Y154" i="22" s="1"/>
  <c r="H154" i="22"/>
  <c r="G154" i="22"/>
  <c r="CC154" i="6" s="1"/>
  <c r="AA194" i="22"/>
  <c r="Z194" i="22" s="1"/>
  <c r="Y194" i="22" s="1"/>
  <c r="G194" i="22"/>
  <c r="CC194" i="6" s="1"/>
  <c r="H194" i="22"/>
  <c r="G246" i="22"/>
  <c r="CC246" i="6" s="1"/>
  <c r="H246" i="22"/>
  <c r="AA246" i="22"/>
  <c r="Z246" i="22" s="1"/>
  <c r="Y246" i="22" s="1"/>
  <c r="H314" i="22"/>
  <c r="AA314" i="22"/>
  <c r="Z314" i="22" s="1"/>
  <c r="Y314" i="22" s="1"/>
  <c r="G314" i="22"/>
  <c r="CC314" i="6" s="1"/>
  <c r="AA51" i="22"/>
  <c r="Z51" i="22" s="1"/>
  <c r="Y51" i="22" s="1"/>
  <c r="G51" i="22"/>
  <c r="CC51" i="6" s="1"/>
  <c r="H51" i="22"/>
  <c r="G59" i="22"/>
  <c r="CC59" i="6" s="1"/>
  <c r="H59" i="22"/>
  <c r="AA59" i="22"/>
  <c r="Z59" i="22" s="1"/>
  <c r="Y59" i="22" s="1"/>
  <c r="G163" i="22"/>
  <c r="CC163" i="6" s="1"/>
  <c r="H163" i="22"/>
  <c r="AA163" i="22"/>
  <c r="Z163" i="22" s="1"/>
  <c r="Y163" i="22" s="1"/>
  <c r="H211" i="22"/>
  <c r="G211" i="22"/>
  <c r="CC211" i="6" s="1"/>
  <c r="AA211" i="22"/>
  <c r="Z211" i="22" s="1"/>
  <c r="Y211" i="22" s="1"/>
  <c r="H371" i="22"/>
  <c r="G371" i="22"/>
  <c r="CC371" i="6" s="1"/>
  <c r="AA371" i="22"/>
  <c r="Z371" i="22" s="1"/>
  <c r="Y371" i="22" s="1"/>
  <c r="AA80" i="22"/>
  <c r="Z80" i="22" s="1"/>
  <c r="Y80" i="22" s="1"/>
  <c r="G80" i="22"/>
  <c r="CC80" i="6" s="1"/>
  <c r="H80" i="22"/>
  <c r="G96" i="22"/>
  <c r="CC96" i="6" s="1"/>
  <c r="H96" i="22"/>
  <c r="AA96" i="22"/>
  <c r="Z96" i="22" s="1"/>
  <c r="Y96" i="22" s="1"/>
  <c r="AA116" i="22"/>
  <c r="Z116" i="22" s="1"/>
  <c r="Y116" i="22" s="1"/>
  <c r="H116" i="22"/>
  <c r="G116" i="22"/>
  <c r="CC116" i="6" s="1"/>
  <c r="G128" i="22"/>
  <c r="CC128" i="6" s="1"/>
  <c r="AA128" i="22"/>
  <c r="Z128" i="22" s="1"/>
  <c r="Y128" i="22" s="1"/>
  <c r="H128" i="22"/>
  <c r="G160" i="22"/>
  <c r="CC160" i="6" s="1"/>
  <c r="H160" i="22"/>
  <c r="AA160" i="22"/>
  <c r="Z160" i="22" s="1"/>
  <c r="Y160" i="22" s="1"/>
  <c r="G208" i="22"/>
  <c r="CC208" i="6" s="1"/>
  <c r="AA208" i="22"/>
  <c r="Z208" i="22" s="1"/>
  <c r="Y208" i="22" s="1"/>
  <c r="H208" i="22"/>
  <c r="AA61" i="22"/>
  <c r="Z61" i="22" s="1"/>
  <c r="Y61" i="22" s="1"/>
  <c r="G61" i="22"/>
  <c r="CC61" i="6" s="1"/>
  <c r="G145" i="22"/>
  <c r="CC145" i="6" s="1"/>
  <c r="AA145" i="22"/>
  <c r="Z145" i="22" s="1"/>
  <c r="Y145" i="22" s="1"/>
  <c r="H145" i="22"/>
  <c r="AA189" i="22"/>
  <c r="Z189" i="22" s="1"/>
  <c r="Y189" i="22" s="1"/>
  <c r="G189" i="22"/>
  <c r="CC189" i="6" s="1"/>
  <c r="G261" i="22"/>
  <c r="CC261" i="6" s="1"/>
  <c r="AA261" i="22"/>
  <c r="Z261" i="22" s="1"/>
  <c r="Y261" i="22" s="1"/>
  <c r="H261" i="22"/>
  <c r="G273" i="22"/>
  <c r="CC273" i="6" s="1"/>
  <c r="H273" i="22"/>
  <c r="AA273" i="22"/>
  <c r="Z273" i="22" s="1"/>
  <c r="Y273" i="22" s="1"/>
  <c r="G50" i="22"/>
  <c r="CC50" i="6" s="1"/>
  <c r="AA50" i="22"/>
  <c r="Z50" i="22" s="1"/>
  <c r="Y50" i="22" s="1"/>
  <c r="H50" i="22"/>
  <c r="AA102" i="22"/>
  <c r="Z102" i="22" s="1"/>
  <c r="Y102" i="22" s="1"/>
  <c r="H102" i="22"/>
  <c r="G102" i="22"/>
  <c r="CC102" i="6" s="1"/>
  <c r="AA150" i="22"/>
  <c r="Z150" i="22" s="1"/>
  <c r="Y150" i="22" s="1"/>
  <c r="G150" i="22"/>
  <c r="CC150" i="6" s="1"/>
  <c r="H150" i="22"/>
  <c r="AA178" i="22"/>
  <c r="Z178" i="22" s="1"/>
  <c r="Y178" i="22" s="1"/>
  <c r="G178" i="22"/>
  <c r="CC178" i="6" s="1"/>
  <c r="H178" i="22"/>
  <c r="H198" i="22"/>
  <c r="AA198" i="22"/>
  <c r="Z198" i="22" s="1"/>
  <c r="Y198" i="22" s="1"/>
  <c r="G198" i="22"/>
  <c r="CC198" i="6" s="1"/>
  <c r="G226" i="22"/>
  <c r="CC226" i="6" s="1"/>
  <c r="H226" i="22"/>
  <c r="AA226" i="22"/>
  <c r="Z226" i="22" s="1"/>
  <c r="Y226" i="22" s="1"/>
  <c r="H242" i="22"/>
  <c r="G242" i="22"/>
  <c r="CC242" i="6" s="1"/>
  <c r="AA242" i="22"/>
  <c r="Z242" i="22" s="1"/>
  <c r="Y242" i="22" s="1"/>
  <c r="AA334" i="22"/>
  <c r="Z334" i="22" s="1"/>
  <c r="Y334" i="22" s="1"/>
  <c r="H334" i="22"/>
  <c r="G334" i="22"/>
  <c r="CC334" i="6" s="1"/>
  <c r="AA346" i="22"/>
  <c r="Z346" i="22" s="1"/>
  <c r="Y346" i="22" s="1"/>
  <c r="G346" i="22"/>
  <c r="CC346" i="6" s="1"/>
  <c r="H346" i="22"/>
  <c r="AA19" i="22"/>
  <c r="Z19" i="22" s="1"/>
  <c r="Y19" i="22" s="1"/>
  <c r="G19" i="22"/>
  <c r="CC19" i="6" s="1"/>
  <c r="H19" i="22"/>
  <c r="G71" i="22"/>
  <c r="CC71" i="6" s="1"/>
  <c r="AA71" i="22"/>
  <c r="Z71" i="22" s="1"/>
  <c r="Y71" i="22" s="1"/>
  <c r="H71" i="22"/>
  <c r="AA251" i="22"/>
  <c r="Z251" i="22" s="1"/>
  <c r="Y251" i="22" s="1"/>
  <c r="H251" i="22"/>
  <c r="G251" i="22"/>
  <c r="CC251" i="6" s="1"/>
  <c r="G295" i="22"/>
  <c r="CC295" i="6" s="1"/>
  <c r="H295" i="22"/>
  <c r="AA295" i="22"/>
  <c r="Z295" i="22" s="1"/>
  <c r="Y295" i="22" s="1"/>
  <c r="AA52" i="22"/>
  <c r="Z52" i="22" s="1"/>
  <c r="Y52" i="22" s="1"/>
  <c r="H52" i="22"/>
  <c r="G52" i="22"/>
  <c r="CC52" i="6" s="1"/>
  <c r="AA92" i="22"/>
  <c r="Z92" i="22" s="1"/>
  <c r="Y92" i="22" s="1"/>
  <c r="G92" i="22"/>
  <c r="CC92" i="6" s="1"/>
  <c r="H92" i="22"/>
  <c r="AA224" i="22"/>
  <c r="Z224" i="22" s="1"/>
  <c r="Y224" i="22" s="1"/>
  <c r="H224" i="22"/>
  <c r="G224" i="22"/>
  <c r="CC224" i="6" s="1"/>
  <c r="G308" i="22"/>
  <c r="CC308" i="6" s="1"/>
  <c r="AA308" i="22"/>
  <c r="Z308" i="22" s="1"/>
  <c r="Y308" i="22" s="1"/>
  <c r="H308" i="22"/>
  <c r="W330" i="23" l="1"/>
  <c r="J205" i="22"/>
  <c r="AI154" i="23"/>
  <c r="AH154" i="23" s="1"/>
  <c r="AG154" i="23" s="1"/>
  <c r="AF154" i="23" s="1"/>
  <c r="AD154" i="23" s="1"/>
  <c r="AI138" i="23"/>
  <c r="AH138" i="23" s="1"/>
  <c r="AG138" i="23" s="1"/>
  <c r="AF138" i="23" s="1"/>
  <c r="AD138" i="23" s="1"/>
  <c r="AI122" i="23"/>
  <c r="AH122" i="23" s="1"/>
  <c r="AG122" i="23" s="1"/>
  <c r="AF122" i="23" s="1"/>
  <c r="AD122" i="23" s="1"/>
  <c r="AI106" i="23"/>
  <c r="AH106" i="23" s="1"/>
  <c r="AG106" i="23" s="1"/>
  <c r="AF106" i="23" s="1"/>
  <c r="AD106" i="23" s="1"/>
  <c r="AI320" i="23"/>
  <c r="AH320" i="23" s="1"/>
  <c r="AG320" i="23" s="1"/>
  <c r="AF320" i="23" s="1"/>
  <c r="AD320" i="23" s="1"/>
  <c r="AI304" i="23"/>
  <c r="AH304" i="23" s="1"/>
  <c r="AG304" i="23" s="1"/>
  <c r="AF304" i="23" s="1"/>
  <c r="AD304" i="23" s="1"/>
  <c r="AI288" i="23"/>
  <c r="AH288" i="23" s="1"/>
  <c r="AG288" i="23" s="1"/>
  <c r="AF288" i="23" s="1"/>
  <c r="AD288" i="23" s="1"/>
  <c r="AI272" i="23"/>
  <c r="AH272" i="23" s="1"/>
  <c r="AG272" i="23" s="1"/>
  <c r="AF272" i="23" s="1"/>
  <c r="AD272" i="23" s="1"/>
  <c r="AI256" i="23"/>
  <c r="AH256" i="23" s="1"/>
  <c r="AG256" i="23" s="1"/>
  <c r="AF256" i="23" s="1"/>
  <c r="AD256" i="23" s="1"/>
  <c r="AI240" i="23"/>
  <c r="AH240" i="23" s="1"/>
  <c r="AG240" i="23" s="1"/>
  <c r="AF240" i="23" s="1"/>
  <c r="AD240" i="23" s="1"/>
  <c r="AI224" i="23"/>
  <c r="AH224" i="23" s="1"/>
  <c r="AG224" i="23" s="1"/>
  <c r="AF224" i="23" s="1"/>
  <c r="AD224" i="23" s="1"/>
  <c r="AI208" i="23"/>
  <c r="AH208" i="23" s="1"/>
  <c r="AG208" i="23" s="1"/>
  <c r="AF208" i="23" s="1"/>
  <c r="AD208" i="23" s="1"/>
  <c r="AI192" i="23"/>
  <c r="AH192" i="23" s="1"/>
  <c r="AG192" i="23" s="1"/>
  <c r="AF192" i="23" s="1"/>
  <c r="AD192" i="23" s="1"/>
  <c r="AI176" i="23"/>
  <c r="AH176" i="23" s="1"/>
  <c r="AG176" i="23" s="1"/>
  <c r="AF176" i="23" s="1"/>
  <c r="AD176" i="23" s="1"/>
  <c r="AI157" i="23"/>
  <c r="AH157" i="23" s="1"/>
  <c r="AG157" i="23" s="1"/>
  <c r="AF157" i="23" s="1"/>
  <c r="AD157" i="23" s="1"/>
  <c r="AI125" i="23"/>
  <c r="AH125" i="23" s="1"/>
  <c r="AG125" i="23" s="1"/>
  <c r="AF125" i="23" s="1"/>
  <c r="AD125" i="23" s="1"/>
  <c r="AI147" i="23"/>
  <c r="AH147" i="23" s="1"/>
  <c r="AG147" i="23" s="1"/>
  <c r="AF147" i="23" s="1"/>
  <c r="AD147" i="23" s="1"/>
  <c r="AI187" i="23"/>
  <c r="AH187" i="23" s="1"/>
  <c r="AG187" i="23" s="1"/>
  <c r="AF187" i="23" s="1"/>
  <c r="AD187" i="23" s="1"/>
  <c r="AI219" i="23"/>
  <c r="AH219" i="23" s="1"/>
  <c r="AG219" i="23" s="1"/>
  <c r="AF219" i="23" s="1"/>
  <c r="AD219" i="23" s="1"/>
  <c r="AI251" i="23"/>
  <c r="AH251" i="23" s="1"/>
  <c r="AG251" i="23" s="1"/>
  <c r="AF251" i="23" s="1"/>
  <c r="AD251" i="23" s="1"/>
  <c r="AI283" i="23"/>
  <c r="AH283" i="23" s="1"/>
  <c r="AG283" i="23" s="1"/>
  <c r="AF283" i="23" s="1"/>
  <c r="AD283" i="23" s="1"/>
  <c r="AI315" i="23"/>
  <c r="AH315" i="23" s="1"/>
  <c r="AG315" i="23" s="1"/>
  <c r="AF315" i="23" s="1"/>
  <c r="AD315" i="23" s="1"/>
  <c r="AI340" i="23"/>
  <c r="AH340" i="23" s="1"/>
  <c r="AG340" i="23" s="1"/>
  <c r="AF340" i="23" s="1"/>
  <c r="AD340" i="23" s="1"/>
  <c r="AI356" i="23"/>
  <c r="AH356" i="23" s="1"/>
  <c r="AG356" i="23" s="1"/>
  <c r="AF356" i="23" s="1"/>
  <c r="AD356" i="23" s="1"/>
  <c r="AI372" i="23"/>
  <c r="AH372" i="23" s="1"/>
  <c r="AG372" i="23" s="1"/>
  <c r="AF372" i="23" s="1"/>
  <c r="AD372" i="23" s="1"/>
  <c r="AI197" i="23"/>
  <c r="AH197" i="23" s="1"/>
  <c r="AG197" i="23" s="1"/>
  <c r="AF197" i="23" s="1"/>
  <c r="AD197" i="23" s="1"/>
  <c r="AI261" i="23"/>
  <c r="AH261" i="23" s="1"/>
  <c r="AG261" i="23" s="1"/>
  <c r="AF261" i="23" s="1"/>
  <c r="AD261" i="23" s="1"/>
  <c r="AI325" i="23"/>
  <c r="AH325" i="23" s="1"/>
  <c r="AG325" i="23" s="1"/>
  <c r="AF325" i="23" s="1"/>
  <c r="AD325" i="23" s="1"/>
  <c r="AI361" i="23"/>
  <c r="AH361" i="23" s="1"/>
  <c r="AG361" i="23" s="1"/>
  <c r="AF361" i="23" s="1"/>
  <c r="AD361" i="23" s="1"/>
  <c r="AI297" i="23"/>
  <c r="AH297" i="23" s="1"/>
  <c r="AG297" i="23" s="1"/>
  <c r="AF297" i="23" s="1"/>
  <c r="AD297" i="23" s="1"/>
  <c r="AI379" i="23"/>
  <c r="AI169" i="23"/>
  <c r="AH169" i="23" s="1"/>
  <c r="AG169" i="23" s="1"/>
  <c r="AF169" i="23" s="1"/>
  <c r="AD169" i="23" s="1"/>
  <c r="J189" i="20"/>
  <c r="I189" i="20"/>
  <c r="H189" i="22" s="1"/>
  <c r="J125" i="20"/>
  <c r="I125" i="20"/>
  <c r="H125" i="22" s="1"/>
  <c r="I125" i="22" s="1"/>
  <c r="I61" i="20"/>
  <c r="H61" i="22" s="1"/>
  <c r="J61" i="20"/>
  <c r="G38" i="19"/>
  <c r="D14" i="19"/>
  <c r="E14" i="19" s="1"/>
  <c r="F14" i="19" s="1"/>
  <c r="D7" i="6"/>
  <c r="W7" i="7"/>
  <c r="I383" i="17"/>
  <c r="I382" i="17"/>
  <c r="I381" i="17"/>
  <c r="AI347" i="23"/>
  <c r="AH347" i="23" s="1"/>
  <c r="AG347" i="23" s="1"/>
  <c r="AF347" i="23" s="1"/>
  <c r="AD347" i="23" s="1"/>
  <c r="AI233" i="23"/>
  <c r="AH233" i="23" s="1"/>
  <c r="AG233" i="23" s="1"/>
  <c r="AF233" i="23" s="1"/>
  <c r="AD233" i="23" s="1"/>
  <c r="D189" i="6"/>
  <c r="Z4" i="6"/>
  <c r="D125" i="6"/>
  <c r="U4" i="6"/>
  <c r="D61" i="6"/>
  <c r="Q4" i="6"/>
  <c r="Z382" i="17"/>
  <c r="Z9" i="17"/>
  <c r="Z383" i="17"/>
  <c r="Z381" i="17"/>
  <c r="AL7" i="17"/>
  <c r="Y15" i="17"/>
  <c r="J382" i="17"/>
  <c r="J381" i="17"/>
  <c r="J383" i="17"/>
  <c r="AI127" i="23"/>
  <c r="AH127" i="23" s="1"/>
  <c r="AG127" i="23" s="1"/>
  <c r="AF127" i="23" s="1"/>
  <c r="AD127" i="23" s="1"/>
  <c r="AI257" i="23"/>
  <c r="AH257" i="23" s="1"/>
  <c r="AG257" i="23" s="1"/>
  <c r="AF257" i="23" s="1"/>
  <c r="AD257" i="23" s="1"/>
  <c r="AI321" i="23"/>
  <c r="AH321" i="23" s="1"/>
  <c r="AG321" i="23" s="1"/>
  <c r="AF321" i="23" s="1"/>
  <c r="AD321" i="23" s="1"/>
  <c r="AI359" i="23"/>
  <c r="AH359" i="23" s="1"/>
  <c r="AG359" i="23" s="1"/>
  <c r="AF359" i="23" s="1"/>
  <c r="AD359" i="23" s="1"/>
  <c r="AI143" i="23"/>
  <c r="AH143" i="23" s="1"/>
  <c r="AG143" i="23" s="1"/>
  <c r="AF143" i="23" s="1"/>
  <c r="AD143" i="23" s="1"/>
  <c r="AI185" i="23"/>
  <c r="AH185" i="23" s="1"/>
  <c r="AG185" i="23" s="1"/>
  <c r="AF185" i="23" s="1"/>
  <c r="AD185" i="23" s="1"/>
  <c r="AI217" i="23"/>
  <c r="AH217" i="23" s="1"/>
  <c r="AG217" i="23" s="1"/>
  <c r="AF217" i="23" s="1"/>
  <c r="AD217" i="23" s="1"/>
  <c r="AI249" i="23"/>
  <c r="AH249" i="23" s="1"/>
  <c r="AG249" i="23" s="1"/>
  <c r="AF249" i="23" s="1"/>
  <c r="AD249" i="23" s="1"/>
  <c r="AI281" i="23"/>
  <c r="AH281" i="23" s="1"/>
  <c r="AG281" i="23" s="1"/>
  <c r="AF281" i="23" s="1"/>
  <c r="AD281" i="23" s="1"/>
  <c r="AI313" i="23"/>
  <c r="AH313" i="23" s="1"/>
  <c r="AG313" i="23" s="1"/>
  <c r="AF313" i="23" s="1"/>
  <c r="AD313" i="23" s="1"/>
  <c r="AI339" i="23"/>
  <c r="AH339" i="23" s="1"/>
  <c r="AG339" i="23" s="1"/>
  <c r="AF339" i="23" s="1"/>
  <c r="AD339" i="23" s="1"/>
  <c r="AI355" i="23"/>
  <c r="AH355" i="23" s="1"/>
  <c r="AG355" i="23" s="1"/>
  <c r="AF355" i="23" s="1"/>
  <c r="AD355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65" i="23"/>
  <c r="AH365" i="23" s="1"/>
  <c r="AG365" i="23" s="1"/>
  <c r="AF365" i="23" s="1"/>
  <c r="AD365" i="23" s="1"/>
  <c r="AI357" i="23"/>
  <c r="AH357" i="23" s="1"/>
  <c r="AG357" i="23" s="1"/>
  <c r="AF357" i="23" s="1"/>
  <c r="AD357" i="23" s="1"/>
  <c r="AI349" i="23"/>
  <c r="AH349" i="23" s="1"/>
  <c r="AG349" i="23" s="1"/>
  <c r="AF349" i="23" s="1"/>
  <c r="AD349" i="23" s="1"/>
  <c r="AI341" i="23"/>
  <c r="AH341" i="23" s="1"/>
  <c r="AG341" i="23" s="1"/>
  <c r="AF341" i="23" s="1"/>
  <c r="AD341" i="23" s="1"/>
  <c r="AI333" i="23"/>
  <c r="AH333" i="23" s="1"/>
  <c r="AG333" i="23" s="1"/>
  <c r="AF333" i="23" s="1"/>
  <c r="AD333" i="23" s="1"/>
  <c r="AI317" i="23"/>
  <c r="AH317" i="23" s="1"/>
  <c r="AG317" i="23" s="1"/>
  <c r="AF317" i="23" s="1"/>
  <c r="AD317" i="23" s="1"/>
  <c r="AI301" i="23"/>
  <c r="AH301" i="23" s="1"/>
  <c r="AG301" i="23" s="1"/>
  <c r="AF301" i="23" s="1"/>
  <c r="AD301" i="23" s="1"/>
  <c r="AI285" i="23"/>
  <c r="AH285" i="23" s="1"/>
  <c r="AG285" i="23" s="1"/>
  <c r="AF285" i="23" s="1"/>
  <c r="AD285" i="23" s="1"/>
  <c r="AI269" i="23"/>
  <c r="AH269" i="23" s="1"/>
  <c r="AG269" i="23" s="1"/>
  <c r="AF269" i="23" s="1"/>
  <c r="AD269" i="23" s="1"/>
  <c r="AI253" i="23"/>
  <c r="AH253" i="23" s="1"/>
  <c r="AG253" i="23" s="1"/>
  <c r="AF253" i="23" s="1"/>
  <c r="AD253" i="23" s="1"/>
  <c r="AI237" i="23"/>
  <c r="AH237" i="23" s="1"/>
  <c r="AG237" i="23" s="1"/>
  <c r="AF237" i="23" s="1"/>
  <c r="AD237" i="23" s="1"/>
  <c r="AI221" i="23"/>
  <c r="AH221" i="23" s="1"/>
  <c r="AG221" i="23" s="1"/>
  <c r="AF221" i="23" s="1"/>
  <c r="AD221" i="23" s="1"/>
  <c r="AI205" i="23"/>
  <c r="AH205" i="23" s="1"/>
  <c r="AG205" i="23" s="1"/>
  <c r="AF205" i="23" s="1"/>
  <c r="AD205" i="23" s="1"/>
  <c r="AI189" i="23"/>
  <c r="AH189" i="23" s="1"/>
  <c r="AG189" i="23" s="1"/>
  <c r="AF189" i="23" s="1"/>
  <c r="AD189" i="23" s="1"/>
  <c r="AI173" i="23"/>
  <c r="AH173" i="23" s="1"/>
  <c r="AG173" i="23" s="1"/>
  <c r="AF173" i="23" s="1"/>
  <c r="AD173" i="23" s="1"/>
  <c r="AI151" i="23"/>
  <c r="AH151" i="23" s="1"/>
  <c r="AG151" i="23" s="1"/>
  <c r="AF151" i="23" s="1"/>
  <c r="AD151" i="23" s="1"/>
  <c r="AI119" i="23"/>
  <c r="AH119" i="23" s="1"/>
  <c r="AG119" i="23" s="1"/>
  <c r="AF119" i="23" s="1"/>
  <c r="AD119" i="23" s="1"/>
  <c r="AI378" i="23"/>
  <c r="AH378" i="23" s="1"/>
  <c r="AG378" i="23" s="1"/>
  <c r="AF378" i="23" s="1"/>
  <c r="AD378" i="23" s="1"/>
  <c r="AI374" i="23"/>
  <c r="AH374" i="23" s="1"/>
  <c r="AG374" i="23" s="1"/>
  <c r="AF374" i="23" s="1"/>
  <c r="AD374" i="23" s="1"/>
  <c r="AI370" i="23"/>
  <c r="AH370" i="23" s="1"/>
  <c r="AG370" i="23" s="1"/>
  <c r="AF370" i="23" s="1"/>
  <c r="AD370" i="23" s="1"/>
  <c r="AI366" i="23"/>
  <c r="AH366" i="23" s="1"/>
  <c r="AG366" i="23" s="1"/>
  <c r="AF366" i="23" s="1"/>
  <c r="AD366" i="23" s="1"/>
  <c r="AI362" i="23"/>
  <c r="AH362" i="23" s="1"/>
  <c r="AG362" i="23" s="1"/>
  <c r="AF362" i="23" s="1"/>
  <c r="AD362" i="23" s="1"/>
  <c r="AI358" i="23"/>
  <c r="AH358" i="23" s="1"/>
  <c r="AG358" i="23" s="1"/>
  <c r="AF358" i="23" s="1"/>
  <c r="AD358" i="23" s="1"/>
  <c r="AI354" i="23"/>
  <c r="AH354" i="23" s="1"/>
  <c r="AG354" i="23" s="1"/>
  <c r="AF354" i="23" s="1"/>
  <c r="AD354" i="23" s="1"/>
  <c r="AI350" i="23"/>
  <c r="AH350" i="23" s="1"/>
  <c r="AG350" i="23" s="1"/>
  <c r="AF350" i="23" s="1"/>
  <c r="AD350" i="23" s="1"/>
  <c r="AI346" i="23"/>
  <c r="AH346" i="23" s="1"/>
  <c r="AG346" i="23" s="1"/>
  <c r="AF346" i="23" s="1"/>
  <c r="AD346" i="23" s="1"/>
  <c r="AI342" i="23"/>
  <c r="AH342" i="23" s="1"/>
  <c r="AG342" i="23" s="1"/>
  <c r="AF342" i="23" s="1"/>
  <c r="AD342" i="23" s="1"/>
  <c r="AI338" i="23"/>
  <c r="AH338" i="23" s="1"/>
  <c r="AG338" i="23" s="1"/>
  <c r="AF338" i="23" s="1"/>
  <c r="AD338" i="23" s="1"/>
  <c r="AI334" i="23"/>
  <c r="AH334" i="23" s="1"/>
  <c r="AG334" i="23" s="1"/>
  <c r="AF334" i="23" s="1"/>
  <c r="AD334" i="23" s="1"/>
  <c r="AI327" i="23"/>
  <c r="AH327" i="23" s="1"/>
  <c r="AG327" i="23" s="1"/>
  <c r="AF327" i="23" s="1"/>
  <c r="AD327" i="23" s="1"/>
  <c r="AI319" i="23"/>
  <c r="AH319" i="23" s="1"/>
  <c r="AG319" i="23" s="1"/>
  <c r="AF319" i="23" s="1"/>
  <c r="AD319" i="23" s="1"/>
  <c r="AI311" i="23"/>
  <c r="AH311" i="23" s="1"/>
  <c r="AG311" i="23" s="1"/>
  <c r="AF311" i="23" s="1"/>
  <c r="AD311" i="23" s="1"/>
  <c r="AI303" i="23"/>
  <c r="AH303" i="23" s="1"/>
  <c r="AG303" i="23" s="1"/>
  <c r="AF303" i="23" s="1"/>
  <c r="AD303" i="23" s="1"/>
  <c r="AI295" i="23"/>
  <c r="AH295" i="23" s="1"/>
  <c r="AG295" i="23" s="1"/>
  <c r="AF295" i="23" s="1"/>
  <c r="AD295" i="23" s="1"/>
  <c r="AI287" i="23"/>
  <c r="AH287" i="23" s="1"/>
  <c r="AG287" i="23" s="1"/>
  <c r="AF287" i="23" s="1"/>
  <c r="AD287" i="23" s="1"/>
  <c r="AI279" i="23"/>
  <c r="AH279" i="23" s="1"/>
  <c r="AG279" i="23" s="1"/>
  <c r="AF279" i="23" s="1"/>
  <c r="AD279" i="23" s="1"/>
  <c r="AI271" i="23"/>
  <c r="AH271" i="23" s="1"/>
  <c r="AG271" i="23" s="1"/>
  <c r="AF271" i="23" s="1"/>
  <c r="AD271" i="23" s="1"/>
  <c r="AI263" i="23"/>
  <c r="AH263" i="23" s="1"/>
  <c r="AG263" i="23" s="1"/>
  <c r="AF263" i="23" s="1"/>
  <c r="AD263" i="23" s="1"/>
  <c r="AI255" i="23"/>
  <c r="AH255" i="23" s="1"/>
  <c r="AG255" i="23" s="1"/>
  <c r="AF255" i="23" s="1"/>
  <c r="AD255" i="23" s="1"/>
  <c r="AI247" i="23"/>
  <c r="AH247" i="23" s="1"/>
  <c r="AG247" i="23" s="1"/>
  <c r="AF247" i="23" s="1"/>
  <c r="AD247" i="23" s="1"/>
  <c r="AI239" i="23"/>
  <c r="AH239" i="23" s="1"/>
  <c r="AG239" i="23" s="1"/>
  <c r="AF239" i="23" s="1"/>
  <c r="AD239" i="23" s="1"/>
  <c r="AI231" i="23"/>
  <c r="AH231" i="23" s="1"/>
  <c r="AG231" i="23" s="1"/>
  <c r="AF231" i="23" s="1"/>
  <c r="AD231" i="23" s="1"/>
  <c r="AI223" i="23"/>
  <c r="AH223" i="23" s="1"/>
  <c r="AG223" i="23" s="1"/>
  <c r="AF223" i="23" s="1"/>
  <c r="AD223" i="23" s="1"/>
  <c r="AI215" i="23"/>
  <c r="AH215" i="23" s="1"/>
  <c r="AG215" i="23" s="1"/>
  <c r="AF215" i="23" s="1"/>
  <c r="AD215" i="23" s="1"/>
  <c r="AI207" i="23"/>
  <c r="AH207" i="23" s="1"/>
  <c r="AG207" i="23" s="1"/>
  <c r="AF207" i="23" s="1"/>
  <c r="AD207" i="23" s="1"/>
  <c r="AI199" i="23"/>
  <c r="AH199" i="23" s="1"/>
  <c r="AG199" i="23" s="1"/>
  <c r="AF199" i="23" s="1"/>
  <c r="AD199" i="23" s="1"/>
  <c r="AI191" i="23"/>
  <c r="AH191" i="23" s="1"/>
  <c r="AG191" i="23" s="1"/>
  <c r="AF191" i="23" s="1"/>
  <c r="AD191" i="23" s="1"/>
  <c r="AI183" i="23"/>
  <c r="AH183" i="23" s="1"/>
  <c r="AG183" i="23" s="1"/>
  <c r="AF183" i="23" s="1"/>
  <c r="AD183" i="23" s="1"/>
  <c r="AI175" i="23"/>
  <c r="AH175" i="23" s="1"/>
  <c r="AG175" i="23" s="1"/>
  <c r="AF175" i="23" s="1"/>
  <c r="AD175" i="23" s="1"/>
  <c r="AI167" i="23"/>
  <c r="AH167" i="23" s="1"/>
  <c r="AG167" i="23" s="1"/>
  <c r="AF167" i="23" s="1"/>
  <c r="AD167" i="23" s="1"/>
  <c r="AI155" i="23"/>
  <c r="AH155" i="23" s="1"/>
  <c r="AG155" i="23" s="1"/>
  <c r="AF155" i="23" s="1"/>
  <c r="AD155" i="23" s="1"/>
  <c r="AI139" i="23"/>
  <c r="AH139" i="23" s="1"/>
  <c r="AG139" i="23" s="1"/>
  <c r="AF139" i="23" s="1"/>
  <c r="AD139" i="23" s="1"/>
  <c r="AI123" i="23"/>
  <c r="AH123" i="23" s="1"/>
  <c r="AG123" i="23" s="1"/>
  <c r="AF123" i="23" s="1"/>
  <c r="AD123" i="23" s="1"/>
  <c r="AI107" i="23"/>
  <c r="AH107" i="23" s="1"/>
  <c r="AG107" i="23" s="1"/>
  <c r="AF107" i="23" s="1"/>
  <c r="AD107" i="23" s="1"/>
  <c r="AI105" i="23"/>
  <c r="AH105" i="23" s="1"/>
  <c r="AG105" i="23" s="1"/>
  <c r="AF105" i="23" s="1"/>
  <c r="AD105" i="23" s="1"/>
  <c r="AI113" i="23"/>
  <c r="AH113" i="23" s="1"/>
  <c r="AG113" i="23" s="1"/>
  <c r="AF113" i="23" s="1"/>
  <c r="AD113" i="23" s="1"/>
  <c r="AI121" i="23"/>
  <c r="AH121" i="23" s="1"/>
  <c r="AG121" i="23" s="1"/>
  <c r="AF121" i="23" s="1"/>
  <c r="AD121" i="23" s="1"/>
  <c r="AI129" i="23"/>
  <c r="AH129" i="23" s="1"/>
  <c r="AG129" i="23" s="1"/>
  <c r="AF129" i="23" s="1"/>
  <c r="AD129" i="23" s="1"/>
  <c r="AI137" i="23"/>
  <c r="AH137" i="23" s="1"/>
  <c r="AG137" i="23" s="1"/>
  <c r="AF137" i="23" s="1"/>
  <c r="AD137" i="23" s="1"/>
  <c r="AI145" i="23"/>
  <c r="AH145" i="23" s="1"/>
  <c r="AG145" i="23" s="1"/>
  <c r="AF145" i="23" s="1"/>
  <c r="AD145" i="23" s="1"/>
  <c r="AI153" i="23"/>
  <c r="AH153" i="23" s="1"/>
  <c r="AG153" i="23" s="1"/>
  <c r="AF153" i="23" s="1"/>
  <c r="AD153" i="23" s="1"/>
  <c r="AI161" i="23"/>
  <c r="AH161" i="23" s="1"/>
  <c r="AG161" i="23" s="1"/>
  <c r="AF161" i="23" s="1"/>
  <c r="AD161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A186" i="23" s="1"/>
  <c r="Z186" i="23" s="1"/>
  <c r="Y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A242" i="23" s="1"/>
  <c r="Z242" i="23" s="1"/>
  <c r="Y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A330" i="23" s="1"/>
  <c r="Z330" i="23" s="1"/>
  <c r="Y33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A124" i="23" s="1"/>
  <c r="Z124" i="23" s="1"/>
  <c r="Y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58" i="23"/>
  <c r="AH158" i="23" s="1"/>
  <c r="AG158" i="23" s="1"/>
  <c r="AF158" i="23" s="1"/>
  <c r="AD158" i="23" s="1"/>
  <c r="AI150" i="23"/>
  <c r="AH150" i="23" s="1"/>
  <c r="AG150" i="23" s="1"/>
  <c r="AF150" i="23" s="1"/>
  <c r="AD150" i="23" s="1"/>
  <c r="AI142" i="23"/>
  <c r="AH142" i="23" s="1"/>
  <c r="AG142" i="23" s="1"/>
  <c r="AF142" i="23" s="1"/>
  <c r="AD142" i="23" s="1"/>
  <c r="AI134" i="23"/>
  <c r="AH134" i="23" s="1"/>
  <c r="AG134" i="23" s="1"/>
  <c r="AF134" i="23" s="1"/>
  <c r="AD134" i="23" s="1"/>
  <c r="AI126" i="23"/>
  <c r="AH126" i="23" s="1"/>
  <c r="AG126" i="23" s="1"/>
  <c r="AF126" i="23" s="1"/>
  <c r="AD126" i="23" s="1"/>
  <c r="AI118" i="23"/>
  <c r="AH118" i="23" s="1"/>
  <c r="AG118" i="23" s="1"/>
  <c r="AF118" i="23" s="1"/>
  <c r="AD118" i="23" s="1"/>
  <c r="AI110" i="23"/>
  <c r="AH110" i="23" s="1"/>
  <c r="AG110" i="23" s="1"/>
  <c r="AF110" i="23" s="1"/>
  <c r="AD110" i="23" s="1"/>
  <c r="AI332" i="23"/>
  <c r="AH332" i="23" s="1"/>
  <c r="AG332" i="23" s="1"/>
  <c r="AF332" i="23" s="1"/>
  <c r="AD332" i="23" s="1"/>
  <c r="AI324" i="23"/>
  <c r="AH324" i="23" s="1"/>
  <c r="AG324" i="23" s="1"/>
  <c r="AF324" i="23" s="1"/>
  <c r="AD324" i="23" s="1"/>
  <c r="AI316" i="23"/>
  <c r="AH316" i="23" s="1"/>
  <c r="AG316" i="23" s="1"/>
  <c r="AF316" i="23" s="1"/>
  <c r="AD316" i="23" s="1"/>
  <c r="AI308" i="23"/>
  <c r="AH308" i="23" s="1"/>
  <c r="AG308" i="23" s="1"/>
  <c r="AF308" i="23" s="1"/>
  <c r="AD308" i="23" s="1"/>
  <c r="AI300" i="23"/>
  <c r="AH300" i="23" s="1"/>
  <c r="AG300" i="23" s="1"/>
  <c r="AF300" i="23" s="1"/>
  <c r="AD300" i="23" s="1"/>
  <c r="AI292" i="23"/>
  <c r="AH292" i="23" s="1"/>
  <c r="AG292" i="23" s="1"/>
  <c r="AF292" i="23" s="1"/>
  <c r="AD292" i="23" s="1"/>
  <c r="AI284" i="23"/>
  <c r="AH284" i="23" s="1"/>
  <c r="AG284" i="23" s="1"/>
  <c r="AF284" i="23" s="1"/>
  <c r="AD284" i="23" s="1"/>
  <c r="AI276" i="23"/>
  <c r="AH276" i="23" s="1"/>
  <c r="AG276" i="23" s="1"/>
  <c r="AF276" i="23" s="1"/>
  <c r="AD276" i="23" s="1"/>
  <c r="AI268" i="23"/>
  <c r="AH268" i="23" s="1"/>
  <c r="AG268" i="23" s="1"/>
  <c r="AF268" i="23" s="1"/>
  <c r="AD268" i="23" s="1"/>
  <c r="AI260" i="23"/>
  <c r="AH260" i="23" s="1"/>
  <c r="AG260" i="23" s="1"/>
  <c r="AF260" i="23" s="1"/>
  <c r="AD260" i="23" s="1"/>
  <c r="AI252" i="23"/>
  <c r="AH252" i="23" s="1"/>
  <c r="AG252" i="23" s="1"/>
  <c r="AF252" i="23" s="1"/>
  <c r="AD252" i="23" s="1"/>
  <c r="AI244" i="23"/>
  <c r="AH244" i="23" s="1"/>
  <c r="AG244" i="23" s="1"/>
  <c r="AF244" i="23" s="1"/>
  <c r="AD244" i="23" s="1"/>
  <c r="AI236" i="23"/>
  <c r="AH236" i="23" s="1"/>
  <c r="AG236" i="23" s="1"/>
  <c r="AF236" i="23" s="1"/>
  <c r="AD236" i="23" s="1"/>
  <c r="AI228" i="23"/>
  <c r="AH228" i="23" s="1"/>
  <c r="AG228" i="23" s="1"/>
  <c r="AF228" i="23" s="1"/>
  <c r="AD228" i="23" s="1"/>
  <c r="AI220" i="23"/>
  <c r="AH220" i="23" s="1"/>
  <c r="AG220" i="23" s="1"/>
  <c r="AF220" i="23" s="1"/>
  <c r="AD220" i="23" s="1"/>
  <c r="AI212" i="23"/>
  <c r="AH212" i="23" s="1"/>
  <c r="AG212" i="23" s="1"/>
  <c r="AF212" i="23" s="1"/>
  <c r="AD212" i="23" s="1"/>
  <c r="AI204" i="23"/>
  <c r="AH204" i="23" s="1"/>
  <c r="AG204" i="23" s="1"/>
  <c r="AF204" i="23" s="1"/>
  <c r="AD204" i="23" s="1"/>
  <c r="AI196" i="23"/>
  <c r="AH196" i="23" s="1"/>
  <c r="AG196" i="23" s="1"/>
  <c r="AF196" i="23" s="1"/>
  <c r="AD196" i="23" s="1"/>
  <c r="AI188" i="23"/>
  <c r="AH188" i="23" s="1"/>
  <c r="AG188" i="23" s="1"/>
  <c r="AF188" i="23" s="1"/>
  <c r="AD188" i="23" s="1"/>
  <c r="AI180" i="23"/>
  <c r="AH180" i="23" s="1"/>
  <c r="AG180" i="23" s="1"/>
  <c r="AF180" i="23" s="1"/>
  <c r="AD180" i="23" s="1"/>
  <c r="AI172" i="23"/>
  <c r="AH172" i="23" s="1"/>
  <c r="AG172" i="23" s="1"/>
  <c r="AF172" i="23" s="1"/>
  <c r="AD172" i="23" s="1"/>
  <c r="AI164" i="23"/>
  <c r="AH164" i="23" s="1"/>
  <c r="AG164" i="23" s="1"/>
  <c r="AF164" i="23" s="1"/>
  <c r="AD164" i="23" s="1"/>
  <c r="AI149" i="23"/>
  <c r="AH149" i="23" s="1"/>
  <c r="AG149" i="23" s="1"/>
  <c r="AF149" i="23" s="1"/>
  <c r="AD149" i="23" s="1"/>
  <c r="AI133" i="23"/>
  <c r="AH133" i="23" s="1"/>
  <c r="AG133" i="23" s="1"/>
  <c r="AF133" i="23" s="1"/>
  <c r="AD133" i="23" s="1"/>
  <c r="AI117" i="23"/>
  <c r="AH117" i="23" s="1"/>
  <c r="AG117" i="23" s="1"/>
  <c r="AF117" i="23" s="1"/>
  <c r="AD117" i="23" s="1"/>
  <c r="AI131" i="23"/>
  <c r="AH131" i="23" s="1"/>
  <c r="AG131" i="23" s="1"/>
  <c r="AF131" i="23" s="1"/>
  <c r="AD131" i="23" s="1"/>
  <c r="AI163" i="23"/>
  <c r="AH163" i="23" s="1"/>
  <c r="AG163" i="23" s="1"/>
  <c r="AF163" i="23" s="1"/>
  <c r="AD163" i="23" s="1"/>
  <c r="AI179" i="23"/>
  <c r="AH179" i="23" s="1"/>
  <c r="AG179" i="23" s="1"/>
  <c r="AF179" i="23" s="1"/>
  <c r="AD179" i="23" s="1"/>
  <c r="AI195" i="23"/>
  <c r="AH195" i="23" s="1"/>
  <c r="AG195" i="23" s="1"/>
  <c r="AF195" i="23" s="1"/>
  <c r="AD195" i="23" s="1"/>
  <c r="AI211" i="23"/>
  <c r="AH211" i="23" s="1"/>
  <c r="AG211" i="23" s="1"/>
  <c r="AF211" i="23" s="1"/>
  <c r="AD211" i="23" s="1"/>
  <c r="AI227" i="23"/>
  <c r="AH227" i="23" s="1"/>
  <c r="AG227" i="23" s="1"/>
  <c r="AF227" i="23" s="1"/>
  <c r="AD227" i="23" s="1"/>
  <c r="AI243" i="23"/>
  <c r="AH243" i="23" s="1"/>
  <c r="AG243" i="23" s="1"/>
  <c r="AF243" i="23" s="1"/>
  <c r="AD243" i="23" s="1"/>
  <c r="AI259" i="23"/>
  <c r="AH259" i="23" s="1"/>
  <c r="AG259" i="23" s="1"/>
  <c r="AF259" i="23" s="1"/>
  <c r="AD259" i="23" s="1"/>
  <c r="AI275" i="23"/>
  <c r="AH275" i="23" s="1"/>
  <c r="AG275" i="23" s="1"/>
  <c r="AF275" i="23" s="1"/>
  <c r="AD275" i="23" s="1"/>
  <c r="AI291" i="23"/>
  <c r="AH291" i="23" s="1"/>
  <c r="AG291" i="23" s="1"/>
  <c r="AF291" i="23" s="1"/>
  <c r="AD291" i="23" s="1"/>
  <c r="AI307" i="23"/>
  <c r="AH307" i="23" s="1"/>
  <c r="AG307" i="23" s="1"/>
  <c r="AF307" i="23" s="1"/>
  <c r="AD307" i="23" s="1"/>
  <c r="AI323" i="23"/>
  <c r="AH323" i="23" s="1"/>
  <c r="AG323" i="23" s="1"/>
  <c r="AF323" i="23" s="1"/>
  <c r="AD323" i="23" s="1"/>
  <c r="AI336" i="23"/>
  <c r="AH336" i="23" s="1"/>
  <c r="AG336" i="23" s="1"/>
  <c r="AF336" i="23" s="1"/>
  <c r="AD336" i="23" s="1"/>
  <c r="AI344" i="23"/>
  <c r="AH344" i="23" s="1"/>
  <c r="AG344" i="23" s="1"/>
  <c r="AF344" i="23" s="1"/>
  <c r="AD344" i="23" s="1"/>
  <c r="AI352" i="23"/>
  <c r="AH352" i="23" s="1"/>
  <c r="AG352" i="23" s="1"/>
  <c r="AF352" i="23" s="1"/>
  <c r="AD352" i="23" s="1"/>
  <c r="AA352" i="23" s="1"/>
  <c r="Z352" i="23" s="1"/>
  <c r="Y352" i="23" s="1"/>
  <c r="AI360" i="23"/>
  <c r="AH360" i="23" s="1"/>
  <c r="AG360" i="23" s="1"/>
  <c r="AF360" i="23" s="1"/>
  <c r="AD360" i="23" s="1"/>
  <c r="AI368" i="23"/>
  <c r="AH368" i="23" s="1"/>
  <c r="AG368" i="23" s="1"/>
  <c r="AF368" i="23" s="1"/>
  <c r="AD368" i="23" s="1"/>
  <c r="AA368" i="23" s="1"/>
  <c r="Z368" i="23" s="1"/>
  <c r="Y368" i="23" s="1"/>
  <c r="AI376" i="23"/>
  <c r="AH376" i="23" s="1"/>
  <c r="AG376" i="23" s="1"/>
  <c r="AF376" i="23" s="1"/>
  <c r="AD376" i="23" s="1"/>
  <c r="AI135" i="23"/>
  <c r="AH135" i="23" s="1"/>
  <c r="AG135" i="23" s="1"/>
  <c r="AF135" i="23" s="1"/>
  <c r="AD135" i="23" s="1"/>
  <c r="AI181" i="23"/>
  <c r="AH181" i="23" s="1"/>
  <c r="AG181" i="23" s="1"/>
  <c r="AF181" i="23" s="1"/>
  <c r="AD181" i="23" s="1"/>
  <c r="AI213" i="23"/>
  <c r="AH213" i="23" s="1"/>
  <c r="AG213" i="23" s="1"/>
  <c r="AF213" i="23" s="1"/>
  <c r="AD213" i="23" s="1"/>
  <c r="AI245" i="23"/>
  <c r="AH245" i="23" s="1"/>
  <c r="AG245" i="23" s="1"/>
  <c r="AF245" i="23" s="1"/>
  <c r="AD245" i="23" s="1"/>
  <c r="AI277" i="23"/>
  <c r="AH277" i="23" s="1"/>
  <c r="AG277" i="23" s="1"/>
  <c r="AF277" i="23" s="1"/>
  <c r="AD277" i="23" s="1"/>
  <c r="AI309" i="23"/>
  <c r="AH309" i="23" s="1"/>
  <c r="AG309" i="23" s="1"/>
  <c r="AF309" i="23" s="1"/>
  <c r="AD309" i="23" s="1"/>
  <c r="AI337" i="23"/>
  <c r="AH337" i="23" s="1"/>
  <c r="AG337" i="23" s="1"/>
  <c r="AF337" i="23" s="1"/>
  <c r="AD337" i="23" s="1"/>
  <c r="AI353" i="23"/>
  <c r="AH353" i="23" s="1"/>
  <c r="AG353" i="23" s="1"/>
  <c r="AF353" i="23" s="1"/>
  <c r="AD353" i="23" s="1"/>
  <c r="AI369" i="23"/>
  <c r="AH369" i="23" s="1"/>
  <c r="AG369" i="23" s="1"/>
  <c r="AF369" i="23" s="1"/>
  <c r="AD369" i="23" s="1"/>
  <c r="AI363" i="23"/>
  <c r="AH363" i="23" s="1"/>
  <c r="AG363" i="23" s="1"/>
  <c r="AF363" i="23" s="1"/>
  <c r="AD363" i="23" s="1"/>
  <c r="AI329" i="23"/>
  <c r="AH329" i="23" s="1"/>
  <c r="AG329" i="23" s="1"/>
  <c r="AF329" i="23" s="1"/>
  <c r="AD329" i="23" s="1"/>
  <c r="AI265" i="23"/>
  <c r="AH265" i="23" s="1"/>
  <c r="AG265" i="23" s="1"/>
  <c r="AF265" i="23" s="1"/>
  <c r="AD265" i="23" s="1"/>
  <c r="AI201" i="23"/>
  <c r="AH201" i="23" s="1"/>
  <c r="AG201" i="23" s="1"/>
  <c r="AF201" i="23" s="1"/>
  <c r="AD201" i="23" s="1"/>
  <c r="AI375" i="23"/>
  <c r="AH375" i="23" s="1"/>
  <c r="AG375" i="23" s="1"/>
  <c r="AF375" i="23" s="1"/>
  <c r="AD375" i="23" s="1"/>
  <c r="AI289" i="23"/>
  <c r="AH289" i="23" s="1"/>
  <c r="AG289" i="23" s="1"/>
  <c r="AF289" i="23" s="1"/>
  <c r="AD289" i="23" s="1"/>
  <c r="AI111" i="23"/>
  <c r="AH111" i="23" s="1"/>
  <c r="AG111" i="23" s="1"/>
  <c r="AF111" i="23" s="1"/>
  <c r="AD111" i="23" s="1"/>
  <c r="AI367" i="23"/>
  <c r="AH367" i="23" s="1"/>
  <c r="AG367" i="23" s="1"/>
  <c r="AF367" i="23" s="1"/>
  <c r="AD367" i="23" s="1"/>
  <c r="AI351" i="23"/>
  <c r="AH351" i="23" s="1"/>
  <c r="AG351" i="23" s="1"/>
  <c r="AF351" i="23" s="1"/>
  <c r="AD351" i="23" s="1"/>
  <c r="AI335" i="23"/>
  <c r="AH335" i="23" s="1"/>
  <c r="AG335" i="23" s="1"/>
  <c r="AF335" i="23" s="1"/>
  <c r="AD335" i="23" s="1"/>
  <c r="AI305" i="23"/>
  <c r="AH305" i="23" s="1"/>
  <c r="AG305" i="23" s="1"/>
  <c r="AF305" i="23" s="1"/>
  <c r="AD305" i="23" s="1"/>
  <c r="AI273" i="23"/>
  <c r="AH273" i="23" s="1"/>
  <c r="AG273" i="23" s="1"/>
  <c r="AF273" i="23" s="1"/>
  <c r="AD273" i="23" s="1"/>
  <c r="AI225" i="23"/>
  <c r="AH225" i="23" s="1"/>
  <c r="AG225" i="23" s="1"/>
  <c r="AF225" i="23" s="1"/>
  <c r="AD225" i="23" s="1"/>
  <c r="AI241" i="23"/>
  <c r="AH241" i="23" s="1"/>
  <c r="AG241" i="23" s="1"/>
  <c r="AF241" i="23" s="1"/>
  <c r="AD241" i="23" s="1"/>
  <c r="AI193" i="23"/>
  <c r="AH193" i="23" s="1"/>
  <c r="AG193" i="23" s="1"/>
  <c r="AF193" i="23" s="1"/>
  <c r="AD193" i="23" s="1"/>
  <c r="AI159" i="23"/>
  <c r="AI209" i="23"/>
  <c r="AH209" i="23" s="1"/>
  <c r="AG209" i="23" s="1"/>
  <c r="AF209" i="23" s="1"/>
  <c r="AD209" i="23" s="1"/>
  <c r="AI177" i="23"/>
  <c r="AH177" i="23" s="1"/>
  <c r="AG177" i="23" s="1"/>
  <c r="AF177" i="23" s="1"/>
  <c r="AD177" i="23" s="1"/>
  <c r="W188" i="23"/>
  <c r="W238" i="23"/>
  <c r="D355" i="23"/>
  <c r="E355" i="23" s="1"/>
  <c r="F355" i="23" s="1"/>
  <c r="G355" i="23" s="1"/>
  <c r="CD355" i="6" s="1"/>
  <c r="D67" i="23"/>
  <c r="E67" i="23" s="1"/>
  <c r="F67" i="23" s="1"/>
  <c r="AA67" i="23" s="1"/>
  <c r="Z67" i="23" s="1"/>
  <c r="Y67" i="23" s="1"/>
  <c r="D335" i="23"/>
  <c r="E335" i="23" s="1"/>
  <c r="F335" i="23" s="1"/>
  <c r="G335" i="23" s="1"/>
  <c r="CD335" i="6" s="1"/>
  <c r="W186" i="23"/>
  <c r="W268" i="23"/>
  <c r="D321" i="23"/>
  <c r="E321" i="23" s="1"/>
  <c r="F321" i="23" s="1"/>
  <c r="AA321" i="23" s="1"/>
  <c r="Z321" i="23" s="1"/>
  <c r="Y321" i="23" s="1"/>
  <c r="D260" i="23"/>
  <c r="E260" i="23" s="1"/>
  <c r="F260" i="23" s="1"/>
  <c r="G260" i="23" s="1"/>
  <c r="CD260" i="6" s="1"/>
  <c r="Q12" i="25"/>
  <c r="Q10" i="25" s="1"/>
  <c r="Q25" i="25" s="1"/>
  <c r="AZ15" i="7"/>
  <c r="D325" i="23"/>
  <c r="E325" i="23" s="1"/>
  <c r="F325" i="23" s="1"/>
  <c r="AA325" i="23" s="1"/>
  <c r="Z325" i="23" s="1"/>
  <c r="Y325" i="23" s="1"/>
  <c r="Q383" i="24"/>
  <c r="U381" i="23"/>
  <c r="AH15" i="23"/>
  <c r="D84" i="23"/>
  <c r="E84" i="23" s="1"/>
  <c r="F84" i="23" s="1"/>
  <c r="G84" i="23" s="1"/>
  <c r="CD84" i="6" s="1"/>
  <c r="W100" i="23"/>
  <c r="D26" i="23"/>
  <c r="E26" i="23" s="1"/>
  <c r="F26" i="23" s="1"/>
  <c r="G26" i="23" s="1"/>
  <c r="CD26" i="6" s="1"/>
  <c r="D86" i="23"/>
  <c r="E86" i="23" s="1"/>
  <c r="F86" i="23" s="1"/>
  <c r="AA86" i="23" s="1"/>
  <c r="Z86" i="23" s="1"/>
  <c r="Y86" i="23" s="1"/>
  <c r="D118" i="23"/>
  <c r="E118" i="23" s="1"/>
  <c r="F118" i="23" s="1"/>
  <c r="AA118" i="23" s="1"/>
  <c r="Z118" i="23" s="1"/>
  <c r="Y118" i="23" s="1"/>
  <c r="W128" i="23"/>
  <c r="W136" i="23"/>
  <c r="W168" i="23"/>
  <c r="W200" i="23"/>
  <c r="D208" i="23"/>
  <c r="E208" i="23" s="1"/>
  <c r="F208" i="23" s="1"/>
  <c r="G208" i="23" s="1"/>
  <c r="CD208" i="6" s="1"/>
  <c r="W240" i="23"/>
  <c r="V88" i="23"/>
  <c r="B88" i="23" s="1"/>
  <c r="W88" i="23" s="1"/>
  <c r="W112" i="23"/>
  <c r="W192" i="23"/>
  <c r="D198" i="23"/>
  <c r="E198" i="23" s="1"/>
  <c r="F198" i="23" s="1"/>
  <c r="AA198" i="23" s="1"/>
  <c r="Z198" i="23" s="1"/>
  <c r="Y198" i="23" s="1"/>
  <c r="D214" i="23"/>
  <c r="E214" i="23" s="1"/>
  <c r="F214" i="23" s="1"/>
  <c r="H214" i="23" s="1"/>
  <c r="W230" i="23"/>
  <c r="W256" i="23"/>
  <c r="W316" i="23"/>
  <c r="W352" i="23"/>
  <c r="W360" i="23"/>
  <c r="W364" i="23"/>
  <c r="W368" i="23"/>
  <c r="D376" i="23"/>
  <c r="E376" i="23" s="1"/>
  <c r="F376" i="23" s="1"/>
  <c r="G376" i="23" s="1"/>
  <c r="CD376" i="6" s="1"/>
  <c r="V302" i="23"/>
  <c r="B302" i="23" s="1"/>
  <c r="D302" i="23" s="1"/>
  <c r="E302" i="23" s="1"/>
  <c r="F302" i="23" s="1"/>
  <c r="D257" i="23"/>
  <c r="E257" i="23" s="1"/>
  <c r="F257" i="23" s="1"/>
  <c r="W124" i="23"/>
  <c r="D270" i="23"/>
  <c r="E270" i="23" s="1"/>
  <c r="F270" i="23" s="1"/>
  <c r="AA270" i="23" s="1"/>
  <c r="Z270" i="23" s="1"/>
  <c r="Y270" i="23" s="1"/>
  <c r="D286" i="23"/>
  <c r="E286" i="23" s="1"/>
  <c r="F286" i="23" s="1"/>
  <c r="G286" i="23" s="1"/>
  <c r="CD286" i="6" s="1"/>
  <c r="D27" i="23"/>
  <c r="E27" i="23" s="1"/>
  <c r="F27" i="23" s="1"/>
  <c r="AA27" i="23" s="1"/>
  <c r="Z27" i="23" s="1"/>
  <c r="Y27" i="23" s="1"/>
  <c r="W59" i="23"/>
  <c r="D153" i="23"/>
  <c r="E153" i="23" s="1"/>
  <c r="F153" i="23" s="1"/>
  <c r="G153" i="23" s="1"/>
  <c r="CD153" i="6" s="1"/>
  <c r="W297" i="23"/>
  <c r="D51" i="23"/>
  <c r="E51" i="23" s="1"/>
  <c r="F51" i="23" s="1"/>
  <c r="G51" i="23" s="1"/>
  <c r="CD51" i="6" s="1"/>
  <c r="D143" i="23"/>
  <c r="E143" i="23" s="1"/>
  <c r="F143" i="23" s="1"/>
  <c r="G143" i="23" s="1"/>
  <c r="CD143" i="6" s="1"/>
  <c r="W159" i="23"/>
  <c r="D183" i="23"/>
  <c r="E183" i="23" s="1"/>
  <c r="F183" i="23" s="1"/>
  <c r="H183" i="23" s="1"/>
  <c r="W195" i="23"/>
  <c r="W239" i="23"/>
  <c r="D251" i="23"/>
  <c r="E251" i="23" s="1"/>
  <c r="F251" i="23" s="1"/>
  <c r="D295" i="23"/>
  <c r="E295" i="23" s="1"/>
  <c r="F295" i="23" s="1"/>
  <c r="AA295" i="23" s="1"/>
  <c r="Z295" i="23" s="1"/>
  <c r="Y295" i="23" s="1"/>
  <c r="D299" i="23"/>
  <c r="E299" i="23" s="1"/>
  <c r="F299" i="23" s="1"/>
  <c r="H299" i="23" s="1"/>
  <c r="D337" i="23"/>
  <c r="E337" i="23" s="1"/>
  <c r="F337" i="23" s="1"/>
  <c r="AA337" i="23" s="1"/>
  <c r="Z337" i="23" s="1"/>
  <c r="Y337" i="23" s="1"/>
  <c r="U383" i="23"/>
  <c r="AA104" i="20"/>
  <c r="Z104" i="20" s="1"/>
  <c r="Y104" i="20" s="1"/>
  <c r="AD381" i="20"/>
  <c r="AD382" i="20"/>
  <c r="AD383" i="20"/>
  <c r="U382" i="23"/>
  <c r="Q381" i="24"/>
  <c r="W53" i="23"/>
  <c r="W97" i="23"/>
  <c r="D101" i="23"/>
  <c r="E101" i="23" s="1"/>
  <c r="F101" i="23" s="1"/>
  <c r="G101" i="23" s="1"/>
  <c r="CD101" i="6" s="1"/>
  <c r="D66" i="23"/>
  <c r="E66" i="23" s="1"/>
  <c r="F66" i="23" s="1"/>
  <c r="G66" i="23" s="1"/>
  <c r="CD66" i="6" s="1"/>
  <c r="D113" i="23"/>
  <c r="E113" i="23" s="1"/>
  <c r="F113" i="23" s="1"/>
  <c r="G113" i="23" s="1"/>
  <c r="CD113" i="6" s="1"/>
  <c r="W137" i="23"/>
  <c r="W225" i="23"/>
  <c r="AJ10" i="18"/>
  <c r="AJ12" i="18" s="1"/>
  <c r="AJ9" i="18"/>
  <c r="AJ11" i="18" s="1"/>
  <c r="AJ6" i="20"/>
  <c r="AJ5" i="20"/>
  <c r="D320" i="23"/>
  <c r="E320" i="23" s="1"/>
  <c r="F320" i="23" s="1"/>
  <c r="G320" i="23" s="1"/>
  <c r="CD320" i="6" s="1"/>
  <c r="Q382" i="24"/>
  <c r="V383" i="20"/>
  <c r="U10" i="24"/>
  <c r="U24" i="24" s="1"/>
  <c r="T24" i="24" s="1"/>
  <c r="B135" i="23"/>
  <c r="W135" i="23" s="1"/>
  <c r="N66" i="19"/>
  <c r="V382" i="20"/>
  <c r="W18" i="23"/>
  <c r="D18" i="23"/>
  <c r="E18" i="23" s="1"/>
  <c r="F18" i="23" s="1"/>
  <c r="W34" i="23"/>
  <c r="D34" i="23"/>
  <c r="E34" i="23" s="1"/>
  <c r="F34" i="23" s="1"/>
  <c r="D40" i="23"/>
  <c r="E40" i="23" s="1"/>
  <c r="F40" i="23" s="1"/>
  <c r="W40" i="23"/>
  <c r="D52" i="23"/>
  <c r="E52" i="23" s="1"/>
  <c r="F52" i="23" s="1"/>
  <c r="W52" i="23"/>
  <c r="W58" i="23"/>
  <c r="D58" i="23"/>
  <c r="E58" i="23" s="1"/>
  <c r="F58" i="23" s="1"/>
  <c r="D68" i="23"/>
  <c r="E68" i="23" s="1"/>
  <c r="F68" i="23" s="1"/>
  <c r="W68" i="23"/>
  <c r="D76" i="23"/>
  <c r="E76" i="23" s="1"/>
  <c r="F76" i="23" s="1"/>
  <c r="W76" i="23"/>
  <c r="D80" i="23"/>
  <c r="E80" i="23" s="1"/>
  <c r="F80" i="23" s="1"/>
  <c r="W80" i="23"/>
  <c r="W94" i="23"/>
  <c r="D94" i="23"/>
  <c r="E94" i="23" s="1"/>
  <c r="F94" i="23" s="1"/>
  <c r="W102" i="23"/>
  <c r="D102" i="23"/>
  <c r="E102" i="23" s="1"/>
  <c r="F102" i="23" s="1"/>
  <c r="D106" i="23"/>
  <c r="E106" i="23" s="1"/>
  <c r="F106" i="23" s="1"/>
  <c r="W106" i="23"/>
  <c r="W122" i="23"/>
  <c r="D122" i="23"/>
  <c r="E122" i="23" s="1"/>
  <c r="F122" i="23" s="1"/>
  <c r="W134" i="23"/>
  <c r="D134" i="23"/>
  <c r="E134" i="23" s="1"/>
  <c r="F134" i="23" s="1"/>
  <c r="D148" i="23"/>
  <c r="E148" i="23" s="1"/>
  <c r="F148" i="23" s="1"/>
  <c r="W148" i="23"/>
  <c r="W160" i="23"/>
  <c r="D160" i="23"/>
  <c r="E160" i="23" s="1"/>
  <c r="F160" i="23" s="1"/>
  <c r="B166" i="23"/>
  <c r="D172" i="23"/>
  <c r="E172" i="23" s="1"/>
  <c r="F172" i="23" s="1"/>
  <c r="W172" i="23"/>
  <c r="AH49" i="7"/>
  <c r="V180" i="23"/>
  <c r="B180" i="23" s="1"/>
  <c r="D204" i="23"/>
  <c r="E204" i="23" s="1"/>
  <c r="F204" i="23" s="1"/>
  <c r="W204" i="23"/>
  <c r="D216" i="23"/>
  <c r="E216" i="23" s="1"/>
  <c r="F216" i="23" s="1"/>
  <c r="W216" i="23"/>
  <c r="D224" i="23"/>
  <c r="E224" i="23" s="1"/>
  <c r="F224" i="23" s="1"/>
  <c r="W224" i="23"/>
  <c r="D244" i="23"/>
  <c r="E244" i="23" s="1"/>
  <c r="F244" i="23" s="1"/>
  <c r="W244" i="23"/>
  <c r="D266" i="23"/>
  <c r="E266" i="23" s="1"/>
  <c r="F266" i="23" s="1"/>
  <c r="W266" i="23"/>
  <c r="D282" i="23"/>
  <c r="E282" i="23" s="1"/>
  <c r="F282" i="23" s="1"/>
  <c r="W282" i="23"/>
  <c r="D294" i="23"/>
  <c r="E294" i="23" s="1"/>
  <c r="F294" i="23" s="1"/>
  <c r="W294" i="23"/>
  <c r="D304" i="23"/>
  <c r="E304" i="23" s="1"/>
  <c r="F304" i="23" s="1"/>
  <c r="W304" i="23"/>
  <c r="W334" i="23"/>
  <c r="D334" i="23"/>
  <c r="E334" i="23" s="1"/>
  <c r="F334" i="23" s="1"/>
  <c r="W342" i="23"/>
  <c r="D342" i="23"/>
  <c r="E342" i="23" s="1"/>
  <c r="F342" i="23" s="1"/>
  <c r="D356" i="23"/>
  <c r="E356" i="23" s="1"/>
  <c r="F356" i="23" s="1"/>
  <c r="W356" i="23"/>
  <c r="D366" i="23"/>
  <c r="E366" i="23" s="1"/>
  <c r="F366" i="23" s="1"/>
  <c r="W366" i="23"/>
  <c r="W372" i="23"/>
  <c r="D372" i="23"/>
  <c r="E372" i="23" s="1"/>
  <c r="F372" i="23" s="1"/>
  <c r="D39" i="23"/>
  <c r="E39" i="23" s="1"/>
  <c r="F39" i="23" s="1"/>
  <c r="W39" i="23"/>
  <c r="W49" i="23"/>
  <c r="D49" i="23"/>
  <c r="E49" i="23" s="1"/>
  <c r="F49" i="23" s="1"/>
  <c r="W73" i="23"/>
  <c r="D73" i="23"/>
  <c r="E73" i="23" s="1"/>
  <c r="F73" i="23" s="1"/>
  <c r="W77" i="23"/>
  <c r="D77" i="23"/>
  <c r="E77" i="23" s="1"/>
  <c r="F77" i="23" s="1"/>
  <c r="W89" i="23"/>
  <c r="D89" i="23"/>
  <c r="E89" i="23" s="1"/>
  <c r="F89" i="23" s="1"/>
  <c r="W121" i="23"/>
  <c r="D121" i="23"/>
  <c r="E121" i="23" s="1"/>
  <c r="F121" i="23" s="1"/>
  <c r="D155" i="23"/>
  <c r="E155" i="23" s="1"/>
  <c r="F155" i="23" s="1"/>
  <c r="W155" i="23"/>
  <c r="D163" i="23"/>
  <c r="E163" i="23" s="1"/>
  <c r="F163" i="23" s="1"/>
  <c r="W163" i="23"/>
  <c r="D173" i="23"/>
  <c r="E173" i="23" s="1"/>
  <c r="F173" i="23" s="1"/>
  <c r="W173" i="23"/>
  <c r="W189" i="23"/>
  <c r="D189" i="23"/>
  <c r="E189" i="23" s="1"/>
  <c r="F189" i="23" s="1"/>
  <c r="W217" i="23"/>
  <c r="D217" i="23"/>
  <c r="E217" i="23" s="1"/>
  <c r="F217" i="23" s="1"/>
  <c r="D253" i="23"/>
  <c r="E253" i="23" s="1"/>
  <c r="F253" i="23" s="1"/>
  <c r="W253" i="23"/>
  <c r="D269" i="23"/>
  <c r="E269" i="23" s="1"/>
  <c r="F269" i="23" s="1"/>
  <c r="W269" i="23"/>
  <c r="W279" i="23"/>
  <c r="D279" i="23"/>
  <c r="E279" i="23" s="1"/>
  <c r="F279" i="23" s="1"/>
  <c r="D285" i="23"/>
  <c r="E285" i="23" s="1"/>
  <c r="F285" i="23" s="1"/>
  <c r="W285" i="23"/>
  <c r="D289" i="23"/>
  <c r="E289" i="23" s="1"/>
  <c r="F289" i="23" s="1"/>
  <c r="W289" i="23"/>
  <c r="W311" i="23"/>
  <c r="D311" i="23"/>
  <c r="E311" i="23" s="1"/>
  <c r="F311" i="23" s="1"/>
  <c r="AH54" i="7"/>
  <c r="V333" i="23"/>
  <c r="B333" i="23" s="1"/>
  <c r="W345" i="23"/>
  <c r="D345" i="23"/>
  <c r="E345" i="23" s="1"/>
  <c r="F345" i="23" s="1"/>
  <c r="W375" i="23"/>
  <c r="D375" i="23"/>
  <c r="E375" i="23" s="1"/>
  <c r="F375" i="23" s="1"/>
  <c r="D23" i="23"/>
  <c r="E23" i="23" s="1"/>
  <c r="F23" i="23" s="1"/>
  <c r="W23" i="23"/>
  <c r="W32" i="23"/>
  <c r="D32" i="23"/>
  <c r="E32" i="23" s="1"/>
  <c r="F32" i="23" s="1"/>
  <c r="D38" i="23"/>
  <c r="E38" i="23" s="1"/>
  <c r="F38" i="23" s="1"/>
  <c r="W38" i="23"/>
  <c r="D48" i="23"/>
  <c r="E48" i="23" s="1"/>
  <c r="F48" i="23" s="1"/>
  <c r="W48" i="23"/>
  <c r="W56" i="23"/>
  <c r="D56" i="23"/>
  <c r="E56" i="23" s="1"/>
  <c r="F56" i="23" s="1"/>
  <c r="W64" i="23"/>
  <c r="D64" i="23"/>
  <c r="E64" i="23" s="1"/>
  <c r="F64" i="23" s="1"/>
  <c r="D70" i="23"/>
  <c r="E70" i="23" s="1"/>
  <c r="F70" i="23" s="1"/>
  <c r="W70" i="23"/>
  <c r="W78" i="23"/>
  <c r="D78" i="23"/>
  <c r="E78" i="23" s="1"/>
  <c r="F78" i="23" s="1"/>
  <c r="W82" i="23"/>
  <c r="D82" i="23"/>
  <c r="E82" i="23" s="1"/>
  <c r="F82" i="23" s="1"/>
  <c r="D96" i="23"/>
  <c r="E96" i="23" s="1"/>
  <c r="F96" i="23" s="1"/>
  <c r="W96" i="23"/>
  <c r="D104" i="23"/>
  <c r="E104" i="23" s="1"/>
  <c r="F104" i="23" s="1"/>
  <c r="W104" i="23"/>
  <c r="D108" i="23"/>
  <c r="E108" i="23" s="1"/>
  <c r="F108" i="23" s="1"/>
  <c r="W108" i="23"/>
  <c r="W126" i="23"/>
  <c r="D126" i="23"/>
  <c r="E126" i="23" s="1"/>
  <c r="F126" i="23" s="1"/>
  <c r="W144" i="23"/>
  <c r="D144" i="23"/>
  <c r="E144" i="23" s="1"/>
  <c r="F144" i="23" s="1"/>
  <c r="W154" i="23"/>
  <c r="D154" i="23"/>
  <c r="E154" i="23" s="1"/>
  <c r="F154" i="23" s="1"/>
  <c r="W164" i="23"/>
  <c r="D164" i="23"/>
  <c r="E164" i="23" s="1"/>
  <c r="F164" i="23" s="1"/>
  <c r="W170" i="23"/>
  <c r="D170" i="23"/>
  <c r="E170" i="23" s="1"/>
  <c r="F170" i="23" s="1"/>
  <c r="D176" i="23"/>
  <c r="E176" i="23" s="1"/>
  <c r="F176" i="23" s="1"/>
  <c r="W176" i="23"/>
  <c r="D190" i="23"/>
  <c r="E190" i="23" s="1"/>
  <c r="F190" i="23" s="1"/>
  <c r="W190" i="23"/>
  <c r="D212" i="23"/>
  <c r="E212" i="23" s="1"/>
  <c r="F212" i="23" s="1"/>
  <c r="W212" i="23"/>
  <c r="D220" i="23"/>
  <c r="E220" i="23" s="1"/>
  <c r="F220" i="23" s="1"/>
  <c r="W220" i="23"/>
  <c r="W226" i="23"/>
  <c r="D226" i="23"/>
  <c r="E226" i="23" s="1"/>
  <c r="F226" i="23" s="1"/>
  <c r="W250" i="23"/>
  <c r="D250" i="23"/>
  <c r="E250" i="23" s="1"/>
  <c r="F250" i="23" s="1"/>
  <c r="D274" i="23"/>
  <c r="E274" i="23" s="1"/>
  <c r="F274" i="23" s="1"/>
  <c r="W274" i="23"/>
  <c r="B288" i="23"/>
  <c r="W296" i="23"/>
  <c r="D296" i="23"/>
  <c r="E296" i="23" s="1"/>
  <c r="F296" i="23" s="1"/>
  <c r="W318" i="23"/>
  <c r="D318" i="23"/>
  <c r="E318" i="23" s="1"/>
  <c r="F318" i="23" s="1"/>
  <c r="W336" i="23"/>
  <c r="D336" i="23"/>
  <c r="E336" i="23" s="1"/>
  <c r="F336" i="23" s="1"/>
  <c r="D348" i="23"/>
  <c r="E348" i="23" s="1"/>
  <c r="F348" i="23" s="1"/>
  <c r="W348" i="23"/>
  <c r="D362" i="23"/>
  <c r="E362" i="23" s="1"/>
  <c r="F362" i="23" s="1"/>
  <c r="W362" i="23"/>
  <c r="D370" i="23"/>
  <c r="E370" i="23" s="1"/>
  <c r="F370" i="23" s="1"/>
  <c r="W370" i="23"/>
  <c r="D31" i="23"/>
  <c r="E31" i="23" s="1"/>
  <c r="F31" i="23" s="1"/>
  <c r="W31" i="23"/>
  <c r="W47" i="23"/>
  <c r="D47" i="23"/>
  <c r="E47" i="23" s="1"/>
  <c r="F47" i="23" s="1"/>
  <c r="W71" i="23"/>
  <c r="D71" i="23"/>
  <c r="E71" i="23" s="1"/>
  <c r="F71" i="23" s="1"/>
  <c r="W75" i="23"/>
  <c r="D75" i="23"/>
  <c r="E75" i="23" s="1"/>
  <c r="F75" i="23" s="1"/>
  <c r="D83" i="23"/>
  <c r="E83" i="23" s="1"/>
  <c r="F83" i="23" s="1"/>
  <c r="W83" i="23"/>
  <c r="W93" i="23"/>
  <c r="D93" i="23"/>
  <c r="E93" i="23" s="1"/>
  <c r="F93" i="23" s="1"/>
  <c r="D131" i="23"/>
  <c r="E131" i="23" s="1"/>
  <c r="F131" i="23" s="1"/>
  <c r="W131" i="23"/>
  <c r="D161" i="23"/>
  <c r="E161" i="23" s="1"/>
  <c r="F161" i="23" s="1"/>
  <c r="W161" i="23"/>
  <c r="W167" i="23"/>
  <c r="D167" i="23"/>
  <c r="E167" i="23" s="1"/>
  <c r="F167" i="23" s="1"/>
  <c r="D179" i="23"/>
  <c r="E179" i="23" s="1"/>
  <c r="F179" i="23" s="1"/>
  <c r="W179" i="23"/>
  <c r="D203" i="23"/>
  <c r="E203" i="23" s="1"/>
  <c r="F203" i="23" s="1"/>
  <c r="W203" i="23"/>
  <c r="W235" i="23"/>
  <c r="D235" i="23"/>
  <c r="E235" i="23" s="1"/>
  <c r="F235" i="23" s="1"/>
  <c r="D265" i="23"/>
  <c r="E265" i="23" s="1"/>
  <c r="F265" i="23" s="1"/>
  <c r="W265" i="23"/>
  <c r="W277" i="23"/>
  <c r="D277" i="23"/>
  <c r="E277" i="23" s="1"/>
  <c r="F277" i="23" s="1"/>
  <c r="W281" i="23"/>
  <c r="D281" i="23"/>
  <c r="E281" i="23" s="1"/>
  <c r="F281" i="23" s="1"/>
  <c r="W287" i="23"/>
  <c r="D287" i="23"/>
  <c r="E287" i="23" s="1"/>
  <c r="F287" i="23" s="1"/>
  <c r="W307" i="23"/>
  <c r="D307" i="23"/>
  <c r="E307" i="23" s="1"/>
  <c r="F307" i="23" s="1"/>
  <c r="W317" i="23"/>
  <c r="D317" i="23"/>
  <c r="E317" i="23" s="1"/>
  <c r="F317" i="23" s="1"/>
  <c r="D343" i="23"/>
  <c r="E343" i="23" s="1"/>
  <c r="F343" i="23" s="1"/>
  <c r="W343" i="23"/>
  <c r="D353" i="23"/>
  <c r="E353" i="23" s="1"/>
  <c r="F353" i="23" s="1"/>
  <c r="W353" i="23"/>
  <c r="J52" i="22"/>
  <c r="I52" i="22"/>
  <c r="I71" i="22"/>
  <c r="J71" i="22"/>
  <c r="J346" i="22"/>
  <c r="I346" i="22"/>
  <c r="I226" i="22"/>
  <c r="J226" i="22"/>
  <c r="I198" i="22"/>
  <c r="J198" i="22"/>
  <c r="I150" i="22"/>
  <c r="J150" i="22"/>
  <c r="I102" i="22"/>
  <c r="J102" i="22"/>
  <c r="J261" i="22"/>
  <c r="I261" i="22"/>
  <c r="I145" i="22"/>
  <c r="J145" i="22"/>
  <c r="J128" i="22"/>
  <c r="I128" i="22"/>
  <c r="H128" i="23" s="1"/>
  <c r="J116" i="22"/>
  <c r="I116" i="22"/>
  <c r="J371" i="22"/>
  <c r="I371" i="22"/>
  <c r="H371" i="23" s="1"/>
  <c r="J146" i="22"/>
  <c r="I146" i="22"/>
  <c r="J114" i="22"/>
  <c r="I114" i="22"/>
  <c r="J78" i="22"/>
  <c r="I78" i="22"/>
  <c r="J137" i="22"/>
  <c r="I137" i="22"/>
  <c r="H137" i="23" s="1"/>
  <c r="J113" i="22"/>
  <c r="I113" i="22"/>
  <c r="D105" i="23"/>
  <c r="E105" i="23" s="1"/>
  <c r="F105" i="23" s="1"/>
  <c r="W105" i="23"/>
  <c r="G29" i="22"/>
  <c r="CC29" i="6" s="1"/>
  <c r="AA29" i="22"/>
  <c r="Z29" i="22" s="1"/>
  <c r="Y29" i="22" s="1"/>
  <c r="H29" i="22"/>
  <c r="I356" i="22"/>
  <c r="J356" i="22"/>
  <c r="J264" i="22"/>
  <c r="I264" i="22"/>
  <c r="J228" i="22"/>
  <c r="I228" i="22"/>
  <c r="W19" i="23"/>
  <c r="D19" i="23"/>
  <c r="E19" i="23" s="1"/>
  <c r="F19" i="23" s="1"/>
  <c r="W24" i="23"/>
  <c r="D24" i="23"/>
  <c r="E24" i="23" s="1"/>
  <c r="F24" i="23" s="1"/>
  <c r="D28" i="23"/>
  <c r="E28" i="23" s="1"/>
  <c r="F28" i="23" s="1"/>
  <c r="W28" i="23"/>
  <c r="D36" i="23"/>
  <c r="E36" i="23" s="1"/>
  <c r="F36" i="23" s="1"/>
  <c r="W36" i="23"/>
  <c r="W44" i="23"/>
  <c r="D44" i="23"/>
  <c r="E44" i="23" s="1"/>
  <c r="F44" i="23" s="1"/>
  <c r="D50" i="23"/>
  <c r="E50" i="23" s="1"/>
  <c r="F50" i="23" s="1"/>
  <c r="W50" i="23"/>
  <c r="AH45" i="7"/>
  <c r="V60" i="23"/>
  <c r="B60" i="23" s="1"/>
  <c r="W74" i="23"/>
  <c r="D74" i="23"/>
  <c r="E74" i="23" s="1"/>
  <c r="F74" i="23" s="1"/>
  <c r="D90" i="23"/>
  <c r="E90" i="23" s="1"/>
  <c r="F90" i="23" s="1"/>
  <c r="W90" i="23"/>
  <c r="G100" i="23"/>
  <c r="CD100" i="6" s="1"/>
  <c r="AA100" i="23"/>
  <c r="Z100" i="23" s="1"/>
  <c r="Y100" i="23" s="1"/>
  <c r="H100" i="23"/>
  <c r="D110" i="23"/>
  <c r="E110" i="23" s="1"/>
  <c r="F110" i="23" s="1"/>
  <c r="W110" i="23"/>
  <c r="G112" i="23"/>
  <c r="CD112" i="6" s="1"/>
  <c r="H112" i="23"/>
  <c r="AA112" i="23"/>
  <c r="Z112" i="23" s="1"/>
  <c r="Y112" i="23" s="1"/>
  <c r="W116" i="23"/>
  <c r="D116" i="23"/>
  <c r="E116" i="23" s="1"/>
  <c r="F116" i="23" s="1"/>
  <c r="D130" i="23"/>
  <c r="E130" i="23" s="1"/>
  <c r="F130" i="23" s="1"/>
  <c r="W130" i="23"/>
  <c r="D140" i="23"/>
  <c r="E140" i="23" s="1"/>
  <c r="F140" i="23" s="1"/>
  <c r="W140" i="23"/>
  <c r="D146" i="23"/>
  <c r="E146" i="23" s="1"/>
  <c r="F146" i="23" s="1"/>
  <c r="W146" i="23"/>
  <c r="D150" i="23"/>
  <c r="E150" i="23" s="1"/>
  <c r="F150" i="23" s="1"/>
  <c r="W150" i="23"/>
  <c r="D156" i="23"/>
  <c r="E156" i="23" s="1"/>
  <c r="F156" i="23" s="1"/>
  <c r="W156" i="23"/>
  <c r="W162" i="23"/>
  <c r="D162" i="23"/>
  <c r="E162" i="23" s="1"/>
  <c r="F162" i="23" s="1"/>
  <c r="AA168" i="23"/>
  <c r="Z168" i="23" s="1"/>
  <c r="Y168" i="23" s="1"/>
  <c r="G168" i="23"/>
  <c r="CD168" i="6" s="1"/>
  <c r="H168" i="23"/>
  <c r="D174" i="23"/>
  <c r="E174" i="23" s="1"/>
  <c r="F174" i="23" s="1"/>
  <c r="W174" i="23"/>
  <c r="D182" i="23"/>
  <c r="E182" i="23" s="1"/>
  <c r="F182" i="23" s="1"/>
  <c r="W182" i="23"/>
  <c r="AA188" i="23"/>
  <c r="Z188" i="23" s="1"/>
  <c r="Y188" i="23" s="1"/>
  <c r="G188" i="23"/>
  <c r="CD188" i="6" s="1"/>
  <c r="H188" i="23"/>
  <c r="D194" i="23"/>
  <c r="E194" i="23" s="1"/>
  <c r="F194" i="23" s="1"/>
  <c r="W194" i="23"/>
  <c r="W202" i="23"/>
  <c r="D202" i="23"/>
  <c r="E202" i="23" s="1"/>
  <c r="F202" i="23" s="1"/>
  <c r="AH50" i="7"/>
  <c r="V210" i="23"/>
  <c r="B210" i="23" s="1"/>
  <c r="D222" i="23"/>
  <c r="E222" i="23" s="1"/>
  <c r="F222" i="23" s="1"/>
  <c r="W222" i="23"/>
  <c r="D232" i="23"/>
  <c r="E232" i="23" s="1"/>
  <c r="F232" i="23" s="1"/>
  <c r="W232" i="23"/>
  <c r="W236" i="23"/>
  <c r="D236" i="23"/>
  <c r="E236" i="23" s="1"/>
  <c r="F236" i="23" s="1"/>
  <c r="W246" i="23"/>
  <c r="D246" i="23"/>
  <c r="E246" i="23" s="1"/>
  <c r="F246" i="23" s="1"/>
  <c r="W252" i="23"/>
  <c r="D252" i="23"/>
  <c r="E252" i="23" s="1"/>
  <c r="F252" i="23" s="1"/>
  <c r="W264" i="23"/>
  <c r="D264" i="23"/>
  <c r="E264" i="23" s="1"/>
  <c r="F264" i="23" s="1"/>
  <c r="W276" i="23"/>
  <c r="D276" i="23"/>
  <c r="E276" i="23" s="1"/>
  <c r="F276" i="23" s="1"/>
  <c r="D280" i="23"/>
  <c r="E280" i="23" s="1"/>
  <c r="F280" i="23" s="1"/>
  <c r="W280" i="23"/>
  <c r="W292" i="23"/>
  <c r="D292" i="23"/>
  <c r="E292" i="23" s="1"/>
  <c r="F292" i="23" s="1"/>
  <c r="W300" i="23"/>
  <c r="D300" i="23"/>
  <c r="E300" i="23" s="1"/>
  <c r="F300" i="23" s="1"/>
  <c r="D308" i="23"/>
  <c r="E308" i="23" s="1"/>
  <c r="F308" i="23" s="1"/>
  <c r="W308" i="23"/>
  <c r="W312" i="23"/>
  <c r="D312" i="23"/>
  <c r="E312" i="23" s="1"/>
  <c r="F312" i="23" s="1"/>
  <c r="W322" i="23"/>
  <c r="D322" i="23"/>
  <c r="E322" i="23" s="1"/>
  <c r="F322" i="23" s="1"/>
  <c r="W326" i="23"/>
  <c r="D326" i="23"/>
  <c r="E326" i="23" s="1"/>
  <c r="F326" i="23" s="1"/>
  <c r="D332" i="23"/>
  <c r="E332" i="23" s="1"/>
  <c r="F332" i="23" s="1"/>
  <c r="W332" i="23"/>
  <c r="W340" i="23"/>
  <c r="D340" i="23"/>
  <c r="E340" i="23" s="1"/>
  <c r="F340" i="23" s="1"/>
  <c r="W346" i="23"/>
  <c r="D346" i="23"/>
  <c r="E346" i="23" s="1"/>
  <c r="F346" i="23" s="1"/>
  <c r="G352" i="23"/>
  <c r="CD352" i="6" s="1"/>
  <c r="H352" i="23"/>
  <c r="W358" i="23"/>
  <c r="D358" i="23"/>
  <c r="E358" i="23" s="1"/>
  <c r="F358" i="23" s="1"/>
  <c r="G364" i="23"/>
  <c r="CD364" i="6" s="1"/>
  <c r="AA364" i="23"/>
  <c r="Z364" i="23" s="1"/>
  <c r="Y364" i="23" s="1"/>
  <c r="W378" i="23"/>
  <c r="D378" i="23"/>
  <c r="E378" i="23" s="1"/>
  <c r="F378" i="23" s="1"/>
  <c r="I179" i="22"/>
  <c r="J179" i="22"/>
  <c r="I167" i="22"/>
  <c r="J167" i="22"/>
  <c r="I139" i="22"/>
  <c r="J139" i="22"/>
  <c r="I123" i="22"/>
  <c r="J123" i="22"/>
  <c r="J75" i="22"/>
  <c r="I75" i="22"/>
  <c r="J330" i="22"/>
  <c r="I330" i="22"/>
  <c r="H330" i="23" s="1"/>
  <c r="B258" i="23"/>
  <c r="J110" i="22"/>
  <c r="I110" i="22"/>
  <c r="I295" i="22"/>
  <c r="J295" i="22"/>
  <c r="J19" i="22"/>
  <c r="I19" i="22"/>
  <c r="I178" i="22"/>
  <c r="J178" i="22"/>
  <c r="I61" i="22"/>
  <c r="J61" i="22"/>
  <c r="I96" i="22"/>
  <c r="J96" i="22"/>
  <c r="J80" i="22"/>
  <c r="I80" i="22"/>
  <c r="I211" i="22"/>
  <c r="J211" i="22"/>
  <c r="I163" i="22"/>
  <c r="J163" i="22"/>
  <c r="I314" i="22"/>
  <c r="J314" i="22"/>
  <c r="I246" i="22"/>
  <c r="J246" i="22"/>
  <c r="J194" i="22"/>
  <c r="I194" i="22"/>
  <c r="J154" i="22"/>
  <c r="I154" i="22"/>
  <c r="I90" i="22"/>
  <c r="J90" i="22"/>
  <c r="J269" i="22"/>
  <c r="I269" i="22"/>
  <c r="J257" i="22"/>
  <c r="I257" i="22"/>
  <c r="J193" i="22"/>
  <c r="I193" i="22"/>
  <c r="I73" i="22"/>
  <c r="J73" i="22"/>
  <c r="J320" i="22"/>
  <c r="I320" i="22"/>
  <c r="J172" i="22"/>
  <c r="I172" i="22"/>
  <c r="J60" i="22"/>
  <c r="I60" i="22"/>
  <c r="J363" i="22"/>
  <c r="I363" i="22"/>
  <c r="J302" i="22"/>
  <c r="I302" i="22"/>
  <c r="W15" i="20"/>
  <c r="B383" i="20"/>
  <c r="H9" i="20"/>
  <c r="B16" i="19" s="1"/>
  <c r="B381" i="20"/>
  <c r="D15" i="20"/>
  <c r="B382" i="20"/>
  <c r="AK6" i="20"/>
  <c r="J89" i="22"/>
  <c r="I89" i="22"/>
  <c r="J37" i="22"/>
  <c r="I37" i="22"/>
  <c r="J33" i="22"/>
  <c r="I33" i="22"/>
  <c r="I84" i="22"/>
  <c r="J84" i="22"/>
  <c r="G124" i="23"/>
  <c r="CD124" i="6" s="1"/>
  <c r="AA136" i="23"/>
  <c r="Z136" i="23" s="1"/>
  <c r="Y136" i="23" s="1"/>
  <c r="G136" i="23"/>
  <c r="CD136" i="6" s="1"/>
  <c r="G186" i="23"/>
  <c r="CD186" i="6" s="1"/>
  <c r="H186" i="23"/>
  <c r="G200" i="23"/>
  <c r="CD200" i="6" s="1"/>
  <c r="H200" i="23"/>
  <c r="AA200" i="23"/>
  <c r="Z200" i="23" s="1"/>
  <c r="Y200" i="23" s="1"/>
  <c r="G230" i="23"/>
  <c r="CD230" i="6" s="1"/>
  <c r="AA230" i="23"/>
  <c r="Z230" i="23" s="1"/>
  <c r="Y230" i="23" s="1"/>
  <c r="AA238" i="23"/>
  <c r="Z238" i="23" s="1"/>
  <c r="Y238" i="23" s="1"/>
  <c r="G238" i="23"/>
  <c r="CD238" i="6" s="1"/>
  <c r="AA240" i="23"/>
  <c r="Z240" i="23" s="1"/>
  <c r="Y240" i="23" s="1"/>
  <c r="H240" i="23"/>
  <c r="G240" i="23"/>
  <c r="CD240" i="6" s="1"/>
  <c r="G242" i="23"/>
  <c r="CD242" i="6" s="1"/>
  <c r="G256" i="23"/>
  <c r="CD256" i="6" s="1"/>
  <c r="AA256" i="23"/>
  <c r="Z256" i="23" s="1"/>
  <c r="Y256" i="23" s="1"/>
  <c r="H256" i="23"/>
  <c r="G268" i="23"/>
  <c r="CD268" i="6" s="1"/>
  <c r="AA268" i="23"/>
  <c r="Z268" i="23" s="1"/>
  <c r="Y268" i="23" s="1"/>
  <c r="AA316" i="23"/>
  <c r="Z316" i="23" s="1"/>
  <c r="Y316" i="23" s="1"/>
  <c r="G316" i="23"/>
  <c r="CD316" i="6" s="1"/>
  <c r="H316" i="23"/>
  <c r="AA360" i="23"/>
  <c r="Z360" i="23" s="1"/>
  <c r="Y360" i="23" s="1"/>
  <c r="G360" i="23"/>
  <c r="CD360" i="6" s="1"/>
  <c r="H360" i="23"/>
  <c r="G368" i="23"/>
  <c r="CD368" i="6" s="1"/>
  <c r="J351" i="22"/>
  <c r="I351" i="22"/>
  <c r="I335" i="22"/>
  <c r="J335" i="22"/>
  <c r="J239" i="22"/>
  <c r="I239" i="22"/>
  <c r="H239" i="23" s="1"/>
  <c r="AA227" i="22"/>
  <c r="Z227" i="22" s="1"/>
  <c r="Y227" i="22" s="1"/>
  <c r="G227" i="22"/>
  <c r="CC227" i="6" s="1"/>
  <c r="H227" i="22"/>
  <c r="I87" i="22"/>
  <c r="J87" i="22"/>
  <c r="J27" i="22"/>
  <c r="I27" i="22"/>
  <c r="I326" i="22"/>
  <c r="J326" i="22"/>
  <c r="I286" i="22"/>
  <c r="J286" i="22"/>
  <c r="I266" i="22"/>
  <c r="J266" i="22"/>
  <c r="G258" i="22"/>
  <c r="CC258" i="6" s="1"/>
  <c r="AA258" i="22"/>
  <c r="Z258" i="22" s="1"/>
  <c r="Y258" i="22" s="1"/>
  <c r="H258" i="22"/>
  <c r="J182" i="22"/>
  <c r="I182" i="22"/>
  <c r="J98" i="22"/>
  <c r="I98" i="22"/>
  <c r="I353" i="22"/>
  <c r="J353" i="22"/>
  <c r="I368" i="22"/>
  <c r="H368" i="23" s="1"/>
  <c r="J368" i="22"/>
  <c r="I136" i="22"/>
  <c r="H136" i="23" s="1"/>
  <c r="J136" i="22"/>
  <c r="J124" i="22"/>
  <c r="I124" i="22"/>
  <c r="H124" i="23" s="1"/>
  <c r="J28" i="22"/>
  <c r="I28" i="22"/>
  <c r="J375" i="22"/>
  <c r="I375" i="22"/>
  <c r="J55" i="22"/>
  <c r="I55" i="22"/>
  <c r="I142" i="22"/>
  <c r="J142" i="22"/>
  <c r="I86" i="22"/>
  <c r="J86" i="22"/>
  <c r="G349" i="22"/>
  <c r="CC349" i="6" s="1"/>
  <c r="AA349" i="22"/>
  <c r="Z349" i="22" s="1"/>
  <c r="Y349" i="22" s="1"/>
  <c r="H349" i="22"/>
  <c r="I101" i="22"/>
  <c r="J101" i="22"/>
  <c r="I45" i="22"/>
  <c r="J45" i="22"/>
  <c r="I364" i="22"/>
  <c r="H364" i="23" s="1"/>
  <c r="J364" i="22"/>
  <c r="J271" i="22"/>
  <c r="I271" i="22"/>
  <c r="I342" i="22"/>
  <c r="J342" i="22"/>
  <c r="G210" i="22"/>
  <c r="CC210" i="6" s="1"/>
  <c r="AA210" i="22"/>
  <c r="Z210" i="22" s="1"/>
  <c r="Y210" i="22" s="1"/>
  <c r="H210" i="22"/>
  <c r="G149" i="22"/>
  <c r="CC149" i="6" s="1"/>
  <c r="H149" i="22"/>
  <c r="AA149" i="22"/>
  <c r="Z149" i="22" s="1"/>
  <c r="Y149" i="22" s="1"/>
  <c r="I57" i="22"/>
  <c r="J57" i="22"/>
  <c r="J304" i="22"/>
  <c r="I304" i="22"/>
  <c r="I236" i="22"/>
  <c r="J236" i="22"/>
  <c r="J76" i="22"/>
  <c r="I76" i="22"/>
  <c r="I64" i="22"/>
  <c r="J64" i="22"/>
  <c r="I272" i="22"/>
  <c r="J272" i="22"/>
  <c r="AE381" i="24"/>
  <c r="AE382" i="24"/>
  <c r="AE383" i="24"/>
  <c r="I46" i="22"/>
  <c r="J46" i="22"/>
  <c r="I333" i="22"/>
  <c r="J333" i="22"/>
  <c r="I121" i="22"/>
  <c r="J121" i="22"/>
  <c r="J300" i="22"/>
  <c r="I300" i="22"/>
  <c r="I156" i="22"/>
  <c r="J156" i="22"/>
  <c r="I68" i="22"/>
  <c r="J68" i="22"/>
  <c r="T381" i="23"/>
  <c r="T383" i="23"/>
  <c r="S15" i="23"/>
  <c r="T382" i="23"/>
  <c r="G59" i="23"/>
  <c r="CD59" i="6" s="1"/>
  <c r="AA59" i="23"/>
  <c r="Z59" i="23" s="1"/>
  <c r="Y59" i="23" s="1"/>
  <c r="AA97" i="23"/>
  <c r="Z97" i="23" s="1"/>
  <c r="Y97" i="23" s="1"/>
  <c r="G97" i="23"/>
  <c r="CD97" i="6" s="1"/>
  <c r="H97" i="23"/>
  <c r="AA137" i="23"/>
  <c r="Z137" i="23" s="1"/>
  <c r="Y137" i="23" s="1"/>
  <c r="G137" i="23"/>
  <c r="CD137" i="6" s="1"/>
  <c r="G225" i="23"/>
  <c r="CD225" i="6" s="1"/>
  <c r="H225" i="23"/>
  <c r="AA225" i="23"/>
  <c r="Z225" i="23" s="1"/>
  <c r="Y225" i="23" s="1"/>
  <c r="AA239" i="23"/>
  <c r="Z239" i="23" s="1"/>
  <c r="Y239" i="23" s="1"/>
  <c r="G239" i="23"/>
  <c r="CD239" i="6" s="1"/>
  <c r="G297" i="23"/>
  <c r="CD297" i="6" s="1"/>
  <c r="AA297" i="23"/>
  <c r="Z297" i="23" s="1"/>
  <c r="Y297" i="23" s="1"/>
  <c r="G371" i="23"/>
  <c r="CD371" i="6" s="1"/>
  <c r="AA371" i="23"/>
  <c r="Z371" i="23" s="1"/>
  <c r="Y371" i="23" s="1"/>
  <c r="AY16" i="7"/>
  <c r="U18" i="24"/>
  <c r="T18" i="24" s="1"/>
  <c r="S18" i="24" s="1"/>
  <c r="R18" i="24" s="1"/>
  <c r="P18" i="24" s="1"/>
  <c r="V18" i="24" s="1"/>
  <c r="B18" i="24" s="1"/>
  <c r="U31" i="24"/>
  <c r="T31" i="24" s="1"/>
  <c r="U39" i="24"/>
  <c r="T39" i="24" s="1"/>
  <c r="S39" i="24" s="1"/>
  <c r="R39" i="24" s="1"/>
  <c r="P39" i="24" s="1"/>
  <c r="V39" i="24" s="1"/>
  <c r="B39" i="24" s="1"/>
  <c r="U47" i="24"/>
  <c r="T47" i="24" s="1"/>
  <c r="S47" i="24" s="1"/>
  <c r="R47" i="24" s="1"/>
  <c r="P47" i="24" s="1"/>
  <c r="V47" i="24" s="1"/>
  <c r="B47" i="24" s="1"/>
  <c r="U55" i="24"/>
  <c r="T55" i="24" s="1"/>
  <c r="S55" i="24" s="1"/>
  <c r="R55" i="24" s="1"/>
  <c r="P55" i="24" s="1"/>
  <c r="V55" i="24" s="1"/>
  <c r="B55" i="24" s="1"/>
  <c r="U63" i="24"/>
  <c r="T63" i="24" s="1"/>
  <c r="S63" i="24" s="1"/>
  <c r="R63" i="24" s="1"/>
  <c r="P63" i="24" s="1"/>
  <c r="V63" i="24" s="1"/>
  <c r="B63" i="24" s="1"/>
  <c r="U71" i="24"/>
  <c r="T71" i="24" s="1"/>
  <c r="S71" i="24" s="1"/>
  <c r="R71" i="24" s="1"/>
  <c r="P71" i="24" s="1"/>
  <c r="V71" i="24" s="1"/>
  <c r="B71" i="24" s="1"/>
  <c r="U79" i="24"/>
  <c r="T79" i="24" s="1"/>
  <c r="S79" i="24" s="1"/>
  <c r="R79" i="24" s="1"/>
  <c r="P79" i="24" s="1"/>
  <c r="V79" i="24" s="1"/>
  <c r="B79" i="24" s="1"/>
  <c r="U87" i="24"/>
  <c r="T87" i="24" s="1"/>
  <c r="S87" i="24" s="1"/>
  <c r="R87" i="24" s="1"/>
  <c r="P87" i="24" s="1"/>
  <c r="V87" i="24" s="1"/>
  <c r="B87" i="24" s="1"/>
  <c r="U95" i="24"/>
  <c r="T95" i="24" s="1"/>
  <c r="U103" i="24"/>
  <c r="T103" i="24" s="1"/>
  <c r="U111" i="24"/>
  <c r="T111" i="24" s="1"/>
  <c r="U119" i="24"/>
  <c r="T119" i="24" s="1"/>
  <c r="S119" i="24" s="1"/>
  <c r="R119" i="24" s="1"/>
  <c r="P119" i="24" s="1"/>
  <c r="U127" i="24"/>
  <c r="T127" i="24" s="1"/>
  <c r="U135" i="24"/>
  <c r="T135" i="24" s="1"/>
  <c r="S135" i="24" s="1"/>
  <c r="R135" i="24" s="1"/>
  <c r="P135" i="24" s="1"/>
  <c r="V135" i="24" s="1"/>
  <c r="U143" i="24"/>
  <c r="T143" i="24" s="1"/>
  <c r="S143" i="24" s="1"/>
  <c r="R143" i="24" s="1"/>
  <c r="P143" i="24" s="1"/>
  <c r="V143" i="24" s="1"/>
  <c r="B143" i="24" s="1"/>
  <c r="U151" i="24"/>
  <c r="T151" i="24" s="1"/>
  <c r="S151" i="24" s="1"/>
  <c r="R151" i="24" s="1"/>
  <c r="P151" i="24" s="1"/>
  <c r="V151" i="24" s="1"/>
  <c r="B151" i="24" s="1"/>
  <c r="U159" i="24"/>
  <c r="T159" i="24" s="1"/>
  <c r="S159" i="24" s="1"/>
  <c r="R159" i="24" s="1"/>
  <c r="P159" i="24" s="1"/>
  <c r="V159" i="24" s="1"/>
  <c r="B159" i="24" s="1"/>
  <c r="U163" i="24"/>
  <c r="T163" i="24" s="1"/>
  <c r="U167" i="24"/>
  <c r="T167" i="24" s="1"/>
  <c r="S167" i="24" s="1"/>
  <c r="R167" i="24" s="1"/>
  <c r="P167" i="24" s="1"/>
  <c r="V167" i="24" s="1"/>
  <c r="B167" i="24" s="1"/>
  <c r="U171" i="24"/>
  <c r="T171" i="24" s="1"/>
  <c r="S171" i="24" s="1"/>
  <c r="R171" i="24" s="1"/>
  <c r="P171" i="24" s="1"/>
  <c r="V171" i="24" s="1"/>
  <c r="B171" i="24" s="1"/>
  <c r="U175" i="24"/>
  <c r="T175" i="24" s="1"/>
  <c r="S175" i="24" s="1"/>
  <c r="R175" i="24" s="1"/>
  <c r="P175" i="24" s="1"/>
  <c r="V175" i="24" s="1"/>
  <c r="B175" i="24" s="1"/>
  <c r="U179" i="24"/>
  <c r="T179" i="24" s="1"/>
  <c r="S179" i="24" s="1"/>
  <c r="R179" i="24" s="1"/>
  <c r="P179" i="24" s="1"/>
  <c r="V179" i="24" s="1"/>
  <c r="B179" i="24" s="1"/>
  <c r="U183" i="24"/>
  <c r="T183" i="24" s="1"/>
  <c r="S183" i="24" s="1"/>
  <c r="R183" i="24" s="1"/>
  <c r="P183" i="24" s="1"/>
  <c r="V183" i="24" s="1"/>
  <c r="B183" i="24" s="1"/>
  <c r="U187" i="24"/>
  <c r="T187" i="24" s="1"/>
  <c r="S187" i="24" s="1"/>
  <c r="R187" i="24" s="1"/>
  <c r="P187" i="24" s="1"/>
  <c r="V187" i="24" s="1"/>
  <c r="B187" i="24" s="1"/>
  <c r="U191" i="24"/>
  <c r="T191" i="24" s="1"/>
  <c r="S191" i="24" s="1"/>
  <c r="R191" i="24" s="1"/>
  <c r="P191" i="24" s="1"/>
  <c r="V191" i="24" s="1"/>
  <c r="B191" i="24" s="1"/>
  <c r="U195" i="24"/>
  <c r="T195" i="24" s="1"/>
  <c r="U199" i="24"/>
  <c r="T199" i="24" s="1"/>
  <c r="S199" i="24" s="1"/>
  <c r="R199" i="24" s="1"/>
  <c r="P199" i="24" s="1"/>
  <c r="V199" i="24" s="1"/>
  <c r="B199" i="24" s="1"/>
  <c r="U203" i="24"/>
  <c r="T203" i="24" s="1"/>
  <c r="S203" i="24" s="1"/>
  <c r="R203" i="24" s="1"/>
  <c r="P203" i="24" s="1"/>
  <c r="V203" i="24" s="1"/>
  <c r="B203" i="24" s="1"/>
  <c r="U207" i="24"/>
  <c r="T207" i="24" s="1"/>
  <c r="U211" i="24"/>
  <c r="T211" i="24" s="1"/>
  <c r="S211" i="24" s="1"/>
  <c r="R211" i="24" s="1"/>
  <c r="P211" i="24" s="1"/>
  <c r="V211" i="24" s="1"/>
  <c r="B211" i="24" s="1"/>
  <c r="U215" i="24"/>
  <c r="T215" i="24" s="1"/>
  <c r="S215" i="24" s="1"/>
  <c r="R215" i="24" s="1"/>
  <c r="P215" i="24" s="1"/>
  <c r="V215" i="24" s="1"/>
  <c r="B215" i="24" s="1"/>
  <c r="U219" i="24"/>
  <c r="T219" i="24" s="1"/>
  <c r="S219" i="24" s="1"/>
  <c r="R219" i="24" s="1"/>
  <c r="P219" i="24" s="1"/>
  <c r="V219" i="24" s="1"/>
  <c r="B219" i="24" s="1"/>
  <c r="U223" i="24"/>
  <c r="T223" i="24" s="1"/>
  <c r="S223" i="24" s="1"/>
  <c r="R223" i="24" s="1"/>
  <c r="P223" i="24" s="1"/>
  <c r="V223" i="24" s="1"/>
  <c r="B223" i="24" s="1"/>
  <c r="U227" i="24"/>
  <c r="T227" i="24" s="1"/>
  <c r="S227" i="24" s="1"/>
  <c r="R227" i="24" s="1"/>
  <c r="P227" i="24" s="1"/>
  <c r="V227" i="24" s="1"/>
  <c r="B227" i="24" s="1"/>
  <c r="U231" i="24"/>
  <c r="T231" i="24" s="1"/>
  <c r="S231" i="24" s="1"/>
  <c r="R231" i="24" s="1"/>
  <c r="P231" i="24" s="1"/>
  <c r="V231" i="24" s="1"/>
  <c r="B231" i="24" s="1"/>
  <c r="U235" i="24"/>
  <c r="T235" i="24" s="1"/>
  <c r="U239" i="24"/>
  <c r="T239" i="24" s="1"/>
  <c r="S239" i="24" s="1"/>
  <c r="R239" i="24" s="1"/>
  <c r="P239" i="24" s="1"/>
  <c r="V239" i="24" s="1"/>
  <c r="B239" i="24" s="1"/>
  <c r="U243" i="24"/>
  <c r="T243" i="24" s="1"/>
  <c r="S243" i="24" s="1"/>
  <c r="R243" i="24" s="1"/>
  <c r="P243" i="24" s="1"/>
  <c r="V243" i="24" s="1"/>
  <c r="B243" i="24" s="1"/>
  <c r="U247" i="24"/>
  <c r="T247" i="24" s="1"/>
  <c r="S247" i="24" s="1"/>
  <c r="R247" i="24" s="1"/>
  <c r="P247" i="24" s="1"/>
  <c r="V247" i="24" s="1"/>
  <c r="B247" i="24" s="1"/>
  <c r="U251" i="24"/>
  <c r="T251" i="24" s="1"/>
  <c r="U255" i="24"/>
  <c r="T255" i="24" s="1"/>
  <c r="S255" i="24" s="1"/>
  <c r="R255" i="24" s="1"/>
  <c r="P255" i="24" s="1"/>
  <c r="V255" i="24" s="1"/>
  <c r="B255" i="24" s="1"/>
  <c r="U259" i="24"/>
  <c r="T259" i="24" s="1"/>
  <c r="U263" i="24"/>
  <c r="T263" i="24" s="1"/>
  <c r="S263" i="24" s="1"/>
  <c r="R263" i="24" s="1"/>
  <c r="P263" i="24" s="1"/>
  <c r="V263" i="24" s="1"/>
  <c r="B263" i="24" s="1"/>
  <c r="U267" i="24"/>
  <c r="T267" i="24" s="1"/>
  <c r="S267" i="24" s="1"/>
  <c r="R267" i="24" s="1"/>
  <c r="P267" i="24" s="1"/>
  <c r="V267" i="24" s="1"/>
  <c r="B267" i="24" s="1"/>
  <c r="U271" i="24"/>
  <c r="T271" i="24" s="1"/>
  <c r="S271" i="24" s="1"/>
  <c r="R271" i="24" s="1"/>
  <c r="P271" i="24" s="1"/>
  <c r="V271" i="24" s="1"/>
  <c r="B271" i="24" s="1"/>
  <c r="U275" i="24"/>
  <c r="T275" i="24" s="1"/>
  <c r="S275" i="24" s="1"/>
  <c r="R275" i="24" s="1"/>
  <c r="P275" i="24" s="1"/>
  <c r="V275" i="24" s="1"/>
  <c r="B275" i="24" s="1"/>
  <c r="U279" i="24"/>
  <c r="T279" i="24" s="1"/>
  <c r="S279" i="24" s="1"/>
  <c r="R279" i="24" s="1"/>
  <c r="P279" i="24" s="1"/>
  <c r="V279" i="24" s="1"/>
  <c r="B279" i="24" s="1"/>
  <c r="U283" i="24"/>
  <c r="T283" i="24" s="1"/>
  <c r="S283" i="24" s="1"/>
  <c r="R283" i="24" s="1"/>
  <c r="P283" i="24" s="1"/>
  <c r="V283" i="24" s="1"/>
  <c r="B283" i="24" s="1"/>
  <c r="U287" i="24"/>
  <c r="T287" i="24" s="1"/>
  <c r="S287" i="24" s="1"/>
  <c r="R287" i="24" s="1"/>
  <c r="P287" i="24" s="1"/>
  <c r="V287" i="24" s="1"/>
  <c r="B287" i="24" s="1"/>
  <c r="U291" i="24"/>
  <c r="T291" i="24" s="1"/>
  <c r="U295" i="24"/>
  <c r="T295" i="24" s="1"/>
  <c r="U299" i="24"/>
  <c r="T299" i="24" s="1"/>
  <c r="U303" i="24"/>
  <c r="T303" i="24" s="1"/>
  <c r="S303" i="24" s="1"/>
  <c r="R303" i="24" s="1"/>
  <c r="P303" i="24" s="1"/>
  <c r="V303" i="24" s="1"/>
  <c r="B303" i="24" s="1"/>
  <c r="U307" i="24"/>
  <c r="T307" i="24" s="1"/>
  <c r="S307" i="24" s="1"/>
  <c r="R307" i="24" s="1"/>
  <c r="P307" i="24" s="1"/>
  <c r="V307" i="24" s="1"/>
  <c r="B307" i="24" s="1"/>
  <c r="U311" i="24"/>
  <c r="T311" i="24" s="1"/>
  <c r="U315" i="24"/>
  <c r="T315" i="24" s="1"/>
  <c r="S315" i="24" s="1"/>
  <c r="R315" i="24" s="1"/>
  <c r="P315" i="24" s="1"/>
  <c r="V315" i="24" s="1"/>
  <c r="B315" i="24" s="1"/>
  <c r="U319" i="24"/>
  <c r="T319" i="24" s="1"/>
  <c r="U323" i="24"/>
  <c r="T323" i="24" s="1"/>
  <c r="S323" i="24" s="1"/>
  <c r="R323" i="24" s="1"/>
  <c r="P323" i="24" s="1"/>
  <c r="V323" i="24" s="1"/>
  <c r="B323" i="24" s="1"/>
  <c r="U327" i="24"/>
  <c r="T327" i="24" s="1"/>
  <c r="S327" i="24" s="1"/>
  <c r="R327" i="24" s="1"/>
  <c r="P327" i="24" s="1"/>
  <c r="V327" i="24" s="1"/>
  <c r="B327" i="24" s="1"/>
  <c r="U331" i="24"/>
  <c r="T331" i="24" s="1"/>
  <c r="U335" i="24"/>
  <c r="T335" i="24" s="1"/>
  <c r="U339" i="24"/>
  <c r="T339" i="24" s="1"/>
  <c r="S339" i="24" s="1"/>
  <c r="R339" i="24" s="1"/>
  <c r="P339" i="24" s="1"/>
  <c r="V339" i="24" s="1"/>
  <c r="B339" i="24" s="1"/>
  <c r="U343" i="24"/>
  <c r="T343" i="24" s="1"/>
  <c r="S343" i="24" s="1"/>
  <c r="R343" i="24" s="1"/>
  <c r="P343" i="24" s="1"/>
  <c r="V343" i="24" s="1"/>
  <c r="B343" i="24" s="1"/>
  <c r="U347" i="24"/>
  <c r="T347" i="24" s="1"/>
  <c r="U351" i="24"/>
  <c r="T351" i="24" s="1"/>
  <c r="S351" i="24" s="1"/>
  <c r="R351" i="24" s="1"/>
  <c r="P351" i="24" s="1"/>
  <c r="V351" i="24" s="1"/>
  <c r="B351" i="24" s="1"/>
  <c r="U355" i="24"/>
  <c r="T355" i="24" s="1"/>
  <c r="S355" i="24" s="1"/>
  <c r="R355" i="24" s="1"/>
  <c r="P355" i="24" s="1"/>
  <c r="V355" i="24" s="1"/>
  <c r="B355" i="24" s="1"/>
  <c r="U359" i="24"/>
  <c r="T359" i="24" s="1"/>
  <c r="S359" i="24" s="1"/>
  <c r="R359" i="24" s="1"/>
  <c r="P359" i="24" s="1"/>
  <c r="V359" i="24" s="1"/>
  <c r="B359" i="24" s="1"/>
  <c r="U363" i="24"/>
  <c r="T363" i="24" s="1"/>
  <c r="U367" i="24"/>
  <c r="T367" i="24" s="1"/>
  <c r="U371" i="24"/>
  <c r="T371" i="24" s="1"/>
  <c r="U375" i="24"/>
  <c r="T375" i="24" s="1"/>
  <c r="S375" i="24" s="1"/>
  <c r="R375" i="24" s="1"/>
  <c r="P375" i="24" s="1"/>
  <c r="V375" i="24" s="1"/>
  <c r="B375" i="24" s="1"/>
  <c r="U379" i="24"/>
  <c r="J303" i="22"/>
  <c r="I303" i="22"/>
  <c r="J111" i="22"/>
  <c r="I111" i="22"/>
  <c r="J103" i="22"/>
  <c r="I103" i="22"/>
  <c r="I79" i="22"/>
  <c r="J79" i="22"/>
  <c r="J380" i="22"/>
  <c r="I380" i="22"/>
  <c r="H380" i="23" s="1"/>
  <c r="I234" i="22"/>
  <c r="J234" i="22"/>
  <c r="I218" i="22"/>
  <c r="J218" i="22"/>
  <c r="J202" i="22"/>
  <c r="I202" i="22"/>
  <c r="J30" i="22"/>
  <c r="I30" i="22"/>
  <c r="J21" i="22"/>
  <c r="I21" i="22"/>
  <c r="AG15" i="23"/>
  <c r="I365" i="22"/>
  <c r="J365" i="22"/>
  <c r="I341" i="22"/>
  <c r="J341" i="22"/>
  <c r="J308" i="22"/>
  <c r="I308" i="22"/>
  <c r="I224" i="22"/>
  <c r="J224" i="22"/>
  <c r="I92" i="22"/>
  <c r="J92" i="22"/>
  <c r="I251" i="22"/>
  <c r="J251" i="22"/>
  <c r="I334" i="22"/>
  <c r="J334" i="22"/>
  <c r="I242" i="22"/>
  <c r="H242" i="23" s="1"/>
  <c r="J242" i="22"/>
  <c r="J50" i="22"/>
  <c r="I50" i="22"/>
  <c r="J273" i="22"/>
  <c r="I273" i="22"/>
  <c r="I189" i="22"/>
  <c r="J208" i="22"/>
  <c r="I208" i="22"/>
  <c r="I160" i="22"/>
  <c r="J160" i="22"/>
  <c r="I59" i="22"/>
  <c r="H59" i="23" s="1"/>
  <c r="J59" i="22"/>
  <c r="J51" i="22"/>
  <c r="I51" i="22"/>
  <c r="J109" i="22"/>
  <c r="I109" i="22"/>
  <c r="J244" i="22"/>
  <c r="I244" i="22"/>
  <c r="J319" i="22"/>
  <c r="I319" i="22"/>
  <c r="J88" i="22"/>
  <c r="I88" i="22"/>
  <c r="F15" i="18"/>
  <c r="AK8" i="18"/>
  <c r="E383" i="18"/>
  <c r="E382" i="18"/>
  <c r="E381" i="18"/>
  <c r="E9" i="18"/>
  <c r="E11" i="18" s="1"/>
  <c r="H105" i="22"/>
  <c r="AA105" i="22"/>
  <c r="Z105" i="22" s="1"/>
  <c r="Y105" i="22" s="1"/>
  <c r="G105" i="22"/>
  <c r="CC105" i="6" s="1"/>
  <c r="I85" i="22"/>
  <c r="J85" i="22"/>
  <c r="I184" i="22"/>
  <c r="J184" i="22"/>
  <c r="W20" i="23"/>
  <c r="D20" i="23"/>
  <c r="E20" i="23" s="1"/>
  <c r="F20" i="23" s="1"/>
  <c r="W30" i="23"/>
  <c r="D30" i="23"/>
  <c r="E30" i="23" s="1"/>
  <c r="F30" i="23" s="1"/>
  <c r="W42" i="23"/>
  <c r="D42" i="23"/>
  <c r="E42" i="23" s="1"/>
  <c r="F42" i="23" s="1"/>
  <c r="B46" i="23"/>
  <c r="W54" i="23"/>
  <c r="D54" i="23"/>
  <c r="E54" i="23" s="1"/>
  <c r="F54" i="23" s="1"/>
  <c r="W62" i="23"/>
  <c r="D62" i="23"/>
  <c r="E62" i="23" s="1"/>
  <c r="F62" i="23" s="1"/>
  <c r="D72" i="23"/>
  <c r="E72" i="23" s="1"/>
  <c r="F72" i="23" s="1"/>
  <c r="W72" i="23"/>
  <c r="W92" i="23"/>
  <c r="D92" i="23"/>
  <c r="E92" i="23" s="1"/>
  <c r="F92" i="23" s="1"/>
  <c r="D98" i="23"/>
  <c r="E98" i="23" s="1"/>
  <c r="F98" i="23" s="1"/>
  <c r="W98" i="23"/>
  <c r="W114" i="23"/>
  <c r="D114" i="23"/>
  <c r="E114" i="23" s="1"/>
  <c r="F114" i="23" s="1"/>
  <c r="W120" i="23"/>
  <c r="D120" i="23"/>
  <c r="E120" i="23" s="1"/>
  <c r="F120" i="23" s="1"/>
  <c r="AA128" i="23"/>
  <c r="Z128" i="23" s="1"/>
  <c r="Y128" i="23" s="1"/>
  <c r="G128" i="23"/>
  <c r="CD128" i="6" s="1"/>
  <c r="W132" i="23"/>
  <c r="D132" i="23"/>
  <c r="E132" i="23" s="1"/>
  <c r="F132" i="23" s="1"/>
  <c r="D138" i="23"/>
  <c r="E138" i="23" s="1"/>
  <c r="F138" i="23" s="1"/>
  <c r="W138" i="23"/>
  <c r="W142" i="23"/>
  <c r="D142" i="23"/>
  <c r="E142" i="23" s="1"/>
  <c r="F142" i="23" s="1"/>
  <c r="W152" i="23"/>
  <c r="D152" i="23"/>
  <c r="E152" i="23" s="1"/>
  <c r="F152" i="23" s="1"/>
  <c r="D158" i="23"/>
  <c r="E158" i="23" s="1"/>
  <c r="F158" i="23" s="1"/>
  <c r="W158" i="23"/>
  <c r="D178" i="23"/>
  <c r="E178" i="23" s="1"/>
  <c r="F178" i="23" s="1"/>
  <c r="W178" i="23"/>
  <c r="W184" i="23"/>
  <c r="D184" i="23"/>
  <c r="E184" i="23" s="1"/>
  <c r="F184" i="23" s="1"/>
  <c r="AA192" i="23"/>
  <c r="Z192" i="23" s="1"/>
  <c r="Y192" i="23" s="1"/>
  <c r="H192" i="23"/>
  <c r="G192" i="23"/>
  <c r="CD192" i="6" s="1"/>
  <c r="D206" i="23"/>
  <c r="E206" i="23" s="1"/>
  <c r="F206" i="23" s="1"/>
  <c r="W206" i="23"/>
  <c r="D218" i="23"/>
  <c r="E218" i="23" s="1"/>
  <c r="F218" i="23" s="1"/>
  <c r="W218" i="23"/>
  <c r="W228" i="23"/>
  <c r="D228" i="23"/>
  <c r="E228" i="23" s="1"/>
  <c r="F228" i="23" s="1"/>
  <c r="W234" i="23"/>
  <c r="D234" i="23"/>
  <c r="E234" i="23" s="1"/>
  <c r="F234" i="23" s="1"/>
  <c r="W248" i="23"/>
  <c r="D248" i="23"/>
  <c r="E248" i="23" s="1"/>
  <c r="F248" i="23" s="1"/>
  <c r="D254" i="23"/>
  <c r="E254" i="23" s="1"/>
  <c r="F254" i="23" s="1"/>
  <c r="W254" i="23"/>
  <c r="W262" i="23"/>
  <c r="D262" i="23"/>
  <c r="E262" i="23" s="1"/>
  <c r="F262" i="23" s="1"/>
  <c r="AH52" i="7"/>
  <c r="V272" i="23"/>
  <c r="B272" i="23" s="1"/>
  <c r="W278" i="23"/>
  <c r="D278" i="23"/>
  <c r="E278" i="23" s="1"/>
  <c r="F278" i="23" s="1"/>
  <c r="D284" i="23"/>
  <c r="E284" i="23" s="1"/>
  <c r="F284" i="23" s="1"/>
  <c r="W284" i="23"/>
  <c r="D290" i="23"/>
  <c r="E290" i="23" s="1"/>
  <c r="F290" i="23" s="1"/>
  <c r="W290" i="23"/>
  <c r="W298" i="23"/>
  <c r="D298" i="23"/>
  <c r="E298" i="23" s="1"/>
  <c r="F298" i="23" s="1"/>
  <c r="W306" i="23"/>
  <c r="D306" i="23"/>
  <c r="E306" i="23" s="1"/>
  <c r="F306" i="23" s="1"/>
  <c r="D310" i="23"/>
  <c r="E310" i="23" s="1"/>
  <c r="F310" i="23" s="1"/>
  <c r="W310" i="23"/>
  <c r="D314" i="23"/>
  <c r="E314" i="23" s="1"/>
  <c r="F314" i="23" s="1"/>
  <c r="W314" i="23"/>
  <c r="D324" i="23"/>
  <c r="E324" i="23" s="1"/>
  <c r="F324" i="23" s="1"/>
  <c r="W324" i="23"/>
  <c r="D328" i="23"/>
  <c r="E328" i="23" s="1"/>
  <c r="F328" i="23" s="1"/>
  <c r="W328" i="23"/>
  <c r="G330" i="23"/>
  <c r="CD330" i="6" s="1"/>
  <c r="W338" i="23"/>
  <c r="D338" i="23"/>
  <c r="E338" i="23" s="1"/>
  <c r="F338" i="23" s="1"/>
  <c r="W344" i="23"/>
  <c r="D344" i="23"/>
  <c r="E344" i="23" s="1"/>
  <c r="F344" i="23" s="1"/>
  <c r="D350" i="23"/>
  <c r="E350" i="23" s="1"/>
  <c r="F350" i="23" s="1"/>
  <c r="W350" i="23"/>
  <c r="W354" i="23"/>
  <c r="D354" i="23"/>
  <c r="E354" i="23" s="1"/>
  <c r="F354" i="23" s="1"/>
  <c r="D374" i="23"/>
  <c r="E374" i="23" s="1"/>
  <c r="F374" i="23" s="1"/>
  <c r="W374" i="23"/>
  <c r="J323" i="22"/>
  <c r="I323" i="22"/>
  <c r="W227" i="23"/>
  <c r="D227" i="23"/>
  <c r="E227" i="23" s="1"/>
  <c r="F227" i="23" s="1"/>
  <c r="H119" i="22"/>
  <c r="AA119" i="22"/>
  <c r="Z119" i="22" s="1"/>
  <c r="Y119" i="22" s="1"/>
  <c r="G119" i="22"/>
  <c r="CC119" i="6" s="1"/>
  <c r="I16" i="22"/>
  <c r="J16" i="22"/>
  <c r="J378" i="22"/>
  <c r="I378" i="22"/>
  <c r="AF381" i="22"/>
  <c r="AF382" i="22"/>
  <c r="AF383" i="22"/>
  <c r="AD15" i="22"/>
  <c r="J297" i="22"/>
  <c r="I297" i="22"/>
  <c r="H297" i="23" s="1"/>
  <c r="J217" i="22"/>
  <c r="I217" i="22"/>
  <c r="I164" i="22"/>
  <c r="J164" i="22"/>
  <c r="J104" i="22"/>
  <c r="I104" i="22"/>
  <c r="J203" i="22"/>
  <c r="I203" i="22"/>
  <c r="AA135" i="22"/>
  <c r="Z135" i="22" s="1"/>
  <c r="Y135" i="22" s="1"/>
  <c r="G135" i="22"/>
  <c r="CC135" i="6" s="1"/>
  <c r="H135" i="22"/>
  <c r="I274" i="22"/>
  <c r="J274" i="22"/>
  <c r="W349" i="23"/>
  <c r="D349" i="23"/>
  <c r="E349" i="23" s="1"/>
  <c r="F349" i="23" s="1"/>
  <c r="I209" i="22"/>
  <c r="J209" i="22"/>
  <c r="J161" i="22"/>
  <c r="I161" i="22"/>
  <c r="J125" i="22"/>
  <c r="J276" i="22"/>
  <c r="I276" i="22"/>
  <c r="J36" i="22"/>
  <c r="I36" i="22"/>
  <c r="J131" i="22"/>
  <c r="I131" i="22"/>
  <c r="J230" i="22"/>
  <c r="I230" i="22"/>
  <c r="H230" i="23" s="1"/>
  <c r="J337" i="22"/>
  <c r="I337" i="22"/>
  <c r="J169" i="22"/>
  <c r="I169" i="22"/>
  <c r="I129" i="22"/>
  <c r="J129" i="22"/>
  <c r="J23" i="22"/>
  <c r="I23" i="22"/>
  <c r="I336" i="22"/>
  <c r="J336" i="22"/>
  <c r="I268" i="22"/>
  <c r="H268" i="23" s="1"/>
  <c r="J268" i="22"/>
  <c r="D196" i="23"/>
  <c r="E196" i="23" s="1"/>
  <c r="F196" i="23" s="1"/>
  <c r="W196" i="23"/>
  <c r="G196" i="22"/>
  <c r="CC196" i="6" s="1"/>
  <c r="H196" i="22"/>
  <c r="AA196" i="22"/>
  <c r="Z196" i="22" s="1"/>
  <c r="Y196" i="22" s="1"/>
  <c r="I132" i="22"/>
  <c r="J132" i="22"/>
  <c r="I180" i="22"/>
  <c r="J180" i="22"/>
  <c r="R381" i="22"/>
  <c r="R382" i="22"/>
  <c r="R383" i="22"/>
  <c r="P15" i="22"/>
  <c r="BE15" i="7"/>
  <c r="I241" i="22"/>
  <c r="J241" i="22"/>
  <c r="J312" i="22"/>
  <c r="I312" i="22"/>
  <c r="J379" i="22"/>
  <c r="I379" i="22"/>
  <c r="W22" i="23"/>
  <c r="D22" i="23"/>
  <c r="E22" i="23" s="1"/>
  <c r="F22" i="23" s="1"/>
  <c r="D17" i="23"/>
  <c r="E17" i="23" s="1"/>
  <c r="F17" i="23" s="1"/>
  <c r="W17" i="23"/>
  <c r="D16" i="23"/>
  <c r="E16" i="23" s="1"/>
  <c r="F16" i="23" s="1"/>
  <c r="W16" i="23"/>
  <c r="D21" i="23"/>
  <c r="E21" i="23" s="1"/>
  <c r="F21" i="23" s="1"/>
  <c r="W21" i="23"/>
  <c r="D25" i="23"/>
  <c r="E25" i="23" s="1"/>
  <c r="F25" i="23" s="1"/>
  <c r="W25" i="23"/>
  <c r="AH44" i="7"/>
  <c r="V29" i="23"/>
  <c r="B29" i="23" s="1"/>
  <c r="W33" i="23"/>
  <c r="D33" i="23"/>
  <c r="E33" i="23" s="1"/>
  <c r="F33" i="23" s="1"/>
  <c r="W35" i="23"/>
  <c r="D35" i="23"/>
  <c r="E35" i="23" s="1"/>
  <c r="F35" i="23" s="1"/>
  <c r="D37" i="23"/>
  <c r="E37" i="23" s="1"/>
  <c r="F37" i="23" s="1"/>
  <c r="W37" i="23"/>
  <c r="D41" i="23"/>
  <c r="E41" i="23" s="1"/>
  <c r="F41" i="23" s="1"/>
  <c r="W41" i="23"/>
  <c r="W43" i="23"/>
  <c r="D43" i="23"/>
  <c r="E43" i="23" s="1"/>
  <c r="F43" i="23" s="1"/>
  <c r="D45" i="23"/>
  <c r="E45" i="23" s="1"/>
  <c r="F45" i="23" s="1"/>
  <c r="W45" i="23"/>
  <c r="AA53" i="23"/>
  <c r="Z53" i="23" s="1"/>
  <c r="Y53" i="23" s="1"/>
  <c r="H53" i="23"/>
  <c r="G53" i="23"/>
  <c r="CD53" i="6" s="1"/>
  <c r="D55" i="23"/>
  <c r="E55" i="23" s="1"/>
  <c r="F55" i="23" s="1"/>
  <c r="W55" i="23"/>
  <c r="W57" i="23"/>
  <c r="D57" i="23"/>
  <c r="E57" i="23" s="1"/>
  <c r="F57" i="23" s="1"/>
  <c r="W61" i="23"/>
  <c r="D61" i="23"/>
  <c r="E61" i="23" s="1"/>
  <c r="F61" i="23" s="1"/>
  <c r="W63" i="23"/>
  <c r="D63" i="23"/>
  <c r="E63" i="23" s="1"/>
  <c r="F63" i="23" s="1"/>
  <c r="W65" i="23"/>
  <c r="D65" i="23"/>
  <c r="E65" i="23" s="1"/>
  <c r="F65" i="23" s="1"/>
  <c r="W69" i="23"/>
  <c r="D69" i="23"/>
  <c r="E69" i="23" s="1"/>
  <c r="F69" i="23" s="1"/>
  <c r="W79" i="23"/>
  <c r="D79" i="23"/>
  <c r="E79" i="23" s="1"/>
  <c r="F79" i="23" s="1"/>
  <c r="W81" i="23"/>
  <c r="D81" i="23"/>
  <c r="E81" i="23" s="1"/>
  <c r="F81" i="23" s="1"/>
  <c r="W85" i="23"/>
  <c r="D85" i="23"/>
  <c r="E85" i="23" s="1"/>
  <c r="F85" i="23" s="1"/>
  <c r="D87" i="23"/>
  <c r="E87" i="23" s="1"/>
  <c r="F87" i="23" s="1"/>
  <c r="W87" i="23"/>
  <c r="W91" i="23"/>
  <c r="D91" i="23"/>
  <c r="E91" i="23" s="1"/>
  <c r="F91" i="23" s="1"/>
  <c r="W95" i="23"/>
  <c r="D95" i="23"/>
  <c r="E95" i="23" s="1"/>
  <c r="F95" i="23" s="1"/>
  <c r="D99" i="23"/>
  <c r="E99" i="23" s="1"/>
  <c r="F99" i="23" s="1"/>
  <c r="W99" i="23"/>
  <c r="W103" i="23"/>
  <c r="D103" i="23"/>
  <c r="E103" i="23" s="1"/>
  <c r="F103" i="23" s="1"/>
  <c r="W107" i="23"/>
  <c r="D107" i="23"/>
  <c r="E107" i="23" s="1"/>
  <c r="F107" i="23" s="1"/>
  <c r="D109" i="23"/>
  <c r="E109" i="23" s="1"/>
  <c r="F109" i="23" s="1"/>
  <c r="W109" i="23"/>
  <c r="D111" i="23"/>
  <c r="E111" i="23" s="1"/>
  <c r="F111" i="23" s="1"/>
  <c r="W111" i="23"/>
  <c r="W115" i="23"/>
  <c r="D115" i="23"/>
  <c r="E115" i="23" s="1"/>
  <c r="F115" i="23" s="1"/>
  <c r="W117" i="23"/>
  <c r="D117" i="23"/>
  <c r="E117" i="23" s="1"/>
  <c r="F117" i="23" s="1"/>
  <c r="AH47" i="7"/>
  <c r="V119" i="23"/>
  <c r="B119" i="23" s="1"/>
  <c r="W123" i="23"/>
  <c r="D123" i="23"/>
  <c r="E123" i="23" s="1"/>
  <c r="F123" i="23" s="1"/>
  <c r="D125" i="23"/>
  <c r="E125" i="23" s="1"/>
  <c r="F125" i="23" s="1"/>
  <c r="W125" i="23"/>
  <c r="D127" i="23"/>
  <c r="E127" i="23" s="1"/>
  <c r="F127" i="23" s="1"/>
  <c r="W127" i="23"/>
  <c r="D129" i="23"/>
  <c r="E129" i="23" s="1"/>
  <c r="F129" i="23" s="1"/>
  <c r="W129" i="23"/>
  <c r="D133" i="23"/>
  <c r="E133" i="23" s="1"/>
  <c r="F133" i="23" s="1"/>
  <c r="W133" i="23"/>
  <c r="W139" i="23"/>
  <c r="D139" i="23"/>
  <c r="E139" i="23" s="1"/>
  <c r="F139" i="23" s="1"/>
  <c r="W141" i="23"/>
  <c r="D141" i="23"/>
  <c r="E141" i="23" s="1"/>
  <c r="F141" i="23" s="1"/>
  <c r="D145" i="23"/>
  <c r="E145" i="23" s="1"/>
  <c r="F145" i="23" s="1"/>
  <c r="W145" i="23"/>
  <c r="D147" i="23"/>
  <c r="E147" i="23" s="1"/>
  <c r="F147" i="23" s="1"/>
  <c r="W147" i="23"/>
  <c r="AH48" i="7"/>
  <c r="V149" i="23"/>
  <c r="B149" i="23" s="1"/>
  <c r="W151" i="23"/>
  <c r="D151" i="23"/>
  <c r="E151" i="23" s="1"/>
  <c r="F151" i="23" s="1"/>
  <c r="W157" i="23"/>
  <c r="D157" i="23"/>
  <c r="E157" i="23" s="1"/>
  <c r="F157" i="23" s="1"/>
  <c r="G159" i="23"/>
  <c r="CD159" i="6" s="1"/>
  <c r="H159" i="23"/>
  <c r="D165" i="23"/>
  <c r="E165" i="23" s="1"/>
  <c r="F165" i="23" s="1"/>
  <c r="W165" i="23"/>
  <c r="D169" i="23"/>
  <c r="E169" i="23" s="1"/>
  <c r="F169" i="23" s="1"/>
  <c r="W169" i="23"/>
  <c r="W171" i="23"/>
  <c r="D171" i="23"/>
  <c r="E171" i="23" s="1"/>
  <c r="F171" i="23" s="1"/>
  <c r="W175" i="23"/>
  <c r="D175" i="23"/>
  <c r="E175" i="23" s="1"/>
  <c r="F175" i="23" s="1"/>
  <c r="D177" i="23"/>
  <c r="E177" i="23" s="1"/>
  <c r="F177" i="23" s="1"/>
  <c r="W177" i="23"/>
  <c r="W181" i="23"/>
  <c r="D181" i="23"/>
  <c r="E181" i="23" s="1"/>
  <c r="F181" i="23" s="1"/>
  <c r="W185" i="23"/>
  <c r="D185" i="23"/>
  <c r="E185" i="23" s="1"/>
  <c r="F185" i="23" s="1"/>
  <c r="W187" i="23"/>
  <c r="D187" i="23"/>
  <c r="E187" i="23" s="1"/>
  <c r="F187" i="23" s="1"/>
  <c r="D191" i="23"/>
  <c r="E191" i="23" s="1"/>
  <c r="F191" i="23" s="1"/>
  <c r="W191" i="23"/>
  <c r="W193" i="23"/>
  <c r="D193" i="23"/>
  <c r="E193" i="23" s="1"/>
  <c r="F193" i="23" s="1"/>
  <c r="G195" i="23"/>
  <c r="CD195" i="6" s="1"/>
  <c r="AA195" i="23"/>
  <c r="Z195" i="23" s="1"/>
  <c r="Y195" i="23" s="1"/>
  <c r="H195" i="23"/>
  <c r="W197" i="23"/>
  <c r="D197" i="23"/>
  <c r="E197" i="23" s="1"/>
  <c r="F197" i="23" s="1"/>
  <c r="W199" i="23"/>
  <c r="D199" i="23"/>
  <c r="E199" i="23" s="1"/>
  <c r="F199" i="23" s="1"/>
  <c r="W201" i="23"/>
  <c r="D201" i="23"/>
  <c r="E201" i="23" s="1"/>
  <c r="F201" i="23" s="1"/>
  <c r="W205" i="23"/>
  <c r="D205" i="23"/>
  <c r="E205" i="23" s="1"/>
  <c r="F205" i="23" s="1"/>
  <c r="D207" i="23"/>
  <c r="E207" i="23" s="1"/>
  <c r="F207" i="23" s="1"/>
  <c r="W207" i="23"/>
  <c r="D209" i="23"/>
  <c r="E209" i="23" s="1"/>
  <c r="F209" i="23" s="1"/>
  <c r="W209" i="23"/>
  <c r="D211" i="23"/>
  <c r="E211" i="23" s="1"/>
  <c r="F211" i="23" s="1"/>
  <c r="W211" i="23"/>
  <c r="W213" i="23"/>
  <c r="D213" i="23"/>
  <c r="E213" i="23" s="1"/>
  <c r="F213" i="23" s="1"/>
  <c r="D215" i="23"/>
  <c r="E215" i="23" s="1"/>
  <c r="F215" i="23" s="1"/>
  <c r="W215" i="23"/>
  <c r="W219" i="23"/>
  <c r="D219" i="23"/>
  <c r="E219" i="23" s="1"/>
  <c r="F219" i="23" s="1"/>
  <c r="D221" i="23"/>
  <c r="E221" i="23" s="1"/>
  <c r="F221" i="23" s="1"/>
  <c r="W221" i="23"/>
  <c r="W223" i="23"/>
  <c r="D223" i="23"/>
  <c r="E223" i="23" s="1"/>
  <c r="F223" i="23" s="1"/>
  <c r="D229" i="23"/>
  <c r="E229" i="23" s="1"/>
  <c r="F229" i="23" s="1"/>
  <c r="W229" i="23"/>
  <c r="D231" i="23"/>
  <c r="E231" i="23" s="1"/>
  <c r="F231" i="23" s="1"/>
  <c r="W231" i="23"/>
  <c r="D233" i="23"/>
  <c r="E233" i="23" s="1"/>
  <c r="F233" i="23" s="1"/>
  <c r="W233" i="23"/>
  <c r="W237" i="23"/>
  <c r="D237" i="23"/>
  <c r="E237" i="23" s="1"/>
  <c r="F237" i="23" s="1"/>
  <c r="AH51" i="7"/>
  <c r="V241" i="23"/>
  <c r="B241" i="23" s="1"/>
  <c r="W243" i="23"/>
  <c r="D243" i="23"/>
  <c r="E243" i="23" s="1"/>
  <c r="F243" i="23" s="1"/>
  <c r="D245" i="23"/>
  <c r="E245" i="23" s="1"/>
  <c r="F245" i="23" s="1"/>
  <c r="W245" i="23"/>
  <c r="D247" i="23"/>
  <c r="E247" i="23" s="1"/>
  <c r="F247" i="23" s="1"/>
  <c r="W247" i="23"/>
  <c r="D249" i="23"/>
  <c r="E249" i="23" s="1"/>
  <c r="F249" i="23" s="1"/>
  <c r="W249" i="23"/>
  <c r="W255" i="23"/>
  <c r="D255" i="23"/>
  <c r="E255" i="23" s="1"/>
  <c r="F255" i="23" s="1"/>
  <c r="D259" i="23"/>
  <c r="E259" i="23" s="1"/>
  <c r="F259" i="23" s="1"/>
  <c r="W259" i="23"/>
  <c r="W261" i="23"/>
  <c r="D261" i="23"/>
  <c r="E261" i="23" s="1"/>
  <c r="F261" i="23" s="1"/>
  <c r="D263" i="23"/>
  <c r="E263" i="23" s="1"/>
  <c r="F263" i="23" s="1"/>
  <c r="W263" i="23"/>
  <c r="W267" i="23"/>
  <c r="D267" i="23"/>
  <c r="E267" i="23" s="1"/>
  <c r="F267" i="23" s="1"/>
  <c r="W271" i="23"/>
  <c r="D271" i="23"/>
  <c r="E271" i="23" s="1"/>
  <c r="F271" i="23" s="1"/>
  <c r="D273" i="23"/>
  <c r="E273" i="23" s="1"/>
  <c r="F273" i="23" s="1"/>
  <c r="W273" i="23"/>
  <c r="D275" i="23"/>
  <c r="E275" i="23" s="1"/>
  <c r="F275" i="23" s="1"/>
  <c r="W275" i="23"/>
  <c r="W283" i="23"/>
  <c r="D283" i="23"/>
  <c r="E283" i="23" s="1"/>
  <c r="F283" i="23" s="1"/>
  <c r="W291" i="23"/>
  <c r="D291" i="23"/>
  <c r="E291" i="23" s="1"/>
  <c r="F291" i="23" s="1"/>
  <c r="W293" i="23"/>
  <c r="D293" i="23"/>
  <c r="E293" i="23" s="1"/>
  <c r="F293" i="23" s="1"/>
  <c r="D301" i="23"/>
  <c r="E301" i="23" s="1"/>
  <c r="F301" i="23" s="1"/>
  <c r="W301" i="23"/>
  <c r="W303" i="23"/>
  <c r="D303" i="23"/>
  <c r="E303" i="23" s="1"/>
  <c r="F303" i="23" s="1"/>
  <c r="W305" i="23"/>
  <c r="D305" i="23"/>
  <c r="E305" i="23" s="1"/>
  <c r="F305" i="23" s="1"/>
  <c r="W309" i="23"/>
  <c r="D309" i="23"/>
  <c r="E309" i="23" s="1"/>
  <c r="F309" i="23" s="1"/>
  <c r="D313" i="23"/>
  <c r="E313" i="23" s="1"/>
  <c r="F313" i="23" s="1"/>
  <c r="W313" i="23"/>
  <c r="D315" i="23"/>
  <c r="E315" i="23" s="1"/>
  <c r="F315" i="23" s="1"/>
  <c r="W315" i="23"/>
  <c r="B319" i="23"/>
  <c r="D323" i="23"/>
  <c r="E323" i="23" s="1"/>
  <c r="F323" i="23" s="1"/>
  <c r="W323" i="23"/>
  <c r="D327" i="23"/>
  <c r="E327" i="23" s="1"/>
  <c r="F327" i="23" s="1"/>
  <c r="W327" i="23"/>
  <c r="W329" i="23"/>
  <c r="D329" i="23"/>
  <c r="E329" i="23" s="1"/>
  <c r="F329" i="23" s="1"/>
  <c r="D331" i="23"/>
  <c r="E331" i="23" s="1"/>
  <c r="F331" i="23" s="1"/>
  <c r="W331" i="23"/>
  <c r="D339" i="23"/>
  <c r="E339" i="23" s="1"/>
  <c r="F339" i="23" s="1"/>
  <c r="W339" i="23"/>
  <c r="D341" i="23"/>
  <c r="E341" i="23" s="1"/>
  <c r="F341" i="23" s="1"/>
  <c r="W341" i="23"/>
  <c r="D347" i="23"/>
  <c r="E347" i="23" s="1"/>
  <c r="F347" i="23" s="1"/>
  <c r="W347" i="23"/>
  <c r="D351" i="23"/>
  <c r="E351" i="23" s="1"/>
  <c r="F351" i="23" s="1"/>
  <c r="W351" i="23"/>
  <c r="D357" i="23"/>
  <c r="E357" i="23" s="1"/>
  <c r="F357" i="23" s="1"/>
  <c r="W357" i="23"/>
  <c r="D359" i="23"/>
  <c r="E359" i="23" s="1"/>
  <c r="F359" i="23" s="1"/>
  <c r="W359" i="23"/>
  <c r="D361" i="23"/>
  <c r="E361" i="23" s="1"/>
  <c r="F361" i="23" s="1"/>
  <c r="W361" i="23"/>
  <c r="AH55" i="7"/>
  <c r="V363" i="23"/>
  <c r="B363" i="23" s="1"/>
  <c r="W365" i="23"/>
  <c r="D365" i="23"/>
  <c r="E365" i="23" s="1"/>
  <c r="F365" i="23" s="1"/>
  <c r="W367" i="23"/>
  <c r="D367" i="23"/>
  <c r="E367" i="23" s="1"/>
  <c r="F367" i="23" s="1"/>
  <c r="D369" i="23"/>
  <c r="E369" i="23" s="1"/>
  <c r="F369" i="23" s="1"/>
  <c r="W369" i="23"/>
  <c r="D373" i="23"/>
  <c r="E373" i="23" s="1"/>
  <c r="F373" i="23" s="1"/>
  <c r="W373" i="23"/>
  <c r="W377" i="23"/>
  <c r="D377" i="23"/>
  <c r="E377" i="23" s="1"/>
  <c r="F377" i="23" s="1"/>
  <c r="S379" i="23"/>
  <c r="R379" i="23" s="1"/>
  <c r="P379" i="23" s="1"/>
  <c r="J331" i="22"/>
  <c r="I331" i="22"/>
  <c r="I315" i="22"/>
  <c r="J315" i="22"/>
  <c r="J287" i="22"/>
  <c r="I287" i="22"/>
  <c r="I187" i="22"/>
  <c r="J187" i="22"/>
  <c r="I151" i="22"/>
  <c r="J151" i="22"/>
  <c r="J99" i="22"/>
  <c r="I99" i="22"/>
  <c r="I95" i="22"/>
  <c r="J95" i="22"/>
  <c r="I91" i="22"/>
  <c r="J91" i="22"/>
  <c r="J63" i="22"/>
  <c r="I63" i="22"/>
  <c r="J374" i="22"/>
  <c r="I374" i="22"/>
  <c r="J350" i="22"/>
  <c r="I350" i="22"/>
  <c r="J238" i="22"/>
  <c r="I238" i="22"/>
  <c r="H238" i="23" s="1"/>
  <c r="I190" i="22"/>
  <c r="J190" i="22"/>
  <c r="G166" i="22"/>
  <c r="CC166" i="6" s="1"/>
  <c r="AA166" i="22"/>
  <c r="Z166" i="22" s="1"/>
  <c r="Y166" i="22" s="1"/>
  <c r="H166" i="22"/>
  <c r="I158" i="22"/>
  <c r="J158" i="22"/>
  <c r="J130" i="22"/>
  <c r="I130" i="22"/>
  <c r="J118" i="22"/>
  <c r="I118" i="22"/>
  <c r="J361" i="22"/>
  <c r="I361" i="22"/>
  <c r="I317" i="22"/>
  <c r="J317" i="22"/>
  <c r="J245" i="22"/>
  <c r="I245" i="22"/>
  <c r="J237" i="22"/>
  <c r="I237" i="22"/>
  <c r="I357" i="22"/>
  <c r="J357" i="22"/>
  <c r="I309" i="22"/>
  <c r="J309" i="22"/>
  <c r="J189" i="22" l="1"/>
  <c r="U377" i="24"/>
  <c r="T377" i="24" s="1"/>
  <c r="S377" i="24" s="1"/>
  <c r="R377" i="24" s="1"/>
  <c r="P377" i="24" s="1"/>
  <c r="V377" i="24" s="1"/>
  <c r="B377" i="24" s="1"/>
  <c r="U373" i="24"/>
  <c r="T373" i="24" s="1"/>
  <c r="S373" i="24" s="1"/>
  <c r="R373" i="24" s="1"/>
  <c r="P373" i="24" s="1"/>
  <c r="V373" i="24" s="1"/>
  <c r="B373" i="24" s="1"/>
  <c r="D373" i="24" s="1"/>
  <c r="E373" i="24" s="1"/>
  <c r="F373" i="24" s="1"/>
  <c r="U369" i="24"/>
  <c r="T369" i="24" s="1"/>
  <c r="S369" i="24" s="1"/>
  <c r="R369" i="24" s="1"/>
  <c r="P369" i="24" s="1"/>
  <c r="V369" i="24" s="1"/>
  <c r="B369" i="24" s="1"/>
  <c r="U365" i="24"/>
  <c r="T365" i="24" s="1"/>
  <c r="S365" i="24" s="1"/>
  <c r="R365" i="24" s="1"/>
  <c r="P365" i="24" s="1"/>
  <c r="V365" i="24" s="1"/>
  <c r="B365" i="24" s="1"/>
  <c r="D365" i="24" s="1"/>
  <c r="E365" i="24" s="1"/>
  <c r="F365" i="24" s="1"/>
  <c r="U361" i="24"/>
  <c r="T361" i="24" s="1"/>
  <c r="S361" i="24" s="1"/>
  <c r="R361" i="24" s="1"/>
  <c r="P361" i="24" s="1"/>
  <c r="V361" i="24" s="1"/>
  <c r="B361" i="24" s="1"/>
  <c r="U357" i="24"/>
  <c r="T357" i="24" s="1"/>
  <c r="S357" i="24" s="1"/>
  <c r="R357" i="24" s="1"/>
  <c r="P357" i="24" s="1"/>
  <c r="V357" i="24" s="1"/>
  <c r="B357" i="24" s="1"/>
  <c r="D357" i="24" s="1"/>
  <c r="E357" i="24" s="1"/>
  <c r="F357" i="24" s="1"/>
  <c r="U353" i="24"/>
  <c r="T353" i="24" s="1"/>
  <c r="U349" i="24"/>
  <c r="T349" i="24" s="1"/>
  <c r="S349" i="24" s="1"/>
  <c r="R349" i="24" s="1"/>
  <c r="P349" i="24" s="1"/>
  <c r="V349" i="24" s="1"/>
  <c r="B349" i="24" s="1"/>
  <c r="W349" i="24" s="1"/>
  <c r="U345" i="24"/>
  <c r="T345" i="24" s="1"/>
  <c r="S345" i="24" s="1"/>
  <c r="R345" i="24" s="1"/>
  <c r="P345" i="24" s="1"/>
  <c r="V345" i="24" s="1"/>
  <c r="B345" i="24" s="1"/>
  <c r="U341" i="24"/>
  <c r="T341" i="24" s="1"/>
  <c r="S341" i="24" s="1"/>
  <c r="R341" i="24" s="1"/>
  <c r="P341" i="24" s="1"/>
  <c r="V341" i="24" s="1"/>
  <c r="B341" i="24" s="1"/>
  <c r="U337" i="24"/>
  <c r="T337" i="24" s="1"/>
  <c r="S337" i="24" s="1"/>
  <c r="R337" i="24" s="1"/>
  <c r="P337" i="24" s="1"/>
  <c r="V337" i="24" s="1"/>
  <c r="B337" i="24" s="1"/>
  <c r="U333" i="24"/>
  <c r="T333" i="24" s="1"/>
  <c r="S333" i="24" s="1"/>
  <c r="R333" i="24" s="1"/>
  <c r="P333" i="24" s="1"/>
  <c r="AH66" i="7" s="1"/>
  <c r="U329" i="24"/>
  <c r="T329" i="24" s="1"/>
  <c r="S329" i="24" s="1"/>
  <c r="R329" i="24" s="1"/>
  <c r="P329" i="24" s="1"/>
  <c r="V329" i="24" s="1"/>
  <c r="B329" i="24" s="1"/>
  <c r="U325" i="24"/>
  <c r="T325" i="24" s="1"/>
  <c r="S325" i="24" s="1"/>
  <c r="R325" i="24" s="1"/>
  <c r="P325" i="24" s="1"/>
  <c r="V325" i="24" s="1"/>
  <c r="B325" i="24" s="1"/>
  <c r="D325" i="24" s="1"/>
  <c r="E325" i="24" s="1"/>
  <c r="F325" i="24" s="1"/>
  <c r="U321" i="24"/>
  <c r="T321" i="24" s="1"/>
  <c r="U317" i="24"/>
  <c r="T317" i="24" s="1"/>
  <c r="S317" i="24" s="1"/>
  <c r="R317" i="24" s="1"/>
  <c r="P317" i="24" s="1"/>
  <c r="V317" i="24" s="1"/>
  <c r="B317" i="24" s="1"/>
  <c r="W317" i="24" s="1"/>
  <c r="U313" i="24"/>
  <c r="T313" i="24" s="1"/>
  <c r="S313" i="24" s="1"/>
  <c r="R313" i="24" s="1"/>
  <c r="P313" i="24" s="1"/>
  <c r="V313" i="24" s="1"/>
  <c r="B313" i="24" s="1"/>
  <c r="U309" i="24"/>
  <c r="T309" i="24" s="1"/>
  <c r="S309" i="24" s="1"/>
  <c r="R309" i="24" s="1"/>
  <c r="P309" i="24" s="1"/>
  <c r="V309" i="24" s="1"/>
  <c r="B309" i="24" s="1"/>
  <c r="U305" i="24"/>
  <c r="T305" i="24" s="1"/>
  <c r="U301" i="24"/>
  <c r="T301" i="24" s="1"/>
  <c r="S301" i="24" s="1"/>
  <c r="R301" i="24" s="1"/>
  <c r="P301" i="24" s="1"/>
  <c r="V301" i="24" s="1"/>
  <c r="B301" i="24" s="1"/>
  <c r="W301" i="24" s="1"/>
  <c r="U297" i="24"/>
  <c r="T297" i="24" s="1"/>
  <c r="S297" i="24" s="1"/>
  <c r="R297" i="24" s="1"/>
  <c r="P297" i="24" s="1"/>
  <c r="V297" i="24" s="1"/>
  <c r="B297" i="24" s="1"/>
  <c r="U293" i="24"/>
  <c r="T293" i="24" s="1"/>
  <c r="S293" i="24" s="1"/>
  <c r="R293" i="24" s="1"/>
  <c r="P293" i="24" s="1"/>
  <c r="V293" i="24" s="1"/>
  <c r="B293" i="24" s="1"/>
  <c r="W293" i="24" s="1"/>
  <c r="U289" i="24"/>
  <c r="T289" i="24" s="1"/>
  <c r="U285" i="24"/>
  <c r="T285" i="24" s="1"/>
  <c r="S285" i="24" s="1"/>
  <c r="R285" i="24" s="1"/>
  <c r="P285" i="24" s="1"/>
  <c r="V285" i="24" s="1"/>
  <c r="B285" i="24" s="1"/>
  <c r="U281" i="24"/>
  <c r="T281" i="24" s="1"/>
  <c r="S281" i="24" s="1"/>
  <c r="R281" i="24" s="1"/>
  <c r="P281" i="24" s="1"/>
  <c r="V281" i="24" s="1"/>
  <c r="B281" i="24" s="1"/>
  <c r="U277" i="24"/>
  <c r="T277" i="24" s="1"/>
  <c r="S277" i="24" s="1"/>
  <c r="R277" i="24" s="1"/>
  <c r="P277" i="24" s="1"/>
  <c r="V277" i="24" s="1"/>
  <c r="B277" i="24" s="1"/>
  <c r="W277" i="24" s="1"/>
  <c r="U273" i="24"/>
  <c r="T273" i="24" s="1"/>
  <c r="S273" i="24" s="1"/>
  <c r="R273" i="24" s="1"/>
  <c r="P273" i="24" s="1"/>
  <c r="V273" i="24" s="1"/>
  <c r="B273" i="24" s="1"/>
  <c r="U269" i="24"/>
  <c r="T269" i="24" s="1"/>
  <c r="S269" i="24" s="1"/>
  <c r="R269" i="24" s="1"/>
  <c r="P269" i="24" s="1"/>
  <c r="V269" i="24" s="1"/>
  <c r="B269" i="24" s="1"/>
  <c r="W269" i="24" s="1"/>
  <c r="U265" i="24"/>
  <c r="T265" i="24" s="1"/>
  <c r="S265" i="24" s="1"/>
  <c r="R265" i="24" s="1"/>
  <c r="P265" i="24" s="1"/>
  <c r="V265" i="24" s="1"/>
  <c r="B265" i="24" s="1"/>
  <c r="U261" i="24"/>
  <c r="T261" i="24" s="1"/>
  <c r="S261" i="24" s="1"/>
  <c r="R261" i="24" s="1"/>
  <c r="P261" i="24" s="1"/>
  <c r="V261" i="24" s="1"/>
  <c r="B261" i="24" s="1"/>
  <c r="W261" i="24" s="1"/>
  <c r="U257" i="24"/>
  <c r="T257" i="24" s="1"/>
  <c r="S257" i="24" s="1"/>
  <c r="R257" i="24" s="1"/>
  <c r="P257" i="24" s="1"/>
  <c r="V257" i="24" s="1"/>
  <c r="B257" i="24" s="1"/>
  <c r="U253" i="24"/>
  <c r="T253" i="24" s="1"/>
  <c r="S253" i="24" s="1"/>
  <c r="R253" i="24" s="1"/>
  <c r="P253" i="24" s="1"/>
  <c r="V253" i="24" s="1"/>
  <c r="B253" i="24" s="1"/>
  <c r="D253" i="24" s="1"/>
  <c r="E253" i="24" s="1"/>
  <c r="F253" i="24" s="1"/>
  <c r="U249" i="24"/>
  <c r="T249" i="24" s="1"/>
  <c r="S249" i="24" s="1"/>
  <c r="R249" i="24" s="1"/>
  <c r="P249" i="24" s="1"/>
  <c r="V249" i="24" s="1"/>
  <c r="B249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41" i="24"/>
  <c r="T241" i="24" s="1"/>
  <c r="S241" i="24" s="1"/>
  <c r="R241" i="24" s="1"/>
  <c r="P241" i="24" s="1"/>
  <c r="U237" i="24"/>
  <c r="T237" i="24" s="1"/>
  <c r="U233" i="24"/>
  <c r="T233" i="24" s="1"/>
  <c r="S233" i="24" s="1"/>
  <c r="R233" i="24" s="1"/>
  <c r="P233" i="24" s="1"/>
  <c r="V233" i="24" s="1"/>
  <c r="B233" i="24" s="1"/>
  <c r="U229" i="24"/>
  <c r="T229" i="24" s="1"/>
  <c r="U225" i="24"/>
  <c r="T225" i="24" s="1"/>
  <c r="U221" i="24"/>
  <c r="T221" i="24" s="1"/>
  <c r="U217" i="24"/>
  <c r="T217" i="24" s="1"/>
  <c r="S217" i="24" s="1"/>
  <c r="R217" i="24" s="1"/>
  <c r="P217" i="24" s="1"/>
  <c r="V217" i="24" s="1"/>
  <c r="B217" i="24" s="1"/>
  <c r="U213" i="24"/>
  <c r="T213" i="24" s="1"/>
  <c r="S213" i="24" s="1"/>
  <c r="R213" i="24" s="1"/>
  <c r="P213" i="24" s="1"/>
  <c r="V213" i="24" s="1"/>
  <c r="B213" i="24" s="1"/>
  <c r="U209" i="24"/>
  <c r="T209" i="24" s="1"/>
  <c r="S209" i="24" s="1"/>
  <c r="R209" i="24" s="1"/>
  <c r="P209" i="24" s="1"/>
  <c r="V209" i="24" s="1"/>
  <c r="B209" i="24" s="1"/>
  <c r="U205" i="24"/>
  <c r="T205" i="24" s="1"/>
  <c r="S205" i="24" s="1"/>
  <c r="R205" i="24" s="1"/>
  <c r="P205" i="24" s="1"/>
  <c r="V205" i="24" s="1"/>
  <c r="B205" i="24" s="1"/>
  <c r="U201" i="24"/>
  <c r="T201" i="24" s="1"/>
  <c r="S201" i="24" s="1"/>
  <c r="R201" i="24" s="1"/>
  <c r="P201" i="24" s="1"/>
  <c r="V201" i="24" s="1"/>
  <c r="B201" i="24" s="1"/>
  <c r="U197" i="24"/>
  <c r="T197" i="24" s="1"/>
  <c r="S197" i="24" s="1"/>
  <c r="R197" i="24" s="1"/>
  <c r="P197" i="24" s="1"/>
  <c r="V197" i="24" s="1"/>
  <c r="B197" i="24" s="1"/>
  <c r="D197" i="24" s="1"/>
  <c r="E197" i="24" s="1"/>
  <c r="F197" i="24" s="1"/>
  <c r="U193" i="24"/>
  <c r="T193" i="24" s="1"/>
  <c r="S193" i="24" s="1"/>
  <c r="R193" i="24" s="1"/>
  <c r="P193" i="24" s="1"/>
  <c r="V193" i="24" s="1"/>
  <c r="B193" i="24" s="1"/>
  <c r="U189" i="24"/>
  <c r="T189" i="24" s="1"/>
  <c r="S189" i="24" s="1"/>
  <c r="R189" i="24" s="1"/>
  <c r="P189" i="24" s="1"/>
  <c r="V189" i="24" s="1"/>
  <c r="B189" i="24" s="1"/>
  <c r="U185" i="24"/>
  <c r="T185" i="24" s="1"/>
  <c r="S185" i="24" s="1"/>
  <c r="R185" i="24" s="1"/>
  <c r="P185" i="24" s="1"/>
  <c r="V185" i="24" s="1"/>
  <c r="B185" i="24" s="1"/>
  <c r="U181" i="24"/>
  <c r="T181" i="24" s="1"/>
  <c r="U177" i="24"/>
  <c r="T177" i="24" s="1"/>
  <c r="S177" i="24" s="1"/>
  <c r="R177" i="24" s="1"/>
  <c r="P177" i="24" s="1"/>
  <c r="V177" i="24" s="1"/>
  <c r="B177" i="24" s="1"/>
  <c r="U173" i="24"/>
  <c r="T173" i="24" s="1"/>
  <c r="S173" i="24" s="1"/>
  <c r="R173" i="24" s="1"/>
  <c r="P173" i="24" s="1"/>
  <c r="V173" i="24" s="1"/>
  <c r="B173" i="24" s="1"/>
  <c r="W173" i="24" s="1"/>
  <c r="U169" i="24"/>
  <c r="T169" i="24" s="1"/>
  <c r="S169" i="24" s="1"/>
  <c r="R169" i="24" s="1"/>
  <c r="P169" i="24" s="1"/>
  <c r="V169" i="24" s="1"/>
  <c r="B169" i="24" s="1"/>
  <c r="U165" i="24"/>
  <c r="T165" i="24" s="1"/>
  <c r="S165" i="24" s="1"/>
  <c r="R165" i="24" s="1"/>
  <c r="P165" i="24" s="1"/>
  <c r="V165" i="24" s="1"/>
  <c r="B165" i="24" s="1"/>
  <c r="D165" i="24" s="1"/>
  <c r="E165" i="24" s="1"/>
  <c r="F165" i="24" s="1"/>
  <c r="U161" i="24"/>
  <c r="T161" i="24" s="1"/>
  <c r="S161" i="24" s="1"/>
  <c r="R161" i="24" s="1"/>
  <c r="P161" i="24" s="1"/>
  <c r="V161" i="24" s="1"/>
  <c r="B161" i="24" s="1"/>
  <c r="U155" i="24"/>
  <c r="T155" i="24" s="1"/>
  <c r="S155" i="24" s="1"/>
  <c r="R155" i="24" s="1"/>
  <c r="P155" i="24" s="1"/>
  <c r="V155" i="24" s="1"/>
  <c r="B155" i="24" s="1"/>
  <c r="D155" i="24" s="1"/>
  <c r="E155" i="24" s="1"/>
  <c r="F155" i="24" s="1"/>
  <c r="U147" i="24"/>
  <c r="T147" i="24" s="1"/>
  <c r="S147" i="24" s="1"/>
  <c r="R147" i="24" s="1"/>
  <c r="P147" i="24" s="1"/>
  <c r="V147" i="24" s="1"/>
  <c r="B147" i="24" s="1"/>
  <c r="U139" i="24"/>
  <c r="T139" i="24" s="1"/>
  <c r="S139" i="24" s="1"/>
  <c r="R139" i="24" s="1"/>
  <c r="P139" i="24" s="1"/>
  <c r="V139" i="24" s="1"/>
  <c r="B139" i="24" s="1"/>
  <c r="W139" i="24" s="1"/>
  <c r="U131" i="24"/>
  <c r="T131" i="24" s="1"/>
  <c r="U123" i="24"/>
  <c r="T123" i="24" s="1"/>
  <c r="U115" i="24"/>
  <c r="T115" i="24" s="1"/>
  <c r="S115" i="24" s="1"/>
  <c r="R115" i="24" s="1"/>
  <c r="P115" i="24" s="1"/>
  <c r="V115" i="24" s="1"/>
  <c r="B115" i="24" s="1"/>
  <c r="U107" i="24"/>
  <c r="T107" i="24" s="1"/>
  <c r="S107" i="24" s="1"/>
  <c r="R107" i="24" s="1"/>
  <c r="P107" i="24" s="1"/>
  <c r="V107" i="24" s="1"/>
  <c r="B107" i="24" s="1"/>
  <c r="D107" i="24" s="1"/>
  <c r="E107" i="24" s="1"/>
  <c r="F107" i="24" s="1"/>
  <c r="U99" i="24"/>
  <c r="T99" i="24" s="1"/>
  <c r="S99" i="24" s="1"/>
  <c r="R99" i="24" s="1"/>
  <c r="P99" i="24" s="1"/>
  <c r="V99" i="24" s="1"/>
  <c r="B99" i="24" s="1"/>
  <c r="U91" i="24"/>
  <c r="T91" i="24" s="1"/>
  <c r="U83" i="24"/>
  <c r="T83" i="24" s="1"/>
  <c r="S83" i="24" s="1"/>
  <c r="R83" i="24" s="1"/>
  <c r="P83" i="24" s="1"/>
  <c r="V83" i="24" s="1"/>
  <c r="B83" i="24" s="1"/>
  <c r="U75" i="24"/>
  <c r="T75" i="24" s="1"/>
  <c r="S75" i="24" s="1"/>
  <c r="R75" i="24" s="1"/>
  <c r="P75" i="24" s="1"/>
  <c r="V75" i="24" s="1"/>
  <c r="B75" i="24" s="1"/>
  <c r="U67" i="24"/>
  <c r="T67" i="24" s="1"/>
  <c r="S67" i="24" s="1"/>
  <c r="R67" i="24" s="1"/>
  <c r="P67" i="24" s="1"/>
  <c r="V67" i="24" s="1"/>
  <c r="B67" i="24" s="1"/>
  <c r="U59" i="24"/>
  <c r="T59" i="24" s="1"/>
  <c r="S59" i="24" s="1"/>
  <c r="R59" i="24" s="1"/>
  <c r="P59" i="24" s="1"/>
  <c r="V59" i="24" s="1"/>
  <c r="B59" i="24" s="1"/>
  <c r="D59" i="24" s="1"/>
  <c r="E59" i="24" s="1"/>
  <c r="F59" i="24" s="1"/>
  <c r="U51" i="24"/>
  <c r="T51" i="24" s="1"/>
  <c r="S51" i="24" s="1"/>
  <c r="R51" i="24" s="1"/>
  <c r="P51" i="24" s="1"/>
  <c r="V51" i="24" s="1"/>
  <c r="B51" i="24" s="1"/>
  <c r="U43" i="24"/>
  <c r="T43" i="24" s="1"/>
  <c r="S43" i="24" s="1"/>
  <c r="R43" i="24" s="1"/>
  <c r="P43" i="24" s="1"/>
  <c r="V43" i="24" s="1"/>
  <c r="B43" i="24" s="1"/>
  <c r="D43" i="24" s="1"/>
  <c r="E43" i="24" s="1"/>
  <c r="F43" i="24" s="1"/>
  <c r="U35" i="24"/>
  <c r="T35" i="24" s="1"/>
  <c r="S35" i="24" s="1"/>
  <c r="R35" i="24" s="1"/>
  <c r="P35" i="24" s="1"/>
  <c r="V35" i="24" s="1"/>
  <c r="B35" i="24" s="1"/>
  <c r="U27" i="24"/>
  <c r="T27" i="24" s="1"/>
  <c r="S27" i="24" s="1"/>
  <c r="R27" i="24" s="1"/>
  <c r="P27" i="24" s="1"/>
  <c r="V27" i="24" s="1"/>
  <c r="B27" i="24" s="1"/>
  <c r="D27" i="24" s="1"/>
  <c r="E27" i="24" s="1"/>
  <c r="F27" i="24" s="1"/>
  <c r="U16" i="24"/>
  <c r="T16" i="24" s="1"/>
  <c r="S16" i="24" s="1"/>
  <c r="R16" i="24" s="1"/>
  <c r="P16" i="24" s="1"/>
  <c r="V16" i="24" s="1"/>
  <c r="B16" i="24" s="1"/>
  <c r="AA251" i="23"/>
  <c r="Z251" i="23" s="1"/>
  <c r="Y251" i="23" s="1"/>
  <c r="AI381" i="23"/>
  <c r="AI12" i="24"/>
  <c r="AI43" i="24" s="1"/>
  <c r="AH43" i="24" s="1"/>
  <c r="AG43" i="24" s="1"/>
  <c r="AF43" i="24" s="1"/>
  <c r="AD43" i="24" s="1"/>
  <c r="AH379" i="23"/>
  <c r="AG379" i="23" s="1"/>
  <c r="AF379" i="23" s="1"/>
  <c r="AD379" i="23" s="1"/>
  <c r="Y382" i="17"/>
  <c r="AL5" i="17"/>
  <c r="AL11" i="17" s="1"/>
  <c r="Y381" i="17"/>
  <c r="AM6" i="17"/>
  <c r="AM12" i="17" s="1"/>
  <c r="Y383" i="17"/>
  <c r="X9" i="17"/>
  <c r="AA257" i="23"/>
  <c r="Z257" i="23" s="1"/>
  <c r="Y257" i="23" s="1"/>
  <c r="AH159" i="23"/>
  <c r="AI383" i="23"/>
  <c r="H321" i="23"/>
  <c r="J321" i="23" s="1"/>
  <c r="G67" i="23"/>
  <c r="CD67" i="6" s="1"/>
  <c r="AI75" i="24"/>
  <c r="AH75" i="24" s="1"/>
  <c r="AG75" i="24" s="1"/>
  <c r="AF75" i="24" s="1"/>
  <c r="AD75" i="24" s="1"/>
  <c r="AI139" i="24"/>
  <c r="AH139" i="24" s="1"/>
  <c r="AG139" i="24" s="1"/>
  <c r="AF139" i="24" s="1"/>
  <c r="AD139" i="24" s="1"/>
  <c r="AI203" i="24"/>
  <c r="AH203" i="24" s="1"/>
  <c r="AG203" i="24" s="1"/>
  <c r="AF203" i="24" s="1"/>
  <c r="AD203" i="24" s="1"/>
  <c r="AI267" i="24"/>
  <c r="AH267" i="24" s="1"/>
  <c r="AG267" i="24" s="1"/>
  <c r="AF267" i="24" s="1"/>
  <c r="AD267" i="24" s="1"/>
  <c r="AI331" i="24"/>
  <c r="AH331" i="24" s="1"/>
  <c r="AG331" i="24" s="1"/>
  <c r="AF331" i="24" s="1"/>
  <c r="AD331" i="24" s="1"/>
  <c r="AI375" i="24"/>
  <c r="AH375" i="24" s="1"/>
  <c r="AG375" i="24" s="1"/>
  <c r="AF375" i="24" s="1"/>
  <c r="AD375" i="24" s="1"/>
  <c r="U19" i="24"/>
  <c r="T19" i="24" s="1"/>
  <c r="U21" i="24"/>
  <c r="T21" i="24" s="1"/>
  <c r="S21" i="24" s="1"/>
  <c r="R21" i="24" s="1"/>
  <c r="P21" i="24" s="1"/>
  <c r="V21" i="24" s="1"/>
  <c r="B21" i="24" s="1"/>
  <c r="W21" i="24" s="1"/>
  <c r="U29" i="24"/>
  <c r="T29" i="24" s="1"/>
  <c r="S29" i="24" s="1"/>
  <c r="R29" i="24" s="1"/>
  <c r="P29" i="24" s="1"/>
  <c r="U33" i="24"/>
  <c r="T33" i="24" s="1"/>
  <c r="S33" i="24" s="1"/>
  <c r="R33" i="24" s="1"/>
  <c r="P33" i="24" s="1"/>
  <c r="V33" i="24" s="1"/>
  <c r="B33" i="24" s="1"/>
  <c r="U37" i="24"/>
  <c r="T37" i="24" s="1"/>
  <c r="S37" i="24" s="1"/>
  <c r="R37" i="24" s="1"/>
  <c r="P37" i="24" s="1"/>
  <c r="V37" i="24" s="1"/>
  <c r="B37" i="24" s="1"/>
  <c r="U41" i="24"/>
  <c r="T41" i="24" s="1"/>
  <c r="S41" i="24" s="1"/>
  <c r="R41" i="24" s="1"/>
  <c r="P41" i="24" s="1"/>
  <c r="V41" i="24" s="1"/>
  <c r="B41" i="24" s="1"/>
  <c r="W41" i="24" s="1"/>
  <c r="U45" i="24"/>
  <c r="T45" i="24" s="1"/>
  <c r="S45" i="24" s="1"/>
  <c r="R45" i="24" s="1"/>
  <c r="P45" i="24" s="1"/>
  <c r="V45" i="24" s="1"/>
  <c r="B45" i="24" s="1"/>
  <c r="U49" i="24"/>
  <c r="T49" i="24" s="1"/>
  <c r="S49" i="24" s="1"/>
  <c r="R49" i="24" s="1"/>
  <c r="P49" i="24" s="1"/>
  <c r="V49" i="24" s="1"/>
  <c r="B49" i="24" s="1"/>
  <c r="D49" i="24" s="1"/>
  <c r="E49" i="24" s="1"/>
  <c r="F49" i="24" s="1"/>
  <c r="U53" i="24"/>
  <c r="T53" i="24" s="1"/>
  <c r="S53" i="24" s="1"/>
  <c r="R53" i="24" s="1"/>
  <c r="P53" i="24" s="1"/>
  <c r="V53" i="24" s="1"/>
  <c r="B53" i="24" s="1"/>
  <c r="U57" i="24"/>
  <c r="T57" i="24" s="1"/>
  <c r="S57" i="24" s="1"/>
  <c r="R57" i="24" s="1"/>
  <c r="P57" i="24" s="1"/>
  <c r="V57" i="24" s="1"/>
  <c r="B57" i="24" s="1"/>
  <c r="U61" i="24"/>
  <c r="T61" i="24" s="1"/>
  <c r="S61" i="24" s="1"/>
  <c r="R61" i="24" s="1"/>
  <c r="P61" i="24" s="1"/>
  <c r="V61" i="24" s="1"/>
  <c r="B61" i="24" s="1"/>
  <c r="U65" i="24"/>
  <c r="T65" i="24" s="1"/>
  <c r="S65" i="24" s="1"/>
  <c r="R65" i="24" s="1"/>
  <c r="P65" i="24" s="1"/>
  <c r="V65" i="24" s="1"/>
  <c r="B65" i="24" s="1"/>
  <c r="W65" i="24" s="1"/>
  <c r="U69" i="24"/>
  <c r="T69" i="24" s="1"/>
  <c r="U73" i="24"/>
  <c r="T73" i="24" s="1"/>
  <c r="U77" i="24"/>
  <c r="T77" i="24" s="1"/>
  <c r="S77" i="24" s="1"/>
  <c r="R77" i="24" s="1"/>
  <c r="P77" i="24" s="1"/>
  <c r="V77" i="24" s="1"/>
  <c r="B77" i="24" s="1"/>
  <c r="U81" i="24"/>
  <c r="T81" i="24" s="1"/>
  <c r="U85" i="24"/>
  <c r="T85" i="24" s="1"/>
  <c r="S85" i="24" s="1"/>
  <c r="R85" i="24" s="1"/>
  <c r="P85" i="24" s="1"/>
  <c r="V85" i="24" s="1"/>
  <c r="B85" i="24" s="1"/>
  <c r="U89" i="24"/>
  <c r="T89" i="24" s="1"/>
  <c r="S89" i="24" s="1"/>
  <c r="R89" i="24" s="1"/>
  <c r="P89" i="24" s="1"/>
  <c r="V89" i="24" s="1"/>
  <c r="B89" i="24" s="1"/>
  <c r="D89" i="24" s="1"/>
  <c r="E89" i="24" s="1"/>
  <c r="F89" i="24" s="1"/>
  <c r="U93" i="24"/>
  <c r="T93" i="24" s="1"/>
  <c r="S93" i="24" s="1"/>
  <c r="R93" i="24" s="1"/>
  <c r="P93" i="24" s="1"/>
  <c r="V93" i="24" s="1"/>
  <c r="B93" i="24" s="1"/>
  <c r="U97" i="24"/>
  <c r="T97" i="24" s="1"/>
  <c r="S97" i="24" s="1"/>
  <c r="R97" i="24" s="1"/>
  <c r="P97" i="24" s="1"/>
  <c r="V97" i="24" s="1"/>
  <c r="B97" i="24" s="1"/>
  <c r="W97" i="24" s="1"/>
  <c r="U101" i="24"/>
  <c r="T101" i="24" s="1"/>
  <c r="S101" i="24" s="1"/>
  <c r="R101" i="24" s="1"/>
  <c r="P101" i="24" s="1"/>
  <c r="V101" i="24" s="1"/>
  <c r="B101" i="24" s="1"/>
  <c r="U105" i="24"/>
  <c r="T105" i="24" s="1"/>
  <c r="S105" i="24" s="1"/>
  <c r="R105" i="24" s="1"/>
  <c r="P105" i="24" s="1"/>
  <c r="V105" i="24" s="1"/>
  <c r="B105" i="24" s="1"/>
  <c r="U109" i="24"/>
  <c r="T109" i="24" s="1"/>
  <c r="S109" i="24" s="1"/>
  <c r="R109" i="24" s="1"/>
  <c r="P109" i="24" s="1"/>
  <c r="V109" i="24" s="1"/>
  <c r="B109" i="24" s="1"/>
  <c r="U113" i="24"/>
  <c r="T113" i="24" s="1"/>
  <c r="S113" i="24" s="1"/>
  <c r="R113" i="24" s="1"/>
  <c r="P113" i="24" s="1"/>
  <c r="V113" i="24" s="1"/>
  <c r="B113" i="24" s="1"/>
  <c r="U117" i="24"/>
  <c r="T117" i="24" s="1"/>
  <c r="S117" i="24" s="1"/>
  <c r="R117" i="24" s="1"/>
  <c r="P117" i="24" s="1"/>
  <c r="V117" i="24" s="1"/>
  <c r="B117" i="24" s="1"/>
  <c r="U121" i="24"/>
  <c r="T121" i="24" s="1"/>
  <c r="S121" i="24" s="1"/>
  <c r="R121" i="24" s="1"/>
  <c r="P121" i="24" s="1"/>
  <c r="V121" i="24" s="1"/>
  <c r="B121" i="24" s="1"/>
  <c r="U125" i="24"/>
  <c r="T125" i="24" s="1"/>
  <c r="U129" i="24"/>
  <c r="T129" i="24" s="1"/>
  <c r="S129" i="24" s="1"/>
  <c r="R129" i="24" s="1"/>
  <c r="P129" i="24" s="1"/>
  <c r="V129" i="24" s="1"/>
  <c r="B129" i="24" s="1"/>
  <c r="D129" i="24" s="1"/>
  <c r="E129" i="24" s="1"/>
  <c r="F129" i="24" s="1"/>
  <c r="U133" i="24"/>
  <c r="T133" i="24" s="1"/>
  <c r="S133" i="24" s="1"/>
  <c r="R133" i="24" s="1"/>
  <c r="P133" i="24" s="1"/>
  <c r="V133" i="24" s="1"/>
  <c r="B133" i="24" s="1"/>
  <c r="U137" i="24"/>
  <c r="T137" i="24" s="1"/>
  <c r="S137" i="24" s="1"/>
  <c r="R137" i="24" s="1"/>
  <c r="P137" i="24" s="1"/>
  <c r="V137" i="24" s="1"/>
  <c r="B137" i="24" s="1"/>
  <c r="U141" i="24"/>
  <c r="T141" i="24" s="1"/>
  <c r="S141" i="24" s="1"/>
  <c r="R141" i="24" s="1"/>
  <c r="P141" i="24" s="1"/>
  <c r="V141" i="24" s="1"/>
  <c r="B141" i="24" s="1"/>
  <c r="U145" i="24"/>
  <c r="T145" i="24" s="1"/>
  <c r="S145" i="24" s="1"/>
  <c r="R145" i="24" s="1"/>
  <c r="P145" i="24" s="1"/>
  <c r="V145" i="24" s="1"/>
  <c r="B145" i="24" s="1"/>
  <c r="U149" i="24"/>
  <c r="T149" i="24" s="1"/>
  <c r="S149" i="24" s="1"/>
  <c r="R149" i="24" s="1"/>
  <c r="P149" i="24" s="1"/>
  <c r="U153" i="24"/>
  <c r="T153" i="24" s="1"/>
  <c r="S153" i="24" s="1"/>
  <c r="R153" i="24" s="1"/>
  <c r="P153" i="24" s="1"/>
  <c r="V153" i="24" s="1"/>
  <c r="B153" i="24" s="1"/>
  <c r="U157" i="24"/>
  <c r="T157" i="24" s="1"/>
  <c r="AA335" i="23"/>
  <c r="Z335" i="23" s="1"/>
  <c r="Y335" i="23" s="1"/>
  <c r="AA208" i="23"/>
  <c r="Z208" i="23" s="1"/>
  <c r="Y208" i="23" s="1"/>
  <c r="H257" i="23"/>
  <c r="I257" i="23" s="1"/>
  <c r="G86" i="23"/>
  <c r="CD86" i="6" s="1"/>
  <c r="D68" i="19"/>
  <c r="AI382" i="23"/>
  <c r="H355" i="23"/>
  <c r="I355" i="23" s="1"/>
  <c r="AA355" i="23"/>
  <c r="Z355" i="23" s="1"/>
  <c r="Y355" i="23" s="1"/>
  <c r="H335" i="23"/>
  <c r="I335" i="23" s="1"/>
  <c r="H260" i="23"/>
  <c r="I260" i="23" s="1"/>
  <c r="G321" i="23"/>
  <c r="CD321" i="6" s="1"/>
  <c r="H67" i="23"/>
  <c r="I67" i="23" s="1"/>
  <c r="Q315" i="25"/>
  <c r="G325" i="23"/>
  <c r="CD325" i="6" s="1"/>
  <c r="AA260" i="23"/>
  <c r="Z260" i="23" s="1"/>
  <c r="Y260" i="23" s="1"/>
  <c r="H325" i="23"/>
  <c r="I325" i="23" s="1"/>
  <c r="Q187" i="25"/>
  <c r="BA16" i="7"/>
  <c r="AI22" i="24"/>
  <c r="AH22" i="24" s="1"/>
  <c r="AG22" i="24" s="1"/>
  <c r="AF22" i="24" s="1"/>
  <c r="AD22" i="24" s="1"/>
  <c r="AI34" i="24"/>
  <c r="AH34" i="24" s="1"/>
  <c r="AG34" i="24" s="1"/>
  <c r="AF34" i="24" s="1"/>
  <c r="AD34" i="24" s="1"/>
  <c r="AI50" i="24"/>
  <c r="AH50" i="24" s="1"/>
  <c r="AG50" i="24" s="1"/>
  <c r="AF50" i="24" s="1"/>
  <c r="AD50" i="24" s="1"/>
  <c r="AI66" i="24"/>
  <c r="AH66" i="24" s="1"/>
  <c r="AG66" i="24" s="1"/>
  <c r="AF66" i="24" s="1"/>
  <c r="AD66" i="24" s="1"/>
  <c r="AI82" i="24"/>
  <c r="AH82" i="24" s="1"/>
  <c r="AG82" i="24" s="1"/>
  <c r="AF82" i="24" s="1"/>
  <c r="AD82" i="24" s="1"/>
  <c r="AI98" i="24"/>
  <c r="AH98" i="24" s="1"/>
  <c r="AG98" i="24" s="1"/>
  <c r="AF98" i="24" s="1"/>
  <c r="AD98" i="24" s="1"/>
  <c r="AI114" i="24"/>
  <c r="AH114" i="24" s="1"/>
  <c r="AG114" i="24" s="1"/>
  <c r="AF114" i="24" s="1"/>
  <c r="AD114" i="24" s="1"/>
  <c r="AI130" i="24"/>
  <c r="AH130" i="24" s="1"/>
  <c r="AG130" i="24" s="1"/>
  <c r="AF130" i="24" s="1"/>
  <c r="AD130" i="24" s="1"/>
  <c r="AI146" i="24"/>
  <c r="AH146" i="24" s="1"/>
  <c r="AG146" i="24" s="1"/>
  <c r="AF146" i="24" s="1"/>
  <c r="AD146" i="24" s="1"/>
  <c r="AI162" i="24"/>
  <c r="AH162" i="24" s="1"/>
  <c r="AG162" i="24" s="1"/>
  <c r="AF162" i="24" s="1"/>
  <c r="AD162" i="24" s="1"/>
  <c r="AI178" i="24"/>
  <c r="AH178" i="24" s="1"/>
  <c r="AG178" i="24" s="1"/>
  <c r="AF178" i="24" s="1"/>
  <c r="AD178" i="24" s="1"/>
  <c r="AI194" i="24"/>
  <c r="AH194" i="24" s="1"/>
  <c r="AG194" i="24" s="1"/>
  <c r="AF194" i="24" s="1"/>
  <c r="AD194" i="24" s="1"/>
  <c r="AI210" i="24"/>
  <c r="AH210" i="24" s="1"/>
  <c r="AG210" i="24" s="1"/>
  <c r="AF210" i="24" s="1"/>
  <c r="AD210" i="24" s="1"/>
  <c r="AI226" i="24"/>
  <c r="AH226" i="24" s="1"/>
  <c r="AG226" i="24" s="1"/>
  <c r="AF226" i="24" s="1"/>
  <c r="AD226" i="24" s="1"/>
  <c r="AI242" i="24"/>
  <c r="AH242" i="24" s="1"/>
  <c r="AG242" i="24" s="1"/>
  <c r="AF242" i="24" s="1"/>
  <c r="AD242" i="24" s="1"/>
  <c r="AI256" i="24"/>
  <c r="AH256" i="24" s="1"/>
  <c r="AG256" i="24" s="1"/>
  <c r="AF256" i="24" s="1"/>
  <c r="AD256" i="24" s="1"/>
  <c r="AI264" i="24"/>
  <c r="AH264" i="24" s="1"/>
  <c r="AG264" i="24" s="1"/>
  <c r="AF264" i="24" s="1"/>
  <c r="AD264" i="24" s="1"/>
  <c r="AI272" i="24"/>
  <c r="AH272" i="24" s="1"/>
  <c r="AG272" i="24" s="1"/>
  <c r="AF272" i="24" s="1"/>
  <c r="AD272" i="24" s="1"/>
  <c r="AI280" i="24"/>
  <c r="AH280" i="24" s="1"/>
  <c r="AG280" i="24" s="1"/>
  <c r="AF280" i="24" s="1"/>
  <c r="AD280" i="24" s="1"/>
  <c r="AI288" i="24"/>
  <c r="AH288" i="24" s="1"/>
  <c r="AG288" i="24" s="1"/>
  <c r="AF288" i="24" s="1"/>
  <c r="AD288" i="24" s="1"/>
  <c r="AI296" i="24"/>
  <c r="AH296" i="24" s="1"/>
  <c r="AG296" i="24" s="1"/>
  <c r="AF296" i="24" s="1"/>
  <c r="AD296" i="24" s="1"/>
  <c r="AI304" i="24"/>
  <c r="AH304" i="24" s="1"/>
  <c r="AG304" i="24" s="1"/>
  <c r="AF304" i="24" s="1"/>
  <c r="AD304" i="24" s="1"/>
  <c r="AI312" i="24"/>
  <c r="AH312" i="24" s="1"/>
  <c r="AG312" i="24" s="1"/>
  <c r="AF312" i="24" s="1"/>
  <c r="AD312" i="24" s="1"/>
  <c r="AI320" i="24"/>
  <c r="AH320" i="24" s="1"/>
  <c r="AG320" i="24" s="1"/>
  <c r="AF320" i="24" s="1"/>
  <c r="AD320" i="24" s="1"/>
  <c r="AI328" i="24"/>
  <c r="AH328" i="24" s="1"/>
  <c r="AG328" i="24" s="1"/>
  <c r="AF328" i="24" s="1"/>
  <c r="AD328" i="24" s="1"/>
  <c r="AI336" i="24"/>
  <c r="AH336" i="24" s="1"/>
  <c r="AG336" i="24" s="1"/>
  <c r="AF336" i="24" s="1"/>
  <c r="AD336" i="24" s="1"/>
  <c r="AI344" i="24"/>
  <c r="AH344" i="24" s="1"/>
  <c r="AG344" i="24" s="1"/>
  <c r="AF344" i="24" s="1"/>
  <c r="AD344" i="24" s="1"/>
  <c r="AI352" i="24"/>
  <c r="AH352" i="24" s="1"/>
  <c r="AG352" i="24" s="1"/>
  <c r="AF352" i="24" s="1"/>
  <c r="AD352" i="24" s="1"/>
  <c r="Q368" i="25"/>
  <c r="Q251" i="25"/>
  <c r="Q123" i="25"/>
  <c r="U378" i="24"/>
  <c r="T378" i="24" s="1"/>
  <c r="S378" i="24" s="1"/>
  <c r="R378" i="24" s="1"/>
  <c r="P378" i="24" s="1"/>
  <c r="V378" i="24" s="1"/>
  <c r="B378" i="24" s="1"/>
  <c r="U376" i="24"/>
  <c r="T376" i="24" s="1"/>
  <c r="S376" i="24" s="1"/>
  <c r="R376" i="24" s="1"/>
  <c r="P376" i="24" s="1"/>
  <c r="V376" i="24" s="1"/>
  <c r="B376" i="24" s="1"/>
  <c r="U374" i="24"/>
  <c r="T374" i="24" s="1"/>
  <c r="U372" i="24"/>
  <c r="T372" i="24" s="1"/>
  <c r="S372" i="24" s="1"/>
  <c r="R372" i="24" s="1"/>
  <c r="P372" i="24" s="1"/>
  <c r="V372" i="24" s="1"/>
  <c r="B372" i="24" s="1"/>
  <c r="D372" i="24" s="1"/>
  <c r="E372" i="24" s="1"/>
  <c r="F372" i="24" s="1"/>
  <c r="U370" i="24"/>
  <c r="T370" i="24" s="1"/>
  <c r="S370" i="24" s="1"/>
  <c r="R370" i="24" s="1"/>
  <c r="P370" i="24" s="1"/>
  <c r="V370" i="24" s="1"/>
  <c r="B370" i="24" s="1"/>
  <c r="D370" i="24" s="1"/>
  <c r="E370" i="24" s="1"/>
  <c r="F370" i="24" s="1"/>
  <c r="U368" i="24"/>
  <c r="T368" i="24" s="1"/>
  <c r="S368" i="24" s="1"/>
  <c r="R368" i="24" s="1"/>
  <c r="P368" i="24" s="1"/>
  <c r="V368" i="24" s="1"/>
  <c r="B368" i="24" s="1"/>
  <c r="D368" i="24" s="1"/>
  <c r="E368" i="24" s="1"/>
  <c r="F368" i="24" s="1"/>
  <c r="U366" i="24"/>
  <c r="T366" i="24" s="1"/>
  <c r="S366" i="24" s="1"/>
  <c r="R366" i="24" s="1"/>
  <c r="P366" i="24" s="1"/>
  <c r="V366" i="24" s="1"/>
  <c r="B366" i="24" s="1"/>
  <c r="U364" i="24"/>
  <c r="T364" i="24" s="1"/>
  <c r="S364" i="24" s="1"/>
  <c r="R364" i="24" s="1"/>
  <c r="P364" i="24" s="1"/>
  <c r="V364" i="24" s="1"/>
  <c r="B364" i="24" s="1"/>
  <c r="W364" i="24" s="1"/>
  <c r="U362" i="24"/>
  <c r="T362" i="24" s="1"/>
  <c r="S362" i="24" s="1"/>
  <c r="R362" i="24" s="1"/>
  <c r="P362" i="24" s="1"/>
  <c r="V362" i="24" s="1"/>
  <c r="B362" i="24" s="1"/>
  <c r="W362" i="24" s="1"/>
  <c r="U360" i="24"/>
  <c r="T360" i="24" s="1"/>
  <c r="S360" i="24" s="1"/>
  <c r="R360" i="24" s="1"/>
  <c r="P360" i="24" s="1"/>
  <c r="V360" i="24" s="1"/>
  <c r="B360" i="24" s="1"/>
  <c r="D360" i="24" s="1"/>
  <c r="E360" i="24" s="1"/>
  <c r="F360" i="24" s="1"/>
  <c r="U358" i="24"/>
  <c r="T358" i="24" s="1"/>
  <c r="S358" i="24" s="1"/>
  <c r="R358" i="24" s="1"/>
  <c r="P358" i="24" s="1"/>
  <c r="V358" i="24" s="1"/>
  <c r="B358" i="24" s="1"/>
  <c r="U356" i="24"/>
  <c r="T356" i="24" s="1"/>
  <c r="S356" i="24" s="1"/>
  <c r="R356" i="24" s="1"/>
  <c r="P356" i="24" s="1"/>
  <c r="V356" i="24" s="1"/>
  <c r="B356" i="24" s="1"/>
  <c r="D356" i="24" s="1"/>
  <c r="E356" i="24" s="1"/>
  <c r="F356" i="24" s="1"/>
  <c r="U354" i="24"/>
  <c r="T354" i="24" s="1"/>
  <c r="S354" i="24" s="1"/>
  <c r="R354" i="24" s="1"/>
  <c r="P354" i="24" s="1"/>
  <c r="V354" i="24" s="1"/>
  <c r="B354" i="24" s="1"/>
  <c r="D354" i="24" s="1"/>
  <c r="E354" i="24" s="1"/>
  <c r="F354" i="24" s="1"/>
  <c r="U352" i="24"/>
  <c r="T352" i="24" s="1"/>
  <c r="U350" i="24"/>
  <c r="T350" i="24" s="1"/>
  <c r="S350" i="24" s="1"/>
  <c r="R350" i="24" s="1"/>
  <c r="P350" i="24" s="1"/>
  <c r="V350" i="24" s="1"/>
  <c r="B350" i="24" s="1"/>
  <c r="W350" i="24" s="1"/>
  <c r="U348" i="24"/>
  <c r="T348" i="24" s="1"/>
  <c r="S348" i="24" s="1"/>
  <c r="R348" i="24" s="1"/>
  <c r="P348" i="24" s="1"/>
  <c r="V348" i="24" s="1"/>
  <c r="B348" i="24" s="1"/>
  <c r="U346" i="24"/>
  <c r="T346" i="24" s="1"/>
  <c r="S346" i="24" s="1"/>
  <c r="R346" i="24" s="1"/>
  <c r="P346" i="24" s="1"/>
  <c r="V346" i="24" s="1"/>
  <c r="B346" i="24" s="1"/>
  <c r="W346" i="24" s="1"/>
  <c r="U344" i="24"/>
  <c r="T344" i="24" s="1"/>
  <c r="S344" i="24" s="1"/>
  <c r="R344" i="24" s="1"/>
  <c r="P344" i="24" s="1"/>
  <c r="V344" i="24" s="1"/>
  <c r="B344" i="24" s="1"/>
  <c r="W344" i="24" s="1"/>
  <c r="U342" i="24"/>
  <c r="T342" i="24" s="1"/>
  <c r="S342" i="24" s="1"/>
  <c r="R342" i="24" s="1"/>
  <c r="P342" i="24" s="1"/>
  <c r="V342" i="24" s="1"/>
  <c r="B342" i="24" s="1"/>
  <c r="U340" i="24"/>
  <c r="T340" i="24" s="1"/>
  <c r="S340" i="24" s="1"/>
  <c r="R340" i="24" s="1"/>
  <c r="P340" i="24" s="1"/>
  <c r="V340" i="24" s="1"/>
  <c r="B340" i="24" s="1"/>
  <c r="W340" i="24" s="1"/>
  <c r="U338" i="24"/>
  <c r="T338" i="24" s="1"/>
  <c r="S338" i="24" s="1"/>
  <c r="R338" i="24" s="1"/>
  <c r="P338" i="24" s="1"/>
  <c r="V338" i="24" s="1"/>
  <c r="B338" i="24" s="1"/>
  <c r="W338" i="24" s="1"/>
  <c r="U336" i="24"/>
  <c r="T336" i="24" s="1"/>
  <c r="S336" i="24" s="1"/>
  <c r="R336" i="24" s="1"/>
  <c r="P336" i="24" s="1"/>
  <c r="V336" i="24" s="1"/>
  <c r="B336" i="24" s="1"/>
  <c r="W336" i="24" s="1"/>
  <c r="U334" i="24"/>
  <c r="T334" i="24" s="1"/>
  <c r="S334" i="24" s="1"/>
  <c r="R334" i="24" s="1"/>
  <c r="P334" i="24" s="1"/>
  <c r="V334" i="24" s="1"/>
  <c r="B334" i="24" s="1"/>
  <c r="U332" i="24"/>
  <c r="T332" i="24" s="1"/>
  <c r="S332" i="24" s="1"/>
  <c r="R332" i="24" s="1"/>
  <c r="P332" i="24" s="1"/>
  <c r="V332" i="24" s="1"/>
  <c r="B332" i="24" s="1"/>
  <c r="U330" i="24"/>
  <c r="T330" i="24" s="1"/>
  <c r="S330" i="24" s="1"/>
  <c r="R330" i="24" s="1"/>
  <c r="P330" i="24" s="1"/>
  <c r="V330" i="24" s="1"/>
  <c r="B330" i="24" s="1"/>
  <c r="D330" i="24" s="1"/>
  <c r="E330" i="24" s="1"/>
  <c r="F330" i="24" s="1"/>
  <c r="U328" i="24"/>
  <c r="T328" i="24" s="1"/>
  <c r="S328" i="24" s="1"/>
  <c r="R328" i="24" s="1"/>
  <c r="P328" i="24" s="1"/>
  <c r="V328" i="24" s="1"/>
  <c r="B328" i="24" s="1"/>
  <c r="W328" i="24" s="1"/>
  <c r="U326" i="24"/>
  <c r="T326" i="24" s="1"/>
  <c r="S326" i="24" s="1"/>
  <c r="R326" i="24" s="1"/>
  <c r="P326" i="24" s="1"/>
  <c r="V326" i="24" s="1"/>
  <c r="B326" i="24" s="1"/>
  <c r="W326" i="24" s="1"/>
  <c r="U324" i="24"/>
  <c r="T324" i="24" s="1"/>
  <c r="S324" i="24" s="1"/>
  <c r="R324" i="24" s="1"/>
  <c r="P324" i="24" s="1"/>
  <c r="V324" i="24" s="1"/>
  <c r="B324" i="24" s="1"/>
  <c r="W324" i="24" s="1"/>
  <c r="U322" i="24"/>
  <c r="T322" i="24" s="1"/>
  <c r="U320" i="24"/>
  <c r="T320" i="24" s="1"/>
  <c r="S320" i="24" s="1"/>
  <c r="R320" i="24" s="1"/>
  <c r="P320" i="24" s="1"/>
  <c r="V320" i="24" s="1"/>
  <c r="B320" i="24" s="1"/>
  <c r="D320" i="24" s="1"/>
  <c r="E320" i="24" s="1"/>
  <c r="F320" i="24" s="1"/>
  <c r="U318" i="24"/>
  <c r="T318" i="24" s="1"/>
  <c r="S318" i="24" s="1"/>
  <c r="R318" i="24" s="1"/>
  <c r="P318" i="24" s="1"/>
  <c r="V318" i="24" s="1"/>
  <c r="B318" i="24" s="1"/>
  <c r="D318" i="24" s="1"/>
  <c r="E318" i="24" s="1"/>
  <c r="F318" i="24" s="1"/>
  <c r="U316" i="24"/>
  <c r="T316" i="24" s="1"/>
  <c r="S316" i="24" s="1"/>
  <c r="R316" i="24" s="1"/>
  <c r="P316" i="24" s="1"/>
  <c r="V316" i="24" s="1"/>
  <c r="B316" i="24" s="1"/>
  <c r="D316" i="24" s="1"/>
  <c r="E316" i="24" s="1"/>
  <c r="F316" i="24" s="1"/>
  <c r="U314" i="24"/>
  <c r="T314" i="24" s="1"/>
  <c r="S314" i="24" s="1"/>
  <c r="R314" i="24" s="1"/>
  <c r="P314" i="24" s="1"/>
  <c r="V314" i="24" s="1"/>
  <c r="B314" i="24" s="1"/>
  <c r="U312" i="24"/>
  <c r="T312" i="24" s="1"/>
  <c r="S312" i="24" s="1"/>
  <c r="R312" i="24" s="1"/>
  <c r="P312" i="24" s="1"/>
  <c r="V312" i="24" s="1"/>
  <c r="B312" i="24" s="1"/>
  <c r="D312" i="24" s="1"/>
  <c r="E312" i="24" s="1"/>
  <c r="F312" i="24" s="1"/>
  <c r="U310" i="24"/>
  <c r="T310" i="24" s="1"/>
  <c r="S310" i="24" s="1"/>
  <c r="R310" i="24" s="1"/>
  <c r="P310" i="24" s="1"/>
  <c r="V310" i="24" s="1"/>
  <c r="B310" i="24" s="1"/>
  <c r="U308" i="24"/>
  <c r="T308" i="24" s="1"/>
  <c r="S308" i="24" s="1"/>
  <c r="R308" i="24" s="1"/>
  <c r="P308" i="24" s="1"/>
  <c r="V308" i="24" s="1"/>
  <c r="B308" i="24" s="1"/>
  <c r="D308" i="24" s="1"/>
  <c r="E308" i="24" s="1"/>
  <c r="F308" i="24" s="1"/>
  <c r="U306" i="24"/>
  <c r="T306" i="24" s="1"/>
  <c r="S306" i="24" s="1"/>
  <c r="R306" i="24" s="1"/>
  <c r="P306" i="24" s="1"/>
  <c r="V306" i="24" s="1"/>
  <c r="B306" i="24" s="1"/>
  <c r="U304" i="24"/>
  <c r="T304" i="24" s="1"/>
  <c r="S304" i="24" s="1"/>
  <c r="R304" i="24" s="1"/>
  <c r="P304" i="24" s="1"/>
  <c r="V304" i="24" s="1"/>
  <c r="B304" i="24" s="1"/>
  <c r="W304" i="24" s="1"/>
  <c r="U302" i="24"/>
  <c r="T302" i="24" s="1"/>
  <c r="U300" i="24"/>
  <c r="T300" i="24" s="1"/>
  <c r="S300" i="24" s="1"/>
  <c r="R300" i="24" s="1"/>
  <c r="P300" i="24" s="1"/>
  <c r="V300" i="24" s="1"/>
  <c r="B300" i="24" s="1"/>
  <c r="U298" i="24"/>
  <c r="T298" i="24" s="1"/>
  <c r="S298" i="24" s="1"/>
  <c r="R298" i="24" s="1"/>
  <c r="P298" i="24" s="1"/>
  <c r="V298" i="24" s="1"/>
  <c r="B298" i="24" s="1"/>
  <c r="D298" i="24" s="1"/>
  <c r="E298" i="24" s="1"/>
  <c r="F298" i="24" s="1"/>
  <c r="U296" i="24"/>
  <c r="T296" i="24" s="1"/>
  <c r="S296" i="24" s="1"/>
  <c r="R296" i="24" s="1"/>
  <c r="P296" i="24" s="1"/>
  <c r="V296" i="24" s="1"/>
  <c r="B296" i="24" s="1"/>
  <c r="U294" i="24"/>
  <c r="T294" i="24" s="1"/>
  <c r="S294" i="24" s="1"/>
  <c r="R294" i="24" s="1"/>
  <c r="P294" i="24" s="1"/>
  <c r="V294" i="24" s="1"/>
  <c r="B294" i="24" s="1"/>
  <c r="W294" i="24" s="1"/>
  <c r="U292" i="24"/>
  <c r="T292" i="24" s="1"/>
  <c r="S292" i="24" s="1"/>
  <c r="R292" i="24" s="1"/>
  <c r="P292" i="24" s="1"/>
  <c r="V292" i="24" s="1"/>
  <c r="B292" i="24" s="1"/>
  <c r="W292" i="24" s="1"/>
  <c r="U290" i="24"/>
  <c r="T290" i="24" s="1"/>
  <c r="S290" i="24" s="1"/>
  <c r="R290" i="24" s="1"/>
  <c r="P290" i="24" s="1"/>
  <c r="V290" i="24" s="1"/>
  <c r="B290" i="24" s="1"/>
  <c r="D290" i="24" s="1"/>
  <c r="E290" i="24" s="1"/>
  <c r="F290" i="24" s="1"/>
  <c r="U288" i="24"/>
  <c r="T288" i="24" s="1"/>
  <c r="S288" i="24" s="1"/>
  <c r="R288" i="24" s="1"/>
  <c r="P288" i="24" s="1"/>
  <c r="V288" i="24" s="1"/>
  <c r="B288" i="24" s="1"/>
  <c r="U286" i="24"/>
  <c r="T286" i="24" s="1"/>
  <c r="S286" i="24" s="1"/>
  <c r="R286" i="24" s="1"/>
  <c r="P286" i="24" s="1"/>
  <c r="V286" i="24" s="1"/>
  <c r="B286" i="24" s="1"/>
  <c r="D286" i="24" s="1"/>
  <c r="E286" i="24" s="1"/>
  <c r="F286" i="24" s="1"/>
  <c r="U284" i="24"/>
  <c r="T284" i="24" s="1"/>
  <c r="S284" i="24" s="1"/>
  <c r="R284" i="24" s="1"/>
  <c r="P284" i="24" s="1"/>
  <c r="V284" i="24" s="1"/>
  <c r="B284" i="24" s="1"/>
  <c r="W284" i="24" s="1"/>
  <c r="U282" i="24"/>
  <c r="T282" i="24" s="1"/>
  <c r="S282" i="24" s="1"/>
  <c r="R282" i="24" s="1"/>
  <c r="P282" i="24" s="1"/>
  <c r="V282" i="24" s="1"/>
  <c r="B282" i="24" s="1"/>
  <c r="D282" i="24" s="1"/>
  <c r="E282" i="24" s="1"/>
  <c r="F282" i="24" s="1"/>
  <c r="U280" i="24"/>
  <c r="T280" i="24" s="1"/>
  <c r="S280" i="24" s="1"/>
  <c r="R280" i="24" s="1"/>
  <c r="P280" i="24" s="1"/>
  <c r="V280" i="24" s="1"/>
  <c r="B280" i="24" s="1"/>
  <c r="U278" i="24"/>
  <c r="T278" i="24" s="1"/>
  <c r="S278" i="24" s="1"/>
  <c r="R278" i="24" s="1"/>
  <c r="P278" i="24" s="1"/>
  <c r="V278" i="24" s="1"/>
  <c r="B278" i="24" s="1"/>
  <c r="D278" i="24" s="1"/>
  <c r="E278" i="24" s="1"/>
  <c r="F278" i="24" s="1"/>
  <c r="U276" i="24"/>
  <c r="T276" i="24" s="1"/>
  <c r="S276" i="24" s="1"/>
  <c r="R276" i="24" s="1"/>
  <c r="P276" i="24" s="1"/>
  <c r="V276" i="24" s="1"/>
  <c r="B276" i="24" s="1"/>
  <c r="U274" i="24"/>
  <c r="T274" i="24" s="1"/>
  <c r="S274" i="24" s="1"/>
  <c r="R274" i="24" s="1"/>
  <c r="P274" i="24" s="1"/>
  <c r="V274" i="24" s="1"/>
  <c r="B274" i="24" s="1"/>
  <c r="W274" i="24" s="1"/>
  <c r="U272" i="24"/>
  <c r="T272" i="24" s="1"/>
  <c r="S272" i="24" s="1"/>
  <c r="R272" i="24" s="1"/>
  <c r="P272" i="24" s="1"/>
  <c r="V272" i="24" s="1"/>
  <c r="B272" i="24" s="1"/>
  <c r="U270" i="24"/>
  <c r="T270" i="24" s="1"/>
  <c r="S270" i="24" s="1"/>
  <c r="R270" i="24" s="1"/>
  <c r="P270" i="24" s="1"/>
  <c r="V270" i="24" s="1"/>
  <c r="B270" i="24" s="1"/>
  <c r="U268" i="24"/>
  <c r="T268" i="24" s="1"/>
  <c r="S268" i="24" s="1"/>
  <c r="R268" i="24" s="1"/>
  <c r="P268" i="24" s="1"/>
  <c r="V268" i="24" s="1"/>
  <c r="B268" i="24" s="1"/>
  <c r="D268" i="24" s="1"/>
  <c r="E268" i="24" s="1"/>
  <c r="F268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264" i="24"/>
  <c r="T264" i="24" s="1"/>
  <c r="S264" i="24" s="1"/>
  <c r="R264" i="24" s="1"/>
  <c r="P264" i="24" s="1"/>
  <c r="V264" i="24" s="1"/>
  <c r="B264" i="24" s="1"/>
  <c r="U262" i="24"/>
  <c r="T262" i="24" s="1"/>
  <c r="S262" i="24" s="1"/>
  <c r="R262" i="24" s="1"/>
  <c r="P262" i="24" s="1"/>
  <c r="V262" i="24" s="1"/>
  <c r="B262" i="24" s="1"/>
  <c r="W262" i="24" s="1"/>
  <c r="U260" i="24"/>
  <c r="T260" i="24" s="1"/>
  <c r="S260" i="24" s="1"/>
  <c r="R260" i="24" s="1"/>
  <c r="P260" i="24" s="1"/>
  <c r="V260" i="24" s="1"/>
  <c r="B260" i="24" s="1"/>
  <c r="W260" i="24" s="1"/>
  <c r="U258" i="24"/>
  <c r="T258" i="24" s="1"/>
  <c r="S258" i="24" s="1"/>
  <c r="R258" i="24" s="1"/>
  <c r="P258" i="24" s="1"/>
  <c r="V258" i="24" s="1"/>
  <c r="B258" i="24" s="1"/>
  <c r="U256" i="24"/>
  <c r="T256" i="24" s="1"/>
  <c r="S256" i="24" s="1"/>
  <c r="R256" i="24" s="1"/>
  <c r="P256" i="24" s="1"/>
  <c r="V256" i="24" s="1"/>
  <c r="B256" i="24" s="1"/>
  <c r="W256" i="24" s="1"/>
  <c r="U254" i="24"/>
  <c r="T254" i="24" s="1"/>
  <c r="S254" i="24" s="1"/>
  <c r="R254" i="24" s="1"/>
  <c r="P254" i="24" s="1"/>
  <c r="V254" i="24" s="1"/>
  <c r="B254" i="24" s="1"/>
  <c r="U252" i="24"/>
  <c r="T252" i="24" s="1"/>
  <c r="S252" i="24" s="1"/>
  <c r="R252" i="24" s="1"/>
  <c r="P252" i="24" s="1"/>
  <c r="V252" i="24" s="1"/>
  <c r="B252" i="24" s="1"/>
  <c r="U250" i="24"/>
  <c r="T250" i="24" s="1"/>
  <c r="S250" i="24" s="1"/>
  <c r="R250" i="24" s="1"/>
  <c r="P250" i="24" s="1"/>
  <c r="V250" i="24" s="1"/>
  <c r="B250" i="24" s="1"/>
  <c r="D250" i="24" s="1"/>
  <c r="E250" i="24" s="1"/>
  <c r="F250" i="24" s="1"/>
  <c r="U248" i="24"/>
  <c r="T248" i="24" s="1"/>
  <c r="S248" i="24" s="1"/>
  <c r="R248" i="24" s="1"/>
  <c r="P248" i="24" s="1"/>
  <c r="V248" i="24" s="1"/>
  <c r="B248" i="24" s="1"/>
  <c r="D248" i="24" s="1"/>
  <c r="E248" i="24" s="1"/>
  <c r="F248" i="24" s="1"/>
  <c r="U246" i="24"/>
  <c r="T246" i="24" s="1"/>
  <c r="S246" i="24" s="1"/>
  <c r="R246" i="24" s="1"/>
  <c r="P246" i="24" s="1"/>
  <c r="V246" i="24" s="1"/>
  <c r="B246" i="24" s="1"/>
  <c r="D246" i="24" s="1"/>
  <c r="E246" i="24" s="1"/>
  <c r="F246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242" i="24"/>
  <c r="T242" i="24" s="1"/>
  <c r="S242" i="24" s="1"/>
  <c r="R242" i="24" s="1"/>
  <c r="P242" i="24" s="1"/>
  <c r="V242" i="24" s="1"/>
  <c r="B242" i="24" s="1"/>
  <c r="W242" i="24" s="1"/>
  <c r="U240" i="24"/>
  <c r="T240" i="24" s="1"/>
  <c r="S240" i="24" s="1"/>
  <c r="R240" i="24" s="1"/>
  <c r="P240" i="24" s="1"/>
  <c r="V240" i="24" s="1"/>
  <c r="B240" i="24" s="1"/>
  <c r="D240" i="24" s="1"/>
  <c r="E240" i="24" s="1"/>
  <c r="F240" i="24" s="1"/>
  <c r="U238" i="24"/>
  <c r="T238" i="24" s="1"/>
  <c r="S238" i="24" s="1"/>
  <c r="R238" i="24" s="1"/>
  <c r="P238" i="24" s="1"/>
  <c r="V238" i="24" s="1"/>
  <c r="B238" i="24" s="1"/>
  <c r="D238" i="24" s="1"/>
  <c r="E238" i="24" s="1"/>
  <c r="F238" i="24" s="1"/>
  <c r="U236" i="24"/>
  <c r="T236" i="24" s="1"/>
  <c r="S236" i="24" s="1"/>
  <c r="R236" i="24" s="1"/>
  <c r="P236" i="24" s="1"/>
  <c r="V236" i="24" s="1"/>
  <c r="B236" i="24" s="1"/>
  <c r="U234" i="24"/>
  <c r="T234" i="24" s="1"/>
  <c r="S234" i="24" s="1"/>
  <c r="R234" i="24" s="1"/>
  <c r="P234" i="24" s="1"/>
  <c r="V234" i="24" s="1"/>
  <c r="B234" i="24" s="1"/>
  <c r="D234" i="24" s="1"/>
  <c r="E234" i="24" s="1"/>
  <c r="F234" i="24" s="1"/>
  <c r="U232" i="24"/>
  <c r="T232" i="24" s="1"/>
  <c r="S232" i="24" s="1"/>
  <c r="R232" i="24" s="1"/>
  <c r="P232" i="24" s="1"/>
  <c r="V232" i="24" s="1"/>
  <c r="B232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228" i="24"/>
  <c r="T228" i="24" s="1"/>
  <c r="S228" i="24" s="1"/>
  <c r="R228" i="24" s="1"/>
  <c r="P228" i="24" s="1"/>
  <c r="V228" i="24" s="1"/>
  <c r="B228" i="24" s="1"/>
  <c r="D228" i="24" s="1"/>
  <c r="E228" i="24" s="1"/>
  <c r="F228" i="24" s="1"/>
  <c r="U226" i="24"/>
  <c r="T226" i="24" s="1"/>
  <c r="S226" i="24" s="1"/>
  <c r="R226" i="24" s="1"/>
  <c r="P226" i="24" s="1"/>
  <c r="V226" i="24" s="1"/>
  <c r="B226" i="24" s="1"/>
  <c r="W226" i="24" s="1"/>
  <c r="U224" i="24"/>
  <c r="T224" i="24" s="1"/>
  <c r="S224" i="24" s="1"/>
  <c r="R224" i="24" s="1"/>
  <c r="P224" i="24" s="1"/>
  <c r="V224" i="24" s="1"/>
  <c r="B224" i="24" s="1"/>
  <c r="D224" i="24" s="1"/>
  <c r="E224" i="24" s="1"/>
  <c r="F224" i="24" s="1"/>
  <c r="U222" i="24"/>
  <c r="T222" i="24" s="1"/>
  <c r="U220" i="24"/>
  <c r="T220" i="24" s="1"/>
  <c r="S220" i="24" s="1"/>
  <c r="R220" i="24" s="1"/>
  <c r="P220" i="24" s="1"/>
  <c r="V220" i="24" s="1"/>
  <c r="B220" i="24" s="1"/>
  <c r="W220" i="24" s="1"/>
  <c r="U218" i="24"/>
  <c r="T218" i="24" s="1"/>
  <c r="S218" i="24" s="1"/>
  <c r="R218" i="24" s="1"/>
  <c r="P218" i="24" s="1"/>
  <c r="V218" i="24" s="1"/>
  <c r="B218" i="24" s="1"/>
  <c r="U216" i="24"/>
  <c r="T216" i="24" s="1"/>
  <c r="S216" i="24" s="1"/>
  <c r="R216" i="24" s="1"/>
  <c r="P216" i="24" s="1"/>
  <c r="V216" i="24" s="1"/>
  <c r="B216" i="24" s="1"/>
  <c r="D216" i="24" s="1"/>
  <c r="E216" i="24" s="1"/>
  <c r="F216" i="24" s="1"/>
  <c r="U214" i="24"/>
  <c r="T214" i="24" s="1"/>
  <c r="S214" i="24" s="1"/>
  <c r="R214" i="24" s="1"/>
  <c r="P214" i="24" s="1"/>
  <c r="V214" i="24" s="1"/>
  <c r="B214" i="24" s="1"/>
  <c r="U212" i="24"/>
  <c r="T212" i="24" s="1"/>
  <c r="S212" i="24" s="1"/>
  <c r="R212" i="24" s="1"/>
  <c r="P212" i="24" s="1"/>
  <c r="V212" i="24" s="1"/>
  <c r="B212" i="24" s="1"/>
  <c r="W212" i="24" s="1"/>
  <c r="U210" i="24"/>
  <c r="T210" i="24" s="1"/>
  <c r="S210" i="24" s="1"/>
  <c r="R210" i="24" s="1"/>
  <c r="P210" i="24" s="1"/>
  <c r="U208" i="24"/>
  <c r="T208" i="24" s="1"/>
  <c r="S208" i="24" s="1"/>
  <c r="R208" i="24" s="1"/>
  <c r="P208" i="24" s="1"/>
  <c r="V208" i="24" s="1"/>
  <c r="B208" i="24" s="1"/>
  <c r="D208" i="24" s="1"/>
  <c r="E208" i="24" s="1"/>
  <c r="F208" i="24" s="1"/>
  <c r="U206" i="24"/>
  <c r="T206" i="24" s="1"/>
  <c r="S206" i="24" s="1"/>
  <c r="R206" i="24" s="1"/>
  <c r="P206" i="24" s="1"/>
  <c r="V206" i="24" s="1"/>
  <c r="B206" i="24" s="1"/>
  <c r="W206" i="24" s="1"/>
  <c r="U204" i="24"/>
  <c r="T204" i="24" s="1"/>
  <c r="U202" i="24"/>
  <c r="T202" i="24" s="1"/>
  <c r="S202" i="24" s="1"/>
  <c r="R202" i="24" s="1"/>
  <c r="P202" i="24" s="1"/>
  <c r="V202" i="24" s="1"/>
  <c r="B202" i="24" s="1"/>
  <c r="W202" i="24" s="1"/>
  <c r="U200" i="24"/>
  <c r="T200" i="24" s="1"/>
  <c r="S200" i="24" s="1"/>
  <c r="R200" i="24" s="1"/>
  <c r="P200" i="24" s="1"/>
  <c r="V200" i="24" s="1"/>
  <c r="U198" i="24"/>
  <c r="T198" i="24" s="1"/>
  <c r="S198" i="24" s="1"/>
  <c r="R198" i="24" s="1"/>
  <c r="P198" i="24" s="1"/>
  <c r="V198" i="24" s="1"/>
  <c r="B198" i="24" s="1"/>
  <c r="W198" i="24" s="1"/>
  <c r="U196" i="24"/>
  <c r="T196" i="24" s="1"/>
  <c r="S196" i="24" s="1"/>
  <c r="R196" i="24" s="1"/>
  <c r="P196" i="24" s="1"/>
  <c r="V196" i="24" s="1"/>
  <c r="B196" i="24" s="1"/>
  <c r="W196" i="24" s="1"/>
  <c r="U194" i="24"/>
  <c r="T194" i="24" s="1"/>
  <c r="S194" i="24" s="1"/>
  <c r="R194" i="24" s="1"/>
  <c r="P194" i="24" s="1"/>
  <c r="V194" i="24" s="1"/>
  <c r="B194" i="24" s="1"/>
  <c r="W194" i="24" s="1"/>
  <c r="U192" i="24"/>
  <c r="T192" i="24" s="1"/>
  <c r="S192" i="24" s="1"/>
  <c r="R192" i="24" s="1"/>
  <c r="P192" i="24" s="1"/>
  <c r="V192" i="24" s="1"/>
  <c r="B192" i="24" s="1"/>
  <c r="W192" i="24" s="1"/>
  <c r="U190" i="24"/>
  <c r="T190" i="24" s="1"/>
  <c r="S190" i="24" s="1"/>
  <c r="R190" i="24" s="1"/>
  <c r="P190" i="24" s="1"/>
  <c r="V190" i="24" s="1"/>
  <c r="B190" i="24" s="1"/>
  <c r="D190" i="24" s="1"/>
  <c r="E190" i="24" s="1"/>
  <c r="F190" i="24" s="1"/>
  <c r="U188" i="24"/>
  <c r="T188" i="24" s="1"/>
  <c r="S188" i="24" s="1"/>
  <c r="R188" i="24" s="1"/>
  <c r="P188" i="24" s="1"/>
  <c r="V188" i="24" s="1"/>
  <c r="B188" i="24" s="1"/>
  <c r="W188" i="24" s="1"/>
  <c r="U186" i="24"/>
  <c r="T186" i="24" s="1"/>
  <c r="S186" i="24" s="1"/>
  <c r="R186" i="24" s="1"/>
  <c r="P186" i="24" s="1"/>
  <c r="V186" i="24" s="1"/>
  <c r="B186" i="24" s="1"/>
  <c r="D186" i="24" s="1"/>
  <c r="E186" i="24" s="1"/>
  <c r="F186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182" i="24"/>
  <c r="T182" i="24" s="1"/>
  <c r="S182" i="24" s="1"/>
  <c r="R182" i="24" s="1"/>
  <c r="P182" i="24" s="1"/>
  <c r="V182" i="24" s="1"/>
  <c r="B182" i="24" s="1"/>
  <c r="U180" i="24"/>
  <c r="T180" i="24" s="1"/>
  <c r="S180" i="24" s="1"/>
  <c r="R180" i="24" s="1"/>
  <c r="P180" i="24" s="1"/>
  <c r="AH61" i="7" s="1"/>
  <c r="U178" i="24"/>
  <c r="T178" i="24" s="1"/>
  <c r="S178" i="24" s="1"/>
  <c r="R178" i="24" s="1"/>
  <c r="P178" i="24" s="1"/>
  <c r="V178" i="24" s="1"/>
  <c r="B178" i="24" s="1"/>
  <c r="W178" i="24" s="1"/>
  <c r="U176" i="24"/>
  <c r="T176" i="24" s="1"/>
  <c r="S176" i="24" s="1"/>
  <c r="R176" i="24" s="1"/>
  <c r="P176" i="24" s="1"/>
  <c r="V176" i="24" s="1"/>
  <c r="B176" i="24" s="1"/>
  <c r="D176" i="24" s="1"/>
  <c r="E176" i="24" s="1"/>
  <c r="F176" i="24" s="1"/>
  <c r="U174" i="24"/>
  <c r="T174" i="24" s="1"/>
  <c r="S174" i="24" s="1"/>
  <c r="R174" i="24" s="1"/>
  <c r="P174" i="24" s="1"/>
  <c r="V174" i="24" s="1"/>
  <c r="B174" i="24" s="1"/>
  <c r="U172" i="24"/>
  <c r="T172" i="24" s="1"/>
  <c r="S172" i="24" s="1"/>
  <c r="R172" i="24" s="1"/>
  <c r="P172" i="24" s="1"/>
  <c r="V172" i="24" s="1"/>
  <c r="B172" i="24" s="1"/>
  <c r="D172" i="24" s="1"/>
  <c r="E172" i="24" s="1"/>
  <c r="F172" i="24" s="1"/>
  <c r="U170" i="24"/>
  <c r="T170" i="24" s="1"/>
  <c r="S170" i="24" s="1"/>
  <c r="R170" i="24" s="1"/>
  <c r="P170" i="24" s="1"/>
  <c r="V170" i="24" s="1"/>
  <c r="B170" i="24" s="1"/>
  <c r="W170" i="24" s="1"/>
  <c r="U168" i="24"/>
  <c r="T168" i="24" s="1"/>
  <c r="S168" i="24" s="1"/>
  <c r="R168" i="24" s="1"/>
  <c r="P168" i="24" s="1"/>
  <c r="V168" i="24" s="1"/>
  <c r="B168" i="24" s="1"/>
  <c r="D168" i="24" s="1"/>
  <c r="E168" i="24" s="1"/>
  <c r="F168" i="24" s="1"/>
  <c r="U166" i="24"/>
  <c r="T166" i="24" s="1"/>
  <c r="S166" i="24" s="1"/>
  <c r="R166" i="24" s="1"/>
  <c r="P166" i="24" s="1"/>
  <c r="V166" i="24" s="1"/>
  <c r="B166" i="24" s="1"/>
  <c r="U164" i="24"/>
  <c r="T164" i="24" s="1"/>
  <c r="S164" i="24" s="1"/>
  <c r="R164" i="24" s="1"/>
  <c r="P164" i="24" s="1"/>
  <c r="V164" i="24" s="1"/>
  <c r="B164" i="24" s="1"/>
  <c r="U162" i="24"/>
  <c r="T162" i="24" s="1"/>
  <c r="S162" i="24" s="1"/>
  <c r="R162" i="24" s="1"/>
  <c r="P162" i="24" s="1"/>
  <c r="V162" i="24" s="1"/>
  <c r="B162" i="24" s="1"/>
  <c r="W162" i="24" s="1"/>
  <c r="U160" i="24"/>
  <c r="T160" i="24" s="1"/>
  <c r="S160" i="24" s="1"/>
  <c r="R160" i="24" s="1"/>
  <c r="P160" i="24" s="1"/>
  <c r="V160" i="24" s="1"/>
  <c r="B160" i="24" s="1"/>
  <c r="D160" i="24" s="1"/>
  <c r="E160" i="24" s="1"/>
  <c r="F160" i="24" s="1"/>
  <c r="U158" i="24"/>
  <c r="T158" i="24" s="1"/>
  <c r="U156" i="24"/>
  <c r="T156" i="24" s="1"/>
  <c r="S156" i="24" s="1"/>
  <c r="R156" i="24" s="1"/>
  <c r="P156" i="24" s="1"/>
  <c r="V156" i="24" s="1"/>
  <c r="B156" i="24" s="1"/>
  <c r="W156" i="24" s="1"/>
  <c r="U154" i="24"/>
  <c r="T154" i="24" s="1"/>
  <c r="S154" i="24" s="1"/>
  <c r="R154" i="24" s="1"/>
  <c r="P154" i="24" s="1"/>
  <c r="V154" i="24" s="1"/>
  <c r="B154" i="24" s="1"/>
  <c r="U152" i="24"/>
  <c r="T152" i="24" s="1"/>
  <c r="S152" i="24" s="1"/>
  <c r="R152" i="24" s="1"/>
  <c r="P152" i="24" s="1"/>
  <c r="V152" i="24" s="1"/>
  <c r="B152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146" i="24"/>
  <c r="T146" i="24" s="1"/>
  <c r="S146" i="24" s="1"/>
  <c r="R146" i="24" s="1"/>
  <c r="P146" i="24" s="1"/>
  <c r="V146" i="24" s="1"/>
  <c r="B146" i="24" s="1"/>
  <c r="U144" i="24"/>
  <c r="T144" i="24" s="1"/>
  <c r="S144" i="24" s="1"/>
  <c r="R144" i="24" s="1"/>
  <c r="P144" i="24" s="1"/>
  <c r="V144" i="24" s="1"/>
  <c r="B144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140" i="24"/>
  <c r="T140" i="24" s="1"/>
  <c r="S140" i="24" s="1"/>
  <c r="R140" i="24" s="1"/>
  <c r="P140" i="24" s="1"/>
  <c r="V140" i="24" s="1"/>
  <c r="B140" i="24" s="1"/>
  <c r="D140" i="24" s="1"/>
  <c r="E140" i="24" s="1"/>
  <c r="F140" i="24" s="1"/>
  <c r="U138" i="24"/>
  <c r="T138" i="24" s="1"/>
  <c r="S138" i="24" s="1"/>
  <c r="R138" i="24" s="1"/>
  <c r="P138" i="24" s="1"/>
  <c r="V138" i="24" s="1"/>
  <c r="B138" i="24" s="1"/>
  <c r="D138" i="24" s="1"/>
  <c r="E138" i="24" s="1"/>
  <c r="F138" i="24" s="1"/>
  <c r="U136" i="24"/>
  <c r="T136" i="24" s="1"/>
  <c r="S136" i="24" s="1"/>
  <c r="R136" i="24" s="1"/>
  <c r="P136" i="24" s="1"/>
  <c r="V136" i="24" s="1"/>
  <c r="B136" i="24" s="1"/>
  <c r="D136" i="24" s="1"/>
  <c r="E136" i="24" s="1"/>
  <c r="F136" i="24" s="1"/>
  <c r="U134" i="24"/>
  <c r="T134" i="24" s="1"/>
  <c r="S134" i="24" s="1"/>
  <c r="R134" i="24" s="1"/>
  <c r="P134" i="24" s="1"/>
  <c r="V134" i="24" s="1"/>
  <c r="B134" i="24" s="1"/>
  <c r="U132" i="24"/>
  <c r="T132" i="24" s="1"/>
  <c r="S132" i="24" s="1"/>
  <c r="R132" i="24" s="1"/>
  <c r="P132" i="24" s="1"/>
  <c r="V132" i="24" s="1"/>
  <c r="B132" i="24" s="1"/>
  <c r="U130" i="24"/>
  <c r="T130" i="24" s="1"/>
  <c r="S130" i="24" s="1"/>
  <c r="R130" i="24" s="1"/>
  <c r="P130" i="24" s="1"/>
  <c r="V130" i="24" s="1"/>
  <c r="B130" i="24" s="1"/>
  <c r="D130" i="24" s="1"/>
  <c r="E130" i="24" s="1"/>
  <c r="F130" i="24" s="1"/>
  <c r="U128" i="24"/>
  <c r="T128" i="24" s="1"/>
  <c r="S128" i="24" s="1"/>
  <c r="R128" i="24" s="1"/>
  <c r="P128" i="24" s="1"/>
  <c r="V128" i="24" s="1"/>
  <c r="B128" i="24" s="1"/>
  <c r="W128" i="24" s="1"/>
  <c r="U126" i="24"/>
  <c r="T126" i="24" s="1"/>
  <c r="S126" i="24" s="1"/>
  <c r="R126" i="24" s="1"/>
  <c r="P126" i="24" s="1"/>
  <c r="V126" i="24" s="1"/>
  <c r="B126" i="24" s="1"/>
  <c r="D126" i="24" s="1"/>
  <c r="E126" i="24" s="1"/>
  <c r="F126" i="24" s="1"/>
  <c r="U124" i="24"/>
  <c r="T124" i="24" s="1"/>
  <c r="S124" i="24" s="1"/>
  <c r="R124" i="24" s="1"/>
  <c r="P124" i="24" s="1"/>
  <c r="V124" i="24" s="1"/>
  <c r="B124" i="24" s="1"/>
  <c r="W124" i="24" s="1"/>
  <c r="U122" i="24"/>
  <c r="T122" i="24" s="1"/>
  <c r="S122" i="24" s="1"/>
  <c r="R122" i="24" s="1"/>
  <c r="P122" i="24" s="1"/>
  <c r="V122" i="24" s="1"/>
  <c r="B122" i="24" s="1"/>
  <c r="W122" i="24" s="1"/>
  <c r="U120" i="24"/>
  <c r="T120" i="24" s="1"/>
  <c r="S120" i="24" s="1"/>
  <c r="R120" i="24" s="1"/>
  <c r="P120" i="24" s="1"/>
  <c r="V120" i="24" s="1"/>
  <c r="B120" i="24" s="1"/>
  <c r="D120" i="24" s="1"/>
  <c r="E120" i="24" s="1"/>
  <c r="F120" i="24" s="1"/>
  <c r="U118" i="24"/>
  <c r="T118" i="24" s="1"/>
  <c r="S118" i="24" s="1"/>
  <c r="R118" i="24" s="1"/>
  <c r="P118" i="24" s="1"/>
  <c r="V118" i="24" s="1"/>
  <c r="B118" i="24" s="1"/>
  <c r="W118" i="24" s="1"/>
  <c r="U116" i="24"/>
  <c r="T116" i="24" s="1"/>
  <c r="S116" i="24" s="1"/>
  <c r="R116" i="24" s="1"/>
  <c r="P116" i="24" s="1"/>
  <c r="V116" i="24" s="1"/>
  <c r="B116" i="24" s="1"/>
  <c r="U114" i="24"/>
  <c r="T114" i="24" s="1"/>
  <c r="S114" i="24" s="1"/>
  <c r="R114" i="24" s="1"/>
  <c r="P114" i="24" s="1"/>
  <c r="V114" i="24" s="1"/>
  <c r="B114" i="24" s="1"/>
  <c r="D114" i="24" s="1"/>
  <c r="E114" i="24" s="1"/>
  <c r="F114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U110" i="24"/>
  <c r="T110" i="24" s="1"/>
  <c r="S110" i="24" s="1"/>
  <c r="R110" i="24" s="1"/>
  <c r="P110" i="24" s="1"/>
  <c r="V110" i="24" s="1"/>
  <c r="B110" i="24" s="1"/>
  <c r="D110" i="24" s="1"/>
  <c r="E110" i="24" s="1"/>
  <c r="F110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06" i="24"/>
  <c r="T106" i="24" s="1"/>
  <c r="S106" i="24" s="1"/>
  <c r="R106" i="24" s="1"/>
  <c r="P106" i="24" s="1"/>
  <c r="V106" i="24" s="1"/>
  <c r="B106" i="24" s="1"/>
  <c r="D106" i="24" s="1"/>
  <c r="E106" i="24" s="1"/>
  <c r="F106" i="24" s="1"/>
  <c r="U104" i="24"/>
  <c r="T104" i="24" s="1"/>
  <c r="S104" i="24" s="1"/>
  <c r="R104" i="24" s="1"/>
  <c r="P104" i="24" s="1"/>
  <c r="V104" i="24" s="1"/>
  <c r="B104" i="24" s="1"/>
  <c r="W104" i="24" s="1"/>
  <c r="U102" i="24"/>
  <c r="T102" i="24" s="1"/>
  <c r="S102" i="24" s="1"/>
  <c r="R102" i="24" s="1"/>
  <c r="P102" i="24" s="1"/>
  <c r="V102" i="24" s="1"/>
  <c r="B102" i="24" s="1"/>
  <c r="D102" i="24" s="1"/>
  <c r="E102" i="24" s="1"/>
  <c r="F102" i="24" s="1"/>
  <c r="U100" i="24"/>
  <c r="T100" i="24" s="1"/>
  <c r="S100" i="24" s="1"/>
  <c r="R100" i="24" s="1"/>
  <c r="P100" i="24" s="1"/>
  <c r="V100" i="24" s="1"/>
  <c r="B100" i="24" s="1"/>
  <c r="U98" i="24"/>
  <c r="T98" i="24" s="1"/>
  <c r="U96" i="24"/>
  <c r="T96" i="24" s="1"/>
  <c r="S96" i="24" s="1"/>
  <c r="R96" i="24" s="1"/>
  <c r="P96" i="24" s="1"/>
  <c r="V96" i="24" s="1"/>
  <c r="B96" i="24" s="1"/>
  <c r="D96" i="24" s="1"/>
  <c r="E96" i="24" s="1"/>
  <c r="F96" i="24" s="1"/>
  <c r="U94" i="24"/>
  <c r="T94" i="24" s="1"/>
  <c r="S94" i="24" s="1"/>
  <c r="R94" i="24" s="1"/>
  <c r="P94" i="24" s="1"/>
  <c r="V94" i="24" s="1"/>
  <c r="B94" i="24" s="1"/>
  <c r="W94" i="24" s="1"/>
  <c r="U92" i="24"/>
  <c r="T92" i="24" s="1"/>
  <c r="S92" i="24" s="1"/>
  <c r="R92" i="24" s="1"/>
  <c r="P92" i="24" s="1"/>
  <c r="V92" i="24" s="1"/>
  <c r="B92" i="24" s="1"/>
  <c r="W92" i="24" s="1"/>
  <c r="U90" i="24"/>
  <c r="T90" i="24" s="1"/>
  <c r="S90" i="24" s="1"/>
  <c r="R90" i="24" s="1"/>
  <c r="P90" i="24" s="1"/>
  <c r="V90" i="24" s="1"/>
  <c r="B90" i="24" s="1"/>
  <c r="U88" i="24"/>
  <c r="T88" i="24" s="1"/>
  <c r="S88" i="24" s="1"/>
  <c r="R88" i="24" s="1"/>
  <c r="P88" i="24" s="1"/>
  <c r="U86" i="24"/>
  <c r="T86" i="24" s="1"/>
  <c r="S86" i="24" s="1"/>
  <c r="R86" i="24" s="1"/>
  <c r="P86" i="24" s="1"/>
  <c r="V86" i="24" s="1"/>
  <c r="B86" i="24" s="1"/>
  <c r="D86" i="24" s="1"/>
  <c r="E86" i="24" s="1"/>
  <c r="F86" i="24" s="1"/>
  <c r="U84" i="24"/>
  <c r="T84" i="24" s="1"/>
  <c r="S84" i="24" s="1"/>
  <c r="R84" i="24" s="1"/>
  <c r="P84" i="24" s="1"/>
  <c r="V84" i="24" s="1"/>
  <c r="B84" i="24" s="1"/>
  <c r="D84" i="24" s="1"/>
  <c r="E84" i="24" s="1"/>
  <c r="F84" i="24" s="1"/>
  <c r="U82" i="24"/>
  <c r="T82" i="24" s="1"/>
  <c r="S82" i="24" s="1"/>
  <c r="R82" i="24" s="1"/>
  <c r="P82" i="24" s="1"/>
  <c r="V82" i="24" s="1"/>
  <c r="B82" i="24" s="1"/>
  <c r="D82" i="24" s="1"/>
  <c r="E82" i="24" s="1"/>
  <c r="F82" i="24" s="1"/>
  <c r="U80" i="24"/>
  <c r="T80" i="24" s="1"/>
  <c r="S80" i="24" s="1"/>
  <c r="R80" i="24" s="1"/>
  <c r="P80" i="24" s="1"/>
  <c r="V80" i="24" s="1"/>
  <c r="B80" i="24" s="1"/>
  <c r="W80" i="24" s="1"/>
  <c r="U78" i="24"/>
  <c r="T78" i="24" s="1"/>
  <c r="S78" i="24" s="1"/>
  <c r="R78" i="24" s="1"/>
  <c r="P78" i="24" s="1"/>
  <c r="V78" i="24" s="1"/>
  <c r="B78" i="24" s="1"/>
  <c r="U76" i="24"/>
  <c r="T76" i="24" s="1"/>
  <c r="S76" i="24" s="1"/>
  <c r="R76" i="24" s="1"/>
  <c r="P76" i="24" s="1"/>
  <c r="V76" i="24" s="1"/>
  <c r="B76" i="24" s="1"/>
  <c r="U74" i="24"/>
  <c r="T74" i="24" s="1"/>
  <c r="S74" i="24" s="1"/>
  <c r="R74" i="24" s="1"/>
  <c r="P74" i="24" s="1"/>
  <c r="V74" i="24" s="1"/>
  <c r="U72" i="24"/>
  <c r="T72" i="24" s="1"/>
  <c r="S72" i="24" s="1"/>
  <c r="R72" i="24" s="1"/>
  <c r="P72" i="24" s="1"/>
  <c r="V72" i="24" s="1"/>
  <c r="B72" i="24" s="1"/>
  <c r="D72" i="24" s="1"/>
  <c r="E72" i="24" s="1"/>
  <c r="F72" i="24" s="1"/>
  <c r="U70" i="24"/>
  <c r="T70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66" i="24"/>
  <c r="T66" i="24" s="1"/>
  <c r="S66" i="24" s="1"/>
  <c r="R66" i="24" s="1"/>
  <c r="P66" i="24" s="1"/>
  <c r="V66" i="24" s="1"/>
  <c r="B66" i="24" s="1"/>
  <c r="D66" i="24" s="1"/>
  <c r="E66" i="24" s="1"/>
  <c r="F66" i="24" s="1"/>
  <c r="U64" i="24"/>
  <c r="T64" i="24" s="1"/>
  <c r="S64" i="24" s="1"/>
  <c r="R64" i="24" s="1"/>
  <c r="P64" i="24" s="1"/>
  <c r="V64" i="24" s="1"/>
  <c r="B64" i="24" s="1"/>
  <c r="U62" i="24"/>
  <c r="T62" i="24" s="1"/>
  <c r="S62" i="24" s="1"/>
  <c r="R62" i="24" s="1"/>
  <c r="P62" i="24" s="1"/>
  <c r="V62" i="24" s="1"/>
  <c r="B62" i="24" s="1"/>
  <c r="U60" i="24"/>
  <c r="T60" i="24" s="1"/>
  <c r="S60" i="24" s="1"/>
  <c r="R60" i="24" s="1"/>
  <c r="P60" i="24" s="1"/>
  <c r="AH57" i="7" s="1"/>
  <c r="U58" i="24"/>
  <c r="T58" i="24" s="1"/>
  <c r="S58" i="24" s="1"/>
  <c r="R58" i="24" s="1"/>
  <c r="P58" i="24" s="1"/>
  <c r="V58" i="24" s="1"/>
  <c r="B58" i="24" s="1"/>
  <c r="D58" i="24" s="1"/>
  <c r="E58" i="24" s="1"/>
  <c r="F58" i="24" s="1"/>
  <c r="U56" i="24"/>
  <c r="T56" i="24" s="1"/>
  <c r="S56" i="24" s="1"/>
  <c r="R56" i="24" s="1"/>
  <c r="P56" i="24" s="1"/>
  <c r="V56" i="24" s="1"/>
  <c r="B56" i="24" s="1"/>
  <c r="D56" i="24" s="1"/>
  <c r="E56" i="24" s="1"/>
  <c r="F56" i="24" s="1"/>
  <c r="U54" i="24"/>
  <c r="T54" i="24" s="1"/>
  <c r="S54" i="24" s="1"/>
  <c r="R54" i="24" s="1"/>
  <c r="P54" i="24" s="1"/>
  <c r="V54" i="24" s="1"/>
  <c r="B54" i="24" s="1"/>
  <c r="W54" i="24" s="1"/>
  <c r="U52" i="24"/>
  <c r="T52" i="24" s="1"/>
  <c r="S52" i="24" s="1"/>
  <c r="R52" i="24" s="1"/>
  <c r="P52" i="24" s="1"/>
  <c r="V52" i="24" s="1"/>
  <c r="B52" i="24" s="1"/>
  <c r="U50" i="24"/>
  <c r="T50" i="24" s="1"/>
  <c r="S50" i="24" s="1"/>
  <c r="R50" i="24" s="1"/>
  <c r="P50" i="24" s="1"/>
  <c r="V50" i="24" s="1"/>
  <c r="B50" i="24" s="1"/>
  <c r="U48" i="24"/>
  <c r="T48" i="24" s="1"/>
  <c r="S48" i="24" s="1"/>
  <c r="R48" i="24" s="1"/>
  <c r="P48" i="24" s="1"/>
  <c r="V48" i="24" s="1"/>
  <c r="B48" i="24" s="1"/>
  <c r="D48" i="24" s="1"/>
  <c r="E48" i="24" s="1"/>
  <c r="F48" i="24" s="1"/>
  <c r="U46" i="24"/>
  <c r="T46" i="24" s="1"/>
  <c r="S46" i="24" s="1"/>
  <c r="R46" i="24" s="1"/>
  <c r="P46" i="24" s="1"/>
  <c r="V46" i="24" s="1"/>
  <c r="B46" i="24" s="1"/>
  <c r="U44" i="24"/>
  <c r="T44" i="24" s="1"/>
  <c r="S44" i="24" s="1"/>
  <c r="R44" i="24" s="1"/>
  <c r="P44" i="24" s="1"/>
  <c r="V44" i="24" s="1"/>
  <c r="B44" i="24" s="1"/>
  <c r="D44" i="24" s="1"/>
  <c r="E44" i="24" s="1"/>
  <c r="F44" i="24" s="1"/>
  <c r="U42" i="24"/>
  <c r="T42" i="24" s="1"/>
  <c r="S42" i="24" s="1"/>
  <c r="R42" i="24" s="1"/>
  <c r="P42" i="24" s="1"/>
  <c r="V42" i="24" s="1"/>
  <c r="B42" i="24" s="1"/>
  <c r="D42" i="24" s="1"/>
  <c r="E42" i="24" s="1"/>
  <c r="F42" i="24" s="1"/>
  <c r="U40" i="24"/>
  <c r="T40" i="24" s="1"/>
  <c r="S40" i="24" s="1"/>
  <c r="R40" i="24" s="1"/>
  <c r="P40" i="24" s="1"/>
  <c r="V40" i="24" s="1"/>
  <c r="B40" i="24" s="1"/>
  <c r="W40" i="24" s="1"/>
  <c r="U38" i="24"/>
  <c r="T38" i="24" s="1"/>
  <c r="S38" i="24" s="1"/>
  <c r="R38" i="24" s="1"/>
  <c r="P38" i="24" s="1"/>
  <c r="V38" i="24" s="1"/>
  <c r="B38" i="24" s="1"/>
  <c r="U36" i="24"/>
  <c r="T36" i="24" s="1"/>
  <c r="S36" i="24" s="1"/>
  <c r="R36" i="24" s="1"/>
  <c r="P36" i="24" s="1"/>
  <c r="V36" i="24" s="1"/>
  <c r="B36" i="24" s="1"/>
  <c r="D36" i="24" s="1"/>
  <c r="E36" i="24" s="1"/>
  <c r="F36" i="24" s="1"/>
  <c r="U34" i="24"/>
  <c r="T34" i="24" s="1"/>
  <c r="U32" i="24"/>
  <c r="T32" i="24" s="1"/>
  <c r="S32" i="24" s="1"/>
  <c r="R32" i="24" s="1"/>
  <c r="P32" i="24" s="1"/>
  <c r="V32" i="24" s="1"/>
  <c r="B32" i="24" s="1"/>
  <c r="U30" i="24"/>
  <c r="T30" i="24" s="1"/>
  <c r="S30" i="24" s="1"/>
  <c r="R30" i="24" s="1"/>
  <c r="P30" i="24" s="1"/>
  <c r="V30" i="24" s="1"/>
  <c r="B30" i="24" s="1"/>
  <c r="U28" i="24"/>
  <c r="T28" i="24" s="1"/>
  <c r="S28" i="24" s="1"/>
  <c r="R28" i="24" s="1"/>
  <c r="P28" i="24" s="1"/>
  <c r="V28" i="24" s="1"/>
  <c r="B28" i="24" s="1"/>
  <c r="U26" i="24"/>
  <c r="T26" i="24" s="1"/>
  <c r="S26" i="24" s="1"/>
  <c r="R26" i="24" s="1"/>
  <c r="P26" i="24" s="1"/>
  <c r="V26" i="24" s="1"/>
  <c r="B26" i="24" s="1"/>
  <c r="D26" i="24" s="1"/>
  <c r="E26" i="24" s="1"/>
  <c r="F26" i="24" s="1"/>
  <c r="U25" i="24"/>
  <c r="T25" i="24" s="1"/>
  <c r="S25" i="24" s="1"/>
  <c r="R25" i="24" s="1"/>
  <c r="P25" i="24" s="1"/>
  <c r="V25" i="24" s="1"/>
  <c r="B25" i="24" s="1"/>
  <c r="W25" i="24" s="1"/>
  <c r="U17" i="24"/>
  <c r="T17" i="24" s="1"/>
  <c r="S17" i="24" s="1"/>
  <c r="R17" i="24" s="1"/>
  <c r="P17" i="24" s="1"/>
  <c r="V17" i="24" s="1"/>
  <c r="B17" i="24" s="1"/>
  <c r="W17" i="24" s="1"/>
  <c r="U15" i="24"/>
  <c r="T15" i="24" s="1"/>
  <c r="U23" i="24"/>
  <c r="T23" i="24" s="1"/>
  <c r="S23" i="24" s="1"/>
  <c r="R23" i="24" s="1"/>
  <c r="P23" i="24" s="1"/>
  <c r="V23" i="24" s="1"/>
  <c r="B23" i="24" s="1"/>
  <c r="W23" i="24" s="1"/>
  <c r="U22" i="24"/>
  <c r="T22" i="24" s="1"/>
  <c r="S22" i="24" s="1"/>
  <c r="R22" i="24" s="1"/>
  <c r="P22" i="24" s="1"/>
  <c r="V22" i="24" s="1"/>
  <c r="B22" i="24" s="1"/>
  <c r="D22" i="24" s="1"/>
  <c r="E22" i="24" s="1"/>
  <c r="F22" i="24" s="1"/>
  <c r="U20" i="24"/>
  <c r="T20" i="24" s="1"/>
  <c r="S20" i="24" s="1"/>
  <c r="R20" i="24" s="1"/>
  <c r="P20" i="24" s="1"/>
  <c r="V20" i="24" s="1"/>
  <c r="B20" i="24" s="1"/>
  <c r="D20" i="24" s="1"/>
  <c r="E20" i="24" s="1"/>
  <c r="F20" i="24" s="1"/>
  <c r="AI374" i="24"/>
  <c r="AH374" i="24" s="1"/>
  <c r="AG374" i="24" s="1"/>
  <c r="AF374" i="24" s="1"/>
  <c r="AD374" i="24" s="1"/>
  <c r="AI366" i="24"/>
  <c r="AH366" i="24" s="1"/>
  <c r="AG366" i="24" s="1"/>
  <c r="AF366" i="24" s="1"/>
  <c r="AD366" i="24" s="1"/>
  <c r="AI358" i="24"/>
  <c r="AH358" i="24" s="1"/>
  <c r="AG358" i="24" s="1"/>
  <c r="AF358" i="24" s="1"/>
  <c r="AD358" i="24" s="1"/>
  <c r="AI345" i="24"/>
  <c r="AH345" i="24" s="1"/>
  <c r="AG345" i="24" s="1"/>
  <c r="AF345" i="24" s="1"/>
  <c r="AD345" i="24" s="1"/>
  <c r="AI329" i="24"/>
  <c r="AH329" i="24" s="1"/>
  <c r="AG329" i="24" s="1"/>
  <c r="AF329" i="24" s="1"/>
  <c r="AD329" i="24" s="1"/>
  <c r="AI313" i="24"/>
  <c r="AH313" i="24" s="1"/>
  <c r="AG313" i="24" s="1"/>
  <c r="AF313" i="24" s="1"/>
  <c r="AD313" i="24" s="1"/>
  <c r="AI297" i="24"/>
  <c r="AH297" i="24" s="1"/>
  <c r="AG297" i="24" s="1"/>
  <c r="AF297" i="24" s="1"/>
  <c r="AD297" i="24" s="1"/>
  <c r="AI281" i="24"/>
  <c r="AH281" i="24" s="1"/>
  <c r="AG281" i="24" s="1"/>
  <c r="AF281" i="24" s="1"/>
  <c r="AD281" i="24" s="1"/>
  <c r="AI265" i="24"/>
  <c r="AH265" i="24" s="1"/>
  <c r="AG265" i="24" s="1"/>
  <c r="AF265" i="24" s="1"/>
  <c r="AD265" i="24" s="1"/>
  <c r="AI249" i="24"/>
  <c r="AH249" i="24" s="1"/>
  <c r="AG249" i="24" s="1"/>
  <c r="AF249" i="24" s="1"/>
  <c r="AD249" i="24" s="1"/>
  <c r="AI233" i="24"/>
  <c r="AH233" i="24" s="1"/>
  <c r="AG233" i="24" s="1"/>
  <c r="AF233" i="24" s="1"/>
  <c r="AD233" i="24" s="1"/>
  <c r="AI217" i="24"/>
  <c r="AH217" i="24" s="1"/>
  <c r="AG217" i="24" s="1"/>
  <c r="AF217" i="24" s="1"/>
  <c r="AD217" i="24" s="1"/>
  <c r="AI201" i="24"/>
  <c r="AH201" i="24" s="1"/>
  <c r="AG201" i="24" s="1"/>
  <c r="AF201" i="24" s="1"/>
  <c r="AD201" i="24" s="1"/>
  <c r="AI185" i="24"/>
  <c r="AH185" i="24" s="1"/>
  <c r="AG185" i="24" s="1"/>
  <c r="AF185" i="24" s="1"/>
  <c r="AD185" i="24" s="1"/>
  <c r="AI169" i="24"/>
  <c r="AH169" i="24" s="1"/>
  <c r="AG169" i="24" s="1"/>
  <c r="AF169" i="24" s="1"/>
  <c r="AD169" i="24" s="1"/>
  <c r="AI153" i="24"/>
  <c r="AH153" i="24" s="1"/>
  <c r="AG153" i="24" s="1"/>
  <c r="AF153" i="24" s="1"/>
  <c r="AD153" i="24" s="1"/>
  <c r="AI137" i="24"/>
  <c r="AH137" i="24" s="1"/>
  <c r="AG137" i="24" s="1"/>
  <c r="AF137" i="24" s="1"/>
  <c r="AD137" i="24" s="1"/>
  <c r="AI121" i="24"/>
  <c r="AH121" i="24" s="1"/>
  <c r="AG121" i="24" s="1"/>
  <c r="AF121" i="24" s="1"/>
  <c r="AD121" i="24" s="1"/>
  <c r="AI105" i="24"/>
  <c r="AH105" i="24" s="1"/>
  <c r="AG105" i="24" s="1"/>
  <c r="AF105" i="24" s="1"/>
  <c r="AD105" i="24" s="1"/>
  <c r="AI89" i="24"/>
  <c r="AH89" i="24" s="1"/>
  <c r="AG89" i="24" s="1"/>
  <c r="AF89" i="24" s="1"/>
  <c r="AD89" i="24" s="1"/>
  <c r="AI73" i="24"/>
  <c r="AH73" i="24" s="1"/>
  <c r="AG73" i="24" s="1"/>
  <c r="AF73" i="24" s="1"/>
  <c r="AD73" i="24" s="1"/>
  <c r="AI57" i="24"/>
  <c r="AH57" i="24" s="1"/>
  <c r="AG57" i="24" s="1"/>
  <c r="AF57" i="24" s="1"/>
  <c r="AD57" i="24" s="1"/>
  <c r="AI41" i="24"/>
  <c r="AH41" i="24" s="1"/>
  <c r="AG41" i="24" s="1"/>
  <c r="AF41" i="24" s="1"/>
  <c r="AD41" i="24" s="1"/>
  <c r="AI25" i="24"/>
  <c r="AH25" i="24" s="1"/>
  <c r="AG25" i="24" s="1"/>
  <c r="AF25" i="24" s="1"/>
  <c r="AD25" i="24" s="1"/>
  <c r="H208" i="23"/>
  <c r="J208" i="23" s="1"/>
  <c r="G299" i="23"/>
  <c r="CD299" i="6" s="1"/>
  <c r="H86" i="23"/>
  <c r="I86" i="23" s="1"/>
  <c r="H376" i="23"/>
  <c r="I376" i="23" s="1"/>
  <c r="AA214" i="23"/>
  <c r="Z214" i="23" s="1"/>
  <c r="Y214" i="23" s="1"/>
  <c r="H153" i="23"/>
  <c r="J153" i="23" s="1"/>
  <c r="D88" i="23"/>
  <c r="E88" i="23" s="1"/>
  <c r="F88" i="23" s="1"/>
  <c r="AA88" i="23" s="1"/>
  <c r="Z88" i="23" s="1"/>
  <c r="Y88" i="23" s="1"/>
  <c r="G214" i="23"/>
  <c r="CD214" i="6" s="1"/>
  <c r="Q378" i="25"/>
  <c r="Q347" i="25"/>
  <c r="Q283" i="25"/>
  <c r="Q219" i="25"/>
  <c r="Q155" i="25"/>
  <c r="Q91" i="25"/>
  <c r="G257" i="23"/>
  <c r="CD257" i="6" s="1"/>
  <c r="AA84" i="23"/>
  <c r="Z84" i="23" s="1"/>
  <c r="Y84" i="23" s="1"/>
  <c r="G118" i="23"/>
  <c r="CD118" i="6" s="1"/>
  <c r="H84" i="23"/>
  <c r="J84" i="23" s="1"/>
  <c r="H337" i="23"/>
  <c r="I337" i="23" s="1"/>
  <c r="G198" i="23"/>
  <c r="CD198" i="6" s="1"/>
  <c r="AA26" i="23"/>
  <c r="Z26" i="23" s="1"/>
  <c r="Y26" i="23" s="1"/>
  <c r="H118" i="23"/>
  <c r="I118" i="23" s="1"/>
  <c r="G337" i="23"/>
  <c r="CD337" i="6" s="1"/>
  <c r="H26" i="23"/>
  <c r="J26" i="23" s="1"/>
  <c r="H286" i="23"/>
  <c r="J286" i="23" s="1"/>
  <c r="W302" i="23"/>
  <c r="H113" i="23"/>
  <c r="I113" i="23" s="1"/>
  <c r="G183" i="23"/>
  <c r="CD183" i="6" s="1"/>
  <c r="AA286" i="23"/>
  <c r="Z286" i="23" s="1"/>
  <c r="Y286" i="23" s="1"/>
  <c r="H198" i="23"/>
  <c r="I198" i="23" s="1"/>
  <c r="K68" i="19"/>
  <c r="AA376" i="23"/>
  <c r="Z376" i="23" s="1"/>
  <c r="Y376" i="23" s="1"/>
  <c r="AA51" i="23"/>
  <c r="Z51" i="23" s="1"/>
  <c r="Y51" i="23" s="1"/>
  <c r="G27" i="23"/>
  <c r="CD27" i="6" s="1"/>
  <c r="H51" i="23"/>
  <c r="I51" i="23" s="1"/>
  <c r="AA299" i="23"/>
  <c r="Z299" i="23" s="1"/>
  <c r="Y299" i="23" s="1"/>
  <c r="G251" i="23"/>
  <c r="CD251" i="6" s="1"/>
  <c r="H270" i="23"/>
  <c r="I270" i="23" s="1"/>
  <c r="AA153" i="23"/>
  <c r="Z153" i="23" s="1"/>
  <c r="Y153" i="23" s="1"/>
  <c r="H251" i="23"/>
  <c r="I251" i="23" s="1"/>
  <c r="H27" i="23"/>
  <c r="I27" i="23" s="1"/>
  <c r="G270" i="23"/>
  <c r="CD270" i="6" s="1"/>
  <c r="G295" i="23"/>
  <c r="CD295" i="6" s="1"/>
  <c r="AA183" i="23"/>
  <c r="Z183" i="23" s="1"/>
  <c r="Y183" i="23" s="1"/>
  <c r="H143" i="23"/>
  <c r="I143" i="23" s="1"/>
  <c r="AA143" i="23"/>
  <c r="Z143" i="23" s="1"/>
  <c r="Y143" i="23" s="1"/>
  <c r="H295" i="23"/>
  <c r="J295" i="23" s="1"/>
  <c r="Q374" i="25"/>
  <c r="Q360" i="25"/>
  <c r="Q331" i="25"/>
  <c r="Q299" i="25"/>
  <c r="Q267" i="25"/>
  <c r="Q235" i="25"/>
  <c r="Q203" i="25"/>
  <c r="Q171" i="25"/>
  <c r="Q139" i="25"/>
  <c r="Q107" i="25"/>
  <c r="Q73" i="25"/>
  <c r="V379" i="23"/>
  <c r="B379" i="23" s="1"/>
  <c r="W379" i="23" s="1"/>
  <c r="D42" i="19"/>
  <c r="Q376" i="25"/>
  <c r="Q372" i="25"/>
  <c r="Q364" i="25"/>
  <c r="Q355" i="25"/>
  <c r="Q339" i="25"/>
  <c r="Q323" i="25"/>
  <c r="Q307" i="25"/>
  <c r="Q291" i="25"/>
  <c r="Q275" i="25"/>
  <c r="Q259" i="25"/>
  <c r="Q243" i="25"/>
  <c r="Q227" i="25"/>
  <c r="Q211" i="25"/>
  <c r="Q195" i="25"/>
  <c r="Q179" i="25"/>
  <c r="Q163" i="25"/>
  <c r="Q147" i="25"/>
  <c r="Q131" i="25"/>
  <c r="Q115" i="25"/>
  <c r="Q99" i="25"/>
  <c r="Q83" i="25"/>
  <c r="Q49" i="25"/>
  <c r="C15" i="19"/>
  <c r="F39" i="19"/>
  <c r="AE11" i="25"/>
  <c r="Q379" i="25"/>
  <c r="Q377" i="25"/>
  <c r="Q375" i="25"/>
  <c r="Q373" i="25"/>
  <c r="Q370" i="25"/>
  <c r="Q366" i="25"/>
  <c r="Q362" i="25"/>
  <c r="Q358" i="25"/>
  <c r="Q351" i="25"/>
  <c r="Q343" i="25"/>
  <c r="Q335" i="25"/>
  <c r="Q327" i="25"/>
  <c r="Q319" i="25"/>
  <c r="Q311" i="25"/>
  <c r="Q303" i="25"/>
  <c r="Q295" i="25"/>
  <c r="Q287" i="25"/>
  <c r="Q279" i="25"/>
  <c r="Q271" i="25"/>
  <c r="Q263" i="25"/>
  <c r="Q255" i="25"/>
  <c r="Q247" i="25"/>
  <c r="Q239" i="25"/>
  <c r="Q231" i="25"/>
  <c r="Q223" i="25"/>
  <c r="Q215" i="25"/>
  <c r="Q207" i="25"/>
  <c r="Q199" i="25"/>
  <c r="Q191" i="25"/>
  <c r="Q183" i="25"/>
  <c r="Q175" i="25"/>
  <c r="Q167" i="25"/>
  <c r="Q159" i="25"/>
  <c r="Q151" i="25"/>
  <c r="Q143" i="25"/>
  <c r="Q135" i="25"/>
  <c r="Q127" i="25"/>
  <c r="Q119" i="25"/>
  <c r="Q111" i="25"/>
  <c r="Q103" i="25"/>
  <c r="Q95" i="25"/>
  <c r="Q87" i="25"/>
  <c r="Q79" i="25"/>
  <c r="Q65" i="25"/>
  <c r="Q33" i="25"/>
  <c r="AA101" i="23"/>
  <c r="Z101" i="23" s="1"/>
  <c r="Y101" i="23" s="1"/>
  <c r="AA113" i="23"/>
  <c r="Z113" i="23" s="1"/>
  <c r="Y113" i="23" s="1"/>
  <c r="H101" i="23"/>
  <c r="I101" i="23" s="1"/>
  <c r="AA66" i="23"/>
  <c r="Z66" i="23" s="1"/>
  <c r="Y66" i="23" s="1"/>
  <c r="H66" i="23"/>
  <c r="I66" i="23" s="1"/>
  <c r="AJ8" i="20"/>
  <c r="AJ7" i="20"/>
  <c r="AJ13" i="18"/>
  <c r="AA320" i="23"/>
  <c r="Z320" i="23" s="1"/>
  <c r="Y320" i="23" s="1"/>
  <c r="H320" i="23"/>
  <c r="I320" i="23" s="1"/>
  <c r="L68" i="19"/>
  <c r="D135" i="23"/>
  <c r="E135" i="23" s="1"/>
  <c r="F135" i="23" s="1"/>
  <c r="AA135" i="23" s="1"/>
  <c r="Z135" i="23" s="1"/>
  <c r="Y135" i="23" s="1"/>
  <c r="Q57" i="25"/>
  <c r="Q41" i="25"/>
  <c r="Q18" i="25"/>
  <c r="Q16" i="25"/>
  <c r="Q29" i="25"/>
  <c r="Q37" i="25"/>
  <c r="Q45" i="25"/>
  <c r="Q53" i="25"/>
  <c r="Q61" i="25"/>
  <c r="Q69" i="25"/>
  <c r="Q77" i="25"/>
  <c r="Q81" i="25"/>
  <c r="Q85" i="25"/>
  <c r="Q89" i="25"/>
  <c r="Q93" i="25"/>
  <c r="Q97" i="25"/>
  <c r="Q101" i="25"/>
  <c r="Q105" i="25"/>
  <c r="Q109" i="25"/>
  <c r="Q113" i="25"/>
  <c r="Q117" i="25"/>
  <c r="Q121" i="25"/>
  <c r="Q125" i="25"/>
  <c r="Q129" i="25"/>
  <c r="Q133" i="25"/>
  <c r="Q137" i="25"/>
  <c r="Q141" i="25"/>
  <c r="Q145" i="25"/>
  <c r="Q149" i="25"/>
  <c r="Q153" i="25"/>
  <c r="Q157" i="25"/>
  <c r="Q161" i="25"/>
  <c r="Q165" i="25"/>
  <c r="Q169" i="25"/>
  <c r="Q173" i="25"/>
  <c r="Q177" i="25"/>
  <c r="Q181" i="25"/>
  <c r="Q185" i="25"/>
  <c r="Q189" i="25"/>
  <c r="Q193" i="25"/>
  <c r="Q197" i="25"/>
  <c r="Q201" i="25"/>
  <c r="Q205" i="25"/>
  <c r="Q209" i="25"/>
  <c r="Q213" i="25"/>
  <c r="Q217" i="25"/>
  <c r="Q221" i="25"/>
  <c r="Q225" i="25"/>
  <c r="Q229" i="25"/>
  <c r="Q233" i="25"/>
  <c r="Q237" i="25"/>
  <c r="Q241" i="25"/>
  <c r="Q245" i="25"/>
  <c r="Q249" i="25"/>
  <c r="Q253" i="25"/>
  <c r="Q257" i="25"/>
  <c r="Q261" i="25"/>
  <c r="Q265" i="25"/>
  <c r="Q269" i="25"/>
  <c r="Q273" i="25"/>
  <c r="Q277" i="25"/>
  <c r="Q281" i="25"/>
  <c r="Q285" i="25"/>
  <c r="Q289" i="25"/>
  <c r="Q293" i="25"/>
  <c r="Q297" i="25"/>
  <c r="Q301" i="25"/>
  <c r="Q305" i="25"/>
  <c r="Q309" i="25"/>
  <c r="Q313" i="25"/>
  <c r="Q317" i="25"/>
  <c r="Q321" i="25"/>
  <c r="Q325" i="25"/>
  <c r="Q329" i="25"/>
  <c r="Q333" i="25"/>
  <c r="Q337" i="25"/>
  <c r="Q341" i="25"/>
  <c r="Q345" i="25"/>
  <c r="Q349" i="25"/>
  <c r="Q353" i="25"/>
  <c r="Q357" i="25"/>
  <c r="Q359" i="25"/>
  <c r="Q361" i="25"/>
  <c r="Q363" i="25"/>
  <c r="Q365" i="25"/>
  <c r="Q367" i="25"/>
  <c r="Q369" i="25"/>
  <c r="Q371" i="25"/>
  <c r="C68" i="19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0" i="25"/>
  <c r="Q19" i="25"/>
  <c r="Q17" i="25"/>
  <c r="G68" i="19"/>
  <c r="E68" i="19"/>
  <c r="I68" i="19"/>
  <c r="J68" i="19"/>
  <c r="H68" i="19"/>
  <c r="F68" i="19"/>
  <c r="J118" i="23"/>
  <c r="J268" i="23"/>
  <c r="I268" i="23"/>
  <c r="I208" i="23"/>
  <c r="I136" i="23"/>
  <c r="J136" i="23"/>
  <c r="I368" i="23"/>
  <c r="J368" i="23"/>
  <c r="J238" i="23"/>
  <c r="I238" i="23"/>
  <c r="I230" i="23"/>
  <c r="J230" i="23"/>
  <c r="I297" i="23"/>
  <c r="J297" i="23"/>
  <c r="J59" i="23"/>
  <c r="I59" i="23"/>
  <c r="I242" i="23"/>
  <c r="J242" i="23"/>
  <c r="J364" i="23"/>
  <c r="I364" i="23"/>
  <c r="I124" i="23"/>
  <c r="J124" i="23"/>
  <c r="I166" i="22"/>
  <c r="J166" i="22"/>
  <c r="G373" i="23"/>
  <c r="CD373" i="6" s="1"/>
  <c r="AA373" i="23"/>
  <c r="Z373" i="23" s="1"/>
  <c r="Y373" i="23" s="1"/>
  <c r="H373" i="23"/>
  <c r="AA369" i="23"/>
  <c r="Z369" i="23" s="1"/>
  <c r="Y369" i="23" s="1"/>
  <c r="G369" i="23"/>
  <c r="CD369" i="6" s="1"/>
  <c r="H369" i="23"/>
  <c r="AA361" i="23"/>
  <c r="Z361" i="23" s="1"/>
  <c r="Y361" i="23" s="1"/>
  <c r="G361" i="23"/>
  <c r="CD361" i="6" s="1"/>
  <c r="H361" i="23"/>
  <c r="AA359" i="23"/>
  <c r="Z359" i="23" s="1"/>
  <c r="Y359" i="23" s="1"/>
  <c r="G359" i="23"/>
  <c r="CD359" i="6" s="1"/>
  <c r="H359" i="23"/>
  <c r="G357" i="23"/>
  <c r="CD357" i="6" s="1"/>
  <c r="AA357" i="23"/>
  <c r="Z357" i="23" s="1"/>
  <c r="Y357" i="23" s="1"/>
  <c r="H357" i="23"/>
  <c r="G351" i="23"/>
  <c r="CD351" i="6" s="1"/>
  <c r="H351" i="23"/>
  <c r="AA351" i="23"/>
  <c r="Z351" i="23" s="1"/>
  <c r="Y351" i="23" s="1"/>
  <c r="G347" i="23"/>
  <c r="CD347" i="6" s="1"/>
  <c r="H347" i="23"/>
  <c r="AA347" i="23"/>
  <c r="Z347" i="23" s="1"/>
  <c r="Y347" i="23" s="1"/>
  <c r="G341" i="23"/>
  <c r="CD341" i="6" s="1"/>
  <c r="H341" i="23"/>
  <c r="AA341" i="23"/>
  <c r="Z341" i="23" s="1"/>
  <c r="Y341" i="23" s="1"/>
  <c r="AA339" i="23"/>
  <c r="Z339" i="23" s="1"/>
  <c r="Y339" i="23" s="1"/>
  <c r="H339" i="23"/>
  <c r="G339" i="23"/>
  <c r="CD339" i="6" s="1"/>
  <c r="J335" i="23"/>
  <c r="AA331" i="23"/>
  <c r="Z331" i="23" s="1"/>
  <c r="Y331" i="23" s="1"/>
  <c r="H331" i="23"/>
  <c r="G331" i="23"/>
  <c r="CD331" i="6" s="1"/>
  <c r="G327" i="23"/>
  <c r="CD327" i="6" s="1"/>
  <c r="AA327" i="23"/>
  <c r="Z327" i="23" s="1"/>
  <c r="Y327" i="23" s="1"/>
  <c r="H327" i="23"/>
  <c r="AA323" i="23"/>
  <c r="Z323" i="23" s="1"/>
  <c r="Y323" i="23" s="1"/>
  <c r="G323" i="23"/>
  <c r="CD323" i="6" s="1"/>
  <c r="H323" i="23"/>
  <c r="W319" i="23"/>
  <c r="D319" i="23"/>
  <c r="E319" i="23" s="1"/>
  <c r="F319" i="23" s="1"/>
  <c r="G309" i="23"/>
  <c r="CD309" i="6" s="1"/>
  <c r="AA309" i="23"/>
  <c r="Z309" i="23" s="1"/>
  <c r="Y309" i="23" s="1"/>
  <c r="H309" i="23"/>
  <c r="G305" i="23"/>
  <c r="CD305" i="6" s="1"/>
  <c r="H305" i="23"/>
  <c r="AA305" i="23"/>
  <c r="Z305" i="23" s="1"/>
  <c r="Y305" i="23" s="1"/>
  <c r="G303" i="23"/>
  <c r="CD303" i="6" s="1"/>
  <c r="H303" i="23"/>
  <c r="AA303" i="23"/>
  <c r="Z303" i="23" s="1"/>
  <c r="Y303" i="23" s="1"/>
  <c r="AA275" i="23"/>
  <c r="Z275" i="23" s="1"/>
  <c r="Y275" i="23" s="1"/>
  <c r="H275" i="23"/>
  <c r="G275" i="23"/>
  <c r="CD275" i="6" s="1"/>
  <c r="AA273" i="23"/>
  <c r="Z273" i="23" s="1"/>
  <c r="Y273" i="23" s="1"/>
  <c r="G273" i="23"/>
  <c r="CD273" i="6" s="1"/>
  <c r="H273" i="23"/>
  <c r="G263" i="23"/>
  <c r="CD263" i="6" s="1"/>
  <c r="H263" i="23"/>
  <c r="AA263" i="23"/>
  <c r="Z263" i="23" s="1"/>
  <c r="Y263" i="23" s="1"/>
  <c r="G259" i="23"/>
  <c r="CD259" i="6" s="1"/>
  <c r="AA259" i="23"/>
  <c r="Z259" i="23" s="1"/>
  <c r="Y259" i="23" s="1"/>
  <c r="H259" i="23"/>
  <c r="G255" i="23"/>
  <c r="CD255" i="6" s="1"/>
  <c r="AA255" i="23"/>
  <c r="Z255" i="23" s="1"/>
  <c r="Y255" i="23" s="1"/>
  <c r="H255" i="23"/>
  <c r="AA243" i="23"/>
  <c r="Z243" i="23" s="1"/>
  <c r="Y243" i="23" s="1"/>
  <c r="H243" i="23"/>
  <c r="G243" i="23"/>
  <c r="CD243" i="6" s="1"/>
  <c r="D241" i="23"/>
  <c r="E241" i="23" s="1"/>
  <c r="F241" i="23" s="1"/>
  <c r="W241" i="23"/>
  <c r="G237" i="23"/>
  <c r="CD237" i="6" s="1"/>
  <c r="H237" i="23"/>
  <c r="AA237" i="23"/>
  <c r="Z237" i="23" s="1"/>
  <c r="Y237" i="23" s="1"/>
  <c r="G223" i="23"/>
  <c r="CD223" i="6" s="1"/>
  <c r="H223" i="23"/>
  <c r="AA223" i="23"/>
  <c r="Z223" i="23" s="1"/>
  <c r="Y223" i="23" s="1"/>
  <c r="AA219" i="23"/>
  <c r="Z219" i="23" s="1"/>
  <c r="Y219" i="23" s="1"/>
  <c r="H219" i="23"/>
  <c r="G219" i="23"/>
  <c r="CD219" i="6" s="1"/>
  <c r="G213" i="23"/>
  <c r="CD213" i="6" s="1"/>
  <c r="AA213" i="23"/>
  <c r="Z213" i="23" s="1"/>
  <c r="Y213" i="23" s="1"/>
  <c r="H213" i="23"/>
  <c r="G205" i="23"/>
  <c r="CD205" i="6" s="1"/>
  <c r="AA205" i="23"/>
  <c r="Z205" i="23" s="1"/>
  <c r="Y205" i="23" s="1"/>
  <c r="H205" i="23"/>
  <c r="AA201" i="23"/>
  <c r="Z201" i="23" s="1"/>
  <c r="Y201" i="23" s="1"/>
  <c r="G201" i="23"/>
  <c r="CD201" i="6" s="1"/>
  <c r="H201" i="23"/>
  <c r="G199" i="23"/>
  <c r="CD199" i="6" s="1"/>
  <c r="AA199" i="23"/>
  <c r="Z199" i="23" s="1"/>
  <c r="Y199" i="23" s="1"/>
  <c r="H199" i="23"/>
  <c r="G197" i="23"/>
  <c r="CD197" i="6" s="1"/>
  <c r="H197" i="23"/>
  <c r="AA197" i="23"/>
  <c r="Z197" i="23" s="1"/>
  <c r="Y197" i="23" s="1"/>
  <c r="J195" i="23"/>
  <c r="I195" i="23"/>
  <c r="AA191" i="23"/>
  <c r="Z191" i="23" s="1"/>
  <c r="Y191" i="23" s="1"/>
  <c r="H191" i="23"/>
  <c r="G191" i="23"/>
  <c r="CD191" i="6" s="1"/>
  <c r="J183" i="23"/>
  <c r="I183" i="23"/>
  <c r="G181" i="23"/>
  <c r="CD181" i="6" s="1"/>
  <c r="AA181" i="23"/>
  <c r="Z181" i="23" s="1"/>
  <c r="Y181" i="23" s="1"/>
  <c r="H181" i="23"/>
  <c r="G175" i="23"/>
  <c r="CD175" i="6" s="1"/>
  <c r="AA175" i="23"/>
  <c r="Z175" i="23" s="1"/>
  <c r="Y175" i="23" s="1"/>
  <c r="H175" i="23"/>
  <c r="G171" i="23"/>
  <c r="CD171" i="6" s="1"/>
  <c r="H171" i="23"/>
  <c r="AA171" i="23"/>
  <c r="Z171" i="23" s="1"/>
  <c r="Y171" i="23" s="1"/>
  <c r="AA151" i="23"/>
  <c r="Z151" i="23" s="1"/>
  <c r="Y151" i="23" s="1"/>
  <c r="G151" i="23"/>
  <c r="CD151" i="6" s="1"/>
  <c r="H151" i="23"/>
  <c r="D149" i="23"/>
  <c r="E149" i="23" s="1"/>
  <c r="F149" i="23" s="1"/>
  <c r="W149" i="23"/>
  <c r="AA133" i="23"/>
  <c r="Z133" i="23" s="1"/>
  <c r="Y133" i="23" s="1"/>
  <c r="H133" i="23"/>
  <c r="G133" i="23"/>
  <c r="CD133" i="6" s="1"/>
  <c r="G129" i="23"/>
  <c r="CD129" i="6" s="1"/>
  <c r="AA129" i="23"/>
  <c r="Z129" i="23" s="1"/>
  <c r="Y129" i="23" s="1"/>
  <c r="H129" i="23"/>
  <c r="G127" i="23"/>
  <c r="CD127" i="6" s="1"/>
  <c r="H127" i="23"/>
  <c r="AA127" i="23"/>
  <c r="Z127" i="23" s="1"/>
  <c r="Y127" i="23" s="1"/>
  <c r="G125" i="23"/>
  <c r="CD125" i="6" s="1"/>
  <c r="H125" i="23"/>
  <c r="AA125" i="23"/>
  <c r="Z125" i="23" s="1"/>
  <c r="Y125" i="23" s="1"/>
  <c r="AA111" i="23"/>
  <c r="Z111" i="23" s="1"/>
  <c r="Y111" i="23" s="1"/>
  <c r="H111" i="23"/>
  <c r="G111" i="23"/>
  <c r="CD111" i="6" s="1"/>
  <c r="AA109" i="23"/>
  <c r="Z109" i="23" s="1"/>
  <c r="Y109" i="23" s="1"/>
  <c r="G109" i="23"/>
  <c r="CD109" i="6" s="1"/>
  <c r="H109" i="23"/>
  <c r="AA99" i="23"/>
  <c r="Z99" i="23" s="1"/>
  <c r="Y99" i="23" s="1"/>
  <c r="H99" i="23"/>
  <c r="G99" i="23"/>
  <c r="CD99" i="6" s="1"/>
  <c r="G87" i="23"/>
  <c r="CD87" i="6" s="1"/>
  <c r="AA87" i="23"/>
  <c r="Z87" i="23" s="1"/>
  <c r="Y87" i="23" s="1"/>
  <c r="H87" i="23"/>
  <c r="G65" i="23"/>
  <c r="CD65" i="6" s="1"/>
  <c r="H65" i="23"/>
  <c r="AA65" i="23"/>
  <c r="Z65" i="23" s="1"/>
  <c r="Y65" i="23" s="1"/>
  <c r="AA63" i="23"/>
  <c r="Z63" i="23" s="1"/>
  <c r="Y63" i="23" s="1"/>
  <c r="G63" i="23"/>
  <c r="CD63" i="6" s="1"/>
  <c r="H63" i="23"/>
  <c r="AA61" i="23"/>
  <c r="Z61" i="23" s="1"/>
  <c r="Y61" i="23" s="1"/>
  <c r="H61" i="23"/>
  <c r="G61" i="23"/>
  <c r="CD61" i="6" s="1"/>
  <c r="G57" i="23"/>
  <c r="CD57" i="6" s="1"/>
  <c r="H57" i="23"/>
  <c r="AA57" i="23"/>
  <c r="Z57" i="23" s="1"/>
  <c r="Y57" i="23" s="1"/>
  <c r="G43" i="23"/>
  <c r="CD43" i="6" s="1"/>
  <c r="AA43" i="23"/>
  <c r="Z43" i="23" s="1"/>
  <c r="Y43" i="23" s="1"/>
  <c r="H43" i="23"/>
  <c r="AA35" i="23"/>
  <c r="Z35" i="23" s="1"/>
  <c r="Y35" i="23" s="1"/>
  <c r="G35" i="23"/>
  <c r="CD35" i="6" s="1"/>
  <c r="H35" i="23"/>
  <c r="G33" i="23"/>
  <c r="CD33" i="6" s="1"/>
  <c r="H33" i="23"/>
  <c r="AA33" i="23"/>
  <c r="Z33" i="23" s="1"/>
  <c r="Y33" i="23" s="1"/>
  <c r="D29" i="23"/>
  <c r="E29" i="23" s="1"/>
  <c r="F29" i="23" s="1"/>
  <c r="W29" i="23"/>
  <c r="H22" i="23"/>
  <c r="G22" i="23"/>
  <c r="CD22" i="6" s="1"/>
  <c r="AA22" i="23"/>
  <c r="Z22" i="23" s="1"/>
  <c r="Y22" i="23" s="1"/>
  <c r="J196" i="22"/>
  <c r="I196" i="22"/>
  <c r="H196" i="23" s="1"/>
  <c r="AA196" i="23"/>
  <c r="Z196" i="23" s="1"/>
  <c r="Y196" i="23" s="1"/>
  <c r="G196" i="23"/>
  <c r="CD196" i="6" s="1"/>
  <c r="AA349" i="23"/>
  <c r="Z349" i="23" s="1"/>
  <c r="Y349" i="23" s="1"/>
  <c r="G349" i="23"/>
  <c r="CD349" i="6" s="1"/>
  <c r="I135" i="22"/>
  <c r="J135" i="22"/>
  <c r="W227" i="24"/>
  <c r="D227" i="24"/>
  <c r="E227" i="24" s="1"/>
  <c r="F227" i="24" s="1"/>
  <c r="AA374" i="23"/>
  <c r="Z374" i="23" s="1"/>
  <c r="Y374" i="23" s="1"/>
  <c r="H374" i="23"/>
  <c r="G374" i="23"/>
  <c r="CD374" i="6" s="1"/>
  <c r="AA350" i="23"/>
  <c r="Z350" i="23" s="1"/>
  <c r="Y350" i="23" s="1"/>
  <c r="H350" i="23"/>
  <c r="G350" i="23"/>
  <c r="CD350" i="6" s="1"/>
  <c r="G306" i="23"/>
  <c r="CD306" i="6" s="1"/>
  <c r="AA306" i="23"/>
  <c r="Z306" i="23" s="1"/>
  <c r="Y306" i="23" s="1"/>
  <c r="H306" i="23"/>
  <c r="AA298" i="23"/>
  <c r="Z298" i="23" s="1"/>
  <c r="Y298" i="23" s="1"/>
  <c r="H298" i="23"/>
  <c r="G298" i="23"/>
  <c r="CD298" i="6" s="1"/>
  <c r="AA278" i="23"/>
  <c r="Z278" i="23" s="1"/>
  <c r="Y278" i="23" s="1"/>
  <c r="H278" i="23"/>
  <c r="G278" i="23"/>
  <c r="CD278" i="6" s="1"/>
  <c r="D272" i="23"/>
  <c r="E272" i="23" s="1"/>
  <c r="F272" i="23" s="1"/>
  <c r="W272" i="23"/>
  <c r="AA262" i="23"/>
  <c r="Z262" i="23" s="1"/>
  <c r="Y262" i="23" s="1"/>
  <c r="H262" i="23"/>
  <c r="G262" i="23"/>
  <c r="CD262" i="6" s="1"/>
  <c r="AA248" i="23"/>
  <c r="Z248" i="23" s="1"/>
  <c r="Y248" i="23" s="1"/>
  <c r="G248" i="23"/>
  <c r="CD248" i="6" s="1"/>
  <c r="H248" i="23"/>
  <c r="G234" i="23"/>
  <c r="CD234" i="6" s="1"/>
  <c r="AA234" i="23"/>
  <c r="Z234" i="23" s="1"/>
  <c r="Y234" i="23" s="1"/>
  <c r="H234" i="23"/>
  <c r="AA228" i="23"/>
  <c r="Z228" i="23" s="1"/>
  <c r="Y228" i="23" s="1"/>
  <c r="H228" i="23"/>
  <c r="G228" i="23"/>
  <c r="CD228" i="6" s="1"/>
  <c r="J192" i="23"/>
  <c r="I192" i="23"/>
  <c r="G184" i="23"/>
  <c r="CD184" i="6" s="1"/>
  <c r="AA184" i="23"/>
  <c r="Z184" i="23" s="1"/>
  <c r="Y184" i="23" s="1"/>
  <c r="H184" i="23"/>
  <c r="G152" i="23"/>
  <c r="CD152" i="6" s="1"/>
  <c r="H152" i="23"/>
  <c r="AA152" i="23"/>
  <c r="Z152" i="23" s="1"/>
  <c r="Y152" i="23" s="1"/>
  <c r="AA142" i="23"/>
  <c r="Z142" i="23" s="1"/>
  <c r="Y142" i="23" s="1"/>
  <c r="H142" i="23"/>
  <c r="G142" i="23"/>
  <c r="CD142" i="6" s="1"/>
  <c r="G132" i="23"/>
  <c r="CD132" i="6" s="1"/>
  <c r="H132" i="23"/>
  <c r="AA132" i="23"/>
  <c r="Z132" i="23" s="1"/>
  <c r="Y132" i="23" s="1"/>
  <c r="I128" i="23"/>
  <c r="J128" i="23"/>
  <c r="AA98" i="23"/>
  <c r="Z98" i="23" s="1"/>
  <c r="Y98" i="23" s="1"/>
  <c r="H98" i="23"/>
  <c r="G98" i="23"/>
  <c r="CD98" i="6" s="1"/>
  <c r="AA62" i="23"/>
  <c r="Z62" i="23" s="1"/>
  <c r="Y62" i="23" s="1"/>
  <c r="G62" i="23"/>
  <c r="CD62" i="6" s="1"/>
  <c r="H62" i="23"/>
  <c r="AA54" i="23"/>
  <c r="Z54" i="23" s="1"/>
  <c r="Y54" i="23" s="1"/>
  <c r="G54" i="23"/>
  <c r="CD54" i="6" s="1"/>
  <c r="H54" i="23"/>
  <c r="D46" i="23"/>
  <c r="E46" i="23" s="1"/>
  <c r="F46" i="23" s="1"/>
  <c r="W46" i="23"/>
  <c r="G42" i="23"/>
  <c r="CD42" i="6" s="1"/>
  <c r="AA42" i="23"/>
  <c r="Z42" i="23" s="1"/>
  <c r="Y42" i="23" s="1"/>
  <c r="H42" i="23"/>
  <c r="AA30" i="23"/>
  <c r="Z30" i="23" s="1"/>
  <c r="Y30" i="23" s="1"/>
  <c r="G30" i="23"/>
  <c r="CD30" i="6" s="1"/>
  <c r="H30" i="23"/>
  <c r="AF15" i="23"/>
  <c r="S374" i="24"/>
  <c r="R374" i="24" s="1"/>
  <c r="P374" i="24" s="1"/>
  <c r="V374" i="24" s="1"/>
  <c r="B374" i="24" s="1"/>
  <c r="S352" i="24"/>
  <c r="R352" i="24" s="1"/>
  <c r="P352" i="24" s="1"/>
  <c r="V352" i="24" s="1"/>
  <c r="B352" i="24" s="1"/>
  <c r="S322" i="24"/>
  <c r="R322" i="24" s="1"/>
  <c r="P322" i="24" s="1"/>
  <c r="V322" i="24" s="1"/>
  <c r="B322" i="24" s="1"/>
  <c r="S302" i="24"/>
  <c r="R302" i="24" s="1"/>
  <c r="P302" i="24" s="1"/>
  <c r="S222" i="24"/>
  <c r="R222" i="24" s="1"/>
  <c r="P222" i="24" s="1"/>
  <c r="V222" i="24" s="1"/>
  <c r="B222" i="24" s="1"/>
  <c r="S204" i="24"/>
  <c r="R204" i="24" s="1"/>
  <c r="P204" i="24" s="1"/>
  <c r="V204" i="24" s="1"/>
  <c r="B204" i="24" s="1"/>
  <c r="S158" i="24"/>
  <c r="R158" i="24" s="1"/>
  <c r="P158" i="24" s="1"/>
  <c r="V158" i="24" s="1"/>
  <c r="B158" i="24" s="1"/>
  <c r="S98" i="24"/>
  <c r="R98" i="24" s="1"/>
  <c r="P98" i="24" s="1"/>
  <c r="V98" i="24" s="1"/>
  <c r="B98" i="24" s="1"/>
  <c r="S70" i="24"/>
  <c r="R70" i="24" s="1"/>
  <c r="P70" i="24" s="1"/>
  <c r="V70" i="24" s="1"/>
  <c r="B70" i="24" s="1"/>
  <c r="S34" i="24"/>
  <c r="R34" i="24" s="1"/>
  <c r="P34" i="24" s="1"/>
  <c r="V34" i="24" s="1"/>
  <c r="B34" i="24" s="1"/>
  <c r="J239" i="23"/>
  <c r="I239" i="23"/>
  <c r="J137" i="23"/>
  <c r="I137" i="23"/>
  <c r="J97" i="23"/>
  <c r="I97" i="23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H349" i="23" s="1"/>
  <c r="I227" i="22"/>
  <c r="H227" i="23" s="1"/>
  <c r="J227" i="22"/>
  <c r="J240" i="23"/>
  <c r="I240" i="23"/>
  <c r="D258" i="23"/>
  <c r="E258" i="23" s="1"/>
  <c r="F258" i="23" s="1"/>
  <c r="W258" i="23"/>
  <c r="AA358" i="23"/>
  <c r="Z358" i="23" s="1"/>
  <c r="Y358" i="23" s="1"/>
  <c r="H358" i="23"/>
  <c r="G358" i="23"/>
  <c r="CD358" i="6" s="1"/>
  <c r="G332" i="23"/>
  <c r="CD332" i="6" s="1"/>
  <c r="H332" i="23"/>
  <c r="AA332" i="23"/>
  <c r="Z332" i="23" s="1"/>
  <c r="Y332" i="23" s="1"/>
  <c r="AA308" i="23"/>
  <c r="Z308" i="23" s="1"/>
  <c r="Y308" i="23" s="1"/>
  <c r="G308" i="23"/>
  <c r="CD308" i="6" s="1"/>
  <c r="H308" i="23"/>
  <c r="G280" i="23"/>
  <c r="CD280" i="6" s="1"/>
  <c r="AA280" i="23"/>
  <c r="Z280" i="23" s="1"/>
  <c r="Y280" i="23" s="1"/>
  <c r="H280" i="23"/>
  <c r="AA264" i="23"/>
  <c r="Z264" i="23" s="1"/>
  <c r="Y264" i="23" s="1"/>
  <c r="H264" i="23"/>
  <c r="G264" i="23"/>
  <c r="CD264" i="6" s="1"/>
  <c r="G252" i="23"/>
  <c r="CD252" i="6" s="1"/>
  <c r="AA252" i="23"/>
  <c r="Z252" i="23" s="1"/>
  <c r="Y252" i="23" s="1"/>
  <c r="H252" i="23"/>
  <c r="G246" i="23"/>
  <c r="CD246" i="6" s="1"/>
  <c r="AA246" i="23"/>
  <c r="Z246" i="23" s="1"/>
  <c r="Y246" i="23" s="1"/>
  <c r="H246" i="23"/>
  <c r="AA236" i="23"/>
  <c r="Z236" i="23" s="1"/>
  <c r="Y236" i="23" s="1"/>
  <c r="H236" i="23"/>
  <c r="G236" i="23"/>
  <c r="CD236" i="6" s="1"/>
  <c r="W210" i="23"/>
  <c r="D210" i="23"/>
  <c r="E210" i="23" s="1"/>
  <c r="F210" i="23" s="1"/>
  <c r="G202" i="23"/>
  <c r="CD202" i="6" s="1"/>
  <c r="AA202" i="23"/>
  <c r="Z202" i="23" s="1"/>
  <c r="Y202" i="23" s="1"/>
  <c r="H202" i="23"/>
  <c r="I188" i="23"/>
  <c r="J188" i="23"/>
  <c r="G182" i="23"/>
  <c r="CD182" i="6" s="1"/>
  <c r="AA182" i="23"/>
  <c r="Z182" i="23" s="1"/>
  <c r="Y182" i="23" s="1"/>
  <c r="H182" i="23"/>
  <c r="G174" i="23"/>
  <c r="CD174" i="6" s="1"/>
  <c r="H174" i="23"/>
  <c r="AA174" i="23"/>
  <c r="Z174" i="23" s="1"/>
  <c r="Y174" i="23" s="1"/>
  <c r="AA162" i="23"/>
  <c r="Z162" i="23" s="1"/>
  <c r="Y162" i="23" s="1"/>
  <c r="G162" i="23"/>
  <c r="CD162" i="6" s="1"/>
  <c r="H162" i="23"/>
  <c r="AA116" i="23"/>
  <c r="Z116" i="23" s="1"/>
  <c r="Y116" i="23" s="1"/>
  <c r="G116" i="23"/>
  <c r="CD116" i="6" s="1"/>
  <c r="H116" i="23"/>
  <c r="G110" i="23"/>
  <c r="CD110" i="6" s="1"/>
  <c r="H110" i="23"/>
  <c r="AA110" i="23"/>
  <c r="Z110" i="23" s="1"/>
  <c r="Y110" i="23" s="1"/>
  <c r="W60" i="23"/>
  <c r="D60" i="23"/>
  <c r="E60" i="23" s="1"/>
  <c r="F60" i="23" s="1"/>
  <c r="AA44" i="23"/>
  <c r="Z44" i="23" s="1"/>
  <c r="Y44" i="23" s="1"/>
  <c r="H44" i="23"/>
  <c r="G44" i="23"/>
  <c r="CD44" i="6" s="1"/>
  <c r="G24" i="23"/>
  <c r="CD24" i="6" s="1"/>
  <c r="H24" i="23"/>
  <c r="AA24" i="23"/>
  <c r="Z24" i="23" s="1"/>
  <c r="Y24" i="23" s="1"/>
  <c r="G19" i="23"/>
  <c r="CD19" i="6" s="1"/>
  <c r="AA19" i="23"/>
  <c r="Z19" i="23" s="1"/>
  <c r="Y19" i="23" s="1"/>
  <c r="H19" i="23"/>
  <c r="J29" i="22"/>
  <c r="I29" i="22"/>
  <c r="AA317" i="23"/>
  <c r="Z317" i="23" s="1"/>
  <c r="Y317" i="23" s="1"/>
  <c r="H317" i="23"/>
  <c r="G317" i="23"/>
  <c r="CD317" i="6" s="1"/>
  <c r="G307" i="23"/>
  <c r="CD307" i="6" s="1"/>
  <c r="AA307" i="23"/>
  <c r="Z307" i="23" s="1"/>
  <c r="Y307" i="23" s="1"/>
  <c r="H307" i="23"/>
  <c r="G287" i="23"/>
  <c r="CD287" i="6" s="1"/>
  <c r="AA287" i="23"/>
  <c r="Z287" i="23" s="1"/>
  <c r="Y287" i="23" s="1"/>
  <c r="H287" i="23"/>
  <c r="AA281" i="23"/>
  <c r="Z281" i="23" s="1"/>
  <c r="Y281" i="23" s="1"/>
  <c r="H281" i="23"/>
  <c r="G281" i="23"/>
  <c r="CD281" i="6" s="1"/>
  <c r="G277" i="23"/>
  <c r="CD277" i="6" s="1"/>
  <c r="H277" i="23"/>
  <c r="AA277" i="23"/>
  <c r="Z277" i="23" s="1"/>
  <c r="Y277" i="23" s="1"/>
  <c r="AA235" i="23"/>
  <c r="Z235" i="23" s="1"/>
  <c r="Y235" i="23" s="1"/>
  <c r="G235" i="23"/>
  <c r="CD235" i="6" s="1"/>
  <c r="H235" i="23"/>
  <c r="G167" i="23"/>
  <c r="CD167" i="6" s="1"/>
  <c r="H167" i="23"/>
  <c r="AA167" i="23"/>
  <c r="Z167" i="23" s="1"/>
  <c r="Y167" i="23" s="1"/>
  <c r="G93" i="23"/>
  <c r="CD93" i="6" s="1"/>
  <c r="AA93" i="23"/>
  <c r="Z93" i="23" s="1"/>
  <c r="Y93" i="23" s="1"/>
  <c r="H93" i="23"/>
  <c r="G75" i="23"/>
  <c r="CD75" i="6" s="1"/>
  <c r="H75" i="23"/>
  <c r="AA75" i="23"/>
  <c r="Z75" i="23" s="1"/>
  <c r="Y75" i="23" s="1"/>
  <c r="G71" i="23"/>
  <c r="CD71" i="6" s="1"/>
  <c r="AA71" i="23"/>
  <c r="Z71" i="23" s="1"/>
  <c r="Y71" i="23" s="1"/>
  <c r="H71" i="23"/>
  <c r="G47" i="23"/>
  <c r="CD47" i="6" s="1"/>
  <c r="AA47" i="23"/>
  <c r="Z47" i="23" s="1"/>
  <c r="Y47" i="23" s="1"/>
  <c r="H47" i="23"/>
  <c r="G336" i="23"/>
  <c r="CD336" i="6" s="1"/>
  <c r="AA336" i="23"/>
  <c r="Z336" i="23" s="1"/>
  <c r="Y336" i="23" s="1"/>
  <c r="H336" i="23"/>
  <c r="G318" i="23"/>
  <c r="CD318" i="6" s="1"/>
  <c r="AA318" i="23"/>
  <c r="Z318" i="23" s="1"/>
  <c r="Y318" i="23" s="1"/>
  <c r="H318" i="23"/>
  <c r="G296" i="23"/>
  <c r="CD296" i="6" s="1"/>
  <c r="AA296" i="23"/>
  <c r="Z296" i="23" s="1"/>
  <c r="Y296" i="23" s="1"/>
  <c r="H296" i="23"/>
  <c r="W288" i="23"/>
  <c r="D288" i="23"/>
  <c r="E288" i="23" s="1"/>
  <c r="F288" i="23" s="1"/>
  <c r="G250" i="23"/>
  <c r="CD250" i="6" s="1"/>
  <c r="AA250" i="23"/>
  <c r="Z250" i="23" s="1"/>
  <c r="Y250" i="23" s="1"/>
  <c r="H250" i="23"/>
  <c r="AA226" i="23"/>
  <c r="Z226" i="23" s="1"/>
  <c r="Y226" i="23" s="1"/>
  <c r="G226" i="23"/>
  <c r="CD226" i="6" s="1"/>
  <c r="H226" i="23"/>
  <c r="AA170" i="23"/>
  <c r="Z170" i="23" s="1"/>
  <c r="Y170" i="23" s="1"/>
  <c r="G170" i="23"/>
  <c r="CD170" i="6" s="1"/>
  <c r="H170" i="23"/>
  <c r="AA164" i="23"/>
  <c r="Z164" i="23" s="1"/>
  <c r="Y164" i="23" s="1"/>
  <c r="H164" i="23"/>
  <c r="G164" i="23"/>
  <c r="CD164" i="6" s="1"/>
  <c r="G154" i="23"/>
  <c r="CD154" i="6" s="1"/>
  <c r="H154" i="23"/>
  <c r="AA154" i="23"/>
  <c r="Z154" i="23" s="1"/>
  <c r="Y154" i="23" s="1"/>
  <c r="AA144" i="23"/>
  <c r="Z144" i="23" s="1"/>
  <c r="Y144" i="23" s="1"/>
  <c r="G144" i="23"/>
  <c r="CD144" i="6" s="1"/>
  <c r="H144" i="23"/>
  <c r="G126" i="23"/>
  <c r="CD126" i="6" s="1"/>
  <c r="H126" i="23"/>
  <c r="AA126" i="23"/>
  <c r="Z126" i="23" s="1"/>
  <c r="Y126" i="23" s="1"/>
  <c r="G82" i="23"/>
  <c r="CD82" i="6" s="1"/>
  <c r="H82" i="23"/>
  <c r="AA82" i="23"/>
  <c r="Z82" i="23" s="1"/>
  <c r="Y82" i="23" s="1"/>
  <c r="AA78" i="23"/>
  <c r="Z78" i="23" s="1"/>
  <c r="Y78" i="23" s="1"/>
  <c r="G78" i="23"/>
  <c r="CD78" i="6" s="1"/>
  <c r="H78" i="23"/>
  <c r="G64" i="23"/>
  <c r="CD64" i="6" s="1"/>
  <c r="H64" i="23"/>
  <c r="AA64" i="23"/>
  <c r="Z64" i="23" s="1"/>
  <c r="Y64" i="23" s="1"/>
  <c r="G56" i="23"/>
  <c r="CD56" i="6" s="1"/>
  <c r="H56" i="23"/>
  <c r="AA56" i="23"/>
  <c r="Z56" i="23" s="1"/>
  <c r="Y56" i="23" s="1"/>
  <c r="AA32" i="23"/>
  <c r="Z32" i="23" s="1"/>
  <c r="Y32" i="23" s="1"/>
  <c r="G32" i="23"/>
  <c r="CD32" i="6" s="1"/>
  <c r="H32" i="23"/>
  <c r="G375" i="23"/>
  <c r="CD375" i="6" s="1"/>
  <c r="H375" i="23"/>
  <c r="AA375" i="23"/>
  <c r="Z375" i="23" s="1"/>
  <c r="Y375" i="23" s="1"/>
  <c r="AA345" i="23"/>
  <c r="Z345" i="23" s="1"/>
  <c r="Y345" i="23" s="1"/>
  <c r="G345" i="23"/>
  <c r="CD345" i="6" s="1"/>
  <c r="H345" i="23"/>
  <c r="W333" i="23"/>
  <c r="D333" i="23"/>
  <c r="E333" i="23" s="1"/>
  <c r="F333" i="23" s="1"/>
  <c r="AA311" i="23"/>
  <c r="Z311" i="23" s="1"/>
  <c r="Y311" i="23" s="1"/>
  <c r="H311" i="23"/>
  <c r="G311" i="23"/>
  <c r="CD311" i="6" s="1"/>
  <c r="AA279" i="23"/>
  <c r="Z279" i="23" s="1"/>
  <c r="Y279" i="23" s="1"/>
  <c r="G279" i="23"/>
  <c r="CD279" i="6" s="1"/>
  <c r="H279" i="23"/>
  <c r="AA217" i="23"/>
  <c r="Z217" i="23" s="1"/>
  <c r="Y217" i="23" s="1"/>
  <c r="H217" i="23"/>
  <c r="G217" i="23"/>
  <c r="CD217" i="6" s="1"/>
  <c r="G189" i="23"/>
  <c r="CD189" i="6" s="1"/>
  <c r="AA189" i="23"/>
  <c r="Z189" i="23" s="1"/>
  <c r="Y189" i="23" s="1"/>
  <c r="H189" i="23"/>
  <c r="G121" i="23"/>
  <c r="CD121" i="6" s="1"/>
  <c r="H121" i="23"/>
  <c r="AA121" i="23"/>
  <c r="Z121" i="23" s="1"/>
  <c r="Y121" i="23" s="1"/>
  <c r="G89" i="23"/>
  <c r="CD89" i="6" s="1"/>
  <c r="AA89" i="23"/>
  <c r="Z89" i="23" s="1"/>
  <c r="Y89" i="23" s="1"/>
  <c r="H89" i="23"/>
  <c r="AA77" i="23"/>
  <c r="Z77" i="23" s="1"/>
  <c r="Y77" i="23" s="1"/>
  <c r="H77" i="23"/>
  <c r="G77" i="23"/>
  <c r="CD77" i="6" s="1"/>
  <c r="G73" i="23"/>
  <c r="CD73" i="6" s="1"/>
  <c r="AA73" i="23"/>
  <c r="Z73" i="23" s="1"/>
  <c r="Y73" i="23" s="1"/>
  <c r="H73" i="23"/>
  <c r="AA49" i="23"/>
  <c r="Z49" i="23" s="1"/>
  <c r="Y49" i="23" s="1"/>
  <c r="G49" i="23"/>
  <c r="CD49" i="6" s="1"/>
  <c r="H49" i="23"/>
  <c r="G372" i="23"/>
  <c r="CD372" i="6" s="1"/>
  <c r="AA372" i="23"/>
  <c r="Z372" i="23" s="1"/>
  <c r="Y372" i="23" s="1"/>
  <c r="H372" i="23"/>
  <c r="AA342" i="23"/>
  <c r="Z342" i="23" s="1"/>
  <c r="Y342" i="23" s="1"/>
  <c r="H342" i="23"/>
  <c r="G342" i="23"/>
  <c r="CD342" i="6" s="1"/>
  <c r="AA334" i="23"/>
  <c r="Z334" i="23" s="1"/>
  <c r="Y334" i="23" s="1"/>
  <c r="G334" i="23"/>
  <c r="CD334" i="6" s="1"/>
  <c r="H334" i="23"/>
  <c r="W180" i="23"/>
  <c r="D180" i="23"/>
  <c r="E180" i="23" s="1"/>
  <c r="F180" i="23" s="1"/>
  <c r="D166" i="23"/>
  <c r="E166" i="23" s="1"/>
  <c r="F166" i="23" s="1"/>
  <c r="W166" i="23"/>
  <c r="G160" i="23"/>
  <c r="CD160" i="6" s="1"/>
  <c r="AA160" i="23"/>
  <c r="Z160" i="23" s="1"/>
  <c r="Y160" i="23" s="1"/>
  <c r="H160" i="23"/>
  <c r="G134" i="23"/>
  <c r="CD134" i="6" s="1"/>
  <c r="AA134" i="23"/>
  <c r="Z134" i="23" s="1"/>
  <c r="Y134" i="23" s="1"/>
  <c r="H134" i="23"/>
  <c r="G122" i="23"/>
  <c r="CD122" i="6" s="1"/>
  <c r="H122" i="23"/>
  <c r="AA122" i="23"/>
  <c r="Z122" i="23" s="1"/>
  <c r="Y122" i="23" s="1"/>
  <c r="AA102" i="23"/>
  <c r="Z102" i="23" s="1"/>
  <c r="Y102" i="23" s="1"/>
  <c r="H102" i="23"/>
  <c r="G102" i="23"/>
  <c r="CD102" i="6" s="1"/>
  <c r="AA94" i="23"/>
  <c r="Z94" i="23" s="1"/>
  <c r="Y94" i="23" s="1"/>
  <c r="G94" i="23"/>
  <c r="CD94" i="6" s="1"/>
  <c r="H94" i="23"/>
  <c r="AA58" i="23"/>
  <c r="Z58" i="23" s="1"/>
  <c r="Y58" i="23" s="1"/>
  <c r="H58" i="23"/>
  <c r="G58" i="23"/>
  <c r="CD58" i="6" s="1"/>
  <c r="AA34" i="23"/>
  <c r="Z34" i="23" s="1"/>
  <c r="Y34" i="23" s="1"/>
  <c r="H34" i="23"/>
  <c r="G34" i="23"/>
  <c r="CD34" i="6" s="1"/>
  <c r="AA18" i="23"/>
  <c r="Z18" i="23" s="1"/>
  <c r="Y18" i="23" s="1"/>
  <c r="H18" i="23"/>
  <c r="G18" i="23"/>
  <c r="CD18" i="6" s="1"/>
  <c r="G377" i="23"/>
  <c r="CD377" i="6" s="1"/>
  <c r="AA377" i="23"/>
  <c r="Z377" i="23" s="1"/>
  <c r="Y377" i="23" s="1"/>
  <c r="H377" i="23"/>
  <c r="AA367" i="23"/>
  <c r="Z367" i="23" s="1"/>
  <c r="Y367" i="23" s="1"/>
  <c r="H367" i="23"/>
  <c r="G367" i="23"/>
  <c r="CD367" i="6" s="1"/>
  <c r="AA365" i="23"/>
  <c r="Z365" i="23" s="1"/>
  <c r="Y365" i="23" s="1"/>
  <c r="G365" i="23"/>
  <c r="CD365" i="6" s="1"/>
  <c r="H365" i="23"/>
  <c r="W363" i="23"/>
  <c r="D363" i="23"/>
  <c r="E363" i="23" s="1"/>
  <c r="F363" i="23" s="1"/>
  <c r="G329" i="23"/>
  <c r="CD329" i="6" s="1"/>
  <c r="AA329" i="23"/>
  <c r="Z329" i="23" s="1"/>
  <c r="Y329" i="23" s="1"/>
  <c r="H329" i="23"/>
  <c r="I321" i="23"/>
  <c r="AA315" i="23"/>
  <c r="Z315" i="23" s="1"/>
  <c r="Y315" i="23" s="1"/>
  <c r="G315" i="23"/>
  <c r="CD315" i="6" s="1"/>
  <c r="H315" i="23"/>
  <c r="G313" i="23"/>
  <c r="CD313" i="6" s="1"/>
  <c r="AA313" i="23"/>
  <c r="Z313" i="23" s="1"/>
  <c r="Y313" i="23" s="1"/>
  <c r="H313" i="23"/>
  <c r="G301" i="23"/>
  <c r="CD301" i="6" s="1"/>
  <c r="H301" i="23"/>
  <c r="AA301" i="23"/>
  <c r="Z301" i="23" s="1"/>
  <c r="Y301" i="23" s="1"/>
  <c r="AA293" i="23"/>
  <c r="Z293" i="23" s="1"/>
  <c r="Y293" i="23" s="1"/>
  <c r="G293" i="23"/>
  <c r="CD293" i="6" s="1"/>
  <c r="H293" i="23"/>
  <c r="G291" i="23"/>
  <c r="CD291" i="6" s="1"/>
  <c r="H291" i="23"/>
  <c r="AA291" i="23"/>
  <c r="Z291" i="23" s="1"/>
  <c r="Y291" i="23" s="1"/>
  <c r="AA283" i="23"/>
  <c r="Z283" i="23" s="1"/>
  <c r="Y283" i="23" s="1"/>
  <c r="G283" i="23"/>
  <c r="CD283" i="6" s="1"/>
  <c r="H283" i="23"/>
  <c r="AA271" i="23"/>
  <c r="Z271" i="23" s="1"/>
  <c r="Y271" i="23" s="1"/>
  <c r="H271" i="23"/>
  <c r="G271" i="23"/>
  <c r="CD271" i="6" s="1"/>
  <c r="G267" i="23"/>
  <c r="CD267" i="6" s="1"/>
  <c r="AA267" i="23"/>
  <c r="Z267" i="23" s="1"/>
  <c r="Y267" i="23" s="1"/>
  <c r="H267" i="23"/>
  <c r="AA261" i="23"/>
  <c r="Z261" i="23" s="1"/>
  <c r="Y261" i="23" s="1"/>
  <c r="G261" i="23"/>
  <c r="CD261" i="6" s="1"/>
  <c r="H261" i="23"/>
  <c r="G249" i="23"/>
  <c r="CD249" i="6" s="1"/>
  <c r="H249" i="23"/>
  <c r="AA249" i="23"/>
  <c r="Z249" i="23" s="1"/>
  <c r="Y249" i="23" s="1"/>
  <c r="AA247" i="23"/>
  <c r="Z247" i="23" s="1"/>
  <c r="Y247" i="23" s="1"/>
  <c r="G247" i="23"/>
  <c r="CD247" i="6" s="1"/>
  <c r="H247" i="23"/>
  <c r="G245" i="23"/>
  <c r="CD245" i="6" s="1"/>
  <c r="AA245" i="23"/>
  <c r="Z245" i="23" s="1"/>
  <c r="Y245" i="23" s="1"/>
  <c r="H245" i="23"/>
  <c r="G233" i="23"/>
  <c r="CD233" i="6" s="1"/>
  <c r="AA233" i="23"/>
  <c r="Z233" i="23" s="1"/>
  <c r="Y233" i="23" s="1"/>
  <c r="H233" i="23"/>
  <c r="AA231" i="23"/>
  <c r="Z231" i="23" s="1"/>
  <c r="Y231" i="23" s="1"/>
  <c r="G231" i="23"/>
  <c r="CD231" i="6" s="1"/>
  <c r="H231" i="23"/>
  <c r="AA229" i="23"/>
  <c r="Z229" i="23" s="1"/>
  <c r="Y229" i="23" s="1"/>
  <c r="G229" i="23"/>
  <c r="CD229" i="6" s="1"/>
  <c r="H229" i="23"/>
  <c r="AA221" i="23"/>
  <c r="Z221" i="23" s="1"/>
  <c r="Y221" i="23" s="1"/>
  <c r="G221" i="23"/>
  <c r="CD221" i="6" s="1"/>
  <c r="H221" i="23"/>
  <c r="AA215" i="23"/>
  <c r="Z215" i="23" s="1"/>
  <c r="Y215" i="23" s="1"/>
  <c r="G215" i="23"/>
  <c r="CD215" i="6" s="1"/>
  <c r="H215" i="23"/>
  <c r="G211" i="23"/>
  <c r="CD211" i="6" s="1"/>
  <c r="AA211" i="23"/>
  <c r="Z211" i="23" s="1"/>
  <c r="Y211" i="23" s="1"/>
  <c r="H211" i="23"/>
  <c r="AA209" i="23"/>
  <c r="Z209" i="23" s="1"/>
  <c r="Y209" i="23" s="1"/>
  <c r="G209" i="23"/>
  <c r="CD209" i="6" s="1"/>
  <c r="H209" i="23"/>
  <c r="G207" i="23"/>
  <c r="CD207" i="6" s="1"/>
  <c r="AA207" i="23"/>
  <c r="Z207" i="23" s="1"/>
  <c r="Y207" i="23" s="1"/>
  <c r="H207" i="23"/>
  <c r="G193" i="23"/>
  <c r="CD193" i="6" s="1"/>
  <c r="H193" i="23"/>
  <c r="AA193" i="23"/>
  <c r="Z193" i="23" s="1"/>
  <c r="Y193" i="23" s="1"/>
  <c r="AA187" i="23"/>
  <c r="Z187" i="23" s="1"/>
  <c r="Y187" i="23" s="1"/>
  <c r="H187" i="23"/>
  <c r="G187" i="23"/>
  <c r="CD187" i="6" s="1"/>
  <c r="G185" i="23"/>
  <c r="CD185" i="6" s="1"/>
  <c r="H185" i="23"/>
  <c r="AA185" i="23"/>
  <c r="Z185" i="23" s="1"/>
  <c r="Y185" i="23" s="1"/>
  <c r="G177" i="23"/>
  <c r="CD177" i="6" s="1"/>
  <c r="H177" i="23"/>
  <c r="AA177" i="23"/>
  <c r="Z177" i="23" s="1"/>
  <c r="Y177" i="23" s="1"/>
  <c r="G169" i="23"/>
  <c r="CD169" i="6" s="1"/>
  <c r="H169" i="23"/>
  <c r="AA169" i="23"/>
  <c r="Z169" i="23" s="1"/>
  <c r="Y169" i="23" s="1"/>
  <c r="G165" i="23"/>
  <c r="CD165" i="6" s="1"/>
  <c r="AA165" i="23"/>
  <c r="Z165" i="23" s="1"/>
  <c r="Y165" i="23" s="1"/>
  <c r="H165" i="23"/>
  <c r="J159" i="23"/>
  <c r="I159" i="23"/>
  <c r="AA157" i="23"/>
  <c r="Z157" i="23" s="1"/>
  <c r="Y157" i="23" s="1"/>
  <c r="H157" i="23"/>
  <c r="G157" i="23"/>
  <c r="CD157" i="6" s="1"/>
  <c r="G147" i="23"/>
  <c r="CD147" i="6" s="1"/>
  <c r="AA147" i="23"/>
  <c r="Z147" i="23" s="1"/>
  <c r="Y147" i="23" s="1"/>
  <c r="H147" i="23"/>
  <c r="AA145" i="23"/>
  <c r="Z145" i="23" s="1"/>
  <c r="Y145" i="23" s="1"/>
  <c r="H145" i="23"/>
  <c r="G145" i="23"/>
  <c r="CD145" i="6" s="1"/>
  <c r="G141" i="23"/>
  <c r="CD141" i="6" s="1"/>
  <c r="AA141" i="23"/>
  <c r="Z141" i="23" s="1"/>
  <c r="Y141" i="23" s="1"/>
  <c r="H141" i="23"/>
  <c r="AA139" i="23"/>
  <c r="Z139" i="23" s="1"/>
  <c r="Y139" i="23" s="1"/>
  <c r="G139" i="23"/>
  <c r="CD139" i="6" s="1"/>
  <c r="H139" i="23"/>
  <c r="G123" i="23"/>
  <c r="CD123" i="6" s="1"/>
  <c r="AA123" i="23"/>
  <c r="Z123" i="23" s="1"/>
  <c r="Y123" i="23" s="1"/>
  <c r="H123" i="23"/>
  <c r="W119" i="23"/>
  <c r="D119" i="23"/>
  <c r="E119" i="23" s="1"/>
  <c r="F119" i="23" s="1"/>
  <c r="G117" i="23"/>
  <c r="CD117" i="6" s="1"/>
  <c r="AA117" i="23"/>
  <c r="Z117" i="23" s="1"/>
  <c r="Y117" i="23" s="1"/>
  <c r="H117" i="23"/>
  <c r="AA115" i="23"/>
  <c r="Z115" i="23" s="1"/>
  <c r="Y115" i="23" s="1"/>
  <c r="G115" i="23"/>
  <c r="CD115" i="6" s="1"/>
  <c r="H115" i="23"/>
  <c r="G107" i="23"/>
  <c r="CD107" i="6" s="1"/>
  <c r="AA107" i="23"/>
  <c r="Z107" i="23" s="1"/>
  <c r="Y107" i="23" s="1"/>
  <c r="H107" i="23"/>
  <c r="G103" i="23"/>
  <c r="CD103" i="6" s="1"/>
  <c r="H103" i="23"/>
  <c r="AA103" i="23"/>
  <c r="Z103" i="23" s="1"/>
  <c r="Y103" i="23" s="1"/>
  <c r="G95" i="23"/>
  <c r="CD95" i="6" s="1"/>
  <c r="AA95" i="23"/>
  <c r="Z95" i="23" s="1"/>
  <c r="Y95" i="23" s="1"/>
  <c r="H95" i="23"/>
  <c r="G91" i="23"/>
  <c r="CD91" i="6" s="1"/>
  <c r="H91" i="23"/>
  <c r="AA91" i="23"/>
  <c r="Z91" i="23" s="1"/>
  <c r="Y91" i="23" s="1"/>
  <c r="G85" i="23"/>
  <c r="CD85" i="6" s="1"/>
  <c r="AA85" i="23"/>
  <c r="Z85" i="23" s="1"/>
  <c r="Y85" i="23" s="1"/>
  <c r="H85" i="23"/>
  <c r="AA81" i="23"/>
  <c r="Z81" i="23" s="1"/>
  <c r="Y81" i="23" s="1"/>
  <c r="G81" i="23"/>
  <c r="CD81" i="6" s="1"/>
  <c r="H81" i="23"/>
  <c r="AA79" i="23"/>
  <c r="Z79" i="23" s="1"/>
  <c r="Y79" i="23" s="1"/>
  <c r="H79" i="23"/>
  <c r="G79" i="23"/>
  <c r="CD79" i="6" s="1"/>
  <c r="G69" i="23"/>
  <c r="CD69" i="6" s="1"/>
  <c r="AA69" i="23"/>
  <c r="Z69" i="23" s="1"/>
  <c r="Y69" i="23" s="1"/>
  <c r="H69" i="23"/>
  <c r="G55" i="23"/>
  <c r="CD55" i="6" s="1"/>
  <c r="H55" i="23"/>
  <c r="AA55" i="23"/>
  <c r="Z55" i="23" s="1"/>
  <c r="Y55" i="23" s="1"/>
  <c r="J53" i="23"/>
  <c r="I53" i="23"/>
  <c r="AA45" i="23"/>
  <c r="Z45" i="23" s="1"/>
  <c r="Y45" i="23" s="1"/>
  <c r="H45" i="23"/>
  <c r="G45" i="23"/>
  <c r="CD45" i="6" s="1"/>
  <c r="AA41" i="23"/>
  <c r="Z41" i="23" s="1"/>
  <c r="Y41" i="23" s="1"/>
  <c r="H41" i="23"/>
  <c r="G41" i="23"/>
  <c r="CD41" i="6" s="1"/>
  <c r="AA37" i="23"/>
  <c r="Z37" i="23" s="1"/>
  <c r="Y37" i="23" s="1"/>
  <c r="G37" i="23"/>
  <c r="CD37" i="6" s="1"/>
  <c r="H37" i="23"/>
  <c r="AA25" i="23"/>
  <c r="Z25" i="23" s="1"/>
  <c r="Y25" i="23" s="1"/>
  <c r="G25" i="23"/>
  <c r="CD25" i="6" s="1"/>
  <c r="H25" i="23"/>
  <c r="AA21" i="23"/>
  <c r="Z21" i="23" s="1"/>
  <c r="Y21" i="23" s="1"/>
  <c r="H21" i="23"/>
  <c r="G21" i="23"/>
  <c r="CD21" i="6" s="1"/>
  <c r="G16" i="23"/>
  <c r="CD16" i="6" s="1"/>
  <c r="AA16" i="23"/>
  <c r="Z16" i="23" s="1"/>
  <c r="Y16" i="23" s="1"/>
  <c r="H16" i="23"/>
  <c r="G17" i="23"/>
  <c r="CD17" i="6" s="1"/>
  <c r="H17" i="23"/>
  <c r="AA17" i="23"/>
  <c r="Z17" i="23" s="1"/>
  <c r="Y17" i="23" s="1"/>
  <c r="P383" i="22"/>
  <c r="P381" i="22"/>
  <c r="V15" i="22"/>
  <c r="P382" i="22"/>
  <c r="D349" i="24"/>
  <c r="E349" i="24" s="1"/>
  <c r="F349" i="24" s="1"/>
  <c r="AD382" i="22"/>
  <c r="AD383" i="22"/>
  <c r="AD381" i="22"/>
  <c r="I119" i="22"/>
  <c r="J119" i="22"/>
  <c r="G227" i="23"/>
  <c r="CD227" i="6" s="1"/>
  <c r="AA227" i="23"/>
  <c r="Z227" i="23" s="1"/>
  <c r="Y227" i="23" s="1"/>
  <c r="AA354" i="23"/>
  <c r="Z354" i="23" s="1"/>
  <c r="Y354" i="23" s="1"/>
  <c r="G354" i="23"/>
  <c r="CD354" i="6" s="1"/>
  <c r="H354" i="23"/>
  <c r="G344" i="23"/>
  <c r="CD344" i="6" s="1"/>
  <c r="H344" i="23"/>
  <c r="AA344" i="23"/>
  <c r="Z344" i="23" s="1"/>
  <c r="Y344" i="23" s="1"/>
  <c r="G338" i="23"/>
  <c r="CD338" i="6" s="1"/>
  <c r="H338" i="23"/>
  <c r="AA338" i="23"/>
  <c r="Z338" i="23" s="1"/>
  <c r="Y338" i="23" s="1"/>
  <c r="J330" i="23"/>
  <c r="I330" i="23"/>
  <c r="AA328" i="23"/>
  <c r="Z328" i="23" s="1"/>
  <c r="Y328" i="23" s="1"/>
  <c r="H328" i="23"/>
  <c r="G328" i="23"/>
  <c r="CD328" i="6" s="1"/>
  <c r="AA324" i="23"/>
  <c r="Z324" i="23" s="1"/>
  <c r="Y324" i="23" s="1"/>
  <c r="G324" i="23"/>
  <c r="CD324" i="6" s="1"/>
  <c r="H324" i="23"/>
  <c r="AA314" i="23"/>
  <c r="Z314" i="23" s="1"/>
  <c r="Y314" i="23" s="1"/>
  <c r="H314" i="23"/>
  <c r="G314" i="23"/>
  <c r="CD314" i="6" s="1"/>
  <c r="G310" i="23"/>
  <c r="CD310" i="6" s="1"/>
  <c r="H310" i="23"/>
  <c r="AA310" i="23"/>
  <c r="Z310" i="23" s="1"/>
  <c r="Y310" i="23" s="1"/>
  <c r="G290" i="23"/>
  <c r="CD290" i="6" s="1"/>
  <c r="AA290" i="23"/>
  <c r="Z290" i="23" s="1"/>
  <c r="Y290" i="23" s="1"/>
  <c r="H290" i="23"/>
  <c r="G284" i="23"/>
  <c r="CD284" i="6" s="1"/>
  <c r="AA284" i="23"/>
  <c r="Z284" i="23" s="1"/>
  <c r="Y284" i="23" s="1"/>
  <c r="H284" i="23"/>
  <c r="G254" i="23"/>
  <c r="CD254" i="6" s="1"/>
  <c r="AA254" i="23"/>
  <c r="Z254" i="23" s="1"/>
  <c r="Y254" i="23" s="1"/>
  <c r="H254" i="23"/>
  <c r="AA218" i="23"/>
  <c r="Z218" i="23" s="1"/>
  <c r="Y218" i="23" s="1"/>
  <c r="H218" i="23"/>
  <c r="G218" i="23"/>
  <c r="CD218" i="6" s="1"/>
  <c r="G206" i="23"/>
  <c r="CD206" i="6" s="1"/>
  <c r="AA206" i="23"/>
  <c r="Z206" i="23" s="1"/>
  <c r="Y206" i="23" s="1"/>
  <c r="H206" i="23"/>
  <c r="AA178" i="23"/>
  <c r="Z178" i="23" s="1"/>
  <c r="Y178" i="23" s="1"/>
  <c r="H178" i="23"/>
  <c r="G178" i="23"/>
  <c r="CD178" i="6" s="1"/>
  <c r="G158" i="23"/>
  <c r="CD158" i="6" s="1"/>
  <c r="AA158" i="23"/>
  <c r="Z158" i="23" s="1"/>
  <c r="Y158" i="23" s="1"/>
  <c r="H158" i="23"/>
  <c r="AA138" i="23"/>
  <c r="Z138" i="23" s="1"/>
  <c r="Y138" i="23" s="1"/>
  <c r="G138" i="23"/>
  <c r="CD138" i="6" s="1"/>
  <c r="H138" i="23"/>
  <c r="G120" i="23"/>
  <c r="CD120" i="6" s="1"/>
  <c r="H120" i="23"/>
  <c r="AA120" i="23"/>
  <c r="Z120" i="23" s="1"/>
  <c r="Y120" i="23" s="1"/>
  <c r="G114" i="23"/>
  <c r="CD114" i="6" s="1"/>
  <c r="AA114" i="23"/>
  <c r="Z114" i="23" s="1"/>
  <c r="Y114" i="23" s="1"/>
  <c r="H114" i="23"/>
  <c r="AA92" i="23"/>
  <c r="Z92" i="23" s="1"/>
  <c r="Y92" i="23" s="1"/>
  <c r="G92" i="23"/>
  <c r="CD92" i="6" s="1"/>
  <c r="H92" i="23"/>
  <c r="G72" i="23"/>
  <c r="CD72" i="6" s="1"/>
  <c r="AA72" i="23"/>
  <c r="Z72" i="23" s="1"/>
  <c r="Y72" i="23" s="1"/>
  <c r="H72" i="23"/>
  <c r="AA20" i="23"/>
  <c r="Z20" i="23" s="1"/>
  <c r="Y20" i="23" s="1"/>
  <c r="G20" i="23"/>
  <c r="CD20" i="6" s="1"/>
  <c r="H20" i="23"/>
  <c r="J105" i="22"/>
  <c r="I105" i="22"/>
  <c r="H105" i="23" s="1"/>
  <c r="F9" i="18"/>
  <c r="F383" i="18"/>
  <c r="AA15" i="18"/>
  <c r="AM10" i="18"/>
  <c r="H15" i="18"/>
  <c r="AK10" i="18"/>
  <c r="AK12" i="18" s="1"/>
  <c r="AK13" i="18" s="1"/>
  <c r="F382" i="18"/>
  <c r="G15" i="18"/>
  <c r="CA15" i="6" s="1"/>
  <c r="F381" i="18"/>
  <c r="I380" i="23"/>
  <c r="H380" i="24" s="1"/>
  <c r="J380" i="23"/>
  <c r="U12" i="25"/>
  <c r="AZ16" i="7"/>
  <c r="BF11" i="7" s="1"/>
  <c r="U11" i="25" s="1"/>
  <c r="T379" i="24"/>
  <c r="S379" i="24" s="1"/>
  <c r="R379" i="24" s="1"/>
  <c r="P379" i="24" s="1"/>
  <c r="D377" i="24"/>
  <c r="E377" i="24" s="1"/>
  <c r="F377" i="24" s="1"/>
  <c r="W377" i="24"/>
  <c r="W375" i="24"/>
  <c r="D375" i="24"/>
  <c r="E375" i="24" s="1"/>
  <c r="F375" i="24" s="1"/>
  <c r="W373" i="24"/>
  <c r="S371" i="24"/>
  <c r="R371" i="24" s="1"/>
  <c r="P371" i="24" s="1"/>
  <c r="V371" i="24" s="1"/>
  <c r="B371" i="24" s="1"/>
  <c r="D369" i="24"/>
  <c r="E369" i="24" s="1"/>
  <c r="F369" i="24" s="1"/>
  <c r="W369" i="24"/>
  <c r="S367" i="24"/>
  <c r="R367" i="24" s="1"/>
  <c r="P367" i="24" s="1"/>
  <c r="V367" i="24" s="1"/>
  <c r="B367" i="24" s="1"/>
  <c r="W365" i="24"/>
  <c r="S363" i="24"/>
  <c r="R363" i="24" s="1"/>
  <c r="P363" i="24" s="1"/>
  <c r="W361" i="24"/>
  <c r="D361" i="24"/>
  <c r="E361" i="24" s="1"/>
  <c r="F361" i="24" s="1"/>
  <c r="W359" i="24"/>
  <c r="D359" i="24"/>
  <c r="E359" i="24" s="1"/>
  <c r="F359" i="24" s="1"/>
  <c r="W357" i="24"/>
  <c r="D355" i="24"/>
  <c r="E355" i="24" s="1"/>
  <c r="F355" i="24" s="1"/>
  <c r="W355" i="24"/>
  <c r="S353" i="24"/>
  <c r="R353" i="24" s="1"/>
  <c r="P353" i="24" s="1"/>
  <c r="V353" i="24" s="1"/>
  <c r="B353" i="24" s="1"/>
  <c r="D351" i="24"/>
  <c r="E351" i="24" s="1"/>
  <c r="F351" i="24" s="1"/>
  <c r="W351" i="24"/>
  <c r="S347" i="24"/>
  <c r="R347" i="24" s="1"/>
  <c r="P347" i="24" s="1"/>
  <c r="V347" i="24" s="1"/>
  <c r="B347" i="24" s="1"/>
  <c r="D345" i="24"/>
  <c r="E345" i="24" s="1"/>
  <c r="F345" i="24" s="1"/>
  <c r="W345" i="24"/>
  <c r="W343" i="24"/>
  <c r="D343" i="24"/>
  <c r="E343" i="24" s="1"/>
  <c r="F343" i="24" s="1"/>
  <c r="W339" i="24"/>
  <c r="D339" i="24"/>
  <c r="E339" i="24" s="1"/>
  <c r="F339" i="24" s="1"/>
  <c r="W337" i="24"/>
  <c r="D337" i="24"/>
  <c r="E337" i="24" s="1"/>
  <c r="F337" i="24" s="1"/>
  <c r="S335" i="24"/>
  <c r="R335" i="24" s="1"/>
  <c r="P335" i="24" s="1"/>
  <c r="V335" i="24" s="1"/>
  <c r="B335" i="24" s="1"/>
  <c r="V333" i="24"/>
  <c r="B333" i="24" s="1"/>
  <c r="S331" i="24"/>
  <c r="R331" i="24" s="1"/>
  <c r="P331" i="24" s="1"/>
  <c r="V331" i="24" s="1"/>
  <c r="B331" i="24" s="1"/>
  <c r="D329" i="24"/>
  <c r="E329" i="24" s="1"/>
  <c r="F329" i="24" s="1"/>
  <c r="W329" i="24"/>
  <c r="D327" i="24"/>
  <c r="E327" i="24" s="1"/>
  <c r="F327" i="24" s="1"/>
  <c r="W327" i="24"/>
  <c r="W325" i="24"/>
  <c r="W323" i="24"/>
  <c r="D323" i="24"/>
  <c r="E323" i="24" s="1"/>
  <c r="F323" i="24" s="1"/>
  <c r="S321" i="24"/>
  <c r="R321" i="24" s="1"/>
  <c r="P321" i="24" s="1"/>
  <c r="V321" i="24" s="1"/>
  <c r="B321" i="24" s="1"/>
  <c r="S319" i="24"/>
  <c r="R319" i="24" s="1"/>
  <c r="P319" i="24" s="1"/>
  <c r="V319" i="24" s="1"/>
  <c r="D317" i="24"/>
  <c r="E317" i="24" s="1"/>
  <c r="F317" i="24" s="1"/>
  <c r="D315" i="24"/>
  <c r="E315" i="24" s="1"/>
  <c r="F315" i="24" s="1"/>
  <c r="W315" i="24"/>
  <c r="D313" i="24"/>
  <c r="E313" i="24" s="1"/>
  <c r="F313" i="24" s="1"/>
  <c r="W313" i="24"/>
  <c r="S311" i="24"/>
  <c r="R311" i="24" s="1"/>
  <c r="P311" i="24" s="1"/>
  <c r="V311" i="24" s="1"/>
  <c r="B311" i="24" s="1"/>
  <c r="D307" i="24"/>
  <c r="E307" i="24" s="1"/>
  <c r="F307" i="24" s="1"/>
  <c r="W307" i="24"/>
  <c r="S305" i="24"/>
  <c r="R305" i="24" s="1"/>
  <c r="P305" i="24" s="1"/>
  <c r="V305" i="24" s="1"/>
  <c r="B305" i="24" s="1"/>
  <c r="W303" i="24"/>
  <c r="D303" i="24"/>
  <c r="E303" i="24" s="1"/>
  <c r="F303" i="24" s="1"/>
  <c r="D301" i="24"/>
  <c r="E301" i="24" s="1"/>
  <c r="F301" i="24" s="1"/>
  <c r="S299" i="24"/>
  <c r="R299" i="24" s="1"/>
  <c r="P299" i="24" s="1"/>
  <c r="V299" i="24" s="1"/>
  <c r="B299" i="24" s="1"/>
  <c r="D297" i="24"/>
  <c r="E297" i="24" s="1"/>
  <c r="F297" i="24" s="1"/>
  <c r="W297" i="24"/>
  <c r="S295" i="24"/>
  <c r="R295" i="24" s="1"/>
  <c r="P295" i="24" s="1"/>
  <c r="V295" i="24" s="1"/>
  <c r="B295" i="24" s="1"/>
  <c r="D293" i="24"/>
  <c r="E293" i="24" s="1"/>
  <c r="F293" i="24" s="1"/>
  <c r="S291" i="24"/>
  <c r="R291" i="24" s="1"/>
  <c r="P291" i="24" s="1"/>
  <c r="V291" i="24" s="1"/>
  <c r="B291" i="24" s="1"/>
  <c r="S289" i="24"/>
  <c r="R289" i="24" s="1"/>
  <c r="P289" i="24" s="1"/>
  <c r="V289" i="24" s="1"/>
  <c r="B289" i="24" s="1"/>
  <c r="W287" i="24"/>
  <c r="D287" i="24"/>
  <c r="E287" i="24" s="1"/>
  <c r="F287" i="24" s="1"/>
  <c r="D283" i="24"/>
  <c r="E283" i="24" s="1"/>
  <c r="F283" i="24" s="1"/>
  <c r="W283" i="24"/>
  <c r="W281" i="24"/>
  <c r="D281" i="24"/>
  <c r="E281" i="24" s="1"/>
  <c r="F281" i="24" s="1"/>
  <c r="W279" i="24"/>
  <c r="D279" i="24"/>
  <c r="E279" i="24" s="1"/>
  <c r="F279" i="24" s="1"/>
  <c r="D277" i="24"/>
  <c r="E277" i="24" s="1"/>
  <c r="F277" i="24" s="1"/>
  <c r="W275" i="24"/>
  <c r="D275" i="24"/>
  <c r="E275" i="24" s="1"/>
  <c r="F275" i="24" s="1"/>
  <c r="W273" i="24"/>
  <c r="D273" i="24"/>
  <c r="E273" i="24" s="1"/>
  <c r="F273" i="24" s="1"/>
  <c r="D271" i="24"/>
  <c r="E271" i="24" s="1"/>
  <c r="F271" i="24" s="1"/>
  <c r="W271" i="24"/>
  <c r="D269" i="24"/>
  <c r="E269" i="24" s="1"/>
  <c r="F269" i="24" s="1"/>
  <c r="D267" i="24"/>
  <c r="E267" i="24" s="1"/>
  <c r="F267" i="24" s="1"/>
  <c r="W267" i="24"/>
  <c r="D265" i="24"/>
  <c r="E265" i="24" s="1"/>
  <c r="F265" i="24" s="1"/>
  <c r="W265" i="24"/>
  <c r="W263" i="24"/>
  <c r="D263" i="24"/>
  <c r="E263" i="24" s="1"/>
  <c r="F263" i="24" s="1"/>
  <c r="D261" i="24"/>
  <c r="E261" i="24" s="1"/>
  <c r="F261" i="24" s="1"/>
  <c r="S259" i="24"/>
  <c r="R259" i="24" s="1"/>
  <c r="P259" i="24" s="1"/>
  <c r="V259" i="24" s="1"/>
  <c r="B259" i="24" s="1"/>
  <c r="W257" i="24"/>
  <c r="D257" i="24"/>
  <c r="E257" i="24" s="1"/>
  <c r="F257" i="24" s="1"/>
  <c r="W255" i="24"/>
  <c r="D255" i="24"/>
  <c r="E255" i="24" s="1"/>
  <c r="F255" i="24" s="1"/>
  <c r="W253" i="24"/>
  <c r="S251" i="24"/>
  <c r="R251" i="24" s="1"/>
  <c r="P251" i="24" s="1"/>
  <c r="V251" i="24" s="1"/>
  <c r="B251" i="24" s="1"/>
  <c r="D249" i="24"/>
  <c r="E249" i="24" s="1"/>
  <c r="F249" i="24" s="1"/>
  <c r="W249" i="24"/>
  <c r="D247" i="24"/>
  <c r="E247" i="24" s="1"/>
  <c r="F247" i="24" s="1"/>
  <c r="W247" i="24"/>
  <c r="W245" i="24"/>
  <c r="D243" i="24"/>
  <c r="E243" i="24" s="1"/>
  <c r="F243" i="24" s="1"/>
  <c r="W243" i="24"/>
  <c r="AH63" i="7"/>
  <c r="V241" i="24"/>
  <c r="B241" i="24" s="1"/>
  <c r="D239" i="24"/>
  <c r="E239" i="24" s="1"/>
  <c r="F239" i="24" s="1"/>
  <c r="W239" i="24"/>
  <c r="S237" i="24"/>
  <c r="R237" i="24" s="1"/>
  <c r="P237" i="24" s="1"/>
  <c r="V237" i="24" s="1"/>
  <c r="B237" i="24" s="1"/>
  <c r="S235" i="24"/>
  <c r="R235" i="24" s="1"/>
  <c r="P235" i="24" s="1"/>
  <c r="V235" i="24" s="1"/>
  <c r="B235" i="24" s="1"/>
  <c r="W233" i="24"/>
  <c r="D233" i="24"/>
  <c r="E233" i="24" s="1"/>
  <c r="F233" i="24" s="1"/>
  <c r="D231" i="24"/>
  <c r="E231" i="24" s="1"/>
  <c r="F231" i="24" s="1"/>
  <c r="W231" i="24"/>
  <c r="S229" i="24"/>
  <c r="R229" i="24" s="1"/>
  <c r="P229" i="24" s="1"/>
  <c r="V229" i="24" s="1"/>
  <c r="B229" i="24" s="1"/>
  <c r="S225" i="24"/>
  <c r="R225" i="24" s="1"/>
  <c r="P225" i="24" s="1"/>
  <c r="V225" i="24" s="1"/>
  <c r="B225" i="24" s="1"/>
  <c r="D223" i="24"/>
  <c r="E223" i="24" s="1"/>
  <c r="F223" i="24" s="1"/>
  <c r="W223" i="24"/>
  <c r="S221" i="24"/>
  <c r="R221" i="24" s="1"/>
  <c r="P221" i="24" s="1"/>
  <c r="V221" i="24" s="1"/>
  <c r="B221" i="24" s="1"/>
  <c r="W219" i="24"/>
  <c r="D219" i="24"/>
  <c r="E219" i="24" s="1"/>
  <c r="F219" i="24" s="1"/>
  <c r="D217" i="24"/>
  <c r="E217" i="24" s="1"/>
  <c r="F217" i="24" s="1"/>
  <c r="W217" i="24"/>
  <c r="W215" i="24"/>
  <c r="D215" i="24"/>
  <c r="E215" i="24" s="1"/>
  <c r="F215" i="24" s="1"/>
  <c r="W211" i="24"/>
  <c r="D211" i="24"/>
  <c r="E211" i="24" s="1"/>
  <c r="F211" i="24" s="1"/>
  <c r="W209" i="24"/>
  <c r="D209" i="24"/>
  <c r="E209" i="24" s="1"/>
  <c r="F209" i="24" s="1"/>
  <c r="S207" i="24"/>
  <c r="R207" i="24" s="1"/>
  <c r="P207" i="24" s="1"/>
  <c r="V207" i="24" s="1"/>
  <c r="B207" i="24" s="1"/>
  <c r="D203" i="24"/>
  <c r="E203" i="24" s="1"/>
  <c r="F203" i="24" s="1"/>
  <c r="W203" i="24"/>
  <c r="W201" i="24"/>
  <c r="D201" i="24"/>
  <c r="E201" i="24" s="1"/>
  <c r="F201" i="24" s="1"/>
  <c r="W199" i="24"/>
  <c r="D199" i="24"/>
  <c r="E199" i="24" s="1"/>
  <c r="F199" i="24" s="1"/>
  <c r="W197" i="24"/>
  <c r="S195" i="24"/>
  <c r="R195" i="24" s="1"/>
  <c r="P195" i="24" s="1"/>
  <c r="V195" i="24" s="1"/>
  <c r="B195" i="24" s="1"/>
  <c r="D193" i="24"/>
  <c r="E193" i="24" s="1"/>
  <c r="F193" i="24" s="1"/>
  <c r="W193" i="24"/>
  <c r="D191" i="24"/>
  <c r="E191" i="24" s="1"/>
  <c r="F191" i="24" s="1"/>
  <c r="W191" i="24"/>
  <c r="W187" i="24"/>
  <c r="D187" i="24"/>
  <c r="E187" i="24" s="1"/>
  <c r="F187" i="24" s="1"/>
  <c r="D185" i="24"/>
  <c r="E185" i="24" s="1"/>
  <c r="F185" i="24" s="1"/>
  <c r="W185" i="24"/>
  <c r="D183" i="24"/>
  <c r="E183" i="24" s="1"/>
  <c r="F183" i="24" s="1"/>
  <c r="W183" i="24"/>
  <c r="S181" i="24"/>
  <c r="R181" i="24" s="1"/>
  <c r="P181" i="24" s="1"/>
  <c r="V181" i="24" s="1"/>
  <c r="B181" i="24" s="1"/>
  <c r="W179" i="24"/>
  <c r="D179" i="24"/>
  <c r="E179" i="24" s="1"/>
  <c r="F179" i="24" s="1"/>
  <c r="W177" i="24"/>
  <c r="D177" i="24"/>
  <c r="E177" i="24" s="1"/>
  <c r="F177" i="24" s="1"/>
  <c r="W175" i="24"/>
  <c r="D175" i="24"/>
  <c r="E175" i="24" s="1"/>
  <c r="F175" i="24" s="1"/>
  <c r="D173" i="24"/>
  <c r="E173" i="24" s="1"/>
  <c r="F173" i="24" s="1"/>
  <c r="D171" i="24"/>
  <c r="E171" i="24" s="1"/>
  <c r="F171" i="24" s="1"/>
  <c r="W171" i="24"/>
  <c r="D169" i="24"/>
  <c r="E169" i="24" s="1"/>
  <c r="F169" i="24" s="1"/>
  <c r="W169" i="24"/>
  <c r="D167" i="24"/>
  <c r="E167" i="24" s="1"/>
  <c r="F167" i="24" s="1"/>
  <c r="W167" i="24"/>
  <c r="W165" i="24"/>
  <c r="S163" i="24"/>
  <c r="R163" i="24" s="1"/>
  <c r="P163" i="24" s="1"/>
  <c r="V163" i="24" s="1"/>
  <c r="B163" i="24" s="1"/>
  <c r="W161" i="24"/>
  <c r="D161" i="24"/>
  <c r="E161" i="24" s="1"/>
  <c r="F161" i="24" s="1"/>
  <c r="W159" i="24"/>
  <c r="D159" i="24"/>
  <c r="E159" i="24" s="1"/>
  <c r="F159" i="24" s="1"/>
  <c r="S157" i="24"/>
  <c r="R157" i="24" s="1"/>
  <c r="P157" i="24" s="1"/>
  <c r="V157" i="24" s="1"/>
  <c r="B157" i="24" s="1"/>
  <c r="W155" i="24"/>
  <c r="D151" i="24"/>
  <c r="E151" i="24" s="1"/>
  <c r="F151" i="24" s="1"/>
  <c r="W151" i="24"/>
  <c r="AH60" i="7"/>
  <c r="V149" i="24"/>
  <c r="B149" i="24" s="1"/>
  <c r="W147" i="24"/>
  <c r="D147" i="24"/>
  <c r="E147" i="24" s="1"/>
  <c r="F147" i="24" s="1"/>
  <c r="D143" i="24"/>
  <c r="E143" i="24" s="1"/>
  <c r="F143" i="24" s="1"/>
  <c r="W143" i="24"/>
  <c r="W141" i="24"/>
  <c r="D141" i="24"/>
  <c r="E141" i="24" s="1"/>
  <c r="F141" i="24" s="1"/>
  <c r="D139" i="24"/>
  <c r="E139" i="24" s="1"/>
  <c r="F139" i="24" s="1"/>
  <c r="W133" i="24"/>
  <c r="D133" i="24"/>
  <c r="E133" i="24" s="1"/>
  <c r="F133" i="24" s="1"/>
  <c r="S131" i="24"/>
  <c r="R131" i="24" s="1"/>
  <c r="P131" i="24" s="1"/>
  <c r="V131" i="24" s="1"/>
  <c r="B131" i="24" s="1"/>
  <c r="S127" i="24"/>
  <c r="R127" i="24" s="1"/>
  <c r="P127" i="24" s="1"/>
  <c r="V127" i="24" s="1"/>
  <c r="B127" i="24" s="1"/>
  <c r="S125" i="24"/>
  <c r="R125" i="24" s="1"/>
  <c r="P125" i="24" s="1"/>
  <c r="V125" i="24" s="1"/>
  <c r="B125" i="24" s="1"/>
  <c r="S123" i="24"/>
  <c r="R123" i="24" s="1"/>
  <c r="P123" i="24" s="1"/>
  <c r="V123" i="24" s="1"/>
  <c r="B123" i="24" s="1"/>
  <c r="AH59" i="7"/>
  <c r="V119" i="24"/>
  <c r="B119" i="24" s="1"/>
  <c r="W117" i="24"/>
  <c r="D117" i="24"/>
  <c r="E117" i="24" s="1"/>
  <c r="F117" i="24" s="1"/>
  <c r="D115" i="24"/>
  <c r="E115" i="24" s="1"/>
  <c r="F115" i="24" s="1"/>
  <c r="W115" i="24"/>
  <c r="S111" i="24"/>
  <c r="R111" i="24" s="1"/>
  <c r="P111" i="24" s="1"/>
  <c r="V111" i="24" s="1"/>
  <c r="B111" i="24" s="1"/>
  <c r="D109" i="24"/>
  <c r="E109" i="24" s="1"/>
  <c r="F109" i="24" s="1"/>
  <c r="W109" i="24"/>
  <c r="W107" i="24"/>
  <c r="S103" i="24"/>
  <c r="R103" i="24" s="1"/>
  <c r="P103" i="24" s="1"/>
  <c r="V103" i="24" s="1"/>
  <c r="B103" i="24" s="1"/>
  <c r="D101" i="24"/>
  <c r="E101" i="24" s="1"/>
  <c r="F101" i="24" s="1"/>
  <c r="W101" i="24"/>
  <c r="W99" i="24"/>
  <c r="D99" i="24"/>
  <c r="E99" i="24" s="1"/>
  <c r="F99" i="24" s="1"/>
  <c r="D97" i="24"/>
  <c r="E97" i="24" s="1"/>
  <c r="F97" i="24" s="1"/>
  <c r="S95" i="24"/>
  <c r="R95" i="24" s="1"/>
  <c r="P95" i="24" s="1"/>
  <c r="V95" i="24" s="1"/>
  <c r="B95" i="24" s="1"/>
  <c r="D93" i="24"/>
  <c r="E93" i="24" s="1"/>
  <c r="F93" i="24" s="1"/>
  <c r="W93" i="24"/>
  <c r="S91" i="24"/>
  <c r="R91" i="24" s="1"/>
  <c r="P91" i="24" s="1"/>
  <c r="V91" i="24" s="1"/>
  <c r="B91" i="24" s="1"/>
  <c r="D87" i="24"/>
  <c r="E87" i="24" s="1"/>
  <c r="F87" i="24" s="1"/>
  <c r="W87" i="24"/>
  <c r="D85" i="24"/>
  <c r="E85" i="24" s="1"/>
  <c r="F85" i="24" s="1"/>
  <c r="W85" i="24"/>
  <c r="W83" i="24"/>
  <c r="D83" i="24"/>
  <c r="E83" i="24" s="1"/>
  <c r="F83" i="24" s="1"/>
  <c r="S81" i="24"/>
  <c r="R81" i="24" s="1"/>
  <c r="P81" i="24" s="1"/>
  <c r="V81" i="24" s="1"/>
  <c r="B81" i="24" s="1"/>
  <c r="D79" i="24"/>
  <c r="E79" i="24" s="1"/>
  <c r="F79" i="24" s="1"/>
  <c r="W79" i="24"/>
  <c r="W77" i="24"/>
  <c r="D77" i="24"/>
  <c r="E77" i="24" s="1"/>
  <c r="F77" i="24" s="1"/>
  <c r="S73" i="24"/>
  <c r="R73" i="24" s="1"/>
  <c r="P73" i="24" s="1"/>
  <c r="V73" i="24" s="1"/>
  <c r="B73" i="24" s="1"/>
  <c r="W71" i="24"/>
  <c r="D71" i="24"/>
  <c r="E71" i="24" s="1"/>
  <c r="F71" i="24" s="1"/>
  <c r="S69" i="24"/>
  <c r="R69" i="24" s="1"/>
  <c r="P69" i="24" s="1"/>
  <c r="V69" i="24" s="1"/>
  <c r="B69" i="24" s="1"/>
  <c r="D67" i="24"/>
  <c r="E67" i="24" s="1"/>
  <c r="F67" i="24" s="1"/>
  <c r="W67" i="24"/>
  <c r="D65" i="24"/>
  <c r="E65" i="24" s="1"/>
  <c r="F65" i="24" s="1"/>
  <c r="W63" i="24"/>
  <c r="D63" i="24"/>
  <c r="E63" i="24" s="1"/>
  <c r="F63" i="24" s="1"/>
  <c r="W61" i="24"/>
  <c r="D61" i="24"/>
  <c r="E61" i="24" s="1"/>
  <c r="F61" i="24" s="1"/>
  <c r="W59" i="24"/>
  <c r="W55" i="24"/>
  <c r="D55" i="24"/>
  <c r="E55" i="24" s="1"/>
  <c r="F55" i="24" s="1"/>
  <c r="W53" i="24"/>
  <c r="D53" i="24"/>
  <c r="E53" i="24" s="1"/>
  <c r="F53" i="24" s="1"/>
  <c r="W51" i="24"/>
  <c r="D51" i="24"/>
  <c r="E51" i="24" s="1"/>
  <c r="F51" i="24" s="1"/>
  <c r="W49" i="24"/>
  <c r="D47" i="24"/>
  <c r="E47" i="24" s="1"/>
  <c r="F47" i="24" s="1"/>
  <c r="W47" i="24"/>
  <c r="W45" i="24"/>
  <c r="D45" i="24"/>
  <c r="E45" i="24" s="1"/>
  <c r="F45" i="24" s="1"/>
  <c r="W43" i="24"/>
  <c r="D39" i="24"/>
  <c r="E39" i="24" s="1"/>
  <c r="F39" i="24" s="1"/>
  <c r="W39" i="24"/>
  <c r="W37" i="24"/>
  <c r="D37" i="24"/>
  <c r="E37" i="24" s="1"/>
  <c r="F37" i="24" s="1"/>
  <c r="W35" i="24"/>
  <c r="D35" i="24"/>
  <c r="E35" i="24" s="1"/>
  <c r="F35" i="24" s="1"/>
  <c r="S31" i="24"/>
  <c r="R31" i="24" s="1"/>
  <c r="P31" i="24" s="1"/>
  <c r="V31" i="24" s="1"/>
  <c r="B31" i="24" s="1"/>
  <c r="AH56" i="7"/>
  <c r="V29" i="24"/>
  <c r="B29" i="24" s="1"/>
  <c r="W27" i="24"/>
  <c r="D18" i="24"/>
  <c r="E18" i="24" s="1"/>
  <c r="F18" i="24" s="1"/>
  <c r="W18" i="24"/>
  <c r="S19" i="24"/>
  <c r="R19" i="24" s="1"/>
  <c r="P19" i="24" s="1"/>
  <c r="V19" i="24" s="1"/>
  <c r="B19" i="24" s="1"/>
  <c r="D16" i="24"/>
  <c r="E16" i="24" s="1"/>
  <c r="F16" i="24" s="1"/>
  <c r="W16" i="24"/>
  <c r="S24" i="24"/>
  <c r="R24" i="24" s="1"/>
  <c r="P24" i="24" s="1"/>
  <c r="V24" i="24" s="1"/>
  <c r="B24" i="24" s="1"/>
  <c r="I371" i="23"/>
  <c r="J371" i="23"/>
  <c r="J299" i="23"/>
  <c r="I299" i="23"/>
  <c r="J225" i="23"/>
  <c r="I225" i="23"/>
  <c r="S382" i="23"/>
  <c r="S383" i="23"/>
  <c r="S381" i="23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49" i="22"/>
  <c r="J149" i="22"/>
  <c r="J210" i="22"/>
  <c r="I210" i="22"/>
  <c r="B135" i="24"/>
  <c r="I258" i="22"/>
  <c r="J258" i="22"/>
  <c r="I360" i="23"/>
  <c r="J360" i="23"/>
  <c r="J316" i="23"/>
  <c r="I316" i="23"/>
  <c r="I256" i="23"/>
  <c r="J256" i="23"/>
  <c r="J214" i="23"/>
  <c r="I214" i="23"/>
  <c r="I200" i="23"/>
  <c r="J200" i="23"/>
  <c r="I186" i="23"/>
  <c r="J186" i="23"/>
  <c r="D9" i="20"/>
  <c r="D11" i="20" s="1"/>
  <c r="D381" i="20"/>
  <c r="D383" i="20"/>
  <c r="D382" i="20"/>
  <c r="E15" i="20"/>
  <c r="AK7" i="20" s="1"/>
  <c r="G378" i="23"/>
  <c r="CD378" i="6" s="1"/>
  <c r="AA378" i="23"/>
  <c r="Z378" i="23" s="1"/>
  <c r="Y378" i="23" s="1"/>
  <c r="H378" i="23"/>
  <c r="I352" i="23"/>
  <c r="J352" i="23"/>
  <c r="G346" i="23"/>
  <c r="CD346" i="6" s="1"/>
  <c r="H346" i="23"/>
  <c r="AA346" i="23"/>
  <c r="Z346" i="23" s="1"/>
  <c r="Y346" i="23" s="1"/>
  <c r="AA340" i="23"/>
  <c r="Z340" i="23" s="1"/>
  <c r="Y340" i="23" s="1"/>
  <c r="G340" i="23"/>
  <c r="CD340" i="6" s="1"/>
  <c r="H340" i="23"/>
  <c r="G326" i="23"/>
  <c r="CD326" i="6" s="1"/>
  <c r="AA326" i="23"/>
  <c r="Z326" i="23" s="1"/>
  <c r="Y326" i="23" s="1"/>
  <c r="H326" i="23"/>
  <c r="G322" i="23"/>
  <c r="CD322" i="6" s="1"/>
  <c r="H322" i="23"/>
  <c r="AA322" i="23"/>
  <c r="Z322" i="23" s="1"/>
  <c r="Y322" i="23" s="1"/>
  <c r="G312" i="23"/>
  <c r="CD312" i="6" s="1"/>
  <c r="H312" i="23"/>
  <c r="AA312" i="23"/>
  <c r="Z312" i="23" s="1"/>
  <c r="Y312" i="23" s="1"/>
  <c r="G302" i="23"/>
  <c r="CD302" i="6" s="1"/>
  <c r="H302" i="23"/>
  <c r="AA302" i="23"/>
  <c r="Z302" i="23" s="1"/>
  <c r="Y302" i="23" s="1"/>
  <c r="AA300" i="23"/>
  <c r="Z300" i="23" s="1"/>
  <c r="Y300" i="23" s="1"/>
  <c r="G300" i="23"/>
  <c r="CD300" i="6" s="1"/>
  <c r="H300" i="23"/>
  <c r="AA292" i="23"/>
  <c r="Z292" i="23" s="1"/>
  <c r="Y292" i="23" s="1"/>
  <c r="H292" i="23"/>
  <c r="G292" i="23"/>
  <c r="CD292" i="6" s="1"/>
  <c r="AA276" i="23"/>
  <c r="Z276" i="23" s="1"/>
  <c r="Y276" i="23" s="1"/>
  <c r="H276" i="23"/>
  <c r="G276" i="23"/>
  <c r="CD276" i="6" s="1"/>
  <c r="AA232" i="23"/>
  <c r="Z232" i="23" s="1"/>
  <c r="Y232" i="23" s="1"/>
  <c r="H232" i="23"/>
  <c r="G232" i="23"/>
  <c r="CD232" i="6" s="1"/>
  <c r="G222" i="23"/>
  <c r="CD222" i="6" s="1"/>
  <c r="H222" i="23"/>
  <c r="AA222" i="23"/>
  <c r="Z222" i="23" s="1"/>
  <c r="Y222" i="23" s="1"/>
  <c r="G194" i="23"/>
  <c r="CD194" i="6" s="1"/>
  <c r="AA194" i="23"/>
  <c r="Z194" i="23" s="1"/>
  <c r="Y194" i="23" s="1"/>
  <c r="H194" i="23"/>
  <c r="I168" i="23"/>
  <c r="J168" i="23"/>
  <c r="G156" i="23"/>
  <c r="CD156" i="6" s="1"/>
  <c r="H156" i="23"/>
  <c r="AA156" i="23"/>
  <c r="Z156" i="23" s="1"/>
  <c r="Y156" i="23" s="1"/>
  <c r="G150" i="23"/>
  <c r="CD150" i="6" s="1"/>
  <c r="H150" i="23"/>
  <c r="AA150" i="23"/>
  <c r="Z150" i="23" s="1"/>
  <c r="Y150" i="23" s="1"/>
  <c r="G146" i="23"/>
  <c r="CD146" i="6" s="1"/>
  <c r="AA146" i="23"/>
  <c r="Z146" i="23" s="1"/>
  <c r="Y146" i="23" s="1"/>
  <c r="H146" i="23"/>
  <c r="AA140" i="23"/>
  <c r="Z140" i="23" s="1"/>
  <c r="Y140" i="23" s="1"/>
  <c r="H140" i="23"/>
  <c r="G140" i="23"/>
  <c r="CD140" i="6" s="1"/>
  <c r="G130" i="23"/>
  <c r="CD130" i="6" s="1"/>
  <c r="H130" i="23"/>
  <c r="AA130" i="23"/>
  <c r="Z130" i="23" s="1"/>
  <c r="Y130" i="23" s="1"/>
  <c r="I112" i="23"/>
  <c r="J112" i="23"/>
  <c r="I100" i="23"/>
  <c r="J100" i="23"/>
  <c r="G90" i="23"/>
  <c r="CD90" i="6" s="1"/>
  <c r="H90" i="23"/>
  <c r="AA90" i="23"/>
  <c r="Z90" i="23" s="1"/>
  <c r="Y90" i="23" s="1"/>
  <c r="G74" i="23"/>
  <c r="CD74" i="6" s="1"/>
  <c r="AA74" i="23"/>
  <c r="Z74" i="23" s="1"/>
  <c r="Y74" i="23" s="1"/>
  <c r="H74" i="23"/>
  <c r="AA50" i="23"/>
  <c r="Z50" i="23" s="1"/>
  <c r="Y50" i="23" s="1"/>
  <c r="H50" i="23"/>
  <c r="G50" i="23"/>
  <c r="CD50" i="6" s="1"/>
  <c r="AA36" i="23"/>
  <c r="Z36" i="23" s="1"/>
  <c r="Y36" i="23" s="1"/>
  <c r="H36" i="23"/>
  <c r="G36" i="23"/>
  <c r="CD36" i="6" s="1"/>
  <c r="G28" i="23"/>
  <c r="CD28" i="6" s="1"/>
  <c r="H28" i="23"/>
  <c r="AA28" i="23"/>
  <c r="Z28" i="23" s="1"/>
  <c r="Y28" i="23" s="1"/>
  <c r="G105" i="23"/>
  <c r="CD105" i="6" s="1"/>
  <c r="AA105" i="23"/>
  <c r="Z105" i="23" s="1"/>
  <c r="Y105" i="23" s="1"/>
  <c r="G353" i="23"/>
  <c r="CD353" i="6" s="1"/>
  <c r="AA353" i="23"/>
  <c r="Z353" i="23" s="1"/>
  <c r="Y353" i="23" s="1"/>
  <c r="H353" i="23"/>
  <c r="AA343" i="23"/>
  <c r="Z343" i="23" s="1"/>
  <c r="Y343" i="23" s="1"/>
  <c r="H343" i="23"/>
  <c r="G343" i="23"/>
  <c r="CD343" i="6" s="1"/>
  <c r="AA265" i="23"/>
  <c r="Z265" i="23" s="1"/>
  <c r="Y265" i="23" s="1"/>
  <c r="G265" i="23"/>
  <c r="CD265" i="6" s="1"/>
  <c r="H265" i="23"/>
  <c r="AA203" i="23"/>
  <c r="Z203" i="23" s="1"/>
  <c r="Y203" i="23" s="1"/>
  <c r="H203" i="23"/>
  <c r="G203" i="23"/>
  <c r="CD203" i="6" s="1"/>
  <c r="AA179" i="23"/>
  <c r="Z179" i="23" s="1"/>
  <c r="Y179" i="23" s="1"/>
  <c r="G179" i="23"/>
  <c r="CD179" i="6" s="1"/>
  <c r="H179" i="23"/>
  <c r="AA161" i="23"/>
  <c r="Z161" i="23" s="1"/>
  <c r="Y161" i="23" s="1"/>
  <c r="H161" i="23"/>
  <c r="G161" i="23"/>
  <c r="CD161" i="6" s="1"/>
  <c r="G131" i="23"/>
  <c r="CD131" i="6" s="1"/>
  <c r="AA131" i="23"/>
  <c r="Z131" i="23" s="1"/>
  <c r="Y131" i="23" s="1"/>
  <c r="H131" i="23"/>
  <c r="AA83" i="23"/>
  <c r="Z83" i="23" s="1"/>
  <c r="Y83" i="23" s="1"/>
  <c r="H83" i="23"/>
  <c r="G83" i="23"/>
  <c r="CD83" i="6" s="1"/>
  <c r="G31" i="23"/>
  <c r="CD31" i="6" s="1"/>
  <c r="AA31" i="23"/>
  <c r="Z31" i="23" s="1"/>
  <c r="Y31" i="23" s="1"/>
  <c r="H31" i="23"/>
  <c r="AA370" i="23"/>
  <c r="Z370" i="23" s="1"/>
  <c r="Y370" i="23" s="1"/>
  <c r="G370" i="23"/>
  <c r="CD370" i="6" s="1"/>
  <c r="H370" i="23"/>
  <c r="AA362" i="23"/>
  <c r="Z362" i="23" s="1"/>
  <c r="Y362" i="23" s="1"/>
  <c r="G362" i="23"/>
  <c r="CD362" i="6" s="1"/>
  <c r="H362" i="23"/>
  <c r="G348" i="23"/>
  <c r="CD348" i="6" s="1"/>
  <c r="H348" i="23"/>
  <c r="AA348" i="23"/>
  <c r="Z348" i="23" s="1"/>
  <c r="Y348" i="23" s="1"/>
  <c r="G274" i="23"/>
  <c r="CD274" i="6" s="1"/>
  <c r="AA274" i="23"/>
  <c r="Z274" i="23" s="1"/>
  <c r="Y274" i="23" s="1"/>
  <c r="H274" i="23"/>
  <c r="AA220" i="23"/>
  <c r="Z220" i="23" s="1"/>
  <c r="Y220" i="23" s="1"/>
  <c r="G220" i="23"/>
  <c r="CD220" i="6" s="1"/>
  <c r="H220" i="23"/>
  <c r="AA212" i="23"/>
  <c r="Z212" i="23" s="1"/>
  <c r="Y212" i="23" s="1"/>
  <c r="G212" i="23"/>
  <c r="CD212" i="6" s="1"/>
  <c r="H212" i="23"/>
  <c r="AA190" i="23"/>
  <c r="Z190" i="23" s="1"/>
  <c r="Y190" i="23" s="1"/>
  <c r="G190" i="23"/>
  <c r="CD190" i="6" s="1"/>
  <c r="H190" i="23"/>
  <c r="AA176" i="23"/>
  <c r="Z176" i="23" s="1"/>
  <c r="Y176" i="23" s="1"/>
  <c r="H176" i="23"/>
  <c r="G176" i="23"/>
  <c r="CD176" i="6" s="1"/>
  <c r="AA108" i="23"/>
  <c r="Z108" i="23" s="1"/>
  <c r="Y108" i="23" s="1"/>
  <c r="H108" i="23"/>
  <c r="G108" i="23"/>
  <c r="CD108" i="6" s="1"/>
  <c r="G104" i="23"/>
  <c r="CD104" i="6" s="1"/>
  <c r="H104" i="23"/>
  <c r="AA104" i="23"/>
  <c r="Z104" i="23" s="1"/>
  <c r="Y104" i="23" s="1"/>
  <c r="AA96" i="23"/>
  <c r="Z96" i="23" s="1"/>
  <c r="Y96" i="23" s="1"/>
  <c r="G96" i="23"/>
  <c r="CD96" i="6" s="1"/>
  <c r="H96" i="23"/>
  <c r="G70" i="23"/>
  <c r="CD70" i="6" s="1"/>
  <c r="H70" i="23"/>
  <c r="AA70" i="23"/>
  <c r="Z70" i="23" s="1"/>
  <c r="Y70" i="23" s="1"/>
  <c r="G48" i="23"/>
  <c r="CD48" i="6" s="1"/>
  <c r="H48" i="23"/>
  <c r="AA48" i="23"/>
  <c r="Z48" i="23" s="1"/>
  <c r="Y48" i="23" s="1"/>
  <c r="AA38" i="23"/>
  <c r="Z38" i="23" s="1"/>
  <c r="Y38" i="23" s="1"/>
  <c r="H38" i="23"/>
  <c r="G38" i="23"/>
  <c r="CD38" i="6" s="1"/>
  <c r="H23" i="23"/>
  <c r="G23" i="23"/>
  <c r="CD23" i="6" s="1"/>
  <c r="AA23" i="23"/>
  <c r="Z23" i="23" s="1"/>
  <c r="Y23" i="23" s="1"/>
  <c r="G289" i="23"/>
  <c r="CD289" i="6" s="1"/>
  <c r="AA289" i="23"/>
  <c r="Z289" i="23" s="1"/>
  <c r="Y289" i="23" s="1"/>
  <c r="H289" i="23"/>
  <c r="AA285" i="23"/>
  <c r="Z285" i="23" s="1"/>
  <c r="Y285" i="23" s="1"/>
  <c r="H285" i="23"/>
  <c r="G285" i="23"/>
  <c r="CD285" i="6" s="1"/>
  <c r="G269" i="23"/>
  <c r="CD269" i="6" s="1"/>
  <c r="AA269" i="23"/>
  <c r="Z269" i="23" s="1"/>
  <c r="Y269" i="23" s="1"/>
  <c r="H269" i="23"/>
  <c r="AA253" i="23"/>
  <c r="Z253" i="23" s="1"/>
  <c r="Y253" i="23" s="1"/>
  <c r="G253" i="23"/>
  <c r="CD253" i="6" s="1"/>
  <c r="H253" i="23"/>
  <c r="G173" i="23"/>
  <c r="CD173" i="6" s="1"/>
  <c r="AA173" i="23"/>
  <c r="Z173" i="23" s="1"/>
  <c r="Y173" i="23" s="1"/>
  <c r="H173" i="23"/>
  <c r="G163" i="23"/>
  <c r="CD163" i="6" s="1"/>
  <c r="H163" i="23"/>
  <c r="AA163" i="23"/>
  <c r="Z163" i="23" s="1"/>
  <c r="Y163" i="23" s="1"/>
  <c r="AA155" i="23"/>
  <c r="Z155" i="23" s="1"/>
  <c r="Y155" i="23" s="1"/>
  <c r="G155" i="23"/>
  <c r="CD155" i="6" s="1"/>
  <c r="H155" i="23"/>
  <c r="G39" i="23"/>
  <c r="CD39" i="6" s="1"/>
  <c r="H39" i="23"/>
  <c r="AA39" i="23"/>
  <c r="Z39" i="23" s="1"/>
  <c r="Y39" i="23" s="1"/>
  <c r="AA366" i="23"/>
  <c r="Z366" i="23" s="1"/>
  <c r="Y366" i="23" s="1"/>
  <c r="H366" i="23"/>
  <c r="G366" i="23"/>
  <c r="CD366" i="6" s="1"/>
  <c r="G356" i="23"/>
  <c r="CD356" i="6" s="1"/>
  <c r="AA356" i="23"/>
  <c r="Z356" i="23" s="1"/>
  <c r="Y356" i="23" s="1"/>
  <c r="H356" i="23"/>
  <c r="G304" i="23"/>
  <c r="CD304" i="6" s="1"/>
  <c r="AA304" i="23"/>
  <c r="Z304" i="23" s="1"/>
  <c r="Y304" i="23" s="1"/>
  <c r="H304" i="23"/>
  <c r="AA294" i="23"/>
  <c r="Z294" i="23" s="1"/>
  <c r="Y294" i="23" s="1"/>
  <c r="G294" i="23"/>
  <c r="CD294" i="6" s="1"/>
  <c r="H294" i="23"/>
  <c r="AA282" i="23"/>
  <c r="Z282" i="23" s="1"/>
  <c r="Y282" i="23" s="1"/>
  <c r="H282" i="23"/>
  <c r="G282" i="23"/>
  <c r="CD282" i="6" s="1"/>
  <c r="AA266" i="23"/>
  <c r="Z266" i="23" s="1"/>
  <c r="Y266" i="23" s="1"/>
  <c r="H266" i="23"/>
  <c r="G266" i="23"/>
  <c r="CD266" i="6" s="1"/>
  <c r="AA244" i="23"/>
  <c r="Z244" i="23" s="1"/>
  <c r="Y244" i="23" s="1"/>
  <c r="H244" i="23"/>
  <c r="G244" i="23"/>
  <c r="CD244" i="6" s="1"/>
  <c r="G224" i="23"/>
  <c r="CD224" i="6" s="1"/>
  <c r="AA224" i="23"/>
  <c r="Z224" i="23" s="1"/>
  <c r="Y224" i="23" s="1"/>
  <c r="H224" i="23"/>
  <c r="G216" i="23"/>
  <c r="CD216" i="6" s="1"/>
  <c r="H216" i="23"/>
  <c r="AA216" i="23"/>
  <c r="Z216" i="23" s="1"/>
  <c r="Y216" i="23" s="1"/>
  <c r="AA204" i="23"/>
  <c r="Z204" i="23" s="1"/>
  <c r="Y204" i="23" s="1"/>
  <c r="G204" i="23"/>
  <c r="CD204" i="6" s="1"/>
  <c r="H204" i="23"/>
  <c r="G172" i="23"/>
  <c r="CD172" i="6" s="1"/>
  <c r="AA172" i="23"/>
  <c r="Z172" i="23" s="1"/>
  <c r="Y172" i="23" s="1"/>
  <c r="H172" i="23"/>
  <c r="G148" i="23"/>
  <c r="CD148" i="6" s="1"/>
  <c r="H148" i="23"/>
  <c r="AA148" i="23"/>
  <c r="Z148" i="23" s="1"/>
  <c r="Y148" i="23" s="1"/>
  <c r="G106" i="23"/>
  <c r="CD106" i="6" s="1"/>
  <c r="H106" i="23"/>
  <c r="AA106" i="23"/>
  <c r="Z106" i="23" s="1"/>
  <c r="Y106" i="23" s="1"/>
  <c r="AA80" i="23"/>
  <c r="Z80" i="23" s="1"/>
  <c r="Y80" i="23" s="1"/>
  <c r="G80" i="23"/>
  <c r="CD80" i="6" s="1"/>
  <c r="H80" i="23"/>
  <c r="G76" i="23"/>
  <c r="CD76" i="6" s="1"/>
  <c r="H76" i="23"/>
  <c r="AA76" i="23"/>
  <c r="Z76" i="23" s="1"/>
  <c r="Y76" i="23" s="1"/>
  <c r="G68" i="23"/>
  <c r="CD68" i="6" s="1"/>
  <c r="H68" i="23"/>
  <c r="AA68" i="23"/>
  <c r="Z68" i="23" s="1"/>
  <c r="Y68" i="23" s="1"/>
  <c r="G52" i="23"/>
  <c r="CD52" i="6" s="1"/>
  <c r="H52" i="23"/>
  <c r="AA52" i="23"/>
  <c r="Z52" i="23" s="1"/>
  <c r="Y52" i="23" s="1"/>
  <c r="AA40" i="23"/>
  <c r="Z40" i="23" s="1"/>
  <c r="Y40" i="23" s="1"/>
  <c r="H40" i="23"/>
  <c r="G40" i="23"/>
  <c r="CD40" i="6" s="1"/>
  <c r="D21" i="24" l="1"/>
  <c r="E21" i="24" s="1"/>
  <c r="F21" i="24" s="1"/>
  <c r="D41" i="24"/>
  <c r="E41" i="24" s="1"/>
  <c r="F41" i="24" s="1"/>
  <c r="W89" i="24"/>
  <c r="W129" i="24"/>
  <c r="AI19" i="24"/>
  <c r="AH19" i="24" s="1"/>
  <c r="AG19" i="24" s="1"/>
  <c r="AF19" i="24" s="1"/>
  <c r="AD19" i="24" s="1"/>
  <c r="AI33" i="24"/>
  <c r="AH33" i="24" s="1"/>
  <c r="AG33" i="24" s="1"/>
  <c r="AF33" i="24" s="1"/>
  <c r="AD33" i="24" s="1"/>
  <c r="AI49" i="24"/>
  <c r="AH49" i="24" s="1"/>
  <c r="AG49" i="24" s="1"/>
  <c r="AF49" i="24" s="1"/>
  <c r="AD49" i="24" s="1"/>
  <c r="AI65" i="24"/>
  <c r="AH65" i="24" s="1"/>
  <c r="AG65" i="24" s="1"/>
  <c r="AF65" i="24" s="1"/>
  <c r="AD65" i="24" s="1"/>
  <c r="AI81" i="24"/>
  <c r="AH81" i="24" s="1"/>
  <c r="AG81" i="24" s="1"/>
  <c r="AF81" i="24" s="1"/>
  <c r="AD81" i="24" s="1"/>
  <c r="AI97" i="24"/>
  <c r="AH97" i="24" s="1"/>
  <c r="AG97" i="24" s="1"/>
  <c r="AF97" i="24" s="1"/>
  <c r="AD97" i="24" s="1"/>
  <c r="AI113" i="24"/>
  <c r="AH113" i="24" s="1"/>
  <c r="AG113" i="24" s="1"/>
  <c r="AF113" i="24" s="1"/>
  <c r="AD113" i="24" s="1"/>
  <c r="AI129" i="24"/>
  <c r="AH129" i="24" s="1"/>
  <c r="AG129" i="24" s="1"/>
  <c r="AF129" i="24" s="1"/>
  <c r="AD129" i="24" s="1"/>
  <c r="AI145" i="24"/>
  <c r="AH145" i="24" s="1"/>
  <c r="AG145" i="24" s="1"/>
  <c r="AF145" i="24" s="1"/>
  <c r="AD145" i="24" s="1"/>
  <c r="AI161" i="24"/>
  <c r="AH161" i="24" s="1"/>
  <c r="AG161" i="24" s="1"/>
  <c r="AF161" i="24" s="1"/>
  <c r="AD161" i="24" s="1"/>
  <c r="AI177" i="24"/>
  <c r="AH177" i="24" s="1"/>
  <c r="AG177" i="24" s="1"/>
  <c r="AF177" i="24" s="1"/>
  <c r="AD177" i="24" s="1"/>
  <c r="AI193" i="24"/>
  <c r="AH193" i="24" s="1"/>
  <c r="AG193" i="24" s="1"/>
  <c r="AF193" i="24" s="1"/>
  <c r="AD193" i="24" s="1"/>
  <c r="AI209" i="24"/>
  <c r="AH209" i="24" s="1"/>
  <c r="AG209" i="24" s="1"/>
  <c r="AF209" i="24" s="1"/>
  <c r="AD209" i="24" s="1"/>
  <c r="AI225" i="24"/>
  <c r="AH225" i="24" s="1"/>
  <c r="AG225" i="24" s="1"/>
  <c r="AF225" i="24" s="1"/>
  <c r="AD225" i="24" s="1"/>
  <c r="AI241" i="24"/>
  <c r="AH241" i="24" s="1"/>
  <c r="AG241" i="24" s="1"/>
  <c r="AF241" i="24" s="1"/>
  <c r="AD241" i="24" s="1"/>
  <c r="AI257" i="24"/>
  <c r="AH257" i="24" s="1"/>
  <c r="AG257" i="24" s="1"/>
  <c r="AF257" i="24" s="1"/>
  <c r="AD257" i="24" s="1"/>
  <c r="AI273" i="24"/>
  <c r="AH273" i="24" s="1"/>
  <c r="AG273" i="24" s="1"/>
  <c r="AF273" i="24" s="1"/>
  <c r="AD273" i="24" s="1"/>
  <c r="AI289" i="24"/>
  <c r="AH289" i="24" s="1"/>
  <c r="AG289" i="24" s="1"/>
  <c r="AF289" i="24" s="1"/>
  <c r="AD289" i="24" s="1"/>
  <c r="AI305" i="24"/>
  <c r="AH305" i="24" s="1"/>
  <c r="AG305" i="24" s="1"/>
  <c r="AF305" i="24" s="1"/>
  <c r="AD305" i="24" s="1"/>
  <c r="AI321" i="24"/>
  <c r="AH321" i="24" s="1"/>
  <c r="AG321" i="24" s="1"/>
  <c r="AF321" i="24" s="1"/>
  <c r="AD321" i="24" s="1"/>
  <c r="AI337" i="24"/>
  <c r="AH337" i="24" s="1"/>
  <c r="AG337" i="24" s="1"/>
  <c r="AF337" i="24" s="1"/>
  <c r="AD337" i="24" s="1"/>
  <c r="AI353" i="24"/>
  <c r="AH353" i="24" s="1"/>
  <c r="AG353" i="24" s="1"/>
  <c r="AF353" i="24" s="1"/>
  <c r="AD353" i="24" s="1"/>
  <c r="AI362" i="24"/>
  <c r="AH362" i="24" s="1"/>
  <c r="AG362" i="24" s="1"/>
  <c r="AF362" i="24" s="1"/>
  <c r="AD362" i="24" s="1"/>
  <c r="AI370" i="24"/>
  <c r="AH370" i="24" s="1"/>
  <c r="AG370" i="24" s="1"/>
  <c r="AF370" i="24" s="1"/>
  <c r="AD370" i="24" s="1"/>
  <c r="AI378" i="24"/>
  <c r="AH378" i="24" s="1"/>
  <c r="AG378" i="24" s="1"/>
  <c r="AF378" i="24" s="1"/>
  <c r="AD378" i="24" s="1"/>
  <c r="AI348" i="24"/>
  <c r="AH348" i="24" s="1"/>
  <c r="AG348" i="24" s="1"/>
  <c r="AF348" i="24" s="1"/>
  <c r="AD348" i="24" s="1"/>
  <c r="AI340" i="24"/>
  <c r="AH340" i="24" s="1"/>
  <c r="AG340" i="24" s="1"/>
  <c r="AF340" i="24" s="1"/>
  <c r="AD340" i="24" s="1"/>
  <c r="AI332" i="24"/>
  <c r="AH332" i="24" s="1"/>
  <c r="AG332" i="24" s="1"/>
  <c r="AF332" i="24" s="1"/>
  <c r="AD332" i="24" s="1"/>
  <c r="AI324" i="24"/>
  <c r="AH324" i="24" s="1"/>
  <c r="AG324" i="24" s="1"/>
  <c r="AF324" i="24" s="1"/>
  <c r="AD324" i="24" s="1"/>
  <c r="AI316" i="24"/>
  <c r="AH316" i="24" s="1"/>
  <c r="AG316" i="24" s="1"/>
  <c r="AF316" i="24" s="1"/>
  <c r="AD316" i="24" s="1"/>
  <c r="AI308" i="24"/>
  <c r="AH308" i="24" s="1"/>
  <c r="AG308" i="24" s="1"/>
  <c r="AF308" i="24" s="1"/>
  <c r="AD308" i="24" s="1"/>
  <c r="AI300" i="24"/>
  <c r="AH300" i="24" s="1"/>
  <c r="AG300" i="24" s="1"/>
  <c r="AF300" i="24" s="1"/>
  <c r="AD300" i="24" s="1"/>
  <c r="AI292" i="24"/>
  <c r="AH292" i="24" s="1"/>
  <c r="AG292" i="24" s="1"/>
  <c r="AF292" i="24" s="1"/>
  <c r="AD292" i="24" s="1"/>
  <c r="AI284" i="24"/>
  <c r="AH284" i="24" s="1"/>
  <c r="AG284" i="24" s="1"/>
  <c r="AF284" i="24" s="1"/>
  <c r="AD284" i="24" s="1"/>
  <c r="AI276" i="24"/>
  <c r="AH276" i="24" s="1"/>
  <c r="AG276" i="24" s="1"/>
  <c r="AF276" i="24" s="1"/>
  <c r="AD276" i="24" s="1"/>
  <c r="AI268" i="24"/>
  <c r="AH268" i="24" s="1"/>
  <c r="AG268" i="24" s="1"/>
  <c r="AF268" i="24" s="1"/>
  <c r="AD268" i="24" s="1"/>
  <c r="AI260" i="24"/>
  <c r="AH260" i="24" s="1"/>
  <c r="AG260" i="24" s="1"/>
  <c r="AF260" i="24" s="1"/>
  <c r="AD260" i="24" s="1"/>
  <c r="AI250" i="24"/>
  <c r="AH250" i="24" s="1"/>
  <c r="AG250" i="24" s="1"/>
  <c r="AF250" i="24" s="1"/>
  <c r="AD250" i="24" s="1"/>
  <c r="AI234" i="24"/>
  <c r="AH234" i="24" s="1"/>
  <c r="AG234" i="24" s="1"/>
  <c r="AF234" i="24" s="1"/>
  <c r="AD234" i="24" s="1"/>
  <c r="AI218" i="24"/>
  <c r="AH218" i="24" s="1"/>
  <c r="AG218" i="24" s="1"/>
  <c r="AF218" i="24" s="1"/>
  <c r="AD218" i="24" s="1"/>
  <c r="AI202" i="24"/>
  <c r="AH202" i="24" s="1"/>
  <c r="AG202" i="24" s="1"/>
  <c r="AF202" i="24" s="1"/>
  <c r="AD202" i="24" s="1"/>
  <c r="AI186" i="24"/>
  <c r="AH186" i="24" s="1"/>
  <c r="AG186" i="24" s="1"/>
  <c r="AF186" i="24" s="1"/>
  <c r="AD186" i="24" s="1"/>
  <c r="AI170" i="24"/>
  <c r="AH170" i="24" s="1"/>
  <c r="AG170" i="24" s="1"/>
  <c r="AF170" i="24" s="1"/>
  <c r="AD170" i="24" s="1"/>
  <c r="AI154" i="24"/>
  <c r="AH154" i="24" s="1"/>
  <c r="AG154" i="24" s="1"/>
  <c r="AF154" i="24" s="1"/>
  <c r="AD154" i="24" s="1"/>
  <c r="AI138" i="24"/>
  <c r="AH138" i="24" s="1"/>
  <c r="AG138" i="24" s="1"/>
  <c r="AF138" i="24" s="1"/>
  <c r="AD138" i="24" s="1"/>
  <c r="AI122" i="24"/>
  <c r="AH122" i="24" s="1"/>
  <c r="AG122" i="24" s="1"/>
  <c r="AF122" i="24" s="1"/>
  <c r="AD122" i="24" s="1"/>
  <c r="AI106" i="24"/>
  <c r="AH106" i="24" s="1"/>
  <c r="AG106" i="24" s="1"/>
  <c r="AF106" i="24" s="1"/>
  <c r="AD106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58" i="24"/>
  <c r="AH58" i="24" s="1"/>
  <c r="AG58" i="24" s="1"/>
  <c r="AF58" i="24" s="1"/>
  <c r="AD58" i="24" s="1"/>
  <c r="AI42" i="24"/>
  <c r="AH42" i="24" s="1"/>
  <c r="AG42" i="24" s="1"/>
  <c r="AF42" i="24" s="1"/>
  <c r="AD42" i="24" s="1"/>
  <c r="AI26" i="24"/>
  <c r="AH26" i="24" s="1"/>
  <c r="AG26" i="24" s="1"/>
  <c r="AF26" i="24" s="1"/>
  <c r="AD26" i="24" s="1"/>
  <c r="AI359" i="24"/>
  <c r="AH359" i="24" s="1"/>
  <c r="AG359" i="24" s="1"/>
  <c r="AF359" i="24" s="1"/>
  <c r="AD359" i="24" s="1"/>
  <c r="AI299" i="24"/>
  <c r="AH299" i="24" s="1"/>
  <c r="AG299" i="24" s="1"/>
  <c r="AF299" i="24" s="1"/>
  <c r="AD299" i="24" s="1"/>
  <c r="AI235" i="24"/>
  <c r="AH235" i="24" s="1"/>
  <c r="AG235" i="24" s="1"/>
  <c r="AF235" i="24" s="1"/>
  <c r="AD235" i="24" s="1"/>
  <c r="AI171" i="24"/>
  <c r="AH171" i="24" s="1"/>
  <c r="AG171" i="24" s="1"/>
  <c r="AF171" i="24" s="1"/>
  <c r="AD171" i="24" s="1"/>
  <c r="AI107" i="24"/>
  <c r="AH107" i="24" s="1"/>
  <c r="AG107" i="24" s="1"/>
  <c r="AF107" i="24" s="1"/>
  <c r="AD107" i="24" s="1"/>
  <c r="AI18" i="24"/>
  <c r="AH18" i="24" s="1"/>
  <c r="AG18" i="24" s="1"/>
  <c r="AF18" i="24" s="1"/>
  <c r="AD18" i="24" s="1"/>
  <c r="AI35" i="24"/>
  <c r="AH35" i="24" s="1"/>
  <c r="AG35" i="24" s="1"/>
  <c r="AF35" i="24" s="1"/>
  <c r="AD35" i="24" s="1"/>
  <c r="AI51" i="24"/>
  <c r="AH51" i="24" s="1"/>
  <c r="AG51" i="24" s="1"/>
  <c r="AF51" i="24" s="1"/>
  <c r="AD51" i="24" s="1"/>
  <c r="AI67" i="24"/>
  <c r="AH67" i="24" s="1"/>
  <c r="AG67" i="24" s="1"/>
  <c r="AF67" i="24" s="1"/>
  <c r="AD67" i="24" s="1"/>
  <c r="AI83" i="24"/>
  <c r="AH83" i="24" s="1"/>
  <c r="AG83" i="24" s="1"/>
  <c r="AF83" i="24" s="1"/>
  <c r="AD83" i="24" s="1"/>
  <c r="AI99" i="24"/>
  <c r="AH99" i="24" s="1"/>
  <c r="AG99" i="24" s="1"/>
  <c r="AF99" i="24" s="1"/>
  <c r="AD99" i="24" s="1"/>
  <c r="AI115" i="24"/>
  <c r="AH115" i="24" s="1"/>
  <c r="AG115" i="24" s="1"/>
  <c r="AF115" i="24" s="1"/>
  <c r="AD115" i="24" s="1"/>
  <c r="AI131" i="24"/>
  <c r="AH131" i="24" s="1"/>
  <c r="AG131" i="24" s="1"/>
  <c r="AF131" i="24" s="1"/>
  <c r="AD131" i="24" s="1"/>
  <c r="AI147" i="24"/>
  <c r="AH147" i="24" s="1"/>
  <c r="AG147" i="24" s="1"/>
  <c r="AF147" i="24" s="1"/>
  <c r="AD147" i="24" s="1"/>
  <c r="AI163" i="24"/>
  <c r="AH163" i="24" s="1"/>
  <c r="AG163" i="24" s="1"/>
  <c r="AF163" i="24" s="1"/>
  <c r="AD163" i="24" s="1"/>
  <c r="AI179" i="24"/>
  <c r="AH179" i="24" s="1"/>
  <c r="AG179" i="24" s="1"/>
  <c r="AF179" i="24" s="1"/>
  <c r="AD179" i="24" s="1"/>
  <c r="AI195" i="24"/>
  <c r="AH195" i="24" s="1"/>
  <c r="AG195" i="24" s="1"/>
  <c r="AF195" i="24" s="1"/>
  <c r="AD195" i="24" s="1"/>
  <c r="AI211" i="24"/>
  <c r="AH211" i="24" s="1"/>
  <c r="AG211" i="24" s="1"/>
  <c r="AF211" i="24" s="1"/>
  <c r="AD211" i="24" s="1"/>
  <c r="AI227" i="24"/>
  <c r="AH227" i="24" s="1"/>
  <c r="AG227" i="24" s="1"/>
  <c r="AF227" i="24" s="1"/>
  <c r="AD227" i="24" s="1"/>
  <c r="AI243" i="24"/>
  <c r="AH243" i="24" s="1"/>
  <c r="AG243" i="24" s="1"/>
  <c r="AF243" i="24" s="1"/>
  <c r="AD243" i="24" s="1"/>
  <c r="AI259" i="24"/>
  <c r="AH259" i="24" s="1"/>
  <c r="AG259" i="24" s="1"/>
  <c r="AF259" i="24" s="1"/>
  <c r="AD259" i="24" s="1"/>
  <c r="AI275" i="24"/>
  <c r="AH275" i="24" s="1"/>
  <c r="AG275" i="24" s="1"/>
  <c r="AF275" i="24" s="1"/>
  <c r="AD275" i="24" s="1"/>
  <c r="AI291" i="24"/>
  <c r="AH291" i="24" s="1"/>
  <c r="AG291" i="24" s="1"/>
  <c r="AF291" i="24" s="1"/>
  <c r="AD291" i="24" s="1"/>
  <c r="AI307" i="24"/>
  <c r="AH307" i="24" s="1"/>
  <c r="AG307" i="24" s="1"/>
  <c r="AF307" i="24" s="1"/>
  <c r="AD307" i="24" s="1"/>
  <c r="AI323" i="24"/>
  <c r="AH323" i="24" s="1"/>
  <c r="AG323" i="24" s="1"/>
  <c r="AF323" i="24" s="1"/>
  <c r="AD323" i="24" s="1"/>
  <c r="AI339" i="24"/>
  <c r="AH339" i="24" s="1"/>
  <c r="AG339" i="24" s="1"/>
  <c r="AF339" i="24" s="1"/>
  <c r="AD339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12" i="25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U382" i="24"/>
  <c r="AI21" i="24"/>
  <c r="AH21" i="24" s="1"/>
  <c r="AG21" i="24" s="1"/>
  <c r="AF21" i="24" s="1"/>
  <c r="AD21" i="24" s="1"/>
  <c r="AI29" i="24"/>
  <c r="AH29" i="24" s="1"/>
  <c r="AG29" i="24" s="1"/>
  <c r="AF29" i="24" s="1"/>
  <c r="AD29" i="24" s="1"/>
  <c r="AI37" i="24"/>
  <c r="AH37" i="24" s="1"/>
  <c r="AG37" i="24" s="1"/>
  <c r="AF37" i="24" s="1"/>
  <c r="AD37" i="24" s="1"/>
  <c r="AI45" i="24"/>
  <c r="AH45" i="24" s="1"/>
  <c r="AG45" i="24" s="1"/>
  <c r="AF45" i="24" s="1"/>
  <c r="AD45" i="24" s="1"/>
  <c r="AI53" i="24"/>
  <c r="AH53" i="24" s="1"/>
  <c r="AG53" i="24" s="1"/>
  <c r="AF53" i="24" s="1"/>
  <c r="AD53" i="24" s="1"/>
  <c r="AI61" i="24"/>
  <c r="AH61" i="24" s="1"/>
  <c r="AG61" i="24" s="1"/>
  <c r="AF61" i="24" s="1"/>
  <c r="AD61" i="24" s="1"/>
  <c r="AI69" i="24"/>
  <c r="AH69" i="24" s="1"/>
  <c r="AG69" i="24" s="1"/>
  <c r="AF69" i="24" s="1"/>
  <c r="AD69" i="24" s="1"/>
  <c r="AI77" i="24"/>
  <c r="AH77" i="24" s="1"/>
  <c r="AG77" i="24" s="1"/>
  <c r="AF77" i="24" s="1"/>
  <c r="AD77" i="24" s="1"/>
  <c r="AI85" i="24"/>
  <c r="AH85" i="24" s="1"/>
  <c r="AG85" i="24" s="1"/>
  <c r="AF85" i="24" s="1"/>
  <c r="AD85" i="24" s="1"/>
  <c r="AI93" i="24"/>
  <c r="AH93" i="24" s="1"/>
  <c r="AG93" i="24" s="1"/>
  <c r="AF93" i="24" s="1"/>
  <c r="AD93" i="24" s="1"/>
  <c r="AI101" i="24"/>
  <c r="AH101" i="24" s="1"/>
  <c r="AG101" i="24" s="1"/>
  <c r="AF101" i="24" s="1"/>
  <c r="AD101" i="24" s="1"/>
  <c r="AI109" i="24"/>
  <c r="AH109" i="24" s="1"/>
  <c r="AG109" i="24" s="1"/>
  <c r="AF109" i="24" s="1"/>
  <c r="AD109" i="24" s="1"/>
  <c r="AI117" i="24"/>
  <c r="AH117" i="24" s="1"/>
  <c r="AG117" i="24" s="1"/>
  <c r="AF117" i="24" s="1"/>
  <c r="AD117" i="24" s="1"/>
  <c r="AI125" i="24"/>
  <c r="AH125" i="24" s="1"/>
  <c r="AG125" i="24" s="1"/>
  <c r="AF125" i="24" s="1"/>
  <c r="AD125" i="24" s="1"/>
  <c r="AI133" i="24"/>
  <c r="AH133" i="24" s="1"/>
  <c r="AG133" i="24" s="1"/>
  <c r="AF133" i="24" s="1"/>
  <c r="AD133" i="24" s="1"/>
  <c r="AI141" i="24"/>
  <c r="AH141" i="24" s="1"/>
  <c r="AG141" i="24" s="1"/>
  <c r="AF141" i="24" s="1"/>
  <c r="AD141" i="24" s="1"/>
  <c r="AI149" i="24"/>
  <c r="AH149" i="24" s="1"/>
  <c r="AG149" i="24" s="1"/>
  <c r="AF149" i="24" s="1"/>
  <c r="AD149" i="24" s="1"/>
  <c r="AI157" i="24"/>
  <c r="AH157" i="24" s="1"/>
  <c r="AG157" i="24" s="1"/>
  <c r="AF157" i="24" s="1"/>
  <c r="AD157" i="24" s="1"/>
  <c r="AI165" i="24"/>
  <c r="AH165" i="24" s="1"/>
  <c r="AG165" i="24" s="1"/>
  <c r="AF165" i="24" s="1"/>
  <c r="AD165" i="24" s="1"/>
  <c r="AA165" i="24" s="1"/>
  <c r="Z165" i="24" s="1"/>
  <c r="Y165" i="24" s="1"/>
  <c r="AI173" i="24"/>
  <c r="AH173" i="24" s="1"/>
  <c r="AG173" i="24" s="1"/>
  <c r="AF173" i="24" s="1"/>
  <c r="AD173" i="24" s="1"/>
  <c r="AI181" i="24"/>
  <c r="AH181" i="24" s="1"/>
  <c r="AG181" i="24" s="1"/>
  <c r="AF181" i="24" s="1"/>
  <c r="AD181" i="24" s="1"/>
  <c r="AI189" i="24"/>
  <c r="AH189" i="24" s="1"/>
  <c r="AG189" i="24" s="1"/>
  <c r="AF189" i="24" s="1"/>
  <c r="AD189" i="24" s="1"/>
  <c r="AI197" i="24"/>
  <c r="AH197" i="24" s="1"/>
  <c r="AG197" i="24" s="1"/>
  <c r="AF197" i="24" s="1"/>
  <c r="AD197" i="24" s="1"/>
  <c r="AI205" i="24"/>
  <c r="AH205" i="24" s="1"/>
  <c r="AG205" i="24" s="1"/>
  <c r="AF205" i="24" s="1"/>
  <c r="AD205" i="24" s="1"/>
  <c r="AI213" i="24"/>
  <c r="AH213" i="24" s="1"/>
  <c r="AG213" i="24" s="1"/>
  <c r="AF213" i="24" s="1"/>
  <c r="AD213" i="24" s="1"/>
  <c r="AI221" i="24"/>
  <c r="AH221" i="24" s="1"/>
  <c r="AG221" i="24" s="1"/>
  <c r="AF221" i="24" s="1"/>
  <c r="AD221" i="24" s="1"/>
  <c r="AI229" i="24"/>
  <c r="AH229" i="24" s="1"/>
  <c r="AG229" i="24" s="1"/>
  <c r="AF229" i="24" s="1"/>
  <c r="AD229" i="24" s="1"/>
  <c r="AI237" i="24"/>
  <c r="AH237" i="24" s="1"/>
  <c r="AG237" i="24" s="1"/>
  <c r="AF237" i="24" s="1"/>
  <c r="AD237" i="24" s="1"/>
  <c r="AI245" i="24"/>
  <c r="AH245" i="24" s="1"/>
  <c r="AG245" i="24" s="1"/>
  <c r="AF245" i="24" s="1"/>
  <c r="AD245" i="24" s="1"/>
  <c r="AI253" i="24"/>
  <c r="AH253" i="24" s="1"/>
  <c r="AG253" i="24" s="1"/>
  <c r="AF253" i="24" s="1"/>
  <c r="AD253" i="24" s="1"/>
  <c r="AI261" i="24"/>
  <c r="AH261" i="24" s="1"/>
  <c r="AG261" i="24" s="1"/>
  <c r="AF261" i="24" s="1"/>
  <c r="AD261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A277" i="24" s="1"/>
  <c r="Z277" i="24" s="1"/>
  <c r="Y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9" i="24"/>
  <c r="AH349" i="24" s="1"/>
  <c r="AG349" i="24" s="1"/>
  <c r="AF349" i="24" s="1"/>
  <c r="AD349" i="24" s="1"/>
  <c r="AI356" i="24"/>
  <c r="AH356" i="24" s="1"/>
  <c r="AG356" i="24" s="1"/>
  <c r="AF356" i="24" s="1"/>
  <c r="AD356" i="24" s="1"/>
  <c r="AI360" i="24"/>
  <c r="AH360" i="24" s="1"/>
  <c r="AG360" i="24" s="1"/>
  <c r="AF360" i="24" s="1"/>
  <c r="AD360" i="24" s="1"/>
  <c r="AI364" i="24"/>
  <c r="AH364" i="24" s="1"/>
  <c r="AG364" i="24" s="1"/>
  <c r="AF364" i="24" s="1"/>
  <c r="AD364" i="24" s="1"/>
  <c r="AI368" i="24"/>
  <c r="AH368" i="24" s="1"/>
  <c r="AG368" i="24" s="1"/>
  <c r="AF368" i="24" s="1"/>
  <c r="AD368" i="24" s="1"/>
  <c r="AI372" i="24"/>
  <c r="AH372" i="24" s="1"/>
  <c r="AG372" i="24" s="1"/>
  <c r="AF372" i="24" s="1"/>
  <c r="AD372" i="24" s="1"/>
  <c r="AI376" i="24"/>
  <c r="AH376" i="24" s="1"/>
  <c r="AG376" i="24" s="1"/>
  <c r="AF376" i="24" s="1"/>
  <c r="AD376" i="24" s="1"/>
  <c r="AI354" i="24"/>
  <c r="AH354" i="24" s="1"/>
  <c r="AG354" i="24" s="1"/>
  <c r="AF354" i="24" s="1"/>
  <c r="AD354" i="24" s="1"/>
  <c r="AI350" i="24"/>
  <c r="AH350" i="24" s="1"/>
  <c r="AG350" i="24" s="1"/>
  <c r="AF350" i="24" s="1"/>
  <c r="AD350" i="24" s="1"/>
  <c r="AI346" i="24"/>
  <c r="AH346" i="24" s="1"/>
  <c r="AG346" i="24" s="1"/>
  <c r="AF346" i="24" s="1"/>
  <c r="AD346" i="24" s="1"/>
  <c r="AI342" i="24"/>
  <c r="AH342" i="24" s="1"/>
  <c r="AG342" i="24" s="1"/>
  <c r="AF342" i="24" s="1"/>
  <c r="AD342" i="24" s="1"/>
  <c r="AI338" i="24"/>
  <c r="AH338" i="24" s="1"/>
  <c r="AG338" i="24" s="1"/>
  <c r="AF338" i="24" s="1"/>
  <c r="AD338" i="24" s="1"/>
  <c r="AI334" i="24"/>
  <c r="AH334" i="24" s="1"/>
  <c r="AG334" i="24" s="1"/>
  <c r="AF334" i="24" s="1"/>
  <c r="AD334" i="24" s="1"/>
  <c r="AI330" i="24"/>
  <c r="AH330" i="24" s="1"/>
  <c r="AG330" i="24" s="1"/>
  <c r="AF330" i="24" s="1"/>
  <c r="AD330" i="24" s="1"/>
  <c r="AI326" i="24"/>
  <c r="AH326" i="24" s="1"/>
  <c r="AG326" i="24" s="1"/>
  <c r="AF326" i="24" s="1"/>
  <c r="AD326" i="24" s="1"/>
  <c r="AI322" i="24"/>
  <c r="AH322" i="24" s="1"/>
  <c r="AG322" i="24" s="1"/>
  <c r="AF322" i="24" s="1"/>
  <c r="AD322" i="24" s="1"/>
  <c r="AI318" i="24"/>
  <c r="AH318" i="24" s="1"/>
  <c r="AG318" i="24" s="1"/>
  <c r="AF318" i="24" s="1"/>
  <c r="AD318" i="24" s="1"/>
  <c r="AI314" i="24"/>
  <c r="AH314" i="24" s="1"/>
  <c r="AG314" i="24" s="1"/>
  <c r="AF314" i="24" s="1"/>
  <c r="AD314" i="24" s="1"/>
  <c r="AI310" i="24"/>
  <c r="AH310" i="24" s="1"/>
  <c r="AG310" i="24" s="1"/>
  <c r="AF310" i="24" s="1"/>
  <c r="AD310" i="24" s="1"/>
  <c r="AI306" i="24"/>
  <c r="AH306" i="24" s="1"/>
  <c r="AG306" i="24" s="1"/>
  <c r="AF306" i="24" s="1"/>
  <c r="AD306" i="24" s="1"/>
  <c r="AI302" i="24"/>
  <c r="AH302" i="24" s="1"/>
  <c r="AG302" i="24" s="1"/>
  <c r="AF302" i="24" s="1"/>
  <c r="AD302" i="24" s="1"/>
  <c r="AI298" i="24"/>
  <c r="AH298" i="24" s="1"/>
  <c r="AG298" i="24" s="1"/>
  <c r="AF298" i="24" s="1"/>
  <c r="AD298" i="24" s="1"/>
  <c r="AI294" i="24"/>
  <c r="AH294" i="24" s="1"/>
  <c r="AG294" i="24" s="1"/>
  <c r="AF294" i="24" s="1"/>
  <c r="AD294" i="24" s="1"/>
  <c r="AI290" i="24"/>
  <c r="AH290" i="24" s="1"/>
  <c r="AG290" i="24" s="1"/>
  <c r="AF290" i="24" s="1"/>
  <c r="AD290" i="24" s="1"/>
  <c r="AI286" i="24"/>
  <c r="AH286" i="24" s="1"/>
  <c r="AG286" i="24" s="1"/>
  <c r="AF286" i="24" s="1"/>
  <c r="AD286" i="24" s="1"/>
  <c r="AI282" i="24"/>
  <c r="AH282" i="24" s="1"/>
  <c r="AG282" i="24" s="1"/>
  <c r="AF282" i="24" s="1"/>
  <c r="AD282" i="24" s="1"/>
  <c r="AI278" i="24"/>
  <c r="AH278" i="24" s="1"/>
  <c r="AG278" i="24" s="1"/>
  <c r="AF278" i="24" s="1"/>
  <c r="AD278" i="24" s="1"/>
  <c r="AI274" i="24"/>
  <c r="AH274" i="24" s="1"/>
  <c r="AG274" i="24" s="1"/>
  <c r="AF274" i="24" s="1"/>
  <c r="AD274" i="24" s="1"/>
  <c r="AI270" i="24"/>
  <c r="AH270" i="24" s="1"/>
  <c r="AG270" i="24" s="1"/>
  <c r="AF270" i="24" s="1"/>
  <c r="AD270" i="24" s="1"/>
  <c r="AI266" i="24"/>
  <c r="AH266" i="24" s="1"/>
  <c r="AG266" i="24" s="1"/>
  <c r="AF266" i="24" s="1"/>
  <c r="AD266" i="24" s="1"/>
  <c r="AI262" i="24"/>
  <c r="AH262" i="24" s="1"/>
  <c r="AG262" i="24" s="1"/>
  <c r="AF262" i="24" s="1"/>
  <c r="AD262" i="24" s="1"/>
  <c r="AI258" i="24"/>
  <c r="AH258" i="24" s="1"/>
  <c r="AG258" i="24" s="1"/>
  <c r="AF258" i="24" s="1"/>
  <c r="AD258" i="24" s="1"/>
  <c r="AI254" i="24"/>
  <c r="AH254" i="24" s="1"/>
  <c r="AG254" i="24" s="1"/>
  <c r="AF254" i="24" s="1"/>
  <c r="AD254" i="24" s="1"/>
  <c r="AI246" i="24"/>
  <c r="AH246" i="24" s="1"/>
  <c r="AG246" i="24" s="1"/>
  <c r="AF246" i="24" s="1"/>
  <c r="AD246" i="24" s="1"/>
  <c r="AI238" i="24"/>
  <c r="AH238" i="24" s="1"/>
  <c r="AG238" i="24" s="1"/>
  <c r="AF238" i="24" s="1"/>
  <c r="AD238" i="24" s="1"/>
  <c r="AI230" i="24"/>
  <c r="AH230" i="24" s="1"/>
  <c r="AG230" i="24" s="1"/>
  <c r="AF230" i="24" s="1"/>
  <c r="AD230" i="24" s="1"/>
  <c r="AI222" i="24"/>
  <c r="AH222" i="24" s="1"/>
  <c r="AG222" i="24" s="1"/>
  <c r="AF222" i="24" s="1"/>
  <c r="AD222" i="24" s="1"/>
  <c r="AI214" i="24"/>
  <c r="AH214" i="24" s="1"/>
  <c r="AG214" i="24" s="1"/>
  <c r="AF214" i="24" s="1"/>
  <c r="AD214" i="24" s="1"/>
  <c r="AI206" i="24"/>
  <c r="AH206" i="24" s="1"/>
  <c r="AG206" i="24" s="1"/>
  <c r="AF206" i="24" s="1"/>
  <c r="AD206" i="24" s="1"/>
  <c r="AI198" i="24"/>
  <c r="AH198" i="24" s="1"/>
  <c r="AG198" i="24" s="1"/>
  <c r="AF198" i="24" s="1"/>
  <c r="AD198" i="24" s="1"/>
  <c r="AI190" i="24"/>
  <c r="AH190" i="24" s="1"/>
  <c r="AG190" i="24" s="1"/>
  <c r="AF190" i="24" s="1"/>
  <c r="AD190" i="24" s="1"/>
  <c r="AI182" i="24"/>
  <c r="AH182" i="24" s="1"/>
  <c r="AG182" i="24" s="1"/>
  <c r="AF182" i="24" s="1"/>
  <c r="AD182" i="24" s="1"/>
  <c r="AI174" i="24"/>
  <c r="AH174" i="24" s="1"/>
  <c r="AG174" i="24" s="1"/>
  <c r="AF174" i="24" s="1"/>
  <c r="AD174" i="24" s="1"/>
  <c r="AI166" i="24"/>
  <c r="AH166" i="24" s="1"/>
  <c r="AG166" i="24" s="1"/>
  <c r="AF166" i="24" s="1"/>
  <c r="AD166" i="24" s="1"/>
  <c r="AI158" i="24"/>
  <c r="AH158" i="24" s="1"/>
  <c r="AG158" i="24" s="1"/>
  <c r="AF158" i="24" s="1"/>
  <c r="AD158" i="24" s="1"/>
  <c r="AI150" i="24"/>
  <c r="AH150" i="24" s="1"/>
  <c r="AG150" i="24" s="1"/>
  <c r="AF150" i="24" s="1"/>
  <c r="AD150" i="24" s="1"/>
  <c r="AI142" i="24"/>
  <c r="AH142" i="24" s="1"/>
  <c r="AG142" i="24" s="1"/>
  <c r="AF142" i="24" s="1"/>
  <c r="AD142" i="24" s="1"/>
  <c r="AI134" i="24"/>
  <c r="AH134" i="24" s="1"/>
  <c r="AG134" i="24" s="1"/>
  <c r="AF134" i="24" s="1"/>
  <c r="AD134" i="24" s="1"/>
  <c r="AI126" i="24"/>
  <c r="AH126" i="24" s="1"/>
  <c r="AG126" i="24" s="1"/>
  <c r="AF126" i="24" s="1"/>
  <c r="AD126" i="24" s="1"/>
  <c r="AI118" i="24"/>
  <c r="AH118" i="24" s="1"/>
  <c r="AG118" i="24" s="1"/>
  <c r="AF118" i="24" s="1"/>
  <c r="AD118" i="24" s="1"/>
  <c r="AI110" i="24"/>
  <c r="AH110" i="24" s="1"/>
  <c r="AG110" i="24" s="1"/>
  <c r="AF110" i="24" s="1"/>
  <c r="AD110" i="24" s="1"/>
  <c r="AI102" i="24"/>
  <c r="AH102" i="24" s="1"/>
  <c r="AG102" i="24" s="1"/>
  <c r="AF102" i="24" s="1"/>
  <c r="AD102" i="24" s="1"/>
  <c r="AI94" i="24"/>
  <c r="AH94" i="24" s="1"/>
  <c r="AG94" i="24" s="1"/>
  <c r="AF94" i="24" s="1"/>
  <c r="AD94" i="24" s="1"/>
  <c r="AI86" i="24"/>
  <c r="AH86" i="24" s="1"/>
  <c r="AG86" i="24" s="1"/>
  <c r="AF86" i="24" s="1"/>
  <c r="AD86" i="24" s="1"/>
  <c r="AI78" i="24"/>
  <c r="AH78" i="24" s="1"/>
  <c r="AG78" i="24" s="1"/>
  <c r="AF78" i="24" s="1"/>
  <c r="AD78" i="24" s="1"/>
  <c r="AI70" i="24"/>
  <c r="AH70" i="24" s="1"/>
  <c r="AG70" i="24" s="1"/>
  <c r="AF70" i="24" s="1"/>
  <c r="AD70" i="24" s="1"/>
  <c r="AI62" i="24"/>
  <c r="AH62" i="24" s="1"/>
  <c r="AG62" i="24" s="1"/>
  <c r="AF62" i="24" s="1"/>
  <c r="AD62" i="24" s="1"/>
  <c r="AI54" i="24"/>
  <c r="AH54" i="24" s="1"/>
  <c r="AG54" i="24" s="1"/>
  <c r="AF54" i="24" s="1"/>
  <c r="AD54" i="24" s="1"/>
  <c r="AI46" i="24"/>
  <c r="AH46" i="24" s="1"/>
  <c r="AG46" i="24" s="1"/>
  <c r="AF46" i="24" s="1"/>
  <c r="AD46" i="24" s="1"/>
  <c r="AI38" i="24"/>
  <c r="AH38" i="24" s="1"/>
  <c r="AG38" i="24" s="1"/>
  <c r="AF38" i="24" s="1"/>
  <c r="AD38" i="24" s="1"/>
  <c r="AI30" i="24"/>
  <c r="AH30" i="24" s="1"/>
  <c r="AG30" i="24" s="1"/>
  <c r="AF30" i="24" s="1"/>
  <c r="AD30" i="24" s="1"/>
  <c r="AI20" i="24"/>
  <c r="AH20" i="24" s="1"/>
  <c r="AG20" i="24" s="1"/>
  <c r="AF20" i="24" s="1"/>
  <c r="AD20" i="24" s="1"/>
  <c r="AI367" i="24"/>
  <c r="AH367" i="24" s="1"/>
  <c r="AG367" i="24" s="1"/>
  <c r="AF367" i="24" s="1"/>
  <c r="AD367" i="24" s="1"/>
  <c r="AI347" i="24"/>
  <c r="AH347" i="24" s="1"/>
  <c r="AG347" i="24" s="1"/>
  <c r="AF347" i="24" s="1"/>
  <c r="AD347" i="24" s="1"/>
  <c r="AI315" i="24"/>
  <c r="AH315" i="24" s="1"/>
  <c r="AG315" i="24" s="1"/>
  <c r="AF315" i="24" s="1"/>
  <c r="AD315" i="24" s="1"/>
  <c r="AI283" i="24"/>
  <c r="AH283" i="24" s="1"/>
  <c r="AG283" i="24" s="1"/>
  <c r="AF283" i="24" s="1"/>
  <c r="AD283" i="24" s="1"/>
  <c r="AI251" i="24"/>
  <c r="AH251" i="24" s="1"/>
  <c r="AG251" i="24" s="1"/>
  <c r="AF251" i="24" s="1"/>
  <c r="AD251" i="24" s="1"/>
  <c r="AI219" i="24"/>
  <c r="AH219" i="24" s="1"/>
  <c r="AG219" i="24" s="1"/>
  <c r="AF219" i="24" s="1"/>
  <c r="AD219" i="24" s="1"/>
  <c r="AI187" i="24"/>
  <c r="AH187" i="24" s="1"/>
  <c r="AG187" i="24" s="1"/>
  <c r="AF187" i="24" s="1"/>
  <c r="AD187" i="24" s="1"/>
  <c r="AI155" i="24"/>
  <c r="AH155" i="24" s="1"/>
  <c r="AG155" i="24" s="1"/>
  <c r="AF155" i="24" s="1"/>
  <c r="AD155" i="24" s="1"/>
  <c r="AI123" i="24"/>
  <c r="AH123" i="24" s="1"/>
  <c r="AG123" i="24" s="1"/>
  <c r="AF123" i="24" s="1"/>
  <c r="AD123" i="24" s="1"/>
  <c r="AI91" i="24"/>
  <c r="AH91" i="24" s="1"/>
  <c r="AG91" i="24" s="1"/>
  <c r="AF91" i="24" s="1"/>
  <c r="AD91" i="24" s="1"/>
  <c r="AI59" i="24"/>
  <c r="AH59" i="24" s="1"/>
  <c r="AG59" i="24" s="1"/>
  <c r="AF59" i="24" s="1"/>
  <c r="AD59" i="24" s="1"/>
  <c r="AI27" i="24"/>
  <c r="AH27" i="24" s="1"/>
  <c r="AG27" i="24" s="1"/>
  <c r="AF27" i="24" s="1"/>
  <c r="AD27" i="24" s="1"/>
  <c r="AI17" i="24"/>
  <c r="AH17" i="24" s="1"/>
  <c r="AG17" i="24" s="1"/>
  <c r="AF17" i="24" s="1"/>
  <c r="AD17" i="24" s="1"/>
  <c r="AI39" i="24"/>
  <c r="AH39" i="24" s="1"/>
  <c r="AG39" i="24" s="1"/>
  <c r="AF39" i="24" s="1"/>
  <c r="AD39" i="24" s="1"/>
  <c r="AI55" i="24"/>
  <c r="AH55" i="24" s="1"/>
  <c r="AG55" i="24" s="1"/>
  <c r="AF55" i="24" s="1"/>
  <c r="AD55" i="24" s="1"/>
  <c r="AA55" i="24" s="1"/>
  <c r="Z55" i="24" s="1"/>
  <c r="Y55" i="24" s="1"/>
  <c r="AI71" i="24"/>
  <c r="AH71" i="24" s="1"/>
  <c r="AG71" i="24" s="1"/>
  <c r="AF71" i="24" s="1"/>
  <c r="AD71" i="24" s="1"/>
  <c r="AI87" i="24"/>
  <c r="AH87" i="24" s="1"/>
  <c r="AG87" i="24" s="1"/>
  <c r="AF87" i="24" s="1"/>
  <c r="AD87" i="24" s="1"/>
  <c r="AA87" i="24" s="1"/>
  <c r="Z87" i="24" s="1"/>
  <c r="Y87" i="24" s="1"/>
  <c r="AI103" i="24"/>
  <c r="AH103" i="24" s="1"/>
  <c r="AG103" i="24" s="1"/>
  <c r="AF103" i="24" s="1"/>
  <c r="AD103" i="24" s="1"/>
  <c r="AI119" i="24"/>
  <c r="AH119" i="24" s="1"/>
  <c r="AG119" i="24" s="1"/>
  <c r="AF119" i="24" s="1"/>
  <c r="AD119" i="24" s="1"/>
  <c r="AI135" i="24"/>
  <c r="AH135" i="24" s="1"/>
  <c r="AG135" i="24" s="1"/>
  <c r="AF135" i="24" s="1"/>
  <c r="AD135" i="24" s="1"/>
  <c r="AI151" i="24"/>
  <c r="AH151" i="24" s="1"/>
  <c r="AG151" i="24" s="1"/>
  <c r="AF151" i="24" s="1"/>
  <c r="AD151" i="24" s="1"/>
  <c r="AA151" i="24" s="1"/>
  <c r="Z151" i="24" s="1"/>
  <c r="Y151" i="24" s="1"/>
  <c r="AI167" i="24"/>
  <c r="AH167" i="24" s="1"/>
  <c r="AG167" i="24" s="1"/>
  <c r="AF167" i="24" s="1"/>
  <c r="AD167" i="24" s="1"/>
  <c r="AI183" i="24"/>
  <c r="AH183" i="24" s="1"/>
  <c r="AG183" i="24" s="1"/>
  <c r="AF183" i="24" s="1"/>
  <c r="AD183" i="24" s="1"/>
  <c r="AA183" i="24" s="1"/>
  <c r="Z183" i="24" s="1"/>
  <c r="Y183" i="24" s="1"/>
  <c r="AI199" i="24"/>
  <c r="AH199" i="24" s="1"/>
  <c r="AG199" i="24" s="1"/>
  <c r="AF199" i="24" s="1"/>
  <c r="AD199" i="24" s="1"/>
  <c r="AI215" i="24"/>
  <c r="AH215" i="24" s="1"/>
  <c r="AG215" i="24" s="1"/>
  <c r="AF215" i="24" s="1"/>
  <c r="AD215" i="24" s="1"/>
  <c r="AI231" i="24"/>
  <c r="AH231" i="24" s="1"/>
  <c r="AG231" i="24" s="1"/>
  <c r="AF231" i="24" s="1"/>
  <c r="AD231" i="24" s="1"/>
  <c r="AI247" i="24"/>
  <c r="AH247" i="24" s="1"/>
  <c r="AG247" i="24" s="1"/>
  <c r="AF247" i="24" s="1"/>
  <c r="AD247" i="24" s="1"/>
  <c r="AI263" i="24"/>
  <c r="AH263" i="24" s="1"/>
  <c r="AG263" i="24" s="1"/>
  <c r="AF263" i="24" s="1"/>
  <c r="AD263" i="24" s="1"/>
  <c r="AI279" i="24"/>
  <c r="AH279" i="24" s="1"/>
  <c r="AG279" i="24" s="1"/>
  <c r="AF279" i="24" s="1"/>
  <c r="AD279" i="24" s="1"/>
  <c r="AI295" i="24"/>
  <c r="AH295" i="24" s="1"/>
  <c r="AG295" i="24" s="1"/>
  <c r="AF295" i="24" s="1"/>
  <c r="AD295" i="24" s="1"/>
  <c r="AI311" i="24"/>
  <c r="AH311" i="24" s="1"/>
  <c r="AG311" i="24" s="1"/>
  <c r="AF311" i="24" s="1"/>
  <c r="AD311" i="24" s="1"/>
  <c r="AI327" i="24"/>
  <c r="AH327" i="24" s="1"/>
  <c r="AG327" i="24" s="1"/>
  <c r="AF327" i="24" s="1"/>
  <c r="AD327" i="24" s="1"/>
  <c r="AI343" i="24"/>
  <c r="AH343" i="24" s="1"/>
  <c r="AG343" i="24" s="1"/>
  <c r="AF343" i="24" s="1"/>
  <c r="AD343" i="24" s="1"/>
  <c r="AI357" i="24"/>
  <c r="AH357" i="24" s="1"/>
  <c r="AG357" i="24" s="1"/>
  <c r="AF357" i="24" s="1"/>
  <c r="AD357" i="24" s="1"/>
  <c r="AI365" i="24"/>
  <c r="AH365" i="24" s="1"/>
  <c r="AG365" i="24" s="1"/>
  <c r="AF365" i="24" s="1"/>
  <c r="AD365" i="24" s="1"/>
  <c r="AI373" i="24"/>
  <c r="AH373" i="24" s="1"/>
  <c r="AG373" i="24" s="1"/>
  <c r="AF373" i="24" s="1"/>
  <c r="AD373" i="24" s="1"/>
  <c r="AI15" i="24"/>
  <c r="AH15" i="24" s="1"/>
  <c r="AI31" i="24"/>
  <c r="AH31" i="24" s="1"/>
  <c r="AG31" i="24" s="1"/>
  <c r="AF31" i="24" s="1"/>
  <c r="AD31" i="24" s="1"/>
  <c r="AI47" i="24"/>
  <c r="AH47" i="24" s="1"/>
  <c r="AG47" i="24" s="1"/>
  <c r="AF47" i="24" s="1"/>
  <c r="AD47" i="24" s="1"/>
  <c r="AA47" i="24" s="1"/>
  <c r="Z47" i="24" s="1"/>
  <c r="Y47" i="24" s="1"/>
  <c r="AI63" i="24"/>
  <c r="AH63" i="24" s="1"/>
  <c r="AG63" i="24" s="1"/>
  <c r="AF63" i="24" s="1"/>
  <c r="AD63" i="24" s="1"/>
  <c r="AI79" i="24"/>
  <c r="AH79" i="24" s="1"/>
  <c r="AG79" i="24" s="1"/>
  <c r="AF79" i="24" s="1"/>
  <c r="AD79" i="24" s="1"/>
  <c r="AA79" i="24" s="1"/>
  <c r="Z79" i="24" s="1"/>
  <c r="Y79" i="24" s="1"/>
  <c r="AI95" i="24"/>
  <c r="AH95" i="24" s="1"/>
  <c r="AG95" i="24" s="1"/>
  <c r="AF95" i="24" s="1"/>
  <c r="AD95" i="24" s="1"/>
  <c r="AI111" i="24"/>
  <c r="AH111" i="24" s="1"/>
  <c r="AG111" i="24" s="1"/>
  <c r="AF111" i="24" s="1"/>
  <c r="AD111" i="24" s="1"/>
  <c r="AI127" i="24"/>
  <c r="AH127" i="24" s="1"/>
  <c r="AG127" i="24" s="1"/>
  <c r="AF127" i="24" s="1"/>
  <c r="AD127" i="24" s="1"/>
  <c r="AI143" i="24"/>
  <c r="AH143" i="24" s="1"/>
  <c r="AG143" i="24" s="1"/>
  <c r="AF143" i="24" s="1"/>
  <c r="AD143" i="24" s="1"/>
  <c r="AA143" i="24" s="1"/>
  <c r="Z143" i="24" s="1"/>
  <c r="Y143" i="24" s="1"/>
  <c r="AI159" i="24"/>
  <c r="AH159" i="24" s="1"/>
  <c r="AG159" i="24" s="1"/>
  <c r="AF159" i="24" s="1"/>
  <c r="AD159" i="24" s="1"/>
  <c r="AI175" i="24"/>
  <c r="AH175" i="24" s="1"/>
  <c r="AG175" i="24" s="1"/>
  <c r="AF175" i="24" s="1"/>
  <c r="AD175" i="24" s="1"/>
  <c r="AA175" i="24" s="1"/>
  <c r="Z175" i="24" s="1"/>
  <c r="Y175" i="24" s="1"/>
  <c r="AI191" i="24"/>
  <c r="AH191" i="24" s="1"/>
  <c r="AG191" i="24" s="1"/>
  <c r="AF191" i="24" s="1"/>
  <c r="AD191" i="24" s="1"/>
  <c r="AI207" i="24"/>
  <c r="AH207" i="24" s="1"/>
  <c r="AG207" i="24" s="1"/>
  <c r="AF207" i="24" s="1"/>
  <c r="AD207" i="24" s="1"/>
  <c r="AI223" i="24"/>
  <c r="AH223" i="24" s="1"/>
  <c r="AG223" i="24" s="1"/>
  <c r="AF223" i="24" s="1"/>
  <c r="AD223" i="24" s="1"/>
  <c r="AI239" i="24"/>
  <c r="AH239" i="24" s="1"/>
  <c r="AG239" i="24" s="1"/>
  <c r="AF239" i="24" s="1"/>
  <c r="AD239" i="24" s="1"/>
  <c r="AI255" i="24"/>
  <c r="AH255" i="24" s="1"/>
  <c r="AG255" i="24" s="1"/>
  <c r="AF255" i="24" s="1"/>
  <c r="AD255" i="24" s="1"/>
  <c r="AI271" i="24"/>
  <c r="AH271" i="24" s="1"/>
  <c r="AG271" i="24" s="1"/>
  <c r="AF271" i="24" s="1"/>
  <c r="AD271" i="24" s="1"/>
  <c r="AA271" i="24" s="1"/>
  <c r="Z271" i="24" s="1"/>
  <c r="Y271" i="24" s="1"/>
  <c r="AI287" i="24"/>
  <c r="AH287" i="24" s="1"/>
  <c r="AG287" i="24" s="1"/>
  <c r="AF287" i="24" s="1"/>
  <c r="AD287" i="24" s="1"/>
  <c r="AI303" i="24"/>
  <c r="AH303" i="24" s="1"/>
  <c r="AG303" i="24" s="1"/>
  <c r="AF303" i="24" s="1"/>
  <c r="AD303" i="24" s="1"/>
  <c r="AA303" i="24" s="1"/>
  <c r="Z303" i="24" s="1"/>
  <c r="Y303" i="24" s="1"/>
  <c r="AI319" i="24"/>
  <c r="AH319" i="24" s="1"/>
  <c r="AG319" i="24" s="1"/>
  <c r="AF319" i="24" s="1"/>
  <c r="AD319" i="24" s="1"/>
  <c r="AI335" i="24"/>
  <c r="AH335" i="24" s="1"/>
  <c r="AG335" i="24" s="1"/>
  <c r="AF335" i="24" s="1"/>
  <c r="AD335" i="24" s="1"/>
  <c r="AI351" i="24"/>
  <c r="AH351" i="24" s="1"/>
  <c r="AG351" i="24" s="1"/>
  <c r="AF351" i="24" s="1"/>
  <c r="AD351" i="24" s="1"/>
  <c r="AI361" i="24"/>
  <c r="AH361" i="24" s="1"/>
  <c r="AG361" i="24" s="1"/>
  <c r="AF361" i="24" s="1"/>
  <c r="AD361" i="24" s="1"/>
  <c r="AI369" i="24"/>
  <c r="AH369" i="24" s="1"/>
  <c r="AG369" i="24" s="1"/>
  <c r="AF369" i="24" s="1"/>
  <c r="AD369" i="24" s="1"/>
  <c r="AI377" i="24"/>
  <c r="AH377" i="24" s="1"/>
  <c r="AG377" i="24" s="1"/>
  <c r="AF377" i="24" s="1"/>
  <c r="AD377" i="24" s="1"/>
  <c r="AA377" i="24" s="1"/>
  <c r="Z377" i="24" s="1"/>
  <c r="Y377" i="24" s="1"/>
  <c r="Z11" i="17"/>
  <c r="Z5" i="17" s="1"/>
  <c r="H14" i="19" s="1"/>
  <c r="H38" i="19" s="1"/>
  <c r="Y11" i="17"/>
  <c r="J14" i="19"/>
  <c r="AA11" i="17"/>
  <c r="AA5" i="17" s="1"/>
  <c r="I14" i="19" s="1"/>
  <c r="I38" i="19" s="1"/>
  <c r="AK4" i="17"/>
  <c r="R14" i="19" s="1"/>
  <c r="N15" i="19" s="1"/>
  <c r="AM13" i="17"/>
  <c r="AJ3" i="17"/>
  <c r="O14" i="19" s="1"/>
  <c r="M14" i="19" s="1"/>
  <c r="AL13" i="17"/>
  <c r="AG159" i="23"/>
  <c r="AH381" i="23"/>
  <c r="AH383" i="23"/>
  <c r="AH382" i="23"/>
  <c r="W20" i="24"/>
  <c r="W190" i="24"/>
  <c r="W234" i="24"/>
  <c r="J355" i="23"/>
  <c r="W290" i="24"/>
  <c r="W330" i="24"/>
  <c r="D338" i="24"/>
  <c r="E338" i="24" s="1"/>
  <c r="F338" i="24" s="1"/>
  <c r="D346" i="24"/>
  <c r="E346" i="24" s="1"/>
  <c r="F346" i="24" s="1"/>
  <c r="G346" i="24" s="1"/>
  <c r="CE346" i="6" s="1"/>
  <c r="J257" i="23"/>
  <c r="D202" i="24"/>
  <c r="E202" i="24" s="1"/>
  <c r="F202" i="24" s="1"/>
  <c r="G202" i="24" s="1"/>
  <c r="CE202" i="6" s="1"/>
  <c r="D206" i="24"/>
  <c r="E206" i="24" s="1"/>
  <c r="F206" i="24" s="1"/>
  <c r="W238" i="24"/>
  <c r="W320" i="24"/>
  <c r="D324" i="24"/>
  <c r="E324" i="24" s="1"/>
  <c r="F324" i="24" s="1"/>
  <c r="AA324" i="24" s="1"/>
  <c r="Z324" i="24" s="1"/>
  <c r="Y324" i="24" s="1"/>
  <c r="D336" i="24"/>
  <c r="E336" i="24" s="1"/>
  <c r="F336" i="24" s="1"/>
  <c r="D364" i="24"/>
  <c r="E364" i="24" s="1"/>
  <c r="F364" i="24" s="1"/>
  <c r="AA364" i="24" s="1"/>
  <c r="Z364" i="24" s="1"/>
  <c r="Y364" i="24" s="1"/>
  <c r="W368" i="24"/>
  <c r="D196" i="24"/>
  <c r="E196" i="24" s="1"/>
  <c r="F196" i="24" s="1"/>
  <c r="AA196" i="24" s="1"/>
  <c r="Z196" i="24" s="1"/>
  <c r="Y196" i="24" s="1"/>
  <c r="Q383" i="25"/>
  <c r="J260" i="23"/>
  <c r="W26" i="24"/>
  <c r="W42" i="24"/>
  <c r="W58" i="24"/>
  <c r="W86" i="24"/>
  <c r="W114" i="24"/>
  <c r="D118" i="24"/>
  <c r="E118" i="24" s="1"/>
  <c r="F118" i="24" s="1"/>
  <c r="H118" i="24" s="1"/>
  <c r="W142" i="24"/>
  <c r="D162" i="24"/>
  <c r="E162" i="24" s="1"/>
  <c r="F162" i="24" s="1"/>
  <c r="AA162" i="24" s="1"/>
  <c r="Z162" i="24" s="1"/>
  <c r="Y162" i="24" s="1"/>
  <c r="D17" i="24"/>
  <c r="E17" i="24" s="1"/>
  <c r="F17" i="24" s="1"/>
  <c r="D94" i="24"/>
  <c r="E94" i="24" s="1"/>
  <c r="F94" i="24" s="1"/>
  <c r="AA94" i="24" s="1"/>
  <c r="Z94" i="24" s="1"/>
  <c r="Y94" i="24" s="1"/>
  <c r="W102" i="24"/>
  <c r="W130" i="24"/>
  <c r="W138" i="24"/>
  <c r="D194" i="24"/>
  <c r="E194" i="24" s="1"/>
  <c r="F194" i="24" s="1"/>
  <c r="AA194" i="24" s="1"/>
  <c r="Z194" i="24" s="1"/>
  <c r="Y194" i="24" s="1"/>
  <c r="D226" i="24"/>
  <c r="E226" i="24" s="1"/>
  <c r="F226" i="24" s="1"/>
  <c r="G226" i="24" s="1"/>
  <c r="CE226" i="6" s="1"/>
  <c r="W250" i="24"/>
  <c r="W266" i="24"/>
  <c r="W278" i="24"/>
  <c r="W282" i="24"/>
  <c r="D294" i="24"/>
  <c r="E294" i="24" s="1"/>
  <c r="F294" i="24" s="1"/>
  <c r="G294" i="24" s="1"/>
  <c r="CE294" i="6" s="1"/>
  <c r="J67" i="23"/>
  <c r="J376" i="23"/>
  <c r="V60" i="24"/>
  <c r="B60" i="24" s="1"/>
  <c r="W60" i="24" s="1"/>
  <c r="W68" i="24"/>
  <c r="W72" i="24"/>
  <c r="D80" i="24"/>
  <c r="E80" i="24" s="1"/>
  <c r="F80" i="24" s="1"/>
  <c r="G80" i="24" s="1"/>
  <c r="CE80" i="6" s="1"/>
  <c r="D92" i="24"/>
  <c r="E92" i="24" s="1"/>
  <c r="F92" i="24" s="1"/>
  <c r="G92" i="24" s="1"/>
  <c r="CE92" i="6" s="1"/>
  <c r="W108" i="24"/>
  <c r="D124" i="24"/>
  <c r="E124" i="24" s="1"/>
  <c r="F124" i="24" s="1"/>
  <c r="H124" i="24" s="1"/>
  <c r="W140" i="24"/>
  <c r="W244" i="24"/>
  <c r="W168" i="24"/>
  <c r="V180" i="24"/>
  <c r="B180" i="24" s="1"/>
  <c r="D180" i="24" s="1"/>
  <c r="E180" i="24" s="1"/>
  <c r="F180" i="24" s="1"/>
  <c r="W184" i="24"/>
  <c r="D192" i="24"/>
  <c r="E192" i="24" s="1"/>
  <c r="F192" i="24" s="1"/>
  <c r="H192" i="24" s="1"/>
  <c r="AH64" i="7"/>
  <c r="D25" i="24"/>
  <c r="E25" i="24" s="1"/>
  <c r="F25" i="24" s="1"/>
  <c r="G25" i="24" s="1"/>
  <c r="CE25" i="6" s="1"/>
  <c r="W44" i="24"/>
  <c r="W148" i="24"/>
  <c r="D156" i="24"/>
  <c r="E156" i="24" s="1"/>
  <c r="F156" i="24" s="1"/>
  <c r="G156" i="24" s="1"/>
  <c r="CE156" i="6" s="1"/>
  <c r="W160" i="24"/>
  <c r="W208" i="24"/>
  <c r="D212" i="24"/>
  <c r="E212" i="24" s="1"/>
  <c r="F212" i="24" s="1"/>
  <c r="G212" i="24" s="1"/>
  <c r="CE212" i="6" s="1"/>
  <c r="W216" i="24"/>
  <c r="D220" i="24"/>
  <c r="E220" i="24" s="1"/>
  <c r="F220" i="24" s="1"/>
  <c r="AA220" i="24" s="1"/>
  <c r="Z220" i="24" s="1"/>
  <c r="Y220" i="24" s="1"/>
  <c r="W224" i="24"/>
  <c r="D260" i="24"/>
  <c r="E260" i="24" s="1"/>
  <c r="F260" i="24" s="1"/>
  <c r="AA260" i="24" s="1"/>
  <c r="Z260" i="24" s="1"/>
  <c r="Y260" i="24" s="1"/>
  <c r="D292" i="24"/>
  <c r="E292" i="24" s="1"/>
  <c r="F292" i="24" s="1"/>
  <c r="G292" i="24" s="1"/>
  <c r="CE292" i="6" s="1"/>
  <c r="J325" i="23"/>
  <c r="G88" i="23"/>
  <c r="CD88" i="6" s="1"/>
  <c r="D23" i="24"/>
  <c r="E23" i="24" s="1"/>
  <c r="F23" i="24" s="1"/>
  <c r="G23" i="24" s="1"/>
  <c r="CE23" i="6" s="1"/>
  <c r="D54" i="24"/>
  <c r="E54" i="24" s="1"/>
  <c r="F54" i="24" s="1"/>
  <c r="G54" i="24" s="1"/>
  <c r="CE54" i="6" s="1"/>
  <c r="W66" i="24"/>
  <c r="W82" i="24"/>
  <c r="W106" i="24"/>
  <c r="W110" i="24"/>
  <c r="D122" i="24"/>
  <c r="E122" i="24" s="1"/>
  <c r="F122" i="24" s="1"/>
  <c r="G122" i="24" s="1"/>
  <c r="CE122" i="6" s="1"/>
  <c r="W126" i="24"/>
  <c r="W150" i="24"/>
  <c r="D170" i="24"/>
  <c r="E170" i="24" s="1"/>
  <c r="F170" i="24" s="1"/>
  <c r="G170" i="24" s="1"/>
  <c r="CE170" i="6" s="1"/>
  <c r="D178" i="24"/>
  <c r="E178" i="24" s="1"/>
  <c r="F178" i="24" s="1"/>
  <c r="G178" i="24" s="1"/>
  <c r="CE178" i="6" s="1"/>
  <c r="W186" i="24"/>
  <c r="D198" i="24"/>
  <c r="E198" i="24" s="1"/>
  <c r="F198" i="24" s="1"/>
  <c r="AA198" i="24" s="1"/>
  <c r="Z198" i="24" s="1"/>
  <c r="Y198" i="24" s="1"/>
  <c r="W230" i="24"/>
  <c r="D242" i="24"/>
  <c r="E242" i="24" s="1"/>
  <c r="F242" i="24" s="1"/>
  <c r="H242" i="24" s="1"/>
  <c r="W246" i="24"/>
  <c r="D262" i="24"/>
  <c r="E262" i="24" s="1"/>
  <c r="F262" i="24" s="1"/>
  <c r="AA262" i="24" s="1"/>
  <c r="Z262" i="24" s="1"/>
  <c r="Y262" i="24" s="1"/>
  <c r="D274" i="24"/>
  <c r="E274" i="24" s="1"/>
  <c r="F274" i="24" s="1"/>
  <c r="W286" i="24"/>
  <c r="W298" i="24"/>
  <c r="W318" i="24"/>
  <c r="D326" i="24"/>
  <c r="E326" i="24" s="1"/>
  <c r="F326" i="24" s="1"/>
  <c r="G326" i="24" s="1"/>
  <c r="CE326" i="6" s="1"/>
  <c r="D350" i="24"/>
  <c r="E350" i="24" s="1"/>
  <c r="F350" i="24" s="1"/>
  <c r="G350" i="24" s="1"/>
  <c r="CE350" i="6" s="1"/>
  <c r="W354" i="24"/>
  <c r="D362" i="24"/>
  <c r="E362" i="24" s="1"/>
  <c r="F362" i="24" s="1"/>
  <c r="AA362" i="24" s="1"/>
  <c r="Z362" i="24" s="1"/>
  <c r="Y362" i="24" s="1"/>
  <c r="W370" i="24"/>
  <c r="I286" i="23"/>
  <c r="H286" i="24" s="1"/>
  <c r="H88" i="23"/>
  <c r="J88" i="23" s="1"/>
  <c r="J86" i="23"/>
  <c r="W22" i="24"/>
  <c r="W36" i="24"/>
  <c r="D40" i="24"/>
  <c r="E40" i="24" s="1"/>
  <c r="F40" i="24" s="1"/>
  <c r="G40" i="24" s="1"/>
  <c r="CE40" i="6" s="1"/>
  <c r="W48" i="24"/>
  <c r="W56" i="24"/>
  <c r="W84" i="24"/>
  <c r="W96" i="24"/>
  <c r="D104" i="24"/>
  <c r="E104" i="24" s="1"/>
  <c r="F104" i="24" s="1"/>
  <c r="G104" i="24" s="1"/>
  <c r="CE104" i="6" s="1"/>
  <c r="W112" i="24"/>
  <c r="W120" i="24"/>
  <c r="D128" i="24"/>
  <c r="E128" i="24" s="1"/>
  <c r="F128" i="24" s="1"/>
  <c r="AA128" i="24" s="1"/>
  <c r="Z128" i="24" s="1"/>
  <c r="Y128" i="24" s="1"/>
  <c r="W136" i="24"/>
  <c r="W172" i="24"/>
  <c r="W176" i="24"/>
  <c r="D188" i="24"/>
  <c r="E188" i="24" s="1"/>
  <c r="F188" i="24" s="1"/>
  <c r="H188" i="24" s="1"/>
  <c r="W228" i="24"/>
  <c r="W240" i="24"/>
  <c r="W248" i="24"/>
  <c r="D256" i="24"/>
  <c r="E256" i="24" s="1"/>
  <c r="F256" i="24" s="1"/>
  <c r="H256" i="24" s="1"/>
  <c r="W268" i="24"/>
  <c r="D284" i="24"/>
  <c r="E284" i="24" s="1"/>
  <c r="F284" i="24" s="1"/>
  <c r="D304" i="24"/>
  <c r="E304" i="24" s="1"/>
  <c r="F304" i="24" s="1"/>
  <c r="AA304" i="24" s="1"/>
  <c r="Z304" i="24" s="1"/>
  <c r="Y304" i="24" s="1"/>
  <c r="W308" i="24"/>
  <c r="W312" i="24"/>
  <c r="W316" i="24"/>
  <c r="D328" i="24"/>
  <c r="E328" i="24" s="1"/>
  <c r="F328" i="24" s="1"/>
  <c r="G328" i="24" s="1"/>
  <c r="CE328" i="6" s="1"/>
  <c r="D340" i="24"/>
  <c r="E340" i="24" s="1"/>
  <c r="F340" i="24" s="1"/>
  <c r="AA340" i="24" s="1"/>
  <c r="Z340" i="24" s="1"/>
  <c r="Y340" i="24" s="1"/>
  <c r="D344" i="24"/>
  <c r="E344" i="24" s="1"/>
  <c r="F344" i="24" s="1"/>
  <c r="G344" i="24" s="1"/>
  <c r="CE344" i="6" s="1"/>
  <c r="W356" i="24"/>
  <c r="W360" i="24"/>
  <c r="W372" i="24"/>
  <c r="I26" i="23"/>
  <c r="H26" i="24" s="1"/>
  <c r="I84" i="23"/>
  <c r="H84" i="24" s="1"/>
  <c r="BF15" i="7"/>
  <c r="E40" i="19"/>
  <c r="C31" i="19"/>
  <c r="Q381" i="25"/>
  <c r="U383" i="24"/>
  <c r="U381" i="24"/>
  <c r="I153" i="23"/>
  <c r="J143" i="23"/>
  <c r="J337" i="23"/>
  <c r="J101" i="23"/>
  <c r="J113" i="23"/>
  <c r="J198" i="23"/>
  <c r="J270" i="23"/>
  <c r="J251" i="23"/>
  <c r="H258" i="23"/>
  <c r="J258" i="23" s="1"/>
  <c r="J51" i="23"/>
  <c r="J27" i="23"/>
  <c r="I295" i="23"/>
  <c r="D379" i="23"/>
  <c r="E379" i="23" s="1"/>
  <c r="F379" i="23" s="1"/>
  <c r="G379" i="23" s="1"/>
  <c r="CD379" i="6" s="1"/>
  <c r="M68" i="19"/>
  <c r="V379" i="24"/>
  <c r="B379" i="24" s="1"/>
  <c r="W379" i="24" s="1"/>
  <c r="D43" i="19"/>
  <c r="J66" i="23"/>
  <c r="J320" i="23"/>
  <c r="G135" i="23"/>
  <c r="CD135" i="6" s="1"/>
  <c r="AJ10" i="20"/>
  <c r="AJ12" i="20" s="1"/>
  <c r="AJ9" i="20"/>
  <c r="AJ11" i="20" s="1"/>
  <c r="AL10" i="18"/>
  <c r="AL9" i="18"/>
  <c r="Q382" i="25"/>
  <c r="H135" i="23"/>
  <c r="I135" i="23" s="1"/>
  <c r="B200" i="24"/>
  <c r="D200" i="24" s="1"/>
  <c r="E200" i="24" s="1"/>
  <c r="F200" i="24" s="1"/>
  <c r="E69" i="19"/>
  <c r="I69" i="19"/>
  <c r="F69" i="19"/>
  <c r="J69" i="19"/>
  <c r="W19" i="24"/>
  <c r="D19" i="24"/>
  <c r="E19" i="24" s="1"/>
  <c r="F19" i="24" s="1"/>
  <c r="W57" i="24"/>
  <c r="D57" i="24"/>
  <c r="E57" i="24" s="1"/>
  <c r="F57" i="24" s="1"/>
  <c r="W75" i="24"/>
  <c r="D75" i="24"/>
  <c r="E75" i="24" s="1"/>
  <c r="F75" i="24" s="1"/>
  <c r="W111" i="24"/>
  <c r="D111" i="24"/>
  <c r="E111" i="24" s="1"/>
  <c r="F111" i="24" s="1"/>
  <c r="D121" i="24"/>
  <c r="E121" i="24" s="1"/>
  <c r="F121" i="24" s="1"/>
  <c r="W121" i="24"/>
  <c r="D127" i="24"/>
  <c r="E127" i="24" s="1"/>
  <c r="F127" i="24" s="1"/>
  <c r="W127" i="24"/>
  <c r="W137" i="24"/>
  <c r="D137" i="24"/>
  <c r="E137" i="24" s="1"/>
  <c r="F137" i="24" s="1"/>
  <c r="D157" i="24"/>
  <c r="E157" i="24" s="1"/>
  <c r="F157" i="24" s="1"/>
  <c r="W157" i="24"/>
  <c r="D205" i="24"/>
  <c r="E205" i="24" s="1"/>
  <c r="F205" i="24" s="1"/>
  <c r="W205" i="24"/>
  <c r="D213" i="24"/>
  <c r="E213" i="24" s="1"/>
  <c r="F213" i="24" s="1"/>
  <c r="W213" i="24"/>
  <c r="D225" i="24"/>
  <c r="E225" i="24" s="1"/>
  <c r="F225" i="24" s="1"/>
  <c r="W225" i="24"/>
  <c r="W235" i="24"/>
  <c r="D235" i="24"/>
  <c r="E235" i="24" s="1"/>
  <c r="F235" i="24" s="1"/>
  <c r="D259" i="24"/>
  <c r="E259" i="24" s="1"/>
  <c r="F259" i="24" s="1"/>
  <c r="W259" i="24"/>
  <c r="D289" i="24"/>
  <c r="E289" i="24" s="1"/>
  <c r="F289" i="24" s="1"/>
  <c r="W289" i="24"/>
  <c r="D299" i="24"/>
  <c r="E299" i="24" s="1"/>
  <c r="F299" i="24" s="1"/>
  <c r="W299" i="24"/>
  <c r="D309" i="24"/>
  <c r="E309" i="24" s="1"/>
  <c r="F309" i="24" s="1"/>
  <c r="W309" i="24"/>
  <c r="L69" i="19"/>
  <c r="B319" i="24"/>
  <c r="D331" i="24"/>
  <c r="E331" i="24" s="1"/>
  <c r="F331" i="24" s="1"/>
  <c r="W331" i="24"/>
  <c r="W341" i="24"/>
  <c r="D341" i="24"/>
  <c r="E341" i="24" s="1"/>
  <c r="F341" i="24" s="1"/>
  <c r="D353" i="24"/>
  <c r="E353" i="24" s="1"/>
  <c r="F353" i="24" s="1"/>
  <c r="W353" i="24"/>
  <c r="I349" i="23"/>
  <c r="H349" i="24" s="1"/>
  <c r="J349" i="23"/>
  <c r="W90" i="24"/>
  <c r="D90" i="24"/>
  <c r="E90" i="24" s="1"/>
  <c r="F90" i="24" s="1"/>
  <c r="D116" i="24"/>
  <c r="E116" i="24" s="1"/>
  <c r="F116" i="24" s="1"/>
  <c r="W116" i="24"/>
  <c r="W144" i="24"/>
  <c r="D144" i="24"/>
  <c r="E144" i="24" s="1"/>
  <c r="F144" i="24" s="1"/>
  <c r="W164" i="24"/>
  <c r="D164" i="24"/>
  <c r="E164" i="24" s="1"/>
  <c r="F164" i="24" s="1"/>
  <c r="W204" i="24"/>
  <c r="D204" i="24"/>
  <c r="E204" i="24" s="1"/>
  <c r="F204" i="24" s="1"/>
  <c r="D236" i="24"/>
  <c r="E236" i="24" s="1"/>
  <c r="F236" i="24" s="1"/>
  <c r="W236" i="24"/>
  <c r="D264" i="24"/>
  <c r="E264" i="24" s="1"/>
  <c r="F264" i="24" s="1"/>
  <c r="W264" i="24"/>
  <c r="W280" i="24"/>
  <c r="D280" i="24"/>
  <c r="E280" i="24" s="1"/>
  <c r="F280" i="24" s="1"/>
  <c r="D300" i="24"/>
  <c r="E300" i="24" s="1"/>
  <c r="F300" i="24" s="1"/>
  <c r="W300" i="24"/>
  <c r="W314" i="24"/>
  <c r="D314" i="24"/>
  <c r="E314" i="24" s="1"/>
  <c r="F314" i="24" s="1"/>
  <c r="W342" i="24"/>
  <c r="D342" i="24"/>
  <c r="E342" i="24" s="1"/>
  <c r="F342" i="24" s="1"/>
  <c r="W358" i="24"/>
  <c r="D358" i="24"/>
  <c r="E358" i="24" s="1"/>
  <c r="F358" i="24" s="1"/>
  <c r="W378" i="24"/>
  <c r="D378" i="24"/>
  <c r="E378" i="24" s="1"/>
  <c r="F378" i="24" s="1"/>
  <c r="I196" i="23"/>
  <c r="J196" i="23"/>
  <c r="W31" i="24"/>
  <c r="D31" i="24"/>
  <c r="E31" i="24" s="1"/>
  <c r="F31" i="24" s="1"/>
  <c r="D73" i="24"/>
  <c r="E73" i="24" s="1"/>
  <c r="F73" i="24" s="1"/>
  <c r="W73" i="24"/>
  <c r="W95" i="24"/>
  <c r="D95" i="24"/>
  <c r="E95" i="24" s="1"/>
  <c r="F95" i="24" s="1"/>
  <c r="W113" i="24"/>
  <c r="D113" i="24"/>
  <c r="E113" i="24" s="1"/>
  <c r="F113" i="24" s="1"/>
  <c r="W123" i="24"/>
  <c r="D123" i="24"/>
  <c r="E123" i="24" s="1"/>
  <c r="F123" i="24" s="1"/>
  <c r="W131" i="24"/>
  <c r="D131" i="24"/>
  <c r="E131" i="24" s="1"/>
  <c r="F131" i="24" s="1"/>
  <c r="W145" i="24"/>
  <c r="D145" i="24"/>
  <c r="E145" i="24" s="1"/>
  <c r="F145" i="24" s="1"/>
  <c r="W195" i="24"/>
  <c r="D195" i="24"/>
  <c r="E195" i="24" s="1"/>
  <c r="F195" i="24" s="1"/>
  <c r="W207" i="24"/>
  <c r="D207" i="24"/>
  <c r="E207" i="24" s="1"/>
  <c r="F207" i="24" s="1"/>
  <c r="D221" i="24"/>
  <c r="E221" i="24" s="1"/>
  <c r="F221" i="24" s="1"/>
  <c r="W221" i="24"/>
  <c r="W229" i="24"/>
  <c r="D229" i="24"/>
  <c r="E229" i="24" s="1"/>
  <c r="F229" i="24" s="1"/>
  <c r="D251" i="24"/>
  <c r="E251" i="24" s="1"/>
  <c r="F251" i="24" s="1"/>
  <c r="W251" i="24"/>
  <c r="W285" i="24"/>
  <c r="D285" i="24"/>
  <c r="E285" i="24" s="1"/>
  <c r="F285" i="24" s="1"/>
  <c r="D291" i="24"/>
  <c r="E291" i="24" s="1"/>
  <c r="F291" i="24" s="1"/>
  <c r="W291" i="24"/>
  <c r="D305" i="24"/>
  <c r="E305" i="24" s="1"/>
  <c r="F305" i="24" s="1"/>
  <c r="W305" i="24"/>
  <c r="D311" i="24"/>
  <c r="E311" i="24" s="1"/>
  <c r="F311" i="24" s="1"/>
  <c r="W311" i="24"/>
  <c r="W321" i="24"/>
  <c r="D321" i="24"/>
  <c r="E321" i="24" s="1"/>
  <c r="F321" i="24" s="1"/>
  <c r="D335" i="24"/>
  <c r="E335" i="24" s="1"/>
  <c r="F335" i="24" s="1"/>
  <c r="W335" i="24"/>
  <c r="W347" i="24"/>
  <c r="D347" i="24"/>
  <c r="E347" i="24" s="1"/>
  <c r="F347" i="24" s="1"/>
  <c r="D367" i="24"/>
  <c r="E367" i="24" s="1"/>
  <c r="F367" i="24" s="1"/>
  <c r="W367" i="24"/>
  <c r="D62" i="24"/>
  <c r="E62" i="24" s="1"/>
  <c r="F62" i="24" s="1"/>
  <c r="W62" i="24"/>
  <c r="D100" i="24"/>
  <c r="E100" i="24" s="1"/>
  <c r="F100" i="24" s="1"/>
  <c r="W100" i="24"/>
  <c r="W134" i="24"/>
  <c r="D134" i="24"/>
  <c r="E134" i="24" s="1"/>
  <c r="F134" i="24" s="1"/>
  <c r="D154" i="24"/>
  <c r="E154" i="24" s="1"/>
  <c r="F154" i="24" s="1"/>
  <c r="W154" i="24"/>
  <c r="W182" i="24"/>
  <c r="D182" i="24"/>
  <c r="E182" i="24" s="1"/>
  <c r="F182" i="24" s="1"/>
  <c r="AH62" i="7"/>
  <c r="V210" i="24"/>
  <c r="B210" i="24" s="1"/>
  <c r="D254" i="24"/>
  <c r="E254" i="24" s="1"/>
  <c r="F254" i="24" s="1"/>
  <c r="W254" i="24"/>
  <c r="D276" i="24"/>
  <c r="E276" i="24" s="1"/>
  <c r="F276" i="24" s="1"/>
  <c r="W276" i="24"/>
  <c r="W296" i="24"/>
  <c r="D296" i="24"/>
  <c r="E296" i="24" s="1"/>
  <c r="F296" i="24" s="1"/>
  <c r="D306" i="24"/>
  <c r="E306" i="24" s="1"/>
  <c r="F306" i="24" s="1"/>
  <c r="W306" i="24"/>
  <c r="D334" i="24"/>
  <c r="E334" i="24" s="1"/>
  <c r="F334" i="24" s="1"/>
  <c r="W334" i="24"/>
  <c r="W352" i="24"/>
  <c r="D352" i="24"/>
  <c r="E352" i="24" s="1"/>
  <c r="F352" i="24" s="1"/>
  <c r="W366" i="24"/>
  <c r="D366" i="24"/>
  <c r="E366" i="24" s="1"/>
  <c r="F366" i="24" s="1"/>
  <c r="J40" i="23"/>
  <c r="I40" i="23"/>
  <c r="J68" i="23"/>
  <c r="I68" i="23"/>
  <c r="H68" i="24" s="1"/>
  <c r="I148" i="23"/>
  <c r="H148" i="24" s="1"/>
  <c r="J148" i="23"/>
  <c r="J266" i="23"/>
  <c r="I266" i="23"/>
  <c r="H266" i="24" s="1"/>
  <c r="I39" i="23"/>
  <c r="H39" i="24" s="1"/>
  <c r="J39" i="23"/>
  <c r="I155" i="23"/>
  <c r="H155" i="24" s="1"/>
  <c r="J155" i="23"/>
  <c r="I163" i="23"/>
  <c r="J163" i="23"/>
  <c r="J269" i="23"/>
  <c r="I269" i="23"/>
  <c r="H269" i="24" s="1"/>
  <c r="J285" i="23"/>
  <c r="I285" i="23"/>
  <c r="I108" i="23"/>
  <c r="H108" i="24" s="1"/>
  <c r="J108" i="23"/>
  <c r="J274" i="23"/>
  <c r="I274" i="23"/>
  <c r="J131" i="23"/>
  <c r="I131" i="23"/>
  <c r="J203" i="23"/>
  <c r="I203" i="23"/>
  <c r="H203" i="24" s="1"/>
  <c r="I265" i="23"/>
  <c r="H265" i="24" s="1"/>
  <c r="J265" i="23"/>
  <c r="J343" i="23"/>
  <c r="I343" i="23"/>
  <c r="H343" i="24" s="1"/>
  <c r="J105" i="23"/>
  <c r="I105" i="23"/>
  <c r="J74" i="23"/>
  <c r="I74" i="23"/>
  <c r="J90" i="23"/>
  <c r="I90" i="23"/>
  <c r="J140" i="23"/>
  <c r="I140" i="23"/>
  <c r="H140" i="24" s="1"/>
  <c r="J302" i="23"/>
  <c r="I302" i="23"/>
  <c r="J326" i="23"/>
  <c r="I326" i="23"/>
  <c r="J52" i="23"/>
  <c r="I52" i="23"/>
  <c r="I76" i="23"/>
  <c r="J76" i="23"/>
  <c r="I80" i="23"/>
  <c r="J80" i="23"/>
  <c r="J106" i="23"/>
  <c r="I106" i="23"/>
  <c r="H106" i="24" s="1"/>
  <c r="J204" i="23"/>
  <c r="I204" i="23"/>
  <c r="J216" i="23"/>
  <c r="I216" i="23"/>
  <c r="H216" i="24" s="1"/>
  <c r="J224" i="23"/>
  <c r="I224" i="23"/>
  <c r="H224" i="24" s="1"/>
  <c r="J244" i="23"/>
  <c r="I244" i="23"/>
  <c r="H244" i="24" s="1"/>
  <c r="I282" i="23"/>
  <c r="H282" i="24" s="1"/>
  <c r="J282" i="23"/>
  <c r="J294" i="23"/>
  <c r="I294" i="23"/>
  <c r="J356" i="23"/>
  <c r="I356" i="23"/>
  <c r="H356" i="24" s="1"/>
  <c r="J366" i="23"/>
  <c r="I366" i="23"/>
  <c r="J253" i="23"/>
  <c r="I253" i="23"/>
  <c r="H253" i="24" s="1"/>
  <c r="J23" i="23"/>
  <c r="I23" i="23"/>
  <c r="J38" i="23"/>
  <c r="I38" i="23"/>
  <c r="I70" i="23"/>
  <c r="J70" i="23"/>
  <c r="J96" i="23"/>
  <c r="I96" i="23"/>
  <c r="H96" i="24" s="1"/>
  <c r="J104" i="23"/>
  <c r="I104" i="23"/>
  <c r="I176" i="23"/>
  <c r="H176" i="24" s="1"/>
  <c r="J176" i="23"/>
  <c r="J190" i="23"/>
  <c r="I190" i="23"/>
  <c r="H190" i="24" s="1"/>
  <c r="I220" i="23"/>
  <c r="J220" i="23"/>
  <c r="I370" i="23"/>
  <c r="H370" i="24" s="1"/>
  <c r="J370" i="23"/>
  <c r="J36" i="23"/>
  <c r="I36" i="23"/>
  <c r="H36" i="24" s="1"/>
  <c r="J130" i="23"/>
  <c r="I130" i="23"/>
  <c r="H130" i="24" s="1"/>
  <c r="J156" i="23"/>
  <c r="I156" i="23"/>
  <c r="J194" i="23"/>
  <c r="I194" i="23"/>
  <c r="I222" i="23"/>
  <c r="J222" i="23"/>
  <c r="J276" i="23"/>
  <c r="I276" i="23"/>
  <c r="J312" i="23"/>
  <c r="I312" i="23"/>
  <c r="H312" i="24" s="1"/>
  <c r="J340" i="23"/>
  <c r="I340" i="23"/>
  <c r="I346" i="23"/>
  <c r="J346" i="23"/>
  <c r="I378" i="23"/>
  <c r="J378" i="23"/>
  <c r="E381" i="20"/>
  <c r="AK8" i="20"/>
  <c r="E382" i="20"/>
  <c r="E383" i="20"/>
  <c r="F15" i="20"/>
  <c r="E9" i="20"/>
  <c r="E11" i="20" s="1"/>
  <c r="AE381" i="25"/>
  <c r="AE382" i="25"/>
  <c r="AE383" i="25"/>
  <c r="R383" i="23"/>
  <c r="R381" i="23"/>
  <c r="R382" i="23"/>
  <c r="P15" i="23"/>
  <c r="AA21" i="24"/>
  <c r="Z21" i="24" s="1"/>
  <c r="Y21" i="24" s="1"/>
  <c r="G21" i="24"/>
  <c r="CE21" i="6" s="1"/>
  <c r="D29" i="24"/>
  <c r="E29" i="24" s="1"/>
  <c r="F29" i="24" s="1"/>
  <c r="W29" i="24"/>
  <c r="AA35" i="24"/>
  <c r="Z35" i="24" s="1"/>
  <c r="Y35" i="24" s="1"/>
  <c r="G35" i="24"/>
  <c r="CE35" i="6" s="1"/>
  <c r="AA37" i="24"/>
  <c r="Z37" i="24" s="1"/>
  <c r="Y37" i="24" s="1"/>
  <c r="G37" i="24"/>
  <c r="CE37" i="6" s="1"/>
  <c r="AA41" i="24"/>
  <c r="Z41" i="24" s="1"/>
  <c r="Y41" i="24" s="1"/>
  <c r="G41" i="24"/>
  <c r="CE41" i="6" s="1"/>
  <c r="AA45" i="24"/>
  <c r="Z45" i="24" s="1"/>
  <c r="Y45" i="24" s="1"/>
  <c r="G45" i="24"/>
  <c r="CE45" i="6" s="1"/>
  <c r="G47" i="24"/>
  <c r="CE47" i="6" s="1"/>
  <c r="AA49" i="24"/>
  <c r="Z49" i="24" s="1"/>
  <c r="Y49" i="24" s="1"/>
  <c r="G49" i="24"/>
  <c r="CE49" i="6" s="1"/>
  <c r="AA59" i="24"/>
  <c r="Z59" i="24" s="1"/>
  <c r="Y59" i="24" s="1"/>
  <c r="H59" i="24"/>
  <c r="G59" i="24"/>
  <c r="CE59" i="6" s="1"/>
  <c r="G65" i="24"/>
  <c r="CE65" i="6" s="1"/>
  <c r="AA65" i="24"/>
  <c r="Z65" i="24" s="1"/>
  <c r="Y65" i="24" s="1"/>
  <c r="AA67" i="24"/>
  <c r="Z67" i="24" s="1"/>
  <c r="Y67" i="24" s="1"/>
  <c r="H67" i="24"/>
  <c r="G67" i="24"/>
  <c r="CE67" i="6" s="1"/>
  <c r="G79" i="24"/>
  <c r="CE79" i="6" s="1"/>
  <c r="AA85" i="24"/>
  <c r="Z85" i="24" s="1"/>
  <c r="Y85" i="24" s="1"/>
  <c r="G85" i="24"/>
  <c r="CE85" i="6" s="1"/>
  <c r="G87" i="24"/>
  <c r="CE87" i="6" s="1"/>
  <c r="AA93" i="24"/>
  <c r="Z93" i="24" s="1"/>
  <c r="Y93" i="24" s="1"/>
  <c r="G93" i="24"/>
  <c r="CE93" i="6" s="1"/>
  <c r="G97" i="24"/>
  <c r="CE97" i="6" s="1"/>
  <c r="H97" i="24"/>
  <c r="AA97" i="24"/>
  <c r="Z97" i="24" s="1"/>
  <c r="Y97" i="24" s="1"/>
  <c r="G101" i="24"/>
  <c r="CE101" i="6" s="1"/>
  <c r="AA101" i="24"/>
  <c r="Z101" i="24" s="1"/>
  <c r="Y101" i="24" s="1"/>
  <c r="H101" i="24"/>
  <c r="AA107" i="24"/>
  <c r="Z107" i="24" s="1"/>
  <c r="Y107" i="24" s="1"/>
  <c r="G107" i="24"/>
  <c r="CE107" i="6" s="1"/>
  <c r="AA109" i="24"/>
  <c r="Z109" i="24" s="1"/>
  <c r="Y109" i="24" s="1"/>
  <c r="G109" i="24"/>
  <c r="CE109" i="6" s="1"/>
  <c r="G115" i="24"/>
  <c r="CE115" i="6" s="1"/>
  <c r="AA115" i="24"/>
  <c r="Z115" i="24" s="1"/>
  <c r="Y115" i="24" s="1"/>
  <c r="G129" i="24"/>
  <c r="CE129" i="6" s="1"/>
  <c r="AA129" i="24"/>
  <c r="Z129" i="24" s="1"/>
  <c r="Y129" i="24" s="1"/>
  <c r="G139" i="24"/>
  <c r="CE139" i="6" s="1"/>
  <c r="AA139" i="24"/>
  <c r="Z139" i="24" s="1"/>
  <c r="Y139" i="24" s="1"/>
  <c r="H143" i="24"/>
  <c r="G143" i="24"/>
  <c r="CE143" i="6" s="1"/>
  <c r="G151" i="24"/>
  <c r="CE151" i="6" s="1"/>
  <c r="G155" i="24"/>
  <c r="CE155" i="6" s="1"/>
  <c r="AA155" i="24"/>
  <c r="Z155" i="24" s="1"/>
  <c r="Y155" i="24" s="1"/>
  <c r="G165" i="24"/>
  <c r="CE165" i="6" s="1"/>
  <c r="G167" i="24"/>
  <c r="CE167" i="6" s="1"/>
  <c r="AA167" i="24"/>
  <c r="Z167" i="24" s="1"/>
  <c r="Y167" i="24" s="1"/>
  <c r="AA169" i="24"/>
  <c r="Z169" i="24" s="1"/>
  <c r="Y169" i="24" s="1"/>
  <c r="G169" i="24"/>
  <c r="CE169" i="6" s="1"/>
  <c r="G171" i="24"/>
  <c r="CE171" i="6" s="1"/>
  <c r="AA171" i="24"/>
  <c r="Z171" i="24" s="1"/>
  <c r="Y171" i="24" s="1"/>
  <c r="G183" i="24"/>
  <c r="CE183" i="6" s="1"/>
  <c r="H183" i="24"/>
  <c r="AA185" i="24"/>
  <c r="Z185" i="24" s="1"/>
  <c r="Y185" i="24" s="1"/>
  <c r="G185" i="24"/>
  <c r="CE185" i="6" s="1"/>
  <c r="AA191" i="24"/>
  <c r="Z191" i="24" s="1"/>
  <c r="Y191" i="24" s="1"/>
  <c r="G191" i="24"/>
  <c r="CE191" i="6" s="1"/>
  <c r="AA193" i="24"/>
  <c r="Z193" i="24" s="1"/>
  <c r="Y193" i="24" s="1"/>
  <c r="G193" i="24"/>
  <c r="CE193" i="6" s="1"/>
  <c r="AA203" i="24"/>
  <c r="Z203" i="24" s="1"/>
  <c r="Y203" i="24" s="1"/>
  <c r="G203" i="24"/>
  <c r="CE203" i="6" s="1"/>
  <c r="G217" i="24"/>
  <c r="CE217" i="6" s="1"/>
  <c r="AA217" i="24"/>
  <c r="Z217" i="24" s="1"/>
  <c r="Y217" i="24" s="1"/>
  <c r="G223" i="24"/>
  <c r="CE223" i="6" s="1"/>
  <c r="AA223" i="24"/>
  <c r="Z223" i="24" s="1"/>
  <c r="Y223" i="24" s="1"/>
  <c r="G231" i="24"/>
  <c r="CE231" i="6" s="1"/>
  <c r="AA231" i="24"/>
  <c r="Z231" i="24" s="1"/>
  <c r="Y231" i="24" s="1"/>
  <c r="G239" i="24"/>
  <c r="CE239" i="6" s="1"/>
  <c r="AA239" i="24"/>
  <c r="Z239" i="24" s="1"/>
  <c r="Y239" i="24" s="1"/>
  <c r="H239" i="24"/>
  <c r="G243" i="24"/>
  <c r="CE243" i="6" s="1"/>
  <c r="AA243" i="24"/>
  <c r="Z243" i="24" s="1"/>
  <c r="Y243" i="24" s="1"/>
  <c r="AA247" i="24"/>
  <c r="Z247" i="24" s="1"/>
  <c r="Y247" i="24" s="1"/>
  <c r="G247" i="24"/>
  <c r="CE247" i="6" s="1"/>
  <c r="G249" i="24"/>
  <c r="CE249" i="6" s="1"/>
  <c r="AA249" i="24"/>
  <c r="Z249" i="24" s="1"/>
  <c r="Y249" i="24" s="1"/>
  <c r="AA253" i="24"/>
  <c r="Z253" i="24" s="1"/>
  <c r="Y253" i="24" s="1"/>
  <c r="G253" i="24"/>
  <c r="CE253" i="6" s="1"/>
  <c r="AA261" i="24"/>
  <c r="Z261" i="24" s="1"/>
  <c r="Y261" i="24" s="1"/>
  <c r="G261" i="24"/>
  <c r="CE261" i="6" s="1"/>
  <c r="AA265" i="24"/>
  <c r="Z265" i="24" s="1"/>
  <c r="Y265" i="24" s="1"/>
  <c r="G265" i="24"/>
  <c r="CE265" i="6" s="1"/>
  <c r="AA267" i="24"/>
  <c r="Z267" i="24" s="1"/>
  <c r="Y267" i="24" s="1"/>
  <c r="G267" i="24"/>
  <c r="CE267" i="6" s="1"/>
  <c r="G269" i="24"/>
  <c r="CE269" i="6" s="1"/>
  <c r="AA269" i="24"/>
  <c r="Z269" i="24" s="1"/>
  <c r="Y269" i="24" s="1"/>
  <c r="G271" i="24"/>
  <c r="CE271" i="6" s="1"/>
  <c r="G277" i="24"/>
  <c r="CE277" i="6" s="1"/>
  <c r="G283" i="24"/>
  <c r="CE283" i="6" s="1"/>
  <c r="AA283" i="24"/>
  <c r="Z283" i="24" s="1"/>
  <c r="Y283" i="24" s="1"/>
  <c r="G297" i="24"/>
  <c r="CE297" i="6" s="1"/>
  <c r="AA297" i="24"/>
  <c r="Z297" i="24" s="1"/>
  <c r="Y297" i="24" s="1"/>
  <c r="H297" i="24"/>
  <c r="G307" i="24"/>
  <c r="CE307" i="6" s="1"/>
  <c r="AA307" i="24"/>
  <c r="Z307" i="24" s="1"/>
  <c r="Y307" i="24" s="1"/>
  <c r="G313" i="24"/>
  <c r="CE313" i="6" s="1"/>
  <c r="AA313" i="24"/>
  <c r="Z313" i="24" s="1"/>
  <c r="Y313" i="24" s="1"/>
  <c r="G315" i="24"/>
  <c r="CE315" i="6" s="1"/>
  <c r="AA315" i="24"/>
  <c r="Z315" i="24" s="1"/>
  <c r="Y315" i="24" s="1"/>
  <c r="AA317" i="24"/>
  <c r="Z317" i="24" s="1"/>
  <c r="Y317" i="24" s="1"/>
  <c r="G317" i="24"/>
  <c r="CE317" i="6" s="1"/>
  <c r="G327" i="24"/>
  <c r="CE327" i="6" s="1"/>
  <c r="AA327" i="24"/>
  <c r="Z327" i="24" s="1"/>
  <c r="Y327" i="24" s="1"/>
  <c r="AA329" i="24"/>
  <c r="Z329" i="24" s="1"/>
  <c r="Y329" i="24" s="1"/>
  <c r="G329" i="24"/>
  <c r="CE329" i="6" s="1"/>
  <c r="AA345" i="24"/>
  <c r="Z345" i="24" s="1"/>
  <c r="Y345" i="24" s="1"/>
  <c r="G345" i="24"/>
  <c r="CE345" i="6" s="1"/>
  <c r="G351" i="24"/>
  <c r="CE351" i="6" s="1"/>
  <c r="AA351" i="24"/>
  <c r="Z351" i="24" s="1"/>
  <c r="Y351" i="24" s="1"/>
  <c r="G355" i="24"/>
  <c r="CE355" i="6" s="1"/>
  <c r="AA355" i="24"/>
  <c r="Z355" i="24" s="1"/>
  <c r="Y355" i="24" s="1"/>
  <c r="H355" i="24"/>
  <c r="G357" i="24"/>
  <c r="CE357" i="6" s="1"/>
  <c r="AA357" i="24"/>
  <c r="Z357" i="24" s="1"/>
  <c r="Y357" i="24" s="1"/>
  <c r="G369" i="24"/>
  <c r="CE369" i="6" s="1"/>
  <c r="AA369" i="24"/>
  <c r="Z369" i="24" s="1"/>
  <c r="Y369" i="24" s="1"/>
  <c r="G377" i="24"/>
  <c r="CE377" i="6" s="1"/>
  <c r="U10" i="25"/>
  <c r="U78" i="25" s="1"/>
  <c r="T78" i="25" s="1"/>
  <c r="S78" i="25" s="1"/>
  <c r="R78" i="25" s="1"/>
  <c r="P78" i="25" s="1"/>
  <c r="V78" i="25" s="1"/>
  <c r="B78" i="25" s="1"/>
  <c r="J15" i="18"/>
  <c r="I15" i="18"/>
  <c r="AA382" i="18"/>
  <c r="AA9" i="18"/>
  <c r="AM8" i="18"/>
  <c r="AA381" i="18"/>
  <c r="AA383" i="18"/>
  <c r="Z15" i="18"/>
  <c r="G15" i="19"/>
  <c r="AB9" i="18"/>
  <c r="F11" i="18"/>
  <c r="J72" i="23"/>
  <c r="I72" i="23"/>
  <c r="H72" i="24" s="1"/>
  <c r="I92" i="23"/>
  <c r="J92" i="23"/>
  <c r="I158" i="23"/>
  <c r="J158" i="23"/>
  <c r="J178" i="23"/>
  <c r="I178" i="23"/>
  <c r="J206" i="23"/>
  <c r="I206" i="23"/>
  <c r="H206" i="24" s="1"/>
  <c r="J218" i="23"/>
  <c r="I218" i="23"/>
  <c r="J254" i="23"/>
  <c r="I254" i="23"/>
  <c r="J290" i="23"/>
  <c r="I290" i="23"/>
  <c r="H290" i="24" s="1"/>
  <c r="I310" i="23"/>
  <c r="J310" i="23"/>
  <c r="J338" i="23"/>
  <c r="I338" i="23"/>
  <c r="H338" i="24" s="1"/>
  <c r="I227" i="23"/>
  <c r="H227" i="24" s="1"/>
  <c r="J227" i="23"/>
  <c r="V383" i="22"/>
  <c r="V381" i="22"/>
  <c r="V382" i="22"/>
  <c r="B67" i="19"/>
  <c r="B15" i="22"/>
  <c r="I37" i="23"/>
  <c r="H37" i="24" s="1"/>
  <c r="J37" i="23"/>
  <c r="J41" i="23"/>
  <c r="I41" i="23"/>
  <c r="H41" i="24" s="1"/>
  <c r="I55" i="23"/>
  <c r="H55" i="24" s="1"/>
  <c r="J55" i="23"/>
  <c r="I69" i="23"/>
  <c r="J69" i="23"/>
  <c r="J79" i="23"/>
  <c r="I79" i="23"/>
  <c r="H79" i="24" s="1"/>
  <c r="J81" i="23"/>
  <c r="I81" i="23"/>
  <c r="J115" i="23"/>
  <c r="I115" i="23"/>
  <c r="H115" i="24" s="1"/>
  <c r="AA119" i="23"/>
  <c r="Z119" i="23" s="1"/>
  <c r="Y119" i="23" s="1"/>
  <c r="G119" i="23"/>
  <c r="CD119" i="6" s="1"/>
  <c r="H119" i="23"/>
  <c r="I123" i="23"/>
  <c r="J123" i="23"/>
  <c r="J141" i="23"/>
  <c r="I141" i="23"/>
  <c r="H141" i="24" s="1"/>
  <c r="J145" i="23"/>
  <c r="I145" i="23"/>
  <c r="J147" i="23"/>
  <c r="I147" i="23"/>
  <c r="H147" i="24" s="1"/>
  <c r="J157" i="23"/>
  <c r="I157" i="23"/>
  <c r="J165" i="23"/>
  <c r="I165" i="23"/>
  <c r="H165" i="24" s="1"/>
  <c r="J169" i="23"/>
  <c r="I169" i="23"/>
  <c r="H169" i="24" s="1"/>
  <c r="I185" i="23"/>
  <c r="H185" i="24" s="1"/>
  <c r="J185" i="23"/>
  <c r="J193" i="23"/>
  <c r="I193" i="23"/>
  <c r="H193" i="24" s="1"/>
  <c r="J207" i="23"/>
  <c r="I207" i="23"/>
  <c r="J211" i="23"/>
  <c r="I211" i="23"/>
  <c r="H211" i="24" s="1"/>
  <c r="J221" i="23"/>
  <c r="I221" i="23"/>
  <c r="I231" i="23"/>
  <c r="H231" i="24" s="1"/>
  <c r="J231" i="23"/>
  <c r="I245" i="23"/>
  <c r="H245" i="24" s="1"/>
  <c r="J245" i="23"/>
  <c r="J267" i="23"/>
  <c r="I267" i="23"/>
  <c r="H267" i="24" s="1"/>
  <c r="I271" i="23"/>
  <c r="H271" i="24" s="1"/>
  <c r="J271" i="23"/>
  <c r="J283" i="23"/>
  <c r="I283" i="23"/>
  <c r="H283" i="24" s="1"/>
  <c r="I291" i="23"/>
  <c r="J291" i="23"/>
  <c r="J293" i="23"/>
  <c r="I293" i="23"/>
  <c r="H293" i="24" s="1"/>
  <c r="I301" i="23"/>
  <c r="H301" i="24" s="1"/>
  <c r="J301" i="23"/>
  <c r="I313" i="23"/>
  <c r="H313" i="24" s="1"/>
  <c r="J313" i="23"/>
  <c r="I329" i="23"/>
  <c r="H329" i="24" s="1"/>
  <c r="J329" i="23"/>
  <c r="I34" i="23"/>
  <c r="J34" i="23"/>
  <c r="I122" i="23"/>
  <c r="J122" i="23"/>
  <c r="J134" i="23"/>
  <c r="I134" i="23"/>
  <c r="W166" i="24"/>
  <c r="D166" i="24"/>
  <c r="E166" i="24" s="1"/>
  <c r="F166" i="24" s="1"/>
  <c r="AA166" i="23"/>
  <c r="Z166" i="23" s="1"/>
  <c r="Y166" i="23" s="1"/>
  <c r="H166" i="23"/>
  <c r="G166" i="23"/>
  <c r="CD166" i="6" s="1"/>
  <c r="I49" i="23"/>
  <c r="H49" i="24" s="1"/>
  <c r="J49" i="23"/>
  <c r="J64" i="23"/>
  <c r="I64" i="23"/>
  <c r="I78" i="23"/>
  <c r="J78" i="23"/>
  <c r="I82" i="23"/>
  <c r="H82" i="24" s="1"/>
  <c r="J82" i="23"/>
  <c r="I164" i="23"/>
  <c r="J164" i="23"/>
  <c r="J170" i="23"/>
  <c r="I170" i="23"/>
  <c r="J250" i="23"/>
  <c r="I250" i="23"/>
  <c r="H250" i="24" s="1"/>
  <c r="G288" i="23"/>
  <c r="CD288" i="6" s="1"/>
  <c r="AA288" i="23"/>
  <c r="Z288" i="23" s="1"/>
  <c r="Y288" i="23" s="1"/>
  <c r="H288" i="23"/>
  <c r="I296" i="23"/>
  <c r="J296" i="23"/>
  <c r="I336" i="23"/>
  <c r="H336" i="24" s="1"/>
  <c r="J336" i="23"/>
  <c r="I71" i="23"/>
  <c r="H71" i="24" s="1"/>
  <c r="J71" i="23"/>
  <c r="J75" i="23"/>
  <c r="I75" i="23"/>
  <c r="J93" i="23"/>
  <c r="I93" i="23"/>
  <c r="H93" i="24" s="1"/>
  <c r="I167" i="23"/>
  <c r="H167" i="24" s="1"/>
  <c r="J167" i="23"/>
  <c r="I235" i="23"/>
  <c r="J235" i="23"/>
  <c r="I277" i="23"/>
  <c r="H277" i="24" s="1"/>
  <c r="J277" i="23"/>
  <c r="I307" i="23"/>
  <c r="H307" i="24" s="1"/>
  <c r="J307" i="23"/>
  <c r="J317" i="23"/>
  <c r="I317" i="23"/>
  <c r="H317" i="24" s="1"/>
  <c r="J19" i="23"/>
  <c r="I19" i="23"/>
  <c r="J24" i="23"/>
  <c r="I24" i="23"/>
  <c r="J110" i="23"/>
  <c r="I110" i="23"/>
  <c r="H110" i="24" s="1"/>
  <c r="J116" i="23"/>
  <c r="I116" i="23"/>
  <c r="I202" i="23"/>
  <c r="H202" i="24" s="1"/>
  <c r="J202" i="23"/>
  <c r="J236" i="23"/>
  <c r="I236" i="23"/>
  <c r="J246" i="23"/>
  <c r="I246" i="23"/>
  <c r="H246" i="24" s="1"/>
  <c r="I308" i="23"/>
  <c r="H308" i="24" s="1"/>
  <c r="J308" i="23"/>
  <c r="I332" i="23"/>
  <c r="J332" i="23"/>
  <c r="AI17" i="25"/>
  <c r="AH17" i="25" s="1"/>
  <c r="AG17" i="25" s="1"/>
  <c r="AF17" i="25" s="1"/>
  <c r="AD17" i="25" s="1"/>
  <c r="AA36" i="24"/>
  <c r="Z36" i="24" s="1"/>
  <c r="Y36" i="24" s="1"/>
  <c r="G36" i="24"/>
  <c r="CE36" i="6" s="1"/>
  <c r="AA42" i="24"/>
  <c r="Z42" i="24" s="1"/>
  <c r="Y42" i="24" s="1"/>
  <c r="G42" i="24"/>
  <c r="CE42" i="6" s="1"/>
  <c r="G58" i="24"/>
  <c r="CE58" i="6" s="1"/>
  <c r="AA58" i="24"/>
  <c r="Z58" i="24" s="1"/>
  <c r="Y58" i="24" s="1"/>
  <c r="AA66" i="24"/>
  <c r="Z66" i="24" s="1"/>
  <c r="Y66" i="24" s="1"/>
  <c r="G66" i="24"/>
  <c r="CE66" i="6" s="1"/>
  <c r="H66" i="24"/>
  <c r="AA72" i="24"/>
  <c r="Z72" i="24" s="1"/>
  <c r="Y72" i="24" s="1"/>
  <c r="G72" i="24"/>
  <c r="CE72" i="6" s="1"/>
  <c r="G110" i="24"/>
  <c r="CE110" i="6" s="1"/>
  <c r="AA110" i="24"/>
  <c r="Z110" i="24" s="1"/>
  <c r="Y110" i="24" s="1"/>
  <c r="AA114" i="24"/>
  <c r="Z114" i="24" s="1"/>
  <c r="Y114" i="24" s="1"/>
  <c r="G114" i="24"/>
  <c r="CE114" i="6" s="1"/>
  <c r="AA118" i="24"/>
  <c r="Z118" i="24" s="1"/>
  <c r="Y118" i="24" s="1"/>
  <c r="G120" i="24"/>
  <c r="CE120" i="6" s="1"/>
  <c r="AA120" i="24"/>
  <c r="Z120" i="24" s="1"/>
  <c r="Y120" i="24" s="1"/>
  <c r="G126" i="24"/>
  <c r="CE126" i="6" s="1"/>
  <c r="AA126" i="24"/>
  <c r="Z126" i="24" s="1"/>
  <c r="Y126" i="24" s="1"/>
  <c r="AA130" i="24"/>
  <c r="Z130" i="24" s="1"/>
  <c r="Y130" i="24" s="1"/>
  <c r="G130" i="24"/>
  <c r="CE130" i="6" s="1"/>
  <c r="G136" i="24"/>
  <c r="CE136" i="6" s="1"/>
  <c r="AA136" i="24"/>
  <c r="Z136" i="24" s="1"/>
  <c r="Y136" i="24" s="1"/>
  <c r="H136" i="24"/>
  <c r="G140" i="24"/>
  <c r="CE140" i="6" s="1"/>
  <c r="AA140" i="24"/>
  <c r="Z140" i="24" s="1"/>
  <c r="Y140" i="24" s="1"/>
  <c r="AA142" i="24"/>
  <c r="Z142" i="24" s="1"/>
  <c r="Y142" i="24" s="1"/>
  <c r="G142" i="24"/>
  <c r="CE142" i="6" s="1"/>
  <c r="G148" i="24"/>
  <c r="CE148" i="6" s="1"/>
  <c r="AA148" i="24"/>
  <c r="Z148" i="24" s="1"/>
  <c r="Y148" i="24" s="1"/>
  <c r="G150" i="24"/>
  <c r="CE150" i="6" s="1"/>
  <c r="AA150" i="24"/>
  <c r="Z150" i="24" s="1"/>
  <c r="Y150" i="24" s="1"/>
  <c r="G168" i="24"/>
  <c r="CE168" i="6" s="1"/>
  <c r="AA168" i="24"/>
  <c r="Z168" i="24" s="1"/>
  <c r="Y168" i="24" s="1"/>
  <c r="H168" i="24"/>
  <c r="G172" i="24"/>
  <c r="CE172" i="6" s="1"/>
  <c r="AA172" i="24"/>
  <c r="Z172" i="24" s="1"/>
  <c r="Y172" i="24" s="1"/>
  <c r="G184" i="24"/>
  <c r="CE184" i="6" s="1"/>
  <c r="AA184" i="24"/>
  <c r="Z184" i="24" s="1"/>
  <c r="Y184" i="24" s="1"/>
  <c r="AA186" i="24"/>
  <c r="Z186" i="24" s="1"/>
  <c r="Y186" i="24" s="1"/>
  <c r="H186" i="24"/>
  <c r="G186" i="24"/>
  <c r="CE186" i="6" s="1"/>
  <c r="AA190" i="24"/>
  <c r="Z190" i="24" s="1"/>
  <c r="Y190" i="24" s="1"/>
  <c r="G190" i="24"/>
  <c r="CE190" i="6" s="1"/>
  <c r="G208" i="24"/>
  <c r="CE208" i="6" s="1"/>
  <c r="AA208" i="24"/>
  <c r="Z208" i="24" s="1"/>
  <c r="Y208" i="24" s="1"/>
  <c r="H208" i="24"/>
  <c r="G216" i="24"/>
  <c r="CE216" i="6" s="1"/>
  <c r="AA216" i="24"/>
  <c r="Z216" i="24" s="1"/>
  <c r="Y216" i="24" s="1"/>
  <c r="AA224" i="24"/>
  <c r="Z224" i="24" s="1"/>
  <c r="Y224" i="24" s="1"/>
  <c r="G224" i="24"/>
  <c r="CE224" i="6" s="1"/>
  <c r="AA228" i="24"/>
  <c r="Z228" i="24" s="1"/>
  <c r="Y228" i="24" s="1"/>
  <c r="G228" i="24"/>
  <c r="CE228" i="6" s="1"/>
  <c r="AA230" i="24"/>
  <c r="Z230" i="24" s="1"/>
  <c r="Y230" i="24" s="1"/>
  <c r="G230" i="24"/>
  <c r="CE230" i="6" s="1"/>
  <c r="H230" i="24"/>
  <c r="AA234" i="24"/>
  <c r="Z234" i="24" s="1"/>
  <c r="Y234" i="24" s="1"/>
  <c r="G234" i="24"/>
  <c r="CE234" i="6" s="1"/>
  <c r="G246" i="24"/>
  <c r="CE246" i="6" s="1"/>
  <c r="AA246" i="24"/>
  <c r="Z246" i="24" s="1"/>
  <c r="Y246" i="24" s="1"/>
  <c r="G250" i="24"/>
  <c r="CE250" i="6" s="1"/>
  <c r="AA250" i="24"/>
  <c r="Z250" i="24" s="1"/>
  <c r="Y250" i="24" s="1"/>
  <c r="AA266" i="24"/>
  <c r="Z266" i="24" s="1"/>
  <c r="Y266" i="24" s="1"/>
  <c r="G266" i="24"/>
  <c r="CE266" i="6" s="1"/>
  <c r="AA268" i="24"/>
  <c r="Z268" i="24" s="1"/>
  <c r="Y268" i="24" s="1"/>
  <c r="G268" i="24"/>
  <c r="CE268" i="6" s="1"/>
  <c r="H268" i="24"/>
  <c r="G278" i="24"/>
  <c r="CE278" i="6" s="1"/>
  <c r="AA278" i="24"/>
  <c r="Z278" i="24" s="1"/>
  <c r="Y278" i="24" s="1"/>
  <c r="G298" i="24"/>
  <c r="CE298" i="6" s="1"/>
  <c r="AA298" i="24"/>
  <c r="Z298" i="24" s="1"/>
  <c r="Y298" i="24" s="1"/>
  <c r="G312" i="24"/>
  <c r="CE312" i="6" s="1"/>
  <c r="AA312" i="24"/>
  <c r="Z312" i="24" s="1"/>
  <c r="Y312" i="24" s="1"/>
  <c r="AA330" i="24"/>
  <c r="Z330" i="24" s="1"/>
  <c r="Y330" i="24" s="1"/>
  <c r="G330" i="24"/>
  <c r="CE330" i="6" s="1"/>
  <c r="H330" i="24"/>
  <c r="AA338" i="24"/>
  <c r="Z338" i="24" s="1"/>
  <c r="Y338" i="24" s="1"/>
  <c r="G338" i="24"/>
  <c r="CE338" i="6" s="1"/>
  <c r="G360" i="24"/>
  <c r="CE360" i="6" s="1"/>
  <c r="AA360" i="24"/>
  <c r="Z360" i="24" s="1"/>
  <c r="Y360" i="24" s="1"/>
  <c r="H360" i="24"/>
  <c r="I30" i="23"/>
  <c r="J30" i="23"/>
  <c r="D46" i="24"/>
  <c r="E46" i="24" s="1"/>
  <c r="F46" i="24" s="1"/>
  <c r="W46" i="24"/>
  <c r="AA46" i="23"/>
  <c r="Z46" i="23" s="1"/>
  <c r="Y46" i="23" s="1"/>
  <c r="G46" i="23"/>
  <c r="CD46" i="6" s="1"/>
  <c r="H46" i="23"/>
  <c r="I62" i="23"/>
  <c r="J62" i="23"/>
  <c r="J98" i="23"/>
  <c r="I98" i="23"/>
  <c r="J142" i="23"/>
  <c r="I142" i="23"/>
  <c r="H142" i="24" s="1"/>
  <c r="J248" i="23"/>
  <c r="I248" i="23"/>
  <c r="H248" i="24" s="1"/>
  <c r="I262" i="23"/>
  <c r="J262" i="23"/>
  <c r="J298" i="23"/>
  <c r="I298" i="23"/>
  <c r="H298" i="24" s="1"/>
  <c r="J306" i="23"/>
  <c r="I306" i="23"/>
  <c r="J350" i="23"/>
  <c r="I350" i="23"/>
  <c r="G227" i="24"/>
  <c r="CE227" i="6" s="1"/>
  <c r="AA227" i="24"/>
  <c r="Z227" i="24" s="1"/>
  <c r="Y227" i="24" s="1"/>
  <c r="J43" i="23"/>
  <c r="I43" i="23"/>
  <c r="H43" i="24" s="1"/>
  <c r="J57" i="23"/>
  <c r="I57" i="23"/>
  <c r="I125" i="23"/>
  <c r="J125" i="23"/>
  <c r="AA149" i="23"/>
  <c r="Z149" i="23" s="1"/>
  <c r="Y149" i="23" s="1"/>
  <c r="H149" i="23"/>
  <c r="G149" i="23"/>
  <c r="CD149" i="6" s="1"/>
  <c r="J181" i="23"/>
  <c r="I181" i="23"/>
  <c r="J191" i="23"/>
  <c r="I191" i="23"/>
  <c r="H191" i="24" s="1"/>
  <c r="I201" i="23"/>
  <c r="H201" i="24" s="1"/>
  <c r="J201" i="23"/>
  <c r="J213" i="23"/>
  <c r="I213" i="23"/>
  <c r="I219" i="23"/>
  <c r="H219" i="24" s="1"/>
  <c r="J219" i="23"/>
  <c r="J237" i="23"/>
  <c r="I237" i="23"/>
  <c r="I259" i="23"/>
  <c r="J259" i="23"/>
  <c r="J263" i="23"/>
  <c r="I263" i="23"/>
  <c r="H263" i="24" s="1"/>
  <c r="J273" i="23"/>
  <c r="I273" i="23"/>
  <c r="H273" i="24" s="1"/>
  <c r="I275" i="23"/>
  <c r="H275" i="24" s="1"/>
  <c r="J275" i="23"/>
  <c r="I305" i="23"/>
  <c r="J305" i="23"/>
  <c r="J309" i="23"/>
  <c r="I309" i="23"/>
  <c r="I323" i="23"/>
  <c r="H323" i="24" s="1"/>
  <c r="J323" i="23"/>
  <c r="I339" i="23"/>
  <c r="H339" i="24" s="1"/>
  <c r="J339" i="23"/>
  <c r="I347" i="23"/>
  <c r="J347" i="23"/>
  <c r="J359" i="23"/>
  <c r="I359" i="23"/>
  <c r="H359" i="24" s="1"/>
  <c r="J369" i="23"/>
  <c r="I369" i="23"/>
  <c r="H369" i="24" s="1"/>
  <c r="J172" i="23"/>
  <c r="I172" i="23"/>
  <c r="H172" i="24" s="1"/>
  <c r="I304" i="23"/>
  <c r="J304" i="23"/>
  <c r="I173" i="23"/>
  <c r="H173" i="24" s="1"/>
  <c r="J173" i="23"/>
  <c r="J289" i="23"/>
  <c r="I289" i="23"/>
  <c r="I48" i="23"/>
  <c r="H48" i="24" s="1"/>
  <c r="J48" i="23"/>
  <c r="J212" i="23"/>
  <c r="I212" i="23"/>
  <c r="I348" i="23"/>
  <c r="J348" i="23"/>
  <c r="I362" i="23"/>
  <c r="J362" i="23"/>
  <c r="I31" i="23"/>
  <c r="J31" i="23"/>
  <c r="J83" i="23"/>
  <c r="I83" i="23"/>
  <c r="H83" i="24" s="1"/>
  <c r="J161" i="23"/>
  <c r="I161" i="23"/>
  <c r="H161" i="24" s="1"/>
  <c r="I179" i="23"/>
  <c r="H179" i="24" s="1"/>
  <c r="J179" i="23"/>
  <c r="I353" i="23"/>
  <c r="J353" i="23"/>
  <c r="D105" i="24"/>
  <c r="E105" i="24" s="1"/>
  <c r="F105" i="24" s="1"/>
  <c r="W105" i="24"/>
  <c r="J28" i="23"/>
  <c r="I28" i="23"/>
  <c r="J50" i="23"/>
  <c r="I50" i="23"/>
  <c r="I146" i="23"/>
  <c r="J146" i="23"/>
  <c r="I150" i="23"/>
  <c r="H150" i="24" s="1"/>
  <c r="J150" i="23"/>
  <c r="I232" i="23"/>
  <c r="J232" i="23"/>
  <c r="J292" i="23"/>
  <c r="I292" i="23"/>
  <c r="J300" i="23"/>
  <c r="I300" i="23"/>
  <c r="J322" i="23"/>
  <c r="I322" i="23"/>
  <c r="W135" i="24"/>
  <c r="D135" i="24"/>
  <c r="E135" i="24" s="1"/>
  <c r="F135" i="24" s="1"/>
  <c r="W24" i="24"/>
  <c r="D24" i="24"/>
  <c r="E24" i="24" s="1"/>
  <c r="F24" i="24" s="1"/>
  <c r="G16" i="24"/>
  <c r="CE16" i="6" s="1"/>
  <c r="AA16" i="24"/>
  <c r="Z16" i="24" s="1"/>
  <c r="Y16" i="24" s="1"/>
  <c r="AA18" i="24"/>
  <c r="Z18" i="24" s="1"/>
  <c r="Y18" i="24" s="1"/>
  <c r="G18" i="24"/>
  <c r="CE18" i="6" s="1"/>
  <c r="AA27" i="24"/>
  <c r="Z27" i="24" s="1"/>
  <c r="Y27" i="24" s="1"/>
  <c r="H27" i="24"/>
  <c r="G27" i="24"/>
  <c r="CE27" i="6" s="1"/>
  <c r="D33" i="24"/>
  <c r="E33" i="24" s="1"/>
  <c r="F33" i="24" s="1"/>
  <c r="W33" i="24"/>
  <c r="G39" i="24"/>
  <c r="CE39" i="6" s="1"/>
  <c r="AA39" i="24"/>
  <c r="Z39" i="24" s="1"/>
  <c r="Y39" i="24" s="1"/>
  <c r="AA43" i="24"/>
  <c r="Z43" i="24" s="1"/>
  <c r="Y43" i="24" s="1"/>
  <c r="G43" i="24"/>
  <c r="CE43" i="6" s="1"/>
  <c r="AA51" i="24"/>
  <c r="Z51" i="24" s="1"/>
  <c r="Y51" i="24" s="1"/>
  <c r="G51" i="24"/>
  <c r="CE51" i="6" s="1"/>
  <c r="H51" i="24"/>
  <c r="AA53" i="24"/>
  <c r="Z53" i="24" s="1"/>
  <c r="Y53" i="24" s="1"/>
  <c r="H53" i="24"/>
  <c r="G53" i="24"/>
  <c r="CE53" i="6" s="1"/>
  <c r="G55" i="24"/>
  <c r="CE55" i="6" s="1"/>
  <c r="AA61" i="24"/>
  <c r="Z61" i="24" s="1"/>
  <c r="Y61" i="24" s="1"/>
  <c r="G61" i="24"/>
  <c r="CE61" i="6" s="1"/>
  <c r="AA63" i="24"/>
  <c r="Z63" i="24" s="1"/>
  <c r="Y63" i="24" s="1"/>
  <c r="G63" i="24"/>
  <c r="CE63" i="6" s="1"/>
  <c r="D69" i="24"/>
  <c r="E69" i="24" s="1"/>
  <c r="F69" i="24" s="1"/>
  <c r="W69" i="24"/>
  <c r="G71" i="24"/>
  <c r="CE71" i="6" s="1"/>
  <c r="AA71" i="24"/>
  <c r="Z71" i="24" s="1"/>
  <c r="Y71" i="24" s="1"/>
  <c r="G77" i="24"/>
  <c r="CE77" i="6" s="1"/>
  <c r="AA77" i="24"/>
  <c r="Z77" i="24" s="1"/>
  <c r="Y77" i="24" s="1"/>
  <c r="W81" i="24"/>
  <c r="D81" i="24"/>
  <c r="E81" i="24" s="1"/>
  <c r="F81" i="24" s="1"/>
  <c r="AA83" i="24"/>
  <c r="Z83" i="24" s="1"/>
  <c r="Y83" i="24" s="1"/>
  <c r="G83" i="24"/>
  <c r="CE83" i="6" s="1"/>
  <c r="AA89" i="24"/>
  <c r="Z89" i="24" s="1"/>
  <c r="Y89" i="24" s="1"/>
  <c r="G89" i="24"/>
  <c r="CE89" i="6" s="1"/>
  <c r="D91" i="24"/>
  <c r="E91" i="24" s="1"/>
  <c r="F91" i="24" s="1"/>
  <c r="W91" i="24"/>
  <c r="AA99" i="24"/>
  <c r="Z99" i="24" s="1"/>
  <c r="Y99" i="24" s="1"/>
  <c r="G99" i="24"/>
  <c r="CE99" i="6" s="1"/>
  <c r="W103" i="24"/>
  <c r="D103" i="24"/>
  <c r="E103" i="24" s="1"/>
  <c r="F103" i="24" s="1"/>
  <c r="AA117" i="24"/>
  <c r="Z117" i="24" s="1"/>
  <c r="Y117" i="24" s="1"/>
  <c r="G117" i="24"/>
  <c r="CE117" i="6" s="1"/>
  <c r="W119" i="24"/>
  <c r="D119" i="24"/>
  <c r="E119" i="24" s="1"/>
  <c r="F119" i="24" s="1"/>
  <c r="D125" i="24"/>
  <c r="E125" i="24" s="1"/>
  <c r="F125" i="24" s="1"/>
  <c r="W125" i="24"/>
  <c r="AA133" i="24"/>
  <c r="Z133" i="24" s="1"/>
  <c r="Y133" i="24" s="1"/>
  <c r="G133" i="24"/>
  <c r="CE133" i="6" s="1"/>
  <c r="G141" i="24"/>
  <c r="CE141" i="6" s="1"/>
  <c r="AA141" i="24"/>
  <c r="Z141" i="24" s="1"/>
  <c r="Y141" i="24" s="1"/>
  <c r="G147" i="24"/>
  <c r="CE147" i="6" s="1"/>
  <c r="AA147" i="24"/>
  <c r="Z147" i="24" s="1"/>
  <c r="Y147" i="24" s="1"/>
  <c r="W149" i="24"/>
  <c r="D149" i="24"/>
  <c r="E149" i="24" s="1"/>
  <c r="F149" i="24" s="1"/>
  <c r="D153" i="24"/>
  <c r="E153" i="24" s="1"/>
  <c r="F153" i="24" s="1"/>
  <c r="W153" i="24"/>
  <c r="G159" i="24"/>
  <c r="CE159" i="6" s="1"/>
  <c r="H159" i="24"/>
  <c r="AA159" i="24"/>
  <c r="Z159" i="24" s="1"/>
  <c r="Y159" i="24" s="1"/>
  <c r="G161" i="24"/>
  <c r="CE161" i="6" s="1"/>
  <c r="AA161" i="24"/>
  <c r="Z161" i="24" s="1"/>
  <c r="Y161" i="24" s="1"/>
  <c r="D163" i="24"/>
  <c r="E163" i="24" s="1"/>
  <c r="F163" i="24" s="1"/>
  <c r="W163" i="24"/>
  <c r="G173" i="24"/>
  <c r="CE173" i="6" s="1"/>
  <c r="AA173" i="24"/>
  <c r="Z173" i="24" s="1"/>
  <c r="Y173" i="24" s="1"/>
  <c r="G175" i="24"/>
  <c r="CE175" i="6" s="1"/>
  <c r="G177" i="24"/>
  <c r="CE177" i="6" s="1"/>
  <c r="AA177" i="24"/>
  <c r="Z177" i="24" s="1"/>
  <c r="Y177" i="24" s="1"/>
  <c r="AA179" i="24"/>
  <c r="Z179" i="24" s="1"/>
  <c r="Y179" i="24" s="1"/>
  <c r="G179" i="24"/>
  <c r="CE179" i="6" s="1"/>
  <c r="W181" i="24"/>
  <c r="D181" i="24"/>
  <c r="E181" i="24" s="1"/>
  <c r="F181" i="24" s="1"/>
  <c r="AA187" i="24"/>
  <c r="Z187" i="24" s="1"/>
  <c r="Y187" i="24" s="1"/>
  <c r="G187" i="24"/>
  <c r="CE187" i="6" s="1"/>
  <c r="D189" i="24"/>
  <c r="E189" i="24" s="1"/>
  <c r="F189" i="24" s="1"/>
  <c r="W189" i="24"/>
  <c r="AA197" i="24"/>
  <c r="Z197" i="24" s="1"/>
  <c r="Y197" i="24" s="1"/>
  <c r="G197" i="24"/>
  <c r="CE197" i="6" s="1"/>
  <c r="G199" i="24"/>
  <c r="CE199" i="6" s="1"/>
  <c r="AA199" i="24"/>
  <c r="Z199" i="24" s="1"/>
  <c r="Y199" i="24" s="1"/>
  <c r="G201" i="24"/>
  <c r="CE201" i="6" s="1"/>
  <c r="AA201" i="24"/>
  <c r="Z201" i="24" s="1"/>
  <c r="Y201" i="24" s="1"/>
  <c r="AA209" i="24"/>
  <c r="Z209" i="24" s="1"/>
  <c r="Y209" i="24" s="1"/>
  <c r="G209" i="24"/>
  <c r="CE209" i="6" s="1"/>
  <c r="AA211" i="24"/>
  <c r="Z211" i="24" s="1"/>
  <c r="Y211" i="24" s="1"/>
  <c r="G211" i="24"/>
  <c r="CE211" i="6" s="1"/>
  <c r="AA215" i="24"/>
  <c r="Z215" i="24" s="1"/>
  <c r="Y215" i="24" s="1"/>
  <c r="G215" i="24"/>
  <c r="CE215" i="6" s="1"/>
  <c r="G219" i="24"/>
  <c r="CE219" i="6" s="1"/>
  <c r="AA219" i="24"/>
  <c r="Z219" i="24" s="1"/>
  <c r="Y219" i="24" s="1"/>
  <c r="G233" i="24"/>
  <c r="CE233" i="6" s="1"/>
  <c r="AA233" i="24"/>
  <c r="Z233" i="24" s="1"/>
  <c r="Y233" i="24" s="1"/>
  <c r="D237" i="24"/>
  <c r="E237" i="24" s="1"/>
  <c r="F237" i="24" s="1"/>
  <c r="W237" i="24"/>
  <c r="W241" i="24"/>
  <c r="D241" i="24"/>
  <c r="E241" i="24" s="1"/>
  <c r="F241" i="24" s="1"/>
  <c r="G245" i="24"/>
  <c r="CE245" i="6" s="1"/>
  <c r="AA245" i="24"/>
  <c r="Z245" i="24" s="1"/>
  <c r="Y245" i="24" s="1"/>
  <c r="G255" i="24"/>
  <c r="CE255" i="6" s="1"/>
  <c r="AA255" i="24"/>
  <c r="Z255" i="24" s="1"/>
  <c r="Y255" i="24" s="1"/>
  <c r="G257" i="24"/>
  <c r="CE257" i="6" s="1"/>
  <c r="H257" i="24"/>
  <c r="AA257" i="24"/>
  <c r="Z257" i="24" s="1"/>
  <c r="Y257" i="24" s="1"/>
  <c r="G263" i="24"/>
  <c r="CE263" i="6" s="1"/>
  <c r="AA263" i="24"/>
  <c r="Z263" i="24" s="1"/>
  <c r="Y263" i="24" s="1"/>
  <c r="G273" i="24"/>
  <c r="CE273" i="6" s="1"/>
  <c r="AA273" i="24"/>
  <c r="Z273" i="24" s="1"/>
  <c r="Y273" i="24" s="1"/>
  <c r="G275" i="24"/>
  <c r="CE275" i="6" s="1"/>
  <c r="AA275" i="24"/>
  <c r="Z275" i="24" s="1"/>
  <c r="Y275" i="24" s="1"/>
  <c r="G279" i="24"/>
  <c r="CE279" i="6" s="1"/>
  <c r="AA279" i="24"/>
  <c r="Z279" i="24" s="1"/>
  <c r="Y279" i="24" s="1"/>
  <c r="AA281" i="24"/>
  <c r="Z281" i="24" s="1"/>
  <c r="Y281" i="24" s="1"/>
  <c r="G281" i="24"/>
  <c r="CE281" i="6" s="1"/>
  <c r="G287" i="24"/>
  <c r="CE287" i="6" s="1"/>
  <c r="AA287" i="24"/>
  <c r="Z287" i="24" s="1"/>
  <c r="Y287" i="24" s="1"/>
  <c r="G293" i="24"/>
  <c r="CE293" i="6" s="1"/>
  <c r="AA293" i="24"/>
  <c r="Z293" i="24" s="1"/>
  <c r="Y293" i="24" s="1"/>
  <c r="W295" i="24"/>
  <c r="D295" i="24"/>
  <c r="E295" i="24" s="1"/>
  <c r="F295" i="24" s="1"/>
  <c r="G301" i="24"/>
  <c r="CE301" i="6" s="1"/>
  <c r="AA301" i="24"/>
  <c r="Z301" i="24" s="1"/>
  <c r="Y301" i="24" s="1"/>
  <c r="G303" i="24"/>
  <c r="CE303" i="6" s="1"/>
  <c r="AA323" i="24"/>
  <c r="Z323" i="24" s="1"/>
  <c r="Y323" i="24" s="1"/>
  <c r="G323" i="24"/>
  <c r="CE323" i="6" s="1"/>
  <c r="AA325" i="24"/>
  <c r="Z325" i="24" s="1"/>
  <c r="Y325" i="24" s="1"/>
  <c r="G325" i="24"/>
  <c r="CE325" i="6" s="1"/>
  <c r="H325" i="24"/>
  <c r="W333" i="24"/>
  <c r="D333" i="24"/>
  <c r="E333" i="24" s="1"/>
  <c r="F333" i="24" s="1"/>
  <c r="AA337" i="24"/>
  <c r="Z337" i="24" s="1"/>
  <c r="Y337" i="24" s="1"/>
  <c r="G337" i="24"/>
  <c r="CE337" i="6" s="1"/>
  <c r="H337" i="24"/>
  <c r="G339" i="24"/>
  <c r="CE339" i="6" s="1"/>
  <c r="AA339" i="24"/>
  <c r="Z339" i="24" s="1"/>
  <c r="Y339" i="24" s="1"/>
  <c r="G343" i="24"/>
  <c r="CE343" i="6" s="1"/>
  <c r="AA343" i="24"/>
  <c r="Z343" i="24" s="1"/>
  <c r="Y343" i="24" s="1"/>
  <c r="AA359" i="24"/>
  <c r="Z359" i="24" s="1"/>
  <c r="Y359" i="24" s="1"/>
  <c r="G359" i="24"/>
  <c r="CE359" i="6" s="1"/>
  <c r="G361" i="24"/>
  <c r="CE361" i="6" s="1"/>
  <c r="AA361" i="24"/>
  <c r="Z361" i="24" s="1"/>
  <c r="Y361" i="24" s="1"/>
  <c r="AH67" i="7"/>
  <c r="V363" i="24"/>
  <c r="B363" i="24" s="1"/>
  <c r="G365" i="24"/>
  <c r="CE365" i="6" s="1"/>
  <c r="AA365" i="24"/>
  <c r="Z365" i="24" s="1"/>
  <c r="Y365" i="24" s="1"/>
  <c r="W371" i="24"/>
  <c r="D371" i="24"/>
  <c r="E371" i="24" s="1"/>
  <c r="F371" i="24" s="1"/>
  <c r="AA373" i="24"/>
  <c r="Z373" i="24" s="1"/>
  <c r="Y373" i="24" s="1"/>
  <c r="G373" i="24"/>
  <c r="CE373" i="6" s="1"/>
  <c r="AA375" i="24"/>
  <c r="Z375" i="24" s="1"/>
  <c r="Y375" i="24" s="1"/>
  <c r="G375" i="24"/>
  <c r="CE375" i="6" s="1"/>
  <c r="BE16" i="7"/>
  <c r="U185" i="25"/>
  <c r="T185" i="25" s="1"/>
  <c r="S185" i="25" s="1"/>
  <c r="R185" i="25" s="1"/>
  <c r="P185" i="25" s="1"/>
  <c r="V185" i="25" s="1"/>
  <c r="B185" i="25" s="1"/>
  <c r="U291" i="25"/>
  <c r="T291" i="25" s="1"/>
  <c r="S291" i="25" s="1"/>
  <c r="R291" i="25" s="1"/>
  <c r="P291" i="25" s="1"/>
  <c r="V291" i="25" s="1"/>
  <c r="B291" i="25" s="1"/>
  <c r="U350" i="25"/>
  <c r="T350" i="25" s="1"/>
  <c r="S350" i="25" s="1"/>
  <c r="R350" i="25" s="1"/>
  <c r="P350" i="25" s="1"/>
  <c r="V350" i="25" s="1"/>
  <c r="B350" i="25" s="1"/>
  <c r="J380" i="24"/>
  <c r="I380" i="24"/>
  <c r="H380" i="25" s="1"/>
  <c r="G381" i="18"/>
  <c r="G383" i="18"/>
  <c r="G12" i="18" s="1"/>
  <c r="G382" i="18"/>
  <c r="J20" i="23"/>
  <c r="I20" i="23"/>
  <c r="H20" i="24" s="1"/>
  <c r="I114" i="23"/>
  <c r="H114" i="24" s="1"/>
  <c r="J114" i="23"/>
  <c r="J120" i="23"/>
  <c r="I120" i="23"/>
  <c r="H120" i="24" s="1"/>
  <c r="I138" i="23"/>
  <c r="H138" i="24" s="1"/>
  <c r="J138" i="23"/>
  <c r="J284" i="23"/>
  <c r="I284" i="23"/>
  <c r="J314" i="23"/>
  <c r="I314" i="23"/>
  <c r="I324" i="23"/>
  <c r="J324" i="23"/>
  <c r="I328" i="23"/>
  <c r="J328" i="23"/>
  <c r="I344" i="23"/>
  <c r="J344" i="23"/>
  <c r="J354" i="23"/>
  <c r="I354" i="23"/>
  <c r="H354" i="24" s="1"/>
  <c r="AA349" i="24"/>
  <c r="Z349" i="24" s="1"/>
  <c r="Y349" i="24" s="1"/>
  <c r="G349" i="24"/>
  <c r="CE349" i="6" s="1"/>
  <c r="J17" i="23"/>
  <c r="I17" i="23"/>
  <c r="J16" i="23"/>
  <c r="I16" i="23"/>
  <c r="H16" i="24" s="1"/>
  <c r="J21" i="23"/>
  <c r="I21" i="23"/>
  <c r="H21" i="24" s="1"/>
  <c r="J25" i="23"/>
  <c r="I25" i="23"/>
  <c r="J45" i="23"/>
  <c r="I45" i="23"/>
  <c r="H45" i="24" s="1"/>
  <c r="J85" i="23"/>
  <c r="I85" i="23"/>
  <c r="H85" i="24" s="1"/>
  <c r="I91" i="23"/>
  <c r="J91" i="23"/>
  <c r="J95" i="23"/>
  <c r="I95" i="23"/>
  <c r="I103" i="23"/>
  <c r="J103" i="23"/>
  <c r="J107" i="23"/>
  <c r="I107" i="23"/>
  <c r="H107" i="24" s="1"/>
  <c r="I117" i="23"/>
  <c r="H117" i="24" s="1"/>
  <c r="J117" i="23"/>
  <c r="I139" i="23"/>
  <c r="H139" i="24" s="1"/>
  <c r="J139" i="23"/>
  <c r="I177" i="23"/>
  <c r="H177" i="24" s="1"/>
  <c r="J177" i="23"/>
  <c r="J187" i="23"/>
  <c r="I187" i="23"/>
  <c r="H187" i="24" s="1"/>
  <c r="I209" i="23"/>
  <c r="H209" i="24" s="1"/>
  <c r="J209" i="23"/>
  <c r="J215" i="23"/>
  <c r="I215" i="23"/>
  <c r="H215" i="24" s="1"/>
  <c r="J229" i="23"/>
  <c r="I229" i="23"/>
  <c r="J233" i="23"/>
  <c r="I233" i="23"/>
  <c r="H233" i="24" s="1"/>
  <c r="J247" i="23"/>
  <c r="I247" i="23"/>
  <c r="H247" i="24" s="1"/>
  <c r="I249" i="23"/>
  <c r="H249" i="24" s="1"/>
  <c r="J249" i="23"/>
  <c r="J261" i="23"/>
  <c r="I261" i="23"/>
  <c r="H261" i="24" s="1"/>
  <c r="J315" i="23"/>
  <c r="I315" i="23"/>
  <c r="H315" i="24" s="1"/>
  <c r="G363" i="23"/>
  <c r="CD363" i="6" s="1"/>
  <c r="H363" i="23"/>
  <c r="AA363" i="23"/>
  <c r="Z363" i="23" s="1"/>
  <c r="Y363" i="23" s="1"/>
  <c r="I365" i="23"/>
  <c r="H365" i="24" s="1"/>
  <c r="J365" i="23"/>
  <c r="J367" i="23"/>
  <c r="I367" i="23"/>
  <c r="J377" i="23"/>
  <c r="I377" i="23"/>
  <c r="H377" i="24" s="1"/>
  <c r="J18" i="23"/>
  <c r="I18" i="23"/>
  <c r="H18" i="24" s="1"/>
  <c r="I58" i="23"/>
  <c r="H58" i="24" s="1"/>
  <c r="J58" i="23"/>
  <c r="J94" i="23"/>
  <c r="I94" i="23"/>
  <c r="I102" i="23"/>
  <c r="H102" i="24" s="1"/>
  <c r="J102" i="23"/>
  <c r="J160" i="23"/>
  <c r="I160" i="23"/>
  <c r="H160" i="24" s="1"/>
  <c r="G180" i="23"/>
  <c r="CD180" i="6" s="1"/>
  <c r="AA180" i="23"/>
  <c r="Z180" i="23" s="1"/>
  <c r="Y180" i="23" s="1"/>
  <c r="H180" i="23"/>
  <c r="I334" i="23"/>
  <c r="J334" i="23"/>
  <c r="J342" i="23"/>
  <c r="I342" i="23"/>
  <c r="J372" i="23"/>
  <c r="I372" i="23"/>
  <c r="H372" i="24" s="1"/>
  <c r="I73" i="23"/>
  <c r="J73" i="23"/>
  <c r="J77" i="23"/>
  <c r="I77" i="23"/>
  <c r="H77" i="24" s="1"/>
  <c r="I89" i="23"/>
  <c r="H89" i="24" s="1"/>
  <c r="J89" i="23"/>
  <c r="I121" i="23"/>
  <c r="J121" i="23"/>
  <c r="I189" i="23"/>
  <c r="J189" i="23"/>
  <c r="I217" i="23"/>
  <c r="H217" i="24" s="1"/>
  <c r="J217" i="23"/>
  <c r="I279" i="23"/>
  <c r="H279" i="24" s="1"/>
  <c r="J279" i="23"/>
  <c r="I311" i="23"/>
  <c r="J311" i="23"/>
  <c r="AA333" i="23"/>
  <c r="Z333" i="23" s="1"/>
  <c r="Y333" i="23" s="1"/>
  <c r="H333" i="23"/>
  <c r="G333" i="23"/>
  <c r="CD333" i="6" s="1"/>
  <c r="J345" i="23"/>
  <c r="I345" i="23"/>
  <c r="H345" i="24" s="1"/>
  <c r="J375" i="23"/>
  <c r="I375" i="23"/>
  <c r="H375" i="24" s="1"/>
  <c r="I32" i="23"/>
  <c r="J32" i="23"/>
  <c r="I56" i="23"/>
  <c r="H56" i="24" s="1"/>
  <c r="J56" i="23"/>
  <c r="I126" i="23"/>
  <c r="H126" i="24" s="1"/>
  <c r="J126" i="23"/>
  <c r="I144" i="23"/>
  <c r="J144" i="23"/>
  <c r="J154" i="23"/>
  <c r="I154" i="23"/>
  <c r="I226" i="23"/>
  <c r="J226" i="23"/>
  <c r="D288" i="24"/>
  <c r="E288" i="24" s="1"/>
  <c r="F288" i="24" s="1"/>
  <c r="W288" i="24"/>
  <c r="I318" i="23"/>
  <c r="H318" i="24" s="1"/>
  <c r="J318" i="23"/>
  <c r="J47" i="23"/>
  <c r="I47" i="23"/>
  <c r="H47" i="24" s="1"/>
  <c r="J281" i="23"/>
  <c r="I281" i="23"/>
  <c r="H281" i="24" s="1"/>
  <c r="J287" i="23"/>
  <c r="I287" i="23"/>
  <c r="H287" i="24" s="1"/>
  <c r="J44" i="23"/>
  <c r="I44" i="23"/>
  <c r="H44" i="24" s="1"/>
  <c r="AA60" i="23"/>
  <c r="Z60" i="23" s="1"/>
  <c r="Y60" i="23" s="1"/>
  <c r="G60" i="23"/>
  <c r="CD60" i="6" s="1"/>
  <c r="H60" i="23"/>
  <c r="J162" i="23"/>
  <c r="I162" i="23"/>
  <c r="J174" i="23"/>
  <c r="I174" i="23"/>
  <c r="I182" i="23"/>
  <c r="J182" i="23"/>
  <c r="AA210" i="23"/>
  <c r="Z210" i="23" s="1"/>
  <c r="Y210" i="23" s="1"/>
  <c r="G210" i="23"/>
  <c r="CD210" i="6" s="1"/>
  <c r="H210" i="23"/>
  <c r="J252" i="23"/>
  <c r="I252" i="23"/>
  <c r="J264" i="23"/>
  <c r="I264" i="23"/>
  <c r="I280" i="23"/>
  <c r="J280" i="23"/>
  <c r="J358" i="23"/>
  <c r="I358" i="23"/>
  <c r="W258" i="24"/>
  <c r="D258" i="24"/>
  <c r="E258" i="24" s="1"/>
  <c r="F258" i="24" s="1"/>
  <c r="G258" i="23"/>
  <c r="CD258" i="6" s="1"/>
  <c r="AA258" i="23"/>
  <c r="Z258" i="23" s="1"/>
  <c r="Y258" i="23" s="1"/>
  <c r="AG15" i="24"/>
  <c r="G20" i="24"/>
  <c r="CE20" i="6" s="1"/>
  <c r="AA20" i="24"/>
  <c r="Z20" i="24" s="1"/>
  <c r="Y20" i="24" s="1"/>
  <c r="AA22" i="24"/>
  <c r="Z22" i="24" s="1"/>
  <c r="Y22" i="24" s="1"/>
  <c r="G22" i="24"/>
  <c r="CE22" i="6" s="1"/>
  <c r="T381" i="24"/>
  <c r="S15" i="24"/>
  <c r="T382" i="24"/>
  <c r="T383" i="24"/>
  <c r="G17" i="24"/>
  <c r="CE17" i="6" s="1"/>
  <c r="G26" i="24"/>
  <c r="CE26" i="6" s="1"/>
  <c r="AA26" i="24"/>
  <c r="Z26" i="24" s="1"/>
  <c r="Y26" i="24" s="1"/>
  <c r="W28" i="24"/>
  <c r="D28" i="24"/>
  <c r="E28" i="24" s="1"/>
  <c r="F28" i="24" s="1"/>
  <c r="W30" i="24"/>
  <c r="D30" i="24"/>
  <c r="E30" i="24" s="1"/>
  <c r="F30" i="24" s="1"/>
  <c r="W32" i="24"/>
  <c r="D32" i="24"/>
  <c r="E32" i="24" s="1"/>
  <c r="F32" i="24" s="1"/>
  <c r="W34" i="24"/>
  <c r="D34" i="24"/>
  <c r="E34" i="24" s="1"/>
  <c r="F34" i="24" s="1"/>
  <c r="D38" i="24"/>
  <c r="E38" i="24" s="1"/>
  <c r="F38" i="24" s="1"/>
  <c r="W38" i="24"/>
  <c r="AA44" i="24"/>
  <c r="Z44" i="24" s="1"/>
  <c r="Y44" i="24" s="1"/>
  <c r="G44" i="24"/>
  <c r="CE44" i="6" s="1"/>
  <c r="AA48" i="24"/>
  <c r="Z48" i="24" s="1"/>
  <c r="Y48" i="24" s="1"/>
  <c r="G48" i="24"/>
  <c r="CE48" i="6" s="1"/>
  <c r="W50" i="24"/>
  <c r="D50" i="24"/>
  <c r="E50" i="24" s="1"/>
  <c r="F50" i="24" s="1"/>
  <c r="D52" i="24"/>
  <c r="E52" i="24" s="1"/>
  <c r="F52" i="24" s="1"/>
  <c r="W52" i="24"/>
  <c r="AA56" i="24"/>
  <c r="Z56" i="24" s="1"/>
  <c r="Y56" i="24" s="1"/>
  <c r="G56" i="24"/>
  <c r="CE56" i="6" s="1"/>
  <c r="D64" i="24"/>
  <c r="E64" i="24" s="1"/>
  <c r="F64" i="24" s="1"/>
  <c r="W64" i="24"/>
  <c r="G68" i="24"/>
  <c r="CE68" i="6" s="1"/>
  <c r="AA68" i="24"/>
  <c r="Z68" i="24" s="1"/>
  <c r="Y68" i="24" s="1"/>
  <c r="D70" i="24"/>
  <c r="E70" i="24" s="1"/>
  <c r="F70" i="24" s="1"/>
  <c r="W70" i="24"/>
  <c r="B74" i="24"/>
  <c r="W76" i="24"/>
  <c r="D76" i="24"/>
  <c r="E76" i="24" s="1"/>
  <c r="F76" i="24" s="1"/>
  <c r="W78" i="24"/>
  <c r="D78" i="24"/>
  <c r="E78" i="24" s="1"/>
  <c r="F78" i="24" s="1"/>
  <c r="AA82" i="24"/>
  <c r="Z82" i="24" s="1"/>
  <c r="Y82" i="24" s="1"/>
  <c r="G82" i="24"/>
  <c r="CE82" i="6" s="1"/>
  <c r="G84" i="24"/>
  <c r="CE84" i="6" s="1"/>
  <c r="AA84" i="24"/>
  <c r="Z84" i="24" s="1"/>
  <c r="Y84" i="24" s="1"/>
  <c r="AA86" i="24"/>
  <c r="Z86" i="24" s="1"/>
  <c r="Y86" i="24" s="1"/>
  <c r="H86" i="24"/>
  <c r="G86" i="24"/>
  <c r="CE86" i="6" s="1"/>
  <c r="AH58" i="7"/>
  <c r="V88" i="24"/>
  <c r="B88" i="24" s="1"/>
  <c r="G96" i="24"/>
  <c r="CE96" i="6" s="1"/>
  <c r="AA96" i="24"/>
  <c r="Z96" i="24" s="1"/>
  <c r="Y96" i="24" s="1"/>
  <c r="D98" i="24"/>
  <c r="E98" i="24" s="1"/>
  <c r="F98" i="24" s="1"/>
  <c r="W98" i="24"/>
  <c r="AA102" i="24"/>
  <c r="Z102" i="24" s="1"/>
  <c r="Y102" i="24" s="1"/>
  <c r="G102" i="24"/>
  <c r="CE102" i="6" s="1"/>
  <c r="AA106" i="24"/>
  <c r="Z106" i="24" s="1"/>
  <c r="Y106" i="24" s="1"/>
  <c r="G106" i="24"/>
  <c r="CE106" i="6" s="1"/>
  <c r="G108" i="24"/>
  <c r="CE108" i="6" s="1"/>
  <c r="AA108" i="24"/>
  <c r="Z108" i="24" s="1"/>
  <c r="Y108" i="24" s="1"/>
  <c r="G112" i="24"/>
  <c r="CE112" i="6" s="1"/>
  <c r="AA112" i="24"/>
  <c r="Z112" i="24" s="1"/>
  <c r="Y112" i="24" s="1"/>
  <c r="H112" i="24"/>
  <c r="AA124" i="24"/>
  <c r="Z124" i="24" s="1"/>
  <c r="Y124" i="24" s="1"/>
  <c r="D132" i="24"/>
  <c r="E132" i="24" s="1"/>
  <c r="F132" i="24" s="1"/>
  <c r="W132" i="24"/>
  <c r="G138" i="24"/>
  <c r="CE138" i="6" s="1"/>
  <c r="AA138" i="24"/>
  <c r="Z138" i="24" s="1"/>
  <c r="Y138" i="24" s="1"/>
  <c r="W146" i="24"/>
  <c r="D146" i="24"/>
  <c r="E146" i="24" s="1"/>
  <c r="F146" i="24" s="1"/>
  <c r="W152" i="24"/>
  <c r="D152" i="24"/>
  <c r="E152" i="24" s="1"/>
  <c r="F152" i="24" s="1"/>
  <c r="W158" i="24"/>
  <c r="D158" i="24"/>
  <c r="E158" i="24" s="1"/>
  <c r="F158" i="24" s="1"/>
  <c r="AA160" i="24"/>
  <c r="Z160" i="24" s="1"/>
  <c r="Y160" i="24" s="1"/>
  <c r="G160" i="24"/>
  <c r="CE160" i="6" s="1"/>
  <c r="W174" i="24"/>
  <c r="D174" i="24"/>
  <c r="E174" i="24" s="1"/>
  <c r="F174" i="24" s="1"/>
  <c r="AA176" i="24"/>
  <c r="Z176" i="24" s="1"/>
  <c r="Y176" i="24" s="1"/>
  <c r="G176" i="24"/>
  <c r="CE176" i="6" s="1"/>
  <c r="G206" i="24"/>
  <c r="CE206" i="6" s="1"/>
  <c r="AA206" i="24"/>
  <c r="Z206" i="24" s="1"/>
  <c r="Y206" i="24" s="1"/>
  <c r="W214" i="24"/>
  <c r="D214" i="24"/>
  <c r="E214" i="24" s="1"/>
  <c r="F214" i="24" s="1"/>
  <c r="W218" i="24"/>
  <c r="D218" i="24"/>
  <c r="E218" i="24" s="1"/>
  <c r="F218" i="24" s="1"/>
  <c r="W222" i="24"/>
  <c r="D222" i="24"/>
  <c r="E222" i="24" s="1"/>
  <c r="F222" i="24" s="1"/>
  <c r="W232" i="24"/>
  <c r="D232" i="24"/>
  <c r="E232" i="24" s="1"/>
  <c r="F232" i="24" s="1"/>
  <c r="AA238" i="24"/>
  <c r="Z238" i="24" s="1"/>
  <c r="Y238" i="24" s="1"/>
  <c r="G238" i="24"/>
  <c r="CE238" i="6" s="1"/>
  <c r="H238" i="24"/>
  <c r="AA240" i="24"/>
  <c r="Z240" i="24" s="1"/>
  <c r="Y240" i="24" s="1"/>
  <c r="H240" i="24"/>
  <c r="G240" i="24"/>
  <c r="CE240" i="6" s="1"/>
  <c r="AA244" i="24"/>
  <c r="Z244" i="24" s="1"/>
  <c r="Y244" i="24" s="1"/>
  <c r="G244" i="24"/>
  <c r="CE244" i="6" s="1"/>
  <c r="AA248" i="24"/>
  <c r="Z248" i="24" s="1"/>
  <c r="Y248" i="24" s="1"/>
  <c r="G248" i="24"/>
  <c r="CE248" i="6" s="1"/>
  <c r="D252" i="24"/>
  <c r="E252" i="24" s="1"/>
  <c r="F252" i="24" s="1"/>
  <c r="W252" i="24"/>
  <c r="W270" i="24"/>
  <c r="D270" i="24"/>
  <c r="E270" i="24" s="1"/>
  <c r="F270" i="24" s="1"/>
  <c r="W272" i="24"/>
  <c r="D272" i="24"/>
  <c r="E272" i="24" s="1"/>
  <c r="F272" i="24" s="1"/>
  <c r="G282" i="24"/>
  <c r="CE282" i="6" s="1"/>
  <c r="AA282" i="24"/>
  <c r="Z282" i="24" s="1"/>
  <c r="Y282" i="24" s="1"/>
  <c r="AA286" i="24"/>
  <c r="Z286" i="24" s="1"/>
  <c r="Y286" i="24" s="1"/>
  <c r="G286" i="24"/>
  <c r="CE286" i="6" s="1"/>
  <c r="G290" i="24"/>
  <c r="CE290" i="6" s="1"/>
  <c r="AA290" i="24"/>
  <c r="Z290" i="24" s="1"/>
  <c r="Y290" i="24" s="1"/>
  <c r="AH65" i="7"/>
  <c r="V302" i="24"/>
  <c r="B302" i="24" s="1"/>
  <c r="G308" i="24"/>
  <c r="CE308" i="6" s="1"/>
  <c r="AA308" i="24"/>
  <c r="Z308" i="24" s="1"/>
  <c r="Y308" i="24" s="1"/>
  <c r="D310" i="24"/>
  <c r="E310" i="24" s="1"/>
  <c r="F310" i="24" s="1"/>
  <c r="W310" i="24"/>
  <c r="AA316" i="24"/>
  <c r="Z316" i="24" s="1"/>
  <c r="Y316" i="24" s="1"/>
  <c r="H316" i="24"/>
  <c r="G316" i="24"/>
  <c r="CE316" i="6" s="1"/>
  <c r="G318" i="24"/>
  <c r="CE318" i="6" s="1"/>
  <c r="AA318" i="24"/>
  <c r="Z318" i="24" s="1"/>
  <c r="Y318" i="24" s="1"/>
  <c r="G320" i="24"/>
  <c r="CE320" i="6" s="1"/>
  <c r="AA320" i="24"/>
  <c r="Z320" i="24" s="1"/>
  <c r="Y320" i="24" s="1"/>
  <c r="H320" i="24"/>
  <c r="W322" i="24"/>
  <c r="D322" i="24"/>
  <c r="E322" i="24" s="1"/>
  <c r="F322" i="24" s="1"/>
  <c r="D332" i="24"/>
  <c r="E332" i="24" s="1"/>
  <c r="F332" i="24" s="1"/>
  <c r="W332" i="24"/>
  <c r="G336" i="24"/>
  <c r="CE336" i="6" s="1"/>
  <c r="AA336" i="24"/>
  <c r="Z336" i="24" s="1"/>
  <c r="Y336" i="24" s="1"/>
  <c r="AA346" i="24"/>
  <c r="Z346" i="24" s="1"/>
  <c r="Y346" i="24" s="1"/>
  <c r="W348" i="24"/>
  <c r="D348" i="24"/>
  <c r="E348" i="24" s="1"/>
  <c r="F348" i="24" s="1"/>
  <c r="AA354" i="24"/>
  <c r="Z354" i="24" s="1"/>
  <c r="Y354" i="24" s="1"/>
  <c r="G354" i="24"/>
  <c r="CE354" i="6" s="1"/>
  <c r="AA356" i="24"/>
  <c r="Z356" i="24" s="1"/>
  <c r="Y356" i="24" s="1"/>
  <c r="G356" i="24"/>
  <c r="CE356" i="6" s="1"/>
  <c r="AA368" i="24"/>
  <c r="Z368" i="24" s="1"/>
  <c r="Y368" i="24" s="1"/>
  <c r="G368" i="24"/>
  <c r="CE368" i="6" s="1"/>
  <c r="H368" i="24"/>
  <c r="AA370" i="24"/>
  <c r="Z370" i="24" s="1"/>
  <c r="Y370" i="24" s="1"/>
  <c r="G370" i="24"/>
  <c r="CE370" i="6" s="1"/>
  <c r="AA372" i="24"/>
  <c r="Z372" i="24" s="1"/>
  <c r="Y372" i="24" s="1"/>
  <c r="G372" i="24"/>
  <c r="CE372" i="6" s="1"/>
  <c r="D374" i="24"/>
  <c r="E374" i="24" s="1"/>
  <c r="F374" i="24" s="1"/>
  <c r="W374" i="24"/>
  <c r="D376" i="24"/>
  <c r="E376" i="24" s="1"/>
  <c r="F376" i="24" s="1"/>
  <c r="W376" i="24"/>
  <c r="AD15" i="23"/>
  <c r="I42" i="23"/>
  <c r="H42" i="24" s="1"/>
  <c r="J42" i="23"/>
  <c r="J54" i="23"/>
  <c r="I54" i="23"/>
  <c r="I132" i="23"/>
  <c r="J132" i="23"/>
  <c r="J152" i="23"/>
  <c r="I152" i="23"/>
  <c r="J184" i="23"/>
  <c r="I184" i="23"/>
  <c r="H184" i="24" s="1"/>
  <c r="J228" i="23"/>
  <c r="I228" i="23"/>
  <c r="H228" i="24" s="1"/>
  <c r="I234" i="23"/>
  <c r="H234" i="24" s="1"/>
  <c r="J234" i="23"/>
  <c r="G272" i="23"/>
  <c r="CD272" i="6" s="1"/>
  <c r="H272" i="23"/>
  <c r="AA272" i="23"/>
  <c r="Z272" i="23" s="1"/>
  <c r="Y272" i="23" s="1"/>
  <c r="J278" i="23"/>
  <c r="I278" i="23"/>
  <c r="H278" i="24" s="1"/>
  <c r="J374" i="23"/>
  <c r="I374" i="23"/>
  <c r="I22" i="23"/>
  <c r="H22" i="24" s="1"/>
  <c r="J22" i="23"/>
  <c r="AA29" i="23"/>
  <c r="Z29" i="23" s="1"/>
  <c r="Y29" i="23" s="1"/>
  <c r="G29" i="23"/>
  <c r="CD29" i="6" s="1"/>
  <c r="H29" i="23"/>
  <c r="J33" i="23"/>
  <c r="I33" i="23"/>
  <c r="J35" i="23"/>
  <c r="I35" i="23"/>
  <c r="H35" i="24" s="1"/>
  <c r="I61" i="23"/>
  <c r="H61" i="24" s="1"/>
  <c r="J61" i="23"/>
  <c r="I63" i="23"/>
  <c r="H63" i="24" s="1"/>
  <c r="J63" i="23"/>
  <c r="J65" i="23"/>
  <c r="I65" i="23"/>
  <c r="H65" i="24" s="1"/>
  <c r="J87" i="23"/>
  <c r="I87" i="23"/>
  <c r="H87" i="24" s="1"/>
  <c r="J99" i="23"/>
  <c r="I99" i="23"/>
  <c r="H99" i="24" s="1"/>
  <c r="J109" i="23"/>
  <c r="I109" i="23"/>
  <c r="H109" i="24" s="1"/>
  <c r="J111" i="23"/>
  <c r="I111" i="23"/>
  <c r="J127" i="23"/>
  <c r="I127" i="23"/>
  <c r="I129" i="23"/>
  <c r="H129" i="24" s="1"/>
  <c r="J129" i="23"/>
  <c r="I133" i="23"/>
  <c r="H133" i="24" s="1"/>
  <c r="J133" i="23"/>
  <c r="J151" i="23"/>
  <c r="I151" i="23"/>
  <c r="H151" i="24" s="1"/>
  <c r="I171" i="23"/>
  <c r="H171" i="24" s="1"/>
  <c r="J171" i="23"/>
  <c r="I175" i="23"/>
  <c r="H175" i="24" s="1"/>
  <c r="J175" i="23"/>
  <c r="I197" i="23"/>
  <c r="H197" i="24" s="1"/>
  <c r="J197" i="23"/>
  <c r="J199" i="23"/>
  <c r="I199" i="23"/>
  <c r="H199" i="24" s="1"/>
  <c r="J205" i="23"/>
  <c r="I205" i="23"/>
  <c r="I223" i="23"/>
  <c r="H223" i="24" s="1"/>
  <c r="J223" i="23"/>
  <c r="AA241" i="23"/>
  <c r="Z241" i="23" s="1"/>
  <c r="Y241" i="23" s="1"/>
  <c r="G241" i="23"/>
  <c r="CD241" i="6" s="1"/>
  <c r="H241" i="23"/>
  <c r="J243" i="23"/>
  <c r="I243" i="23"/>
  <c r="H243" i="24" s="1"/>
  <c r="J255" i="23"/>
  <c r="I255" i="23"/>
  <c r="H255" i="24" s="1"/>
  <c r="J303" i="23"/>
  <c r="I303" i="23"/>
  <c r="H303" i="24" s="1"/>
  <c r="AA319" i="23"/>
  <c r="Z319" i="23" s="1"/>
  <c r="Y319" i="23" s="1"/>
  <c r="H319" i="23"/>
  <c r="G319" i="23"/>
  <c r="CD319" i="6" s="1"/>
  <c r="I327" i="23"/>
  <c r="H327" i="24" s="1"/>
  <c r="J327" i="23"/>
  <c r="J331" i="23"/>
  <c r="I331" i="23"/>
  <c r="I341" i="23"/>
  <c r="J341" i="23"/>
  <c r="J351" i="23"/>
  <c r="I351" i="23"/>
  <c r="H351" i="24" s="1"/>
  <c r="I357" i="23"/>
  <c r="H357" i="24" s="1"/>
  <c r="J357" i="23"/>
  <c r="J361" i="23"/>
  <c r="I361" i="23"/>
  <c r="H361" i="24" s="1"/>
  <c r="J373" i="23"/>
  <c r="I373" i="23"/>
  <c r="H373" i="24" s="1"/>
  <c r="U366" i="25" l="1"/>
  <c r="T366" i="25" s="1"/>
  <c r="S366" i="25" s="1"/>
  <c r="R366" i="25" s="1"/>
  <c r="P366" i="25" s="1"/>
  <c r="V366" i="25" s="1"/>
  <c r="B366" i="25" s="1"/>
  <c r="U323" i="25"/>
  <c r="T323" i="25" s="1"/>
  <c r="S323" i="25" s="1"/>
  <c r="R323" i="25" s="1"/>
  <c r="P323" i="25" s="1"/>
  <c r="V323" i="25" s="1"/>
  <c r="B323" i="25" s="1"/>
  <c r="U249" i="25"/>
  <c r="T249" i="25" s="1"/>
  <c r="S249" i="25" s="1"/>
  <c r="R249" i="25" s="1"/>
  <c r="P249" i="25" s="1"/>
  <c r="V249" i="25" s="1"/>
  <c r="B249" i="25" s="1"/>
  <c r="W180" i="24"/>
  <c r="AA92" i="24"/>
  <c r="Z92" i="24" s="1"/>
  <c r="Y92" i="24" s="1"/>
  <c r="D60" i="24"/>
  <c r="E60" i="24" s="1"/>
  <c r="F60" i="24" s="1"/>
  <c r="H346" i="24"/>
  <c r="H196" i="24"/>
  <c r="AI382" i="24"/>
  <c r="AA284" i="24"/>
  <c r="Z284" i="24" s="1"/>
  <c r="Y284" i="24" s="1"/>
  <c r="AA274" i="24"/>
  <c r="Z274" i="24" s="1"/>
  <c r="Y274" i="24" s="1"/>
  <c r="AI383" i="24"/>
  <c r="AH379" i="24"/>
  <c r="AH382" i="24" s="1"/>
  <c r="AH381" i="24"/>
  <c r="AA17" i="24"/>
  <c r="Z17" i="24" s="1"/>
  <c r="Y17" i="24" s="1"/>
  <c r="AI381" i="24"/>
  <c r="AF159" i="23"/>
  <c r="AG383" i="23"/>
  <c r="AG382" i="23"/>
  <c r="AG381" i="23"/>
  <c r="G324" i="24"/>
  <c r="CE324" i="6" s="1"/>
  <c r="AA202" i="24"/>
  <c r="Z202" i="24" s="1"/>
  <c r="Y202" i="24" s="1"/>
  <c r="G94" i="24"/>
  <c r="CE94" i="6" s="1"/>
  <c r="H94" i="24"/>
  <c r="H324" i="24"/>
  <c r="I324" i="24" s="1"/>
  <c r="G196" i="24"/>
  <c r="CE196" i="6" s="1"/>
  <c r="H364" i="24"/>
  <c r="I364" i="24" s="1"/>
  <c r="AA294" i="24"/>
  <c r="Z294" i="24" s="1"/>
  <c r="Y294" i="24" s="1"/>
  <c r="G194" i="24"/>
  <c r="CE194" i="6" s="1"/>
  <c r="G364" i="24"/>
  <c r="CE364" i="6" s="1"/>
  <c r="G162" i="24"/>
  <c r="CE162" i="6" s="1"/>
  <c r="G118" i="24"/>
  <c r="CE118" i="6" s="1"/>
  <c r="H162" i="24"/>
  <c r="I162" i="24" s="1"/>
  <c r="H194" i="24"/>
  <c r="I194" i="24" s="1"/>
  <c r="H294" i="24"/>
  <c r="J294" i="24" s="1"/>
  <c r="U142" i="25"/>
  <c r="T142" i="25" s="1"/>
  <c r="S142" i="25" s="1"/>
  <c r="R142" i="25" s="1"/>
  <c r="P142" i="25" s="1"/>
  <c r="V142" i="25" s="1"/>
  <c r="B142" i="25" s="1"/>
  <c r="D142" i="25" s="1"/>
  <c r="E142" i="25" s="1"/>
  <c r="F142" i="25" s="1"/>
  <c r="U374" i="25"/>
  <c r="T374" i="25" s="1"/>
  <c r="S374" i="25" s="1"/>
  <c r="R374" i="25" s="1"/>
  <c r="P374" i="25" s="1"/>
  <c r="V374" i="25" s="1"/>
  <c r="B374" i="25" s="1"/>
  <c r="D374" i="25" s="1"/>
  <c r="E374" i="25" s="1"/>
  <c r="F374" i="25" s="1"/>
  <c r="U358" i="25"/>
  <c r="T358" i="25" s="1"/>
  <c r="S358" i="25" s="1"/>
  <c r="R358" i="25" s="1"/>
  <c r="P358" i="25" s="1"/>
  <c r="V358" i="25" s="1"/>
  <c r="B358" i="25" s="1"/>
  <c r="W358" i="25" s="1"/>
  <c r="U339" i="25"/>
  <c r="T339" i="25" s="1"/>
  <c r="S339" i="25" s="1"/>
  <c r="R339" i="25" s="1"/>
  <c r="P339" i="25" s="1"/>
  <c r="V339" i="25" s="1"/>
  <c r="B339" i="25" s="1"/>
  <c r="W339" i="25" s="1"/>
  <c r="U307" i="25"/>
  <c r="T307" i="25" s="1"/>
  <c r="S307" i="25" s="1"/>
  <c r="R307" i="25" s="1"/>
  <c r="P307" i="25" s="1"/>
  <c r="V307" i="25" s="1"/>
  <c r="B307" i="25" s="1"/>
  <c r="W307" i="25" s="1"/>
  <c r="U275" i="25"/>
  <c r="T275" i="25" s="1"/>
  <c r="S275" i="25" s="1"/>
  <c r="R275" i="25" s="1"/>
  <c r="P275" i="25" s="1"/>
  <c r="V275" i="25" s="1"/>
  <c r="B275" i="25" s="1"/>
  <c r="D275" i="25" s="1"/>
  <c r="E275" i="25" s="1"/>
  <c r="F275" i="25" s="1"/>
  <c r="U217" i="25"/>
  <c r="T217" i="25" s="1"/>
  <c r="S217" i="25" s="1"/>
  <c r="R217" i="25" s="1"/>
  <c r="P217" i="25" s="1"/>
  <c r="V217" i="25" s="1"/>
  <c r="B217" i="25" s="1"/>
  <c r="W217" i="25" s="1"/>
  <c r="G124" i="24"/>
  <c r="CE124" i="6" s="1"/>
  <c r="AA226" i="24"/>
  <c r="Z226" i="24" s="1"/>
  <c r="Y226" i="24" s="1"/>
  <c r="G192" i="24"/>
  <c r="CE192" i="6" s="1"/>
  <c r="AA25" i="24"/>
  <c r="Z25" i="24" s="1"/>
  <c r="Y25" i="24" s="1"/>
  <c r="H226" i="24"/>
  <c r="J226" i="24" s="1"/>
  <c r="H17" i="24"/>
  <c r="I17" i="24" s="1"/>
  <c r="H92" i="24"/>
  <c r="J92" i="24" s="1"/>
  <c r="C69" i="19"/>
  <c r="AA54" i="24"/>
  <c r="Z54" i="24" s="1"/>
  <c r="Y54" i="24" s="1"/>
  <c r="AA379" i="23"/>
  <c r="Z379" i="23" s="1"/>
  <c r="Y379" i="23" s="1"/>
  <c r="AA156" i="24"/>
  <c r="Z156" i="24" s="1"/>
  <c r="Y156" i="24" s="1"/>
  <c r="AA80" i="24"/>
  <c r="Z80" i="24" s="1"/>
  <c r="Y80" i="24" s="1"/>
  <c r="G274" i="24"/>
  <c r="CE274" i="6" s="1"/>
  <c r="G188" i="24"/>
  <c r="CE188" i="6" s="1"/>
  <c r="G128" i="24"/>
  <c r="CE128" i="6" s="1"/>
  <c r="AA292" i="24"/>
  <c r="Z292" i="24" s="1"/>
  <c r="Y292" i="24" s="1"/>
  <c r="AA256" i="24"/>
  <c r="Z256" i="24" s="1"/>
  <c r="Y256" i="24" s="1"/>
  <c r="I258" i="23"/>
  <c r="H258" i="24" s="1"/>
  <c r="H80" i="24"/>
  <c r="I80" i="24" s="1"/>
  <c r="AA350" i="24"/>
  <c r="Z350" i="24" s="1"/>
  <c r="Y350" i="24" s="1"/>
  <c r="AA192" i="24"/>
  <c r="Z192" i="24" s="1"/>
  <c r="Y192" i="24" s="1"/>
  <c r="G260" i="24"/>
  <c r="CE260" i="6" s="1"/>
  <c r="AA242" i="24"/>
  <c r="Z242" i="24" s="1"/>
  <c r="Y242" i="24" s="1"/>
  <c r="G220" i="24"/>
  <c r="CE220" i="6" s="1"/>
  <c r="H122" i="24"/>
  <c r="J122" i="24" s="1"/>
  <c r="H104" i="24"/>
  <c r="J104" i="24" s="1"/>
  <c r="H23" i="24"/>
  <c r="I23" i="24" s="1"/>
  <c r="H344" i="24"/>
  <c r="I344" i="24" s="1"/>
  <c r="H328" i="24"/>
  <c r="I328" i="24" s="1"/>
  <c r="H212" i="24"/>
  <c r="I212" i="24" s="1"/>
  <c r="H262" i="24"/>
  <c r="I262" i="24" s="1"/>
  <c r="H260" i="24"/>
  <c r="J260" i="24" s="1"/>
  <c r="AA212" i="24"/>
  <c r="Z212" i="24" s="1"/>
  <c r="Y212" i="24" s="1"/>
  <c r="H198" i="24"/>
  <c r="J198" i="24" s="1"/>
  <c r="AA178" i="24"/>
  <c r="Z178" i="24" s="1"/>
  <c r="Y178" i="24" s="1"/>
  <c r="G69" i="19"/>
  <c r="G362" i="24"/>
  <c r="CE362" i="6" s="1"/>
  <c r="AA328" i="24"/>
  <c r="Z328" i="24" s="1"/>
  <c r="Y328" i="24" s="1"/>
  <c r="G262" i="24"/>
  <c r="CE262" i="6" s="1"/>
  <c r="H25" i="24"/>
  <c r="J25" i="24" s="1"/>
  <c r="G242" i="24"/>
  <c r="CE242" i="6" s="1"/>
  <c r="AA122" i="24"/>
  <c r="Z122" i="24" s="1"/>
  <c r="Y122" i="24" s="1"/>
  <c r="AA104" i="24"/>
  <c r="Z104" i="24" s="1"/>
  <c r="Y104" i="24" s="1"/>
  <c r="AA23" i="24"/>
  <c r="Z23" i="24" s="1"/>
  <c r="Y23" i="24" s="1"/>
  <c r="H220" i="24"/>
  <c r="I220" i="24" s="1"/>
  <c r="G340" i="24"/>
  <c r="CE340" i="6" s="1"/>
  <c r="AA326" i="24"/>
  <c r="Z326" i="24" s="1"/>
  <c r="Y326" i="24" s="1"/>
  <c r="AA188" i="24"/>
  <c r="Z188" i="24" s="1"/>
  <c r="Y188" i="24" s="1"/>
  <c r="AA170" i="24"/>
  <c r="Z170" i="24" s="1"/>
  <c r="Y170" i="24" s="1"/>
  <c r="I88" i="23"/>
  <c r="H292" i="24"/>
  <c r="J292" i="24" s="1"/>
  <c r="G284" i="24"/>
  <c r="CE284" i="6" s="1"/>
  <c r="G256" i="24"/>
  <c r="CE256" i="6" s="1"/>
  <c r="AA40" i="24"/>
  <c r="Z40" i="24" s="1"/>
  <c r="Y40" i="24" s="1"/>
  <c r="H156" i="24"/>
  <c r="J156" i="24" s="1"/>
  <c r="H54" i="24"/>
  <c r="I54" i="24" s="1"/>
  <c r="H128" i="24"/>
  <c r="J128" i="24" s="1"/>
  <c r="H284" i="24"/>
  <c r="I284" i="24" s="1"/>
  <c r="H170" i="24"/>
  <c r="J170" i="24" s="1"/>
  <c r="H340" i="24"/>
  <c r="J340" i="24" s="1"/>
  <c r="H326" i="24"/>
  <c r="I326" i="24" s="1"/>
  <c r="H274" i="24"/>
  <c r="I274" i="24" s="1"/>
  <c r="H40" i="24"/>
  <c r="J40" i="24" s="1"/>
  <c r="G304" i="24"/>
  <c r="CE304" i="6" s="1"/>
  <c r="H362" i="24"/>
  <c r="J362" i="24" s="1"/>
  <c r="H350" i="24"/>
  <c r="I350" i="24" s="1"/>
  <c r="AA344" i="24"/>
  <c r="Z344" i="24" s="1"/>
  <c r="Y344" i="24" s="1"/>
  <c r="G198" i="24"/>
  <c r="CE198" i="6" s="1"/>
  <c r="H178" i="24"/>
  <c r="J178" i="24" s="1"/>
  <c r="H304" i="24"/>
  <c r="I304" i="24" s="1"/>
  <c r="U30" i="25"/>
  <c r="T30" i="25" s="1"/>
  <c r="S30" i="25" s="1"/>
  <c r="R30" i="25" s="1"/>
  <c r="P30" i="25" s="1"/>
  <c r="V30" i="25" s="1"/>
  <c r="B30" i="25" s="1"/>
  <c r="D30" i="25" s="1"/>
  <c r="E30" i="25" s="1"/>
  <c r="F30" i="25" s="1"/>
  <c r="J39" i="19"/>
  <c r="G31" i="19"/>
  <c r="U378" i="25"/>
  <c r="T378" i="25" s="1"/>
  <c r="S378" i="25" s="1"/>
  <c r="R378" i="25" s="1"/>
  <c r="P378" i="25" s="1"/>
  <c r="V378" i="25" s="1"/>
  <c r="B378" i="25" s="1"/>
  <c r="D378" i="25" s="1"/>
  <c r="E378" i="25" s="1"/>
  <c r="F378" i="25" s="1"/>
  <c r="U370" i="25"/>
  <c r="T370" i="25" s="1"/>
  <c r="S370" i="25" s="1"/>
  <c r="R370" i="25" s="1"/>
  <c r="P370" i="25" s="1"/>
  <c r="V370" i="25" s="1"/>
  <c r="B370" i="25" s="1"/>
  <c r="W370" i="25" s="1"/>
  <c r="U362" i="25"/>
  <c r="T362" i="25" s="1"/>
  <c r="S362" i="25" s="1"/>
  <c r="R362" i="25" s="1"/>
  <c r="P362" i="25" s="1"/>
  <c r="V362" i="25" s="1"/>
  <c r="B362" i="25" s="1"/>
  <c r="D362" i="25" s="1"/>
  <c r="E362" i="25" s="1"/>
  <c r="F362" i="25" s="1"/>
  <c r="U354" i="25"/>
  <c r="T354" i="25" s="1"/>
  <c r="S354" i="25" s="1"/>
  <c r="R354" i="25" s="1"/>
  <c r="P354" i="25" s="1"/>
  <c r="V354" i="25" s="1"/>
  <c r="B354" i="25" s="1"/>
  <c r="U346" i="25"/>
  <c r="T346" i="25" s="1"/>
  <c r="S346" i="25" s="1"/>
  <c r="R346" i="25" s="1"/>
  <c r="P346" i="25" s="1"/>
  <c r="V346" i="25" s="1"/>
  <c r="B346" i="25" s="1"/>
  <c r="U331" i="25"/>
  <c r="T331" i="25" s="1"/>
  <c r="S331" i="25" s="1"/>
  <c r="R331" i="25" s="1"/>
  <c r="P331" i="25" s="1"/>
  <c r="V331" i="25" s="1"/>
  <c r="B331" i="25" s="1"/>
  <c r="D331" i="25" s="1"/>
  <c r="E331" i="25" s="1"/>
  <c r="F331" i="25" s="1"/>
  <c r="U315" i="25"/>
  <c r="T315" i="25" s="1"/>
  <c r="S315" i="25" s="1"/>
  <c r="R315" i="25" s="1"/>
  <c r="P315" i="25" s="1"/>
  <c r="V315" i="25" s="1"/>
  <c r="B315" i="25" s="1"/>
  <c r="D315" i="25" s="1"/>
  <c r="E315" i="25" s="1"/>
  <c r="F315" i="25" s="1"/>
  <c r="U299" i="25"/>
  <c r="T299" i="25" s="1"/>
  <c r="S299" i="25" s="1"/>
  <c r="R299" i="25" s="1"/>
  <c r="P299" i="25" s="1"/>
  <c r="V299" i="25" s="1"/>
  <c r="B299" i="25" s="1"/>
  <c r="W299" i="25" s="1"/>
  <c r="U283" i="25"/>
  <c r="T283" i="25" s="1"/>
  <c r="S283" i="25" s="1"/>
  <c r="R283" i="25" s="1"/>
  <c r="P283" i="25" s="1"/>
  <c r="V283" i="25" s="1"/>
  <c r="B283" i="25" s="1"/>
  <c r="U265" i="25"/>
  <c r="T265" i="25" s="1"/>
  <c r="S265" i="25" s="1"/>
  <c r="R265" i="25" s="1"/>
  <c r="P265" i="25" s="1"/>
  <c r="V265" i="25" s="1"/>
  <c r="B265" i="25" s="1"/>
  <c r="U233" i="25"/>
  <c r="T233" i="25" s="1"/>
  <c r="S233" i="25" s="1"/>
  <c r="R233" i="25" s="1"/>
  <c r="P233" i="25" s="1"/>
  <c r="V233" i="25" s="1"/>
  <c r="B233" i="25" s="1"/>
  <c r="D233" i="25" s="1"/>
  <c r="E233" i="25" s="1"/>
  <c r="F233" i="25" s="1"/>
  <c r="U201" i="25"/>
  <c r="T201" i="25" s="1"/>
  <c r="S201" i="25" s="1"/>
  <c r="R201" i="25" s="1"/>
  <c r="P201" i="25" s="1"/>
  <c r="V201" i="25" s="1"/>
  <c r="B201" i="25" s="1"/>
  <c r="W201" i="25" s="1"/>
  <c r="U169" i="25"/>
  <c r="T169" i="25" s="1"/>
  <c r="S169" i="25" s="1"/>
  <c r="R169" i="25" s="1"/>
  <c r="P169" i="25" s="1"/>
  <c r="V169" i="25" s="1"/>
  <c r="B169" i="25" s="1"/>
  <c r="W169" i="25" s="1"/>
  <c r="U110" i="25"/>
  <c r="T110" i="25" s="1"/>
  <c r="S110" i="25" s="1"/>
  <c r="R110" i="25" s="1"/>
  <c r="P110" i="25" s="1"/>
  <c r="V110" i="25" s="1"/>
  <c r="B110" i="25" s="1"/>
  <c r="W110" i="25" s="1"/>
  <c r="U46" i="25"/>
  <c r="T46" i="25" s="1"/>
  <c r="S46" i="25" s="1"/>
  <c r="R46" i="25" s="1"/>
  <c r="P46" i="25" s="1"/>
  <c r="V46" i="25" s="1"/>
  <c r="B46" i="25" s="1"/>
  <c r="U376" i="25"/>
  <c r="T376" i="25" s="1"/>
  <c r="U372" i="25"/>
  <c r="T372" i="25" s="1"/>
  <c r="S372" i="25" s="1"/>
  <c r="R372" i="25" s="1"/>
  <c r="P372" i="25" s="1"/>
  <c r="V372" i="25" s="1"/>
  <c r="B372" i="25" s="1"/>
  <c r="W372" i="25" s="1"/>
  <c r="U368" i="25"/>
  <c r="T368" i="25" s="1"/>
  <c r="S368" i="25" s="1"/>
  <c r="R368" i="25" s="1"/>
  <c r="P368" i="25" s="1"/>
  <c r="V368" i="25" s="1"/>
  <c r="B368" i="25" s="1"/>
  <c r="U364" i="25"/>
  <c r="T364" i="25" s="1"/>
  <c r="S364" i="25" s="1"/>
  <c r="R364" i="25" s="1"/>
  <c r="P364" i="25" s="1"/>
  <c r="V364" i="25" s="1"/>
  <c r="B364" i="25" s="1"/>
  <c r="W364" i="25" s="1"/>
  <c r="U360" i="25"/>
  <c r="T360" i="25" s="1"/>
  <c r="S360" i="25" s="1"/>
  <c r="R360" i="25" s="1"/>
  <c r="P360" i="25" s="1"/>
  <c r="V360" i="25" s="1"/>
  <c r="B360" i="25" s="1"/>
  <c r="W360" i="25" s="1"/>
  <c r="U356" i="25"/>
  <c r="T356" i="25" s="1"/>
  <c r="S356" i="25" s="1"/>
  <c r="R356" i="25" s="1"/>
  <c r="P356" i="25" s="1"/>
  <c r="V356" i="25" s="1"/>
  <c r="B356" i="25" s="1"/>
  <c r="D356" i="25" s="1"/>
  <c r="E356" i="25" s="1"/>
  <c r="F356" i="25" s="1"/>
  <c r="U352" i="25"/>
  <c r="T352" i="25" s="1"/>
  <c r="S352" i="25" s="1"/>
  <c r="R352" i="25" s="1"/>
  <c r="P352" i="25" s="1"/>
  <c r="V352" i="25" s="1"/>
  <c r="B352" i="25" s="1"/>
  <c r="W352" i="25" s="1"/>
  <c r="U348" i="25"/>
  <c r="T348" i="25" s="1"/>
  <c r="S348" i="25" s="1"/>
  <c r="R348" i="25" s="1"/>
  <c r="P348" i="25" s="1"/>
  <c r="V348" i="25" s="1"/>
  <c r="B348" i="25" s="1"/>
  <c r="W348" i="25" s="1"/>
  <c r="U343" i="25"/>
  <c r="T343" i="25" s="1"/>
  <c r="S343" i="25" s="1"/>
  <c r="R343" i="25" s="1"/>
  <c r="P343" i="25" s="1"/>
  <c r="V343" i="25" s="1"/>
  <c r="B343" i="25" s="1"/>
  <c r="W343" i="25" s="1"/>
  <c r="U335" i="25"/>
  <c r="T335" i="25" s="1"/>
  <c r="U327" i="25"/>
  <c r="T327" i="25" s="1"/>
  <c r="S327" i="25" s="1"/>
  <c r="R327" i="25" s="1"/>
  <c r="P327" i="25" s="1"/>
  <c r="V327" i="25" s="1"/>
  <c r="B327" i="25" s="1"/>
  <c r="D327" i="25" s="1"/>
  <c r="E327" i="25" s="1"/>
  <c r="F327" i="25" s="1"/>
  <c r="U319" i="25"/>
  <c r="T319" i="25" s="1"/>
  <c r="S319" i="25" s="1"/>
  <c r="R319" i="25" s="1"/>
  <c r="P319" i="25" s="1"/>
  <c r="V319" i="25" s="1"/>
  <c r="B319" i="25" s="1"/>
  <c r="U311" i="25"/>
  <c r="T311" i="25" s="1"/>
  <c r="S311" i="25" s="1"/>
  <c r="R311" i="25" s="1"/>
  <c r="P311" i="25" s="1"/>
  <c r="V311" i="25" s="1"/>
  <c r="B311" i="25" s="1"/>
  <c r="W311" i="25" s="1"/>
  <c r="U303" i="25"/>
  <c r="T303" i="25" s="1"/>
  <c r="S303" i="25" s="1"/>
  <c r="R303" i="25" s="1"/>
  <c r="P303" i="25" s="1"/>
  <c r="V303" i="25" s="1"/>
  <c r="B303" i="25" s="1"/>
  <c r="W303" i="25" s="1"/>
  <c r="U295" i="25"/>
  <c r="T295" i="25" s="1"/>
  <c r="S295" i="25" s="1"/>
  <c r="R295" i="25" s="1"/>
  <c r="P295" i="25" s="1"/>
  <c r="V295" i="25" s="1"/>
  <c r="B295" i="25" s="1"/>
  <c r="D295" i="25" s="1"/>
  <c r="E295" i="25" s="1"/>
  <c r="F295" i="25" s="1"/>
  <c r="U287" i="25"/>
  <c r="T287" i="25" s="1"/>
  <c r="U279" i="25"/>
  <c r="T279" i="25" s="1"/>
  <c r="S279" i="25" s="1"/>
  <c r="R279" i="25" s="1"/>
  <c r="P279" i="25" s="1"/>
  <c r="V279" i="25" s="1"/>
  <c r="B279" i="25" s="1"/>
  <c r="W279" i="25" s="1"/>
  <c r="U271" i="25"/>
  <c r="T271" i="25" s="1"/>
  <c r="S271" i="25" s="1"/>
  <c r="R271" i="25" s="1"/>
  <c r="P271" i="25" s="1"/>
  <c r="V271" i="25" s="1"/>
  <c r="B271" i="25" s="1"/>
  <c r="W271" i="25" s="1"/>
  <c r="U257" i="25"/>
  <c r="T257" i="25" s="1"/>
  <c r="S257" i="25" s="1"/>
  <c r="R257" i="25" s="1"/>
  <c r="P257" i="25" s="1"/>
  <c r="V257" i="25" s="1"/>
  <c r="B257" i="25" s="1"/>
  <c r="W257" i="25" s="1"/>
  <c r="U241" i="25"/>
  <c r="T241" i="25" s="1"/>
  <c r="S241" i="25" s="1"/>
  <c r="R241" i="25" s="1"/>
  <c r="P241" i="25" s="1"/>
  <c r="AH75" i="7" s="1"/>
  <c r="U225" i="25"/>
  <c r="T225" i="25" s="1"/>
  <c r="S225" i="25" s="1"/>
  <c r="R225" i="25" s="1"/>
  <c r="P225" i="25" s="1"/>
  <c r="V225" i="25" s="1"/>
  <c r="B225" i="25" s="1"/>
  <c r="W225" i="25" s="1"/>
  <c r="U209" i="25"/>
  <c r="T209" i="25" s="1"/>
  <c r="S209" i="25" s="1"/>
  <c r="R209" i="25" s="1"/>
  <c r="P209" i="25" s="1"/>
  <c r="V209" i="25" s="1"/>
  <c r="B209" i="25" s="1"/>
  <c r="D209" i="25" s="1"/>
  <c r="E209" i="25" s="1"/>
  <c r="F209" i="25" s="1"/>
  <c r="U193" i="25"/>
  <c r="T193" i="25" s="1"/>
  <c r="S193" i="25" s="1"/>
  <c r="R193" i="25" s="1"/>
  <c r="P193" i="25" s="1"/>
  <c r="V193" i="25" s="1"/>
  <c r="B193" i="25" s="1"/>
  <c r="D193" i="25" s="1"/>
  <c r="E193" i="25" s="1"/>
  <c r="F193" i="25" s="1"/>
  <c r="U177" i="25"/>
  <c r="T177" i="25" s="1"/>
  <c r="S177" i="25" s="1"/>
  <c r="R177" i="25" s="1"/>
  <c r="P177" i="25" s="1"/>
  <c r="V177" i="25" s="1"/>
  <c r="B177" i="25" s="1"/>
  <c r="U158" i="25"/>
  <c r="T158" i="25" s="1"/>
  <c r="S158" i="25" s="1"/>
  <c r="R158" i="25" s="1"/>
  <c r="P158" i="25" s="1"/>
  <c r="V158" i="25" s="1"/>
  <c r="B158" i="25" s="1"/>
  <c r="D158" i="25" s="1"/>
  <c r="E158" i="25" s="1"/>
  <c r="F158" i="25" s="1"/>
  <c r="U126" i="25"/>
  <c r="T126" i="25" s="1"/>
  <c r="S126" i="25" s="1"/>
  <c r="R126" i="25" s="1"/>
  <c r="P126" i="25" s="1"/>
  <c r="V126" i="25" s="1"/>
  <c r="B126" i="25" s="1"/>
  <c r="D126" i="25" s="1"/>
  <c r="E126" i="25" s="1"/>
  <c r="F126" i="25" s="1"/>
  <c r="U94" i="25"/>
  <c r="T94" i="25" s="1"/>
  <c r="S94" i="25" s="1"/>
  <c r="R94" i="25" s="1"/>
  <c r="P94" i="25" s="1"/>
  <c r="V94" i="25" s="1"/>
  <c r="B94" i="25" s="1"/>
  <c r="W94" i="25" s="1"/>
  <c r="U62" i="25"/>
  <c r="T62" i="25" s="1"/>
  <c r="S62" i="25" s="1"/>
  <c r="R62" i="25" s="1"/>
  <c r="P62" i="25" s="1"/>
  <c r="V62" i="25" s="1"/>
  <c r="B62" i="25" s="1"/>
  <c r="D62" i="25" s="1"/>
  <c r="E62" i="25" s="1"/>
  <c r="F62" i="25" s="1"/>
  <c r="AI16" i="25"/>
  <c r="AH16" i="25" s="1"/>
  <c r="AG16" i="25" s="1"/>
  <c r="AF16" i="25" s="1"/>
  <c r="AD16" i="25" s="1"/>
  <c r="AI79" i="25"/>
  <c r="AH79" i="25" s="1"/>
  <c r="AG79" i="25" s="1"/>
  <c r="AF79" i="25" s="1"/>
  <c r="AD79" i="25" s="1"/>
  <c r="U16" i="25"/>
  <c r="T16" i="25" s="1"/>
  <c r="U20" i="25"/>
  <c r="T20" i="25" s="1"/>
  <c r="S20" i="25" s="1"/>
  <c r="R20" i="25" s="1"/>
  <c r="P20" i="25" s="1"/>
  <c r="V20" i="25" s="1"/>
  <c r="B20" i="25" s="1"/>
  <c r="W20" i="25" s="1"/>
  <c r="U27" i="25"/>
  <c r="T27" i="25" s="1"/>
  <c r="S27" i="25" s="1"/>
  <c r="R27" i="25" s="1"/>
  <c r="P27" i="25" s="1"/>
  <c r="V27" i="25" s="1"/>
  <c r="B27" i="25" s="1"/>
  <c r="D27" i="25" s="1"/>
  <c r="E27" i="25" s="1"/>
  <c r="F27" i="25" s="1"/>
  <c r="U34" i="25"/>
  <c r="T34" i="25" s="1"/>
  <c r="S34" i="25" s="1"/>
  <c r="R34" i="25" s="1"/>
  <c r="P34" i="25" s="1"/>
  <c r="V34" i="25" s="1"/>
  <c r="B34" i="25" s="1"/>
  <c r="W34" i="25" s="1"/>
  <c r="U42" i="25"/>
  <c r="T42" i="25" s="1"/>
  <c r="S42" i="25" s="1"/>
  <c r="R42" i="25" s="1"/>
  <c r="P42" i="25" s="1"/>
  <c r="V42" i="25" s="1"/>
  <c r="B42" i="25" s="1"/>
  <c r="D42" i="25" s="1"/>
  <c r="E42" i="25" s="1"/>
  <c r="F42" i="25" s="1"/>
  <c r="U50" i="25"/>
  <c r="T50" i="25" s="1"/>
  <c r="S50" i="25" s="1"/>
  <c r="R50" i="25" s="1"/>
  <c r="P50" i="25" s="1"/>
  <c r="V50" i="25" s="1"/>
  <c r="B50" i="25" s="1"/>
  <c r="D50" i="25" s="1"/>
  <c r="E50" i="25" s="1"/>
  <c r="F50" i="25" s="1"/>
  <c r="U58" i="25"/>
  <c r="T58" i="25" s="1"/>
  <c r="S58" i="25" s="1"/>
  <c r="R58" i="25" s="1"/>
  <c r="P58" i="25" s="1"/>
  <c r="V58" i="25" s="1"/>
  <c r="B58" i="25" s="1"/>
  <c r="W58" i="25" s="1"/>
  <c r="U66" i="25"/>
  <c r="T66" i="25" s="1"/>
  <c r="U74" i="25"/>
  <c r="T74" i="25" s="1"/>
  <c r="S74" i="25" s="1"/>
  <c r="R74" i="25" s="1"/>
  <c r="P74" i="25" s="1"/>
  <c r="V74" i="25" s="1"/>
  <c r="B74" i="25" s="1"/>
  <c r="U82" i="25"/>
  <c r="T82" i="25" s="1"/>
  <c r="S82" i="25" s="1"/>
  <c r="R82" i="25" s="1"/>
  <c r="P82" i="25" s="1"/>
  <c r="V82" i="25" s="1"/>
  <c r="B82" i="25" s="1"/>
  <c r="W82" i="25" s="1"/>
  <c r="U90" i="25"/>
  <c r="T90" i="25" s="1"/>
  <c r="S90" i="25" s="1"/>
  <c r="R90" i="25" s="1"/>
  <c r="P90" i="25" s="1"/>
  <c r="V90" i="25" s="1"/>
  <c r="B90" i="25" s="1"/>
  <c r="D90" i="25" s="1"/>
  <c r="E90" i="25" s="1"/>
  <c r="F90" i="25" s="1"/>
  <c r="U98" i="25"/>
  <c r="T98" i="25" s="1"/>
  <c r="S98" i="25" s="1"/>
  <c r="R98" i="25" s="1"/>
  <c r="P98" i="25" s="1"/>
  <c r="V98" i="25" s="1"/>
  <c r="B98" i="25" s="1"/>
  <c r="W98" i="25" s="1"/>
  <c r="U106" i="25"/>
  <c r="T106" i="25" s="1"/>
  <c r="S106" i="25" s="1"/>
  <c r="R106" i="25" s="1"/>
  <c r="P106" i="25" s="1"/>
  <c r="V106" i="25" s="1"/>
  <c r="B106" i="25" s="1"/>
  <c r="W106" i="25" s="1"/>
  <c r="U114" i="25"/>
  <c r="T114" i="25" s="1"/>
  <c r="U122" i="25"/>
  <c r="T122" i="25" s="1"/>
  <c r="S122" i="25" s="1"/>
  <c r="R122" i="25" s="1"/>
  <c r="P122" i="25" s="1"/>
  <c r="V122" i="25" s="1"/>
  <c r="B122" i="25" s="1"/>
  <c r="W122" i="25" s="1"/>
  <c r="U130" i="25"/>
  <c r="T130" i="25" s="1"/>
  <c r="S130" i="25" s="1"/>
  <c r="R130" i="25" s="1"/>
  <c r="P130" i="25" s="1"/>
  <c r="V130" i="25" s="1"/>
  <c r="B130" i="25" s="1"/>
  <c r="U138" i="25"/>
  <c r="T138" i="25" s="1"/>
  <c r="S138" i="25" s="1"/>
  <c r="R138" i="25" s="1"/>
  <c r="P138" i="25" s="1"/>
  <c r="V138" i="25" s="1"/>
  <c r="B138" i="25" s="1"/>
  <c r="D138" i="25" s="1"/>
  <c r="E138" i="25" s="1"/>
  <c r="F138" i="25" s="1"/>
  <c r="U146" i="25"/>
  <c r="T146" i="25" s="1"/>
  <c r="S146" i="25" s="1"/>
  <c r="R146" i="25" s="1"/>
  <c r="P146" i="25" s="1"/>
  <c r="V146" i="25" s="1"/>
  <c r="B146" i="25" s="1"/>
  <c r="W146" i="25" s="1"/>
  <c r="U154" i="25"/>
  <c r="T154" i="25" s="1"/>
  <c r="U162" i="25"/>
  <c r="T162" i="25" s="1"/>
  <c r="S162" i="25" s="1"/>
  <c r="R162" i="25" s="1"/>
  <c r="P162" i="25" s="1"/>
  <c r="V162" i="25" s="1"/>
  <c r="B162" i="25" s="1"/>
  <c r="W162" i="25" s="1"/>
  <c r="U167" i="25"/>
  <c r="T167" i="25" s="1"/>
  <c r="S167" i="25" s="1"/>
  <c r="R167" i="25" s="1"/>
  <c r="P167" i="25" s="1"/>
  <c r="V167" i="25" s="1"/>
  <c r="B167" i="25" s="1"/>
  <c r="D167" i="25" s="1"/>
  <c r="E167" i="25" s="1"/>
  <c r="F167" i="25" s="1"/>
  <c r="U171" i="25"/>
  <c r="T171" i="25" s="1"/>
  <c r="S171" i="25" s="1"/>
  <c r="R171" i="25" s="1"/>
  <c r="P171" i="25" s="1"/>
  <c r="V171" i="25" s="1"/>
  <c r="B171" i="25" s="1"/>
  <c r="U175" i="25"/>
  <c r="T175" i="25" s="1"/>
  <c r="S175" i="25" s="1"/>
  <c r="R175" i="25" s="1"/>
  <c r="P175" i="25" s="1"/>
  <c r="V175" i="25" s="1"/>
  <c r="B175" i="25" s="1"/>
  <c r="U179" i="25"/>
  <c r="T179" i="25" s="1"/>
  <c r="S179" i="25" s="1"/>
  <c r="R179" i="25" s="1"/>
  <c r="P179" i="25" s="1"/>
  <c r="V179" i="25" s="1"/>
  <c r="B179" i="25" s="1"/>
  <c r="W179" i="25" s="1"/>
  <c r="U183" i="25"/>
  <c r="T183" i="25" s="1"/>
  <c r="S183" i="25" s="1"/>
  <c r="R183" i="25" s="1"/>
  <c r="P183" i="25" s="1"/>
  <c r="V183" i="25" s="1"/>
  <c r="B183" i="25" s="1"/>
  <c r="W183" i="25" s="1"/>
  <c r="U187" i="25"/>
  <c r="T187" i="25" s="1"/>
  <c r="S187" i="25" s="1"/>
  <c r="R187" i="25" s="1"/>
  <c r="P187" i="25" s="1"/>
  <c r="V187" i="25" s="1"/>
  <c r="B187" i="25" s="1"/>
  <c r="U191" i="25"/>
  <c r="T191" i="25" s="1"/>
  <c r="S191" i="25" s="1"/>
  <c r="R191" i="25" s="1"/>
  <c r="P191" i="25" s="1"/>
  <c r="V191" i="25" s="1"/>
  <c r="B191" i="25" s="1"/>
  <c r="W191" i="25" s="1"/>
  <c r="U195" i="25"/>
  <c r="T195" i="25" s="1"/>
  <c r="S195" i="25" s="1"/>
  <c r="R195" i="25" s="1"/>
  <c r="P195" i="25" s="1"/>
  <c r="V195" i="25" s="1"/>
  <c r="B195" i="25" s="1"/>
  <c r="W195" i="25" s="1"/>
  <c r="U199" i="25"/>
  <c r="T199" i="25" s="1"/>
  <c r="S199" i="25" s="1"/>
  <c r="R199" i="25" s="1"/>
  <c r="P199" i="25" s="1"/>
  <c r="V199" i="25" s="1"/>
  <c r="B199" i="25" s="1"/>
  <c r="D199" i="25" s="1"/>
  <c r="E199" i="25" s="1"/>
  <c r="F199" i="25" s="1"/>
  <c r="U203" i="25"/>
  <c r="T203" i="25" s="1"/>
  <c r="S203" i="25" s="1"/>
  <c r="R203" i="25" s="1"/>
  <c r="P203" i="25" s="1"/>
  <c r="V203" i="25" s="1"/>
  <c r="B203" i="25" s="1"/>
  <c r="D203" i="25" s="1"/>
  <c r="E203" i="25" s="1"/>
  <c r="F203" i="25" s="1"/>
  <c r="U207" i="25"/>
  <c r="T207" i="25" s="1"/>
  <c r="S207" i="25" s="1"/>
  <c r="R207" i="25" s="1"/>
  <c r="P207" i="25" s="1"/>
  <c r="V207" i="25" s="1"/>
  <c r="B207" i="25" s="1"/>
  <c r="W207" i="25" s="1"/>
  <c r="U211" i="25"/>
  <c r="T211" i="25" s="1"/>
  <c r="S211" i="25" s="1"/>
  <c r="R211" i="25" s="1"/>
  <c r="P211" i="25" s="1"/>
  <c r="V211" i="25" s="1"/>
  <c r="B211" i="25" s="1"/>
  <c r="W211" i="25" s="1"/>
  <c r="U215" i="25"/>
  <c r="T215" i="25" s="1"/>
  <c r="S215" i="25" s="1"/>
  <c r="R215" i="25" s="1"/>
  <c r="P215" i="25" s="1"/>
  <c r="V215" i="25" s="1"/>
  <c r="B215" i="25" s="1"/>
  <c r="D215" i="25" s="1"/>
  <c r="E215" i="25" s="1"/>
  <c r="F215" i="25" s="1"/>
  <c r="U219" i="25"/>
  <c r="T219" i="25" s="1"/>
  <c r="S219" i="25" s="1"/>
  <c r="R219" i="25" s="1"/>
  <c r="P219" i="25" s="1"/>
  <c r="V219" i="25" s="1"/>
  <c r="B219" i="25" s="1"/>
  <c r="D219" i="25" s="1"/>
  <c r="E219" i="25" s="1"/>
  <c r="F219" i="25" s="1"/>
  <c r="U223" i="25"/>
  <c r="T223" i="25" s="1"/>
  <c r="S223" i="25" s="1"/>
  <c r="R223" i="25" s="1"/>
  <c r="P223" i="25" s="1"/>
  <c r="V223" i="25" s="1"/>
  <c r="B223" i="25" s="1"/>
  <c r="W223" i="25" s="1"/>
  <c r="U227" i="25"/>
  <c r="T227" i="25" s="1"/>
  <c r="S227" i="25" s="1"/>
  <c r="R227" i="25" s="1"/>
  <c r="P227" i="25" s="1"/>
  <c r="V227" i="25" s="1"/>
  <c r="B227" i="25" s="1"/>
  <c r="U231" i="25"/>
  <c r="T231" i="25" s="1"/>
  <c r="S231" i="25" s="1"/>
  <c r="R231" i="25" s="1"/>
  <c r="P231" i="25" s="1"/>
  <c r="V231" i="25" s="1"/>
  <c r="B231" i="25" s="1"/>
  <c r="D231" i="25" s="1"/>
  <c r="E231" i="25" s="1"/>
  <c r="F231" i="25" s="1"/>
  <c r="U235" i="25"/>
  <c r="T235" i="25" s="1"/>
  <c r="S235" i="25" s="1"/>
  <c r="R235" i="25" s="1"/>
  <c r="P235" i="25" s="1"/>
  <c r="V235" i="25" s="1"/>
  <c r="B235" i="25" s="1"/>
  <c r="W235" i="25" s="1"/>
  <c r="U239" i="25"/>
  <c r="T239" i="25" s="1"/>
  <c r="S239" i="25" s="1"/>
  <c r="R239" i="25" s="1"/>
  <c r="P239" i="25" s="1"/>
  <c r="V239" i="25" s="1"/>
  <c r="B239" i="25" s="1"/>
  <c r="W239" i="25" s="1"/>
  <c r="U243" i="25"/>
  <c r="T243" i="25" s="1"/>
  <c r="S243" i="25" s="1"/>
  <c r="R243" i="25" s="1"/>
  <c r="P243" i="25" s="1"/>
  <c r="V243" i="25" s="1"/>
  <c r="B243" i="25" s="1"/>
  <c r="W243" i="25" s="1"/>
  <c r="U247" i="25"/>
  <c r="T247" i="25" s="1"/>
  <c r="S247" i="25" s="1"/>
  <c r="R247" i="25" s="1"/>
  <c r="P247" i="25" s="1"/>
  <c r="V247" i="25" s="1"/>
  <c r="B247" i="25" s="1"/>
  <c r="D247" i="25" s="1"/>
  <c r="E247" i="25" s="1"/>
  <c r="F247" i="25" s="1"/>
  <c r="U251" i="25"/>
  <c r="T251" i="25" s="1"/>
  <c r="S251" i="25" s="1"/>
  <c r="R251" i="25" s="1"/>
  <c r="P251" i="25" s="1"/>
  <c r="V251" i="25" s="1"/>
  <c r="B251" i="25" s="1"/>
  <c r="D251" i="25" s="1"/>
  <c r="E251" i="25" s="1"/>
  <c r="F251" i="25" s="1"/>
  <c r="U255" i="25"/>
  <c r="T255" i="25" s="1"/>
  <c r="S255" i="25" s="1"/>
  <c r="R255" i="25" s="1"/>
  <c r="P255" i="25" s="1"/>
  <c r="V255" i="25" s="1"/>
  <c r="B255" i="25" s="1"/>
  <c r="W255" i="25" s="1"/>
  <c r="U259" i="25"/>
  <c r="T259" i="25" s="1"/>
  <c r="S259" i="25" s="1"/>
  <c r="R259" i="25" s="1"/>
  <c r="P259" i="25" s="1"/>
  <c r="V259" i="25" s="1"/>
  <c r="B259" i="25" s="1"/>
  <c r="D259" i="25" s="1"/>
  <c r="E259" i="25" s="1"/>
  <c r="F259" i="25" s="1"/>
  <c r="U263" i="25"/>
  <c r="T263" i="25" s="1"/>
  <c r="S263" i="25" s="1"/>
  <c r="R263" i="25" s="1"/>
  <c r="P263" i="25" s="1"/>
  <c r="V263" i="25" s="1"/>
  <c r="B263" i="25" s="1"/>
  <c r="D263" i="25" s="1"/>
  <c r="E263" i="25" s="1"/>
  <c r="F263" i="25" s="1"/>
  <c r="U267" i="25"/>
  <c r="T267" i="25" s="1"/>
  <c r="S267" i="25" s="1"/>
  <c r="R267" i="25" s="1"/>
  <c r="P267" i="25" s="1"/>
  <c r="V267" i="25" s="1"/>
  <c r="B267" i="25" s="1"/>
  <c r="W267" i="25" s="1"/>
  <c r="U270" i="25"/>
  <c r="T270" i="25" s="1"/>
  <c r="S270" i="25" s="1"/>
  <c r="R270" i="25" s="1"/>
  <c r="P270" i="25" s="1"/>
  <c r="V270" i="25" s="1"/>
  <c r="B270" i="25" s="1"/>
  <c r="W270" i="25" s="1"/>
  <c r="U272" i="25"/>
  <c r="T272" i="25" s="1"/>
  <c r="S272" i="25" s="1"/>
  <c r="R272" i="25" s="1"/>
  <c r="P272" i="25" s="1"/>
  <c r="V272" i="25" s="1"/>
  <c r="B272" i="25" s="1"/>
  <c r="U274" i="25"/>
  <c r="T274" i="25" s="1"/>
  <c r="S274" i="25" s="1"/>
  <c r="R274" i="25" s="1"/>
  <c r="P274" i="25" s="1"/>
  <c r="V274" i="25" s="1"/>
  <c r="B274" i="25" s="1"/>
  <c r="W274" i="25" s="1"/>
  <c r="U276" i="25"/>
  <c r="T276" i="25" s="1"/>
  <c r="S276" i="25" s="1"/>
  <c r="R276" i="25" s="1"/>
  <c r="P276" i="25" s="1"/>
  <c r="V276" i="25" s="1"/>
  <c r="B276" i="25" s="1"/>
  <c r="W276" i="25" s="1"/>
  <c r="U278" i="25"/>
  <c r="T278" i="25" s="1"/>
  <c r="S278" i="25" s="1"/>
  <c r="R278" i="25" s="1"/>
  <c r="P278" i="25" s="1"/>
  <c r="V278" i="25" s="1"/>
  <c r="B278" i="25" s="1"/>
  <c r="U280" i="25"/>
  <c r="T280" i="25" s="1"/>
  <c r="S280" i="25" s="1"/>
  <c r="R280" i="25" s="1"/>
  <c r="P280" i="25" s="1"/>
  <c r="V280" i="25" s="1"/>
  <c r="B280" i="25" s="1"/>
  <c r="D280" i="25" s="1"/>
  <c r="E280" i="25" s="1"/>
  <c r="F280" i="25" s="1"/>
  <c r="U282" i="25"/>
  <c r="T282" i="25" s="1"/>
  <c r="S282" i="25" s="1"/>
  <c r="R282" i="25" s="1"/>
  <c r="P282" i="25" s="1"/>
  <c r="V282" i="25" s="1"/>
  <c r="B282" i="25" s="1"/>
  <c r="D282" i="25" s="1"/>
  <c r="E282" i="25" s="1"/>
  <c r="F282" i="25" s="1"/>
  <c r="U284" i="25"/>
  <c r="T284" i="25" s="1"/>
  <c r="U286" i="25"/>
  <c r="T286" i="25" s="1"/>
  <c r="S286" i="25" s="1"/>
  <c r="R286" i="25" s="1"/>
  <c r="P286" i="25" s="1"/>
  <c r="V286" i="25" s="1"/>
  <c r="B286" i="25" s="1"/>
  <c r="D286" i="25" s="1"/>
  <c r="E286" i="25" s="1"/>
  <c r="F286" i="25" s="1"/>
  <c r="U288" i="25"/>
  <c r="T288" i="25" s="1"/>
  <c r="S288" i="25" s="1"/>
  <c r="R288" i="25" s="1"/>
  <c r="P288" i="25" s="1"/>
  <c r="V288" i="25" s="1"/>
  <c r="B288" i="25" s="1"/>
  <c r="W288" i="25" s="1"/>
  <c r="U290" i="25"/>
  <c r="T290" i="25" s="1"/>
  <c r="S290" i="25" s="1"/>
  <c r="R290" i="25" s="1"/>
  <c r="P290" i="25" s="1"/>
  <c r="V290" i="25" s="1"/>
  <c r="B290" i="25" s="1"/>
  <c r="D290" i="25" s="1"/>
  <c r="E290" i="25" s="1"/>
  <c r="F290" i="25" s="1"/>
  <c r="U292" i="25"/>
  <c r="T292" i="25" s="1"/>
  <c r="S292" i="25" s="1"/>
  <c r="R292" i="25" s="1"/>
  <c r="P292" i="25" s="1"/>
  <c r="V292" i="25" s="1"/>
  <c r="B292" i="25" s="1"/>
  <c r="D292" i="25" s="1"/>
  <c r="E292" i="25" s="1"/>
  <c r="F292" i="25" s="1"/>
  <c r="U294" i="25"/>
  <c r="T294" i="25" s="1"/>
  <c r="S294" i="25" s="1"/>
  <c r="R294" i="25" s="1"/>
  <c r="P294" i="25" s="1"/>
  <c r="V294" i="25" s="1"/>
  <c r="B294" i="25" s="1"/>
  <c r="D294" i="25" s="1"/>
  <c r="E294" i="25" s="1"/>
  <c r="F294" i="25" s="1"/>
  <c r="U296" i="25"/>
  <c r="T296" i="25" s="1"/>
  <c r="S296" i="25" s="1"/>
  <c r="R296" i="25" s="1"/>
  <c r="P296" i="25" s="1"/>
  <c r="V296" i="25" s="1"/>
  <c r="B296" i="25" s="1"/>
  <c r="W296" i="25" s="1"/>
  <c r="U298" i="25"/>
  <c r="T298" i="25" s="1"/>
  <c r="S298" i="25" s="1"/>
  <c r="R298" i="25" s="1"/>
  <c r="P298" i="25" s="1"/>
  <c r="V298" i="25" s="1"/>
  <c r="B298" i="25" s="1"/>
  <c r="U300" i="25"/>
  <c r="T300" i="25" s="1"/>
  <c r="S300" i="25" s="1"/>
  <c r="R300" i="25" s="1"/>
  <c r="P300" i="25" s="1"/>
  <c r="V300" i="25" s="1"/>
  <c r="B300" i="25" s="1"/>
  <c r="D300" i="25" s="1"/>
  <c r="E300" i="25" s="1"/>
  <c r="F300" i="25" s="1"/>
  <c r="U302" i="25"/>
  <c r="T302" i="25" s="1"/>
  <c r="S302" i="25" s="1"/>
  <c r="R302" i="25" s="1"/>
  <c r="P302" i="25" s="1"/>
  <c r="AH77" i="7" s="1"/>
  <c r="U304" i="25"/>
  <c r="T304" i="25" s="1"/>
  <c r="S304" i="25" s="1"/>
  <c r="R304" i="25" s="1"/>
  <c r="P304" i="25" s="1"/>
  <c r="V304" i="25" s="1"/>
  <c r="B304" i="25" s="1"/>
  <c r="W304" i="25" s="1"/>
  <c r="U306" i="25"/>
  <c r="T306" i="25" s="1"/>
  <c r="S306" i="25" s="1"/>
  <c r="R306" i="25" s="1"/>
  <c r="P306" i="25" s="1"/>
  <c r="V306" i="25" s="1"/>
  <c r="B306" i="25" s="1"/>
  <c r="D306" i="25" s="1"/>
  <c r="E306" i="25" s="1"/>
  <c r="F306" i="25" s="1"/>
  <c r="U308" i="25"/>
  <c r="T308" i="25" s="1"/>
  <c r="S308" i="25" s="1"/>
  <c r="R308" i="25" s="1"/>
  <c r="P308" i="25" s="1"/>
  <c r="V308" i="25" s="1"/>
  <c r="B308" i="25" s="1"/>
  <c r="D308" i="25" s="1"/>
  <c r="E308" i="25" s="1"/>
  <c r="F308" i="25" s="1"/>
  <c r="U310" i="25"/>
  <c r="T310" i="25" s="1"/>
  <c r="S310" i="25" s="1"/>
  <c r="R310" i="25" s="1"/>
  <c r="P310" i="25" s="1"/>
  <c r="V310" i="25" s="1"/>
  <c r="B310" i="25" s="1"/>
  <c r="D310" i="25" s="1"/>
  <c r="E310" i="25" s="1"/>
  <c r="F310" i="25" s="1"/>
  <c r="U312" i="25"/>
  <c r="T312" i="25" s="1"/>
  <c r="S312" i="25" s="1"/>
  <c r="R312" i="25" s="1"/>
  <c r="P312" i="25" s="1"/>
  <c r="V312" i="25" s="1"/>
  <c r="B312" i="25" s="1"/>
  <c r="W312" i="25" s="1"/>
  <c r="U314" i="25"/>
  <c r="T314" i="25" s="1"/>
  <c r="S314" i="25" s="1"/>
  <c r="R314" i="25" s="1"/>
  <c r="P314" i="25" s="1"/>
  <c r="V314" i="25" s="1"/>
  <c r="B314" i="25" s="1"/>
  <c r="W314" i="25" s="1"/>
  <c r="U316" i="25"/>
  <c r="T316" i="25" s="1"/>
  <c r="S316" i="25" s="1"/>
  <c r="R316" i="25" s="1"/>
  <c r="P316" i="25" s="1"/>
  <c r="V316" i="25" s="1"/>
  <c r="B316" i="25" s="1"/>
  <c r="U318" i="25"/>
  <c r="T318" i="25" s="1"/>
  <c r="S318" i="25" s="1"/>
  <c r="R318" i="25" s="1"/>
  <c r="P318" i="25" s="1"/>
  <c r="V318" i="25" s="1"/>
  <c r="B318" i="25" s="1"/>
  <c r="W318" i="25" s="1"/>
  <c r="U320" i="25"/>
  <c r="T320" i="25" s="1"/>
  <c r="S320" i="25" s="1"/>
  <c r="R320" i="25" s="1"/>
  <c r="P320" i="25" s="1"/>
  <c r="V320" i="25" s="1"/>
  <c r="B320" i="25" s="1"/>
  <c r="W320" i="25" s="1"/>
  <c r="U322" i="25"/>
  <c r="T322" i="25" s="1"/>
  <c r="S322" i="25" s="1"/>
  <c r="R322" i="25" s="1"/>
  <c r="P322" i="25" s="1"/>
  <c r="V322" i="25" s="1"/>
  <c r="B322" i="25" s="1"/>
  <c r="W322" i="25" s="1"/>
  <c r="U324" i="25"/>
  <c r="T324" i="25" s="1"/>
  <c r="S324" i="25" s="1"/>
  <c r="R324" i="25" s="1"/>
  <c r="P324" i="25" s="1"/>
  <c r="V324" i="25" s="1"/>
  <c r="B324" i="25" s="1"/>
  <c r="W324" i="25" s="1"/>
  <c r="U326" i="25"/>
  <c r="T326" i="25" s="1"/>
  <c r="S326" i="25" s="1"/>
  <c r="R326" i="25" s="1"/>
  <c r="P326" i="25" s="1"/>
  <c r="V326" i="25" s="1"/>
  <c r="B326" i="25" s="1"/>
  <c r="D326" i="25" s="1"/>
  <c r="E326" i="25" s="1"/>
  <c r="F326" i="25" s="1"/>
  <c r="U328" i="25"/>
  <c r="T328" i="25" s="1"/>
  <c r="S328" i="25" s="1"/>
  <c r="R328" i="25" s="1"/>
  <c r="P328" i="25" s="1"/>
  <c r="V328" i="25" s="1"/>
  <c r="B328" i="25" s="1"/>
  <c r="D328" i="25" s="1"/>
  <c r="E328" i="25" s="1"/>
  <c r="F328" i="25" s="1"/>
  <c r="U330" i="25"/>
  <c r="T330" i="25" s="1"/>
  <c r="S330" i="25" s="1"/>
  <c r="R330" i="25" s="1"/>
  <c r="P330" i="25" s="1"/>
  <c r="V330" i="25" s="1"/>
  <c r="B330" i="25" s="1"/>
  <c r="W330" i="25" s="1"/>
  <c r="U332" i="25"/>
  <c r="T332" i="25" s="1"/>
  <c r="S332" i="25" s="1"/>
  <c r="R332" i="25" s="1"/>
  <c r="P332" i="25" s="1"/>
  <c r="V332" i="25" s="1"/>
  <c r="B332" i="25" s="1"/>
  <c r="D332" i="25" s="1"/>
  <c r="E332" i="25" s="1"/>
  <c r="F332" i="25" s="1"/>
  <c r="U334" i="25"/>
  <c r="T334" i="25" s="1"/>
  <c r="S334" i="25" s="1"/>
  <c r="R334" i="25" s="1"/>
  <c r="P334" i="25" s="1"/>
  <c r="V334" i="25" s="1"/>
  <c r="B334" i="25" s="1"/>
  <c r="D334" i="25" s="1"/>
  <c r="E334" i="25" s="1"/>
  <c r="F334" i="25" s="1"/>
  <c r="U336" i="25"/>
  <c r="T336" i="25" s="1"/>
  <c r="S336" i="25" s="1"/>
  <c r="R336" i="25" s="1"/>
  <c r="P336" i="25" s="1"/>
  <c r="V336" i="25" s="1"/>
  <c r="B336" i="25" s="1"/>
  <c r="W336" i="25" s="1"/>
  <c r="U338" i="25"/>
  <c r="T338" i="25" s="1"/>
  <c r="S338" i="25" s="1"/>
  <c r="R338" i="25" s="1"/>
  <c r="P338" i="25" s="1"/>
  <c r="V338" i="25" s="1"/>
  <c r="B338" i="25" s="1"/>
  <c r="D338" i="25" s="1"/>
  <c r="E338" i="25" s="1"/>
  <c r="F338" i="25" s="1"/>
  <c r="U340" i="25"/>
  <c r="T340" i="25" s="1"/>
  <c r="S340" i="25" s="1"/>
  <c r="R340" i="25" s="1"/>
  <c r="P340" i="25" s="1"/>
  <c r="V340" i="25" s="1"/>
  <c r="B340" i="25" s="1"/>
  <c r="D340" i="25" s="1"/>
  <c r="E340" i="25" s="1"/>
  <c r="F340" i="25" s="1"/>
  <c r="U342" i="25"/>
  <c r="T342" i="25" s="1"/>
  <c r="S342" i="25" s="1"/>
  <c r="R342" i="25" s="1"/>
  <c r="P342" i="25" s="1"/>
  <c r="V342" i="25" s="1"/>
  <c r="B342" i="25" s="1"/>
  <c r="D342" i="25" s="1"/>
  <c r="E342" i="25" s="1"/>
  <c r="F342" i="25" s="1"/>
  <c r="U344" i="25"/>
  <c r="T344" i="25" s="1"/>
  <c r="S344" i="25" s="1"/>
  <c r="R344" i="25" s="1"/>
  <c r="P344" i="25" s="1"/>
  <c r="V344" i="25" s="1"/>
  <c r="B344" i="25" s="1"/>
  <c r="D344" i="25" s="1"/>
  <c r="E344" i="25" s="1"/>
  <c r="F344" i="25" s="1"/>
  <c r="U379" i="25"/>
  <c r="T379" i="25" s="1"/>
  <c r="U377" i="25"/>
  <c r="T377" i="25" s="1"/>
  <c r="S377" i="25" s="1"/>
  <c r="R377" i="25" s="1"/>
  <c r="P377" i="25" s="1"/>
  <c r="V377" i="25" s="1"/>
  <c r="B377" i="25" s="1"/>
  <c r="W377" i="25" s="1"/>
  <c r="U375" i="25"/>
  <c r="T375" i="25" s="1"/>
  <c r="S375" i="25" s="1"/>
  <c r="R375" i="25" s="1"/>
  <c r="P375" i="25" s="1"/>
  <c r="V375" i="25" s="1"/>
  <c r="B375" i="25" s="1"/>
  <c r="D375" i="25" s="1"/>
  <c r="E375" i="25" s="1"/>
  <c r="F375" i="25" s="1"/>
  <c r="U373" i="25"/>
  <c r="T373" i="25" s="1"/>
  <c r="S373" i="25" s="1"/>
  <c r="R373" i="25" s="1"/>
  <c r="P373" i="25" s="1"/>
  <c r="V373" i="25" s="1"/>
  <c r="B373" i="25" s="1"/>
  <c r="W373" i="25" s="1"/>
  <c r="U371" i="25"/>
  <c r="T371" i="25" s="1"/>
  <c r="S371" i="25" s="1"/>
  <c r="R371" i="25" s="1"/>
  <c r="P371" i="25" s="1"/>
  <c r="V371" i="25" s="1"/>
  <c r="B371" i="25" s="1"/>
  <c r="W371" i="25" s="1"/>
  <c r="U369" i="25"/>
  <c r="T369" i="25" s="1"/>
  <c r="S369" i="25" s="1"/>
  <c r="R369" i="25" s="1"/>
  <c r="P369" i="25" s="1"/>
  <c r="V369" i="25" s="1"/>
  <c r="B369" i="25" s="1"/>
  <c r="U367" i="25"/>
  <c r="T367" i="25" s="1"/>
  <c r="S367" i="25" s="1"/>
  <c r="R367" i="25" s="1"/>
  <c r="P367" i="25" s="1"/>
  <c r="V367" i="25" s="1"/>
  <c r="B367" i="25" s="1"/>
  <c r="U365" i="25"/>
  <c r="T365" i="25" s="1"/>
  <c r="U363" i="25"/>
  <c r="T363" i="25" s="1"/>
  <c r="S363" i="25" s="1"/>
  <c r="R363" i="25" s="1"/>
  <c r="P363" i="25" s="1"/>
  <c r="U361" i="25"/>
  <c r="T361" i="25" s="1"/>
  <c r="S361" i="25" s="1"/>
  <c r="R361" i="25" s="1"/>
  <c r="P361" i="25" s="1"/>
  <c r="V361" i="25" s="1"/>
  <c r="B361" i="25" s="1"/>
  <c r="W361" i="25" s="1"/>
  <c r="U359" i="25"/>
  <c r="T359" i="25" s="1"/>
  <c r="S359" i="25" s="1"/>
  <c r="R359" i="25" s="1"/>
  <c r="P359" i="25" s="1"/>
  <c r="V359" i="25" s="1"/>
  <c r="B359" i="25" s="1"/>
  <c r="D359" i="25" s="1"/>
  <c r="E359" i="25" s="1"/>
  <c r="F359" i="25" s="1"/>
  <c r="U357" i="25"/>
  <c r="T357" i="25" s="1"/>
  <c r="S357" i="25" s="1"/>
  <c r="R357" i="25" s="1"/>
  <c r="P357" i="25" s="1"/>
  <c r="V357" i="25" s="1"/>
  <c r="B357" i="25" s="1"/>
  <c r="D357" i="25" s="1"/>
  <c r="E357" i="25" s="1"/>
  <c r="F357" i="25" s="1"/>
  <c r="U355" i="25"/>
  <c r="T355" i="25" s="1"/>
  <c r="S355" i="25" s="1"/>
  <c r="R355" i="25" s="1"/>
  <c r="P355" i="25" s="1"/>
  <c r="V355" i="25" s="1"/>
  <c r="B355" i="25" s="1"/>
  <c r="W355" i="25" s="1"/>
  <c r="U353" i="25"/>
  <c r="T353" i="25" s="1"/>
  <c r="S353" i="25" s="1"/>
  <c r="R353" i="25" s="1"/>
  <c r="P353" i="25" s="1"/>
  <c r="V353" i="25" s="1"/>
  <c r="B353" i="25" s="1"/>
  <c r="D353" i="25" s="1"/>
  <c r="E353" i="25" s="1"/>
  <c r="F353" i="25" s="1"/>
  <c r="U351" i="25"/>
  <c r="T351" i="25" s="1"/>
  <c r="S351" i="25" s="1"/>
  <c r="R351" i="25" s="1"/>
  <c r="P351" i="25" s="1"/>
  <c r="V351" i="25" s="1"/>
  <c r="B351" i="25" s="1"/>
  <c r="W351" i="25" s="1"/>
  <c r="U349" i="25"/>
  <c r="T349" i="25" s="1"/>
  <c r="S349" i="25" s="1"/>
  <c r="R349" i="25" s="1"/>
  <c r="P349" i="25" s="1"/>
  <c r="V349" i="25" s="1"/>
  <c r="B349" i="25" s="1"/>
  <c r="U347" i="25"/>
  <c r="T347" i="25" s="1"/>
  <c r="S347" i="25" s="1"/>
  <c r="R347" i="25" s="1"/>
  <c r="P347" i="25" s="1"/>
  <c r="V347" i="25" s="1"/>
  <c r="B347" i="25" s="1"/>
  <c r="U345" i="25"/>
  <c r="T345" i="25" s="1"/>
  <c r="S345" i="25" s="1"/>
  <c r="R345" i="25" s="1"/>
  <c r="P345" i="25" s="1"/>
  <c r="V345" i="25" s="1"/>
  <c r="B345" i="25" s="1"/>
  <c r="D345" i="25" s="1"/>
  <c r="E345" i="25" s="1"/>
  <c r="F345" i="25" s="1"/>
  <c r="U341" i="25"/>
  <c r="T341" i="25" s="1"/>
  <c r="S341" i="25" s="1"/>
  <c r="R341" i="25" s="1"/>
  <c r="P341" i="25" s="1"/>
  <c r="V341" i="25" s="1"/>
  <c r="B341" i="25" s="1"/>
  <c r="W341" i="25" s="1"/>
  <c r="U337" i="25"/>
  <c r="T337" i="25" s="1"/>
  <c r="S337" i="25" s="1"/>
  <c r="R337" i="25" s="1"/>
  <c r="P337" i="25" s="1"/>
  <c r="V337" i="25" s="1"/>
  <c r="B337" i="25" s="1"/>
  <c r="W337" i="25" s="1"/>
  <c r="U333" i="25"/>
  <c r="T333" i="25" s="1"/>
  <c r="S333" i="25" s="1"/>
  <c r="R333" i="25" s="1"/>
  <c r="P333" i="25" s="1"/>
  <c r="V333" i="25" s="1"/>
  <c r="B333" i="25" s="1"/>
  <c r="U329" i="25"/>
  <c r="T329" i="25" s="1"/>
  <c r="S329" i="25" s="1"/>
  <c r="R329" i="25" s="1"/>
  <c r="P329" i="25" s="1"/>
  <c r="V329" i="25" s="1"/>
  <c r="B329" i="25" s="1"/>
  <c r="W329" i="25" s="1"/>
  <c r="U325" i="25"/>
  <c r="T325" i="25" s="1"/>
  <c r="S325" i="25" s="1"/>
  <c r="R325" i="25" s="1"/>
  <c r="P325" i="25" s="1"/>
  <c r="V325" i="25" s="1"/>
  <c r="B325" i="25" s="1"/>
  <c r="W325" i="25" s="1"/>
  <c r="U321" i="25"/>
  <c r="T321" i="25" s="1"/>
  <c r="S321" i="25" s="1"/>
  <c r="R321" i="25" s="1"/>
  <c r="P321" i="25" s="1"/>
  <c r="V321" i="25" s="1"/>
  <c r="B321" i="25" s="1"/>
  <c r="W321" i="25" s="1"/>
  <c r="U317" i="25"/>
  <c r="T317" i="25" s="1"/>
  <c r="S317" i="25" s="1"/>
  <c r="R317" i="25" s="1"/>
  <c r="P317" i="25" s="1"/>
  <c r="V317" i="25" s="1"/>
  <c r="B317" i="25" s="1"/>
  <c r="W317" i="25" s="1"/>
  <c r="U313" i="25"/>
  <c r="T313" i="25" s="1"/>
  <c r="S313" i="25" s="1"/>
  <c r="R313" i="25" s="1"/>
  <c r="P313" i="25" s="1"/>
  <c r="V313" i="25" s="1"/>
  <c r="B313" i="25" s="1"/>
  <c r="W313" i="25" s="1"/>
  <c r="U309" i="25"/>
  <c r="T309" i="25" s="1"/>
  <c r="S309" i="25" s="1"/>
  <c r="R309" i="25" s="1"/>
  <c r="P309" i="25" s="1"/>
  <c r="V309" i="25" s="1"/>
  <c r="B309" i="25" s="1"/>
  <c r="D309" i="25" s="1"/>
  <c r="E309" i="25" s="1"/>
  <c r="F309" i="25" s="1"/>
  <c r="U305" i="25"/>
  <c r="T305" i="25" s="1"/>
  <c r="S305" i="25" s="1"/>
  <c r="R305" i="25" s="1"/>
  <c r="P305" i="25" s="1"/>
  <c r="V305" i="25" s="1"/>
  <c r="B305" i="25" s="1"/>
  <c r="D305" i="25" s="1"/>
  <c r="E305" i="25" s="1"/>
  <c r="F305" i="25" s="1"/>
  <c r="U301" i="25"/>
  <c r="T301" i="25" s="1"/>
  <c r="S301" i="25" s="1"/>
  <c r="R301" i="25" s="1"/>
  <c r="P301" i="25" s="1"/>
  <c r="V301" i="25" s="1"/>
  <c r="B301" i="25" s="1"/>
  <c r="W301" i="25" s="1"/>
  <c r="U297" i="25"/>
  <c r="T297" i="25" s="1"/>
  <c r="S297" i="25" s="1"/>
  <c r="R297" i="25" s="1"/>
  <c r="P297" i="25" s="1"/>
  <c r="V297" i="25" s="1"/>
  <c r="B297" i="25" s="1"/>
  <c r="W297" i="25" s="1"/>
  <c r="U293" i="25"/>
  <c r="T293" i="25" s="1"/>
  <c r="S293" i="25" s="1"/>
  <c r="R293" i="25" s="1"/>
  <c r="P293" i="25" s="1"/>
  <c r="V293" i="25" s="1"/>
  <c r="B293" i="25" s="1"/>
  <c r="D293" i="25" s="1"/>
  <c r="E293" i="25" s="1"/>
  <c r="F293" i="25" s="1"/>
  <c r="U289" i="25"/>
  <c r="T289" i="25" s="1"/>
  <c r="S289" i="25" s="1"/>
  <c r="R289" i="25" s="1"/>
  <c r="P289" i="25" s="1"/>
  <c r="V289" i="25" s="1"/>
  <c r="B289" i="25" s="1"/>
  <c r="W289" i="25" s="1"/>
  <c r="U285" i="25"/>
  <c r="T285" i="25" s="1"/>
  <c r="S285" i="25" s="1"/>
  <c r="R285" i="25" s="1"/>
  <c r="P285" i="25" s="1"/>
  <c r="V285" i="25" s="1"/>
  <c r="B285" i="25" s="1"/>
  <c r="W285" i="25" s="1"/>
  <c r="U281" i="25"/>
  <c r="T281" i="25" s="1"/>
  <c r="S281" i="25" s="1"/>
  <c r="R281" i="25" s="1"/>
  <c r="P281" i="25" s="1"/>
  <c r="V281" i="25" s="1"/>
  <c r="B281" i="25" s="1"/>
  <c r="D281" i="25" s="1"/>
  <c r="E281" i="25" s="1"/>
  <c r="F281" i="25" s="1"/>
  <c r="U277" i="25"/>
  <c r="T277" i="25" s="1"/>
  <c r="S277" i="25" s="1"/>
  <c r="R277" i="25" s="1"/>
  <c r="P277" i="25" s="1"/>
  <c r="V277" i="25" s="1"/>
  <c r="B277" i="25" s="1"/>
  <c r="W277" i="25" s="1"/>
  <c r="U273" i="25"/>
  <c r="T273" i="25" s="1"/>
  <c r="S273" i="25" s="1"/>
  <c r="R273" i="25" s="1"/>
  <c r="P273" i="25" s="1"/>
  <c r="V273" i="25" s="1"/>
  <c r="B273" i="25" s="1"/>
  <c r="W273" i="25" s="1"/>
  <c r="U269" i="25"/>
  <c r="T269" i="25" s="1"/>
  <c r="S269" i="25" s="1"/>
  <c r="R269" i="25" s="1"/>
  <c r="P269" i="25" s="1"/>
  <c r="V269" i="25" s="1"/>
  <c r="B269" i="25" s="1"/>
  <c r="W269" i="25" s="1"/>
  <c r="U261" i="25"/>
  <c r="T261" i="25" s="1"/>
  <c r="S261" i="25" s="1"/>
  <c r="R261" i="25" s="1"/>
  <c r="P261" i="25" s="1"/>
  <c r="V261" i="25" s="1"/>
  <c r="U253" i="25"/>
  <c r="T253" i="25" s="1"/>
  <c r="U245" i="25"/>
  <c r="T245" i="25" s="1"/>
  <c r="S245" i="25" s="1"/>
  <c r="R245" i="25" s="1"/>
  <c r="P245" i="25" s="1"/>
  <c r="V245" i="25" s="1"/>
  <c r="B245" i="25" s="1"/>
  <c r="D245" i="25" s="1"/>
  <c r="E245" i="25" s="1"/>
  <c r="F245" i="25" s="1"/>
  <c r="U237" i="25"/>
  <c r="T237" i="25" s="1"/>
  <c r="S237" i="25" s="1"/>
  <c r="R237" i="25" s="1"/>
  <c r="P237" i="25" s="1"/>
  <c r="V237" i="25" s="1"/>
  <c r="B237" i="25" s="1"/>
  <c r="W237" i="25" s="1"/>
  <c r="U229" i="25"/>
  <c r="T229" i="25" s="1"/>
  <c r="S229" i="25" s="1"/>
  <c r="R229" i="25" s="1"/>
  <c r="P229" i="25" s="1"/>
  <c r="V229" i="25" s="1"/>
  <c r="B229" i="25" s="1"/>
  <c r="D229" i="25" s="1"/>
  <c r="E229" i="25" s="1"/>
  <c r="F229" i="25" s="1"/>
  <c r="U221" i="25"/>
  <c r="T221" i="25" s="1"/>
  <c r="S221" i="25" s="1"/>
  <c r="R221" i="25" s="1"/>
  <c r="P221" i="25" s="1"/>
  <c r="V221" i="25" s="1"/>
  <c r="B221" i="25" s="1"/>
  <c r="D221" i="25" s="1"/>
  <c r="E221" i="25" s="1"/>
  <c r="F221" i="25" s="1"/>
  <c r="U213" i="25"/>
  <c r="T213" i="25" s="1"/>
  <c r="S213" i="25" s="1"/>
  <c r="R213" i="25" s="1"/>
  <c r="P213" i="25" s="1"/>
  <c r="V213" i="25" s="1"/>
  <c r="B213" i="25" s="1"/>
  <c r="D213" i="25" s="1"/>
  <c r="E213" i="25" s="1"/>
  <c r="F213" i="25" s="1"/>
  <c r="U205" i="25"/>
  <c r="T205" i="25" s="1"/>
  <c r="S205" i="25" s="1"/>
  <c r="R205" i="25" s="1"/>
  <c r="P205" i="25" s="1"/>
  <c r="V205" i="25" s="1"/>
  <c r="B205" i="25" s="1"/>
  <c r="W205" i="25" s="1"/>
  <c r="U197" i="25"/>
  <c r="T197" i="25" s="1"/>
  <c r="S197" i="25" s="1"/>
  <c r="R197" i="25" s="1"/>
  <c r="P197" i="25" s="1"/>
  <c r="V197" i="25" s="1"/>
  <c r="B197" i="25" s="1"/>
  <c r="D197" i="25" s="1"/>
  <c r="E197" i="25" s="1"/>
  <c r="F197" i="25" s="1"/>
  <c r="U189" i="25"/>
  <c r="T189" i="25" s="1"/>
  <c r="U181" i="25"/>
  <c r="T181" i="25" s="1"/>
  <c r="S181" i="25" s="1"/>
  <c r="R181" i="25" s="1"/>
  <c r="P181" i="25" s="1"/>
  <c r="V181" i="25" s="1"/>
  <c r="B181" i="25" s="1"/>
  <c r="D181" i="25" s="1"/>
  <c r="E181" i="25" s="1"/>
  <c r="F181" i="25" s="1"/>
  <c r="U173" i="25"/>
  <c r="T173" i="25" s="1"/>
  <c r="S173" i="25" s="1"/>
  <c r="R173" i="25" s="1"/>
  <c r="P173" i="25" s="1"/>
  <c r="V173" i="25" s="1"/>
  <c r="B173" i="25" s="1"/>
  <c r="W173" i="25" s="1"/>
  <c r="U165" i="25"/>
  <c r="T165" i="25" s="1"/>
  <c r="S165" i="25" s="1"/>
  <c r="R165" i="25" s="1"/>
  <c r="P165" i="25" s="1"/>
  <c r="V165" i="25" s="1"/>
  <c r="B165" i="25" s="1"/>
  <c r="W165" i="25" s="1"/>
  <c r="U150" i="25"/>
  <c r="T150" i="25" s="1"/>
  <c r="S150" i="25" s="1"/>
  <c r="R150" i="25" s="1"/>
  <c r="P150" i="25" s="1"/>
  <c r="V150" i="25" s="1"/>
  <c r="B150" i="25" s="1"/>
  <c r="U134" i="25"/>
  <c r="T134" i="25" s="1"/>
  <c r="S134" i="25" s="1"/>
  <c r="R134" i="25" s="1"/>
  <c r="P134" i="25" s="1"/>
  <c r="V134" i="25" s="1"/>
  <c r="B134" i="25" s="1"/>
  <c r="W134" i="25" s="1"/>
  <c r="U118" i="25"/>
  <c r="T118" i="25" s="1"/>
  <c r="S118" i="25" s="1"/>
  <c r="R118" i="25" s="1"/>
  <c r="P118" i="25" s="1"/>
  <c r="V118" i="25" s="1"/>
  <c r="B118" i="25" s="1"/>
  <c r="W118" i="25" s="1"/>
  <c r="U102" i="25"/>
  <c r="T102" i="25" s="1"/>
  <c r="S102" i="25" s="1"/>
  <c r="R102" i="25" s="1"/>
  <c r="P102" i="25" s="1"/>
  <c r="V102" i="25" s="1"/>
  <c r="B102" i="25" s="1"/>
  <c r="D102" i="25" s="1"/>
  <c r="E102" i="25" s="1"/>
  <c r="F102" i="25" s="1"/>
  <c r="U86" i="25"/>
  <c r="T86" i="25" s="1"/>
  <c r="S86" i="25" s="1"/>
  <c r="R86" i="25" s="1"/>
  <c r="P86" i="25" s="1"/>
  <c r="V86" i="25" s="1"/>
  <c r="B86" i="25" s="1"/>
  <c r="W86" i="25" s="1"/>
  <c r="U70" i="25"/>
  <c r="T70" i="25" s="1"/>
  <c r="S70" i="25" s="1"/>
  <c r="R70" i="25" s="1"/>
  <c r="P70" i="25" s="1"/>
  <c r="V70" i="25" s="1"/>
  <c r="B70" i="25" s="1"/>
  <c r="W70" i="25" s="1"/>
  <c r="U54" i="25"/>
  <c r="T54" i="25" s="1"/>
  <c r="S54" i="25" s="1"/>
  <c r="R54" i="25" s="1"/>
  <c r="P54" i="25" s="1"/>
  <c r="V54" i="25" s="1"/>
  <c r="B54" i="25" s="1"/>
  <c r="W54" i="25" s="1"/>
  <c r="U38" i="25"/>
  <c r="T38" i="25" s="1"/>
  <c r="S38" i="25" s="1"/>
  <c r="R38" i="25" s="1"/>
  <c r="P38" i="25" s="1"/>
  <c r="V38" i="25" s="1"/>
  <c r="B38" i="25" s="1"/>
  <c r="W38" i="25" s="1"/>
  <c r="U17" i="25"/>
  <c r="T17" i="25" s="1"/>
  <c r="S17" i="25" s="1"/>
  <c r="R17" i="25" s="1"/>
  <c r="P17" i="25" s="1"/>
  <c r="V17" i="25" s="1"/>
  <c r="B17" i="25" s="1"/>
  <c r="D379" i="24"/>
  <c r="E379" i="24" s="1"/>
  <c r="F379" i="24" s="1"/>
  <c r="H379" i="23"/>
  <c r="I379" i="23" s="1"/>
  <c r="AI47" i="25"/>
  <c r="AH47" i="25" s="1"/>
  <c r="AG47" i="25" s="1"/>
  <c r="AF47" i="25" s="1"/>
  <c r="AD47" i="25" s="1"/>
  <c r="AI95" i="25"/>
  <c r="AH95" i="25" s="1"/>
  <c r="AG95" i="25" s="1"/>
  <c r="AF95" i="25" s="1"/>
  <c r="AD95" i="25" s="1"/>
  <c r="AI63" i="25"/>
  <c r="AH63" i="25" s="1"/>
  <c r="AG63" i="25" s="1"/>
  <c r="AF63" i="25" s="1"/>
  <c r="AD63" i="25" s="1"/>
  <c r="AI31" i="25"/>
  <c r="AH31" i="25" s="1"/>
  <c r="AG31" i="25" s="1"/>
  <c r="AF31" i="25" s="1"/>
  <c r="AD31" i="25" s="1"/>
  <c r="AK9" i="20"/>
  <c r="AK11" i="20" s="1"/>
  <c r="AM9" i="20"/>
  <c r="D15" i="19"/>
  <c r="G39" i="19"/>
  <c r="C16" i="19"/>
  <c r="F40" i="19"/>
  <c r="U268" i="25"/>
  <c r="T268" i="25" s="1"/>
  <c r="S268" i="25" s="1"/>
  <c r="R268" i="25" s="1"/>
  <c r="P268" i="25" s="1"/>
  <c r="V268" i="25" s="1"/>
  <c r="B268" i="25" s="1"/>
  <c r="W268" i="25" s="1"/>
  <c r="U266" i="25"/>
  <c r="T266" i="25" s="1"/>
  <c r="S266" i="25" s="1"/>
  <c r="R266" i="25" s="1"/>
  <c r="P266" i="25" s="1"/>
  <c r="V266" i="25" s="1"/>
  <c r="B266" i="25" s="1"/>
  <c r="W266" i="25" s="1"/>
  <c r="U264" i="25"/>
  <c r="T264" i="25" s="1"/>
  <c r="S264" i="25" s="1"/>
  <c r="R264" i="25" s="1"/>
  <c r="P264" i="25" s="1"/>
  <c r="V264" i="25" s="1"/>
  <c r="B264" i="25" s="1"/>
  <c r="D264" i="25" s="1"/>
  <c r="E264" i="25" s="1"/>
  <c r="F264" i="25" s="1"/>
  <c r="U262" i="25"/>
  <c r="T262" i="25" s="1"/>
  <c r="S262" i="25" s="1"/>
  <c r="R262" i="25" s="1"/>
  <c r="P262" i="25" s="1"/>
  <c r="V262" i="25" s="1"/>
  <c r="B262" i="25" s="1"/>
  <c r="D262" i="25" s="1"/>
  <c r="E262" i="25" s="1"/>
  <c r="F262" i="25" s="1"/>
  <c r="U260" i="25"/>
  <c r="T260" i="25" s="1"/>
  <c r="S260" i="25" s="1"/>
  <c r="R260" i="25" s="1"/>
  <c r="P260" i="25" s="1"/>
  <c r="V260" i="25" s="1"/>
  <c r="B260" i="25" s="1"/>
  <c r="W260" i="25" s="1"/>
  <c r="U258" i="25"/>
  <c r="T258" i="25" s="1"/>
  <c r="S258" i="25" s="1"/>
  <c r="R258" i="25" s="1"/>
  <c r="P258" i="25" s="1"/>
  <c r="V258" i="25" s="1"/>
  <c r="B258" i="25" s="1"/>
  <c r="D258" i="25" s="1"/>
  <c r="E258" i="25" s="1"/>
  <c r="F258" i="25" s="1"/>
  <c r="U256" i="25"/>
  <c r="T256" i="25" s="1"/>
  <c r="S256" i="25" s="1"/>
  <c r="R256" i="25" s="1"/>
  <c r="P256" i="25" s="1"/>
  <c r="V256" i="25" s="1"/>
  <c r="B256" i="25" s="1"/>
  <c r="W256" i="25" s="1"/>
  <c r="U254" i="25"/>
  <c r="T254" i="25" s="1"/>
  <c r="S254" i="25" s="1"/>
  <c r="R254" i="25" s="1"/>
  <c r="P254" i="25" s="1"/>
  <c r="V254" i="25" s="1"/>
  <c r="B254" i="25" s="1"/>
  <c r="D254" i="25" s="1"/>
  <c r="E254" i="25" s="1"/>
  <c r="F254" i="25" s="1"/>
  <c r="U252" i="25"/>
  <c r="T252" i="25" s="1"/>
  <c r="S252" i="25" s="1"/>
  <c r="R252" i="25" s="1"/>
  <c r="P252" i="25" s="1"/>
  <c r="V252" i="25" s="1"/>
  <c r="B252" i="25" s="1"/>
  <c r="W252" i="25" s="1"/>
  <c r="U250" i="25"/>
  <c r="T250" i="25" s="1"/>
  <c r="S250" i="25" s="1"/>
  <c r="R250" i="25" s="1"/>
  <c r="P250" i="25" s="1"/>
  <c r="V250" i="25" s="1"/>
  <c r="B250" i="25" s="1"/>
  <c r="D250" i="25" s="1"/>
  <c r="E250" i="25" s="1"/>
  <c r="F250" i="25" s="1"/>
  <c r="U248" i="25"/>
  <c r="T248" i="25" s="1"/>
  <c r="S248" i="25" s="1"/>
  <c r="R248" i="25" s="1"/>
  <c r="P248" i="25" s="1"/>
  <c r="V248" i="25" s="1"/>
  <c r="U246" i="25"/>
  <c r="T246" i="25" s="1"/>
  <c r="S246" i="25" s="1"/>
  <c r="R246" i="25" s="1"/>
  <c r="P246" i="25" s="1"/>
  <c r="V246" i="25" s="1"/>
  <c r="B246" i="25" s="1"/>
  <c r="D246" i="25" s="1"/>
  <c r="E246" i="25" s="1"/>
  <c r="F246" i="25" s="1"/>
  <c r="U244" i="25"/>
  <c r="T244" i="25" s="1"/>
  <c r="S244" i="25" s="1"/>
  <c r="R244" i="25" s="1"/>
  <c r="P244" i="25" s="1"/>
  <c r="V244" i="25" s="1"/>
  <c r="B244" i="25" s="1"/>
  <c r="U242" i="25"/>
  <c r="T242" i="25" s="1"/>
  <c r="S242" i="25" s="1"/>
  <c r="R242" i="25" s="1"/>
  <c r="P242" i="25" s="1"/>
  <c r="V242" i="25" s="1"/>
  <c r="B242" i="25" s="1"/>
  <c r="D242" i="25" s="1"/>
  <c r="E242" i="25" s="1"/>
  <c r="F242" i="25" s="1"/>
  <c r="U240" i="25"/>
  <c r="T240" i="25" s="1"/>
  <c r="S240" i="25" s="1"/>
  <c r="R240" i="25" s="1"/>
  <c r="P240" i="25" s="1"/>
  <c r="V240" i="25" s="1"/>
  <c r="B240" i="25" s="1"/>
  <c r="D240" i="25" s="1"/>
  <c r="E240" i="25" s="1"/>
  <c r="F240" i="25" s="1"/>
  <c r="U238" i="25"/>
  <c r="T238" i="25" s="1"/>
  <c r="S238" i="25" s="1"/>
  <c r="R238" i="25" s="1"/>
  <c r="P238" i="25" s="1"/>
  <c r="V238" i="25" s="1"/>
  <c r="B238" i="25" s="1"/>
  <c r="D238" i="25" s="1"/>
  <c r="E238" i="25" s="1"/>
  <c r="F238" i="25" s="1"/>
  <c r="U236" i="25"/>
  <c r="T236" i="25" s="1"/>
  <c r="S236" i="25" s="1"/>
  <c r="R236" i="25" s="1"/>
  <c r="P236" i="25" s="1"/>
  <c r="V236" i="25" s="1"/>
  <c r="B236" i="25" s="1"/>
  <c r="W236" i="25" s="1"/>
  <c r="U234" i="25"/>
  <c r="T234" i="25" s="1"/>
  <c r="S234" i="25" s="1"/>
  <c r="R234" i="25" s="1"/>
  <c r="P234" i="25" s="1"/>
  <c r="V234" i="25" s="1"/>
  <c r="B234" i="25" s="1"/>
  <c r="W234" i="25" s="1"/>
  <c r="U232" i="25"/>
  <c r="T232" i="25" s="1"/>
  <c r="S232" i="25" s="1"/>
  <c r="R232" i="25" s="1"/>
  <c r="P232" i="25" s="1"/>
  <c r="V232" i="25" s="1"/>
  <c r="B232" i="25" s="1"/>
  <c r="D232" i="25" s="1"/>
  <c r="E232" i="25" s="1"/>
  <c r="F232" i="25" s="1"/>
  <c r="U230" i="25"/>
  <c r="T230" i="25" s="1"/>
  <c r="S230" i="25" s="1"/>
  <c r="R230" i="25" s="1"/>
  <c r="P230" i="25" s="1"/>
  <c r="V230" i="25" s="1"/>
  <c r="B230" i="25" s="1"/>
  <c r="D230" i="25" s="1"/>
  <c r="E230" i="25" s="1"/>
  <c r="F230" i="25" s="1"/>
  <c r="U228" i="25"/>
  <c r="T228" i="25" s="1"/>
  <c r="S228" i="25" s="1"/>
  <c r="R228" i="25" s="1"/>
  <c r="P228" i="25" s="1"/>
  <c r="V228" i="25" s="1"/>
  <c r="B228" i="25" s="1"/>
  <c r="D228" i="25" s="1"/>
  <c r="E228" i="25" s="1"/>
  <c r="F228" i="25" s="1"/>
  <c r="U226" i="25"/>
  <c r="T226" i="25" s="1"/>
  <c r="S226" i="25" s="1"/>
  <c r="R226" i="25" s="1"/>
  <c r="P226" i="25" s="1"/>
  <c r="V226" i="25" s="1"/>
  <c r="B226" i="25" s="1"/>
  <c r="U224" i="25"/>
  <c r="T224" i="25" s="1"/>
  <c r="S224" i="25" s="1"/>
  <c r="R224" i="25" s="1"/>
  <c r="P224" i="25" s="1"/>
  <c r="V224" i="25" s="1"/>
  <c r="B224" i="25" s="1"/>
  <c r="W224" i="25" s="1"/>
  <c r="U222" i="25"/>
  <c r="T222" i="25" s="1"/>
  <c r="S222" i="25" s="1"/>
  <c r="R222" i="25" s="1"/>
  <c r="P222" i="25" s="1"/>
  <c r="V222" i="25" s="1"/>
  <c r="B222" i="25" s="1"/>
  <c r="W222" i="25" s="1"/>
  <c r="U220" i="25"/>
  <c r="T220" i="25" s="1"/>
  <c r="S220" i="25" s="1"/>
  <c r="R220" i="25" s="1"/>
  <c r="P220" i="25" s="1"/>
  <c r="V220" i="25" s="1"/>
  <c r="B220" i="25" s="1"/>
  <c r="D220" i="25" s="1"/>
  <c r="E220" i="25" s="1"/>
  <c r="F220" i="25" s="1"/>
  <c r="U218" i="25"/>
  <c r="T218" i="25" s="1"/>
  <c r="S218" i="25" s="1"/>
  <c r="R218" i="25" s="1"/>
  <c r="P218" i="25" s="1"/>
  <c r="V218" i="25" s="1"/>
  <c r="B218" i="25" s="1"/>
  <c r="W218" i="25" s="1"/>
  <c r="U216" i="25"/>
  <c r="T216" i="25" s="1"/>
  <c r="U214" i="25"/>
  <c r="T214" i="25" s="1"/>
  <c r="S214" i="25" s="1"/>
  <c r="R214" i="25" s="1"/>
  <c r="P214" i="25" s="1"/>
  <c r="V214" i="25" s="1"/>
  <c r="B214" i="25" s="1"/>
  <c r="D214" i="25" s="1"/>
  <c r="E214" i="25" s="1"/>
  <c r="F214" i="25" s="1"/>
  <c r="U212" i="25"/>
  <c r="T212" i="25" s="1"/>
  <c r="S212" i="25" s="1"/>
  <c r="R212" i="25" s="1"/>
  <c r="P212" i="25" s="1"/>
  <c r="V212" i="25" s="1"/>
  <c r="B212" i="25" s="1"/>
  <c r="D212" i="25" s="1"/>
  <c r="E212" i="25" s="1"/>
  <c r="F212" i="25" s="1"/>
  <c r="U210" i="25"/>
  <c r="T210" i="25" s="1"/>
  <c r="S210" i="25" s="1"/>
  <c r="R210" i="25" s="1"/>
  <c r="P210" i="25" s="1"/>
  <c r="AH74" i="7" s="1"/>
  <c r="U208" i="25"/>
  <c r="T208" i="25" s="1"/>
  <c r="S208" i="25" s="1"/>
  <c r="R208" i="25" s="1"/>
  <c r="P208" i="25" s="1"/>
  <c r="V208" i="25" s="1"/>
  <c r="B208" i="25" s="1"/>
  <c r="U206" i="25"/>
  <c r="T206" i="25" s="1"/>
  <c r="S206" i="25" s="1"/>
  <c r="R206" i="25" s="1"/>
  <c r="P206" i="25" s="1"/>
  <c r="V206" i="25" s="1"/>
  <c r="B206" i="25" s="1"/>
  <c r="D206" i="25" s="1"/>
  <c r="E206" i="25" s="1"/>
  <c r="F206" i="25" s="1"/>
  <c r="U204" i="25"/>
  <c r="T204" i="25" s="1"/>
  <c r="S204" i="25" s="1"/>
  <c r="R204" i="25" s="1"/>
  <c r="P204" i="25" s="1"/>
  <c r="V204" i="25" s="1"/>
  <c r="B204" i="25" s="1"/>
  <c r="D204" i="25" s="1"/>
  <c r="E204" i="25" s="1"/>
  <c r="F204" i="25" s="1"/>
  <c r="U202" i="25"/>
  <c r="T202" i="25" s="1"/>
  <c r="S202" i="25" s="1"/>
  <c r="R202" i="25" s="1"/>
  <c r="P202" i="25" s="1"/>
  <c r="V202" i="25" s="1"/>
  <c r="B202" i="25" s="1"/>
  <c r="D202" i="25" s="1"/>
  <c r="E202" i="25" s="1"/>
  <c r="F202" i="25" s="1"/>
  <c r="U200" i="25"/>
  <c r="T200" i="25" s="1"/>
  <c r="S200" i="25" s="1"/>
  <c r="R200" i="25" s="1"/>
  <c r="P200" i="25" s="1"/>
  <c r="V200" i="25" s="1"/>
  <c r="B200" i="25" s="1"/>
  <c r="W200" i="25" s="1"/>
  <c r="U198" i="25"/>
  <c r="T198" i="25" s="1"/>
  <c r="S198" i="25" s="1"/>
  <c r="R198" i="25" s="1"/>
  <c r="P198" i="25" s="1"/>
  <c r="V198" i="25" s="1"/>
  <c r="B198" i="25" s="1"/>
  <c r="W198" i="25" s="1"/>
  <c r="U196" i="25"/>
  <c r="T196" i="25" s="1"/>
  <c r="S196" i="25" s="1"/>
  <c r="R196" i="25" s="1"/>
  <c r="P196" i="25" s="1"/>
  <c r="V196" i="25" s="1"/>
  <c r="B196" i="25" s="1"/>
  <c r="U194" i="25"/>
  <c r="T194" i="25" s="1"/>
  <c r="S194" i="25" s="1"/>
  <c r="R194" i="25" s="1"/>
  <c r="P194" i="25" s="1"/>
  <c r="V194" i="25" s="1"/>
  <c r="B194" i="25" s="1"/>
  <c r="U192" i="25"/>
  <c r="T192" i="25" s="1"/>
  <c r="S192" i="25" s="1"/>
  <c r="R192" i="25" s="1"/>
  <c r="P192" i="25" s="1"/>
  <c r="V192" i="25" s="1"/>
  <c r="B192" i="25" s="1"/>
  <c r="W192" i="25" s="1"/>
  <c r="U190" i="25"/>
  <c r="T190" i="25" s="1"/>
  <c r="S190" i="25" s="1"/>
  <c r="R190" i="25" s="1"/>
  <c r="P190" i="25" s="1"/>
  <c r="V190" i="25" s="1"/>
  <c r="B190" i="25" s="1"/>
  <c r="W190" i="25" s="1"/>
  <c r="U188" i="25"/>
  <c r="T188" i="25" s="1"/>
  <c r="S188" i="25" s="1"/>
  <c r="R188" i="25" s="1"/>
  <c r="P188" i="25" s="1"/>
  <c r="V188" i="25" s="1"/>
  <c r="B188" i="25" s="1"/>
  <c r="W188" i="25" s="1"/>
  <c r="U186" i="25"/>
  <c r="T186" i="25" s="1"/>
  <c r="S186" i="25" s="1"/>
  <c r="R186" i="25" s="1"/>
  <c r="P186" i="25" s="1"/>
  <c r="V186" i="25" s="1"/>
  <c r="B186" i="25" s="1"/>
  <c r="D186" i="25" s="1"/>
  <c r="E186" i="25" s="1"/>
  <c r="F186" i="25" s="1"/>
  <c r="U184" i="25"/>
  <c r="T184" i="25" s="1"/>
  <c r="S184" i="25" s="1"/>
  <c r="R184" i="25" s="1"/>
  <c r="P184" i="25" s="1"/>
  <c r="V184" i="25" s="1"/>
  <c r="B184" i="25" s="1"/>
  <c r="D184" i="25" s="1"/>
  <c r="E184" i="25" s="1"/>
  <c r="F184" i="25" s="1"/>
  <c r="U182" i="25"/>
  <c r="T182" i="25" s="1"/>
  <c r="S182" i="25" s="1"/>
  <c r="R182" i="25" s="1"/>
  <c r="P182" i="25" s="1"/>
  <c r="V182" i="25" s="1"/>
  <c r="B182" i="25" s="1"/>
  <c r="D182" i="25" s="1"/>
  <c r="E182" i="25" s="1"/>
  <c r="F182" i="25" s="1"/>
  <c r="U180" i="25"/>
  <c r="T180" i="25" s="1"/>
  <c r="S180" i="25" s="1"/>
  <c r="R180" i="25" s="1"/>
  <c r="P180" i="25" s="1"/>
  <c r="V180" i="25" s="1"/>
  <c r="B180" i="25" s="1"/>
  <c r="U178" i="25"/>
  <c r="T178" i="25" s="1"/>
  <c r="S178" i="25" s="1"/>
  <c r="R178" i="25" s="1"/>
  <c r="P178" i="25" s="1"/>
  <c r="V178" i="25" s="1"/>
  <c r="B178" i="25" s="1"/>
  <c r="D178" i="25" s="1"/>
  <c r="E178" i="25" s="1"/>
  <c r="F178" i="25" s="1"/>
  <c r="U176" i="25"/>
  <c r="T176" i="25" s="1"/>
  <c r="S176" i="25" s="1"/>
  <c r="R176" i="25" s="1"/>
  <c r="P176" i="25" s="1"/>
  <c r="V176" i="25" s="1"/>
  <c r="B176" i="25" s="1"/>
  <c r="D176" i="25" s="1"/>
  <c r="E176" i="25" s="1"/>
  <c r="F176" i="25" s="1"/>
  <c r="U174" i="25"/>
  <c r="T174" i="25" s="1"/>
  <c r="S174" i="25" s="1"/>
  <c r="R174" i="25" s="1"/>
  <c r="P174" i="25" s="1"/>
  <c r="V174" i="25" s="1"/>
  <c r="B174" i="25" s="1"/>
  <c r="D174" i="25" s="1"/>
  <c r="E174" i="25" s="1"/>
  <c r="F174" i="25" s="1"/>
  <c r="U172" i="25"/>
  <c r="T172" i="25" s="1"/>
  <c r="S172" i="25" s="1"/>
  <c r="R172" i="25" s="1"/>
  <c r="P172" i="25" s="1"/>
  <c r="V172" i="25" s="1"/>
  <c r="B172" i="25" s="1"/>
  <c r="D172" i="25" s="1"/>
  <c r="E172" i="25" s="1"/>
  <c r="F172" i="25" s="1"/>
  <c r="U170" i="25"/>
  <c r="T170" i="25" s="1"/>
  <c r="S170" i="25" s="1"/>
  <c r="R170" i="25" s="1"/>
  <c r="P170" i="25" s="1"/>
  <c r="V170" i="25" s="1"/>
  <c r="B170" i="25" s="1"/>
  <c r="D170" i="25" s="1"/>
  <c r="E170" i="25" s="1"/>
  <c r="F170" i="25" s="1"/>
  <c r="U168" i="25"/>
  <c r="T168" i="25" s="1"/>
  <c r="S168" i="25" s="1"/>
  <c r="R168" i="25" s="1"/>
  <c r="P168" i="25" s="1"/>
  <c r="V168" i="25" s="1"/>
  <c r="B168" i="25" s="1"/>
  <c r="W168" i="25" s="1"/>
  <c r="U166" i="25"/>
  <c r="T166" i="25" s="1"/>
  <c r="S166" i="25" s="1"/>
  <c r="R166" i="25" s="1"/>
  <c r="P166" i="25" s="1"/>
  <c r="V166" i="25" s="1"/>
  <c r="B166" i="25" s="1"/>
  <c r="U164" i="25"/>
  <c r="T164" i="25" s="1"/>
  <c r="S164" i="25" s="1"/>
  <c r="R164" i="25" s="1"/>
  <c r="P164" i="25" s="1"/>
  <c r="V164" i="25" s="1"/>
  <c r="B164" i="25" s="1"/>
  <c r="W164" i="25" s="1"/>
  <c r="U160" i="25"/>
  <c r="T160" i="25" s="1"/>
  <c r="S160" i="25" s="1"/>
  <c r="R160" i="25" s="1"/>
  <c r="P160" i="25" s="1"/>
  <c r="V160" i="25" s="1"/>
  <c r="B160" i="25" s="1"/>
  <c r="D160" i="25" s="1"/>
  <c r="E160" i="25" s="1"/>
  <c r="F160" i="25" s="1"/>
  <c r="U156" i="25"/>
  <c r="T156" i="25" s="1"/>
  <c r="S156" i="25" s="1"/>
  <c r="R156" i="25" s="1"/>
  <c r="P156" i="25" s="1"/>
  <c r="V156" i="25" s="1"/>
  <c r="B156" i="25" s="1"/>
  <c r="W156" i="25" s="1"/>
  <c r="U152" i="25"/>
  <c r="T152" i="25" s="1"/>
  <c r="S152" i="25" s="1"/>
  <c r="R152" i="25" s="1"/>
  <c r="P152" i="25" s="1"/>
  <c r="V152" i="25" s="1"/>
  <c r="B152" i="25" s="1"/>
  <c r="W152" i="25" s="1"/>
  <c r="U148" i="25"/>
  <c r="T148" i="25" s="1"/>
  <c r="S148" i="25" s="1"/>
  <c r="R148" i="25" s="1"/>
  <c r="P148" i="25" s="1"/>
  <c r="V148" i="25" s="1"/>
  <c r="B148" i="25" s="1"/>
  <c r="W148" i="25" s="1"/>
  <c r="U144" i="25"/>
  <c r="T144" i="25" s="1"/>
  <c r="S144" i="25" s="1"/>
  <c r="R144" i="25" s="1"/>
  <c r="P144" i="25" s="1"/>
  <c r="V144" i="25" s="1"/>
  <c r="B144" i="25" s="1"/>
  <c r="W144" i="25" s="1"/>
  <c r="U140" i="25"/>
  <c r="T140" i="25" s="1"/>
  <c r="S140" i="25" s="1"/>
  <c r="R140" i="25" s="1"/>
  <c r="P140" i="25" s="1"/>
  <c r="V140" i="25" s="1"/>
  <c r="B140" i="25" s="1"/>
  <c r="D140" i="25" s="1"/>
  <c r="E140" i="25" s="1"/>
  <c r="F140" i="25" s="1"/>
  <c r="U136" i="25"/>
  <c r="T136" i="25" s="1"/>
  <c r="S136" i="25" s="1"/>
  <c r="R136" i="25" s="1"/>
  <c r="P136" i="25" s="1"/>
  <c r="V136" i="25" s="1"/>
  <c r="B136" i="25" s="1"/>
  <c r="W136" i="25" s="1"/>
  <c r="U132" i="25"/>
  <c r="T132" i="25" s="1"/>
  <c r="S132" i="25" s="1"/>
  <c r="R132" i="25" s="1"/>
  <c r="P132" i="25" s="1"/>
  <c r="V132" i="25" s="1"/>
  <c r="B132" i="25" s="1"/>
  <c r="D132" i="25" s="1"/>
  <c r="E132" i="25" s="1"/>
  <c r="F132" i="25" s="1"/>
  <c r="U128" i="25"/>
  <c r="T128" i="25" s="1"/>
  <c r="S128" i="25" s="1"/>
  <c r="R128" i="25" s="1"/>
  <c r="P128" i="25" s="1"/>
  <c r="V128" i="25" s="1"/>
  <c r="B128" i="25" s="1"/>
  <c r="W128" i="25" s="1"/>
  <c r="U124" i="25"/>
  <c r="T124" i="25" s="1"/>
  <c r="S124" i="25" s="1"/>
  <c r="R124" i="25" s="1"/>
  <c r="P124" i="25" s="1"/>
  <c r="V124" i="25" s="1"/>
  <c r="B124" i="25" s="1"/>
  <c r="W124" i="25" s="1"/>
  <c r="U120" i="25"/>
  <c r="T120" i="25" s="1"/>
  <c r="S120" i="25" s="1"/>
  <c r="R120" i="25" s="1"/>
  <c r="P120" i="25" s="1"/>
  <c r="V120" i="25" s="1"/>
  <c r="B120" i="25" s="1"/>
  <c r="W120" i="25" s="1"/>
  <c r="U116" i="25"/>
  <c r="T116" i="25" s="1"/>
  <c r="S116" i="25" s="1"/>
  <c r="R116" i="25" s="1"/>
  <c r="P116" i="25" s="1"/>
  <c r="V116" i="25" s="1"/>
  <c r="B116" i="25" s="1"/>
  <c r="U112" i="25"/>
  <c r="T112" i="25" s="1"/>
  <c r="S112" i="25" s="1"/>
  <c r="R112" i="25" s="1"/>
  <c r="P112" i="25" s="1"/>
  <c r="V112" i="25" s="1"/>
  <c r="B112" i="25" s="1"/>
  <c r="W112" i="25" s="1"/>
  <c r="U108" i="25"/>
  <c r="T108" i="25" s="1"/>
  <c r="S108" i="25" s="1"/>
  <c r="R108" i="25" s="1"/>
  <c r="P108" i="25" s="1"/>
  <c r="V108" i="25" s="1"/>
  <c r="B108" i="25" s="1"/>
  <c r="D108" i="25" s="1"/>
  <c r="E108" i="25" s="1"/>
  <c r="F108" i="25" s="1"/>
  <c r="U104" i="25"/>
  <c r="T104" i="25" s="1"/>
  <c r="S104" i="25" s="1"/>
  <c r="R104" i="25" s="1"/>
  <c r="P104" i="25" s="1"/>
  <c r="V104" i="25" s="1"/>
  <c r="B104" i="25" s="1"/>
  <c r="W104" i="25" s="1"/>
  <c r="U100" i="25"/>
  <c r="T100" i="25" s="1"/>
  <c r="S100" i="25" s="1"/>
  <c r="R100" i="25" s="1"/>
  <c r="P100" i="25" s="1"/>
  <c r="V100" i="25" s="1"/>
  <c r="B100" i="25" s="1"/>
  <c r="W100" i="25" s="1"/>
  <c r="U96" i="25"/>
  <c r="T96" i="25" s="1"/>
  <c r="S96" i="25" s="1"/>
  <c r="R96" i="25" s="1"/>
  <c r="P96" i="25" s="1"/>
  <c r="V96" i="25" s="1"/>
  <c r="B96" i="25" s="1"/>
  <c r="W96" i="25" s="1"/>
  <c r="U92" i="25"/>
  <c r="T92" i="25" s="1"/>
  <c r="S92" i="25" s="1"/>
  <c r="R92" i="25" s="1"/>
  <c r="P92" i="25" s="1"/>
  <c r="V92" i="25" s="1"/>
  <c r="B92" i="25" s="1"/>
  <c r="W92" i="25" s="1"/>
  <c r="U88" i="25"/>
  <c r="T88" i="25" s="1"/>
  <c r="S88" i="25" s="1"/>
  <c r="R88" i="25" s="1"/>
  <c r="P88" i="25" s="1"/>
  <c r="AH70" i="7" s="1"/>
  <c r="U84" i="25"/>
  <c r="T84" i="25" s="1"/>
  <c r="S84" i="25" s="1"/>
  <c r="R84" i="25" s="1"/>
  <c r="P84" i="25" s="1"/>
  <c r="V84" i="25" s="1"/>
  <c r="B84" i="25" s="1"/>
  <c r="W84" i="25" s="1"/>
  <c r="U80" i="25"/>
  <c r="T80" i="25" s="1"/>
  <c r="S80" i="25" s="1"/>
  <c r="R80" i="25" s="1"/>
  <c r="P80" i="25" s="1"/>
  <c r="V80" i="25" s="1"/>
  <c r="B80" i="25" s="1"/>
  <c r="W80" i="25" s="1"/>
  <c r="U76" i="25"/>
  <c r="T76" i="25" s="1"/>
  <c r="S76" i="25" s="1"/>
  <c r="R76" i="25" s="1"/>
  <c r="P76" i="25" s="1"/>
  <c r="V76" i="25" s="1"/>
  <c r="B76" i="25" s="1"/>
  <c r="W76" i="25" s="1"/>
  <c r="U72" i="25"/>
  <c r="T72" i="25" s="1"/>
  <c r="S72" i="25" s="1"/>
  <c r="R72" i="25" s="1"/>
  <c r="P72" i="25" s="1"/>
  <c r="V72" i="25" s="1"/>
  <c r="B72" i="25" s="1"/>
  <c r="D72" i="25" s="1"/>
  <c r="E72" i="25" s="1"/>
  <c r="F72" i="25" s="1"/>
  <c r="U68" i="25"/>
  <c r="T68" i="25" s="1"/>
  <c r="S68" i="25" s="1"/>
  <c r="R68" i="25" s="1"/>
  <c r="P68" i="25" s="1"/>
  <c r="V68" i="25" s="1"/>
  <c r="B68" i="25" s="1"/>
  <c r="D68" i="25" s="1"/>
  <c r="E68" i="25" s="1"/>
  <c r="F68" i="25" s="1"/>
  <c r="U64" i="25"/>
  <c r="T64" i="25" s="1"/>
  <c r="S64" i="25" s="1"/>
  <c r="R64" i="25" s="1"/>
  <c r="P64" i="25" s="1"/>
  <c r="V64" i="25" s="1"/>
  <c r="B64" i="25" s="1"/>
  <c r="W64" i="25" s="1"/>
  <c r="U60" i="25"/>
  <c r="T60" i="25" s="1"/>
  <c r="S60" i="25" s="1"/>
  <c r="R60" i="25" s="1"/>
  <c r="P60" i="25" s="1"/>
  <c r="U56" i="25"/>
  <c r="T56" i="25" s="1"/>
  <c r="S56" i="25" s="1"/>
  <c r="R56" i="25" s="1"/>
  <c r="P56" i="25" s="1"/>
  <c r="V56" i="25" s="1"/>
  <c r="B56" i="25" s="1"/>
  <c r="D56" i="25" s="1"/>
  <c r="E56" i="25" s="1"/>
  <c r="F56" i="25" s="1"/>
  <c r="U52" i="25"/>
  <c r="T52" i="25" s="1"/>
  <c r="S52" i="25" s="1"/>
  <c r="R52" i="25" s="1"/>
  <c r="P52" i="25" s="1"/>
  <c r="V52" i="25" s="1"/>
  <c r="B52" i="25" s="1"/>
  <c r="W52" i="25" s="1"/>
  <c r="U48" i="25"/>
  <c r="T48" i="25" s="1"/>
  <c r="S48" i="25" s="1"/>
  <c r="R48" i="25" s="1"/>
  <c r="P48" i="25" s="1"/>
  <c r="V48" i="25" s="1"/>
  <c r="B48" i="25" s="1"/>
  <c r="W48" i="25" s="1"/>
  <c r="U44" i="25"/>
  <c r="T44" i="25" s="1"/>
  <c r="S44" i="25" s="1"/>
  <c r="R44" i="25" s="1"/>
  <c r="P44" i="25" s="1"/>
  <c r="V44" i="25" s="1"/>
  <c r="B44" i="25" s="1"/>
  <c r="D44" i="25" s="1"/>
  <c r="E44" i="25" s="1"/>
  <c r="F44" i="25" s="1"/>
  <c r="U40" i="25"/>
  <c r="T40" i="25" s="1"/>
  <c r="S40" i="25" s="1"/>
  <c r="R40" i="25" s="1"/>
  <c r="P40" i="25" s="1"/>
  <c r="V40" i="25" s="1"/>
  <c r="B40" i="25" s="1"/>
  <c r="W40" i="25" s="1"/>
  <c r="U36" i="25"/>
  <c r="T36" i="25" s="1"/>
  <c r="S36" i="25" s="1"/>
  <c r="R36" i="25" s="1"/>
  <c r="P36" i="25" s="1"/>
  <c r="V36" i="25" s="1"/>
  <c r="B36" i="25" s="1"/>
  <c r="D36" i="25" s="1"/>
  <c r="E36" i="25" s="1"/>
  <c r="F36" i="25" s="1"/>
  <c r="U32" i="25"/>
  <c r="T32" i="25" s="1"/>
  <c r="S32" i="25" s="1"/>
  <c r="R32" i="25" s="1"/>
  <c r="P32" i="25" s="1"/>
  <c r="V32" i="25" s="1"/>
  <c r="B32" i="25" s="1"/>
  <c r="W32" i="25" s="1"/>
  <c r="U28" i="25"/>
  <c r="T28" i="25" s="1"/>
  <c r="S28" i="25" s="1"/>
  <c r="R28" i="25" s="1"/>
  <c r="P28" i="25" s="1"/>
  <c r="V28" i="25" s="1"/>
  <c r="B28" i="25" s="1"/>
  <c r="W28" i="25" s="1"/>
  <c r="U24" i="25"/>
  <c r="T24" i="25" s="1"/>
  <c r="S24" i="25" s="1"/>
  <c r="R24" i="25" s="1"/>
  <c r="P24" i="25" s="1"/>
  <c r="V24" i="25" s="1"/>
  <c r="B24" i="25" s="1"/>
  <c r="W24" i="25" s="1"/>
  <c r="U18" i="25"/>
  <c r="T18" i="25" s="1"/>
  <c r="S18" i="25" s="1"/>
  <c r="R18" i="25" s="1"/>
  <c r="P18" i="25" s="1"/>
  <c r="V18" i="25" s="1"/>
  <c r="B18" i="25" s="1"/>
  <c r="D18" i="25" s="1"/>
  <c r="E18" i="25" s="1"/>
  <c r="F18" i="25" s="1"/>
  <c r="U15" i="25"/>
  <c r="T15" i="25" s="1"/>
  <c r="AI103" i="25"/>
  <c r="AH103" i="25" s="1"/>
  <c r="AG103" i="25" s="1"/>
  <c r="AF103" i="25" s="1"/>
  <c r="AD103" i="25" s="1"/>
  <c r="AI87" i="25"/>
  <c r="AH87" i="25" s="1"/>
  <c r="AG87" i="25" s="1"/>
  <c r="AF87" i="25" s="1"/>
  <c r="AD87" i="25" s="1"/>
  <c r="AI71" i="25"/>
  <c r="AH71" i="25" s="1"/>
  <c r="AG71" i="25" s="1"/>
  <c r="AF71" i="25" s="1"/>
  <c r="AD71" i="25" s="1"/>
  <c r="AI55" i="25"/>
  <c r="AH55" i="25" s="1"/>
  <c r="AG55" i="25" s="1"/>
  <c r="AF55" i="25" s="1"/>
  <c r="AD55" i="25" s="1"/>
  <c r="AI39" i="25"/>
  <c r="AH39" i="25" s="1"/>
  <c r="AG39" i="25" s="1"/>
  <c r="AF39" i="25" s="1"/>
  <c r="AD39" i="25" s="1"/>
  <c r="AI11" i="25"/>
  <c r="AI24" i="25"/>
  <c r="AH24" i="25" s="1"/>
  <c r="AG24" i="25" s="1"/>
  <c r="AF24" i="25" s="1"/>
  <c r="AD24" i="25" s="1"/>
  <c r="AI20" i="25"/>
  <c r="AH20" i="25" s="1"/>
  <c r="AG20" i="25" s="1"/>
  <c r="AF20" i="25" s="1"/>
  <c r="AD20" i="25" s="1"/>
  <c r="AI35" i="25"/>
  <c r="AH35" i="25" s="1"/>
  <c r="AG35" i="25" s="1"/>
  <c r="AF35" i="25" s="1"/>
  <c r="AD35" i="25" s="1"/>
  <c r="AI43" i="25"/>
  <c r="AH43" i="25" s="1"/>
  <c r="AG43" i="25" s="1"/>
  <c r="AF43" i="25" s="1"/>
  <c r="AD43" i="25" s="1"/>
  <c r="AI51" i="25"/>
  <c r="AH51" i="25" s="1"/>
  <c r="AG51" i="25" s="1"/>
  <c r="AF51" i="25" s="1"/>
  <c r="AD51" i="25" s="1"/>
  <c r="AI59" i="25"/>
  <c r="AH59" i="25" s="1"/>
  <c r="AG59" i="25" s="1"/>
  <c r="AF59" i="25" s="1"/>
  <c r="AD59" i="25" s="1"/>
  <c r="AI67" i="25"/>
  <c r="AH67" i="25" s="1"/>
  <c r="AG67" i="25" s="1"/>
  <c r="AF67" i="25" s="1"/>
  <c r="AD67" i="25" s="1"/>
  <c r="AI75" i="25"/>
  <c r="AH75" i="25" s="1"/>
  <c r="AG75" i="25" s="1"/>
  <c r="AF75" i="25" s="1"/>
  <c r="AD75" i="25" s="1"/>
  <c r="AI83" i="25"/>
  <c r="AH83" i="25" s="1"/>
  <c r="AG83" i="25" s="1"/>
  <c r="AF83" i="25" s="1"/>
  <c r="AD83" i="25" s="1"/>
  <c r="AI91" i="25"/>
  <c r="AH91" i="25" s="1"/>
  <c r="AG91" i="25" s="1"/>
  <c r="AF91" i="25" s="1"/>
  <c r="AD91" i="25" s="1"/>
  <c r="AI99" i="25"/>
  <c r="AH99" i="25" s="1"/>
  <c r="AG99" i="25" s="1"/>
  <c r="AF99" i="25" s="1"/>
  <c r="AD99" i="25" s="1"/>
  <c r="U19" i="25"/>
  <c r="T19" i="25" s="1"/>
  <c r="S19" i="25" s="1"/>
  <c r="R19" i="25" s="1"/>
  <c r="P19" i="25" s="1"/>
  <c r="V19" i="25" s="1"/>
  <c r="B19" i="25" s="1"/>
  <c r="U21" i="25"/>
  <c r="T21" i="25" s="1"/>
  <c r="S21" i="25" s="1"/>
  <c r="R21" i="25" s="1"/>
  <c r="P21" i="25" s="1"/>
  <c r="V21" i="25" s="1"/>
  <c r="B21" i="25" s="1"/>
  <c r="W21" i="25" s="1"/>
  <c r="U26" i="25"/>
  <c r="T26" i="25" s="1"/>
  <c r="S26" i="25" s="1"/>
  <c r="R26" i="25" s="1"/>
  <c r="P26" i="25" s="1"/>
  <c r="V26" i="25" s="1"/>
  <c r="B26" i="25" s="1"/>
  <c r="W26" i="25" s="1"/>
  <c r="U23" i="25"/>
  <c r="T23" i="25" s="1"/>
  <c r="S23" i="25" s="1"/>
  <c r="R23" i="25" s="1"/>
  <c r="P23" i="25" s="1"/>
  <c r="V23" i="25" s="1"/>
  <c r="B23" i="25" s="1"/>
  <c r="D23" i="25" s="1"/>
  <c r="E23" i="25" s="1"/>
  <c r="F23" i="25" s="1"/>
  <c r="U25" i="25"/>
  <c r="T25" i="25" s="1"/>
  <c r="S25" i="25" s="1"/>
  <c r="R25" i="25" s="1"/>
  <c r="P25" i="25" s="1"/>
  <c r="V25" i="25" s="1"/>
  <c r="B25" i="25" s="1"/>
  <c r="D25" i="25" s="1"/>
  <c r="E25" i="25" s="1"/>
  <c r="F25" i="25" s="1"/>
  <c r="U22" i="25"/>
  <c r="T22" i="25" s="1"/>
  <c r="S22" i="25" s="1"/>
  <c r="R22" i="25" s="1"/>
  <c r="P22" i="25" s="1"/>
  <c r="V22" i="25" s="1"/>
  <c r="B22" i="25" s="1"/>
  <c r="U29" i="25"/>
  <c r="T29" i="25" s="1"/>
  <c r="S29" i="25" s="1"/>
  <c r="R29" i="25" s="1"/>
  <c r="P29" i="25" s="1"/>
  <c r="V29" i="25" s="1"/>
  <c r="B29" i="25" s="1"/>
  <c r="U31" i="25"/>
  <c r="T31" i="25" s="1"/>
  <c r="S31" i="25" s="1"/>
  <c r="R31" i="25" s="1"/>
  <c r="P31" i="25" s="1"/>
  <c r="V31" i="25" s="1"/>
  <c r="B31" i="25" s="1"/>
  <c r="D31" i="25" s="1"/>
  <c r="E31" i="25" s="1"/>
  <c r="F31" i="25" s="1"/>
  <c r="U33" i="25"/>
  <c r="T33" i="25" s="1"/>
  <c r="S33" i="25" s="1"/>
  <c r="R33" i="25" s="1"/>
  <c r="P33" i="25" s="1"/>
  <c r="V33" i="25" s="1"/>
  <c r="B33" i="25" s="1"/>
  <c r="W33" i="25" s="1"/>
  <c r="U35" i="25"/>
  <c r="T35" i="25" s="1"/>
  <c r="S35" i="25" s="1"/>
  <c r="R35" i="25" s="1"/>
  <c r="P35" i="25" s="1"/>
  <c r="V35" i="25" s="1"/>
  <c r="B35" i="25" s="1"/>
  <c r="U37" i="25"/>
  <c r="T37" i="25" s="1"/>
  <c r="S37" i="25" s="1"/>
  <c r="R37" i="25" s="1"/>
  <c r="P37" i="25" s="1"/>
  <c r="V37" i="25" s="1"/>
  <c r="B37" i="25" s="1"/>
  <c r="W37" i="25" s="1"/>
  <c r="U39" i="25"/>
  <c r="T39" i="25" s="1"/>
  <c r="S39" i="25" s="1"/>
  <c r="R39" i="25" s="1"/>
  <c r="P39" i="25" s="1"/>
  <c r="V39" i="25" s="1"/>
  <c r="B39" i="25" s="1"/>
  <c r="D39" i="25" s="1"/>
  <c r="E39" i="25" s="1"/>
  <c r="F39" i="25" s="1"/>
  <c r="U41" i="25"/>
  <c r="T41" i="25" s="1"/>
  <c r="S41" i="25" s="1"/>
  <c r="R41" i="25" s="1"/>
  <c r="P41" i="25" s="1"/>
  <c r="V41" i="25" s="1"/>
  <c r="B41" i="25" s="1"/>
  <c r="W41" i="25" s="1"/>
  <c r="U43" i="25"/>
  <c r="T43" i="25" s="1"/>
  <c r="S43" i="25" s="1"/>
  <c r="R43" i="25" s="1"/>
  <c r="P43" i="25" s="1"/>
  <c r="V43" i="25" s="1"/>
  <c r="B43" i="25" s="1"/>
  <c r="U45" i="25"/>
  <c r="T45" i="25" s="1"/>
  <c r="S45" i="25" s="1"/>
  <c r="R45" i="25" s="1"/>
  <c r="P45" i="25" s="1"/>
  <c r="V45" i="25" s="1"/>
  <c r="B45" i="25" s="1"/>
  <c r="D45" i="25" s="1"/>
  <c r="E45" i="25" s="1"/>
  <c r="F45" i="25" s="1"/>
  <c r="U47" i="25"/>
  <c r="T47" i="25" s="1"/>
  <c r="S47" i="25" s="1"/>
  <c r="R47" i="25" s="1"/>
  <c r="P47" i="25" s="1"/>
  <c r="V47" i="25" s="1"/>
  <c r="B47" i="25" s="1"/>
  <c r="D47" i="25" s="1"/>
  <c r="E47" i="25" s="1"/>
  <c r="F47" i="25" s="1"/>
  <c r="U49" i="25"/>
  <c r="T49" i="25" s="1"/>
  <c r="S49" i="25" s="1"/>
  <c r="R49" i="25" s="1"/>
  <c r="P49" i="25" s="1"/>
  <c r="V49" i="25" s="1"/>
  <c r="B49" i="25" s="1"/>
  <c r="W49" i="25" s="1"/>
  <c r="U51" i="25"/>
  <c r="T51" i="25" s="1"/>
  <c r="S51" i="25" s="1"/>
  <c r="R51" i="25" s="1"/>
  <c r="P51" i="25" s="1"/>
  <c r="V51" i="25" s="1"/>
  <c r="B51" i="25" s="1"/>
  <c r="D51" i="25" s="1"/>
  <c r="E51" i="25" s="1"/>
  <c r="F51" i="25" s="1"/>
  <c r="U53" i="25"/>
  <c r="T53" i="25" s="1"/>
  <c r="S53" i="25" s="1"/>
  <c r="R53" i="25" s="1"/>
  <c r="P53" i="25" s="1"/>
  <c r="V53" i="25" s="1"/>
  <c r="B53" i="25" s="1"/>
  <c r="W53" i="25" s="1"/>
  <c r="U55" i="25"/>
  <c r="T55" i="25" s="1"/>
  <c r="S55" i="25" s="1"/>
  <c r="R55" i="25" s="1"/>
  <c r="P55" i="25" s="1"/>
  <c r="V55" i="25" s="1"/>
  <c r="B55" i="25" s="1"/>
  <c r="W55" i="25" s="1"/>
  <c r="U57" i="25"/>
  <c r="T57" i="25" s="1"/>
  <c r="S57" i="25" s="1"/>
  <c r="R57" i="25" s="1"/>
  <c r="P57" i="25" s="1"/>
  <c r="V57" i="25" s="1"/>
  <c r="B57" i="25" s="1"/>
  <c r="W57" i="25" s="1"/>
  <c r="U59" i="25"/>
  <c r="T59" i="25" s="1"/>
  <c r="S59" i="25" s="1"/>
  <c r="R59" i="25" s="1"/>
  <c r="P59" i="25" s="1"/>
  <c r="V59" i="25" s="1"/>
  <c r="B59" i="25" s="1"/>
  <c r="W59" i="25" s="1"/>
  <c r="U61" i="25"/>
  <c r="T61" i="25" s="1"/>
  <c r="S61" i="25" s="1"/>
  <c r="R61" i="25" s="1"/>
  <c r="P61" i="25" s="1"/>
  <c r="V61" i="25" s="1"/>
  <c r="B61" i="25" s="1"/>
  <c r="W61" i="25" s="1"/>
  <c r="U63" i="25"/>
  <c r="T63" i="25" s="1"/>
  <c r="S63" i="25" s="1"/>
  <c r="R63" i="25" s="1"/>
  <c r="P63" i="25" s="1"/>
  <c r="V63" i="25" s="1"/>
  <c r="B63" i="25" s="1"/>
  <c r="W63" i="25" s="1"/>
  <c r="U65" i="25"/>
  <c r="T65" i="25" s="1"/>
  <c r="S65" i="25" s="1"/>
  <c r="R65" i="25" s="1"/>
  <c r="P65" i="25" s="1"/>
  <c r="V65" i="25" s="1"/>
  <c r="B65" i="25" s="1"/>
  <c r="D65" i="25" s="1"/>
  <c r="E65" i="25" s="1"/>
  <c r="F65" i="25" s="1"/>
  <c r="U67" i="25"/>
  <c r="T67" i="25" s="1"/>
  <c r="U69" i="25"/>
  <c r="T69" i="25" s="1"/>
  <c r="S69" i="25" s="1"/>
  <c r="R69" i="25" s="1"/>
  <c r="P69" i="25" s="1"/>
  <c r="V69" i="25" s="1"/>
  <c r="B69" i="25" s="1"/>
  <c r="D69" i="25" s="1"/>
  <c r="E69" i="25" s="1"/>
  <c r="F69" i="25" s="1"/>
  <c r="U71" i="25"/>
  <c r="T71" i="25" s="1"/>
  <c r="S71" i="25" s="1"/>
  <c r="R71" i="25" s="1"/>
  <c r="P71" i="25" s="1"/>
  <c r="V71" i="25" s="1"/>
  <c r="B71" i="25" s="1"/>
  <c r="W71" i="25" s="1"/>
  <c r="U73" i="25"/>
  <c r="T73" i="25" s="1"/>
  <c r="S73" i="25" s="1"/>
  <c r="R73" i="25" s="1"/>
  <c r="P73" i="25" s="1"/>
  <c r="V73" i="25" s="1"/>
  <c r="B73" i="25" s="1"/>
  <c r="W73" i="25" s="1"/>
  <c r="U75" i="25"/>
  <c r="T75" i="25" s="1"/>
  <c r="S75" i="25" s="1"/>
  <c r="R75" i="25" s="1"/>
  <c r="P75" i="25" s="1"/>
  <c r="V75" i="25" s="1"/>
  <c r="B75" i="25" s="1"/>
  <c r="U77" i="25"/>
  <c r="T77" i="25" s="1"/>
  <c r="S77" i="25" s="1"/>
  <c r="R77" i="25" s="1"/>
  <c r="P77" i="25" s="1"/>
  <c r="V77" i="25" s="1"/>
  <c r="B77" i="25" s="1"/>
  <c r="W77" i="25" s="1"/>
  <c r="U79" i="25"/>
  <c r="T79" i="25" s="1"/>
  <c r="S79" i="25" s="1"/>
  <c r="R79" i="25" s="1"/>
  <c r="P79" i="25" s="1"/>
  <c r="V79" i="25" s="1"/>
  <c r="B79" i="25" s="1"/>
  <c r="D79" i="25" s="1"/>
  <c r="E79" i="25" s="1"/>
  <c r="F79" i="25" s="1"/>
  <c r="U81" i="25"/>
  <c r="T81" i="25" s="1"/>
  <c r="S81" i="25" s="1"/>
  <c r="R81" i="25" s="1"/>
  <c r="P81" i="25" s="1"/>
  <c r="V81" i="25" s="1"/>
  <c r="B81" i="25" s="1"/>
  <c r="D81" i="25" s="1"/>
  <c r="E81" i="25" s="1"/>
  <c r="F81" i="25" s="1"/>
  <c r="U83" i="25"/>
  <c r="T83" i="25" s="1"/>
  <c r="S83" i="25" s="1"/>
  <c r="R83" i="25" s="1"/>
  <c r="P83" i="25" s="1"/>
  <c r="V83" i="25" s="1"/>
  <c r="B83" i="25" s="1"/>
  <c r="W83" i="25" s="1"/>
  <c r="U85" i="25"/>
  <c r="T85" i="25" s="1"/>
  <c r="S85" i="25" s="1"/>
  <c r="R85" i="25" s="1"/>
  <c r="P85" i="25" s="1"/>
  <c r="V85" i="25" s="1"/>
  <c r="B85" i="25" s="1"/>
  <c r="D85" i="25" s="1"/>
  <c r="E85" i="25" s="1"/>
  <c r="F85" i="25" s="1"/>
  <c r="U87" i="25"/>
  <c r="T87" i="25" s="1"/>
  <c r="S87" i="25" s="1"/>
  <c r="R87" i="25" s="1"/>
  <c r="P87" i="25" s="1"/>
  <c r="V87" i="25" s="1"/>
  <c r="B87" i="25" s="1"/>
  <c r="D87" i="25" s="1"/>
  <c r="E87" i="25" s="1"/>
  <c r="F87" i="25" s="1"/>
  <c r="U89" i="25"/>
  <c r="T89" i="25" s="1"/>
  <c r="S89" i="25" s="1"/>
  <c r="R89" i="25" s="1"/>
  <c r="P89" i="25" s="1"/>
  <c r="V89" i="25" s="1"/>
  <c r="B89" i="25" s="1"/>
  <c r="D89" i="25" s="1"/>
  <c r="E89" i="25" s="1"/>
  <c r="F89" i="25" s="1"/>
  <c r="U91" i="25"/>
  <c r="T91" i="25" s="1"/>
  <c r="S91" i="25" s="1"/>
  <c r="R91" i="25" s="1"/>
  <c r="P91" i="25" s="1"/>
  <c r="V91" i="25" s="1"/>
  <c r="B91" i="25" s="1"/>
  <c r="D91" i="25" s="1"/>
  <c r="E91" i="25" s="1"/>
  <c r="F91" i="25" s="1"/>
  <c r="U93" i="25"/>
  <c r="T93" i="25" s="1"/>
  <c r="S93" i="25" s="1"/>
  <c r="R93" i="25" s="1"/>
  <c r="P93" i="25" s="1"/>
  <c r="V93" i="25" s="1"/>
  <c r="B93" i="25" s="1"/>
  <c r="D93" i="25" s="1"/>
  <c r="E93" i="25" s="1"/>
  <c r="F93" i="25" s="1"/>
  <c r="U95" i="25"/>
  <c r="T95" i="25" s="1"/>
  <c r="S95" i="25" s="1"/>
  <c r="R95" i="25" s="1"/>
  <c r="P95" i="25" s="1"/>
  <c r="V95" i="25" s="1"/>
  <c r="B95" i="25" s="1"/>
  <c r="U97" i="25"/>
  <c r="T97" i="25" s="1"/>
  <c r="S97" i="25" s="1"/>
  <c r="R97" i="25" s="1"/>
  <c r="P97" i="25" s="1"/>
  <c r="V97" i="25" s="1"/>
  <c r="B97" i="25" s="1"/>
  <c r="D97" i="25" s="1"/>
  <c r="E97" i="25" s="1"/>
  <c r="F97" i="25" s="1"/>
  <c r="U99" i="25"/>
  <c r="T99" i="25" s="1"/>
  <c r="S99" i="25" s="1"/>
  <c r="R99" i="25" s="1"/>
  <c r="P99" i="25" s="1"/>
  <c r="V99" i="25" s="1"/>
  <c r="B99" i="25" s="1"/>
  <c r="D99" i="25" s="1"/>
  <c r="E99" i="25" s="1"/>
  <c r="F99" i="25" s="1"/>
  <c r="U101" i="25"/>
  <c r="T101" i="25" s="1"/>
  <c r="S101" i="25" s="1"/>
  <c r="R101" i="25" s="1"/>
  <c r="P101" i="25" s="1"/>
  <c r="V101" i="25" s="1"/>
  <c r="B101" i="25" s="1"/>
  <c r="W101" i="25" s="1"/>
  <c r="U103" i="25"/>
  <c r="T103" i="25" s="1"/>
  <c r="S103" i="25" s="1"/>
  <c r="R103" i="25" s="1"/>
  <c r="P103" i="25" s="1"/>
  <c r="V103" i="25" s="1"/>
  <c r="B103" i="25" s="1"/>
  <c r="D103" i="25" s="1"/>
  <c r="E103" i="25" s="1"/>
  <c r="F103" i="25" s="1"/>
  <c r="U105" i="25"/>
  <c r="T105" i="25" s="1"/>
  <c r="S105" i="25" s="1"/>
  <c r="R105" i="25" s="1"/>
  <c r="P105" i="25" s="1"/>
  <c r="V105" i="25" s="1"/>
  <c r="B105" i="25" s="1"/>
  <c r="U107" i="25"/>
  <c r="T107" i="25" s="1"/>
  <c r="S107" i="25" s="1"/>
  <c r="R107" i="25" s="1"/>
  <c r="P107" i="25" s="1"/>
  <c r="V107" i="25" s="1"/>
  <c r="B107" i="25" s="1"/>
  <c r="D107" i="25" s="1"/>
  <c r="E107" i="25" s="1"/>
  <c r="F107" i="25" s="1"/>
  <c r="U109" i="25"/>
  <c r="T109" i="25" s="1"/>
  <c r="S109" i="25" s="1"/>
  <c r="R109" i="25" s="1"/>
  <c r="P109" i="25" s="1"/>
  <c r="V109" i="25" s="1"/>
  <c r="B109" i="25" s="1"/>
  <c r="D109" i="25" s="1"/>
  <c r="E109" i="25" s="1"/>
  <c r="F109" i="25" s="1"/>
  <c r="U111" i="25"/>
  <c r="T111" i="25" s="1"/>
  <c r="S111" i="25" s="1"/>
  <c r="R111" i="25" s="1"/>
  <c r="P111" i="25" s="1"/>
  <c r="V111" i="25" s="1"/>
  <c r="B111" i="25" s="1"/>
  <c r="U113" i="25"/>
  <c r="T113" i="25" s="1"/>
  <c r="S113" i="25" s="1"/>
  <c r="R113" i="25" s="1"/>
  <c r="P113" i="25" s="1"/>
  <c r="V113" i="25" s="1"/>
  <c r="B113" i="25" s="1"/>
  <c r="W113" i="25" s="1"/>
  <c r="U115" i="25"/>
  <c r="T115" i="25" s="1"/>
  <c r="S115" i="25" s="1"/>
  <c r="R115" i="25" s="1"/>
  <c r="P115" i="25" s="1"/>
  <c r="V115" i="25" s="1"/>
  <c r="B115" i="25" s="1"/>
  <c r="D115" i="25" s="1"/>
  <c r="E115" i="25" s="1"/>
  <c r="F115" i="25" s="1"/>
  <c r="U117" i="25"/>
  <c r="T117" i="25" s="1"/>
  <c r="S117" i="25" s="1"/>
  <c r="R117" i="25" s="1"/>
  <c r="P117" i="25" s="1"/>
  <c r="V117" i="25" s="1"/>
  <c r="B117" i="25" s="1"/>
  <c r="D117" i="25" s="1"/>
  <c r="E117" i="25" s="1"/>
  <c r="F117" i="25" s="1"/>
  <c r="U119" i="25"/>
  <c r="T119" i="25" s="1"/>
  <c r="S119" i="25" s="1"/>
  <c r="R119" i="25" s="1"/>
  <c r="P119" i="25" s="1"/>
  <c r="U121" i="25"/>
  <c r="T121" i="25" s="1"/>
  <c r="S121" i="25" s="1"/>
  <c r="R121" i="25" s="1"/>
  <c r="P121" i="25" s="1"/>
  <c r="V121" i="25" s="1"/>
  <c r="B121" i="25" s="1"/>
  <c r="W121" i="25" s="1"/>
  <c r="U123" i="25"/>
  <c r="T123" i="25" s="1"/>
  <c r="S123" i="25" s="1"/>
  <c r="R123" i="25" s="1"/>
  <c r="P123" i="25" s="1"/>
  <c r="V123" i="25" s="1"/>
  <c r="B123" i="25" s="1"/>
  <c r="W123" i="25" s="1"/>
  <c r="U125" i="25"/>
  <c r="T125" i="25" s="1"/>
  <c r="S125" i="25" s="1"/>
  <c r="R125" i="25" s="1"/>
  <c r="P125" i="25" s="1"/>
  <c r="V125" i="25" s="1"/>
  <c r="B125" i="25" s="1"/>
  <c r="W125" i="25" s="1"/>
  <c r="U127" i="25"/>
  <c r="T127" i="25" s="1"/>
  <c r="S127" i="25" s="1"/>
  <c r="R127" i="25" s="1"/>
  <c r="P127" i="25" s="1"/>
  <c r="V127" i="25" s="1"/>
  <c r="B127" i="25" s="1"/>
  <c r="D127" i="25" s="1"/>
  <c r="E127" i="25" s="1"/>
  <c r="F127" i="25" s="1"/>
  <c r="U129" i="25"/>
  <c r="T129" i="25" s="1"/>
  <c r="S129" i="25" s="1"/>
  <c r="R129" i="25" s="1"/>
  <c r="P129" i="25" s="1"/>
  <c r="V129" i="25" s="1"/>
  <c r="B129" i="25" s="1"/>
  <c r="W129" i="25" s="1"/>
  <c r="U131" i="25"/>
  <c r="T131" i="25" s="1"/>
  <c r="S131" i="25" s="1"/>
  <c r="R131" i="25" s="1"/>
  <c r="P131" i="25" s="1"/>
  <c r="V131" i="25" s="1"/>
  <c r="B131" i="25" s="1"/>
  <c r="W131" i="25" s="1"/>
  <c r="U133" i="25"/>
  <c r="T133" i="25" s="1"/>
  <c r="S133" i="25" s="1"/>
  <c r="R133" i="25" s="1"/>
  <c r="P133" i="25" s="1"/>
  <c r="V133" i="25" s="1"/>
  <c r="B133" i="25" s="1"/>
  <c r="D133" i="25" s="1"/>
  <c r="E133" i="25" s="1"/>
  <c r="F133" i="25" s="1"/>
  <c r="U135" i="25"/>
  <c r="T135" i="25" s="1"/>
  <c r="S135" i="25" s="1"/>
  <c r="R135" i="25" s="1"/>
  <c r="P135" i="25" s="1"/>
  <c r="V135" i="25" s="1"/>
  <c r="B135" i="25" s="1"/>
  <c r="U137" i="25"/>
  <c r="T137" i="25" s="1"/>
  <c r="S137" i="25" s="1"/>
  <c r="R137" i="25" s="1"/>
  <c r="P137" i="25" s="1"/>
  <c r="V137" i="25" s="1"/>
  <c r="B137" i="25" s="1"/>
  <c r="W137" i="25" s="1"/>
  <c r="U139" i="25"/>
  <c r="T139" i="25" s="1"/>
  <c r="S139" i="25" s="1"/>
  <c r="R139" i="25" s="1"/>
  <c r="P139" i="25" s="1"/>
  <c r="V139" i="25" s="1"/>
  <c r="B139" i="25" s="1"/>
  <c r="D139" i="25" s="1"/>
  <c r="E139" i="25" s="1"/>
  <c r="F139" i="25" s="1"/>
  <c r="U141" i="25"/>
  <c r="T141" i="25" s="1"/>
  <c r="S141" i="25" s="1"/>
  <c r="R141" i="25" s="1"/>
  <c r="P141" i="25" s="1"/>
  <c r="V141" i="25" s="1"/>
  <c r="B141" i="25" s="1"/>
  <c r="D141" i="25" s="1"/>
  <c r="E141" i="25" s="1"/>
  <c r="F141" i="25" s="1"/>
  <c r="U143" i="25"/>
  <c r="T143" i="25" s="1"/>
  <c r="S143" i="25" s="1"/>
  <c r="R143" i="25" s="1"/>
  <c r="P143" i="25" s="1"/>
  <c r="V143" i="25" s="1"/>
  <c r="B143" i="25" s="1"/>
  <c r="D143" i="25" s="1"/>
  <c r="E143" i="25" s="1"/>
  <c r="F143" i="25" s="1"/>
  <c r="U145" i="25"/>
  <c r="T145" i="25" s="1"/>
  <c r="S145" i="25" s="1"/>
  <c r="R145" i="25" s="1"/>
  <c r="P145" i="25" s="1"/>
  <c r="V145" i="25" s="1"/>
  <c r="B145" i="25" s="1"/>
  <c r="D145" i="25" s="1"/>
  <c r="E145" i="25" s="1"/>
  <c r="F145" i="25" s="1"/>
  <c r="U147" i="25"/>
  <c r="T147" i="25" s="1"/>
  <c r="S147" i="25" s="1"/>
  <c r="R147" i="25" s="1"/>
  <c r="P147" i="25" s="1"/>
  <c r="V147" i="25" s="1"/>
  <c r="B147" i="25" s="1"/>
  <c r="W147" i="25" s="1"/>
  <c r="U149" i="25"/>
  <c r="T149" i="25" s="1"/>
  <c r="S149" i="25" s="1"/>
  <c r="R149" i="25" s="1"/>
  <c r="P149" i="25" s="1"/>
  <c r="V149" i="25" s="1"/>
  <c r="B149" i="25" s="1"/>
  <c r="U151" i="25"/>
  <c r="T151" i="25" s="1"/>
  <c r="S151" i="25" s="1"/>
  <c r="R151" i="25" s="1"/>
  <c r="P151" i="25" s="1"/>
  <c r="V151" i="25" s="1"/>
  <c r="B151" i="25" s="1"/>
  <c r="D151" i="25" s="1"/>
  <c r="E151" i="25" s="1"/>
  <c r="F151" i="25" s="1"/>
  <c r="U153" i="25"/>
  <c r="T153" i="25" s="1"/>
  <c r="S153" i="25" s="1"/>
  <c r="R153" i="25" s="1"/>
  <c r="P153" i="25" s="1"/>
  <c r="V153" i="25" s="1"/>
  <c r="B153" i="25" s="1"/>
  <c r="D153" i="25" s="1"/>
  <c r="E153" i="25" s="1"/>
  <c r="F153" i="25" s="1"/>
  <c r="U155" i="25"/>
  <c r="T155" i="25" s="1"/>
  <c r="S155" i="25" s="1"/>
  <c r="R155" i="25" s="1"/>
  <c r="P155" i="25" s="1"/>
  <c r="V155" i="25" s="1"/>
  <c r="B155" i="25" s="1"/>
  <c r="D155" i="25" s="1"/>
  <c r="E155" i="25" s="1"/>
  <c r="F155" i="25" s="1"/>
  <c r="U157" i="25"/>
  <c r="T157" i="25" s="1"/>
  <c r="S157" i="25" s="1"/>
  <c r="R157" i="25" s="1"/>
  <c r="P157" i="25" s="1"/>
  <c r="V157" i="25" s="1"/>
  <c r="B157" i="25" s="1"/>
  <c r="D157" i="25" s="1"/>
  <c r="E157" i="25" s="1"/>
  <c r="F157" i="25" s="1"/>
  <c r="U159" i="25"/>
  <c r="T159" i="25" s="1"/>
  <c r="S159" i="25" s="1"/>
  <c r="R159" i="25" s="1"/>
  <c r="P159" i="25" s="1"/>
  <c r="V159" i="25" s="1"/>
  <c r="B159" i="25" s="1"/>
  <c r="D159" i="25" s="1"/>
  <c r="E159" i="25" s="1"/>
  <c r="F159" i="25" s="1"/>
  <c r="U161" i="25"/>
  <c r="T161" i="25" s="1"/>
  <c r="U163" i="25"/>
  <c r="T163" i="25" s="1"/>
  <c r="S163" i="25" s="1"/>
  <c r="R163" i="25" s="1"/>
  <c r="P163" i="25" s="1"/>
  <c r="V163" i="25" s="1"/>
  <c r="B163" i="25" s="1"/>
  <c r="W163" i="25" s="1"/>
  <c r="AI107" i="25"/>
  <c r="AH107" i="25" s="1"/>
  <c r="AG107" i="25" s="1"/>
  <c r="AF107" i="25" s="1"/>
  <c r="AD107" i="25" s="1"/>
  <c r="AI115" i="25"/>
  <c r="AH115" i="25" s="1"/>
  <c r="AG115" i="25" s="1"/>
  <c r="AF115" i="25" s="1"/>
  <c r="AD115" i="25" s="1"/>
  <c r="AI123" i="25"/>
  <c r="AH123" i="25" s="1"/>
  <c r="AG123" i="25" s="1"/>
  <c r="AF123" i="25" s="1"/>
  <c r="AD123" i="25" s="1"/>
  <c r="AI131" i="25"/>
  <c r="AH131" i="25" s="1"/>
  <c r="AG131" i="25" s="1"/>
  <c r="AF131" i="25" s="1"/>
  <c r="AD131" i="25" s="1"/>
  <c r="AI139" i="25"/>
  <c r="AH139" i="25" s="1"/>
  <c r="AG139" i="25" s="1"/>
  <c r="AF139" i="25" s="1"/>
  <c r="AD139" i="25" s="1"/>
  <c r="AI147" i="25"/>
  <c r="AH147" i="25" s="1"/>
  <c r="AG147" i="25" s="1"/>
  <c r="AF147" i="25" s="1"/>
  <c r="AD147" i="25" s="1"/>
  <c r="AI155" i="25"/>
  <c r="AH155" i="25" s="1"/>
  <c r="AG155" i="25" s="1"/>
  <c r="AF155" i="25" s="1"/>
  <c r="AD155" i="25" s="1"/>
  <c r="AI163" i="25"/>
  <c r="AH163" i="25" s="1"/>
  <c r="AG163" i="25" s="1"/>
  <c r="AF163" i="25" s="1"/>
  <c r="AD163" i="25" s="1"/>
  <c r="AI171" i="25"/>
  <c r="AH171" i="25" s="1"/>
  <c r="AG171" i="25" s="1"/>
  <c r="AF171" i="25" s="1"/>
  <c r="AD171" i="25" s="1"/>
  <c r="AI179" i="25"/>
  <c r="AH179" i="25" s="1"/>
  <c r="AG179" i="25" s="1"/>
  <c r="AF179" i="25" s="1"/>
  <c r="AD179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374" i="25"/>
  <c r="AH374" i="25" s="1"/>
  <c r="AG374" i="25" s="1"/>
  <c r="AF374" i="25" s="1"/>
  <c r="AD374" i="25" s="1"/>
  <c r="AI378" i="25"/>
  <c r="AH378" i="25" s="1"/>
  <c r="AG378" i="25" s="1"/>
  <c r="AF378" i="25" s="1"/>
  <c r="AD378" i="25" s="1"/>
  <c r="AI111" i="25"/>
  <c r="AH111" i="25" s="1"/>
  <c r="AG111" i="25" s="1"/>
  <c r="AF111" i="25" s="1"/>
  <c r="AD111" i="25" s="1"/>
  <c r="AI119" i="25"/>
  <c r="AH119" i="25" s="1"/>
  <c r="AG119" i="25" s="1"/>
  <c r="AF119" i="25" s="1"/>
  <c r="AD119" i="25" s="1"/>
  <c r="AI127" i="25"/>
  <c r="AH127" i="25" s="1"/>
  <c r="AG127" i="25" s="1"/>
  <c r="AF127" i="25" s="1"/>
  <c r="AD127" i="25" s="1"/>
  <c r="AI135" i="25"/>
  <c r="AH135" i="25" s="1"/>
  <c r="AG135" i="25" s="1"/>
  <c r="AF135" i="25" s="1"/>
  <c r="AD135" i="25" s="1"/>
  <c r="AI143" i="25"/>
  <c r="AH143" i="25" s="1"/>
  <c r="AG143" i="25" s="1"/>
  <c r="AF143" i="25" s="1"/>
  <c r="AD143" i="25" s="1"/>
  <c r="AI151" i="25"/>
  <c r="AH151" i="25" s="1"/>
  <c r="AG151" i="25" s="1"/>
  <c r="AF151" i="25" s="1"/>
  <c r="AD151" i="25" s="1"/>
  <c r="AI159" i="25"/>
  <c r="AH159" i="25" s="1"/>
  <c r="AG159" i="25" s="1"/>
  <c r="AF159" i="25" s="1"/>
  <c r="AD159" i="25" s="1"/>
  <c r="AI167" i="25"/>
  <c r="AH167" i="25" s="1"/>
  <c r="AG167" i="25" s="1"/>
  <c r="AF167" i="25" s="1"/>
  <c r="AD167" i="25" s="1"/>
  <c r="AI175" i="25"/>
  <c r="AH175" i="25" s="1"/>
  <c r="AG175" i="25" s="1"/>
  <c r="AF175" i="25" s="1"/>
  <c r="AD175" i="25" s="1"/>
  <c r="AI183" i="25"/>
  <c r="AH183" i="25" s="1"/>
  <c r="AG183" i="25" s="1"/>
  <c r="AF183" i="25" s="1"/>
  <c r="AD183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376" i="25"/>
  <c r="AH376" i="25" s="1"/>
  <c r="AG376" i="25" s="1"/>
  <c r="AF376" i="25" s="1"/>
  <c r="AD376" i="25" s="1"/>
  <c r="BG16" i="7"/>
  <c r="AI18" i="25"/>
  <c r="AH18" i="25" s="1"/>
  <c r="AG18" i="25" s="1"/>
  <c r="AF18" i="25" s="1"/>
  <c r="AD18" i="25" s="1"/>
  <c r="AI21" i="25"/>
  <c r="AH21" i="25" s="1"/>
  <c r="AG21" i="25" s="1"/>
  <c r="AF21" i="25" s="1"/>
  <c r="AD21" i="25" s="1"/>
  <c r="AI25" i="25"/>
  <c r="AH25" i="25" s="1"/>
  <c r="AG25" i="25" s="1"/>
  <c r="AF25" i="25" s="1"/>
  <c r="AD25" i="25" s="1"/>
  <c r="AI15" i="25"/>
  <c r="AI26" i="25"/>
  <c r="AH26" i="25" s="1"/>
  <c r="AG26" i="25" s="1"/>
  <c r="AF26" i="25" s="1"/>
  <c r="AD26" i="25" s="1"/>
  <c r="AI19" i="25"/>
  <c r="AH19" i="25" s="1"/>
  <c r="AG19" i="25" s="1"/>
  <c r="AF19" i="25" s="1"/>
  <c r="AD19" i="25" s="1"/>
  <c r="AI28" i="25"/>
  <c r="AH28" i="25" s="1"/>
  <c r="AG28" i="25" s="1"/>
  <c r="AF28" i="25" s="1"/>
  <c r="AD28" i="25" s="1"/>
  <c r="AI30" i="25"/>
  <c r="AH30" i="25" s="1"/>
  <c r="AG30" i="25" s="1"/>
  <c r="AF30" i="25" s="1"/>
  <c r="AD30" i="25" s="1"/>
  <c r="AI32" i="25"/>
  <c r="AH32" i="25" s="1"/>
  <c r="AG32" i="25" s="1"/>
  <c r="AF32" i="25" s="1"/>
  <c r="AD32" i="25" s="1"/>
  <c r="AI34" i="25"/>
  <c r="AH34" i="25" s="1"/>
  <c r="AG34" i="25" s="1"/>
  <c r="AF34" i="25" s="1"/>
  <c r="AD34" i="25" s="1"/>
  <c r="AI36" i="25"/>
  <c r="AH36" i="25" s="1"/>
  <c r="AG36" i="25" s="1"/>
  <c r="AF36" i="25" s="1"/>
  <c r="AD36" i="25" s="1"/>
  <c r="AI38" i="25"/>
  <c r="AH38" i="25" s="1"/>
  <c r="AG38" i="25" s="1"/>
  <c r="AF38" i="25" s="1"/>
  <c r="AD38" i="25" s="1"/>
  <c r="AI40" i="25"/>
  <c r="AH40" i="25" s="1"/>
  <c r="AG40" i="25" s="1"/>
  <c r="AF40" i="25" s="1"/>
  <c r="AD40" i="25" s="1"/>
  <c r="AI42" i="25"/>
  <c r="AH42" i="25" s="1"/>
  <c r="AG42" i="25" s="1"/>
  <c r="AF42" i="25" s="1"/>
  <c r="AD42" i="25" s="1"/>
  <c r="AI44" i="25"/>
  <c r="AH44" i="25" s="1"/>
  <c r="AG44" i="25" s="1"/>
  <c r="AF44" i="25" s="1"/>
  <c r="AD44" i="25" s="1"/>
  <c r="AI46" i="25"/>
  <c r="AH46" i="25" s="1"/>
  <c r="AG46" i="25" s="1"/>
  <c r="AF46" i="25" s="1"/>
  <c r="AD46" i="25" s="1"/>
  <c r="AI48" i="25"/>
  <c r="AH48" i="25" s="1"/>
  <c r="AG48" i="25" s="1"/>
  <c r="AF48" i="25" s="1"/>
  <c r="AD48" i="25" s="1"/>
  <c r="AI50" i="25"/>
  <c r="AH50" i="25" s="1"/>
  <c r="AG50" i="25" s="1"/>
  <c r="AF50" i="25" s="1"/>
  <c r="AD50" i="25" s="1"/>
  <c r="AI52" i="25"/>
  <c r="AH52" i="25" s="1"/>
  <c r="AG52" i="25" s="1"/>
  <c r="AF52" i="25" s="1"/>
  <c r="AD52" i="25" s="1"/>
  <c r="AI54" i="25"/>
  <c r="AH54" i="25" s="1"/>
  <c r="AG54" i="25" s="1"/>
  <c r="AF54" i="25" s="1"/>
  <c r="AD54" i="25" s="1"/>
  <c r="AI56" i="25"/>
  <c r="AH56" i="25" s="1"/>
  <c r="AG56" i="25" s="1"/>
  <c r="AF56" i="25" s="1"/>
  <c r="AD56" i="25" s="1"/>
  <c r="AI58" i="25"/>
  <c r="AH58" i="25" s="1"/>
  <c r="AG58" i="25" s="1"/>
  <c r="AF58" i="25" s="1"/>
  <c r="AD58" i="25" s="1"/>
  <c r="AI60" i="25"/>
  <c r="AH60" i="25" s="1"/>
  <c r="AG60" i="25" s="1"/>
  <c r="AF60" i="25" s="1"/>
  <c r="AD60" i="25" s="1"/>
  <c r="AI62" i="25"/>
  <c r="AH62" i="25" s="1"/>
  <c r="AG62" i="25" s="1"/>
  <c r="AF62" i="25" s="1"/>
  <c r="AD62" i="25" s="1"/>
  <c r="AI64" i="25"/>
  <c r="AH64" i="25" s="1"/>
  <c r="AG64" i="25" s="1"/>
  <c r="AF64" i="25" s="1"/>
  <c r="AD64" i="25" s="1"/>
  <c r="AI66" i="25"/>
  <c r="AH66" i="25" s="1"/>
  <c r="AG66" i="25" s="1"/>
  <c r="AF66" i="25" s="1"/>
  <c r="AD66" i="25" s="1"/>
  <c r="AI68" i="25"/>
  <c r="AH68" i="25" s="1"/>
  <c r="AG68" i="25" s="1"/>
  <c r="AF68" i="25" s="1"/>
  <c r="AD68" i="25" s="1"/>
  <c r="AI70" i="25"/>
  <c r="AH70" i="25" s="1"/>
  <c r="AG70" i="25" s="1"/>
  <c r="AF70" i="25" s="1"/>
  <c r="AD70" i="25" s="1"/>
  <c r="AI72" i="25"/>
  <c r="AH72" i="25" s="1"/>
  <c r="AG72" i="25" s="1"/>
  <c r="AF72" i="25" s="1"/>
  <c r="AD72" i="25" s="1"/>
  <c r="AI74" i="25"/>
  <c r="AH74" i="25" s="1"/>
  <c r="AG74" i="25" s="1"/>
  <c r="AF74" i="25" s="1"/>
  <c r="AD74" i="25" s="1"/>
  <c r="AI76" i="25"/>
  <c r="AH76" i="25" s="1"/>
  <c r="AG76" i="25" s="1"/>
  <c r="AF76" i="25" s="1"/>
  <c r="AD76" i="25" s="1"/>
  <c r="AI78" i="25"/>
  <c r="AH78" i="25" s="1"/>
  <c r="AG78" i="25" s="1"/>
  <c r="AF78" i="25" s="1"/>
  <c r="AD78" i="25" s="1"/>
  <c r="AI80" i="25"/>
  <c r="AH80" i="25" s="1"/>
  <c r="AG80" i="25" s="1"/>
  <c r="AF80" i="25" s="1"/>
  <c r="AD80" i="25" s="1"/>
  <c r="AI82" i="25"/>
  <c r="AH82" i="25" s="1"/>
  <c r="AG82" i="25" s="1"/>
  <c r="AF82" i="25" s="1"/>
  <c r="AD82" i="25" s="1"/>
  <c r="AI84" i="25"/>
  <c r="AH84" i="25" s="1"/>
  <c r="AG84" i="25" s="1"/>
  <c r="AF84" i="25" s="1"/>
  <c r="AD84" i="25" s="1"/>
  <c r="AI86" i="25"/>
  <c r="AH86" i="25" s="1"/>
  <c r="AG86" i="25" s="1"/>
  <c r="AF86" i="25" s="1"/>
  <c r="AD86" i="25" s="1"/>
  <c r="AI88" i="25"/>
  <c r="AH88" i="25" s="1"/>
  <c r="AG88" i="25" s="1"/>
  <c r="AF88" i="25" s="1"/>
  <c r="AD88" i="25" s="1"/>
  <c r="AI90" i="25"/>
  <c r="AH90" i="25" s="1"/>
  <c r="AG90" i="25" s="1"/>
  <c r="AF90" i="25" s="1"/>
  <c r="AD90" i="25" s="1"/>
  <c r="AI92" i="25"/>
  <c r="AH92" i="25" s="1"/>
  <c r="AG92" i="25" s="1"/>
  <c r="AF92" i="25" s="1"/>
  <c r="AD92" i="25" s="1"/>
  <c r="AI94" i="25"/>
  <c r="AH94" i="25" s="1"/>
  <c r="AG94" i="25" s="1"/>
  <c r="AF94" i="25" s="1"/>
  <c r="AD94" i="25" s="1"/>
  <c r="AI96" i="25"/>
  <c r="AH96" i="25" s="1"/>
  <c r="AG96" i="25" s="1"/>
  <c r="AF96" i="25" s="1"/>
  <c r="AD96" i="25" s="1"/>
  <c r="AI98" i="25"/>
  <c r="AH98" i="25" s="1"/>
  <c r="AG98" i="25" s="1"/>
  <c r="AF98" i="25" s="1"/>
  <c r="AD98" i="25" s="1"/>
  <c r="AI100" i="25"/>
  <c r="AH100" i="25" s="1"/>
  <c r="AG100" i="25" s="1"/>
  <c r="AF100" i="25" s="1"/>
  <c r="AD100" i="25" s="1"/>
  <c r="AI102" i="25"/>
  <c r="AH102" i="25" s="1"/>
  <c r="AG102" i="25" s="1"/>
  <c r="AF102" i="25" s="1"/>
  <c r="AD102" i="25" s="1"/>
  <c r="AI104" i="25"/>
  <c r="AH104" i="25" s="1"/>
  <c r="AG104" i="25" s="1"/>
  <c r="AF104" i="25" s="1"/>
  <c r="AD104" i="25" s="1"/>
  <c r="AI106" i="25"/>
  <c r="AH106" i="25" s="1"/>
  <c r="AG106" i="25" s="1"/>
  <c r="AF106" i="25" s="1"/>
  <c r="AD106" i="25" s="1"/>
  <c r="AI108" i="25"/>
  <c r="AH108" i="25" s="1"/>
  <c r="AG108" i="25" s="1"/>
  <c r="AF108" i="25" s="1"/>
  <c r="AD108" i="25" s="1"/>
  <c r="AI110" i="25"/>
  <c r="AH110" i="25" s="1"/>
  <c r="AG110" i="25" s="1"/>
  <c r="AF110" i="25" s="1"/>
  <c r="AD110" i="25" s="1"/>
  <c r="AI112" i="25"/>
  <c r="AH112" i="25" s="1"/>
  <c r="AG112" i="25" s="1"/>
  <c r="AF112" i="25" s="1"/>
  <c r="AD112" i="25" s="1"/>
  <c r="AI114" i="25"/>
  <c r="AH114" i="25" s="1"/>
  <c r="AG114" i="25" s="1"/>
  <c r="AF114" i="25" s="1"/>
  <c r="AD114" i="25" s="1"/>
  <c r="AI116" i="25"/>
  <c r="AH116" i="25" s="1"/>
  <c r="AG116" i="25" s="1"/>
  <c r="AF116" i="25" s="1"/>
  <c r="AD116" i="25" s="1"/>
  <c r="AI118" i="25"/>
  <c r="AH118" i="25" s="1"/>
  <c r="AG118" i="25" s="1"/>
  <c r="AF118" i="25" s="1"/>
  <c r="AD118" i="25" s="1"/>
  <c r="AI120" i="25"/>
  <c r="AH120" i="25" s="1"/>
  <c r="AG120" i="25" s="1"/>
  <c r="AF120" i="25" s="1"/>
  <c r="AD120" i="25" s="1"/>
  <c r="AI122" i="25"/>
  <c r="AH122" i="25" s="1"/>
  <c r="AG122" i="25" s="1"/>
  <c r="AF122" i="25" s="1"/>
  <c r="AD122" i="25" s="1"/>
  <c r="AI124" i="25"/>
  <c r="AH124" i="25" s="1"/>
  <c r="AG124" i="25" s="1"/>
  <c r="AF124" i="25" s="1"/>
  <c r="AD124" i="25" s="1"/>
  <c r="AI126" i="25"/>
  <c r="AH126" i="25" s="1"/>
  <c r="AG126" i="25" s="1"/>
  <c r="AF126" i="25" s="1"/>
  <c r="AD126" i="25" s="1"/>
  <c r="AI128" i="25"/>
  <c r="AH128" i="25" s="1"/>
  <c r="AG128" i="25" s="1"/>
  <c r="AF128" i="25" s="1"/>
  <c r="AD128" i="25" s="1"/>
  <c r="AI130" i="25"/>
  <c r="AH130" i="25" s="1"/>
  <c r="AG130" i="25" s="1"/>
  <c r="AF130" i="25" s="1"/>
  <c r="AD130" i="25" s="1"/>
  <c r="AI132" i="25"/>
  <c r="AH132" i="25" s="1"/>
  <c r="AG132" i="25" s="1"/>
  <c r="AF132" i="25" s="1"/>
  <c r="AD132" i="25" s="1"/>
  <c r="AI134" i="25"/>
  <c r="AH134" i="25" s="1"/>
  <c r="AG134" i="25" s="1"/>
  <c r="AF134" i="25" s="1"/>
  <c r="AD134" i="25" s="1"/>
  <c r="AI136" i="25"/>
  <c r="AH136" i="25" s="1"/>
  <c r="AG136" i="25" s="1"/>
  <c r="AF136" i="25" s="1"/>
  <c r="AD136" i="25" s="1"/>
  <c r="AI138" i="25"/>
  <c r="AH138" i="25" s="1"/>
  <c r="AG138" i="25" s="1"/>
  <c r="AF138" i="25" s="1"/>
  <c r="AD138" i="25" s="1"/>
  <c r="AI140" i="25"/>
  <c r="AH140" i="25" s="1"/>
  <c r="AG140" i="25" s="1"/>
  <c r="AF140" i="25" s="1"/>
  <c r="AD140" i="25" s="1"/>
  <c r="AI142" i="25"/>
  <c r="AH142" i="25" s="1"/>
  <c r="AG142" i="25" s="1"/>
  <c r="AF142" i="25" s="1"/>
  <c r="AD142" i="25" s="1"/>
  <c r="AI144" i="25"/>
  <c r="AH144" i="25" s="1"/>
  <c r="AG144" i="25" s="1"/>
  <c r="AF144" i="25" s="1"/>
  <c r="AD144" i="25" s="1"/>
  <c r="AI146" i="25"/>
  <c r="AH146" i="25" s="1"/>
  <c r="AG146" i="25" s="1"/>
  <c r="AF146" i="25" s="1"/>
  <c r="AD146" i="25" s="1"/>
  <c r="AI148" i="25"/>
  <c r="AH148" i="25" s="1"/>
  <c r="AG148" i="25" s="1"/>
  <c r="AF148" i="25" s="1"/>
  <c r="AD148" i="25" s="1"/>
  <c r="AI150" i="25"/>
  <c r="AH150" i="25" s="1"/>
  <c r="AG150" i="25" s="1"/>
  <c r="AF150" i="25" s="1"/>
  <c r="AD150" i="25" s="1"/>
  <c r="AI152" i="25"/>
  <c r="AH152" i="25" s="1"/>
  <c r="AG152" i="25" s="1"/>
  <c r="AF152" i="25" s="1"/>
  <c r="AD152" i="25" s="1"/>
  <c r="AI154" i="25"/>
  <c r="AH154" i="25" s="1"/>
  <c r="AG154" i="25" s="1"/>
  <c r="AF154" i="25" s="1"/>
  <c r="AD154" i="25" s="1"/>
  <c r="AI156" i="25"/>
  <c r="AH156" i="25" s="1"/>
  <c r="AG156" i="25" s="1"/>
  <c r="AF156" i="25" s="1"/>
  <c r="AD156" i="25" s="1"/>
  <c r="AI158" i="25"/>
  <c r="AH158" i="25" s="1"/>
  <c r="AG158" i="25" s="1"/>
  <c r="AF158" i="25" s="1"/>
  <c r="AD158" i="25" s="1"/>
  <c r="AI160" i="25"/>
  <c r="AH160" i="25" s="1"/>
  <c r="AG160" i="25" s="1"/>
  <c r="AF160" i="25" s="1"/>
  <c r="AD160" i="25" s="1"/>
  <c r="AI162" i="25"/>
  <c r="AH162" i="25" s="1"/>
  <c r="AG162" i="25" s="1"/>
  <c r="AF162" i="25" s="1"/>
  <c r="AD162" i="25" s="1"/>
  <c r="AI164" i="25"/>
  <c r="AH164" i="25" s="1"/>
  <c r="AG164" i="25" s="1"/>
  <c r="AF164" i="25" s="1"/>
  <c r="AD164" i="25" s="1"/>
  <c r="AI166" i="25"/>
  <c r="AH166" i="25" s="1"/>
  <c r="AG166" i="25" s="1"/>
  <c r="AF166" i="25" s="1"/>
  <c r="AD166" i="25" s="1"/>
  <c r="AI168" i="25"/>
  <c r="AH168" i="25" s="1"/>
  <c r="AG168" i="25" s="1"/>
  <c r="AF168" i="25" s="1"/>
  <c r="AD168" i="25" s="1"/>
  <c r="AI170" i="25"/>
  <c r="AH170" i="25" s="1"/>
  <c r="AG170" i="25" s="1"/>
  <c r="AF170" i="25" s="1"/>
  <c r="AD170" i="25" s="1"/>
  <c r="AI172" i="25"/>
  <c r="AH172" i="25" s="1"/>
  <c r="AG172" i="25" s="1"/>
  <c r="AF172" i="25" s="1"/>
  <c r="AD172" i="25" s="1"/>
  <c r="AI174" i="25"/>
  <c r="AH174" i="25" s="1"/>
  <c r="AG174" i="25" s="1"/>
  <c r="AF174" i="25" s="1"/>
  <c r="AD174" i="25" s="1"/>
  <c r="AI176" i="25"/>
  <c r="AH176" i="25" s="1"/>
  <c r="AG176" i="25" s="1"/>
  <c r="AF176" i="25" s="1"/>
  <c r="AD176" i="25" s="1"/>
  <c r="AI178" i="25"/>
  <c r="AH178" i="25" s="1"/>
  <c r="AG178" i="25" s="1"/>
  <c r="AF178" i="25" s="1"/>
  <c r="AD178" i="25" s="1"/>
  <c r="AI180" i="25"/>
  <c r="AH180" i="25" s="1"/>
  <c r="AG180" i="25" s="1"/>
  <c r="AF180" i="25" s="1"/>
  <c r="AD180" i="25" s="1"/>
  <c r="AI182" i="25"/>
  <c r="AH182" i="25" s="1"/>
  <c r="AG182" i="25" s="1"/>
  <c r="AF182" i="25" s="1"/>
  <c r="AD182" i="25" s="1"/>
  <c r="AI184" i="25"/>
  <c r="AH184" i="25" s="1"/>
  <c r="AG184" i="25" s="1"/>
  <c r="AF184" i="25" s="1"/>
  <c r="AD184" i="25" s="1"/>
  <c r="AI379" i="25"/>
  <c r="AH379" i="25" s="1"/>
  <c r="AG379" i="25" s="1"/>
  <c r="AF379" i="25" s="1"/>
  <c r="AD379" i="25" s="1"/>
  <c r="AI377" i="25"/>
  <c r="AH377" i="25" s="1"/>
  <c r="AG377" i="25" s="1"/>
  <c r="AF377" i="25" s="1"/>
  <c r="AD377" i="25" s="1"/>
  <c r="AI375" i="25"/>
  <c r="AH375" i="25" s="1"/>
  <c r="AG375" i="25" s="1"/>
  <c r="AF375" i="25" s="1"/>
  <c r="AD375" i="25" s="1"/>
  <c r="AI373" i="25"/>
  <c r="AH373" i="25" s="1"/>
  <c r="AG373" i="25" s="1"/>
  <c r="AF373" i="25" s="1"/>
  <c r="AD373" i="25" s="1"/>
  <c r="AI371" i="25"/>
  <c r="AH371" i="25" s="1"/>
  <c r="AG371" i="25" s="1"/>
  <c r="AF371" i="25" s="1"/>
  <c r="AD371" i="25" s="1"/>
  <c r="AI369" i="25"/>
  <c r="AH369" i="25" s="1"/>
  <c r="AG369" i="25" s="1"/>
  <c r="AF369" i="25" s="1"/>
  <c r="AD369" i="25" s="1"/>
  <c r="AI367" i="25"/>
  <c r="AH367" i="25" s="1"/>
  <c r="AG367" i="25" s="1"/>
  <c r="AF367" i="25" s="1"/>
  <c r="AD367" i="25" s="1"/>
  <c r="AI365" i="25"/>
  <c r="AH365" i="25" s="1"/>
  <c r="AG365" i="25" s="1"/>
  <c r="AF365" i="25" s="1"/>
  <c r="AD365" i="25" s="1"/>
  <c r="AI363" i="25"/>
  <c r="AH363" i="25" s="1"/>
  <c r="AG363" i="25" s="1"/>
  <c r="AF363" i="25" s="1"/>
  <c r="AD363" i="25" s="1"/>
  <c r="AI361" i="25"/>
  <c r="AH361" i="25" s="1"/>
  <c r="AG361" i="25" s="1"/>
  <c r="AF361" i="25" s="1"/>
  <c r="AD361" i="25" s="1"/>
  <c r="AI359" i="25"/>
  <c r="AH359" i="25" s="1"/>
  <c r="AG359" i="25" s="1"/>
  <c r="AF359" i="25" s="1"/>
  <c r="AD359" i="25" s="1"/>
  <c r="AI357" i="25"/>
  <c r="AH357" i="25" s="1"/>
  <c r="AG357" i="25" s="1"/>
  <c r="AF357" i="25" s="1"/>
  <c r="AD357" i="25" s="1"/>
  <c r="AI355" i="25"/>
  <c r="AH355" i="25" s="1"/>
  <c r="AG355" i="25" s="1"/>
  <c r="AF355" i="25" s="1"/>
  <c r="AD355" i="25" s="1"/>
  <c r="AI353" i="25"/>
  <c r="AH353" i="25" s="1"/>
  <c r="AG353" i="25" s="1"/>
  <c r="AF353" i="25" s="1"/>
  <c r="AD353" i="25" s="1"/>
  <c r="AI351" i="25"/>
  <c r="AH351" i="25" s="1"/>
  <c r="AG351" i="25" s="1"/>
  <c r="AF351" i="25" s="1"/>
  <c r="AD351" i="25" s="1"/>
  <c r="AI349" i="25"/>
  <c r="AH349" i="25" s="1"/>
  <c r="AG349" i="25" s="1"/>
  <c r="AF349" i="25" s="1"/>
  <c r="AD349" i="25" s="1"/>
  <c r="AI347" i="25"/>
  <c r="AH347" i="25" s="1"/>
  <c r="AG347" i="25" s="1"/>
  <c r="AF347" i="25" s="1"/>
  <c r="AD347" i="25" s="1"/>
  <c r="AI345" i="25"/>
  <c r="AH345" i="25" s="1"/>
  <c r="AG345" i="25" s="1"/>
  <c r="AF345" i="25" s="1"/>
  <c r="AD345" i="25" s="1"/>
  <c r="AI343" i="25"/>
  <c r="AH343" i="25" s="1"/>
  <c r="AG343" i="25" s="1"/>
  <c r="AF343" i="25" s="1"/>
  <c r="AD343" i="25" s="1"/>
  <c r="AI341" i="25"/>
  <c r="AH341" i="25" s="1"/>
  <c r="AG341" i="25" s="1"/>
  <c r="AF341" i="25" s="1"/>
  <c r="AD341" i="25" s="1"/>
  <c r="AI339" i="25"/>
  <c r="AH339" i="25" s="1"/>
  <c r="AG339" i="25" s="1"/>
  <c r="AF339" i="25" s="1"/>
  <c r="AD339" i="25" s="1"/>
  <c r="AI337" i="25"/>
  <c r="AH337" i="25" s="1"/>
  <c r="AG337" i="25" s="1"/>
  <c r="AF337" i="25" s="1"/>
  <c r="AD337" i="25" s="1"/>
  <c r="AI335" i="25"/>
  <c r="AH335" i="25" s="1"/>
  <c r="AG335" i="25" s="1"/>
  <c r="AF335" i="25" s="1"/>
  <c r="AD335" i="25" s="1"/>
  <c r="AI333" i="25"/>
  <c r="AH333" i="25" s="1"/>
  <c r="AG333" i="25" s="1"/>
  <c r="AF333" i="25" s="1"/>
  <c r="AD333" i="25" s="1"/>
  <c r="AI331" i="25"/>
  <c r="AH331" i="25" s="1"/>
  <c r="AG331" i="25" s="1"/>
  <c r="AF331" i="25" s="1"/>
  <c r="AD331" i="25" s="1"/>
  <c r="AI329" i="25"/>
  <c r="AH329" i="25" s="1"/>
  <c r="AG329" i="25" s="1"/>
  <c r="AF329" i="25" s="1"/>
  <c r="AD329" i="25" s="1"/>
  <c r="AI327" i="25"/>
  <c r="AH327" i="25" s="1"/>
  <c r="AG327" i="25" s="1"/>
  <c r="AF327" i="25" s="1"/>
  <c r="AD327" i="25" s="1"/>
  <c r="AI325" i="25"/>
  <c r="AH325" i="25" s="1"/>
  <c r="AG325" i="25" s="1"/>
  <c r="AF325" i="25" s="1"/>
  <c r="AD325" i="25" s="1"/>
  <c r="AI323" i="25"/>
  <c r="AH323" i="25" s="1"/>
  <c r="AG323" i="25" s="1"/>
  <c r="AF323" i="25" s="1"/>
  <c r="AD323" i="25" s="1"/>
  <c r="AI321" i="25"/>
  <c r="AH321" i="25" s="1"/>
  <c r="AG321" i="25" s="1"/>
  <c r="AF321" i="25" s="1"/>
  <c r="AD321" i="25" s="1"/>
  <c r="AI319" i="25"/>
  <c r="AH319" i="25" s="1"/>
  <c r="AG319" i="25" s="1"/>
  <c r="AF319" i="25" s="1"/>
  <c r="AD319" i="25" s="1"/>
  <c r="AI317" i="25"/>
  <c r="AH317" i="25" s="1"/>
  <c r="AG317" i="25" s="1"/>
  <c r="AF317" i="25" s="1"/>
  <c r="AD317" i="25" s="1"/>
  <c r="AI315" i="25"/>
  <c r="AH315" i="25" s="1"/>
  <c r="AG315" i="25" s="1"/>
  <c r="AF315" i="25" s="1"/>
  <c r="AD315" i="25" s="1"/>
  <c r="AI313" i="25"/>
  <c r="AH313" i="25" s="1"/>
  <c r="AG313" i="25" s="1"/>
  <c r="AF313" i="25" s="1"/>
  <c r="AD313" i="25" s="1"/>
  <c r="AI311" i="25"/>
  <c r="AH311" i="25" s="1"/>
  <c r="AG311" i="25" s="1"/>
  <c r="AF311" i="25" s="1"/>
  <c r="AD311" i="25" s="1"/>
  <c r="AI309" i="25"/>
  <c r="AH309" i="25" s="1"/>
  <c r="AG309" i="25" s="1"/>
  <c r="AF309" i="25" s="1"/>
  <c r="AD309" i="25" s="1"/>
  <c r="AI307" i="25"/>
  <c r="AH307" i="25" s="1"/>
  <c r="AG307" i="25" s="1"/>
  <c r="AF307" i="25" s="1"/>
  <c r="AD307" i="25" s="1"/>
  <c r="AI305" i="25"/>
  <c r="AH305" i="25" s="1"/>
  <c r="AG305" i="25" s="1"/>
  <c r="AF305" i="25" s="1"/>
  <c r="AD305" i="25" s="1"/>
  <c r="AI303" i="25"/>
  <c r="AH303" i="25" s="1"/>
  <c r="AG303" i="25" s="1"/>
  <c r="AF303" i="25" s="1"/>
  <c r="AD303" i="25" s="1"/>
  <c r="AI301" i="25"/>
  <c r="AH301" i="25" s="1"/>
  <c r="AG301" i="25" s="1"/>
  <c r="AF301" i="25" s="1"/>
  <c r="AD301" i="25" s="1"/>
  <c r="AI299" i="25"/>
  <c r="AH299" i="25" s="1"/>
  <c r="AG299" i="25" s="1"/>
  <c r="AF299" i="25" s="1"/>
  <c r="AD299" i="25" s="1"/>
  <c r="AI297" i="25"/>
  <c r="AH297" i="25" s="1"/>
  <c r="AG297" i="25" s="1"/>
  <c r="AF297" i="25" s="1"/>
  <c r="AD297" i="25" s="1"/>
  <c r="AI295" i="25"/>
  <c r="AH295" i="25" s="1"/>
  <c r="AG295" i="25" s="1"/>
  <c r="AF295" i="25" s="1"/>
  <c r="AD295" i="25" s="1"/>
  <c r="AI293" i="25"/>
  <c r="AH293" i="25" s="1"/>
  <c r="AG293" i="25" s="1"/>
  <c r="AF293" i="25" s="1"/>
  <c r="AD293" i="25" s="1"/>
  <c r="AI291" i="25"/>
  <c r="AH291" i="25" s="1"/>
  <c r="AG291" i="25" s="1"/>
  <c r="AF291" i="25" s="1"/>
  <c r="AD291" i="25" s="1"/>
  <c r="AI289" i="25"/>
  <c r="AH289" i="25" s="1"/>
  <c r="AG289" i="25" s="1"/>
  <c r="AF289" i="25" s="1"/>
  <c r="AD289" i="25" s="1"/>
  <c r="AI287" i="25"/>
  <c r="AH287" i="25" s="1"/>
  <c r="AG287" i="25" s="1"/>
  <c r="AF287" i="25" s="1"/>
  <c r="AD287" i="25" s="1"/>
  <c r="AI285" i="25"/>
  <c r="AH285" i="25" s="1"/>
  <c r="AG285" i="25" s="1"/>
  <c r="AF285" i="25" s="1"/>
  <c r="AD285" i="25" s="1"/>
  <c r="AI283" i="25"/>
  <c r="AH283" i="25" s="1"/>
  <c r="AG283" i="25" s="1"/>
  <c r="AF283" i="25" s="1"/>
  <c r="AD283" i="25" s="1"/>
  <c r="AI281" i="25"/>
  <c r="AH281" i="25" s="1"/>
  <c r="AG281" i="25" s="1"/>
  <c r="AF281" i="25" s="1"/>
  <c r="AD281" i="25" s="1"/>
  <c r="AI279" i="25"/>
  <c r="AH279" i="25" s="1"/>
  <c r="AG279" i="25" s="1"/>
  <c r="AF279" i="25" s="1"/>
  <c r="AD279" i="25" s="1"/>
  <c r="AI277" i="25"/>
  <c r="AH277" i="25" s="1"/>
  <c r="AG277" i="25" s="1"/>
  <c r="AF277" i="25" s="1"/>
  <c r="AD277" i="25" s="1"/>
  <c r="AI275" i="25"/>
  <c r="AH275" i="25" s="1"/>
  <c r="AG275" i="25" s="1"/>
  <c r="AF275" i="25" s="1"/>
  <c r="AD275" i="25" s="1"/>
  <c r="AI273" i="25"/>
  <c r="AH273" i="25" s="1"/>
  <c r="AG273" i="25" s="1"/>
  <c r="AF273" i="25" s="1"/>
  <c r="AD273" i="25" s="1"/>
  <c r="AI271" i="25"/>
  <c r="AH271" i="25" s="1"/>
  <c r="AG271" i="25" s="1"/>
  <c r="AF271" i="25" s="1"/>
  <c r="AD271" i="25" s="1"/>
  <c r="AI269" i="25"/>
  <c r="AH269" i="25" s="1"/>
  <c r="AG269" i="25" s="1"/>
  <c r="AF269" i="25" s="1"/>
  <c r="AD269" i="25" s="1"/>
  <c r="AI267" i="25"/>
  <c r="AH267" i="25" s="1"/>
  <c r="AG267" i="25" s="1"/>
  <c r="AF267" i="25" s="1"/>
  <c r="AD267" i="25" s="1"/>
  <c r="AI265" i="25"/>
  <c r="AH265" i="25" s="1"/>
  <c r="AG265" i="25" s="1"/>
  <c r="AF265" i="25" s="1"/>
  <c r="AD265" i="25" s="1"/>
  <c r="AI263" i="25"/>
  <c r="AH263" i="25" s="1"/>
  <c r="AG263" i="25" s="1"/>
  <c r="AF263" i="25" s="1"/>
  <c r="AD263" i="25" s="1"/>
  <c r="AI261" i="25"/>
  <c r="AH261" i="25" s="1"/>
  <c r="AG261" i="25" s="1"/>
  <c r="AF261" i="25" s="1"/>
  <c r="AD261" i="25" s="1"/>
  <c r="AI259" i="25"/>
  <c r="AH259" i="25" s="1"/>
  <c r="AG259" i="25" s="1"/>
  <c r="AF259" i="25" s="1"/>
  <c r="AD259" i="25" s="1"/>
  <c r="AI257" i="25"/>
  <c r="AH257" i="25" s="1"/>
  <c r="AG257" i="25" s="1"/>
  <c r="AF257" i="25" s="1"/>
  <c r="AD257" i="25" s="1"/>
  <c r="AI255" i="25"/>
  <c r="AH255" i="25" s="1"/>
  <c r="AG255" i="25" s="1"/>
  <c r="AF255" i="25" s="1"/>
  <c r="AD255" i="25" s="1"/>
  <c r="AI253" i="25"/>
  <c r="AH253" i="25" s="1"/>
  <c r="AG253" i="25" s="1"/>
  <c r="AF253" i="25" s="1"/>
  <c r="AD253" i="25" s="1"/>
  <c r="AI251" i="25"/>
  <c r="AH251" i="25" s="1"/>
  <c r="AG251" i="25" s="1"/>
  <c r="AF251" i="25" s="1"/>
  <c r="AD251" i="25" s="1"/>
  <c r="AI249" i="25"/>
  <c r="AH249" i="25" s="1"/>
  <c r="AG249" i="25" s="1"/>
  <c r="AF249" i="25" s="1"/>
  <c r="AD249" i="25" s="1"/>
  <c r="AI247" i="25"/>
  <c r="AH247" i="25" s="1"/>
  <c r="AI245" i="25"/>
  <c r="AH245" i="25" s="1"/>
  <c r="AG245" i="25" s="1"/>
  <c r="AF245" i="25" s="1"/>
  <c r="AD245" i="25" s="1"/>
  <c r="AI243" i="25"/>
  <c r="AH243" i="25" s="1"/>
  <c r="AG243" i="25" s="1"/>
  <c r="AF243" i="25" s="1"/>
  <c r="AD243" i="25" s="1"/>
  <c r="AI241" i="25"/>
  <c r="AH241" i="25" s="1"/>
  <c r="AG241" i="25" s="1"/>
  <c r="AF241" i="25" s="1"/>
  <c r="AD241" i="25" s="1"/>
  <c r="AI239" i="25"/>
  <c r="AH239" i="25" s="1"/>
  <c r="AG239" i="25" s="1"/>
  <c r="AF239" i="25" s="1"/>
  <c r="AD239" i="25" s="1"/>
  <c r="AI237" i="25"/>
  <c r="AH237" i="25" s="1"/>
  <c r="AG237" i="25" s="1"/>
  <c r="AF237" i="25" s="1"/>
  <c r="AD237" i="25" s="1"/>
  <c r="AI235" i="25"/>
  <c r="AH235" i="25" s="1"/>
  <c r="AG235" i="25" s="1"/>
  <c r="AF235" i="25" s="1"/>
  <c r="AD235" i="25" s="1"/>
  <c r="AI233" i="25"/>
  <c r="AH233" i="25" s="1"/>
  <c r="AG233" i="25" s="1"/>
  <c r="AF233" i="25" s="1"/>
  <c r="AD233" i="25" s="1"/>
  <c r="AI231" i="25"/>
  <c r="AH231" i="25" s="1"/>
  <c r="AG231" i="25" s="1"/>
  <c r="AF231" i="25" s="1"/>
  <c r="AD231" i="25" s="1"/>
  <c r="AI229" i="25"/>
  <c r="AH229" i="25" s="1"/>
  <c r="AG229" i="25" s="1"/>
  <c r="AF229" i="25" s="1"/>
  <c r="AD229" i="25" s="1"/>
  <c r="AI227" i="25"/>
  <c r="AH227" i="25" s="1"/>
  <c r="AG227" i="25" s="1"/>
  <c r="AF227" i="25" s="1"/>
  <c r="AD227" i="25" s="1"/>
  <c r="AI225" i="25"/>
  <c r="AH225" i="25" s="1"/>
  <c r="AG225" i="25" s="1"/>
  <c r="AF225" i="25" s="1"/>
  <c r="AD225" i="25" s="1"/>
  <c r="AI223" i="25"/>
  <c r="AH223" i="25" s="1"/>
  <c r="AG223" i="25" s="1"/>
  <c r="AF223" i="25" s="1"/>
  <c r="AD223" i="25" s="1"/>
  <c r="AI221" i="25"/>
  <c r="AH221" i="25" s="1"/>
  <c r="AG221" i="25" s="1"/>
  <c r="AF221" i="25" s="1"/>
  <c r="AD221" i="25" s="1"/>
  <c r="AI219" i="25"/>
  <c r="AH219" i="25" s="1"/>
  <c r="AG219" i="25" s="1"/>
  <c r="AF219" i="25" s="1"/>
  <c r="AD219" i="25" s="1"/>
  <c r="AI217" i="25"/>
  <c r="AH217" i="25" s="1"/>
  <c r="AG217" i="25" s="1"/>
  <c r="AF217" i="25" s="1"/>
  <c r="AD217" i="25" s="1"/>
  <c r="AI215" i="25"/>
  <c r="AH215" i="25" s="1"/>
  <c r="AG215" i="25" s="1"/>
  <c r="AF215" i="25" s="1"/>
  <c r="AD215" i="25" s="1"/>
  <c r="AI213" i="25"/>
  <c r="AH213" i="25" s="1"/>
  <c r="AG213" i="25" s="1"/>
  <c r="AF213" i="25" s="1"/>
  <c r="AD213" i="25" s="1"/>
  <c r="AI211" i="25"/>
  <c r="AH211" i="25" s="1"/>
  <c r="AG211" i="25" s="1"/>
  <c r="AF211" i="25" s="1"/>
  <c r="AD211" i="25" s="1"/>
  <c r="AI209" i="25"/>
  <c r="AH209" i="25" s="1"/>
  <c r="AG209" i="25" s="1"/>
  <c r="AF209" i="25" s="1"/>
  <c r="AD209" i="25" s="1"/>
  <c r="AI207" i="25"/>
  <c r="AH207" i="25" s="1"/>
  <c r="AG207" i="25" s="1"/>
  <c r="AF207" i="25" s="1"/>
  <c r="AD207" i="25" s="1"/>
  <c r="AI205" i="25"/>
  <c r="AH205" i="25" s="1"/>
  <c r="AG205" i="25" s="1"/>
  <c r="AF205" i="25" s="1"/>
  <c r="AD205" i="25" s="1"/>
  <c r="AI203" i="25"/>
  <c r="AH203" i="25" s="1"/>
  <c r="AG203" i="25" s="1"/>
  <c r="AF203" i="25" s="1"/>
  <c r="AD203" i="25" s="1"/>
  <c r="AI201" i="25"/>
  <c r="AH201" i="25" s="1"/>
  <c r="AG201" i="25" s="1"/>
  <c r="AF201" i="25" s="1"/>
  <c r="AD201" i="25" s="1"/>
  <c r="AI199" i="25"/>
  <c r="AH199" i="25" s="1"/>
  <c r="AG199" i="25" s="1"/>
  <c r="AF199" i="25" s="1"/>
  <c r="AD199" i="25" s="1"/>
  <c r="AI197" i="25"/>
  <c r="AH197" i="25" s="1"/>
  <c r="AG197" i="25" s="1"/>
  <c r="AF197" i="25" s="1"/>
  <c r="AD197" i="25" s="1"/>
  <c r="AI195" i="25"/>
  <c r="AH195" i="25" s="1"/>
  <c r="AG195" i="25" s="1"/>
  <c r="AF195" i="25" s="1"/>
  <c r="AD195" i="25" s="1"/>
  <c r="AI193" i="25"/>
  <c r="AH193" i="25" s="1"/>
  <c r="AG193" i="25" s="1"/>
  <c r="AF193" i="25" s="1"/>
  <c r="AD193" i="25" s="1"/>
  <c r="AI191" i="25"/>
  <c r="AH191" i="25" s="1"/>
  <c r="AG191" i="25" s="1"/>
  <c r="AF191" i="25" s="1"/>
  <c r="AD191" i="25" s="1"/>
  <c r="AI189" i="25"/>
  <c r="AH189" i="25" s="1"/>
  <c r="AG189" i="25" s="1"/>
  <c r="AF189" i="25" s="1"/>
  <c r="AD189" i="25" s="1"/>
  <c r="AI187" i="25"/>
  <c r="AH187" i="25" s="1"/>
  <c r="AG187" i="25" s="1"/>
  <c r="AF187" i="25" s="1"/>
  <c r="AD187" i="25" s="1"/>
  <c r="AI185" i="25"/>
  <c r="AH185" i="25" s="1"/>
  <c r="AG185" i="25" s="1"/>
  <c r="AF185" i="25" s="1"/>
  <c r="AD185" i="25" s="1"/>
  <c r="AI181" i="25"/>
  <c r="AH181" i="25" s="1"/>
  <c r="AG181" i="25" s="1"/>
  <c r="AF181" i="25" s="1"/>
  <c r="AD181" i="25" s="1"/>
  <c r="AI177" i="25"/>
  <c r="AH177" i="25" s="1"/>
  <c r="AG177" i="25" s="1"/>
  <c r="AF177" i="25" s="1"/>
  <c r="AD177" i="25" s="1"/>
  <c r="AI173" i="25"/>
  <c r="AH173" i="25" s="1"/>
  <c r="AG173" i="25" s="1"/>
  <c r="AF173" i="25" s="1"/>
  <c r="AD173" i="25" s="1"/>
  <c r="AI169" i="25"/>
  <c r="AH169" i="25" s="1"/>
  <c r="AG169" i="25" s="1"/>
  <c r="AF169" i="25" s="1"/>
  <c r="AD169" i="25" s="1"/>
  <c r="AI165" i="25"/>
  <c r="AH165" i="25" s="1"/>
  <c r="AG165" i="25" s="1"/>
  <c r="AF165" i="25" s="1"/>
  <c r="AD165" i="25" s="1"/>
  <c r="AI161" i="25"/>
  <c r="AH161" i="25" s="1"/>
  <c r="AG161" i="25" s="1"/>
  <c r="AF161" i="25" s="1"/>
  <c r="AD161" i="25" s="1"/>
  <c r="AI157" i="25"/>
  <c r="AH157" i="25" s="1"/>
  <c r="AG157" i="25" s="1"/>
  <c r="AF157" i="25" s="1"/>
  <c r="AD157" i="25" s="1"/>
  <c r="AI153" i="25"/>
  <c r="AH153" i="25" s="1"/>
  <c r="AG153" i="25" s="1"/>
  <c r="AF153" i="25" s="1"/>
  <c r="AD153" i="25" s="1"/>
  <c r="AI149" i="25"/>
  <c r="AH149" i="25" s="1"/>
  <c r="AG149" i="25" s="1"/>
  <c r="AF149" i="25" s="1"/>
  <c r="AD149" i="25" s="1"/>
  <c r="AI145" i="25"/>
  <c r="AH145" i="25" s="1"/>
  <c r="AG145" i="25" s="1"/>
  <c r="AF145" i="25" s="1"/>
  <c r="AD145" i="25" s="1"/>
  <c r="AI141" i="25"/>
  <c r="AH141" i="25" s="1"/>
  <c r="AG141" i="25" s="1"/>
  <c r="AF141" i="25" s="1"/>
  <c r="AD141" i="25" s="1"/>
  <c r="AI137" i="25"/>
  <c r="AH137" i="25" s="1"/>
  <c r="AG137" i="25" s="1"/>
  <c r="AF137" i="25" s="1"/>
  <c r="AD137" i="25" s="1"/>
  <c r="AI133" i="25"/>
  <c r="AH133" i="25" s="1"/>
  <c r="AG133" i="25" s="1"/>
  <c r="AF133" i="25" s="1"/>
  <c r="AD133" i="25" s="1"/>
  <c r="AI129" i="25"/>
  <c r="AH129" i="25" s="1"/>
  <c r="AG129" i="25" s="1"/>
  <c r="AF129" i="25" s="1"/>
  <c r="AD129" i="25" s="1"/>
  <c r="AI125" i="25"/>
  <c r="AH125" i="25" s="1"/>
  <c r="AG125" i="25" s="1"/>
  <c r="AF125" i="25" s="1"/>
  <c r="AD125" i="25" s="1"/>
  <c r="AI121" i="25"/>
  <c r="AH121" i="25" s="1"/>
  <c r="AG121" i="25" s="1"/>
  <c r="AF121" i="25" s="1"/>
  <c r="AD121" i="25" s="1"/>
  <c r="AI117" i="25"/>
  <c r="AH117" i="25" s="1"/>
  <c r="AG117" i="25" s="1"/>
  <c r="AF117" i="25" s="1"/>
  <c r="AD117" i="25" s="1"/>
  <c r="AI113" i="25"/>
  <c r="AH113" i="25" s="1"/>
  <c r="AG113" i="25" s="1"/>
  <c r="AF113" i="25" s="1"/>
  <c r="AD113" i="25" s="1"/>
  <c r="AI109" i="25"/>
  <c r="AH109" i="25" s="1"/>
  <c r="AG109" i="25" s="1"/>
  <c r="AF109" i="25" s="1"/>
  <c r="AD109" i="25" s="1"/>
  <c r="AI105" i="25"/>
  <c r="AH105" i="25" s="1"/>
  <c r="AG105" i="25" s="1"/>
  <c r="AF105" i="25" s="1"/>
  <c r="AD105" i="25" s="1"/>
  <c r="AI101" i="25"/>
  <c r="AH101" i="25" s="1"/>
  <c r="AG101" i="25" s="1"/>
  <c r="AF101" i="25" s="1"/>
  <c r="AD101" i="25" s="1"/>
  <c r="AI97" i="25"/>
  <c r="AH97" i="25" s="1"/>
  <c r="AG97" i="25" s="1"/>
  <c r="AF97" i="25" s="1"/>
  <c r="AD97" i="25" s="1"/>
  <c r="AI93" i="25"/>
  <c r="AH93" i="25" s="1"/>
  <c r="AG93" i="25" s="1"/>
  <c r="AF93" i="25" s="1"/>
  <c r="AD93" i="25" s="1"/>
  <c r="AI89" i="25"/>
  <c r="AH89" i="25" s="1"/>
  <c r="AG89" i="25" s="1"/>
  <c r="AF89" i="25" s="1"/>
  <c r="AD89" i="25" s="1"/>
  <c r="AI85" i="25"/>
  <c r="AH85" i="25" s="1"/>
  <c r="AG85" i="25" s="1"/>
  <c r="AF85" i="25" s="1"/>
  <c r="AD85" i="25" s="1"/>
  <c r="AI81" i="25"/>
  <c r="AH81" i="25" s="1"/>
  <c r="AG81" i="25" s="1"/>
  <c r="AF81" i="25" s="1"/>
  <c r="AD81" i="25" s="1"/>
  <c r="AI77" i="25"/>
  <c r="AH77" i="25" s="1"/>
  <c r="AG77" i="25" s="1"/>
  <c r="AF77" i="25" s="1"/>
  <c r="AD77" i="25" s="1"/>
  <c r="AI73" i="25"/>
  <c r="AH73" i="25" s="1"/>
  <c r="AG73" i="25" s="1"/>
  <c r="AF73" i="25" s="1"/>
  <c r="AD73" i="25" s="1"/>
  <c r="AI69" i="25"/>
  <c r="AH69" i="25" s="1"/>
  <c r="AG69" i="25" s="1"/>
  <c r="AF69" i="25" s="1"/>
  <c r="AD69" i="25" s="1"/>
  <c r="AI65" i="25"/>
  <c r="AH65" i="25" s="1"/>
  <c r="AG65" i="25" s="1"/>
  <c r="AF65" i="25" s="1"/>
  <c r="AD65" i="25" s="1"/>
  <c r="AI61" i="25"/>
  <c r="AH61" i="25" s="1"/>
  <c r="AG61" i="25" s="1"/>
  <c r="AF61" i="25" s="1"/>
  <c r="AD61" i="25" s="1"/>
  <c r="AI57" i="25"/>
  <c r="AH57" i="25" s="1"/>
  <c r="AG57" i="25" s="1"/>
  <c r="AF57" i="25" s="1"/>
  <c r="AD57" i="25" s="1"/>
  <c r="AI53" i="25"/>
  <c r="AH53" i="25" s="1"/>
  <c r="AG53" i="25" s="1"/>
  <c r="AF53" i="25" s="1"/>
  <c r="AD53" i="25" s="1"/>
  <c r="AI49" i="25"/>
  <c r="AH49" i="25" s="1"/>
  <c r="AG49" i="25" s="1"/>
  <c r="AF49" i="25" s="1"/>
  <c r="AD49" i="25" s="1"/>
  <c r="AI45" i="25"/>
  <c r="AH45" i="25" s="1"/>
  <c r="AG45" i="25" s="1"/>
  <c r="AF45" i="25" s="1"/>
  <c r="AD45" i="25" s="1"/>
  <c r="AI41" i="25"/>
  <c r="AH41" i="25" s="1"/>
  <c r="AG41" i="25" s="1"/>
  <c r="AF41" i="25" s="1"/>
  <c r="AD41" i="25" s="1"/>
  <c r="AI37" i="25"/>
  <c r="AH37" i="25" s="1"/>
  <c r="AG37" i="25" s="1"/>
  <c r="AF37" i="25" s="1"/>
  <c r="AD37" i="25" s="1"/>
  <c r="AI33" i="25"/>
  <c r="AH33" i="25" s="1"/>
  <c r="AG33" i="25" s="1"/>
  <c r="AF33" i="25" s="1"/>
  <c r="AD33" i="25" s="1"/>
  <c r="AI29" i="25"/>
  <c r="AH29" i="25" s="1"/>
  <c r="AG29" i="25" s="1"/>
  <c r="AF29" i="25" s="1"/>
  <c r="AD29" i="25" s="1"/>
  <c r="AI22" i="25"/>
  <c r="AH22" i="25" s="1"/>
  <c r="AG22" i="25" s="1"/>
  <c r="AF22" i="25" s="1"/>
  <c r="AD22" i="25" s="1"/>
  <c r="AI23" i="25"/>
  <c r="AH23" i="25" s="1"/>
  <c r="AG23" i="25" s="1"/>
  <c r="AF23" i="25" s="1"/>
  <c r="AD23" i="25" s="1"/>
  <c r="AI27" i="25"/>
  <c r="AH27" i="25" s="1"/>
  <c r="AG27" i="25" s="1"/>
  <c r="AF27" i="25" s="1"/>
  <c r="AD27" i="25" s="1"/>
  <c r="J135" i="23"/>
  <c r="AJ13" i="20"/>
  <c r="AJ6" i="22"/>
  <c r="AJ5" i="22"/>
  <c r="AL8" i="18"/>
  <c r="AL7" i="18"/>
  <c r="W200" i="24"/>
  <c r="D69" i="19"/>
  <c r="M69" i="19"/>
  <c r="K69" i="19"/>
  <c r="H69" i="19"/>
  <c r="N67" i="19"/>
  <c r="E15" i="19"/>
  <c r="E31" i="19" s="1"/>
  <c r="I373" i="24"/>
  <c r="J373" i="24"/>
  <c r="J351" i="24"/>
  <c r="I351" i="24"/>
  <c r="I151" i="24"/>
  <c r="J151" i="24"/>
  <c r="I109" i="24"/>
  <c r="J109" i="24"/>
  <c r="I99" i="24"/>
  <c r="J99" i="24"/>
  <c r="J87" i="24"/>
  <c r="I87" i="24"/>
  <c r="I65" i="24"/>
  <c r="J65" i="24"/>
  <c r="I35" i="24"/>
  <c r="J35" i="24"/>
  <c r="J22" i="24"/>
  <c r="I22" i="24"/>
  <c r="I228" i="24"/>
  <c r="J228" i="24"/>
  <c r="J184" i="24"/>
  <c r="I184" i="24"/>
  <c r="I287" i="24"/>
  <c r="J287" i="24"/>
  <c r="J281" i="24"/>
  <c r="I281" i="24"/>
  <c r="I47" i="24"/>
  <c r="J47" i="24"/>
  <c r="I226" i="24"/>
  <c r="J126" i="24"/>
  <c r="I126" i="24"/>
  <c r="I77" i="24"/>
  <c r="J77" i="24"/>
  <c r="I58" i="24"/>
  <c r="J58" i="24"/>
  <c r="J365" i="24"/>
  <c r="I365" i="24"/>
  <c r="J315" i="24"/>
  <c r="I315" i="24"/>
  <c r="I261" i="24"/>
  <c r="J261" i="24"/>
  <c r="I247" i="24"/>
  <c r="J247" i="24"/>
  <c r="I233" i="24"/>
  <c r="J233" i="24"/>
  <c r="J215" i="24"/>
  <c r="I215" i="24"/>
  <c r="I187" i="24"/>
  <c r="J187" i="24"/>
  <c r="J107" i="24"/>
  <c r="I107" i="24"/>
  <c r="J85" i="24"/>
  <c r="I85" i="24"/>
  <c r="I45" i="24"/>
  <c r="J45" i="24"/>
  <c r="I21" i="24"/>
  <c r="J21" i="24"/>
  <c r="J16" i="24"/>
  <c r="I16" i="24"/>
  <c r="I114" i="24"/>
  <c r="J114" i="24"/>
  <c r="J172" i="24"/>
  <c r="I172" i="24"/>
  <c r="J369" i="24"/>
  <c r="I369" i="24"/>
  <c r="J191" i="24"/>
  <c r="I191" i="24"/>
  <c r="I307" i="24"/>
  <c r="J307" i="24"/>
  <c r="J277" i="24"/>
  <c r="I277" i="24"/>
  <c r="J167" i="24"/>
  <c r="I167" i="24"/>
  <c r="J329" i="24"/>
  <c r="I329" i="24"/>
  <c r="I313" i="24"/>
  <c r="J313" i="24"/>
  <c r="J271" i="24"/>
  <c r="I271" i="24"/>
  <c r="I231" i="24"/>
  <c r="J231" i="24"/>
  <c r="I185" i="24"/>
  <c r="J185" i="24"/>
  <c r="J115" i="24"/>
  <c r="I115" i="24"/>
  <c r="I79" i="24"/>
  <c r="J79" i="24"/>
  <c r="I41" i="24"/>
  <c r="J41" i="24"/>
  <c r="I361" i="24"/>
  <c r="J361" i="24"/>
  <c r="I199" i="24"/>
  <c r="J199" i="24"/>
  <c r="J357" i="24"/>
  <c r="I357" i="24"/>
  <c r="I327" i="24"/>
  <c r="J327" i="24"/>
  <c r="J303" i="24"/>
  <c r="I303" i="24"/>
  <c r="J255" i="24"/>
  <c r="I255" i="24"/>
  <c r="J243" i="24"/>
  <c r="I243" i="24"/>
  <c r="I223" i="24"/>
  <c r="J223" i="24"/>
  <c r="I197" i="24"/>
  <c r="J197" i="24"/>
  <c r="J175" i="24"/>
  <c r="I175" i="24"/>
  <c r="J171" i="24"/>
  <c r="I171" i="24"/>
  <c r="J133" i="24"/>
  <c r="I133" i="24"/>
  <c r="I129" i="24"/>
  <c r="J129" i="24"/>
  <c r="I63" i="24"/>
  <c r="J63" i="24"/>
  <c r="J61" i="24"/>
  <c r="I61" i="24"/>
  <c r="J278" i="24"/>
  <c r="I278" i="24"/>
  <c r="I234" i="24"/>
  <c r="J234" i="24"/>
  <c r="J42" i="24"/>
  <c r="I42" i="24"/>
  <c r="J375" i="24"/>
  <c r="I375" i="24"/>
  <c r="I345" i="24"/>
  <c r="J345" i="24"/>
  <c r="I279" i="24"/>
  <c r="J279" i="24"/>
  <c r="I217" i="24"/>
  <c r="J217" i="24"/>
  <c r="I89" i="24"/>
  <c r="J89" i="24"/>
  <c r="I18" i="24"/>
  <c r="J18" i="24"/>
  <c r="I377" i="24"/>
  <c r="J377" i="24"/>
  <c r="J249" i="24"/>
  <c r="I249" i="24"/>
  <c r="J209" i="24"/>
  <c r="I209" i="24"/>
  <c r="J177" i="24"/>
  <c r="I177" i="24"/>
  <c r="J139" i="24"/>
  <c r="I139" i="24"/>
  <c r="J117" i="24"/>
  <c r="I117" i="24"/>
  <c r="J120" i="24"/>
  <c r="I120" i="24"/>
  <c r="I150" i="24"/>
  <c r="J150" i="24"/>
  <c r="I298" i="24"/>
  <c r="J298" i="24"/>
  <c r="I142" i="24"/>
  <c r="J142" i="24"/>
  <c r="J317" i="24"/>
  <c r="I317" i="24"/>
  <c r="J93" i="24"/>
  <c r="I93" i="24"/>
  <c r="J49" i="24"/>
  <c r="I49" i="24"/>
  <c r="I283" i="24"/>
  <c r="J283" i="24"/>
  <c r="J267" i="24"/>
  <c r="I267" i="24"/>
  <c r="I193" i="24"/>
  <c r="J193" i="24"/>
  <c r="J169" i="24"/>
  <c r="I169" i="24"/>
  <c r="J165" i="24"/>
  <c r="I165" i="24"/>
  <c r="J37" i="24"/>
  <c r="I37" i="24"/>
  <c r="J319" i="23"/>
  <c r="I319" i="23"/>
  <c r="I241" i="23"/>
  <c r="H241" i="24" s="1"/>
  <c r="J241" i="23"/>
  <c r="AA376" i="24"/>
  <c r="Z376" i="24" s="1"/>
  <c r="Y376" i="24" s="1"/>
  <c r="G376" i="24"/>
  <c r="CE376" i="6" s="1"/>
  <c r="H376" i="24"/>
  <c r="AA374" i="24"/>
  <c r="Z374" i="24" s="1"/>
  <c r="Y374" i="24" s="1"/>
  <c r="H374" i="24"/>
  <c r="G374" i="24"/>
  <c r="CE374" i="6" s="1"/>
  <c r="I346" i="24"/>
  <c r="J346" i="24"/>
  <c r="I340" i="24"/>
  <c r="J324" i="24"/>
  <c r="I316" i="24"/>
  <c r="J316" i="24"/>
  <c r="J308" i="24"/>
  <c r="I308" i="24"/>
  <c r="D302" i="24"/>
  <c r="E302" i="24" s="1"/>
  <c r="F302" i="24" s="1"/>
  <c r="W302" i="24"/>
  <c r="I290" i="24"/>
  <c r="J290" i="24"/>
  <c r="J248" i="24"/>
  <c r="I248" i="24"/>
  <c r="AA232" i="24"/>
  <c r="Z232" i="24" s="1"/>
  <c r="Y232" i="24" s="1"/>
  <c r="G232" i="24"/>
  <c r="CE232" i="6" s="1"/>
  <c r="H232" i="24"/>
  <c r="G222" i="24"/>
  <c r="CE222" i="6" s="1"/>
  <c r="AA222" i="24"/>
  <c r="Z222" i="24" s="1"/>
  <c r="Y222" i="24" s="1"/>
  <c r="H222" i="24"/>
  <c r="AA218" i="24"/>
  <c r="Z218" i="24" s="1"/>
  <c r="Y218" i="24" s="1"/>
  <c r="H218" i="24"/>
  <c r="G218" i="24"/>
  <c r="CE218" i="6" s="1"/>
  <c r="AA214" i="24"/>
  <c r="Z214" i="24" s="1"/>
  <c r="Y214" i="24" s="1"/>
  <c r="G214" i="24"/>
  <c r="CE214" i="6" s="1"/>
  <c r="H214" i="24"/>
  <c r="I192" i="24"/>
  <c r="J192" i="24"/>
  <c r="G174" i="24"/>
  <c r="CE174" i="6" s="1"/>
  <c r="AA174" i="24"/>
  <c r="Z174" i="24" s="1"/>
  <c r="Y174" i="24" s="1"/>
  <c r="H174" i="24"/>
  <c r="J160" i="24"/>
  <c r="I160" i="24"/>
  <c r="G152" i="24"/>
  <c r="CE152" i="6" s="1"/>
  <c r="H152" i="24"/>
  <c r="AA152" i="24"/>
  <c r="Z152" i="24" s="1"/>
  <c r="Y152" i="24" s="1"/>
  <c r="G146" i="24"/>
  <c r="CE146" i="6" s="1"/>
  <c r="H146" i="24"/>
  <c r="AA146" i="24"/>
  <c r="Z146" i="24" s="1"/>
  <c r="Y146" i="24" s="1"/>
  <c r="G132" i="24"/>
  <c r="CE132" i="6" s="1"/>
  <c r="H132" i="24"/>
  <c r="AA132" i="24"/>
  <c r="Z132" i="24" s="1"/>
  <c r="Y132" i="24" s="1"/>
  <c r="J108" i="24"/>
  <c r="I108" i="24"/>
  <c r="I106" i="24"/>
  <c r="J106" i="24"/>
  <c r="G98" i="24"/>
  <c r="CE98" i="6" s="1"/>
  <c r="AA98" i="24"/>
  <c r="Z98" i="24" s="1"/>
  <c r="Y98" i="24" s="1"/>
  <c r="H98" i="24"/>
  <c r="I86" i="24"/>
  <c r="J86" i="24"/>
  <c r="AA78" i="24"/>
  <c r="Z78" i="24" s="1"/>
  <c r="Y78" i="24" s="1"/>
  <c r="G78" i="24"/>
  <c r="CE78" i="6" s="1"/>
  <c r="H78" i="24"/>
  <c r="G76" i="24"/>
  <c r="CE76" i="6" s="1"/>
  <c r="AA76" i="24"/>
  <c r="Z76" i="24" s="1"/>
  <c r="Y76" i="24" s="1"/>
  <c r="H76" i="24"/>
  <c r="W74" i="24"/>
  <c r="D74" i="24"/>
  <c r="E74" i="24" s="1"/>
  <c r="F74" i="24" s="1"/>
  <c r="G64" i="24"/>
  <c r="CE64" i="6" s="1"/>
  <c r="H64" i="24"/>
  <c r="AA64" i="24"/>
  <c r="Z64" i="24" s="1"/>
  <c r="Y64" i="24" s="1"/>
  <c r="G52" i="24"/>
  <c r="CE52" i="6" s="1"/>
  <c r="AA52" i="24"/>
  <c r="Z52" i="24" s="1"/>
  <c r="Y52" i="24" s="1"/>
  <c r="H52" i="24"/>
  <c r="I44" i="24"/>
  <c r="J44" i="24"/>
  <c r="G38" i="24"/>
  <c r="CE38" i="6" s="1"/>
  <c r="AA38" i="24"/>
  <c r="Z38" i="24" s="1"/>
  <c r="Y38" i="24" s="1"/>
  <c r="H38" i="24"/>
  <c r="J26" i="24"/>
  <c r="I26" i="24"/>
  <c r="J17" i="24"/>
  <c r="I20" i="24"/>
  <c r="J20" i="24"/>
  <c r="AF15" i="24"/>
  <c r="I60" i="23"/>
  <c r="H60" i="24" s="1"/>
  <c r="J60" i="23"/>
  <c r="S376" i="25"/>
  <c r="R376" i="25" s="1"/>
  <c r="P376" i="25" s="1"/>
  <c r="V376" i="25" s="1"/>
  <c r="B376" i="25" s="1"/>
  <c r="W366" i="25"/>
  <c r="D366" i="25"/>
  <c r="E366" i="25" s="1"/>
  <c r="F366" i="25" s="1"/>
  <c r="D358" i="25"/>
  <c r="E358" i="25" s="1"/>
  <c r="F358" i="25" s="1"/>
  <c r="D350" i="25"/>
  <c r="E350" i="25" s="1"/>
  <c r="F350" i="25" s="1"/>
  <c r="W350" i="25"/>
  <c r="S284" i="25"/>
  <c r="R284" i="25" s="1"/>
  <c r="P284" i="25" s="1"/>
  <c r="V284" i="25" s="1"/>
  <c r="B284" i="25" s="1"/>
  <c r="S216" i="25"/>
  <c r="R216" i="25" s="1"/>
  <c r="P216" i="25" s="1"/>
  <c r="V216" i="25" s="1"/>
  <c r="B216" i="25" s="1"/>
  <c r="S154" i="25"/>
  <c r="R154" i="25" s="1"/>
  <c r="P154" i="25" s="1"/>
  <c r="V154" i="25" s="1"/>
  <c r="B154" i="25" s="1"/>
  <c r="W142" i="25"/>
  <c r="S114" i="25"/>
  <c r="R114" i="25" s="1"/>
  <c r="P114" i="25" s="1"/>
  <c r="V114" i="25" s="1"/>
  <c r="B114" i="25" s="1"/>
  <c r="D78" i="25"/>
  <c r="E78" i="25" s="1"/>
  <c r="F78" i="25" s="1"/>
  <c r="W78" i="25"/>
  <c r="S66" i="25"/>
  <c r="R66" i="25" s="1"/>
  <c r="P66" i="25" s="1"/>
  <c r="V66" i="25" s="1"/>
  <c r="B66" i="25" s="1"/>
  <c r="S16" i="25"/>
  <c r="R16" i="25" s="1"/>
  <c r="P16" i="25" s="1"/>
  <c r="V16" i="25" s="1"/>
  <c r="B16" i="25" s="1"/>
  <c r="G371" i="24"/>
  <c r="CE371" i="6" s="1"/>
  <c r="AA371" i="24"/>
  <c r="Z371" i="24" s="1"/>
  <c r="Y371" i="24" s="1"/>
  <c r="H371" i="24"/>
  <c r="I359" i="24"/>
  <c r="J359" i="24"/>
  <c r="I343" i="24"/>
  <c r="J343" i="24"/>
  <c r="G333" i="24"/>
  <c r="CE333" i="6" s="1"/>
  <c r="AA333" i="24"/>
  <c r="Z333" i="24" s="1"/>
  <c r="Y333" i="24" s="1"/>
  <c r="I325" i="24"/>
  <c r="J325" i="24"/>
  <c r="J323" i="24"/>
  <c r="I323" i="24"/>
  <c r="AA295" i="24"/>
  <c r="Z295" i="24" s="1"/>
  <c r="Y295" i="24" s="1"/>
  <c r="H295" i="24"/>
  <c r="G295" i="24"/>
  <c r="CE295" i="6" s="1"/>
  <c r="I293" i="24"/>
  <c r="J293" i="24"/>
  <c r="J275" i="24"/>
  <c r="I275" i="24"/>
  <c r="I257" i="24"/>
  <c r="J257" i="24"/>
  <c r="I245" i="24"/>
  <c r="J245" i="24"/>
  <c r="G241" i="24"/>
  <c r="CE241" i="6" s="1"/>
  <c r="AA241" i="24"/>
  <c r="Z241" i="24" s="1"/>
  <c r="Y241" i="24" s="1"/>
  <c r="J211" i="24"/>
  <c r="I211" i="24"/>
  <c r="I179" i="24"/>
  <c r="J179" i="24"/>
  <c r="I173" i="24"/>
  <c r="J173" i="24"/>
  <c r="AA163" i="24"/>
  <c r="Z163" i="24" s="1"/>
  <c r="Y163" i="24" s="1"/>
  <c r="G163" i="24"/>
  <c r="CE163" i="6" s="1"/>
  <c r="H163" i="24"/>
  <c r="I161" i="24"/>
  <c r="J161" i="24"/>
  <c r="G153" i="24"/>
  <c r="CE153" i="6" s="1"/>
  <c r="AA153" i="24"/>
  <c r="Z153" i="24" s="1"/>
  <c r="Y153" i="24" s="1"/>
  <c r="H153" i="24"/>
  <c r="I141" i="24"/>
  <c r="J141" i="24"/>
  <c r="G119" i="24"/>
  <c r="CE119" i="6" s="1"/>
  <c r="AA119" i="24"/>
  <c r="Z119" i="24" s="1"/>
  <c r="Y119" i="24" s="1"/>
  <c r="AA81" i="24"/>
  <c r="Z81" i="24" s="1"/>
  <c r="Y81" i="24" s="1"/>
  <c r="G81" i="24"/>
  <c r="CE81" i="6" s="1"/>
  <c r="H81" i="24"/>
  <c r="I55" i="24"/>
  <c r="J55" i="24"/>
  <c r="J53" i="24"/>
  <c r="I53" i="24"/>
  <c r="I51" i="24"/>
  <c r="J51" i="24"/>
  <c r="J43" i="24"/>
  <c r="I43" i="24"/>
  <c r="AA33" i="24"/>
  <c r="Z33" i="24" s="1"/>
  <c r="Y33" i="24" s="1"/>
  <c r="G33" i="24"/>
  <c r="CE33" i="6" s="1"/>
  <c r="H33" i="24"/>
  <c r="J27" i="24"/>
  <c r="I27" i="24"/>
  <c r="G24" i="24"/>
  <c r="CE24" i="6" s="1"/>
  <c r="H24" i="24"/>
  <c r="AA24" i="24"/>
  <c r="Z24" i="24" s="1"/>
  <c r="Y24" i="24" s="1"/>
  <c r="I227" i="24"/>
  <c r="J227" i="24"/>
  <c r="G46" i="24"/>
  <c r="CE46" i="6" s="1"/>
  <c r="AA46" i="24"/>
  <c r="Z46" i="24" s="1"/>
  <c r="Y46" i="24" s="1"/>
  <c r="J338" i="24"/>
  <c r="I338" i="24"/>
  <c r="J330" i="24"/>
  <c r="I330" i="24"/>
  <c r="I312" i="24"/>
  <c r="J312" i="24"/>
  <c r="J268" i="24"/>
  <c r="I268" i="24"/>
  <c r="I256" i="24"/>
  <c r="J256" i="24"/>
  <c r="I246" i="24"/>
  <c r="J246" i="24"/>
  <c r="J230" i="24"/>
  <c r="I230" i="24"/>
  <c r="J190" i="24"/>
  <c r="I190" i="24"/>
  <c r="G180" i="24"/>
  <c r="CE180" i="6" s="1"/>
  <c r="AA180" i="24"/>
  <c r="Z180" i="24" s="1"/>
  <c r="Y180" i="24" s="1"/>
  <c r="J168" i="24"/>
  <c r="I168" i="24"/>
  <c r="J148" i="24"/>
  <c r="I148" i="24"/>
  <c r="I140" i="24"/>
  <c r="J140" i="24"/>
  <c r="J130" i="24"/>
  <c r="I130" i="24"/>
  <c r="AG254" i="25"/>
  <c r="AF254" i="25" s="1"/>
  <c r="AD254" i="25" s="1"/>
  <c r="I288" i="23"/>
  <c r="H288" i="24" s="1"/>
  <c r="J288" i="23"/>
  <c r="J166" i="23"/>
  <c r="I166" i="23"/>
  <c r="H166" i="24" s="1"/>
  <c r="AK6" i="22"/>
  <c r="W15" i="22"/>
  <c r="B381" i="22"/>
  <c r="H9" i="22"/>
  <c r="B17" i="19" s="1"/>
  <c r="B383" i="22"/>
  <c r="D15" i="22"/>
  <c r="B382" i="22"/>
  <c r="Z9" i="18"/>
  <c r="Z381" i="18"/>
  <c r="Z382" i="18"/>
  <c r="Y15" i="18"/>
  <c r="Z383" i="18"/>
  <c r="I383" i="18"/>
  <c r="I381" i="18"/>
  <c r="B15" i="6"/>
  <c r="I382" i="18"/>
  <c r="I355" i="24"/>
  <c r="J355" i="24"/>
  <c r="I265" i="24"/>
  <c r="J265" i="24"/>
  <c r="I253" i="24"/>
  <c r="J253" i="24"/>
  <c r="I203" i="24"/>
  <c r="J203" i="24"/>
  <c r="J155" i="24"/>
  <c r="I155" i="24"/>
  <c r="I101" i="24"/>
  <c r="J101" i="24"/>
  <c r="J97" i="24"/>
  <c r="I97" i="24"/>
  <c r="G29" i="24"/>
  <c r="CE29" i="6" s="1"/>
  <c r="AA29" i="24"/>
  <c r="Z29" i="24" s="1"/>
  <c r="Y29" i="24" s="1"/>
  <c r="P382" i="23"/>
  <c r="P381" i="23"/>
  <c r="V15" i="23"/>
  <c r="P383" i="23"/>
  <c r="G15" i="20"/>
  <c r="CB15" i="6" s="1"/>
  <c r="F9" i="20"/>
  <c r="F381" i="20"/>
  <c r="AM10" i="20"/>
  <c r="H15" i="20"/>
  <c r="F382" i="20"/>
  <c r="F383" i="20"/>
  <c r="AA15" i="20"/>
  <c r="AM7" i="20" s="1"/>
  <c r="AK10" i="20"/>
  <c r="AK12" i="20" s="1"/>
  <c r="G334" i="24"/>
  <c r="CE334" i="6" s="1"/>
  <c r="AA334" i="24"/>
  <c r="Z334" i="24" s="1"/>
  <c r="Y334" i="24" s="1"/>
  <c r="H334" i="24"/>
  <c r="AA306" i="24"/>
  <c r="Z306" i="24" s="1"/>
  <c r="Y306" i="24" s="1"/>
  <c r="H306" i="24"/>
  <c r="G306" i="24"/>
  <c r="CE306" i="6" s="1"/>
  <c r="G276" i="24"/>
  <c r="CE276" i="6" s="1"/>
  <c r="H276" i="24"/>
  <c r="AA276" i="24"/>
  <c r="Z276" i="24" s="1"/>
  <c r="Y276" i="24" s="1"/>
  <c r="AA254" i="24"/>
  <c r="Z254" i="24" s="1"/>
  <c r="Y254" i="24" s="1"/>
  <c r="G254" i="24"/>
  <c r="CE254" i="6" s="1"/>
  <c r="H254" i="24"/>
  <c r="AA154" i="24"/>
  <c r="Z154" i="24" s="1"/>
  <c r="Y154" i="24" s="1"/>
  <c r="G154" i="24"/>
  <c r="CE154" i="6" s="1"/>
  <c r="H154" i="24"/>
  <c r="G100" i="24"/>
  <c r="CE100" i="6" s="1"/>
  <c r="H100" i="24"/>
  <c r="AA100" i="24"/>
  <c r="Z100" i="24" s="1"/>
  <c r="Y100" i="24" s="1"/>
  <c r="AA62" i="24"/>
  <c r="Z62" i="24" s="1"/>
  <c r="Y62" i="24" s="1"/>
  <c r="G62" i="24"/>
  <c r="CE62" i="6" s="1"/>
  <c r="H62" i="24"/>
  <c r="AA367" i="24"/>
  <c r="Z367" i="24" s="1"/>
  <c r="Y367" i="24" s="1"/>
  <c r="H367" i="24"/>
  <c r="G367" i="24"/>
  <c r="CE367" i="6" s="1"/>
  <c r="AA335" i="24"/>
  <c r="Z335" i="24" s="1"/>
  <c r="Y335" i="24" s="1"/>
  <c r="G335" i="24"/>
  <c r="CE335" i="6" s="1"/>
  <c r="H335" i="24"/>
  <c r="G311" i="24"/>
  <c r="CE311" i="6" s="1"/>
  <c r="H311" i="24"/>
  <c r="AA311" i="24"/>
  <c r="Z311" i="24" s="1"/>
  <c r="Y311" i="24" s="1"/>
  <c r="G305" i="24"/>
  <c r="CE305" i="6" s="1"/>
  <c r="AA305" i="24"/>
  <c r="Z305" i="24" s="1"/>
  <c r="Y305" i="24" s="1"/>
  <c r="H305" i="24"/>
  <c r="AA291" i="24"/>
  <c r="Z291" i="24" s="1"/>
  <c r="Y291" i="24" s="1"/>
  <c r="G291" i="24"/>
  <c r="CE291" i="6" s="1"/>
  <c r="H291" i="24"/>
  <c r="AA251" i="24"/>
  <c r="Z251" i="24" s="1"/>
  <c r="Y251" i="24" s="1"/>
  <c r="G251" i="24"/>
  <c r="CE251" i="6" s="1"/>
  <c r="H251" i="24"/>
  <c r="AA221" i="24"/>
  <c r="Z221" i="24" s="1"/>
  <c r="Y221" i="24" s="1"/>
  <c r="G221" i="24"/>
  <c r="CE221" i="6" s="1"/>
  <c r="H221" i="24"/>
  <c r="AA73" i="24"/>
  <c r="Z73" i="24" s="1"/>
  <c r="Y73" i="24" s="1"/>
  <c r="G73" i="24"/>
  <c r="CE73" i="6" s="1"/>
  <c r="H73" i="24"/>
  <c r="AA300" i="24"/>
  <c r="Z300" i="24" s="1"/>
  <c r="Y300" i="24" s="1"/>
  <c r="H300" i="24"/>
  <c r="G300" i="24"/>
  <c r="CE300" i="6" s="1"/>
  <c r="G264" i="24"/>
  <c r="CE264" i="6" s="1"/>
  <c r="H264" i="24"/>
  <c r="AA264" i="24"/>
  <c r="Z264" i="24" s="1"/>
  <c r="Y264" i="24" s="1"/>
  <c r="G236" i="24"/>
  <c r="CE236" i="6" s="1"/>
  <c r="H236" i="24"/>
  <c r="AA236" i="24"/>
  <c r="Z236" i="24" s="1"/>
  <c r="Y236" i="24" s="1"/>
  <c r="G116" i="24"/>
  <c r="CE116" i="6" s="1"/>
  <c r="H116" i="24"/>
  <c r="AA116" i="24"/>
  <c r="Z116" i="24" s="1"/>
  <c r="Y116" i="24" s="1"/>
  <c r="AA353" i="24"/>
  <c r="Z353" i="24" s="1"/>
  <c r="Y353" i="24" s="1"/>
  <c r="G353" i="24"/>
  <c r="CE353" i="6" s="1"/>
  <c r="H353" i="24"/>
  <c r="G331" i="24"/>
  <c r="CE331" i="6" s="1"/>
  <c r="AA331" i="24"/>
  <c r="Z331" i="24" s="1"/>
  <c r="Y331" i="24" s="1"/>
  <c r="H331" i="24"/>
  <c r="AA309" i="24"/>
  <c r="Z309" i="24" s="1"/>
  <c r="Y309" i="24" s="1"/>
  <c r="H309" i="24"/>
  <c r="G309" i="24"/>
  <c r="CE309" i="6" s="1"/>
  <c r="G299" i="24"/>
  <c r="CE299" i="6" s="1"/>
  <c r="AA299" i="24"/>
  <c r="Z299" i="24" s="1"/>
  <c r="Y299" i="24" s="1"/>
  <c r="H299" i="24"/>
  <c r="G235" i="24"/>
  <c r="CE235" i="6" s="1"/>
  <c r="H235" i="24"/>
  <c r="AA235" i="24"/>
  <c r="Z235" i="24" s="1"/>
  <c r="Y235" i="24" s="1"/>
  <c r="AA137" i="24"/>
  <c r="Z137" i="24" s="1"/>
  <c r="Y137" i="24" s="1"/>
  <c r="H137" i="24"/>
  <c r="G137" i="24"/>
  <c r="CE137" i="6" s="1"/>
  <c r="AA111" i="24"/>
  <c r="Z111" i="24" s="1"/>
  <c r="Y111" i="24" s="1"/>
  <c r="H111" i="24"/>
  <c r="G111" i="24"/>
  <c r="CE111" i="6" s="1"/>
  <c r="H75" i="24"/>
  <c r="AA75" i="24"/>
  <c r="Z75" i="24" s="1"/>
  <c r="Y75" i="24" s="1"/>
  <c r="G75" i="24"/>
  <c r="CE75" i="6" s="1"/>
  <c r="AA57" i="24"/>
  <c r="Z57" i="24" s="1"/>
  <c r="Y57" i="24" s="1"/>
  <c r="G57" i="24"/>
  <c r="CE57" i="6" s="1"/>
  <c r="H57" i="24"/>
  <c r="G19" i="24"/>
  <c r="CE19" i="6" s="1"/>
  <c r="AA19" i="24"/>
  <c r="Z19" i="24" s="1"/>
  <c r="Y19" i="24" s="1"/>
  <c r="H19" i="24"/>
  <c r="I29" i="23"/>
  <c r="H29" i="24" s="1"/>
  <c r="J29" i="23"/>
  <c r="J272" i="23"/>
  <c r="I272" i="23"/>
  <c r="H272" i="24" s="1"/>
  <c r="J372" i="24"/>
  <c r="I372" i="24"/>
  <c r="J370" i="24"/>
  <c r="I370" i="24"/>
  <c r="J368" i="24"/>
  <c r="I368" i="24"/>
  <c r="I356" i="24"/>
  <c r="J356" i="24"/>
  <c r="I354" i="24"/>
  <c r="J354" i="24"/>
  <c r="AA348" i="24"/>
  <c r="Z348" i="24" s="1"/>
  <c r="Y348" i="24" s="1"/>
  <c r="H348" i="24"/>
  <c r="G348" i="24"/>
  <c r="CE348" i="6" s="1"/>
  <c r="I336" i="24"/>
  <c r="J336" i="24"/>
  <c r="AA332" i="24"/>
  <c r="Z332" i="24" s="1"/>
  <c r="Y332" i="24" s="1"/>
  <c r="H332" i="24"/>
  <c r="G332" i="24"/>
  <c r="CE332" i="6" s="1"/>
  <c r="AA322" i="24"/>
  <c r="Z322" i="24" s="1"/>
  <c r="Y322" i="24" s="1"/>
  <c r="H322" i="24"/>
  <c r="G322" i="24"/>
  <c r="CE322" i="6" s="1"/>
  <c r="I320" i="24"/>
  <c r="J320" i="24"/>
  <c r="I318" i="24"/>
  <c r="J318" i="24"/>
  <c r="AA310" i="24"/>
  <c r="Z310" i="24" s="1"/>
  <c r="Y310" i="24" s="1"/>
  <c r="H310" i="24"/>
  <c r="G310" i="24"/>
  <c r="CE310" i="6" s="1"/>
  <c r="I286" i="24"/>
  <c r="J286" i="24"/>
  <c r="I282" i="24"/>
  <c r="J282" i="24"/>
  <c r="AA272" i="24"/>
  <c r="Z272" i="24" s="1"/>
  <c r="Y272" i="24" s="1"/>
  <c r="G272" i="24"/>
  <c r="CE272" i="6" s="1"/>
  <c r="G270" i="24"/>
  <c r="CE270" i="6" s="1"/>
  <c r="AA270" i="24"/>
  <c r="Z270" i="24" s="1"/>
  <c r="Y270" i="24" s="1"/>
  <c r="H270" i="24"/>
  <c r="H252" i="24"/>
  <c r="G252" i="24"/>
  <c r="CE252" i="6" s="1"/>
  <c r="AA252" i="24"/>
  <c r="Z252" i="24" s="1"/>
  <c r="Y252" i="24" s="1"/>
  <c r="J244" i="24"/>
  <c r="I244" i="24"/>
  <c r="I240" i="24"/>
  <c r="J240" i="24"/>
  <c r="J238" i="24"/>
  <c r="I238" i="24"/>
  <c r="I206" i="24"/>
  <c r="J206" i="24"/>
  <c r="AA200" i="24"/>
  <c r="Z200" i="24" s="1"/>
  <c r="Y200" i="24" s="1"/>
  <c r="G200" i="24"/>
  <c r="CE200" i="6" s="1"/>
  <c r="H200" i="24"/>
  <c r="I188" i="24"/>
  <c r="J188" i="24"/>
  <c r="J176" i="24"/>
  <c r="I176" i="24"/>
  <c r="G158" i="24"/>
  <c r="CE158" i="6" s="1"/>
  <c r="AA158" i="24"/>
  <c r="Z158" i="24" s="1"/>
  <c r="Y158" i="24" s="1"/>
  <c r="H158" i="24"/>
  <c r="I138" i="24"/>
  <c r="J138" i="24"/>
  <c r="J124" i="24"/>
  <c r="I124" i="24"/>
  <c r="I112" i="24"/>
  <c r="J112" i="24"/>
  <c r="I102" i="24"/>
  <c r="J102" i="24"/>
  <c r="J96" i="24"/>
  <c r="I96" i="24"/>
  <c r="I94" i="24"/>
  <c r="J94" i="24"/>
  <c r="D88" i="24"/>
  <c r="E88" i="24" s="1"/>
  <c r="F88" i="24" s="1"/>
  <c r="W88" i="24"/>
  <c r="J84" i="24"/>
  <c r="I84" i="24"/>
  <c r="J82" i="24"/>
  <c r="I82" i="24"/>
  <c r="AA70" i="24"/>
  <c r="Z70" i="24" s="1"/>
  <c r="Y70" i="24" s="1"/>
  <c r="G70" i="24"/>
  <c r="CE70" i="6" s="1"/>
  <c r="H70" i="24"/>
  <c r="J68" i="24"/>
  <c r="I68" i="24"/>
  <c r="I56" i="24"/>
  <c r="J56" i="24"/>
  <c r="G50" i="24"/>
  <c r="CE50" i="6" s="1"/>
  <c r="H50" i="24"/>
  <c r="AA50" i="24"/>
  <c r="Z50" i="24" s="1"/>
  <c r="Y50" i="24" s="1"/>
  <c r="J48" i="24"/>
  <c r="I48" i="24"/>
  <c r="G34" i="24"/>
  <c r="CE34" i="6" s="1"/>
  <c r="AA34" i="24"/>
  <c r="Z34" i="24" s="1"/>
  <c r="Y34" i="24" s="1"/>
  <c r="H34" i="24"/>
  <c r="G32" i="24"/>
  <c r="CE32" i="6" s="1"/>
  <c r="AA32" i="24"/>
  <c r="Z32" i="24" s="1"/>
  <c r="Y32" i="24" s="1"/>
  <c r="H32" i="24"/>
  <c r="AA30" i="24"/>
  <c r="Z30" i="24" s="1"/>
  <c r="Y30" i="24" s="1"/>
  <c r="G30" i="24"/>
  <c r="CE30" i="6" s="1"/>
  <c r="H30" i="24"/>
  <c r="G28" i="24"/>
  <c r="CE28" i="6" s="1"/>
  <c r="H28" i="24"/>
  <c r="AA28" i="24"/>
  <c r="Z28" i="24" s="1"/>
  <c r="Y28" i="24" s="1"/>
  <c r="S381" i="24"/>
  <c r="S382" i="24"/>
  <c r="S383" i="24"/>
  <c r="R15" i="24"/>
  <c r="G258" i="24"/>
  <c r="CE258" i="6" s="1"/>
  <c r="AA258" i="24"/>
  <c r="Z258" i="24" s="1"/>
  <c r="Y258" i="24" s="1"/>
  <c r="J210" i="23"/>
  <c r="I210" i="23"/>
  <c r="G288" i="24"/>
  <c r="CE288" i="6" s="1"/>
  <c r="AA288" i="24"/>
  <c r="Z288" i="24" s="1"/>
  <c r="Y288" i="24" s="1"/>
  <c r="I333" i="23"/>
  <c r="H333" i="24" s="1"/>
  <c r="J333" i="23"/>
  <c r="J180" i="23"/>
  <c r="I180" i="23"/>
  <c r="H180" i="24" s="1"/>
  <c r="I363" i="23"/>
  <c r="J363" i="23"/>
  <c r="J349" i="24"/>
  <c r="I349" i="24"/>
  <c r="E7" i="6"/>
  <c r="AC7" i="7"/>
  <c r="J380" i="25"/>
  <c r="I380" i="25"/>
  <c r="S365" i="25"/>
  <c r="R365" i="25" s="1"/>
  <c r="P365" i="25" s="1"/>
  <c r="V365" i="25" s="1"/>
  <c r="B365" i="25" s="1"/>
  <c r="S335" i="25"/>
  <c r="R335" i="25" s="1"/>
  <c r="P335" i="25" s="1"/>
  <c r="V335" i="25" s="1"/>
  <c r="B335" i="25" s="1"/>
  <c r="D323" i="25"/>
  <c r="E323" i="25" s="1"/>
  <c r="F323" i="25" s="1"/>
  <c r="W323" i="25"/>
  <c r="D307" i="25"/>
  <c r="E307" i="25" s="1"/>
  <c r="F307" i="25" s="1"/>
  <c r="W291" i="25"/>
  <c r="D291" i="25"/>
  <c r="E291" i="25" s="1"/>
  <c r="F291" i="25" s="1"/>
  <c r="S287" i="25"/>
  <c r="R287" i="25" s="1"/>
  <c r="P287" i="25" s="1"/>
  <c r="V287" i="25" s="1"/>
  <c r="B287" i="25" s="1"/>
  <c r="S253" i="25"/>
  <c r="R253" i="25" s="1"/>
  <c r="P253" i="25" s="1"/>
  <c r="V253" i="25" s="1"/>
  <c r="B253" i="25" s="1"/>
  <c r="D249" i="25"/>
  <c r="E249" i="25" s="1"/>
  <c r="F249" i="25" s="1"/>
  <c r="W249" i="25"/>
  <c r="D217" i="25"/>
  <c r="E217" i="25" s="1"/>
  <c r="F217" i="25" s="1"/>
  <c r="S189" i="25"/>
  <c r="R189" i="25" s="1"/>
  <c r="P189" i="25" s="1"/>
  <c r="V189" i="25" s="1"/>
  <c r="B189" i="25" s="1"/>
  <c r="D185" i="25"/>
  <c r="E185" i="25" s="1"/>
  <c r="F185" i="25" s="1"/>
  <c r="W185" i="25"/>
  <c r="S161" i="25"/>
  <c r="R161" i="25" s="1"/>
  <c r="P161" i="25" s="1"/>
  <c r="V161" i="25" s="1"/>
  <c r="B161" i="25" s="1"/>
  <c r="S67" i="25"/>
  <c r="R67" i="25" s="1"/>
  <c r="P67" i="25" s="1"/>
  <c r="V67" i="25" s="1"/>
  <c r="B67" i="25" s="1"/>
  <c r="W363" i="24"/>
  <c r="D363" i="24"/>
  <c r="E363" i="24" s="1"/>
  <c r="F363" i="24" s="1"/>
  <c r="I339" i="24"/>
  <c r="J339" i="24"/>
  <c r="J337" i="24"/>
  <c r="I337" i="24"/>
  <c r="I301" i="24"/>
  <c r="J301" i="24"/>
  <c r="I273" i="24"/>
  <c r="J273" i="24"/>
  <c r="J263" i="24"/>
  <c r="I263" i="24"/>
  <c r="AA237" i="24"/>
  <c r="Z237" i="24" s="1"/>
  <c r="Y237" i="24" s="1"/>
  <c r="H237" i="24"/>
  <c r="G237" i="24"/>
  <c r="CE237" i="6" s="1"/>
  <c r="I219" i="24"/>
  <c r="J219" i="24"/>
  <c r="I201" i="24"/>
  <c r="J201" i="24"/>
  <c r="G189" i="24"/>
  <c r="CE189" i="6" s="1"/>
  <c r="H189" i="24"/>
  <c r="AA189" i="24"/>
  <c r="Z189" i="24" s="1"/>
  <c r="Y189" i="24" s="1"/>
  <c r="AA181" i="24"/>
  <c r="Z181" i="24" s="1"/>
  <c r="Y181" i="24" s="1"/>
  <c r="G181" i="24"/>
  <c r="CE181" i="6" s="1"/>
  <c r="H181" i="24"/>
  <c r="J159" i="24"/>
  <c r="I159" i="24"/>
  <c r="AA149" i="24"/>
  <c r="Z149" i="24" s="1"/>
  <c r="Y149" i="24" s="1"/>
  <c r="G149" i="24"/>
  <c r="CE149" i="6" s="1"/>
  <c r="J147" i="24"/>
  <c r="I147" i="24"/>
  <c r="AA125" i="24"/>
  <c r="Z125" i="24" s="1"/>
  <c r="Y125" i="24" s="1"/>
  <c r="H125" i="24"/>
  <c r="G125" i="24"/>
  <c r="CE125" i="6" s="1"/>
  <c r="AA103" i="24"/>
  <c r="Z103" i="24" s="1"/>
  <c r="Y103" i="24" s="1"/>
  <c r="G103" i="24"/>
  <c r="CE103" i="6" s="1"/>
  <c r="H103" i="24"/>
  <c r="G91" i="24"/>
  <c r="CE91" i="6" s="1"/>
  <c r="H91" i="24"/>
  <c r="AA91" i="24"/>
  <c r="Z91" i="24" s="1"/>
  <c r="Y91" i="24" s="1"/>
  <c r="I83" i="24"/>
  <c r="J83" i="24"/>
  <c r="J71" i="24"/>
  <c r="I71" i="24"/>
  <c r="G69" i="24"/>
  <c r="CE69" i="6" s="1"/>
  <c r="AA69" i="24"/>
  <c r="Z69" i="24" s="1"/>
  <c r="Y69" i="24" s="1"/>
  <c r="H69" i="24"/>
  <c r="I39" i="24"/>
  <c r="J39" i="24"/>
  <c r="G135" i="24"/>
  <c r="CE135" i="6" s="1"/>
  <c r="H135" i="24"/>
  <c r="AA135" i="24"/>
  <c r="Z135" i="24" s="1"/>
  <c r="Y135" i="24" s="1"/>
  <c r="AA105" i="24"/>
  <c r="Z105" i="24" s="1"/>
  <c r="Y105" i="24" s="1"/>
  <c r="G105" i="24"/>
  <c r="CE105" i="6" s="1"/>
  <c r="H105" i="24"/>
  <c r="I149" i="23"/>
  <c r="H149" i="24" s="1"/>
  <c r="J149" i="23"/>
  <c r="I196" i="24"/>
  <c r="J196" i="24"/>
  <c r="I46" i="23"/>
  <c r="H46" i="24" s="1"/>
  <c r="J46" i="23"/>
  <c r="I360" i="24"/>
  <c r="J360" i="24"/>
  <c r="I266" i="24"/>
  <c r="J266" i="24"/>
  <c r="J250" i="24"/>
  <c r="I250" i="24"/>
  <c r="J242" i="24"/>
  <c r="I242" i="24"/>
  <c r="I224" i="24"/>
  <c r="J224" i="24"/>
  <c r="J216" i="24"/>
  <c r="I216" i="24"/>
  <c r="I208" i="24"/>
  <c r="J208" i="24"/>
  <c r="I202" i="24"/>
  <c r="J202" i="24"/>
  <c r="J194" i="24"/>
  <c r="I186" i="24"/>
  <c r="J186" i="24"/>
  <c r="J136" i="24"/>
  <c r="I136" i="24"/>
  <c r="I118" i="24"/>
  <c r="J118" i="24"/>
  <c r="I110" i="24"/>
  <c r="J110" i="24"/>
  <c r="J72" i="24"/>
  <c r="I72" i="24"/>
  <c r="J66" i="24"/>
  <c r="I66" i="24"/>
  <c r="AA60" i="24"/>
  <c r="Z60" i="24" s="1"/>
  <c r="Y60" i="24" s="1"/>
  <c r="G60" i="24"/>
  <c r="CE60" i="6" s="1"/>
  <c r="I36" i="24"/>
  <c r="J36" i="24"/>
  <c r="AG247" i="25"/>
  <c r="AF247" i="25" s="1"/>
  <c r="AD247" i="25" s="1"/>
  <c r="AA166" i="24"/>
  <c r="Z166" i="24" s="1"/>
  <c r="Y166" i="24" s="1"/>
  <c r="G166" i="24"/>
  <c r="CE166" i="6" s="1"/>
  <c r="J119" i="23"/>
  <c r="I119" i="23"/>
  <c r="H119" i="24" s="1"/>
  <c r="J382" i="18"/>
  <c r="C15" i="6"/>
  <c r="J383" i="18"/>
  <c r="J381" i="18"/>
  <c r="I297" i="24"/>
  <c r="J297" i="24"/>
  <c r="J269" i="24"/>
  <c r="I269" i="24"/>
  <c r="I239" i="24"/>
  <c r="J239" i="24"/>
  <c r="I183" i="24"/>
  <c r="J183" i="24"/>
  <c r="I143" i="24"/>
  <c r="J143" i="24"/>
  <c r="I67" i="24"/>
  <c r="J67" i="24"/>
  <c r="I59" i="24"/>
  <c r="J59" i="24"/>
  <c r="AA366" i="24"/>
  <c r="Z366" i="24" s="1"/>
  <c r="Y366" i="24" s="1"/>
  <c r="G366" i="24"/>
  <c r="CE366" i="6" s="1"/>
  <c r="H366" i="24"/>
  <c r="AA352" i="24"/>
  <c r="Z352" i="24" s="1"/>
  <c r="Y352" i="24" s="1"/>
  <c r="H352" i="24"/>
  <c r="G352" i="24"/>
  <c r="CE352" i="6" s="1"/>
  <c r="G296" i="24"/>
  <c r="CE296" i="6" s="1"/>
  <c r="H296" i="24"/>
  <c r="AA296" i="24"/>
  <c r="Z296" i="24" s="1"/>
  <c r="Y296" i="24" s="1"/>
  <c r="D210" i="24"/>
  <c r="E210" i="24" s="1"/>
  <c r="F210" i="24" s="1"/>
  <c r="W210" i="24"/>
  <c r="G182" i="24"/>
  <c r="CE182" i="6" s="1"/>
  <c r="AA182" i="24"/>
  <c r="Z182" i="24" s="1"/>
  <c r="Y182" i="24" s="1"/>
  <c r="H182" i="24"/>
  <c r="G134" i="24"/>
  <c r="CE134" i="6" s="1"/>
  <c r="AA134" i="24"/>
  <c r="Z134" i="24" s="1"/>
  <c r="Y134" i="24" s="1"/>
  <c r="H134" i="24"/>
  <c r="G347" i="24"/>
  <c r="CE347" i="6" s="1"/>
  <c r="H347" i="24"/>
  <c r="AA347" i="24"/>
  <c r="Z347" i="24" s="1"/>
  <c r="Y347" i="24" s="1"/>
  <c r="AA321" i="24"/>
  <c r="Z321" i="24" s="1"/>
  <c r="Y321" i="24" s="1"/>
  <c r="G321" i="24"/>
  <c r="CE321" i="6" s="1"/>
  <c r="H321" i="24"/>
  <c r="G285" i="24"/>
  <c r="CE285" i="6" s="1"/>
  <c r="H285" i="24"/>
  <c r="AA285" i="24"/>
  <c r="Z285" i="24" s="1"/>
  <c r="Y285" i="24" s="1"/>
  <c r="G229" i="24"/>
  <c r="CE229" i="6" s="1"/>
  <c r="AA229" i="24"/>
  <c r="Z229" i="24" s="1"/>
  <c r="Y229" i="24" s="1"/>
  <c r="H229" i="24"/>
  <c r="G207" i="24"/>
  <c r="CE207" i="6" s="1"/>
  <c r="AA207" i="24"/>
  <c r="Z207" i="24" s="1"/>
  <c r="Y207" i="24" s="1"/>
  <c r="H207" i="24"/>
  <c r="AA195" i="24"/>
  <c r="Z195" i="24" s="1"/>
  <c r="Y195" i="24" s="1"/>
  <c r="G195" i="24"/>
  <c r="CE195" i="6" s="1"/>
  <c r="H195" i="24"/>
  <c r="AA145" i="24"/>
  <c r="Z145" i="24" s="1"/>
  <c r="Y145" i="24" s="1"/>
  <c r="H145" i="24"/>
  <c r="G145" i="24"/>
  <c r="CE145" i="6" s="1"/>
  <c r="G131" i="24"/>
  <c r="CE131" i="6" s="1"/>
  <c r="H131" i="24"/>
  <c r="AA131" i="24"/>
  <c r="Z131" i="24" s="1"/>
  <c r="Y131" i="24" s="1"/>
  <c r="G123" i="24"/>
  <c r="CE123" i="6" s="1"/>
  <c r="AA123" i="24"/>
  <c r="Z123" i="24" s="1"/>
  <c r="Y123" i="24" s="1"/>
  <c r="H123" i="24"/>
  <c r="G113" i="24"/>
  <c r="CE113" i="6" s="1"/>
  <c r="H113" i="24"/>
  <c r="AA113" i="24"/>
  <c r="Z113" i="24" s="1"/>
  <c r="Y113" i="24" s="1"/>
  <c r="AA95" i="24"/>
  <c r="Z95" i="24" s="1"/>
  <c r="Y95" i="24" s="1"/>
  <c r="G95" i="24"/>
  <c r="CE95" i="6" s="1"/>
  <c r="H95" i="24"/>
  <c r="AA31" i="24"/>
  <c r="Z31" i="24" s="1"/>
  <c r="Y31" i="24" s="1"/>
  <c r="H31" i="24"/>
  <c r="G31" i="24"/>
  <c r="CE31" i="6" s="1"/>
  <c r="G378" i="24"/>
  <c r="CE378" i="6" s="1"/>
  <c r="AA378" i="24"/>
  <c r="Z378" i="24" s="1"/>
  <c r="Y378" i="24" s="1"/>
  <c r="H378" i="24"/>
  <c r="AA358" i="24"/>
  <c r="Z358" i="24" s="1"/>
  <c r="Y358" i="24" s="1"/>
  <c r="H358" i="24"/>
  <c r="G358" i="24"/>
  <c r="CE358" i="6" s="1"/>
  <c r="G342" i="24"/>
  <c r="CE342" i="6" s="1"/>
  <c r="AA342" i="24"/>
  <c r="Z342" i="24" s="1"/>
  <c r="Y342" i="24" s="1"/>
  <c r="H342" i="24"/>
  <c r="G314" i="24"/>
  <c r="CE314" i="6" s="1"/>
  <c r="H314" i="24"/>
  <c r="AA314" i="24"/>
  <c r="Z314" i="24" s="1"/>
  <c r="Y314" i="24" s="1"/>
  <c r="AA280" i="24"/>
  <c r="Z280" i="24" s="1"/>
  <c r="Y280" i="24" s="1"/>
  <c r="H280" i="24"/>
  <c r="G280" i="24"/>
  <c r="CE280" i="6" s="1"/>
  <c r="G204" i="24"/>
  <c r="CE204" i="6" s="1"/>
  <c r="H204" i="24"/>
  <c r="AA204" i="24"/>
  <c r="Z204" i="24" s="1"/>
  <c r="Y204" i="24" s="1"/>
  <c r="AA164" i="24"/>
  <c r="Z164" i="24" s="1"/>
  <c r="Y164" i="24" s="1"/>
  <c r="G164" i="24"/>
  <c r="CE164" i="6" s="1"/>
  <c r="H164" i="24"/>
  <c r="AA144" i="24"/>
  <c r="Z144" i="24" s="1"/>
  <c r="Y144" i="24" s="1"/>
  <c r="H144" i="24"/>
  <c r="G144" i="24"/>
  <c r="CE144" i="6" s="1"/>
  <c r="AA90" i="24"/>
  <c r="Z90" i="24" s="1"/>
  <c r="Y90" i="24" s="1"/>
  <c r="H90" i="24"/>
  <c r="G90" i="24"/>
  <c r="CE90" i="6" s="1"/>
  <c r="G341" i="24"/>
  <c r="CE341" i="6" s="1"/>
  <c r="AA341" i="24"/>
  <c r="Z341" i="24" s="1"/>
  <c r="Y341" i="24" s="1"/>
  <c r="H341" i="24"/>
  <c r="D319" i="24"/>
  <c r="E319" i="24" s="1"/>
  <c r="F319" i="24" s="1"/>
  <c r="W319" i="24"/>
  <c r="G289" i="24"/>
  <c r="CE289" i="6" s="1"/>
  <c r="H289" i="24"/>
  <c r="AA289" i="24"/>
  <c r="Z289" i="24" s="1"/>
  <c r="Y289" i="24" s="1"/>
  <c r="AA259" i="24"/>
  <c r="Z259" i="24" s="1"/>
  <c r="Y259" i="24" s="1"/>
  <c r="H259" i="24"/>
  <c r="G259" i="24"/>
  <c r="CE259" i="6" s="1"/>
  <c r="AA225" i="24"/>
  <c r="Z225" i="24" s="1"/>
  <c r="Y225" i="24" s="1"/>
  <c r="H225" i="24"/>
  <c r="G225" i="24"/>
  <c r="CE225" i="6" s="1"/>
  <c r="AA213" i="24"/>
  <c r="Z213" i="24" s="1"/>
  <c r="Y213" i="24" s="1"/>
  <c r="G213" i="24"/>
  <c r="CE213" i="6" s="1"/>
  <c r="H213" i="24"/>
  <c r="G205" i="24"/>
  <c r="CE205" i="6" s="1"/>
  <c r="H205" i="24"/>
  <c r="AA205" i="24"/>
  <c r="Z205" i="24" s="1"/>
  <c r="Y205" i="24" s="1"/>
  <c r="AA157" i="24"/>
  <c r="Z157" i="24" s="1"/>
  <c r="Y157" i="24" s="1"/>
  <c r="H157" i="24"/>
  <c r="G157" i="24"/>
  <c r="CE157" i="6" s="1"/>
  <c r="AA127" i="24"/>
  <c r="Z127" i="24" s="1"/>
  <c r="Y127" i="24" s="1"/>
  <c r="G127" i="24"/>
  <c r="CE127" i="6" s="1"/>
  <c r="H127" i="24"/>
  <c r="G121" i="24"/>
  <c r="CE121" i="6" s="1"/>
  <c r="AA121" i="24"/>
  <c r="Z121" i="24" s="1"/>
  <c r="Y121" i="24" s="1"/>
  <c r="H121" i="24"/>
  <c r="AG379" i="24" l="1"/>
  <c r="AH383" i="24"/>
  <c r="BF16" i="7"/>
  <c r="AD159" i="23"/>
  <c r="AF382" i="23"/>
  <c r="AF381" i="23"/>
  <c r="AF383" i="23"/>
  <c r="I294" i="24"/>
  <c r="J364" i="24"/>
  <c r="J80" i="24"/>
  <c r="J162" i="24"/>
  <c r="W374" i="25"/>
  <c r="W275" i="25"/>
  <c r="W331" i="25"/>
  <c r="D339" i="25"/>
  <c r="E339" i="25" s="1"/>
  <c r="F339" i="25" s="1"/>
  <c r="I92" i="24"/>
  <c r="J326" i="24"/>
  <c r="I292" i="24"/>
  <c r="H292" i="25" s="1"/>
  <c r="I260" i="24"/>
  <c r="D20" i="25"/>
  <c r="E20" i="25" s="1"/>
  <c r="F20" i="25" s="1"/>
  <c r="H20" i="25" s="1"/>
  <c r="D38" i="25"/>
  <c r="E38" i="25" s="1"/>
  <c r="F38" i="25" s="1"/>
  <c r="AA38" i="25" s="1"/>
  <c r="Z38" i="25" s="1"/>
  <c r="Y38" i="25" s="1"/>
  <c r="W102" i="25"/>
  <c r="D134" i="25"/>
  <c r="E134" i="25" s="1"/>
  <c r="F134" i="25" s="1"/>
  <c r="AA134" i="25" s="1"/>
  <c r="Z134" i="25" s="1"/>
  <c r="Y134" i="25" s="1"/>
  <c r="W356" i="25"/>
  <c r="D273" i="25"/>
  <c r="E273" i="25" s="1"/>
  <c r="F273" i="25" s="1"/>
  <c r="AA273" i="25" s="1"/>
  <c r="Z273" i="25" s="1"/>
  <c r="Y273" i="25" s="1"/>
  <c r="W181" i="25"/>
  <c r="W197" i="25"/>
  <c r="J274" i="24"/>
  <c r="W229" i="25"/>
  <c r="D313" i="25"/>
  <c r="E313" i="25" s="1"/>
  <c r="F313" i="25" s="1"/>
  <c r="H313" i="25" s="1"/>
  <c r="D377" i="25"/>
  <c r="E377" i="25" s="1"/>
  <c r="F377" i="25" s="1"/>
  <c r="G377" i="25" s="1"/>
  <c r="CF377" i="6" s="1"/>
  <c r="I104" i="24"/>
  <c r="W280" i="25"/>
  <c r="W292" i="25"/>
  <c r="J212" i="24"/>
  <c r="J344" i="24"/>
  <c r="D211" i="25"/>
  <c r="E211" i="25" s="1"/>
  <c r="F211" i="25" s="1"/>
  <c r="H211" i="25" s="1"/>
  <c r="V241" i="25"/>
  <c r="B241" i="25" s="1"/>
  <c r="W241" i="25" s="1"/>
  <c r="D297" i="25"/>
  <c r="E297" i="25" s="1"/>
  <c r="F297" i="25" s="1"/>
  <c r="G297" i="25" s="1"/>
  <c r="CF297" i="6" s="1"/>
  <c r="D337" i="25"/>
  <c r="E337" i="25" s="1"/>
  <c r="F337" i="25" s="1"/>
  <c r="G337" i="25" s="1"/>
  <c r="CF337" i="6" s="1"/>
  <c r="W357" i="25"/>
  <c r="I25" i="24"/>
  <c r="H25" i="25" s="1"/>
  <c r="J350" i="24"/>
  <c r="I198" i="24"/>
  <c r="AH76" i="7"/>
  <c r="D324" i="25"/>
  <c r="E324" i="25" s="1"/>
  <c r="F324" i="25" s="1"/>
  <c r="G324" i="25" s="1"/>
  <c r="CF324" i="6" s="1"/>
  <c r="J284" i="24"/>
  <c r="J54" i="24"/>
  <c r="J23" i="24"/>
  <c r="I122" i="24"/>
  <c r="D169" i="25"/>
  <c r="E169" i="25" s="1"/>
  <c r="F169" i="25" s="1"/>
  <c r="AA169" i="25" s="1"/>
  <c r="Z169" i="25" s="1"/>
  <c r="Y169" i="25" s="1"/>
  <c r="W203" i="25"/>
  <c r="W219" i="25"/>
  <c r="W233" i="25"/>
  <c r="W245" i="25"/>
  <c r="W259" i="25"/>
  <c r="D267" i="25"/>
  <c r="E267" i="25" s="1"/>
  <c r="F267" i="25" s="1"/>
  <c r="AA267" i="25" s="1"/>
  <c r="Z267" i="25" s="1"/>
  <c r="Y267" i="25" s="1"/>
  <c r="W281" i="25"/>
  <c r="D303" i="25"/>
  <c r="E303" i="25" s="1"/>
  <c r="F303" i="25" s="1"/>
  <c r="G303" i="25" s="1"/>
  <c r="CF303" i="6" s="1"/>
  <c r="W315" i="25"/>
  <c r="W345" i="25"/>
  <c r="D373" i="25"/>
  <c r="E373" i="25" s="1"/>
  <c r="F373" i="25" s="1"/>
  <c r="G373" i="25" s="1"/>
  <c r="CF373" i="6" s="1"/>
  <c r="J304" i="24"/>
  <c r="W62" i="25"/>
  <c r="D82" i="25"/>
  <c r="E82" i="25" s="1"/>
  <c r="F82" i="25" s="1"/>
  <c r="G82" i="25" s="1"/>
  <c r="CF82" i="6" s="1"/>
  <c r="D162" i="25"/>
  <c r="E162" i="25" s="1"/>
  <c r="F162" i="25" s="1"/>
  <c r="G162" i="25" s="1"/>
  <c r="CF162" i="6" s="1"/>
  <c r="D276" i="25"/>
  <c r="E276" i="25" s="1"/>
  <c r="F276" i="25" s="1"/>
  <c r="G276" i="25" s="1"/>
  <c r="CF276" i="6" s="1"/>
  <c r="D304" i="25"/>
  <c r="E304" i="25" s="1"/>
  <c r="F304" i="25" s="1"/>
  <c r="H304" i="25" s="1"/>
  <c r="W340" i="25"/>
  <c r="W362" i="25"/>
  <c r="D372" i="25"/>
  <c r="E372" i="25" s="1"/>
  <c r="F372" i="25" s="1"/>
  <c r="H372" i="25" s="1"/>
  <c r="W378" i="25"/>
  <c r="J262" i="24"/>
  <c r="J328" i="24"/>
  <c r="J220" i="24"/>
  <c r="I156" i="24"/>
  <c r="I40" i="24"/>
  <c r="J379" i="23"/>
  <c r="I178" i="24"/>
  <c r="H178" i="25" s="1"/>
  <c r="W167" i="25"/>
  <c r="W193" i="25"/>
  <c r="D201" i="25"/>
  <c r="E201" i="25" s="1"/>
  <c r="F201" i="25" s="1"/>
  <c r="AA201" i="25" s="1"/>
  <c r="Z201" i="25" s="1"/>
  <c r="Y201" i="25" s="1"/>
  <c r="D225" i="25"/>
  <c r="E225" i="25" s="1"/>
  <c r="F225" i="25" s="1"/>
  <c r="G225" i="25" s="1"/>
  <c r="CF225" i="6" s="1"/>
  <c r="D257" i="25"/>
  <c r="E257" i="25" s="1"/>
  <c r="F257" i="25" s="1"/>
  <c r="AA257" i="25" s="1"/>
  <c r="Z257" i="25" s="1"/>
  <c r="Y257" i="25" s="1"/>
  <c r="D311" i="25"/>
  <c r="E311" i="25" s="1"/>
  <c r="F311" i="25" s="1"/>
  <c r="G311" i="25" s="1"/>
  <c r="CF311" i="6" s="1"/>
  <c r="I128" i="24"/>
  <c r="I170" i="24"/>
  <c r="H170" i="25" s="1"/>
  <c r="D352" i="25"/>
  <c r="E352" i="25" s="1"/>
  <c r="F352" i="25" s="1"/>
  <c r="G352" i="25" s="1"/>
  <c r="CF352" i="6" s="1"/>
  <c r="I362" i="24"/>
  <c r="H362" i="25" s="1"/>
  <c r="D279" i="25"/>
  <c r="E279" i="25" s="1"/>
  <c r="F279" i="25" s="1"/>
  <c r="AA279" i="25" s="1"/>
  <c r="Z279" i="25" s="1"/>
  <c r="Y279" i="25" s="1"/>
  <c r="W295" i="25"/>
  <c r="D299" i="25"/>
  <c r="E299" i="25" s="1"/>
  <c r="F299" i="25" s="1"/>
  <c r="G299" i="25" s="1"/>
  <c r="CF299" i="6" s="1"/>
  <c r="W309" i="25"/>
  <c r="W327" i="25"/>
  <c r="D343" i="25"/>
  <c r="E343" i="25" s="1"/>
  <c r="F343" i="25" s="1"/>
  <c r="AA343" i="25" s="1"/>
  <c r="Z343" i="25" s="1"/>
  <c r="Y343" i="25" s="1"/>
  <c r="W375" i="25"/>
  <c r="W30" i="25"/>
  <c r="D106" i="25"/>
  <c r="E106" i="25" s="1"/>
  <c r="F106" i="25" s="1"/>
  <c r="G106" i="25" s="1"/>
  <c r="CF106" i="6" s="1"/>
  <c r="D370" i="25"/>
  <c r="E370" i="25" s="1"/>
  <c r="F370" i="25" s="1"/>
  <c r="H370" i="25" s="1"/>
  <c r="U381" i="25"/>
  <c r="T383" i="25"/>
  <c r="D285" i="25"/>
  <c r="E285" i="25" s="1"/>
  <c r="F285" i="25" s="1"/>
  <c r="AA285" i="25" s="1"/>
  <c r="Z285" i="25" s="1"/>
  <c r="Y285" i="25" s="1"/>
  <c r="W293" i="25"/>
  <c r="AI383" i="25"/>
  <c r="D165" i="25"/>
  <c r="E165" i="25" s="1"/>
  <c r="F165" i="25" s="1"/>
  <c r="AA165" i="25" s="1"/>
  <c r="Z165" i="25" s="1"/>
  <c r="Y165" i="25" s="1"/>
  <c r="D179" i="25"/>
  <c r="E179" i="25" s="1"/>
  <c r="F179" i="25" s="1"/>
  <c r="AA179" i="25" s="1"/>
  <c r="Z179" i="25" s="1"/>
  <c r="Y179" i="25" s="1"/>
  <c r="D195" i="25"/>
  <c r="E195" i="25" s="1"/>
  <c r="F195" i="25" s="1"/>
  <c r="G195" i="25" s="1"/>
  <c r="CF195" i="6" s="1"/>
  <c r="W209" i="25"/>
  <c r="W213" i="25"/>
  <c r="D235" i="25"/>
  <c r="E235" i="25" s="1"/>
  <c r="F235" i="25" s="1"/>
  <c r="AA235" i="25" s="1"/>
  <c r="Z235" i="25" s="1"/>
  <c r="Y235" i="25" s="1"/>
  <c r="D243" i="25"/>
  <c r="E243" i="25" s="1"/>
  <c r="F243" i="25" s="1"/>
  <c r="G243" i="25" s="1"/>
  <c r="CF243" i="6" s="1"/>
  <c r="W251" i="25"/>
  <c r="D271" i="25"/>
  <c r="E271" i="25" s="1"/>
  <c r="F271" i="25" s="1"/>
  <c r="H271" i="25" s="1"/>
  <c r="W305" i="25"/>
  <c r="D321" i="25"/>
  <c r="E321" i="25" s="1"/>
  <c r="F321" i="25" s="1"/>
  <c r="AA321" i="25" s="1"/>
  <c r="Z321" i="25" s="1"/>
  <c r="Y321" i="25" s="1"/>
  <c r="D329" i="25"/>
  <c r="E329" i="25" s="1"/>
  <c r="F329" i="25" s="1"/>
  <c r="AA329" i="25" s="1"/>
  <c r="Z329" i="25" s="1"/>
  <c r="Y329" i="25" s="1"/>
  <c r="W353" i="25"/>
  <c r="D361" i="25"/>
  <c r="E361" i="25" s="1"/>
  <c r="F361" i="25" s="1"/>
  <c r="G361" i="25" s="1"/>
  <c r="CF361" i="6" s="1"/>
  <c r="D288" i="25"/>
  <c r="E288" i="25" s="1"/>
  <c r="F288" i="25" s="1"/>
  <c r="G288" i="25" s="1"/>
  <c r="CF288" i="6" s="1"/>
  <c r="D34" i="25"/>
  <c r="E34" i="25" s="1"/>
  <c r="F34" i="25" s="1"/>
  <c r="G34" i="25" s="1"/>
  <c r="CF34" i="6" s="1"/>
  <c r="W50" i="25"/>
  <c r="D98" i="25"/>
  <c r="E98" i="25" s="1"/>
  <c r="F98" i="25" s="1"/>
  <c r="G98" i="25" s="1"/>
  <c r="CF98" i="6" s="1"/>
  <c r="W126" i="25"/>
  <c r="D146" i="25"/>
  <c r="E146" i="25" s="1"/>
  <c r="F146" i="25" s="1"/>
  <c r="AA146" i="25" s="1"/>
  <c r="Z146" i="25" s="1"/>
  <c r="Y146" i="25" s="1"/>
  <c r="W308" i="25"/>
  <c r="W328" i="25"/>
  <c r="W344" i="25"/>
  <c r="D348" i="25"/>
  <c r="E348" i="25" s="1"/>
  <c r="F348" i="25" s="1"/>
  <c r="AA348" i="25" s="1"/>
  <c r="Z348" i="25" s="1"/>
  <c r="Y348" i="25" s="1"/>
  <c r="D364" i="25"/>
  <c r="E364" i="25" s="1"/>
  <c r="F364" i="25" s="1"/>
  <c r="AA364" i="25" s="1"/>
  <c r="Z364" i="25" s="1"/>
  <c r="Y364" i="25" s="1"/>
  <c r="D173" i="25"/>
  <c r="E173" i="25" s="1"/>
  <c r="F173" i="25" s="1"/>
  <c r="AA173" i="25" s="1"/>
  <c r="Z173" i="25" s="1"/>
  <c r="Y173" i="25" s="1"/>
  <c r="D191" i="25"/>
  <c r="E191" i="25" s="1"/>
  <c r="F191" i="25" s="1"/>
  <c r="AA191" i="25" s="1"/>
  <c r="Z191" i="25" s="1"/>
  <c r="Y191" i="25" s="1"/>
  <c r="D205" i="25"/>
  <c r="E205" i="25" s="1"/>
  <c r="F205" i="25" s="1"/>
  <c r="G205" i="25" s="1"/>
  <c r="CF205" i="6" s="1"/>
  <c r="W215" i="25"/>
  <c r="D223" i="25"/>
  <c r="E223" i="25" s="1"/>
  <c r="F223" i="25" s="1"/>
  <c r="AA223" i="25" s="1"/>
  <c r="Z223" i="25" s="1"/>
  <c r="Y223" i="25" s="1"/>
  <c r="W231" i="25"/>
  <c r="D239" i="25"/>
  <c r="E239" i="25" s="1"/>
  <c r="F239" i="25" s="1"/>
  <c r="AA239" i="25" s="1"/>
  <c r="Z239" i="25" s="1"/>
  <c r="Y239" i="25" s="1"/>
  <c r="D351" i="25"/>
  <c r="E351" i="25" s="1"/>
  <c r="F351" i="25" s="1"/>
  <c r="AA351" i="25" s="1"/>
  <c r="Z351" i="25" s="1"/>
  <c r="Y351" i="25" s="1"/>
  <c r="D94" i="25"/>
  <c r="E94" i="25" s="1"/>
  <c r="F94" i="25" s="1"/>
  <c r="H94" i="25" s="1"/>
  <c r="D110" i="25"/>
  <c r="E110" i="25" s="1"/>
  <c r="F110" i="25" s="1"/>
  <c r="G110" i="25" s="1"/>
  <c r="CF110" i="6" s="1"/>
  <c r="D122" i="25"/>
  <c r="E122" i="25" s="1"/>
  <c r="F122" i="25" s="1"/>
  <c r="H122" i="25" s="1"/>
  <c r="W158" i="25"/>
  <c r="D270" i="25"/>
  <c r="E270" i="25" s="1"/>
  <c r="F270" i="25" s="1"/>
  <c r="G270" i="25" s="1"/>
  <c r="CF270" i="6" s="1"/>
  <c r="W290" i="25"/>
  <c r="W306" i="25"/>
  <c r="D314" i="25"/>
  <c r="E314" i="25" s="1"/>
  <c r="F314" i="25" s="1"/>
  <c r="AA314" i="25" s="1"/>
  <c r="Z314" i="25" s="1"/>
  <c r="Y314" i="25" s="1"/>
  <c r="D360" i="25"/>
  <c r="E360" i="25" s="1"/>
  <c r="F360" i="25" s="1"/>
  <c r="G360" i="25" s="1"/>
  <c r="CF360" i="6" s="1"/>
  <c r="D31" i="19"/>
  <c r="D277" i="25"/>
  <c r="E277" i="25" s="1"/>
  <c r="F277" i="25" s="1"/>
  <c r="G277" i="25" s="1"/>
  <c r="CF277" i="6" s="1"/>
  <c r="D325" i="25"/>
  <c r="E325" i="25" s="1"/>
  <c r="F325" i="25" s="1"/>
  <c r="AA325" i="25" s="1"/>
  <c r="Z325" i="25" s="1"/>
  <c r="Y325" i="25" s="1"/>
  <c r="W359" i="25"/>
  <c r="W42" i="25"/>
  <c r="D58" i="25"/>
  <c r="E58" i="25" s="1"/>
  <c r="F58" i="25" s="1"/>
  <c r="G58" i="25" s="1"/>
  <c r="CF58" i="6" s="1"/>
  <c r="W90" i="25"/>
  <c r="W138" i="25"/>
  <c r="D318" i="25"/>
  <c r="E318" i="25" s="1"/>
  <c r="F318" i="25" s="1"/>
  <c r="AA318" i="25" s="1"/>
  <c r="Z318" i="25" s="1"/>
  <c r="Y318" i="25" s="1"/>
  <c r="W326" i="25"/>
  <c r="W334" i="25"/>
  <c r="W342" i="25"/>
  <c r="AI381" i="25"/>
  <c r="W31" i="25"/>
  <c r="W39" i="25"/>
  <c r="W47" i="25"/>
  <c r="AH15" i="25"/>
  <c r="AG15" i="25" s="1"/>
  <c r="G379" i="24"/>
  <c r="CE379" i="6" s="1"/>
  <c r="U383" i="25"/>
  <c r="U382" i="25"/>
  <c r="D70" i="25"/>
  <c r="E70" i="25" s="1"/>
  <c r="F70" i="25" s="1"/>
  <c r="G70" i="25" s="1"/>
  <c r="CF70" i="6" s="1"/>
  <c r="D92" i="25"/>
  <c r="E92" i="25" s="1"/>
  <c r="F92" i="25" s="1"/>
  <c r="G92" i="25" s="1"/>
  <c r="CF92" i="6" s="1"/>
  <c r="D224" i="25"/>
  <c r="E224" i="25" s="1"/>
  <c r="F224" i="25" s="1"/>
  <c r="AA224" i="25" s="1"/>
  <c r="Z224" i="25" s="1"/>
  <c r="Y224" i="25" s="1"/>
  <c r="W228" i="25"/>
  <c r="D296" i="25"/>
  <c r="E296" i="25" s="1"/>
  <c r="F296" i="25" s="1"/>
  <c r="G296" i="25" s="1"/>
  <c r="CF296" i="6" s="1"/>
  <c r="W300" i="25"/>
  <c r="D312" i="25"/>
  <c r="E312" i="25" s="1"/>
  <c r="F312" i="25" s="1"/>
  <c r="G312" i="25" s="1"/>
  <c r="CF312" i="6" s="1"/>
  <c r="D320" i="25"/>
  <c r="E320" i="25" s="1"/>
  <c r="F320" i="25" s="1"/>
  <c r="AA320" i="25" s="1"/>
  <c r="Z320" i="25" s="1"/>
  <c r="Y320" i="25" s="1"/>
  <c r="W332" i="25"/>
  <c r="D336" i="25"/>
  <c r="E336" i="25" s="1"/>
  <c r="F336" i="25" s="1"/>
  <c r="AA336" i="25" s="1"/>
  <c r="Z336" i="25" s="1"/>
  <c r="Y336" i="25" s="1"/>
  <c r="D289" i="25"/>
  <c r="E289" i="25" s="1"/>
  <c r="F289" i="25" s="1"/>
  <c r="AA289" i="25" s="1"/>
  <c r="Z289" i="25" s="1"/>
  <c r="Y289" i="25" s="1"/>
  <c r="D188" i="25"/>
  <c r="E188" i="25" s="1"/>
  <c r="F188" i="25" s="1"/>
  <c r="AA188" i="25" s="1"/>
  <c r="Z188" i="25" s="1"/>
  <c r="Y188" i="25" s="1"/>
  <c r="D147" i="25"/>
  <c r="E147" i="25" s="1"/>
  <c r="F147" i="25" s="1"/>
  <c r="G147" i="25" s="1"/>
  <c r="CF147" i="6" s="1"/>
  <c r="D156" i="25"/>
  <c r="E156" i="25" s="1"/>
  <c r="F156" i="25" s="1"/>
  <c r="G156" i="25" s="1"/>
  <c r="CF156" i="6" s="1"/>
  <c r="D268" i="25"/>
  <c r="E268" i="25" s="1"/>
  <c r="F268" i="25" s="1"/>
  <c r="H268" i="25" s="1"/>
  <c r="D183" i="25"/>
  <c r="E183" i="25" s="1"/>
  <c r="F183" i="25" s="1"/>
  <c r="AA183" i="25" s="1"/>
  <c r="Z183" i="25" s="1"/>
  <c r="Y183" i="25" s="1"/>
  <c r="W199" i="25"/>
  <c r="D207" i="25"/>
  <c r="E207" i="25" s="1"/>
  <c r="F207" i="25" s="1"/>
  <c r="AA207" i="25" s="1"/>
  <c r="Z207" i="25" s="1"/>
  <c r="Y207" i="25" s="1"/>
  <c r="W221" i="25"/>
  <c r="D237" i="25"/>
  <c r="E237" i="25" s="1"/>
  <c r="F237" i="25" s="1"/>
  <c r="AA237" i="25" s="1"/>
  <c r="Z237" i="25" s="1"/>
  <c r="Y237" i="25" s="1"/>
  <c r="W247" i="25"/>
  <c r="D255" i="25"/>
  <c r="E255" i="25" s="1"/>
  <c r="F255" i="25" s="1"/>
  <c r="AA255" i="25" s="1"/>
  <c r="Z255" i="25" s="1"/>
  <c r="Y255" i="25" s="1"/>
  <c r="W263" i="25"/>
  <c r="D269" i="25"/>
  <c r="E269" i="25" s="1"/>
  <c r="F269" i="25" s="1"/>
  <c r="G269" i="25" s="1"/>
  <c r="CF269" i="6" s="1"/>
  <c r="D301" i="25"/>
  <c r="E301" i="25" s="1"/>
  <c r="F301" i="25" s="1"/>
  <c r="AA301" i="25" s="1"/>
  <c r="Z301" i="25" s="1"/>
  <c r="Y301" i="25" s="1"/>
  <c r="D317" i="25"/>
  <c r="E317" i="25" s="1"/>
  <c r="F317" i="25" s="1"/>
  <c r="AA317" i="25" s="1"/>
  <c r="Z317" i="25" s="1"/>
  <c r="Y317" i="25" s="1"/>
  <c r="AH78" i="7"/>
  <c r="D341" i="25"/>
  <c r="E341" i="25" s="1"/>
  <c r="F341" i="25" s="1"/>
  <c r="AA341" i="25" s="1"/>
  <c r="Z341" i="25" s="1"/>
  <c r="Y341" i="25" s="1"/>
  <c r="D355" i="25"/>
  <c r="E355" i="25" s="1"/>
  <c r="F355" i="25" s="1"/>
  <c r="AA355" i="25" s="1"/>
  <c r="Z355" i="25" s="1"/>
  <c r="Y355" i="25" s="1"/>
  <c r="D371" i="25"/>
  <c r="E371" i="25" s="1"/>
  <c r="F371" i="25" s="1"/>
  <c r="G371" i="25" s="1"/>
  <c r="CF371" i="6" s="1"/>
  <c r="W27" i="25"/>
  <c r="D54" i="25"/>
  <c r="E54" i="25" s="1"/>
  <c r="F54" i="25" s="1"/>
  <c r="G54" i="25" s="1"/>
  <c r="CF54" i="6" s="1"/>
  <c r="D86" i="25"/>
  <c r="E86" i="25" s="1"/>
  <c r="F86" i="25" s="1"/>
  <c r="G86" i="25" s="1"/>
  <c r="CF86" i="6" s="1"/>
  <c r="D118" i="25"/>
  <c r="E118" i="25" s="1"/>
  <c r="F118" i="25" s="1"/>
  <c r="G118" i="25" s="1"/>
  <c r="CF118" i="6" s="1"/>
  <c r="D274" i="25"/>
  <c r="E274" i="25" s="1"/>
  <c r="F274" i="25" s="1"/>
  <c r="H274" i="25" s="1"/>
  <c r="W282" i="25"/>
  <c r="W286" i="25"/>
  <c r="W294" i="25"/>
  <c r="V302" i="25"/>
  <c r="B302" i="25" s="1"/>
  <c r="D302" i="25" s="1"/>
  <c r="E302" i="25" s="1"/>
  <c r="F302" i="25" s="1"/>
  <c r="W310" i="25"/>
  <c r="D322" i="25"/>
  <c r="E322" i="25" s="1"/>
  <c r="F322" i="25" s="1"/>
  <c r="AA322" i="25" s="1"/>
  <c r="Z322" i="25" s="1"/>
  <c r="Y322" i="25" s="1"/>
  <c r="D330" i="25"/>
  <c r="E330" i="25" s="1"/>
  <c r="F330" i="25" s="1"/>
  <c r="G330" i="25" s="1"/>
  <c r="CF330" i="6" s="1"/>
  <c r="W338" i="25"/>
  <c r="H379" i="24"/>
  <c r="J379" i="24" s="1"/>
  <c r="D63" i="25"/>
  <c r="E63" i="25" s="1"/>
  <c r="F63" i="25" s="1"/>
  <c r="H63" i="25" s="1"/>
  <c r="D71" i="25"/>
  <c r="E71" i="25" s="1"/>
  <c r="F71" i="25" s="1"/>
  <c r="AA71" i="25" s="1"/>
  <c r="Z71" i="25" s="1"/>
  <c r="Y71" i="25" s="1"/>
  <c r="W79" i="25"/>
  <c r="W127" i="25"/>
  <c r="D52" i="25"/>
  <c r="E52" i="25" s="1"/>
  <c r="F52" i="25" s="1"/>
  <c r="AA52" i="25" s="1"/>
  <c r="Z52" i="25" s="1"/>
  <c r="Y52" i="25" s="1"/>
  <c r="W176" i="25"/>
  <c r="D252" i="25"/>
  <c r="E252" i="25" s="1"/>
  <c r="F252" i="25" s="1"/>
  <c r="G252" i="25" s="1"/>
  <c r="CF252" i="6" s="1"/>
  <c r="D21" i="25"/>
  <c r="E21" i="25" s="1"/>
  <c r="F21" i="25" s="1"/>
  <c r="AA21" i="25" s="1"/>
  <c r="Z21" i="25" s="1"/>
  <c r="Y21" i="25" s="1"/>
  <c r="D55" i="25"/>
  <c r="E55" i="25" s="1"/>
  <c r="F55" i="25" s="1"/>
  <c r="AA55" i="25" s="1"/>
  <c r="Z55" i="25" s="1"/>
  <c r="Y55" i="25" s="1"/>
  <c r="W87" i="25"/>
  <c r="W103" i="25"/>
  <c r="W139" i="25"/>
  <c r="W155" i="25"/>
  <c r="W36" i="25"/>
  <c r="D76" i="25"/>
  <c r="E76" i="25" s="1"/>
  <c r="F76" i="25" s="1"/>
  <c r="AA76" i="25" s="1"/>
  <c r="Z76" i="25" s="1"/>
  <c r="Y76" i="25" s="1"/>
  <c r="W108" i="25"/>
  <c r="W140" i="25"/>
  <c r="D168" i="25"/>
  <c r="E168" i="25" s="1"/>
  <c r="F168" i="25" s="1"/>
  <c r="G168" i="25" s="1"/>
  <c r="CF168" i="6" s="1"/>
  <c r="AH73" i="7"/>
  <c r="D236" i="25"/>
  <c r="E236" i="25" s="1"/>
  <c r="F236" i="25" s="1"/>
  <c r="AA236" i="25" s="1"/>
  <c r="Z236" i="25" s="1"/>
  <c r="Y236" i="25" s="1"/>
  <c r="D260" i="25"/>
  <c r="E260" i="25" s="1"/>
  <c r="F260" i="25" s="1"/>
  <c r="G260" i="25" s="1"/>
  <c r="CF260" i="6" s="1"/>
  <c r="W23" i="25"/>
  <c r="W51" i="25"/>
  <c r="D59" i="25"/>
  <c r="E59" i="25" s="1"/>
  <c r="F59" i="25" s="1"/>
  <c r="AA59" i="25" s="1"/>
  <c r="Z59" i="25" s="1"/>
  <c r="Y59" i="25" s="1"/>
  <c r="D83" i="25"/>
  <c r="E83" i="25" s="1"/>
  <c r="F83" i="25" s="1"/>
  <c r="AA83" i="25" s="1"/>
  <c r="Z83" i="25" s="1"/>
  <c r="Y83" i="25" s="1"/>
  <c r="W91" i="25"/>
  <c r="W99" i="25"/>
  <c r="W107" i="25"/>
  <c r="W115" i="25"/>
  <c r="D123" i="25"/>
  <c r="E123" i="25" s="1"/>
  <c r="F123" i="25" s="1"/>
  <c r="AA123" i="25" s="1"/>
  <c r="Z123" i="25" s="1"/>
  <c r="Y123" i="25" s="1"/>
  <c r="D131" i="25"/>
  <c r="E131" i="25" s="1"/>
  <c r="F131" i="25" s="1"/>
  <c r="AA131" i="25" s="1"/>
  <c r="Z131" i="25" s="1"/>
  <c r="Y131" i="25" s="1"/>
  <c r="W143" i="25"/>
  <c r="W151" i="25"/>
  <c r="W159" i="25"/>
  <c r="D163" i="25"/>
  <c r="E163" i="25" s="1"/>
  <c r="F163" i="25" s="1"/>
  <c r="AA163" i="25" s="1"/>
  <c r="Z163" i="25" s="1"/>
  <c r="Y163" i="25" s="1"/>
  <c r="AK13" i="20"/>
  <c r="W18" i="25"/>
  <c r="D28" i="25"/>
  <c r="E28" i="25" s="1"/>
  <c r="F28" i="25" s="1"/>
  <c r="AA28" i="25" s="1"/>
  <c r="Z28" i="25" s="1"/>
  <c r="Y28" i="25" s="1"/>
  <c r="W44" i="25"/>
  <c r="W68" i="25"/>
  <c r="D84" i="25"/>
  <c r="E84" i="25" s="1"/>
  <c r="F84" i="25" s="1"/>
  <c r="AA84" i="25" s="1"/>
  <c r="Z84" i="25" s="1"/>
  <c r="Y84" i="25" s="1"/>
  <c r="D100" i="25"/>
  <c r="E100" i="25" s="1"/>
  <c r="F100" i="25" s="1"/>
  <c r="G100" i="25" s="1"/>
  <c r="CF100" i="6" s="1"/>
  <c r="D124" i="25"/>
  <c r="E124" i="25" s="1"/>
  <c r="F124" i="25" s="1"/>
  <c r="H124" i="25" s="1"/>
  <c r="W132" i="25"/>
  <c r="D148" i="25"/>
  <c r="E148" i="25" s="1"/>
  <c r="F148" i="25" s="1"/>
  <c r="G148" i="25" s="1"/>
  <c r="CF148" i="6" s="1"/>
  <c r="D164" i="25"/>
  <c r="E164" i="25" s="1"/>
  <c r="F164" i="25" s="1"/>
  <c r="G164" i="25" s="1"/>
  <c r="CF164" i="6" s="1"/>
  <c r="W172" i="25"/>
  <c r="W184" i="25"/>
  <c r="D192" i="25"/>
  <c r="E192" i="25" s="1"/>
  <c r="F192" i="25" s="1"/>
  <c r="G192" i="25" s="1"/>
  <c r="CF192" i="6" s="1"/>
  <c r="W204" i="25"/>
  <c r="W212" i="25"/>
  <c r="W220" i="25"/>
  <c r="W232" i="25"/>
  <c r="W240" i="25"/>
  <c r="D256" i="25"/>
  <c r="E256" i="25" s="1"/>
  <c r="F256" i="25" s="1"/>
  <c r="AA256" i="25" s="1"/>
  <c r="Z256" i="25" s="1"/>
  <c r="Y256" i="25" s="1"/>
  <c r="W264" i="25"/>
  <c r="AH68" i="7"/>
  <c r="AH72" i="7"/>
  <c r="W153" i="25"/>
  <c r="W157" i="25"/>
  <c r="W72" i="25"/>
  <c r="D80" i="25"/>
  <c r="E80" i="25" s="1"/>
  <c r="F80" i="25" s="1"/>
  <c r="AA80" i="25" s="1"/>
  <c r="Z80" i="25" s="1"/>
  <c r="Y80" i="25" s="1"/>
  <c r="V88" i="25"/>
  <c r="B88" i="25" s="1"/>
  <c r="W88" i="25" s="1"/>
  <c r="W170" i="25"/>
  <c r="W174" i="25"/>
  <c r="W178" i="25"/>
  <c r="V210" i="25"/>
  <c r="B210" i="25" s="1"/>
  <c r="W210" i="25" s="1"/>
  <c r="W109" i="25"/>
  <c r="D113" i="25"/>
  <c r="E113" i="25" s="1"/>
  <c r="F113" i="25" s="1"/>
  <c r="AA113" i="25" s="1"/>
  <c r="Z113" i="25" s="1"/>
  <c r="Y113" i="25" s="1"/>
  <c r="W117" i="25"/>
  <c r="D121" i="25"/>
  <c r="E121" i="25" s="1"/>
  <c r="F121" i="25" s="1"/>
  <c r="AA121" i="25" s="1"/>
  <c r="Z121" i="25" s="1"/>
  <c r="Y121" i="25" s="1"/>
  <c r="D125" i="25"/>
  <c r="E125" i="25" s="1"/>
  <c r="F125" i="25" s="1"/>
  <c r="AA125" i="25" s="1"/>
  <c r="Z125" i="25" s="1"/>
  <c r="Y125" i="25" s="1"/>
  <c r="D129" i="25"/>
  <c r="E129" i="25" s="1"/>
  <c r="F129" i="25" s="1"/>
  <c r="AA129" i="25" s="1"/>
  <c r="Z129" i="25" s="1"/>
  <c r="Y129" i="25" s="1"/>
  <c r="W133" i="25"/>
  <c r="D120" i="25"/>
  <c r="E120" i="25" s="1"/>
  <c r="F120" i="25" s="1"/>
  <c r="H120" i="25" s="1"/>
  <c r="D128" i="25"/>
  <c r="E128" i="25" s="1"/>
  <c r="F128" i="25" s="1"/>
  <c r="G128" i="25" s="1"/>
  <c r="CF128" i="6" s="1"/>
  <c r="D152" i="25"/>
  <c r="E152" i="25" s="1"/>
  <c r="F152" i="25" s="1"/>
  <c r="AA152" i="25" s="1"/>
  <c r="Z152" i="25" s="1"/>
  <c r="Y152" i="25" s="1"/>
  <c r="D198" i="25"/>
  <c r="E198" i="25" s="1"/>
  <c r="F198" i="25" s="1"/>
  <c r="G198" i="25" s="1"/>
  <c r="CF198" i="6" s="1"/>
  <c r="W214" i="25"/>
  <c r="D218" i="25"/>
  <c r="E218" i="25" s="1"/>
  <c r="F218" i="25" s="1"/>
  <c r="G218" i="25" s="1"/>
  <c r="CF218" i="6" s="1"/>
  <c r="D222" i="25"/>
  <c r="E222" i="25" s="1"/>
  <c r="F222" i="25" s="1"/>
  <c r="AA222" i="25" s="1"/>
  <c r="Z222" i="25" s="1"/>
  <c r="Y222" i="25" s="1"/>
  <c r="W230" i="25"/>
  <c r="D234" i="25"/>
  <c r="E234" i="25" s="1"/>
  <c r="F234" i="25" s="1"/>
  <c r="AA234" i="25" s="1"/>
  <c r="Z234" i="25" s="1"/>
  <c r="Y234" i="25" s="1"/>
  <c r="W238" i="25"/>
  <c r="W242" i="25"/>
  <c r="W246" i="25"/>
  <c r="W250" i="25"/>
  <c r="W254" i="25"/>
  <c r="D26" i="25"/>
  <c r="E26" i="25" s="1"/>
  <c r="F26" i="25" s="1"/>
  <c r="H26" i="25" s="1"/>
  <c r="W25" i="25"/>
  <c r="D33" i="25"/>
  <c r="E33" i="25" s="1"/>
  <c r="F33" i="25" s="1"/>
  <c r="G33" i="25" s="1"/>
  <c r="CF33" i="6" s="1"/>
  <c r="D37" i="25"/>
  <c r="E37" i="25" s="1"/>
  <c r="F37" i="25" s="1"/>
  <c r="G37" i="25" s="1"/>
  <c r="CF37" i="6" s="1"/>
  <c r="D41" i="25"/>
  <c r="E41" i="25" s="1"/>
  <c r="F41" i="25" s="1"/>
  <c r="AA41" i="25" s="1"/>
  <c r="Z41" i="25" s="1"/>
  <c r="Y41" i="25" s="1"/>
  <c r="W45" i="25"/>
  <c r="D49" i="25"/>
  <c r="E49" i="25" s="1"/>
  <c r="F49" i="25" s="1"/>
  <c r="G49" i="25" s="1"/>
  <c r="CF49" i="6" s="1"/>
  <c r="D53" i="25"/>
  <c r="E53" i="25" s="1"/>
  <c r="F53" i="25" s="1"/>
  <c r="G53" i="25" s="1"/>
  <c r="CF53" i="6" s="1"/>
  <c r="D57" i="25"/>
  <c r="E57" i="25" s="1"/>
  <c r="F57" i="25" s="1"/>
  <c r="AA57" i="25" s="1"/>
  <c r="Z57" i="25" s="1"/>
  <c r="Y57" i="25" s="1"/>
  <c r="D61" i="25"/>
  <c r="E61" i="25" s="1"/>
  <c r="F61" i="25" s="1"/>
  <c r="H61" i="25" s="1"/>
  <c r="W65" i="25"/>
  <c r="W69" i="25"/>
  <c r="D73" i="25"/>
  <c r="E73" i="25" s="1"/>
  <c r="F73" i="25" s="1"/>
  <c r="AA73" i="25" s="1"/>
  <c r="Z73" i="25" s="1"/>
  <c r="Y73" i="25" s="1"/>
  <c r="D77" i="25"/>
  <c r="E77" i="25" s="1"/>
  <c r="F77" i="25" s="1"/>
  <c r="AA77" i="25" s="1"/>
  <c r="Z77" i="25" s="1"/>
  <c r="Y77" i="25" s="1"/>
  <c r="W81" i="25"/>
  <c r="W85" i="25"/>
  <c r="W89" i="25"/>
  <c r="W93" i="25"/>
  <c r="W97" i="25"/>
  <c r="D101" i="25"/>
  <c r="E101" i="25" s="1"/>
  <c r="F101" i="25" s="1"/>
  <c r="AA101" i="25" s="1"/>
  <c r="Z101" i="25" s="1"/>
  <c r="Y101" i="25" s="1"/>
  <c r="D137" i="25"/>
  <c r="E137" i="25" s="1"/>
  <c r="F137" i="25" s="1"/>
  <c r="G137" i="25" s="1"/>
  <c r="CF137" i="6" s="1"/>
  <c r="W141" i="25"/>
  <c r="W145" i="25"/>
  <c r="D24" i="25"/>
  <c r="E24" i="25" s="1"/>
  <c r="F24" i="25" s="1"/>
  <c r="G24" i="25" s="1"/>
  <c r="CF24" i="6" s="1"/>
  <c r="D32" i="25"/>
  <c r="E32" i="25" s="1"/>
  <c r="F32" i="25" s="1"/>
  <c r="AA32" i="25" s="1"/>
  <c r="Z32" i="25" s="1"/>
  <c r="Y32" i="25" s="1"/>
  <c r="D40" i="25"/>
  <c r="E40" i="25" s="1"/>
  <c r="F40" i="25" s="1"/>
  <c r="D48" i="25"/>
  <c r="E48" i="25" s="1"/>
  <c r="F48" i="25" s="1"/>
  <c r="AA48" i="25" s="1"/>
  <c r="Z48" i="25" s="1"/>
  <c r="Y48" i="25" s="1"/>
  <c r="W56" i="25"/>
  <c r="D64" i="25"/>
  <c r="E64" i="25" s="1"/>
  <c r="F64" i="25" s="1"/>
  <c r="AA64" i="25" s="1"/>
  <c r="Z64" i="25" s="1"/>
  <c r="Y64" i="25" s="1"/>
  <c r="D96" i="25"/>
  <c r="E96" i="25" s="1"/>
  <c r="F96" i="25" s="1"/>
  <c r="G96" i="25" s="1"/>
  <c r="CF96" i="6" s="1"/>
  <c r="D104" i="25"/>
  <c r="E104" i="25" s="1"/>
  <c r="F104" i="25" s="1"/>
  <c r="G104" i="25" s="1"/>
  <c r="CF104" i="6" s="1"/>
  <c r="D112" i="25"/>
  <c r="E112" i="25" s="1"/>
  <c r="F112" i="25" s="1"/>
  <c r="G112" i="25" s="1"/>
  <c r="CF112" i="6" s="1"/>
  <c r="D136" i="25"/>
  <c r="E136" i="25" s="1"/>
  <c r="F136" i="25" s="1"/>
  <c r="AA136" i="25" s="1"/>
  <c r="Z136" i="25" s="1"/>
  <c r="Y136" i="25" s="1"/>
  <c r="D144" i="25"/>
  <c r="E144" i="25" s="1"/>
  <c r="F144" i="25" s="1"/>
  <c r="AA144" i="25" s="1"/>
  <c r="Z144" i="25" s="1"/>
  <c r="Y144" i="25" s="1"/>
  <c r="W160" i="25"/>
  <c r="W182" i="25"/>
  <c r="W186" i="25"/>
  <c r="D190" i="25"/>
  <c r="E190" i="25" s="1"/>
  <c r="F190" i="25" s="1"/>
  <c r="AA190" i="25" s="1"/>
  <c r="Z190" i="25" s="1"/>
  <c r="Y190" i="25" s="1"/>
  <c r="W202" i="25"/>
  <c r="W206" i="25"/>
  <c r="W262" i="25"/>
  <c r="D266" i="25"/>
  <c r="E266" i="25" s="1"/>
  <c r="F266" i="25" s="1"/>
  <c r="AA266" i="25" s="1"/>
  <c r="Z266" i="25" s="1"/>
  <c r="Y266" i="25" s="1"/>
  <c r="W258" i="25"/>
  <c r="AI382" i="25"/>
  <c r="D200" i="25"/>
  <c r="E200" i="25" s="1"/>
  <c r="F200" i="25" s="1"/>
  <c r="G200" i="25" s="1"/>
  <c r="CF200" i="6" s="1"/>
  <c r="AL10" i="20"/>
  <c r="AL9" i="20"/>
  <c r="AJ8" i="22"/>
  <c r="AJ7" i="22"/>
  <c r="AL6" i="18"/>
  <c r="AL12" i="18" s="1"/>
  <c r="AJ4" i="18" s="1"/>
  <c r="P15" i="19" s="1"/>
  <c r="AL5" i="18"/>
  <c r="AL11" i="18" s="1"/>
  <c r="B261" i="25"/>
  <c r="W261" i="25" s="1"/>
  <c r="J70" i="19"/>
  <c r="B248" i="25"/>
  <c r="W248" i="25" s="1"/>
  <c r="G70" i="19"/>
  <c r="L70" i="19"/>
  <c r="F15" i="19"/>
  <c r="F31" i="19" s="1"/>
  <c r="F70" i="19"/>
  <c r="J119" i="24"/>
  <c r="I119" i="24"/>
  <c r="W35" i="25"/>
  <c r="D35" i="25"/>
  <c r="E35" i="25" s="1"/>
  <c r="F35" i="25" s="1"/>
  <c r="W67" i="25"/>
  <c r="D67" i="25"/>
  <c r="E67" i="25" s="1"/>
  <c r="F67" i="25" s="1"/>
  <c r="D95" i="25"/>
  <c r="E95" i="25" s="1"/>
  <c r="F95" i="25" s="1"/>
  <c r="W95" i="25"/>
  <c r="AH71" i="7"/>
  <c r="V119" i="25"/>
  <c r="B119" i="25" s="1"/>
  <c r="D171" i="25"/>
  <c r="E171" i="25" s="1"/>
  <c r="F171" i="25" s="1"/>
  <c r="W171" i="25"/>
  <c r="W177" i="25"/>
  <c r="D177" i="25"/>
  <c r="E177" i="25" s="1"/>
  <c r="F177" i="25" s="1"/>
  <c r="W189" i="25"/>
  <c r="D189" i="25"/>
  <c r="E189" i="25" s="1"/>
  <c r="F189" i="25" s="1"/>
  <c r="D265" i="25"/>
  <c r="E265" i="25" s="1"/>
  <c r="F265" i="25" s="1"/>
  <c r="W265" i="25"/>
  <c r="D287" i="25"/>
  <c r="E287" i="25" s="1"/>
  <c r="F287" i="25" s="1"/>
  <c r="W287" i="25"/>
  <c r="W347" i="25"/>
  <c r="D347" i="25"/>
  <c r="E347" i="25" s="1"/>
  <c r="F347" i="25" s="1"/>
  <c r="W367" i="25"/>
  <c r="D367" i="25"/>
  <c r="E367" i="25" s="1"/>
  <c r="F367" i="25" s="1"/>
  <c r="J333" i="24"/>
  <c r="I333" i="24"/>
  <c r="J29" i="24"/>
  <c r="I29" i="24"/>
  <c r="AH69" i="7"/>
  <c r="V60" i="25"/>
  <c r="W114" i="25"/>
  <c r="D114" i="25"/>
  <c r="E114" i="25" s="1"/>
  <c r="F114" i="25" s="1"/>
  <c r="D130" i="25"/>
  <c r="E130" i="25" s="1"/>
  <c r="F130" i="25" s="1"/>
  <c r="W130" i="25"/>
  <c r="W154" i="25"/>
  <c r="D154" i="25"/>
  <c r="E154" i="25" s="1"/>
  <c r="F154" i="25" s="1"/>
  <c r="W208" i="25"/>
  <c r="D208" i="25"/>
  <c r="E208" i="25" s="1"/>
  <c r="F208" i="25" s="1"/>
  <c r="W226" i="25"/>
  <c r="D226" i="25"/>
  <c r="E226" i="25" s="1"/>
  <c r="F226" i="25" s="1"/>
  <c r="D278" i="25"/>
  <c r="E278" i="25" s="1"/>
  <c r="F278" i="25" s="1"/>
  <c r="W278" i="25"/>
  <c r="W298" i="25"/>
  <c r="D298" i="25"/>
  <c r="E298" i="25" s="1"/>
  <c r="F298" i="25" s="1"/>
  <c r="D346" i="25"/>
  <c r="E346" i="25" s="1"/>
  <c r="F346" i="25" s="1"/>
  <c r="W346" i="25"/>
  <c r="W376" i="25"/>
  <c r="D376" i="25"/>
  <c r="E376" i="25" s="1"/>
  <c r="F376" i="25" s="1"/>
  <c r="J46" i="24"/>
  <c r="I46" i="24"/>
  <c r="D19" i="25"/>
  <c r="E19" i="25" s="1"/>
  <c r="F19" i="25" s="1"/>
  <c r="W19" i="25"/>
  <c r="D43" i="25"/>
  <c r="E43" i="25" s="1"/>
  <c r="F43" i="25" s="1"/>
  <c r="W43" i="25"/>
  <c r="D75" i="25"/>
  <c r="E75" i="25" s="1"/>
  <c r="F75" i="25" s="1"/>
  <c r="W75" i="25"/>
  <c r="D111" i="25"/>
  <c r="E111" i="25" s="1"/>
  <c r="F111" i="25" s="1"/>
  <c r="W111" i="25"/>
  <c r="D161" i="25"/>
  <c r="E161" i="25" s="1"/>
  <c r="F161" i="25" s="1"/>
  <c r="W161" i="25"/>
  <c r="D175" i="25"/>
  <c r="E175" i="25" s="1"/>
  <c r="F175" i="25" s="1"/>
  <c r="W175" i="25"/>
  <c r="W187" i="25"/>
  <c r="D187" i="25"/>
  <c r="E187" i="25" s="1"/>
  <c r="F187" i="25" s="1"/>
  <c r="D253" i="25"/>
  <c r="E253" i="25" s="1"/>
  <c r="F253" i="25" s="1"/>
  <c r="W253" i="25"/>
  <c r="D283" i="25"/>
  <c r="E283" i="25" s="1"/>
  <c r="F283" i="25" s="1"/>
  <c r="W283" i="25"/>
  <c r="W335" i="25"/>
  <c r="D335" i="25"/>
  <c r="E335" i="25" s="1"/>
  <c r="F335" i="25" s="1"/>
  <c r="AH79" i="7"/>
  <c r="V363" i="25"/>
  <c r="J180" i="24"/>
  <c r="I180" i="24"/>
  <c r="W16" i="25"/>
  <c r="D16" i="25"/>
  <c r="E16" i="25" s="1"/>
  <c r="F16" i="25" s="1"/>
  <c r="W66" i="25"/>
  <c r="D66" i="25"/>
  <c r="E66" i="25" s="1"/>
  <c r="F66" i="25" s="1"/>
  <c r="D116" i="25"/>
  <c r="E116" i="25" s="1"/>
  <c r="F116" i="25" s="1"/>
  <c r="W116" i="25"/>
  <c r="W150" i="25"/>
  <c r="D150" i="25"/>
  <c r="E150" i="25" s="1"/>
  <c r="F150" i="25" s="1"/>
  <c r="W194" i="25"/>
  <c r="D194" i="25"/>
  <c r="E194" i="25" s="1"/>
  <c r="F194" i="25" s="1"/>
  <c r="D216" i="25"/>
  <c r="E216" i="25" s="1"/>
  <c r="F216" i="25" s="1"/>
  <c r="W216" i="25"/>
  <c r="D244" i="25"/>
  <c r="E244" i="25" s="1"/>
  <c r="F244" i="25" s="1"/>
  <c r="W244" i="25"/>
  <c r="D284" i="25"/>
  <c r="E284" i="25" s="1"/>
  <c r="F284" i="25" s="1"/>
  <c r="W284" i="25"/>
  <c r="W316" i="25"/>
  <c r="D316" i="25"/>
  <c r="E316" i="25" s="1"/>
  <c r="F316" i="25" s="1"/>
  <c r="W368" i="25"/>
  <c r="D368" i="25"/>
  <c r="E368" i="25" s="1"/>
  <c r="F368" i="25" s="1"/>
  <c r="I127" i="24"/>
  <c r="H127" i="25" s="1"/>
  <c r="J127" i="24"/>
  <c r="J259" i="24"/>
  <c r="I259" i="24"/>
  <c r="H259" i="25" s="1"/>
  <c r="J341" i="24"/>
  <c r="I341" i="24"/>
  <c r="J280" i="24"/>
  <c r="I280" i="24"/>
  <c r="H280" i="25" s="1"/>
  <c r="I195" i="24"/>
  <c r="J195" i="24"/>
  <c r="I134" i="24"/>
  <c r="H134" i="25" s="1"/>
  <c r="J134" i="24"/>
  <c r="I352" i="24"/>
  <c r="J352" i="24"/>
  <c r="I366" i="24"/>
  <c r="H366" i="25" s="1"/>
  <c r="J366" i="24"/>
  <c r="J105" i="24"/>
  <c r="I105" i="24"/>
  <c r="I149" i="24"/>
  <c r="J149" i="24"/>
  <c r="J181" i="24"/>
  <c r="I181" i="24"/>
  <c r="H181" i="25" s="1"/>
  <c r="G39" i="25"/>
  <c r="CF39" i="6" s="1"/>
  <c r="AA39" i="25"/>
  <c r="Z39" i="25" s="1"/>
  <c r="Y39" i="25" s="1"/>
  <c r="H39" i="25"/>
  <c r="G65" i="25"/>
  <c r="CF65" i="6" s="1"/>
  <c r="AA65" i="25"/>
  <c r="Z65" i="25" s="1"/>
  <c r="Y65" i="25" s="1"/>
  <c r="H65" i="25"/>
  <c r="G81" i="25"/>
  <c r="CF81" i="6" s="1"/>
  <c r="AA81" i="25"/>
  <c r="Z81" i="25" s="1"/>
  <c r="Y81" i="25" s="1"/>
  <c r="G89" i="25"/>
  <c r="CF89" i="6" s="1"/>
  <c r="H89" i="25"/>
  <c r="AA89" i="25"/>
  <c r="Z89" i="25" s="1"/>
  <c r="Y89" i="25" s="1"/>
  <c r="G97" i="25"/>
  <c r="CF97" i="6" s="1"/>
  <c r="AA97" i="25"/>
  <c r="Z97" i="25" s="1"/>
  <c r="Y97" i="25" s="1"/>
  <c r="H97" i="25"/>
  <c r="G99" i="25"/>
  <c r="CF99" i="6" s="1"/>
  <c r="H99" i="25"/>
  <c r="AA99" i="25"/>
  <c r="Z99" i="25" s="1"/>
  <c r="Y99" i="25" s="1"/>
  <c r="G103" i="25"/>
  <c r="CF103" i="6" s="1"/>
  <c r="AA103" i="25"/>
  <c r="Z103" i="25" s="1"/>
  <c r="Y103" i="25" s="1"/>
  <c r="G107" i="25"/>
  <c r="CF107" i="6" s="1"/>
  <c r="H107" i="25"/>
  <c r="AA107" i="25"/>
  <c r="Z107" i="25" s="1"/>
  <c r="Y107" i="25" s="1"/>
  <c r="AA127" i="25"/>
  <c r="Z127" i="25" s="1"/>
  <c r="Y127" i="25" s="1"/>
  <c r="G127" i="25"/>
  <c r="CF127" i="6" s="1"/>
  <c r="G139" i="25"/>
  <c r="CF139" i="6" s="1"/>
  <c r="H139" i="25"/>
  <c r="AA139" i="25"/>
  <c r="Z139" i="25" s="1"/>
  <c r="Y139" i="25" s="1"/>
  <c r="G141" i="25"/>
  <c r="CF141" i="6" s="1"/>
  <c r="AA141" i="25"/>
  <c r="Z141" i="25" s="1"/>
  <c r="Y141" i="25" s="1"/>
  <c r="H141" i="25"/>
  <c r="AA143" i="25"/>
  <c r="Z143" i="25" s="1"/>
  <c r="Y143" i="25" s="1"/>
  <c r="H143" i="25"/>
  <c r="G143" i="25"/>
  <c r="CF143" i="6" s="1"/>
  <c r="G151" i="25"/>
  <c r="CF151" i="6" s="1"/>
  <c r="AA151" i="25"/>
  <c r="Z151" i="25" s="1"/>
  <c r="Y151" i="25" s="1"/>
  <c r="H151" i="25"/>
  <c r="G155" i="25"/>
  <c r="CF155" i="6" s="1"/>
  <c r="AA155" i="25"/>
  <c r="Z155" i="25" s="1"/>
  <c r="Y155" i="25" s="1"/>
  <c r="H155" i="25"/>
  <c r="G157" i="25"/>
  <c r="CF157" i="6" s="1"/>
  <c r="AA157" i="25"/>
  <c r="Z157" i="25" s="1"/>
  <c r="Y157" i="25" s="1"/>
  <c r="AA159" i="25"/>
  <c r="Z159" i="25" s="1"/>
  <c r="Y159" i="25" s="1"/>
  <c r="G159" i="25"/>
  <c r="CF159" i="6" s="1"/>
  <c r="H159" i="25"/>
  <c r="G167" i="25"/>
  <c r="CF167" i="6" s="1"/>
  <c r="AA167" i="25"/>
  <c r="Z167" i="25" s="1"/>
  <c r="Y167" i="25" s="1"/>
  <c r="H167" i="25"/>
  <c r="G169" i="25"/>
  <c r="CF169" i="6" s="1"/>
  <c r="AA185" i="25"/>
  <c r="Z185" i="25" s="1"/>
  <c r="Y185" i="25" s="1"/>
  <c r="H185" i="25"/>
  <c r="G185" i="25"/>
  <c r="CF185" i="6" s="1"/>
  <c r="G193" i="25"/>
  <c r="CF193" i="6" s="1"/>
  <c r="AA193" i="25"/>
  <c r="Z193" i="25" s="1"/>
  <c r="Y193" i="25" s="1"/>
  <c r="H193" i="25"/>
  <c r="H197" i="25"/>
  <c r="AA197" i="25"/>
  <c r="Z197" i="25" s="1"/>
  <c r="Y197" i="25" s="1"/>
  <c r="G197" i="25"/>
  <c r="CF197" i="6" s="1"/>
  <c r="G203" i="25"/>
  <c r="CF203" i="6" s="1"/>
  <c r="AA203" i="25"/>
  <c r="Z203" i="25" s="1"/>
  <c r="Y203" i="25" s="1"/>
  <c r="H203" i="25"/>
  <c r="AA211" i="25"/>
  <c r="Z211" i="25" s="1"/>
  <c r="Y211" i="25" s="1"/>
  <c r="G219" i="25"/>
  <c r="CF219" i="6" s="1"/>
  <c r="H219" i="25"/>
  <c r="AA219" i="25"/>
  <c r="Z219" i="25" s="1"/>
  <c r="Y219" i="25" s="1"/>
  <c r="AA229" i="25"/>
  <c r="Z229" i="25" s="1"/>
  <c r="Y229" i="25" s="1"/>
  <c r="G229" i="25"/>
  <c r="CF229" i="6" s="1"/>
  <c r="AA231" i="25"/>
  <c r="Z231" i="25" s="1"/>
  <c r="Y231" i="25" s="1"/>
  <c r="H231" i="25"/>
  <c r="G231" i="25"/>
  <c r="CF231" i="6" s="1"/>
  <c r="AA245" i="25"/>
  <c r="Z245" i="25" s="1"/>
  <c r="Y245" i="25" s="1"/>
  <c r="H245" i="25"/>
  <c r="G245" i="25"/>
  <c r="CF245" i="6" s="1"/>
  <c r="G247" i="25"/>
  <c r="CF247" i="6" s="1"/>
  <c r="H247" i="25"/>
  <c r="AA247" i="25"/>
  <c r="Z247" i="25" s="1"/>
  <c r="Y247" i="25" s="1"/>
  <c r="AA249" i="25"/>
  <c r="Z249" i="25" s="1"/>
  <c r="Y249" i="25" s="1"/>
  <c r="G249" i="25"/>
  <c r="CF249" i="6" s="1"/>
  <c r="H249" i="25"/>
  <c r="G251" i="25"/>
  <c r="CF251" i="6" s="1"/>
  <c r="AA251" i="25"/>
  <c r="Z251" i="25" s="1"/>
  <c r="Y251" i="25" s="1"/>
  <c r="AA263" i="25"/>
  <c r="Z263" i="25" s="1"/>
  <c r="Y263" i="25" s="1"/>
  <c r="G263" i="25"/>
  <c r="CF263" i="6" s="1"/>
  <c r="H263" i="25"/>
  <c r="G267" i="25"/>
  <c r="CF267" i="6" s="1"/>
  <c r="G273" i="25"/>
  <c r="CF273" i="6" s="1"/>
  <c r="H273" i="25"/>
  <c r="G281" i="25"/>
  <c r="CF281" i="6" s="1"/>
  <c r="AA281" i="25"/>
  <c r="Z281" i="25" s="1"/>
  <c r="Y281" i="25" s="1"/>
  <c r="H281" i="25"/>
  <c r="G305" i="25"/>
  <c r="CF305" i="6" s="1"/>
  <c r="AA305" i="25"/>
  <c r="Z305" i="25" s="1"/>
  <c r="Y305" i="25" s="1"/>
  <c r="G307" i="25"/>
  <c r="CF307" i="6" s="1"/>
  <c r="AA307" i="25"/>
  <c r="Z307" i="25" s="1"/>
  <c r="Y307" i="25" s="1"/>
  <c r="H307" i="25"/>
  <c r="G323" i="25"/>
  <c r="CF323" i="6" s="1"/>
  <c r="AA323" i="25"/>
  <c r="Z323" i="25" s="1"/>
  <c r="Y323" i="25" s="1"/>
  <c r="H323" i="25"/>
  <c r="G331" i="25"/>
  <c r="CF331" i="6" s="1"/>
  <c r="AA331" i="25"/>
  <c r="Z331" i="25" s="1"/>
  <c r="Y331" i="25" s="1"/>
  <c r="G353" i="25"/>
  <c r="CF353" i="6" s="1"/>
  <c r="AA353" i="25"/>
  <c r="Z353" i="25" s="1"/>
  <c r="Y353" i="25" s="1"/>
  <c r="G357" i="25"/>
  <c r="CF357" i="6" s="1"/>
  <c r="AA357" i="25"/>
  <c r="Z357" i="25" s="1"/>
  <c r="Y357" i="25" s="1"/>
  <c r="H357" i="25"/>
  <c r="G359" i="25"/>
  <c r="CF359" i="6" s="1"/>
  <c r="H359" i="25"/>
  <c r="AA359" i="25"/>
  <c r="Z359" i="25" s="1"/>
  <c r="Y359" i="25" s="1"/>
  <c r="W365" i="25"/>
  <c r="D365" i="25"/>
  <c r="E365" i="25" s="1"/>
  <c r="F365" i="25" s="1"/>
  <c r="D369" i="25"/>
  <c r="E369" i="25" s="1"/>
  <c r="F369" i="25" s="1"/>
  <c r="W369" i="25"/>
  <c r="G375" i="25"/>
  <c r="CF375" i="6" s="1"/>
  <c r="AA375" i="25"/>
  <c r="Z375" i="25" s="1"/>
  <c r="Y375" i="25" s="1"/>
  <c r="H375" i="25"/>
  <c r="S379" i="25"/>
  <c r="R379" i="25" s="1"/>
  <c r="P379" i="25" s="1"/>
  <c r="J288" i="24"/>
  <c r="I288" i="24"/>
  <c r="I258" i="24"/>
  <c r="H258" i="25" s="1"/>
  <c r="J258" i="24"/>
  <c r="J28" i="24"/>
  <c r="I28" i="24"/>
  <c r="J30" i="24"/>
  <c r="I30" i="24"/>
  <c r="H30" i="25" s="1"/>
  <c r="J34" i="24"/>
  <c r="I34" i="24"/>
  <c r="I50" i="24"/>
  <c r="H50" i="25" s="1"/>
  <c r="J50" i="24"/>
  <c r="I70" i="24"/>
  <c r="J70" i="24"/>
  <c r="AA88" i="24"/>
  <c r="Z88" i="24" s="1"/>
  <c r="Y88" i="24" s="1"/>
  <c r="G88" i="24"/>
  <c r="CE88" i="6" s="1"/>
  <c r="H88" i="24"/>
  <c r="I200" i="24"/>
  <c r="J200" i="24"/>
  <c r="J270" i="24"/>
  <c r="I270" i="24"/>
  <c r="J272" i="24"/>
  <c r="I272" i="24"/>
  <c r="I322" i="24"/>
  <c r="J322" i="24"/>
  <c r="J348" i="24"/>
  <c r="I348" i="24"/>
  <c r="I57" i="24"/>
  <c r="J57" i="24"/>
  <c r="J137" i="24"/>
  <c r="I137" i="24"/>
  <c r="I353" i="24"/>
  <c r="H353" i="25" s="1"/>
  <c r="J353" i="24"/>
  <c r="I116" i="24"/>
  <c r="J116" i="24"/>
  <c r="I264" i="24"/>
  <c r="H264" i="25" s="1"/>
  <c r="J264" i="24"/>
  <c r="J221" i="24"/>
  <c r="I221" i="24"/>
  <c r="H221" i="25" s="1"/>
  <c r="J291" i="24"/>
  <c r="I291" i="24"/>
  <c r="H291" i="25" s="1"/>
  <c r="I254" i="24"/>
  <c r="H254" i="25" s="1"/>
  <c r="J254" i="24"/>
  <c r="I276" i="24"/>
  <c r="J276" i="24"/>
  <c r="J15" i="20"/>
  <c r="I15" i="20"/>
  <c r="G382" i="20"/>
  <c r="G383" i="20"/>
  <c r="G12" i="20" s="1"/>
  <c r="G381" i="20"/>
  <c r="V381" i="23"/>
  <c r="V383" i="23"/>
  <c r="B68" i="19"/>
  <c r="N68" i="19" s="1"/>
  <c r="V382" i="23"/>
  <c r="Y382" i="18"/>
  <c r="Y381" i="18"/>
  <c r="X9" i="18"/>
  <c r="Y11" i="18" s="1"/>
  <c r="AM6" i="18"/>
  <c r="AM12" i="18" s="1"/>
  <c r="Y383" i="18"/>
  <c r="W135" i="25"/>
  <c r="D135" i="25"/>
  <c r="E135" i="25" s="1"/>
  <c r="F135" i="25" s="1"/>
  <c r="I24" i="24"/>
  <c r="J24" i="24"/>
  <c r="I33" i="24"/>
  <c r="J33" i="24"/>
  <c r="I163" i="24"/>
  <c r="J163" i="24"/>
  <c r="I241" i="24"/>
  <c r="J241" i="24"/>
  <c r="J371" i="24"/>
  <c r="I371" i="24"/>
  <c r="AA18" i="25"/>
  <c r="Z18" i="25" s="1"/>
  <c r="Y18" i="25" s="1"/>
  <c r="G18" i="25"/>
  <c r="CF18" i="6" s="1"/>
  <c r="H18" i="25"/>
  <c r="D17" i="25"/>
  <c r="E17" i="25" s="1"/>
  <c r="F17" i="25" s="1"/>
  <c r="W17" i="25"/>
  <c r="AA27" i="25"/>
  <c r="Z27" i="25" s="1"/>
  <c r="Y27" i="25" s="1"/>
  <c r="H27" i="25"/>
  <c r="G27" i="25"/>
  <c r="CF27" i="6" s="1"/>
  <c r="G38" i="25"/>
  <c r="CF38" i="6" s="1"/>
  <c r="G42" i="25"/>
  <c r="CF42" i="6" s="1"/>
  <c r="AA42" i="25"/>
  <c r="Z42" i="25" s="1"/>
  <c r="Y42" i="25" s="1"/>
  <c r="H42" i="25"/>
  <c r="G50" i="25"/>
  <c r="CF50" i="6" s="1"/>
  <c r="AA50" i="25"/>
  <c r="Z50" i="25" s="1"/>
  <c r="Y50" i="25" s="1"/>
  <c r="AA56" i="25"/>
  <c r="Z56" i="25" s="1"/>
  <c r="Y56" i="25" s="1"/>
  <c r="G56" i="25"/>
  <c r="CF56" i="6" s="1"/>
  <c r="H56" i="25"/>
  <c r="AA62" i="25"/>
  <c r="Z62" i="25" s="1"/>
  <c r="Y62" i="25" s="1"/>
  <c r="G62" i="25"/>
  <c r="CF62" i="6" s="1"/>
  <c r="G78" i="25"/>
  <c r="CF78" i="6" s="1"/>
  <c r="AA78" i="25"/>
  <c r="Z78" i="25" s="1"/>
  <c r="Y78" i="25" s="1"/>
  <c r="AA90" i="25"/>
  <c r="Z90" i="25" s="1"/>
  <c r="Y90" i="25" s="1"/>
  <c r="G90" i="25"/>
  <c r="CF90" i="6" s="1"/>
  <c r="G132" i="25"/>
  <c r="CF132" i="6" s="1"/>
  <c r="AA132" i="25"/>
  <c r="Z132" i="25" s="1"/>
  <c r="Y132" i="25" s="1"/>
  <c r="G138" i="25"/>
  <c r="CF138" i="6" s="1"/>
  <c r="AA138" i="25"/>
  <c r="Z138" i="25" s="1"/>
  <c r="Y138" i="25" s="1"/>
  <c r="H138" i="25"/>
  <c r="H140" i="25"/>
  <c r="G140" i="25"/>
  <c r="CF140" i="6" s="1"/>
  <c r="AA140" i="25"/>
  <c r="Z140" i="25" s="1"/>
  <c r="Y140" i="25" s="1"/>
  <c r="AA160" i="25"/>
  <c r="Z160" i="25" s="1"/>
  <c r="Y160" i="25" s="1"/>
  <c r="G160" i="25"/>
  <c r="CF160" i="6" s="1"/>
  <c r="H160" i="25"/>
  <c r="AA170" i="25"/>
  <c r="Z170" i="25" s="1"/>
  <c r="Y170" i="25" s="1"/>
  <c r="G170" i="25"/>
  <c r="CF170" i="6" s="1"/>
  <c r="AA172" i="25"/>
  <c r="Z172" i="25" s="1"/>
  <c r="Y172" i="25" s="1"/>
  <c r="G172" i="25"/>
  <c r="CF172" i="6" s="1"/>
  <c r="H172" i="25"/>
  <c r="H176" i="25"/>
  <c r="AA176" i="25"/>
  <c r="Z176" i="25" s="1"/>
  <c r="Y176" i="25" s="1"/>
  <c r="G176" i="25"/>
  <c r="CF176" i="6" s="1"/>
  <c r="G178" i="25"/>
  <c r="CF178" i="6" s="1"/>
  <c r="AA178" i="25"/>
  <c r="Z178" i="25" s="1"/>
  <c r="Y178" i="25" s="1"/>
  <c r="AA182" i="25"/>
  <c r="Z182" i="25" s="1"/>
  <c r="Y182" i="25" s="1"/>
  <c r="G182" i="25"/>
  <c r="CF182" i="6" s="1"/>
  <c r="AA184" i="25"/>
  <c r="Z184" i="25" s="1"/>
  <c r="Y184" i="25" s="1"/>
  <c r="G184" i="25"/>
  <c r="CF184" i="6" s="1"/>
  <c r="H184" i="25"/>
  <c r="G202" i="25"/>
  <c r="CF202" i="6" s="1"/>
  <c r="H202" i="25"/>
  <c r="AA202" i="25"/>
  <c r="Z202" i="25" s="1"/>
  <c r="Y202" i="25" s="1"/>
  <c r="G204" i="25"/>
  <c r="CF204" i="6" s="1"/>
  <c r="AA204" i="25"/>
  <c r="Z204" i="25" s="1"/>
  <c r="Y204" i="25" s="1"/>
  <c r="G220" i="25"/>
  <c r="CF220" i="6" s="1"/>
  <c r="AA220" i="25"/>
  <c r="Z220" i="25" s="1"/>
  <c r="Y220" i="25" s="1"/>
  <c r="H220" i="25"/>
  <c r="AA230" i="25"/>
  <c r="Z230" i="25" s="1"/>
  <c r="Y230" i="25" s="1"/>
  <c r="G230" i="25"/>
  <c r="CF230" i="6" s="1"/>
  <c r="H230" i="25"/>
  <c r="H238" i="25"/>
  <c r="AA238" i="25"/>
  <c r="Z238" i="25" s="1"/>
  <c r="Y238" i="25" s="1"/>
  <c r="G238" i="25"/>
  <c r="CF238" i="6" s="1"/>
  <c r="G246" i="25"/>
  <c r="CF246" i="6" s="1"/>
  <c r="AA246" i="25"/>
  <c r="Z246" i="25" s="1"/>
  <c r="Y246" i="25" s="1"/>
  <c r="H246" i="25"/>
  <c r="AA254" i="25"/>
  <c r="Z254" i="25" s="1"/>
  <c r="Y254" i="25" s="1"/>
  <c r="G254" i="25"/>
  <c r="CF254" i="6" s="1"/>
  <c r="G262" i="25"/>
  <c r="CF262" i="6" s="1"/>
  <c r="AA262" i="25"/>
  <c r="Z262" i="25" s="1"/>
  <c r="Y262" i="25" s="1"/>
  <c r="H262" i="25"/>
  <c r="G280" i="25"/>
  <c r="CF280" i="6" s="1"/>
  <c r="AA280" i="25"/>
  <c r="Z280" i="25" s="1"/>
  <c r="Y280" i="25" s="1"/>
  <c r="H282" i="25"/>
  <c r="AA282" i="25"/>
  <c r="Z282" i="25" s="1"/>
  <c r="Y282" i="25" s="1"/>
  <c r="G282" i="25"/>
  <c r="CF282" i="6" s="1"/>
  <c r="G292" i="25"/>
  <c r="CF292" i="6" s="1"/>
  <c r="AA292" i="25"/>
  <c r="Z292" i="25" s="1"/>
  <c r="Y292" i="25" s="1"/>
  <c r="G306" i="25"/>
  <c r="CF306" i="6" s="1"/>
  <c r="AA306" i="25"/>
  <c r="Z306" i="25" s="1"/>
  <c r="Y306" i="25" s="1"/>
  <c r="AA308" i="25"/>
  <c r="Z308" i="25" s="1"/>
  <c r="Y308" i="25" s="1"/>
  <c r="G308" i="25"/>
  <c r="CF308" i="6" s="1"/>
  <c r="H308" i="25"/>
  <c r="AA310" i="25"/>
  <c r="Z310" i="25" s="1"/>
  <c r="Y310" i="25" s="1"/>
  <c r="G310" i="25"/>
  <c r="CF310" i="6" s="1"/>
  <c r="AA328" i="25"/>
  <c r="Z328" i="25" s="1"/>
  <c r="Y328" i="25" s="1"/>
  <c r="G328" i="25"/>
  <c r="CF328" i="6" s="1"/>
  <c r="H328" i="25"/>
  <c r="AA332" i="25"/>
  <c r="Z332" i="25" s="1"/>
  <c r="Y332" i="25" s="1"/>
  <c r="G332" i="25"/>
  <c r="CF332" i="6" s="1"/>
  <c r="G344" i="25"/>
  <c r="CF344" i="6" s="1"/>
  <c r="H344" i="25"/>
  <c r="AA344" i="25"/>
  <c r="Z344" i="25" s="1"/>
  <c r="Y344" i="25" s="1"/>
  <c r="G350" i="25"/>
  <c r="CF350" i="6" s="1"/>
  <c r="AA350" i="25"/>
  <c r="Z350" i="25" s="1"/>
  <c r="Y350" i="25" s="1"/>
  <c r="H350" i="25"/>
  <c r="W354" i="25"/>
  <c r="D354" i="25"/>
  <c r="E354" i="25" s="1"/>
  <c r="F354" i="25" s="1"/>
  <c r="AA370" i="25"/>
  <c r="Z370" i="25" s="1"/>
  <c r="Y370" i="25" s="1"/>
  <c r="G374" i="25"/>
  <c r="CF374" i="6" s="1"/>
  <c r="AA374" i="25"/>
  <c r="Z374" i="25" s="1"/>
  <c r="Y374" i="25" s="1"/>
  <c r="AA378" i="25"/>
  <c r="Z378" i="25" s="1"/>
  <c r="Y378" i="25" s="1"/>
  <c r="G378" i="25"/>
  <c r="CF378" i="6" s="1"/>
  <c r="AA258" i="25"/>
  <c r="Z258" i="25" s="1"/>
  <c r="Y258" i="25" s="1"/>
  <c r="G258" i="25"/>
  <c r="CF258" i="6" s="1"/>
  <c r="J52" i="24"/>
  <c r="I52" i="24"/>
  <c r="I64" i="24"/>
  <c r="J64" i="24"/>
  <c r="W74" i="25"/>
  <c r="D74" i="25"/>
  <c r="E74" i="25" s="1"/>
  <c r="F74" i="25" s="1"/>
  <c r="I78" i="24"/>
  <c r="H78" i="25" s="1"/>
  <c r="J78" i="24"/>
  <c r="J146" i="24"/>
  <c r="I146" i="24"/>
  <c r="I214" i="24"/>
  <c r="H214" i="25" s="1"/>
  <c r="J214" i="24"/>
  <c r="J218" i="24"/>
  <c r="I218" i="24"/>
  <c r="I222" i="24"/>
  <c r="J222" i="24"/>
  <c r="H319" i="24"/>
  <c r="I157" i="24"/>
  <c r="H157" i="25" s="1"/>
  <c r="J157" i="24"/>
  <c r="J90" i="24"/>
  <c r="I90" i="24"/>
  <c r="H90" i="25" s="1"/>
  <c r="J145" i="24"/>
  <c r="I145" i="24"/>
  <c r="H145" i="25" s="1"/>
  <c r="I229" i="24"/>
  <c r="H229" i="25" s="1"/>
  <c r="J229" i="24"/>
  <c r="J285" i="24"/>
  <c r="I285" i="24"/>
  <c r="I321" i="24"/>
  <c r="J321" i="24"/>
  <c r="I347" i="24"/>
  <c r="J347" i="24"/>
  <c r="C13" i="6"/>
  <c r="C12" i="6"/>
  <c r="J189" i="24"/>
  <c r="I189" i="24"/>
  <c r="I121" i="24"/>
  <c r="J121" i="24"/>
  <c r="I205" i="24"/>
  <c r="J205" i="24"/>
  <c r="I213" i="24"/>
  <c r="H213" i="25" s="1"/>
  <c r="J213" i="24"/>
  <c r="J225" i="24"/>
  <c r="I225" i="24"/>
  <c r="I289" i="24"/>
  <c r="J289" i="24"/>
  <c r="D319" i="25"/>
  <c r="E319" i="25" s="1"/>
  <c r="F319" i="25" s="1"/>
  <c r="W319" i="25"/>
  <c r="G319" i="24"/>
  <c r="CE319" i="6" s="1"/>
  <c r="AA319" i="24"/>
  <c r="Z319" i="24" s="1"/>
  <c r="Y319" i="24" s="1"/>
  <c r="J144" i="24"/>
  <c r="I144" i="24"/>
  <c r="I164" i="24"/>
  <c r="J164" i="24"/>
  <c r="I204" i="24"/>
  <c r="H204" i="25" s="1"/>
  <c r="J204" i="24"/>
  <c r="I314" i="24"/>
  <c r="J314" i="24"/>
  <c r="J342" i="24"/>
  <c r="I342" i="24"/>
  <c r="H342" i="25" s="1"/>
  <c r="I358" i="24"/>
  <c r="H358" i="25" s="1"/>
  <c r="J358" i="24"/>
  <c r="I378" i="24"/>
  <c r="H378" i="25" s="1"/>
  <c r="J378" i="24"/>
  <c r="J31" i="24"/>
  <c r="I31" i="24"/>
  <c r="H31" i="25" s="1"/>
  <c r="I95" i="24"/>
  <c r="J95" i="24"/>
  <c r="I113" i="24"/>
  <c r="J113" i="24"/>
  <c r="J123" i="24"/>
  <c r="I123" i="24"/>
  <c r="J131" i="24"/>
  <c r="I131" i="24"/>
  <c r="I207" i="24"/>
  <c r="J207" i="24"/>
  <c r="I182" i="24"/>
  <c r="H182" i="25" s="1"/>
  <c r="J182" i="24"/>
  <c r="G210" i="24"/>
  <c r="CE210" i="6" s="1"/>
  <c r="H210" i="24"/>
  <c r="AA210" i="24"/>
  <c r="Z210" i="24" s="1"/>
  <c r="Y210" i="24" s="1"/>
  <c r="I296" i="24"/>
  <c r="J296" i="24"/>
  <c r="I166" i="24"/>
  <c r="J166" i="24"/>
  <c r="J60" i="24"/>
  <c r="I60" i="24"/>
  <c r="D105" i="25"/>
  <c r="E105" i="25" s="1"/>
  <c r="F105" i="25" s="1"/>
  <c r="W105" i="25"/>
  <c r="I135" i="24"/>
  <c r="J135" i="24"/>
  <c r="J69" i="24"/>
  <c r="I69" i="24"/>
  <c r="H69" i="25" s="1"/>
  <c r="J91" i="24"/>
  <c r="I91" i="24"/>
  <c r="H91" i="25" s="1"/>
  <c r="I103" i="24"/>
  <c r="H103" i="25" s="1"/>
  <c r="J103" i="24"/>
  <c r="I125" i="24"/>
  <c r="J125" i="24"/>
  <c r="J237" i="24"/>
  <c r="I237" i="24"/>
  <c r="G363" i="24"/>
  <c r="CE363" i="6" s="1"/>
  <c r="H363" i="24"/>
  <c r="AA363" i="24"/>
  <c r="Z363" i="24" s="1"/>
  <c r="Y363" i="24" s="1"/>
  <c r="AA23" i="25"/>
  <c r="Z23" i="25" s="1"/>
  <c r="Y23" i="25" s="1"/>
  <c r="H23" i="25"/>
  <c r="G23" i="25"/>
  <c r="CF23" i="6" s="1"/>
  <c r="G25" i="25"/>
  <c r="CF25" i="6" s="1"/>
  <c r="AA25" i="25"/>
  <c r="Z25" i="25" s="1"/>
  <c r="Y25" i="25" s="1"/>
  <c r="W22" i="25"/>
  <c r="D22" i="25"/>
  <c r="E22" i="25" s="1"/>
  <c r="F22" i="25" s="1"/>
  <c r="D29" i="25"/>
  <c r="E29" i="25" s="1"/>
  <c r="F29" i="25" s="1"/>
  <c r="W29" i="25"/>
  <c r="AA31" i="25"/>
  <c r="Z31" i="25" s="1"/>
  <c r="Y31" i="25" s="1"/>
  <c r="G31" i="25"/>
  <c r="CF31" i="6" s="1"/>
  <c r="G45" i="25"/>
  <c r="CF45" i="6" s="1"/>
  <c r="AA45" i="25"/>
  <c r="Z45" i="25" s="1"/>
  <c r="Y45" i="25" s="1"/>
  <c r="H45" i="25"/>
  <c r="G47" i="25"/>
  <c r="CF47" i="6" s="1"/>
  <c r="H47" i="25"/>
  <c r="AA47" i="25"/>
  <c r="Z47" i="25" s="1"/>
  <c r="Y47" i="25" s="1"/>
  <c r="G51" i="25"/>
  <c r="CF51" i="6" s="1"/>
  <c r="AA51" i="25"/>
  <c r="Z51" i="25" s="1"/>
  <c r="Y51" i="25" s="1"/>
  <c r="H51" i="25"/>
  <c r="AA69" i="25"/>
  <c r="Z69" i="25" s="1"/>
  <c r="Y69" i="25" s="1"/>
  <c r="G69" i="25"/>
  <c r="CF69" i="6" s="1"/>
  <c r="H79" i="25"/>
  <c r="G79" i="25"/>
  <c r="CF79" i="6" s="1"/>
  <c r="AA79" i="25"/>
  <c r="Z79" i="25" s="1"/>
  <c r="Y79" i="25" s="1"/>
  <c r="G85" i="25"/>
  <c r="CF85" i="6" s="1"/>
  <c r="AA85" i="25"/>
  <c r="Z85" i="25" s="1"/>
  <c r="Y85" i="25" s="1"/>
  <c r="H85" i="25"/>
  <c r="G87" i="25"/>
  <c r="CF87" i="6" s="1"/>
  <c r="AA87" i="25"/>
  <c r="Z87" i="25" s="1"/>
  <c r="Y87" i="25" s="1"/>
  <c r="H87" i="25"/>
  <c r="AA91" i="25"/>
  <c r="Z91" i="25" s="1"/>
  <c r="Y91" i="25" s="1"/>
  <c r="G91" i="25"/>
  <c r="CF91" i="6" s="1"/>
  <c r="G93" i="25"/>
  <c r="CF93" i="6" s="1"/>
  <c r="AA93" i="25"/>
  <c r="Z93" i="25" s="1"/>
  <c r="Y93" i="25" s="1"/>
  <c r="H93" i="25"/>
  <c r="G109" i="25"/>
  <c r="CF109" i="6" s="1"/>
  <c r="AA109" i="25"/>
  <c r="Z109" i="25" s="1"/>
  <c r="Y109" i="25" s="1"/>
  <c r="H109" i="25"/>
  <c r="H115" i="25"/>
  <c r="AA115" i="25"/>
  <c r="Z115" i="25" s="1"/>
  <c r="Y115" i="25" s="1"/>
  <c r="G115" i="25"/>
  <c r="CF115" i="6" s="1"/>
  <c r="G117" i="25"/>
  <c r="CF117" i="6" s="1"/>
  <c r="H117" i="25"/>
  <c r="AA117" i="25"/>
  <c r="Z117" i="25" s="1"/>
  <c r="Y117" i="25" s="1"/>
  <c r="G133" i="25"/>
  <c r="CF133" i="6" s="1"/>
  <c r="AA133" i="25"/>
  <c r="Z133" i="25" s="1"/>
  <c r="Y133" i="25" s="1"/>
  <c r="H133" i="25"/>
  <c r="G145" i="25"/>
  <c r="CF145" i="6" s="1"/>
  <c r="AA145" i="25"/>
  <c r="Z145" i="25" s="1"/>
  <c r="Y145" i="25" s="1"/>
  <c r="W149" i="25"/>
  <c r="D149" i="25"/>
  <c r="E149" i="25" s="1"/>
  <c r="F149" i="25" s="1"/>
  <c r="G153" i="25"/>
  <c r="CF153" i="6" s="1"/>
  <c r="AA153" i="25"/>
  <c r="Z153" i="25" s="1"/>
  <c r="Y153" i="25" s="1"/>
  <c r="AA181" i="25"/>
  <c r="Z181" i="25" s="1"/>
  <c r="Y181" i="25" s="1"/>
  <c r="G181" i="25"/>
  <c r="CF181" i="6" s="1"/>
  <c r="AA199" i="25"/>
  <c r="Z199" i="25" s="1"/>
  <c r="Y199" i="25" s="1"/>
  <c r="H199" i="25"/>
  <c r="G199" i="25"/>
  <c r="CF199" i="6" s="1"/>
  <c r="AA209" i="25"/>
  <c r="Z209" i="25" s="1"/>
  <c r="Y209" i="25" s="1"/>
  <c r="G209" i="25"/>
  <c r="CF209" i="6" s="1"/>
  <c r="H209" i="25"/>
  <c r="G213" i="25"/>
  <c r="CF213" i="6" s="1"/>
  <c r="AA213" i="25"/>
  <c r="Z213" i="25" s="1"/>
  <c r="Y213" i="25" s="1"/>
  <c r="G215" i="25"/>
  <c r="CF215" i="6" s="1"/>
  <c r="AA215" i="25"/>
  <c r="Z215" i="25" s="1"/>
  <c r="Y215" i="25" s="1"/>
  <c r="H215" i="25"/>
  <c r="G217" i="25"/>
  <c r="CF217" i="6" s="1"/>
  <c r="AA217" i="25"/>
  <c r="Z217" i="25" s="1"/>
  <c r="Y217" i="25" s="1"/>
  <c r="H217" i="25"/>
  <c r="G221" i="25"/>
  <c r="CF221" i="6" s="1"/>
  <c r="AA221" i="25"/>
  <c r="Z221" i="25" s="1"/>
  <c r="Y221" i="25" s="1"/>
  <c r="AA225" i="25"/>
  <c r="Z225" i="25" s="1"/>
  <c r="Y225" i="25" s="1"/>
  <c r="D227" i="25"/>
  <c r="E227" i="25" s="1"/>
  <c r="F227" i="25" s="1"/>
  <c r="W227" i="25"/>
  <c r="G233" i="25"/>
  <c r="CF233" i="6" s="1"/>
  <c r="AA233" i="25"/>
  <c r="Z233" i="25" s="1"/>
  <c r="Y233" i="25" s="1"/>
  <c r="H233" i="25"/>
  <c r="G259" i="25"/>
  <c r="CF259" i="6" s="1"/>
  <c r="AA259" i="25"/>
  <c r="Z259" i="25" s="1"/>
  <c r="Y259" i="25" s="1"/>
  <c r="AA275" i="25"/>
  <c r="Z275" i="25" s="1"/>
  <c r="Y275" i="25" s="1"/>
  <c r="H275" i="25"/>
  <c r="G275" i="25"/>
  <c r="CF275" i="6" s="1"/>
  <c r="G291" i="25"/>
  <c r="CF291" i="6" s="1"/>
  <c r="AA291" i="25"/>
  <c r="Z291" i="25" s="1"/>
  <c r="Y291" i="25" s="1"/>
  <c r="AA293" i="25"/>
  <c r="Z293" i="25" s="1"/>
  <c r="Y293" i="25" s="1"/>
  <c r="H293" i="25"/>
  <c r="G293" i="25"/>
  <c r="CF293" i="6" s="1"/>
  <c r="AA295" i="25"/>
  <c r="Z295" i="25" s="1"/>
  <c r="Y295" i="25" s="1"/>
  <c r="G295" i="25"/>
  <c r="CF295" i="6" s="1"/>
  <c r="AA297" i="25"/>
  <c r="Z297" i="25" s="1"/>
  <c r="Y297" i="25" s="1"/>
  <c r="H303" i="25"/>
  <c r="G309" i="25"/>
  <c r="CF309" i="6" s="1"/>
  <c r="AA309" i="25"/>
  <c r="Z309" i="25" s="1"/>
  <c r="Y309" i="25" s="1"/>
  <c r="AA315" i="25"/>
  <c r="Z315" i="25" s="1"/>
  <c r="Y315" i="25" s="1"/>
  <c r="G315" i="25"/>
  <c r="CF315" i="6" s="1"/>
  <c r="H315" i="25"/>
  <c r="G327" i="25"/>
  <c r="CF327" i="6" s="1"/>
  <c r="AA327" i="25"/>
  <c r="Z327" i="25" s="1"/>
  <c r="Y327" i="25" s="1"/>
  <c r="H327" i="25"/>
  <c r="W333" i="25"/>
  <c r="D333" i="25"/>
  <c r="E333" i="25" s="1"/>
  <c r="F333" i="25" s="1"/>
  <c r="H339" i="25"/>
  <c r="G339" i="25"/>
  <c r="CF339" i="6" s="1"/>
  <c r="AA339" i="25"/>
  <c r="Z339" i="25" s="1"/>
  <c r="Y339" i="25" s="1"/>
  <c r="G345" i="25"/>
  <c r="CF345" i="6" s="1"/>
  <c r="AA345" i="25"/>
  <c r="Z345" i="25" s="1"/>
  <c r="Y345" i="25" s="1"/>
  <c r="H345" i="25"/>
  <c r="D349" i="25"/>
  <c r="E349" i="25" s="1"/>
  <c r="F349" i="25" s="1"/>
  <c r="W349" i="25"/>
  <c r="R381" i="24"/>
  <c r="R382" i="24"/>
  <c r="R383" i="24"/>
  <c r="P15" i="24"/>
  <c r="I32" i="24"/>
  <c r="J32" i="24"/>
  <c r="I158" i="24"/>
  <c r="H158" i="25" s="1"/>
  <c r="J158" i="24"/>
  <c r="J252" i="24"/>
  <c r="I252" i="24"/>
  <c r="J310" i="24"/>
  <c r="I310" i="24"/>
  <c r="H310" i="25" s="1"/>
  <c r="I332" i="24"/>
  <c r="H332" i="25" s="1"/>
  <c r="J332" i="24"/>
  <c r="J19" i="24"/>
  <c r="I19" i="24"/>
  <c r="I75" i="24"/>
  <c r="J75" i="24"/>
  <c r="J111" i="24"/>
  <c r="I111" i="24"/>
  <c r="I235" i="24"/>
  <c r="J235" i="24"/>
  <c r="J299" i="24"/>
  <c r="I299" i="24"/>
  <c r="I309" i="24"/>
  <c r="H309" i="25" s="1"/>
  <c r="J309" i="24"/>
  <c r="I331" i="24"/>
  <c r="H331" i="25" s="1"/>
  <c r="J331" i="24"/>
  <c r="J236" i="24"/>
  <c r="I236" i="24"/>
  <c r="J300" i="24"/>
  <c r="I300" i="24"/>
  <c r="H300" i="25" s="1"/>
  <c r="I73" i="24"/>
  <c r="J73" i="24"/>
  <c r="I251" i="24"/>
  <c r="H251" i="25" s="1"/>
  <c r="J251" i="24"/>
  <c r="J305" i="24"/>
  <c r="I305" i="24"/>
  <c r="H305" i="25" s="1"/>
  <c r="J311" i="24"/>
  <c r="I311" i="24"/>
  <c r="I335" i="24"/>
  <c r="J335" i="24"/>
  <c r="J367" i="24"/>
  <c r="I367" i="24"/>
  <c r="I62" i="24"/>
  <c r="H62" i="25" s="1"/>
  <c r="J62" i="24"/>
  <c r="I100" i="24"/>
  <c r="J100" i="24"/>
  <c r="J154" i="24"/>
  <c r="I154" i="24"/>
  <c r="J306" i="24"/>
  <c r="I306" i="24"/>
  <c r="H306" i="25" s="1"/>
  <c r="I334" i="24"/>
  <c r="H334" i="25" s="1"/>
  <c r="J334" i="24"/>
  <c r="AA9" i="20"/>
  <c r="AA382" i="20"/>
  <c r="Z15" i="20"/>
  <c r="AA383" i="20"/>
  <c r="AM8" i="20"/>
  <c r="AA381" i="20"/>
  <c r="AB9" i="20"/>
  <c r="G16" i="19"/>
  <c r="J40" i="19" s="1"/>
  <c r="F11" i="20"/>
  <c r="B12" i="6"/>
  <c r="BA15" i="6"/>
  <c r="B13" i="6"/>
  <c r="B15" i="23"/>
  <c r="AK5" i="23" s="1"/>
  <c r="D9" i="22"/>
  <c r="D11" i="22" s="1"/>
  <c r="D382" i="22"/>
  <c r="E15" i="22"/>
  <c r="D381" i="22"/>
  <c r="D383" i="22"/>
  <c r="W166" i="25"/>
  <c r="D166" i="25"/>
  <c r="E166" i="25" s="1"/>
  <c r="F166" i="25" s="1"/>
  <c r="AH381" i="25"/>
  <c r="D46" i="25"/>
  <c r="E46" i="25" s="1"/>
  <c r="F46" i="25" s="1"/>
  <c r="W46" i="25"/>
  <c r="J81" i="24"/>
  <c r="I81" i="24"/>
  <c r="H81" i="25" s="1"/>
  <c r="J153" i="24"/>
  <c r="I153" i="24"/>
  <c r="H153" i="25" s="1"/>
  <c r="J295" i="24"/>
  <c r="I295" i="24"/>
  <c r="H295" i="25" s="1"/>
  <c r="S15" i="25"/>
  <c r="T381" i="25"/>
  <c r="T382" i="25"/>
  <c r="G30" i="25"/>
  <c r="CF30" i="6" s="1"/>
  <c r="AA30" i="25"/>
  <c r="Z30" i="25" s="1"/>
  <c r="Y30" i="25" s="1"/>
  <c r="AA36" i="25"/>
  <c r="Z36" i="25" s="1"/>
  <c r="Y36" i="25" s="1"/>
  <c r="G36" i="25"/>
  <c r="CF36" i="6" s="1"/>
  <c r="H36" i="25"/>
  <c r="AA44" i="25"/>
  <c r="Z44" i="25" s="1"/>
  <c r="Y44" i="25" s="1"/>
  <c r="G44" i="25"/>
  <c r="CF44" i="6" s="1"/>
  <c r="H44" i="25"/>
  <c r="AA68" i="25"/>
  <c r="Z68" i="25" s="1"/>
  <c r="Y68" i="25" s="1"/>
  <c r="H68" i="25"/>
  <c r="G68" i="25"/>
  <c r="CF68" i="6" s="1"/>
  <c r="AA72" i="25"/>
  <c r="Z72" i="25" s="1"/>
  <c r="Y72" i="25" s="1"/>
  <c r="G72" i="25"/>
  <c r="CF72" i="6" s="1"/>
  <c r="H72" i="25"/>
  <c r="AA102" i="25"/>
  <c r="Z102" i="25" s="1"/>
  <c r="Y102" i="25" s="1"/>
  <c r="H102" i="25"/>
  <c r="G102" i="25"/>
  <c r="CF102" i="6" s="1"/>
  <c r="AA108" i="25"/>
  <c r="Z108" i="25" s="1"/>
  <c r="Y108" i="25" s="1"/>
  <c r="H108" i="25"/>
  <c r="G108" i="25"/>
  <c r="CF108" i="6" s="1"/>
  <c r="G126" i="25"/>
  <c r="CF126" i="6" s="1"/>
  <c r="AA126" i="25"/>
  <c r="Z126" i="25" s="1"/>
  <c r="Y126" i="25" s="1"/>
  <c r="H126" i="25"/>
  <c r="G134" i="25"/>
  <c r="CF134" i="6" s="1"/>
  <c r="G142" i="25"/>
  <c r="CF142" i="6" s="1"/>
  <c r="AA142" i="25"/>
  <c r="Z142" i="25" s="1"/>
  <c r="Y142" i="25" s="1"/>
  <c r="H142" i="25"/>
  <c r="AA158" i="25"/>
  <c r="Z158" i="25" s="1"/>
  <c r="Y158" i="25" s="1"/>
  <c r="G158" i="25"/>
  <c r="CF158" i="6" s="1"/>
  <c r="AA174" i="25"/>
  <c r="Z174" i="25" s="1"/>
  <c r="Y174" i="25" s="1"/>
  <c r="G174" i="25"/>
  <c r="CF174" i="6" s="1"/>
  <c r="D180" i="25"/>
  <c r="E180" i="25" s="1"/>
  <c r="F180" i="25" s="1"/>
  <c r="W180" i="25"/>
  <c r="AA186" i="25"/>
  <c r="Z186" i="25" s="1"/>
  <c r="Y186" i="25" s="1"/>
  <c r="G186" i="25"/>
  <c r="CF186" i="6" s="1"/>
  <c r="H186" i="25"/>
  <c r="D196" i="25"/>
  <c r="E196" i="25" s="1"/>
  <c r="F196" i="25" s="1"/>
  <c r="W196" i="25"/>
  <c r="AA206" i="25"/>
  <c r="Z206" i="25" s="1"/>
  <c r="Y206" i="25" s="1"/>
  <c r="G206" i="25"/>
  <c r="CF206" i="6" s="1"/>
  <c r="H206" i="25"/>
  <c r="G212" i="25"/>
  <c r="CF212" i="6" s="1"/>
  <c r="H212" i="25"/>
  <c r="AA212" i="25"/>
  <c r="Z212" i="25" s="1"/>
  <c r="Y212" i="25" s="1"/>
  <c r="AA214" i="25"/>
  <c r="Z214" i="25" s="1"/>
  <c r="Y214" i="25" s="1"/>
  <c r="G214" i="25"/>
  <c r="CF214" i="6" s="1"/>
  <c r="AA228" i="25"/>
  <c r="Z228" i="25" s="1"/>
  <c r="Y228" i="25" s="1"/>
  <c r="G228" i="25"/>
  <c r="CF228" i="6" s="1"/>
  <c r="H228" i="25"/>
  <c r="AA232" i="25"/>
  <c r="Z232" i="25" s="1"/>
  <c r="Y232" i="25" s="1"/>
  <c r="G232" i="25"/>
  <c r="CF232" i="6" s="1"/>
  <c r="AA240" i="25"/>
  <c r="Z240" i="25" s="1"/>
  <c r="Y240" i="25" s="1"/>
  <c r="H240" i="25"/>
  <c r="G240" i="25"/>
  <c r="CF240" i="6" s="1"/>
  <c r="G242" i="25"/>
  <c r="CF242" i="6" s="1"/>
  <c r="AA242" i="25"/>
  <c r="Z242" i="25" s="1"/>
  <c r="Y242" i="25" s="1"/>
  <c r="H242" i="25"/>
  <c r="AA250" i="25"/>
  <c r="Z250" i="25" s="1"/>
  <c r="Y250" i="25" s="1"/>
  <c r="G250" i="25"/>
  <c r="CF250" i="6" s="1"/>
  <c r="H250" i="25"/>
  <c r="G264" i="25"/>
  <c r="CF264" i="6" s="1"/>
  <c r="AA264" i="25"/>
  <c r="Z264" i="25" s="1"/>
  <c r="Y264" i="25" s="1"/>
  <c r="W272" i="25"/>
  <c r="D272" i="25"/>
  <c r="E272" i="25" s="1"/>
  <c r="F272" i="25" s="1"/>
  <c r="AA286" i="25"/>
  <c r="Z286" i="25" s="1"/>
  <c r="Y286" i="25" s="1"/>
  <c r="H286" i="25"/>
  <c r="G286" i="25"/>
  <c r="CF286" i="6" s="1"/>
  <c r="AA290" i="25"/>
  <c r="Z290" i="25" s="1"/>
  <c r="Y290" i="25" s="1"/>
  <c r="G290" i="25"/>
  <c r="CF290" i="6" s="1"/>
  <c r="H290" i="25"/>
  <c r="AA294" i="25"/>
  <c r="Z294" i="25" s="1"/>
  <c r="Y294" i="25" s="1"/>
  <c r="G294" i="25"/>
  <c r="CF294" i="6" s="1"/>
  <c r="H294" i="25"/>
  <c r="G300" i="25"/>
  <c r="CF300" i="6" s="1"/>
  <c r="AA300" i="25"/>
  <c r="Z300" i="25" s="1"/>
  <c r="Y300" i="25" s="1"/>
  <c r="AA326" i="25"/>
  <c r="Z326" i="25" s="1"/>
  <c r="Y326" i="25" s="1"/>
  <c r="H326" i="25"/>
  <c r="G326" i="25"/>
  <c r="CF326" i="6" s="1"/>
  <c r="G334" i="25"/>
  <c r="CF334" i="6" s="1"/>
  <c r="AA334" i="25"/>
  <c r="Z334" i="25" s="1"/>
  <c r="Y334" i="25" s="1"/>
  <c r="H338" i="25"/>
  <c r="AA338" i="25"/>
  <c r="Z338" i="25" s="1"/>
  <c r="Y338" i="25" s="1"/>
  <c r="G338" i="25"/>
  <c r="CF338" i="6" s="1"/>
  <c r="G340" i="25"/>
  <c r="CF340" i="6" s="1"/>
  <c r="H340" i="25"/>
  <c r="AA340" i="25"/>
  <c r="Z340" i="25" s="1"/>
  <c r="Y340" i="25" s="1"/>
  <c r="G342" i="25"/>
  <c r="CF342" i="6" s="1"/>
  <c r="AA342" i="25"/>
  <c r="Z342" i="25" s="1"/>
  <c r="Y342" i="25" s="1"/>
  <c r="H356" i="25"/>
  <c r="AA356" i="25"/>
  <c r="Z356" i="25" s="1"/>
  <c r="Y356" i="25" s="1"/>
  <c r="G356" i="25"/>
  <c r="CF356" i="6" s="1"/>
  <c r="G358" i="25"/>
  <c r="CF358" i="6" s="1"/>
  <c r="AA358" i="25"/>
  <c r="Z358" i="25" s="1"/>
  <c r="Y358" i="25" s="1"/>
  <c r="G362" i="25"/>
  <c r="CF362" i="6" s="1"/>
  <c r="AA362" i="25"/>
  <c r="Z362" i="25" s="1"/>
  <c r="Y362" i="25" s="1"/>
  <c r="G366" i="25"/>
  <c r="CF366" i="6" s="1"/>
  <c r="AA366" i="25"/>
  <c r="Z366" i="25" s="1"/>
  <c r="Y366" i="25" s="1"/>
  <c r="G372" i="25"/>
  <c r="CF372" i="6" s="1"/>
  <c r="AD15" i="24"/>
  <c r="I38" i="24"/>
  <c r="H38" i="25" s="1"/>
  <c r="J38" i="24"/>
  <c r="AA74" i="24"/>
  <c r="Z74" i="24" s="1"/>
  <c r="Y74" i="24" s="1"/>
  <c r="H74" i="24"/>
  <c r="G74" i="24"/>
  <c r="CE74" i="6" s="1"/>
  <c r="J76" i="24"/>
  <c r="I76" i="24"/>
  <c r="I98" i="24"/>
  <c r="J98" i="24"/>
  <c r="J132" i="24"/>
  <c r="I132" i="24"/>
  <c r="H132" i="25" s="1"/>
  <c r="I152" i="24"/>
  <c r="J152" i="24"/>
  <c r="I174" i="24"/>
  <c r="H174" i="25" s="1"/>
  <c r="J174" i="24"/>
  <c r="J232" i="24"/>
  <c r="I232" i="24"/>
  <c r="H232" i="25" s="1"/>
  <c r="AA302" i="24"/>
  <c r="Z302" i="24" s="1"/>
  <c r="Y302" i="24" s="1"/>
  <c r="G302" i="24"/>
  <c r="CE302" i="6" s="1"/>
  <c r="H302" i="24"/>
  <c r="J374" i="24"/>
  <c r="I374" i="24"/>
  <c r="H374" i="25" s="1"/>
  <c r="I376" i="24"/>
  <c r="J376" i="24"/>
  <c r="AF379" i="24" l="1"/>
  <c r="AG381" i="24"/>
  <c r="AG383" i="24"/>
  <c r="AG382" i="24"/>
  <c r="AH383" i="25"/>
  <c r="AA159" i="23"/>
  <c r="Z159" i="23" s="1"/>
  <c r="Y159" i="23" s="1"/>
  <c r="AD381" i="23"/>
  <c r="AD382" i="23"/>
  <c r="AD383" i="23"/>
  <c r="AA352" i="25"/>
  <c r="Z352" i="25" s="1"/>
  <c r="Y352" i="25" s="1"/>
  <c r="H324" i="25"/>
  <c r="J324" i="25" s="1"/>
  <c r="AA20" i="25"/>
  <c r="Z20" i="25" s="1"/>
  <c r="Y20" i="25" s="1"/>
  <c r="AA337" i="25"/>
  <c r="Z337" i="25" s="1"/>
  <c r="Y337" i="25" s="1"/>
  <c r="G313" i="25"/>
  <c r="CF313" i="6" s="1"/>
  <c r="G20" i="25"/>
  <c r="CF20" i="6" s="1"/>
  <c r="AA205" i="25"/>
  <c r="Z205" i="25" s="1"/>
  <c r="Y205" i="25" s="1"/>
  <c r="AA372" i="25"/>
  <c r="Z372" i="25" s="1"/>
  <c r="Y372" i="25" s="1"/>
  <c r="AA82" i="25"/>
  <c r="Z82" i="25" s="1"/>
  <c r="Y82" i="25" s="1"/>
  <c r="AA377" i="25"/>
  <c r="Z377" i="25" s="1"/>
  <c r="Y377" i="25" s="1"/>
  <c r="H297" i="25"/>
  <c r="I297" i="25" s="1"/>
  <c r="AA276" i="25"/>
  <c r="Z276" i="25" s="1"/>
  <c r="Y276" i="25" s="1"/>
  <c r="H276" i="25"/>
  <c r="I276" i="25" s="1"/>
  <c r="G271" i="25"/>
  <c r="CF271" i="6" s="1"/>
  <c r="G211" i="25"/>
  <c r="CF211" i="6" s="1"/>
  <c r="H169" i="25"/>
  <c r="J169" i="25" s="1"/>
  <c r="AA98" i="25"/>
  <c r="Z98" i="25" s="1"/>
  <c r="Y98" i="25" s="1"/>
  <c r="H235" i="25"/>
  <c r="I235" i="25" s="1"/>
  <c r="G285" i="25"/>
  <c r="CF285" i="6" s="1"/>
  <c r="D241" i="25"/>
  <c r="E241" i="25" s="1"/>
  <c r="F241" i="25" s="1"/>
  <c r="G241" i="25" s="1"/>
  <c r="CF241" i="6" s="1"/>
  <c r="G122" i="25"/>
  <c r="CF122" i="6" s="1"/>
  <c r="AA312" i="25"/>
  <c r="Z312" i="25" s="1"/>
  <c r="Y312" i="25" s="1"/>
  <c r="H82" i="25"/>
  <c r="J82" i="25" s="1"/>
  <c r="H311" i="25"/>
  <c r="J311" i="25" s="1"/>
  <c r="H377" i="25"/>
  <c r="J377" i="25" s="1"/>
  <c r="H343" i="25"/>
  <c r="J343" i="25" s="1"/>
  <c r="AA303" i="25"/>
  <c r="Z303" i="25" s="1"/>
  <c r="Y303" i="25" s="1"/>
  <c r="H267" i="25"/>
  <c r="J267" i="25" s="1"/>
  <c r="K70" i="19"/>
  <c r="K59" i="19" s="1"/>
  <c r="H40" i="25"/>
  <c r="J40" i="25" s="1"/>
  <c r="H162" i="25"/>
  <c r="I162" i="25" s="1"/>
  <c r="AA324" i="25"/>
  <c r="Z324" i="25" s="1"/>
  <c r="Y324" i="25" s="1"/>
  <c r="AA304" i="25"/>
  <c r="Z304" i="25" s="1"/>
  <c r="Y304" i="25" s="1"/>
  <c r="H373" i="25"/>
  <c r="J373" i="25" s="1"/>
  <c r="H337" i="25"/>
  <c r="J337" i="25" s="1"/>
  <c r="AA313" i="25"/>
  <c r="Z313" i="25" s="1"/>
  <c r="Y313" i="25" s="1"/>
  <c r="G173" i="25"/>
  <c r="CF173" i="6" s="1"/>
  <c r="H59" i="25"/>
  <c r="I59" i="25" s="1"/>
  <c r="H341" i="25"/>
  <c r="I341" i="25" s="1"/>
  <c r="AA162" i="25"/>
  <c r="Z162" i="25" s="1"/>
  <c r="Y162" i="25" s="1"/>
  <c r="G94" i="25"/>
  <c r="CF94" i="6" s="1"/>
  <c r="H58" i="25"/>
  <c r="I58" i="25" s="1"/>
  <c r="H285" i="25"/>
  <c r="I285" i="25" s="1"/>
  <c r="H360" i="25"/>
  <c r="I360" i="25" s="1"/>
  <c r="G304" i="25"/>
  <c r="CF304" i="6" s="1"/>
  <c r="H106" i="25"/>
  <c r="I106" i="25" s="1"/>
  <c r="H361" i="25"/>
  <c r="I361" i="25" s="1"/>
  <c r="G257" i="25"/>
  <c r="CF257" i="6" s="1"/>
  <c r="G179" i="25"/>
  <c r="CF179" i="6" s="1"/>
  <c r="I70" i="19"/>
  <c r="I57" i="19" s="1"/>
  <c r="H98" i="25"/>
  <c r="I98" i="25" s="1"/>
  <c r="G348" i="25"/>
  <c r="CF348" i="6" s="1"/>
  <c r="G146" i="25"/>
  <c r="CF146" i="6" s="1"/>
  <c r="AA94" i="25"/>
  <c r="Z94" i="25" s="1"/>
  <c r="Y94" i="25" s="1"/>
  <c r="AA34" i="25"/>
  <c r="Z34" i="25" s="1"/>
  <c r="Y34" i="25" s="1"/>
  <c r="G329" i="25"/>
  <c r="CF329" i="6" s="1"/>
  <c r="AA299" i="25"/>
  <c r="Z299" i="25" s="1"/>
  <c r="Y299" i="25" s="1"/>
  <c r="H279" i="25"/>
  <c r="J279" i="25" s="1"/>
  <c r="H239" i="25"/>
  <c r="J239" i="25" s="1"/>
  <c r="H201" i="25"/>
  <c r="I201" i="25" s="1"/>
  <c r="AA360" i="25"/>
  <c r="Z360" i="25" s="1"/>
  <c r="Y360" i="25" s="1"/>
  <c r="AA270" i="25"/>
  <c r="Z270" i="25" s="1"/>
  <c r="Y270" i="25" s="1"/>
  <c r="AA122" i="25"/>
  <c r="Z122" i="25" s="1"/>
  <c r="Y122" i="25" s="1"/>
  <c r="H34" i="25"/>
  <c r="J34" i="25" s="1"/>
  <c r="AA373" i="25"/>
  <c r="Z373" i="25" s="1"/>
  <c r="Y373" i="25" s="1"/>
  <c r="H257" i="25"/>
  <c r="J257" i="25" s="1"/>
  <c r="G235" i="25"/>
  <c r="CF235" i="6" s="1"/>
  <c r="H223" i="25"/>
  <c r="J223" i="25" s="1"/>
  <c r="G183" i="25"/>
  <c r="CF183" i="6" s="1"/>
  <c r="H173" i="25"/>
  <c r="J173" i="25" s="1"/>
  <c r="G188" i="25"/>
  <c r="CF188" i="6" s="1"/>
  <c r="H54" i="25"/>
  <c r="J54" i="25" s="1"/>
  <c r="H299" i="25"/>
  <c r="J299" i="25" s="1"/>
  <c r="H329" i="25"/>
  <c r="J329" i="25" s="1"/>
  <c r="G279" i="25"/>
  <c r="CF279" i="6" s="1"/>
  <c r="G239" i="25"/>
  <c r="CF239" i="6" s="1"/>
  <c r="G201" i="25"/>
  <c r="CF201" i="6" s="1"/>
  <c r="H205" i="25"/>
  <c r="I205" i="25" s="1"/>
  <c r="H146" i="25"/>
  <c r="I146" i="25" s="1"/>
  <c r="H330" i="25"/>
  <c r="I330" i="25" s="1"/>
  <c r="AA106" i="25"/>
  <c r="Z106" i="25" s="1"/>
  <c r="Y106" i="25" s="1"/>
  <c r="H348" i="25"/>
  <c r="I348" i="25" s="1"/>
  <c r="H270" i="25"/>
  <c r="I270" i="25" s="1"/>
  <c r="AA361" i="25"/>
  <c r="Z361" i="25" s="1"/>
  <c r="Y361" i="25" s="1"/>
  <c r="AA277" i="25"/>
  <c r="Z277" i="25" s="1"/>
  <c r="Y277" i="25" s="1"/>
  <c r="G223" i="25"/>
  <c r="CF223" i="6" s="1"/>
  <c r="H179" i="25"/>
  <c r="I179" i="25" s="1"/>
  <c r="H352" i="25"/>
  <c r="J352" i="25" s="1"/>
  <c r="G268" i="25"/>
  <c r="CF268" i="6" s="1"/>
  <c r="H110" i="25"/>
  <c r="I110" i="25" s="1"/>
  <c r="AA288" i="25"/>
  <c r="Z288" i="25" s="1"/>
  <c r="Y288" i="25" s="1"/>
  <c r="G325" i="25"/>
  <c r="CF325" i="6" s="1"/>
  <c r="G321" i="25"/>
  <c r="CF321" i="6" s="1"/>
  <c r="AA311" i="25"/>
  <c r="Z311" i="25" s="1"/>
  <c r="Y311" i="25" s="1"/>
  <c r="H165" i="25"/>
  <c r="J165" i="25" s="1"/>
  <c r="H225" i="25"/>
  <c r="I225" i="25" s="1"/>
  <c r="H364" i="25"/>
  <c r="J364" i="25" s="1"/>
  <c r="G314" i="25"/>
  <c r="CF314" i="6" s="1"/>
  <c r="AA296" i="25"/>
  <c r="Z296" i="25" s="1"/>
  <c r="Y296" i="25" s="1"/>
  <c r="H224" i="25"/>
  <c r="J224" i="25" s="1"/>
  <c r="H351" i="25"/>
  <c r="J351" i="25" s="1"/>
  <c r="G343" i="25"/>
  <c r="CF343" i="6" s="1"/>
  <c r="AA243" i="25"/>
  <c r="Z243" i="25" s="1"/>
  <c r="Y243" i="25" s="1"/>
  <c r="AA195" i="25"/>
  <c r="Z195" i="25" s="1"/>
  <c r="Y195" i="25" s="1"/>
  <c r="G165" i="25"/>
  <c r="CF165" i="6" s="1"/>
  <c r="G289" i="25"/>
  <c r="CF289" i="6" s="1"/>
  <c r="G370" i="25"/>
  <c r="CF370" i="6" s="1"/>
  <c r="G318" i="25"/>
  <c r="CF318" i="6" s="1"/>
  <c r="H325" i="25"/>
  <c r="J325" i="25" s="1"/>
  <c r="AA271" i="25"/>
  <c r="Z271" i="25" s="1"/>
  <c r="Y271" i="25" s="1"/>
  <c r="H191" i="25"/>
  <c r="J191" i="25" s="1"/>
  <c r="H288" i="25"/>
  <c r="J288" i="25" s="1"/>
  <c r="H188" i="25"/>
  <c r="I188" i="25" s="1"/>
  <c r="AA156" i="25"/>
  <c r="Z156" i="25" s="1"/>
  <c r="Y156" i="25" s="1"/>
  <c r="AA58" i="25"/>
  <c r="Z58" i="25" s="1"/>
  <c r="Y58" i="25" s="1"/>
  <c r="AA371" i="25"/>
  <c r="Z371" i="25" s="1"/>
  <c r="Y371" i="25" s="1"/>
  <c r="G341" i="25"/>
  <c r="CF341" i="6" s="1"/>
  <c r="H243" i="25"/>
  <c r="I243" i="25" s="1"/>
  <c r="G237" i="25"/>
  <c r="CF237" i="6" s="1"/>
  <c r="H314" i="25"/>
  <c r="J314" i="25" s="1"/>
  <c r="H321" i="25"/>
  <c r="I321" i="25" s="1"/>
  <c r="G364" i="25"/>
  <c r="CF364" i="6" s="1"/>
  <c r="H336" i="25"/>
  <c r="I336" i="25" s="1"/>
  <c r="AA110" i="25"/>
  <c r="Z110" i="25" s="1"/>
  <c r="Y110" i="25" s="1"/>
  <c r="H92" i="25"/>
  <c r="I92" i="25" s="1"/>
  <c r="H317" i="25"/>
  <c r="I317" i="25" s="1"/>
  <c r="H277" i="25"/>
  <c r="J277" i="25" s="1"/>
  <c r="H195" i="25"/>
  <c r="I195" i="25" s="1"/>
  <c r="AA218" i="25"/>
  <c r="Z218" i="25" s="1"/>
  <c r="Y218" i="25" s="1"/>
  <c r="H156" i="25"/>
  <c r="I156" i="25" s="1"/>
  <c r="AA54" i="25"/>
  <c r="Z54" i="25" s="1"/>
  <c r="Y54" i="25" s="1"/>
  <c r="G351" i="25"/>
  <c r="CF351" i="6" s="1"/>
  <c r="AA330" i="25"/>
  <c r="Z330" i="25" s="1"/>
  <c r="Y330" i="25" s="1"/>
  <c r="H320" i="25"/>
  <c r="J320" i="25" s="1"/>
  <c r="H118" i="25"/>
  <c r="I118" i="25" s="1"/>
  <c r="AA92" i="25"/>
  <c r="Z92" i="25" s="1"/>
  <c r="Y92" i="25" s="1"/>
  <c r="G317" i="25"/>
  <c r="CF317" i="6" s="1"/>
  <c r="H269" i="25"/>
  <c r="I269" i="25" s="1"/>
  <c r="G255" i="25"/>
  <c r="CF255" i="6" s="1"/>
  <c r="G207" i="25"/>
  <c r="CF207" i="6" s="1"/>
  <c r="G191" i="25"/>
  <c r="CF191" i="6" s="1"/>
  <c r="H183" i="25"/>
  <c r="I183" i="25" s="1"/>
  <c r="E41" i="19"/>
  <c r="W302" i="25"/>
  <c r="G224" i="25"/>
  <c r="CF224" i="6" s="1"/>
  <c r="H289" i="25"/>
  <c r="J289" i="25" s="1"/>
  <c r="H318" i="25"/>
  <c r="J318" i="25" s="1"/>
  <c r="AA70" i="25"/>
  <c r="Z70" i="25" s="1"/>
  <c r="Y70" i="25" s="1"/>
  <c r="H70" i="25"/>
  <c r="I70" i="25" s="1"/>
  <c r="H237" i="25"/>
  <c r="I237" i="25" s="1"/>
  <c r="H207" i="25"/>
  <c r="I207" i="25" s="1"/>
  <c r="G336" i="25"/>
  <c r="CF336" i="6" s="1"/>
  <c r="G320" i="25"/>
  <c r="CF320" i="6" s="1"/>
  <c r="AA118" i="25"/>
  <c r="Z118" i="25" s="1"/>
  <c r="Y118" i="25" s="1"/>
  <c r="H371" i="25"/>
  <c r="I371" i="25" s="1"/>
  <c r="AA269" i="25"/>
  <c r="Z269" i="25" s="1"/>
  <c r="Y269" i="25" s="1"/>
  <c r="H255" i="25"/>
  <c r="J255" i="25" s="1"/>
  <c r="H312" i="25"/>
  <c r="I312" i="25" s="1"/>
  <c r="AA86" i="25"/>
  <c r="Z86" i="25" s="1"/>
  <c r="Y86" i="25" s="1"/>
  <c r="AH382" i="25"/>
  <c r="G355" i="25"/>
  <c r="CF355" i="6" s="1"/>
  <c r="H147" i="25"/>
  <c r="I147" i="25" s="1"/>
  <c r="H296" i="25"/>
  <c r="J296" i="25" s="1"/>
  <c r="G274" i="25"/>
  <c r="CF274" i="6" s="1"/>
  <c r="AA268" i="25"/>
  <c r="Z268" i="25" s="1"/>
  <c r="Y268" i="25" s="1"/>
  <c r="H322" i="25"/>
  <c r="J322" i="25" s="1"/>
  <c r="H86" i="25"/>
  <c r="J86" i="25" s="1"/>
  <c r="H355" i="25"/>
  <c r="I355" i="25" s="1"/>
  <c r="AA147" i="25"/>
  <c r="Z147" i="25" s="1"/>
  <c r="Y147" i="25" s="1"/>
  <c r="G322" i="25"/>
  <c r="CF322" i="6" s="1"/>
  <c r="AA274" i="25"/>
  <c r="Z274" i="25" s="1"/>
  <c r="Y274" i="25" s="1"/>
  <c r="G301" i="25"/>
  <c r="CF301" i="6" s="1"/>
  <c r="AA164" i="25"/>
  <c r="Z164" i="25" s="1"/>
  <c r="Y164" i="25" s="1"/>
  <c r="AA100" i="25"/>
  <c r="Z100" i="25" s="1"/>
  <c r="Y100" i="25" s="1"/>
  <c r="H301" i="25"/>
  <c r="J301" i="25" s="1"/>
  <c r="H168" i="25"/>
  <c r="I168" i="25" s="1"/>
  <c r="AA96" i="25"/>
  <c r="Z96" i="25" s="1"/>
  <c r="Y96" i="25" s="1"/>
  <c r="H80" i="25"/>
  <c r="I80" i="25" s="1"/>
  <c r="G71" i="25"/>
  <c r="CF71" i="6" s="1"/>
  <c r="H21" i="25"/>
  <c r="J21" i="25" s="1"/>
  <c r="I379" i="24"/>
  <c r="G125" i="25"/>
  <c r="CF125" i="6" s="1"/>
  <c r="H101" i="25"/>
  <c r="J101" i="25" s="1"/>
  <c r="H48" i="25"/>
  <c r="J48" i="25" s="1"/>
  <c r="AA198" i="25"/>
  <c r="Z198" i="25" s="1"/>
  <c r="Y198" i="25" s="1"/>
  <c r="AA168" i="25"/>
  <c r="Z168" i="25" s="1"/>
  <c r="Y168" i="25" s="1"/>
  <c r="G144" i="25"/>
  <c r="CF144" i="6" s="1"/>
  <c r="G80" i="25"/>
  <c r="CF80" i="6" s="1"/>
  <c r="AA40" i="25"/>
  <c r="Z40" i="25" s="1"/>
  <c r="Y40" i="25" s="1"/>
  <c r="H100" i="25"/>
  <c r="I100" i="25" s="1"/>
  <c r="G123" i="25"/>
  <c r="CF123" i="6" s="1"/>
  <c r="H71" i="25"/>
  <c r="I71" i="25" s="1"/>
  <c r="H164" i="25"/>
  <c r="I164" i="25" s="1"/>
  <c r="H266" i="25"/>
  <c r="J266" i="25" s="1"/>
  <c r="G236" i="25"/>
  <c r="CF236" i="6" s="1"/>
  <c r="AA128" i="25"/>
  <c r="Z128" i="25" s="1"/>
  <c r="Y128" i="25" s="1"/>
  <c r="G28" i="25"/>
  <c r="CF28" i="6" s="1"/>
  <c r="G61" i="25"/>
  <c r="CF61" i="6" s="1"/>
  <c r="D210" i="25"/>
  <c r="E210" i="25" s="1"/>
  <c r="F210" i="25" s="1"/>
  <c r="G210" i="25" s="1"/>
  <c r="CF210" i="6" s="1"/>
  <c r="G152" i="25"/>
  <c r="CF152" i="6" s="1"/>
  <c r="D88" i="25"/>
  <c r="E88" i="25" s="1"/>
  <c r="F88" i="25" s="1"/>
  <c r="G88" i="25" s="1"/>
  <c r="CF88" i="6" s="1"/>
  <c r="G129" i="25"/>
  <c r="CF129" i="6" s="1"/>
  <c r="G41" i="25"/>
  <c r="CF41" i="6" s="1"/>
  <c r="G256" i="25"/>
  <c r="CF256" i="6" s="1"/>
  <c r="G84" i="25"/>
  <c r="CF84" i="6" s="1"/>
  <c r="G52" i="25"/>
  <c r="CF52" i="6" s="1"/>
  <c r="G83" i="25"/>
  <c r="CF83" i="6" s="1"/>
  <c r="G63" i="25"/>
  <c r="CF63" i="6" s="1"/>
  <c r="H252" i="25"/>
  <c r="I252" i="25" s="1"/>
  <c r="H131" i="25"/>
  <c r="I131" i="25" s="1"/>
  <c r="H52" i="25"/>
  <c r="I52" i="25" s="1"/>
  <c r="AA252" i="25"/>
  <c r="Z252" i="25" s="1"/>
  <c r="Y252" i="25" s="1"/>
  <c r="G234" i="25"/>
  <c r="CF234" i="6" s="1"/>
  <c r="G222" i="25"/>
  <c r="CF222" i="6" s="1"/>
  <c r="AA124" i="25"/>
  <c r="Z124" i="25" s="1"/>
  <c r="Y124" i="25" s="1"/>
  <c r="H163" i="25"/>
  <c r="I163" i="25" s="1"/>
  <c r="H33" i="25"/>
  <c r="I33" i="25" s="1"/>
  <c r="H57" i="25"/>
  <c r="I57" i="25" s="1"/>
  <c r="H200" i="25"/>
  <c r="I200" i="25" s="1"/>
  <c r="G163" i="25"/>
  <c r="CF163" i="6" s="1"/>
  <c r="H55" i="25"/>
  <c r="I55" i="25" s="1"/>
  <c r="G190" i="25"/>
  <c r="CF190" i="6" s="1"/>
  <c r="AA112" i="25"/>
  <c r="Z112" i="25" s="1"/>
  <c r="Y112" i="25" s="1"/>
  <c r="H96" i="25"/>
  <c r="I96" i="25" s="1"/>
  <c r="G40" i="25"/>
  <c r="CF40" i="6" s="1"/>
  <c r="AA24" i="25"/>
  <c r="Z24" i="25" s="1"/>
  <c r="Y24" i="25" s="1"/>
  <c r="H236" i="25"/>
  <c r="J236" i="25" s="1"/>
  <c r="H123" i="25"/>
  <c r="J123" i="25" s="1"/>
  <c r="G21" i="25"/>
  <c r="CF21" i="6" s="1"/>
  <c r="H128" i="25"/>
  <c r="I128" i="25" s="1"/>
  <c r="H28" i="25"/>
  <c r="I28" i="25" s="1"/>
  <c r="G77" i="25"/>
  <c r="CF77" i="6" s="1"/>
  <c r="G59" i="25"/>
  <c r="CF59" i="6" s="1"/>
  <c r="H152" i="25"/>
  <c r="J152" i="25" s="1"/>
  <c r="AA192" i="25"/>
  <c r="Z192" i="25" s="1"/>
  <c r="Y192" i="25" s="1"/>
  <c r="H148" i="25"/>
  <c r="I148" i="25" s="1"/>
  <c r="G120" i="25"/>
  <c r="CF120" i="6" s="1"/>
  <c r="G131" i="25"/>
  <c r="CF131" i="6" s="1"/>
  <c r="G113" i="25"/>
  <c r="CF113" i="6" s="1"/>
  <c r="G73" i="25"/>
  <c r="CF73" i="6" s="1"/>
  <c r="G57" i="25"/>
  <c r="CF57" i="6" s="1"/>
  <c r="AA49" i="25"/>
  <c r="Z49" i="25" s="1"/>
  <c r="Y49" i="25" s="1"/>
  <c r="G26" i="25"/>
  <c r="CF26" i="6" s="1"/>
  <c r="AA260" i="25"/>
  <c r="Z260" i="25" s="1"/>
  <c r="Y260" i="25" s="1"/>
  <c r="H256" i="25"/>
  <c r="I256" i="25" s="1"/>
  <c r="G136" i="25"/>
  <c r="CF136" i="6" s="1"/>
  <c r="AA104" i="25"/>
  <c r="Z104" i="25" s="1"/>
  <c r="Y104" i="25" s="1"/>
  <c r="H84" i="25"/>
  <c r="J84" i="25" s="1"/>
  <c r="G76" i="25"/>
  <c r="CF76" i="6" s="1"/>
  <c r="AA137" i="25"/>
  <c r="Z137" i="25" s="1"/>
  <c r="Y137" i="25" s="1"/>
  <c r="AA63" i="25"/>
  <c r="Z63" i="25" s="1"/>
  <c r="Y63" i="25" s="1"/>
  <c r="D70" i="19"/>
  <c r="D57" i="19" s="1"/>
  <c r="H76" i="25"/>
  <c r="J76" i="25" s="1"/>
  <c r="H192" i="25"/>
  <c r="I192" i="25" s="1"/>
  <c r="AA148" i="25"/>
  <c r="Z148" i="25" s="1"/>
  <c r="Y148" i="25" s="1"/>
  <c r="AA120" i="25"/>
  <c r="Z120" i="25" s="1"/>
  <c r="Y120" i="25" s="1"/>
  <c r="H73" i="25"/>
  <c r="I73" i="25" s="1"/>
  <c r="H32" i="25"/>
  <c r="J32" i="25" s="1"/>
  <c r="H129" i="25"/>
  <c r="J129" i="25" s="1"/>
  <c r="G121" i="25"/>
  <c r="CF121" i="6" s="1"/>
  <c r="H49" i="25"/>
  <c r="J49" i="25" s="1"/>
  <c r="AA33" i="25"/>
  <c r="Z33" i="25" s="1"/>
  <c r="Y33" i="25" s="1"/>
  <c r="AA26" i="25"/>
  <c r="Z26" i="25" s="1"/>
  <c r="Y26" i="25" s="1"/>
  <c r="H113" i="25"/>
  <c r="J113" i="25" s="1"/>
  <c r="H121" i="25"/>
  <c r="I121" i="25" s="1"/>
  <c r="H222" i="25"/>
  <c r="I222" i="25" s="1"/>
  <c r="H64" i="25"/>
  <c r="J64" i="25" s="1"/>
  <c r="H260" i="25"/>
  <c r="J260" i="25" s="1"/>
  <c r="H234" i="25"/>
  <c r="J234" i="25" s="1"/>
  <c r="H136" i="25"/>
  <c r="J136" i="25" s="1"/>
  <c r="G124" i="25"/>
  <c r="CF124" i="6" s="1"/>
  <c r="G64" i="25"/>
  <c r="CF64" i="6" s="1"/>
  <c r="G48" i="25"/>
  <c r="CF48" i="6" s="1"/>
  <c r="G32" i="25"/>
  <c r="CF32" i="6" s="1"/>
  <c r="H83" i="25"/>
  <c r="I83" i="25" s="1"/>
  <c r="G55" i="25"/>
  <c r="CF55" i="6" s="1"/>
  <c r="H70" i="19"/>
  <c r="H57" i="19" s="1"/>
  <c r="H198" i="25"/>
  <c r="I198" i="25" s="1"/>
  <c r="H190" i="25"/>
  <c r="I190" i="25" s="1"/>
  <c r="H112" i="25"/>
  <c r="I112" i="25" s="1"/>
  <c r="H125" i="25"/>
  <c r="J125" i="25" s="1"/>
  <c r="H144" i="25"/>
  <c r="J144" i="25" s="1"/>
  <c r="H218" i="25"/>
  <c r="I218" i="25" s="1"/>
  <c r="G101" i="25"/>
  <c r="CF101" i="6" s="1"/>
  <c r="AA61" i="25"/>
  <c r="Z61" i="25" s="1"/>
  <c r="Y61" i="25" s="1"/>
  <c r="H53" i="25"/>
  <c r="I53" i="25" s="1"/>
  <c r="AA37" i="25"/>
  <c r="Z37" i="25" s="1"/>
  <c r="Y37" i="25" s="1"/>
  <c r="H41" i="25"/>
  <c r="J41" i="25" s="1"/>
  <c r="H104" i="25"/>
  <c r="I104" i="25" s="1"/>
  <c r="H137" i="25"/>
  <c r="J137" i="25" s="1"/>
  <c r="G266" i="25"/>
  <c r="CF266" i="6" s="1"/>
  <c r="H24" i="25"/>
  <c r="J24" i="25" s="1"/>
  <c r="H77" i="25"/>
  <c r="I77" i="25" s="1"/>
  <c r="AA53" i="25"/>
  <c r="Z53" i="25" s="1"/>
  <c r="Y53" i="25" s="1"/>
  <c r="H37" i="25"/>
  <c r="I37" i="25" s="1"/>
  <c r="D16" i="19"/>
  <c r="G40" i="19"/>
  <c r="V379" i="25"/>
  <c r="M70" i="19" s="1"/>
  <c r="D44" i="19"/>
  <c r="D33" i="19" s="1"/>
  <c r="AA200" i="25"/>
  <c r="Z200" i="25" s="1"/>
  <c r="Y200" i="25" s="1"/>
  <c r="D248" i="25"/>
  <c r="E248" i="25" s="1"/>
  <c r="F248" i="25" s="1"/>
  <c r="H248" i="25" s="1"/>
  <c r="AJ3" i="18"/>
  <c r="O15" i="19" s="1"/>
  <c r="M15" i="19" s="1"/>
  <c r="AL13" i="18"/>
  <c r="AJ10" i="22"/>
  <c r="AJ12" i="22" s="1"/>
  <c r="AJ9" i="22"/>
  <c r="AJ11" i="22" s="1"/>
  <c r="AJ6" i="23"/>
  <c r="AJ5" i="23"/>
  <c r="AL8" i="20"/>
  <c r="AL7" i="20"/>
  <c r="D261" i="25"/>
  <c r="E261" i="25" s="1"/>
  <c r="F261" i="25" s="1"/>
  <c r="H261" i="25" s="1"/>
  <c r="H59" i="19"/>
  <c r="D59" i="19"/>
  <c r="L57" i="19"/>
  <c r="L58" i="19"/>
  <c r="L59" i="19"/>
  <c r="J57" i="19"/>
  <c r="J58" i="19"/>
  <c r="J59" i="19"/>
  <c r="B363" i="25"/>
  <c r="D363" i="25" s="1"/>
  <c r="E363" i="25" s="1"/>
  <c r="F363" i="25" s="1"/>
  <c r="B60" i="25"/>
  <c r="W60" i="25" s="1"/>
  <c r="C70" i="19"/>
  <c r="F59" i="19"/>
  <c r="F57" i="19"/>
  <c r="F58" i="19"/>
  <c r="E70" i="19"/>
  <c r="G58" i="19"/>
  <c r="G59" i="19"/>
  <c r="G57" i="19"/>
  <c r="J174" i="25"/>
  <c r="I174" i="25"/>
  <c r="I232" i="25"/>
  <c r="J232" i="25"/>
  <c r="I132" i="25"/>
  <c r="J132" i="25"/>
  <c r="I38" i="25"/>
  <c r="J38" i="25"/>
  <c r="J295" i="25"/>
  <c r="I295" i="25"/>
  <c r="I153" i="25"/>
  <c r="J153" i="25"/>
  <c r="I81" i="25"/>
  <c r="J81" i="25"/>
  <c r="I62" i="25"/>
  <c r="J62" i="25"/>
  <c r="I251" i="25"/>
  <c r="J251" i="25"/>
  <c r="J331" i="25"/>
  <c r="I331" i="25"/>
  <c r="J309" i="25"/>
  <c r="I309" i="25"/>
  <c r="J332" i="25"/>
  <c r="I332" i="25"/>
  <c r="I103" i="25"/>
  <c r="J103" i="25"/>
  <c r="J321" i="25"/>
  <c r="I229" i="25"/>
  <c r="J229" i="25"/>
  <c r="I157" i="25"/>
  <c r="J157" i="25"/>
  <c r="J353" i="25"/>
  <c r="I353" i="25"/>
  <c r="J374" i="25"/>
  <c r="I374" i="25"/>
  <c r="J306" i="25"/>
  <c r="I306" i="25"/>
  <c r="I311" i="25"/>
  <c r="I305" i="25"/>
  <c r="J305" i="25"/>
  <c r="J310" i="25"/>
  <c r="I310" i="25"/>
  <c r="I182" i="25"/>
  <c r="J182" i="25"/>
  <c r="J378" i="25"/>
  <c r="I378" i="25"/>
  <c r="J204" i="25"/>
  <c r="I204" i="25"/>
  <c r="J90" i="25"/>
  <c r="I90" i="25"/>
  <c r="J78" i="25"/>
  <c r="I78" i="25"/>
  <c r="J302" i="24"/>
  <c r="I302" i="24"/>
  <c r="H302" i="25" s="1"/>
  <c r="J74" i="24"/>
  <c r="I74" i="24"/>
  <c r="H74" i="25" s="1"/>
  <c r="J366" i="25"/>
  <c r="I366" i="25"/>
  <c r="J362" i="25"/>
  <c r="I362" i="25"/>
  <c r="J358" i="25"/>
  <c r="I358" i="25"/>
  <c r="I356" i="25"/>
  <c r="J356" i="25"/>
  <c r="I342" i="25"/>
  <c r="J342" i="25"/>
  <c r="I340" i="25"/>
  <c r="J340" i="25"/>
  <c r="J338" i="25"/>
  <c r="I338" i="25"/>
  <c r="J290" i="25"/>
  <c r="I290" i="25"/>
  <c r="J286" i="25"/>
  <c r="I286" i="25"/>
  <c r="G272" i="25"/>
  <c r="CF272" i="6" s="1"/>
  <c r="AA272" i="25"/>
  <c r="Z272" i="25" s="1"/>
  <c r="Y272" i="25" s="1"/>
  <c r="H272" i="25"/>
  <c r="J264" i="25"/>
  <c r="I264" i="25"/>
  <c r="J242" i="25"/>
  <c r="I242" i="25"/>
  <c r="J240" i="25"/>
  <c r="I240" i="25"/>
  <c r="J214" i="25"/>
  <c r="I214" i="25"/>
  <c r="I212" i="25"/>
  <c r="J212" i="25"/>
  <c r="I206" i="25"/>
  <c r="J206" i="25"/>
  <c r="G196" i="25"/>
  <c r="CF196" i="6" s="1"/>
  <c r="AA196" i="25"/>
  <c r="Z196" i="25" s="1"/>
  <c r="Y196" i="25" s="1"/>
  <c r="H196" i="25"/>
  <c r="I186" i="25"/>
  <c r="J186" i="25"/>
  <c r="AA180" i="25"/>
  <c r="Z180" i="25" s="1"/>
  <c r="Y180" i="25" s="1"/>
  <c r="H180" i="25"/>
  <c r="G180" i="25"/>
  <c r="CF180" i="6" s="1"/>
  <c r="I158" i="25"/>
  <c r="J158" i="25"/>
  <c r="I134" i="25"/>
  <c r="J134" i="25"/>
  <c r="I102" i="25"/>
  <c r="J102" i="25"/>
  <c r="I82" i="25"/>
  <c r="I72" i="25"/>
  <c r="J72" i="25"/>
  <c r="I68" i="25"/>
  <c r="J68" i="25"/>
  <c r="I44" i="25"/>
  <c r="J44" i="25"/>
  <c r="I36" i="25"/>
  <c r="J36" i="25"/>
  <c r="I30" i="25"/>
  <c r="J30" i="25"/>
  <c r="AG383" i="25"/>
  <c r="AG381" i="25"/>
  <c r="AG382" i="25"/>
  <c r="AF15" i="25"/>
  <c r="D15" i="23"/>
  <c r="AK6" i="23"/>
  <c r="H9" i="23"/>
  <c r="B18" i="19" s="1"/>
  <c r="B381" i="23"/>
  <c r="W15" i="23"/>
  <c r="B383" i="23"/>
  <c r="B382" i="23"/>
  <c r="V15" i="24"/>
  <c r="B15" i="24" s="1"/>
  <c r="P382" i="24"/>
  <c r="P381" i="24"/>
  <c r="P383" i="24"/>
  <c r="I377" i="25"/>
  <c r="I345" i="25"/>
  <c r="J345" i="25"/>
  <c r="AA333" i="25"/>
  <c r="Z333" i="25" s="1"/>
  <c r="Y333" i="25" s="1"/>
  <c r="H333" i="25"/>
  <c r="G333" i="25"/>
  <c r="CF333" i="6" s="1"/>
  <c r="J315" i="25"/>
  <c r="I315" i="25"/>
  <c r="J297" i="25"/>
  <c r="I239" i="25"/>
  <c r="I217" i="25"/>
  <c r="J217" i="25"/>
  <c r="I213" i="25"/>
  <c r="J213" i="25"/>
  <c r="J199" i="25"/>
  <c r="I199" i="25"/>
  <c r="H149" i="25"/>
  <c r="AA149" i="25"/>
  <c r="Z149" i="25" s="1"/>
  <c r="Y149" i="25" s="1"/>
  <c r="G149" i="25"/>
  <c r="CF149" i="6" s="1"/>
  <c r="J133" i="25"/>
  <c r="I133" i="25"/>
  <c r="I117" i="25"/>
  <c r="J117" i="25"/>
  <c r="J115" i="25"/>
  <c r="I115" i="25"/>
  <c r="I109" i="25"/>
  <c r="J109" i="25"/>
  <c r="I91" i="25"/>
  <c r="J91" i="25"/>
  <c r="J85" i="25"/>
  <c r="I85" i="25"/>
  <c r="J51" i="25"/>
  <c r="I51" i="25"/>
  <c r="G29" i="25"/>
  <c r="CF29" i="6" s="1"/>
  <c r="H29" i="25"/>
  <c r="AA29" i="25"/>
  <c r="Z29" i="25" s="1"/>
  <c r="Y29" i="25" s="1"/>
  <c r="I25" i="25"/>
  <c r="J25" i="25"/>
  <c r="J26" i="25"/>
  <c r="I26" i="25"/>
  <c r="G105" i="25"/>
  <c r="CF105" i="6" s="1"/>
  <c r="AA105" i="25"/>
  <c r="Z105" i="25" s="1"/>
  <c r="Y105" i="25" s="1"/>
  <c r="H105" i="25"/>
  <c r="I210" i="24"/>
  <c r="J210" i="24"/>
  <c r="J319" i="24"/>
  <c r="I319" i="24"/>
  <c r="H319" i="25" s="1"/>
  <c r="I370" i="25"/>
  <c r="J370" i="25"/>
  <c r="J350" i="25"/>
  <c r="I350" i="25"/>
  <c r="I344" i="25"/>
  <c r="J344" i="25"/>
  <c r="I324" i="25"/>
  <c r="J304" i="25"/>
  <c r="I304" i="25"/>
  <c r="J292" i="25"/>
  <c r="I292" i="25"/>
  <c r="J280" i="25"/>
  <c r="I280" i="25"/>
  <c r="J262" i="25"/>
  <c r="I262" i="25"/>
  <c r="J238" i="25"/>
  <c r="I238" i="25"/>
  <c r="J202" i="25"/>
  <c r="I202" i="25"/>
  <c r="I184" i="25"/>
  <c r="J184" i="25"/>
  <c r="I172" i="25"/>
  <c r="J172" i="25"/>
  <c r="I160" i="25"/>
  <c r="J160" i="25"/>
  <c r="J138" i="25"/>
  <c r="I138" i="25"/>
  <c r="J124" i="25"/>
  <c r="I124" i="25"/>
  <c r="J122" i="25"/>
  <c r="I122" i="25"/>
  <c r="J27" i="25"/>
  <c r="I27" i="25"/>
  <c r="J18" i="25"/>
  <c r="I18" i="25"/>
  <c r="I20" i="25"/>
  <c r="J20" i="25"/>
  <c r="G135" i="25"/>
  <c r="CF135" i="6" s="1"/>
  <c r="AA135" i="25"/>
  <c r="Z135" i="25" s="1"/>
  <c r="Y135" i="25" s="1"/>
  <c r="H135" i="25"/>
  <c r="J15" i="19"/>
  <c r="J31" i="19" s="1"/>
  <c r="AA11" i="18"/>
  <c r="AA5" i="18" s="1"/>
  <c r="I15" i="19" s="1"/>
  <c r="Z11" i="18"/>
  <c r="Z5" i="18" s="1"/>
  <c r="H15" i="19" s="1"/>
  <c r="AI7" i="7"/>
  <c r="F7" i="6"/>
  <c r="I382" i="20"/>
  <c r="I381" i="20"/>
  <c r="I383" i="20"/>
  <c r="J88" i="24"/>
  <c r="I88" i="24"/>
  <c r="J375" i="25"/>
  <c r="I375" i="25"/>
  <c r="G365" i="25"/>
  <c r="CF365" i="6" s="1"/>
  <c r="AA365" i="25"/>
  <c r="Z365" i="25" s="1"/>
  <c r="Y365" i="25" s="1"/>
  <c r="H365" i="25"/>
  <c r="J359" i="25"/>
  <c r="I359" i="25"/>
  <c r="J357" i="25"/>
  <c r="I357" i="25"/>
  <c r="I337" i="25"/>
  <c r="I313" i="25"/>
  <c r="J313" i="25"/>
  <c r="I307" i="25"/>
  <c r="J307" i="25"/>
  <c r="J245" i="25"/>
  <c r="I245" i="25"/>
  <c r="I231" i="25"/>
  <c r="J231" i="25"/>
  <c r="J211" i="25"/>
  <c r="I211" i="25"/>
  <c r="I203" i="25"/>
  <c r="J203" i="25"/>
  <c r="J193" i="25"/>
  <c r="I193" i="25"/>
  <c r="J179" i="25"/>
  <c r="J151" i="25"/>
  <c r="I151" i="25"/>
  <c r="J143" i="25"/>
  <c r="I143" i="25"/>
  <c r="J141" i="25"/>
  <c r="I141" i="25"/>
  <c r="J139" i="25"/>
  <c r="I139" i="25"/>
  <c r="J107" i="25"/>
  <c r="I107" i="25"/>
  <c r="J65" i="25"/>
  <c r="I65" i="25"/>
  <c r="I39" i="25"/>
  <c r="J39" i="25"/>
  <c r="G368" i="25"/>
  <c r="CF368" i="6" s="1"/>
  <c r="AA368" i="25"/>
  <c r="Z368" i="25" s="1"/>
  <c r="Y368" i="25" s="1"/>
  <c r="H368" i="25"/>
  <c r="AA316" i="25"/>
  <c r="Z316" i="25" s="1"/>
  <c r="Y316" i="25" s="1"/>
  <c r="G316" i="25"/>
  <c r="CF316" i="6" s="1"/>
  <c r="H316" i="25"/>
  <c r="AA194" i="25"/>
  <c r="Z194" i="25" s="1"/>
  <c r="Y194" i="25" s="1"/>
  <c r="G194" i="25"/>
  <c r="CF194" i="6" s="1"/>
  <c r="H194" i="25"/>
  <c r="AA150" i="25"/>
  <c r="Z150" i="25" s="1"/>
  <c r="Y150" i="25" s="1"/>
  <c r="G150" i="25"/>
  <c r="CF150" i="6" s="1"/>
  <c r="H150" i="25"/>
  <c r="G66" i="25"/>
  <c r="CF66" i="6" s="1"/>
  <c r="AA66" i="25"/>
  <c r="Z66" i="25" s="1"/>
  <c r="Y66" i="25" s="1"/>
  <c r="H66" i="25"/>
  <c r="AA16" i="25"/>
  <c r="Z16" i="25" s="1"/>
  <c r="Y16" i="25" s="1"/>
  <c r="G16" i="25"/>
  <c r="CF16" i="6" s="1"/>
  <c r="H16" i="25"/>
  <c r="G335" i="25"/>
  <c r="CF335" i="6" s="1"/>
  <c r="AA335" i="25"/>
  <c r="Z335" i="25" s="1"/>
  <c r="Y335" i="25" s="1"/>
  <c r="H335" i="25"/>
  <c r="AA187" i="25"/>
  <c r="Z187" i="25" s="1"/>
  <c r="Y187" i="25" s="1"/>
  <c r="G187" i="25"/>
  <c r="CF187" i="6" s="1"/>
  <c r="H187" i="25"/>
  <c r="AA376" i="25"/>
  <c r="Z376" i="25" s="1"/>
  <c r="Y376" i="25" s="1"/>
  <c r="G376" i="25"/>
  <c r="CF376" i="6" s="1"/>
  <c r="H376" i="25"/>
  <c r="G298" i="25"/>
  <c r="CF298" i="6" s="1"/>
  <c r="AA298" i="25"/>
  <c r="Z298" i="25" s="1"/>
  <c r="Y298" i="25" s="1"/>
  <c r="H298" i="25"/>
  <c r="AA226" i="25"/>
  <c r="Z226" i="25" s="1"/>
  <c r="Y226" i="25" s="1"/>
  <c r="H226" i="25"/>
  <c r="G226" i="25"/>
  <c r="CF226" i="6" s="1"/>
  <c r="G208" i="25"/>
  <c r="CF208" i="6" s="1"/>
  <c r="AA208" i="25"/>
  <c r="Z208" i="25" s="1"/>
  <c r="Y208" i="25" s="1"/>
  <c r="H208" i="25"/>
  <c r="G154" i="25"/>
  <c r="CF154" i="6" s="1"/>
  <c r="AA154" i="25"/>
  <c r="Z154" i="25" s="1"/>
  <c r="Y154" i="25" s="1"/>
  <c r="H154" i="25"/>
  <c r="AA114" i="25"/>
  <c r="Z114" i="25" s="1"/>
  <c r="Y114" i="25" s="1"/>
  <c r="H114" i="25"/>
  <c r="G114" i="25"/>
  <c r="CF114" i="6" s="1"/>
  <c r="AA367" i="25"/>
  <c r="Z367" i="25" s="1"/>
  <c r="Y367" i="25" s="1"/>
  <c r="G367" i="25"/>
  <c r="CF367" i="6" s="1"/>
  <c r="H367" i="25"/>
  <c r="AA347" i="25"/>
  <c r="Z347" i="25" s="1"/>
  <c r="Y347" i="25" s="1"/>
  <c r="H347" i="25"/>
  <c r="G347" i="25"/>
  <c r="CF347" i="6" s="1"/>
  <c r="G189" i="25"/>
  <c r="CF189" i="6" s="1"/>
  <c r="AA189" i="25"/>
  <c r="Z189" i="25" s="1"/>
  <c r="Y189" i="25" s="1"/>
  <c r="H189" i="25"/>
  <c r="AA177" i="25"/>
  <c r="Z177" i="25" s="1"/>
  <c r="Y177" i="25" s="1"/>
  <c r="G177" i="25"/>
  <c r="CF177" i="6" s="1"/>
  <c r="H177" i="25"/>
  <c r="D119" i="25"/>
  <c r="E119" i="25" s="1"/>
  <c r="F119" i="25" s="1"/>
  <c r="W119" i="25"/>
  <c r="G67" i="25"/>
  <c r="CF67" i="6" s="1"/>
  <c r="H67" i="25"/>
  <c r="AA67" i="25"/>
  <c r="Z67" i="25" s="1"/>
  <c r="Y67" i="25" s="1"/>
  <c r="H35" i="25"/>
  <c r="AA35" i="25"/>
  <c r="Z35" i="25" s="1"/>
  <c r="Y35" i="25" s="1"/>
  <c r="G35" i="25"/>
  <c r="CF35" i="6" s="1"/>
  <c r="J372" i="25"/>
  <c r="I372" i="25"/>
  <c r="J334" i="25"/>
  <c r="I334" i="25"/>
  <c r="J326" i="25"/>
  <c r="I326" i="25"/>
  <c r="AA302" i="25"/>
  <c r="Z302" i="25" s="1"/>
  <c r="Y302" i="25" s="1"/>
  <c r="G302" i="25"/>
  <c r="CF302" i="6" s="1"/>
  <c r="I300" i="25"/>
  <c r="J300" i="25"/>
  <c r="I296" i="25"/>
  <c r="J294" i="25"/>
  <c r="I294" i="25"/>
  <c r="I250" i="25"/>
  <c r="J250" i="25"/>
  <c r="I228" i="25"/>
  <c r="J228" i="25"/>
  <c r="I142" i="25"/>
  <c r="J142" i="25"/>
  <c r="J126" i="25"/>
  <c r="I126" i="25"/>
  <c r="I120" i="25"/>
  <c r="J120" i="25"/>
  <c r="I108" i="25"/>
  <c r="J108" i="25"/>
  <c r="J94" i="25"/>
  <c r="I94" i="25"/>
  <c r="S382" i="25"/>
  <c r="S383" i="25"/>
  <c r="S381" i="25"/>
  <c r="R15" i="25"/>
  <c r="AA46" i="25"/>
  <c r="Z46" i="25" s="1"/>
  <c r="Y46" i="25" s="1"/>
  <c r="H46" i="25"/>
  <c r="G46" i="25"/>
  <c r="CF46" i="6" s="1"/>
  <c r="AA166" i="25"/>
  <c r="Z166" i="25" s="1"/>
  <c r="Y166" i="25" s="1"/>
  <c r="G166" i="25"/>
  <c r="CF166" i="6" s="1"/>
  <c r="H166" i="25"/>
  <c r="E9" i="22"/>
  <c r="E11" i="22" s="1"/>
  <c r="AK8" i="22"/>
  <c r="F15" i="22"/>
  <c r="E382" i="22"/>
  <c r="E383" i="22"/>
  <c r="E381" i="22"/>
  <c r="N4" i="6"/>
  <c r="D15" i="6"/>
  <c r="Z382" i="20"/>
  <c r="Z381" i="20"/>
  <c r="Y15" i="20"/>
  <c r="AM5" i="20" s="1"/>
  <c r="AM11" i="20" s="1"/>
  <c r="AK3" i="20" s="1"/>
  <c r="Q16" i="19" s="1"/>
  <c r="Z383" i="20"/>
  <c r="Z9" i="20"/>
  <c r="AA349" i="25"/>
  <c r="Z349" i="25" s="1"/>
  <c r="Y349" i="25" s="1"/>
  <c r="G349" i="25"/>
  <c r="CF349" i="6" s="1"/>
  <c r="H349" i="25"/>
  <c r="J341" i="25"/>
  <c r="J339" i="25"/>
  <c r="I339" i="25"/>
  <c r="J327" i="25"/>
  <c r="I327" i="25"/>
  <c r="J303" i="25"/>
  <c r="I303" i="25"/>
  <c r="J293" i="25"/>
  <c r="I293" i="25"/>
  <c r="I291" i="25"/>
  <c r="J291" i="25"/>
  <c r="I275" i="25"/>
  <c r="J275" i="25"/>
  <c r="I259" i="25"/>
  <c r="J259" i="25"/>
  <c r="I233" i="25"/>
  <c r="J233" i="25"/>
  <c r="H227" i="25"/>
  <c r="G227" i="25"/>
  <c r="CF227" i="6" s="1"/>
  <c r="AA227" i="25"/>
  <c r="Z227" i="25" s="1"/>
  <c r="Y227" i="25" s="1"/>
  <c r="J221" i="25"/>
  <c r="I221" i="25"/>
  <c r="I215" i="25"/>
  <c r="J215" i="25"/>
  <c r="J209" i="25"/>
  <c r="I209" i="25"/>
  <c r="I181" i="25"/>
  <c r="J181" i="25"/>
  <c r="J145" i="25"/>
  <c r="I145" i="25"/>
  <c r="I93" i="25"/>
  <c r="J93" i="25"/>
  <c r="J87" i="25"/>
  <c r="I87" i="25"/>
  <c r="I79" i="25"/>
  <c r="J79" i="25"/>
  <c r="J69" i="25"/>
  <c r="I69" i="25"/>
  <c r="I47" i="25"/>
  <c r="J47" i="25"/>
  <c r="I45" i="25"/>
  <c r="J45" i="25"/>
  <c r="I31" i="25"/>
  <c r="J31" i="25"/>
  <c r="G22" i="25"/>
  <c r="CF22" i="6" s="1"/>
  <c r="H22" i="25"/>
  <c r="AA22" i="25"/>
  <c r="Z22" i="25" s="1"/>
  <c r="Y22" i="25" s="1"/>
  <c r="I23" i="25"/>
  <c r="J23" i="25"/>
  <c r="J363" i="24"/>
  <c r="I363" i="24"/>
  <c r="AA319" i="25"/>
  <c r="Z319" i="25" s="1"/>
  <c r="Y319" i="25" s="1"/>
  <c r="G319" i="25"/>
  <c r="CF319" i="6" s="1"/>
  <c r="G74" i="25"/>
  <c r="CF74" i="6" s="1"/>
  <c r="AA74" i="25"/>
  <c r="Z74" i="25" s="1"/>
  <c r="Y74" i="25" s="1"/>
  <c r="J258" i="25"/>
  <c r="I258" i="25"/>
  <c r="G354" i="25"/>
  <c r="CF354" i="6" s="1"/>
  <c r="AA354" i="25"/>
  <c r="Z354" i="25" s="1"/>
  <c r="Y354" i="25" s="1"/>
  <c r="H354" i="25"/>
  <c r="I328" i="25"/>
  <c r="J328" i="25"/>
  <c r="J308" i="25"/>
  <c r="I308" i="25"/>
  <c r="J282" i="25"/>
  <c r="I282" i="25"/>
  <c r="J276" i="25"/>
  <c r="J274" i="25"/>
  <c r="I274" i="25"/>
  <c r="I268" i="25"/>
  <c r="J268" i="25"/>
  <c r="J254" i="25"/>
  <c r="I254" i="25"/>
  <c r="I246" i="25"/>
  <c r="J246" i="25"/>
  <c r="I230" i="25"/>
  <c r="J230" i="25"/>
  <c r="J220" i="25"/>
  <c r="I220" i="25"/>
  <c r="J178" i="25"/>
  <c r="I178" i="25"/>
  <c r="J176" i="25"/>
  <c r="I176" i="25"/>
  <c r="I170" i="25"/>
  <c r="J170" i="25"/>
  <c r="J140" i="25"/>
  <c r="I140" i="25"/>
  <c r="I56" i="25"/>
  <c r="J56" i="25"/>
  <c r="I50" i="25"/>
  <c r="J50" i="25"/>
  <c r="J42" i="25"/>
  <c r="I42" i="25"/>
  <c r="AA17" i="25"/>
  <c r="Z17" i="25" s="1"/>
  <c r="Y17" i="25" s="1"/>
  <c r="G17" i="25"/>
  <c r="CF17" i="6" s="1"/>
  <c r="H17" i="25"/>
  <c r="AK4" i="18"/>
  <c r="R15" i="19" s="1"/>
  <c r="AM13" i="18"/>
  <c r="J381" i="20"/>
  <c r="J382" i="20"/>
  <c r="J383" i="20"/>
  <c r="AA369" i="25"/>
  <c r="Z369" i="25" s="1"/>
  <c r="Y369" i="25" s="1"/>
  <c r="H369" i="25"/>
  <c r="G369" i="25"/>
  <c r="CF369" i="6" s="1"/>
  <c r="I323" i="25"/>
  <c r="J323" i="25"/>
  <c r="I281" i="25"/>
  <c r="J281" i="25"/>
  <c r="J273" i="25"/>
  <c r="I273" i="25"/>
  <c r="I271" i="25"/>
  <c r="J271" i="25"/>
  <c r="I263" i="25"/>
  <c r="J263" i="25"/>
  <c r="J249" i="25"/>
  <c r="I249" i="25"/>
  <c r="I247" i="25"/>
  <c r="J247" i="25"/>
  <c r="I219" i="25"/>
  <c r="J219" i="25"/>
  <c r="I197" i="25"/>
  <c r="J197" i="25"/>
  <c r="J185" i="25"/>
  <c r="I185" i="25"/>
  <c r="I167" i="25"/>
  <c r="J167" i="25"/>
  <c r="I159" i="25"/>
  <c r="J159" i="25"/>
  <c r="J155" i="25"/>
  <c r="I155" i="25"/>
  <c r="J127" i="25"/>
  <c r="I127" i="25"/>
  <c r="I99" i="25"/>
  <c r="J99" i="25"/>
  <c r="I97" i="25"/>
  <c r="J97" i="25"/>
  <c r="J89" i="25"/>
  <c r="I89" i="25"/>
  <c r="J63" i="25"/>
  <c r="I63" i="25"/>
  <c r="I61" i="25"/>
  <c r="J61" i="25"/>
  <c r="AA284" i="25"/>
  <c r="Z284" i="25" s="1"/>
  <c r="Y284" i="25" s="1"/>
  <c r="H284" i="25"/>
  <c r="G284" i="25"/>
  <c r="CF284" i="6" s="1"/>
  <c r="H244" i="25"/>
  <c r="G244" i="25"/>
  <c r="CF244" i="6" s="1"/>
  <c r="AA244" i="25"/>
  <c r="Z244" i="25" s="1"/>
  <c r="Y244" i="25" s="1"/>
  <c r="AA216" i="25"/>
  <c r="Z216" i="25" s="1"/>
  <c r="Y216" i="25" s="1"/>
  <c r="G216" i="25"/>
  <c r="CF216" i="6" s="1"/>
  <c r="H216" i="25"/>
  <c r="AA116" i="25"/>
  <c r="Z116" i="25" s="1"/>
  <c r="Y116" i="25" s="1"/>
  <c r="G116" i="25"/>
  <c r="CF116" i="6" s="1"/>
  <c r="H116" i="25"/>
  <c r="H283" i="25"/>
  <c r="AA283" i="25"/>
  <c r="Z283" i="25" s="1"/>
  <c r="Y283" i="25" s="1"/>
  <c r="G283" i="25"/>
  <c r="CF283" i="6" s="1"/>
  <c r="AA253" i="25"/>
  <c r="Z253" i="25" s="1"/>
  <c r="Y253" i="25" s="1"/>
  <c r="G253" i="25"/>
  <c r="CF253" i="6" s="1"/>
  <c r="H253" i="25"/>
  <c r="AA175" i="25"/>
  <c r="Z175" i="25" s="1"/>
  <c r="Y175" i="25" s="1"/>
  <c r="H175" i="25"/>
  <c r="G175" i="25"/>
  <c r="CF175" i="6" s="1"/>
  <c r="G161" i="25"/>
  <c r="CF161" i="6" s="1"/>
  <c r="AA161" i="25"/>
  <c r="Z161" i="25" s="1"/>
  <c r="Y161" i="25" s="1"/>
  <c r="H161" i="25"/>
  <c r="AA111" i="25"/>
  <c r="Z111" i="25" s="1"/>
  <c r="Y111" i="25" s="1"/>
  <c r="G111" i="25"/>
  <c r="CF111" i="6" s="1"/>
  <c r="H111" i="25"/>
  <c r="AA75" i="25"/>
  <c r="Z75" i="25" s="1"/>
  <c r="Y75" i="25" s="1"/>
  <c r="H75" i="25"/>
  <c r="G75" i="25"/>
  <c r="CF75" i="6" s="1"/>
  <c r="AA43" i="25"/>
  <c r="Z43" i="25" s="1"/>
  <c r="Y43" i="25" s="1"/>
  <c r="G43" i="25"/>
  <c r="CF43" i="6" s="1"/>
  <c r="H43" i="25"/>
  <c r="G19" i="25"/>
  <c r="CF19" i="6" s="1"/>
  <c r="AA19" i="25"/>
  <c r="Z19" i="25" s="1"/>
  <c r="Y19" i="25" s="1"/>
  <c r="H19" i="25"/>
  <c r="H346" i="25"/>
  <c r="AA346" i="25"/>
  <c r="Z346" i="25" s="1"/>
  <c r="Y346" i="25" s="1"/>
  <c r="G346" i="25"/>
  <c r="CF346" i="6" s="1"/>
  <c r="AA278" i="25"/>
  <c r="Z278" i="25" s="1"/>
  <c r="Y278" i="25" s="1"/>
  <c r="H278" i="25"/>
  <c r="G278" i="25"/>
  <c r="CF278" i="6" s="1"/>
  <c r="G130" i="25"/>
  <c r="CF130" i="6" s="1"/>
  <c r="H130" i="25"/>
  <c r="AA130" i="25"/>
  <c r="Z130" i="25" s="1"/>
  <c r="Y130" i="25" s="1"/>
  <c r="AA287" i="25"/>
  <c r="Z287" i="25" s="1"/>
  <c r="Y287" i="25" s="1"/>
  <c r="G287" i="25"/>
  <c r="CF287" i="6" s="1"/>
  <c r="H287" i="25"/>
  <c r="AA265" i="25"/>
  <c r="Z265" i="25" s="1"/>
  <c r="Y265" i="25" s="1"/>
  <c r="H265" i="25"/>
  <c r="G265" i="25"/>
  <c r="CF265" i="6" s="1"/>
  <c r="G171" i="25"/>
  <c r="CF171" i="6" s="1"/>
  <c r="H171" i="25"/>
  <c r="AA171" i="25"/>
  <c r="Z171" i="25" s="1"/>
  <c r="Y171" i="25" s="1"/>
  <c r="AA95" i="25"/>
  <c r="Z95" i="25" s="1"/>
  <c r="Y95" i="25" s="1"/>
  <c r="G95" i="25"/>
  <c r="CF95" i="6" s="1"/>
  <c r="H95" i="25"/>
  <c r="AD379" i="24" l="1"/>
  <c r="AF381" i="24"/>
  <c r="AF383" i="24"/>
  <c r="AF382" i="24"/>
  <c r="I169" i="25"/>
  <c r="I173" i="25"/>
  <c r="J110" i="25"/>
  <c r="I352" i="25"/>
  <c r="H241" i="25"/>
  <c r="I241" i="25" s="1"/>
  <c r="J361" i="25"/>
  <c r="J92" i="25"/>
  <c r="J270" i="25"/>
  <c r="J285" i="25"/>
  <c r="J146" i="25"/>
  <c r="I325" i="25"/>
  <c r="J162" i="25"/>
  <c r="J98" i="25"/>
  <c r="I76" i="25"/>
  <c r="K58" i="19"/>
  <c r="AA241" i="25"/>
  <c r="Z241" i="25" s="1"/>
  <c r="Y241" i="25" s="1"/>
  <c r="I267" i="25"/>
  <c r="I288" i="25"/>
  <c r="I322" i="25"/>
  <c r="I40" i="25"/>
  <c r="J235" i="25"/>
  <c r="I34" i="25"/>
  <c r="I257" i="25"/>
  <c r="I279" i="25"/>
  <c r="I343" i="25"/>
  <c r="J58" i="25"/>
  <c r="J100" i="25"/>
  <c r="J317" i="25"/>
  <c r="J106" i="25"/>
  <c r="J201" i="25"/>
  <c r="J59" i="25"/>
  <c r="I223" i="25"/>
  <c r="J269" i="25"/>
  <c r="I373" i="25"/>
  <c r="J360" i="25"/>
  <c r="I224" i="25"/>
  <c r="I314" i="25"/>
  <c r="J205" i="25"/>
  <c r="I58" i="19"/>
  <c r="J118" i="25"/>
  <c r="J336" i="25"/>
  <c r="J188" i="25"/>
  <c r="I191" i="25"/>
  <c r="I277" i="25"/>
  <c r="I364" i="25"/>
  <c r="I165" i="25"/>
  <c r="I351" i="25"/>
  <c r="I299" i="25"/>
  <c r="J52" i="25"/>
  <c r="K57" i="19"/>
  <c r="J147" i="25"/>
  <c r="J96" i="25"/>
  <c r="J348" i="25"/>
  <c r="J330" i="25"/>
  <c r="J225" i="25"/>
  <c r="I329" i="25"/>
  <c r="I54" i="25"/>
  <c r="I289" i="25"/>
  <c r="I59" i="19"/>
  <c r="J183" i="25"/>
  <c r="I320" i="25"/>
  <c r="J195" i="25"/>
  <c r="J243" i="25"/>
  <c r="J355" i="25"/>
  <c r="J156" i="25"/>
  <c r="J237" i="25"/>
  <c r="J312" i="25"/>
  <c r="I123" i="25"/>
  <c r="I101" i="25"/>
  <c r="I318" i="25"/>
  <c r="J121" i="25"/>
  <c r="AA88" i="25"/>
  <c r="Z88" i="25" s="1"/>
  <c r="Y88" i="25" s="1"/>
  <c r="E16" i="19"/>
  <c r="F16" i="19" s="1"/>
  <c r="I255" i="25"/>
  <c r="J70" i="25"/>
  <c r="J371" i="25"/>
  <c r="I86" i="25"/>
  <c r="AA210" i="25"/>
  <c r="Z210" i="25" s="1"/>
  <c r="Y210" i="25" s="1"/>
  <c r="I301" i="25"/>
  <c r="J207" i="25"/>
  <c r="H39" i="19"/>
  <c r="H31" i="19"/>
  <c r="I39" i="19"/>
  <c r="I31" i="19"/>
  <c r="J37" i="25"/>
  <c r="J164" i="25"/>
  <c r="J256" i="25"/>
  <c r="H210" i="25"/>
  <c r="I210" i="25" s="1"/>
  <c r="J252" i="25"/>
  <c r="I84" i="25"/>
  <c r="I21" i="25"/>
  <c r="J71" i="25"/>
  <c r="J80" i="25"/>
  <c r="I48" i="25"/>
  <c r="I266" i="25"/>
  <c r="J168" i="25"/>
  <c r="J163" i="25"/>
  <c r="I32" i="25"/>
  <c r="J128" i="25"/>
  <c r="J131" i="25"/>
  <c r="J112" i="25"/>
  <c r="J57" i="25"/>
  <c r="J55" i="25"/>
  <c r="J33" i="25"/>
  <c r="J28" i="25"/>
  <c r="J200" i="25"/>
  <c r="J83" i="25"/>
  <c r="I49" i="25"/>
  <c r="H88" i="25"/>
  <c r="I88" i="25" s="1"/>
  <c r="I234" i="25"/>
  <c r="I129" i="25"/>
  <c r="I236" i="25"/>
  <c r="J148" i="25"/>
  <c r="I113" i="25"/>
  <c r="I24" i="25"/>
  <c r="I152" i="25"/>
  <c r="I64" i="25"/>
  <c r="J73" i="25"/>
  <c r="J218" i="25"/>
  <c r="H58" i="19"/>
  <c r="I136" i="25"/>
  <c r="J192" i="25"/>
  <c r="J53" i="25"/>
  <c r="I137" i="25"/>
  <c r="D58" i="19"/>
  <c r="I260" i="25"/>
  <c r="I144" i="25"/>
  <c r="I41" i="25"/>
  <c r="J198" i="25"/>
  <c r="J222" i="25"/>
  <c r="J190" i="25"/>
  <c r="I125" i="25"/>
  <c r="N16" i="19"/>
  <c r="J77" i="25"/>
  <c r="J104" i="25"/>
  <c r="AA248" i="25"/>
  <c r="Z248" i="25" s="1"/>
  <c r="Y248" i="25" s="1"/>
  <c r="B379" i="25"/>
  <c r="W379" i="25" s="1"/>
  <c r="C17" i="19"/>
  <c r="F41" i="19"/>
  <c r="AA261" i="25"/>
  <c r="Z261" i="25" s="1"/>
  <c r="Y261" i="25" s="1"/>
  <c r="G248" i="25"/>
  <c r="CF248" i="6" s="1"/>
  <c r="AL6" i="20"/>
  <c r="AL12" i="20" s="1"/>
  <c r="AJ4" i="20" s="1"/>
  <c r="P16" i="19" s="1"/>
  <c r="AL5" i="20"/>
  <c r="AL11" i="20" s="1"/>
  <c r="AJ3" i="20" s="1"/>
  <c r="O16" i="19" s="1"/>
  <c r="M16" i="19" s="1"/>
  <c r="AJ6" i="24"/>
  <c r="AJ5" i="24"/>
  <c r="G261" i="25"/>
  <c r="CF261" i="6" s="1"/>
  <c r="AJ8" i="23"/>
  <c r="AJ7" i="23"/>
  <c r="AJ13" i="22"/>
  <c r="D60" i="25"/>
  <c r="E60" i="25" s="1"/>
  <c r="F60" i="25" s="1"/>
  <c r="H60" i="25" s="1"/>
  <c r="W363" i="25"/>
  <c r="E58" i="19"/>
  <c r="E57" i="19"/>
  <c r="E59" i="19"/>
  <c r="C57" i="19"/>
  <c r="C59" i="19"/>
  <c r="C58" i="19"/>
  <c r="M58" i="19"/>
  <c r="M57" i="19"/>
  <c r="M59" i="19"/>
  <c r="J88" i="25"/>
  <c r="I265" i="25"/>
  <c r="J265" i="25"/>
  <c r="I287" i="25"/>
  <c r="J287" i="25"/>
  <c r="I130" i="25"/>
  <c r="J130" i="25"/>
  <c r="I19" i="25"/>
  <c r="J19" i="25"/>
  <c r="I161" i="25"/>
  <c r="J161" i="25"/>
  <c r="I175" i="25"/>
  <c r="J175" i="25"/>
  <c r="I253" i="25"/>
  <c r="J253" i="25"/>
  <c r="I116" i="25"/>
  <c r="J116" i="25"/>
  <c r="I244" i="25"/>
  <c r="J244" i="25"/>
  <c r="J284" i="25"/>
  <c r="I284" i="25"/>
  <c r="J369" i="25"/>
  <c r="I369" i="25"/>
  <c r="F9" i="22"/>
  <c r="AM10" i="22"/>
  <c r="H15" i="22"/>
  <c r="AK10" i="22"/>
  <c r="AK12" i="22" s="1"/>
  <c r="AK13" i="22" s="1"/>
  <c r="G15" i="22"/>
  <c r="CC15" i="6" s="1"/>
  <c r="F381" i="22"/>
  <c r="F383" i="22"/>
  <c r="F382" i="22"/>
  <c r="AA15" i="22"/>
  <c r="J302" i="25"/>
  <c r="I302" i="25"/>
  <c r="AA119" i="25"/>
  <c r="Z119" i="25" s="1"/>
  <c r="Y119" i="25" s="1"/>
  <c r="G119" i="25"/>
  <c r="CF119" i="6" s="1"/>
  <c r="H119" i="25"/>
  <c r="J189" i="25"/>
  <c r="I189" i="25"/>
  <c r="I347" i="25"/>
  <c r="J347" i="25"/>
  <c r="I367" i="25"/>
  <c r="J367" i="25"/>
  <c r="J114" i="25"/>
  <c r="I114" i="25"/>
  <c r="I154" i="25"/>
  <c r="J154" i="25"/>
  <c r="I376" i="25"/>
  <c r="J376" i="25"/>
  <c r="I335" i="25"/>
  <c r="J335" i="25"/>
  <c r="H363" i="25"/>
  <c r="AA363" i="25"/>
  <c r="Z363" i="25" s="1"/>
  <c r="Y363" i="25" s="1"/>
  <c r="G363" i="25"/>
  <c r="CF363" i="6" s="1"/>
  <c r="J66" i="25"/>
  <c r="I66" i="25"/>
  <c r="J194" i="25"/>
  <c r="I194" i="25"/>
  <c r="I368" i="25"/>
  <c r="J368" i="25"/>
  <c r="J135" i="25"/>
  <c r="I135" i="25"/>
  <c r="V382" i="24"/>
  <c r="V381" i="24"/>
  <c r="B69" i="19"/>
  <c r="N69" i="19" s="1"/>
  <c r="V383" i="24"/>
  <c r="D9" i="23"/>
  <c r="D11" i="23" s="1"/>
  <c r="E15" i="23"/>
  <c r="AK7" i="23" s="1"/>
  <c r="D381" i="23"/>
  <c r="D383" i="23"/>
  <c r="D382" i="23"/>
  <c r="J272" i="25"/>
  <c r="I272" i="25"/>
  <c r="I95" i="25"/>
  <c r="J95" i="25"/>
  <c r="J171" i="25"/>
  <c r="I171" i="25"/>
  <c r="J278" i="25"/>
  <c r="I278" i="25"/>
  <c r="J346" i="25"/>
  <c r="I346" i="25"/>
  <c r="I43" i="25"/>
  <c r="J43" i="25"/>
  <c r="I75" i="25"/>
  <c r="J75" i="25"/>
  <c r="J111" i="25"/>
  <c r="I111" i="25"/>
  <c r="J283" i="25"/>
  <c r="I283" i="25"/>
  <c r="J216" i="25"/>
  <c r="I216" i="25"/>
  <c r="J261" i="25"/>
  <c r="I261" i="25"/>
  <c r="I17" i="25"/>
  <c r="J17" i="25"/>
  <c r="I248" i="25"/>
  <c r="J248" i="25"/>
  <c r="J354" i="25"/>
  <c r="I354" i="25"/>
  <c r="I74" i="25"/>
  <c r="J74" i="25"/>
  <c r="J319" i="25"/>
  <c r="I319" i="25"/>
  <c r="J22" i="25"/>
  <c r="I22" i="25"/>
  <c r="I227" i="25"/>
  <c r="J227" i="25"/>
  <c r="J349" i="25"/>
  <c r="I349" i="25"/>
  <c r="Y381" i="20"/>
  <c r="X9" i="20"/>
  <c r="Y383" i="20"/>
  <c r="AM6" i="20"/>
  <c r="AM12" i="20" s="1"/>
  <c r="Y382" i="20"/>
  <c r="D12" i="6"/>
  <c r="D13" i="6"/>
  <c r="I166" i="25"/>
  <c r="J166" i="25"/>
  <c r="I46" i="25"/>
  <c r="J46" i="25"/>
  <c r="R381" i="25"/>
  <c r="R382" i="25"/>
  <c r="R383" i="25"/>
  <c r="P15" i="25"/>
  <c r="I35" i="25"/>
  <c r="J35" i="25"/>
  <c r="I67" i="25"/>
  <c r="J67" i="25"/>
  <c r="I177" i="25"/>
  <c r="J177" i="25"/>
  <c r="J208" i="25"/>
  <c r="I208" i="25"/>
  <c r="J226" i="25"/>
  <c r="I226" i="25"/>
  <c r="J298" i="25"/>
  <c r="I298" i="25"/>
  <c r="J187" i="25"/>
  <c r="I187" i="25"/>
  <c r="I16" i="25"/>
  <c r="J16" i="25"/>
  <c r="J150" i="25"/>
  <c r="I150" i="25"/>
  <c r="I316" i="25"/>
  <c r="J316" i="25"/>
  <c r="I365" i="25"/>
  <c r="J365" i="25"/>
  <c r="J105" i="25"/>
  <c r="I105" i="25"/>
  <c r="J29" i="25"/>
  <c r="I29" i="25"/>
  <c r="J149" i="25"/>
  <c r="I149" i="25"/>
  <c r="I333" i="25"/>
  <c r="J333" i="25"/>
  <c r="B382" i="24"/>
  <c r="B381" i="24"/>
  <c r="B383" i="24"/>
  <c r="AK6" i="24"/>
  <c r="H9" i="24"/>
  <c r="B19" i="19" s="1"/>
  <c r="W15" i="24"/>
  <c r="D15" i="24"/>
  <c r="AF381" i="25"/>
  <c r="AF382" i="25"/>
  <c r="AF383" i="25"/>
  <c r="AD15" i="25"/>
  <c r="I180" i="25"/>
  <c r="J180" i="25"/>
  <c r="J196" i="25"/>
  <c r="I196" i="25"/>
  <c r="J241" i="25" l="1"/>
  <c r="AA379" i="24"/>
  <c r="Z379" i="24" s="1"/>
  <c r="Y379" i="24" s="1"/>
  <c r="AD383" i="24"/>
  <c r="AD382" i="24"/>
  <c r="AD381" i="24"/>
  <c r="J210" i="25"/>
  <c r="E42" i="19"/>
  <c r="D379" i="25"/>
  <c r="E379" i="25" s="1"/>
  <c r="F379" i="25" s="1"/>
  <c r="AA379" i="25" s="1"/>
  <c r="Z379" i="25" s="1"/>
  <c r="Y379" i="25" s="1"/>
  <c r="G60" i="25"/>
  <c r="CF60" i="6" s="1"/>
  <c r="AA60" i="25"/>
  <c r="Z60" i="25" s="1"/>
  <c r="Y60" i="25" s="1"/>
  <c r="AJ10" i="23"/>
  <c r="AJ12" i="23" s="1"/>
  <c r="AJ9" i="23"/>
  <c r="AJ11" i="23" s="1"/>
  <c r="AL10" i="22"/>
  <c r="AL9" i="22"/>
  <c r="AJ8" i="24"/>
  <c r="AJ7" i="24"/>
  <c r="AL13" i="20"/>
  <c r="AD383" i="25"/>
  <c r="AD382" i="25"/>
  <c r="AD381" i="25"/>
  <c r="D383" i="24"/>
  <c r="D9" i="24"/>
  <c r="D11" i="24" s="1"/>
  <c r="E15" i="24"/>
  <c r="D381" i="24"/>
  <c r="D382" i="24"/>
  <c r="I60" i="25"/>
  <c r="J60" i="25"/>
  <c r="P382" i="25"/>
  <c r="P383" i="25"/>
  <c r="V15" i="25"/>
  <c r="P381" i="25"/>
  <c r="AK4" i="20"/>
  <c r="R16" i="19" s="1"/>
  <c r="N17" i="19" s="1"/>
  <c r="AM13" i="20"/>
  <c r="J16" i="19"/>
  <c r="AA11" i="20"/>
  <c r="AA5" i="20" s="1"/>
  <c r="I16" i="19" s="1"/>
  <c r="Y11" i="20"/>
  <c r="AK8" i="23"/>
  <c r="E381" i="23"/>
  <c r="E383" i="23"/>
  <c r="E9" i="23"/>
  <c r="E11" i="23" s="1"/>
  <c r="F15" i="23"/>
  <c r="E382" i="23"/>
  <c r="J363" i="25"/>
  <c r="I363" i="25"/>
  <c r="AA381" i="22"/>
  <c r="AA383" i="22"/>
  <c r="AA382" i="22"/>
  <c r="AA9" i="22"/>
  <c r="Z15" i="22"/>
  <c r="AM8" i="22"/>
  <c r="G383" i="22"/>
  <c r="G12" i="22" s="1"/>
  <c r="G381" i="22"/>
  <c r="G382" i="22"/>
  <c r="J15" i="22"/>
  <c r="I15" i="22"/>
  <c r="G17" i="19"/>
  <c r="J41" i="19" s="1"/>
  <c r="AB9" i="22"/>
  <c r="F11" i="22"/>
  <c r="I119" i="25"/>
  <c r="J119" i="25"/>
  <c r="Z11" i="20"/>
  <c r="Z5" i="20" s="1"/>
  <c r="H16" i="19" s="1"/>
  <c r="B32" i="19" s="1"/>
  <c r="AK9" i="23" l="1"/>
  <c r="AK11" i="23" s="1"/>
  <c r="AM9" i="23"/>
  <c r="H379" i="25"/>
  <c r="J379" i="25" s="1"/>
  <c r="I40" i="19"/>
  <c r="H40" i="19"/>
  <c r="E43" i="19"/>
  <c r="G379" i="25"/>
  <c r="CF379" i="6" s="1"/>
  <c r="D17" i="19"/>
  <c r="G41" i="19"/>
  <c r="C18" i="19"/>
  <c r="F42" i="19"/>
  <c r="AL8" i="22"/>
  <c r="AL7" i="22"/>
  <c r="AJ10" i="24"/>
  <c r="AJ12" i="24" s="1"/>
  <c r="AJ9" i="24"/>
  <c r="AJ11" i="24" s="1"/>
  <c r="AJ13" i="23"/>
  <c r="J382" i="22"/>
  <c r="J381" i="22"/>
  <c r="J383" i="22"/>
  <c r="E9" i="24"/>
  <c r="E11" i="24" s="1"/>
  <c r="AK8" i="24"/>
  <c r="E382" i="24"/>
  <c r="F15" i="24"/>
  <c r="E381" i="24"/>
  <c r="E383" i="24"/>
  <c r="I383" i="22"/>
  <c r="I381" i="22"/>
  <c r="I382" i="22"/>
  <c r="G7" i="6"/>
  <c r="AO7" i="7"/>
  <c r="Z381" i="22"/>
  <c r="Z9" i="22"/>
  <c r="Z382" i="22"/>
  <c r="Z383" i="22"/>
  <c r="Y15" i="22"/>
  <c r="AA15" i="23"/>
  <c r="AM7" i="23" s="1"/>
  <c r="G15" i="23"/>
  <c r="CD15" i="6" s="1"/>
  <c r="F383" i="23"/>
  <c r="F381" i="23"/>
  <c r="F9" i="23"/>
  <c r="AM10" i="23"/>
  <c r="H15" i="23"/>
  <c r="F382" i="23"/>
  <c r="AK10" i="23"/>
  <c r="AK12" i="23" s="1"/>
  <c r="I379" i="25"/>
  <c r="B70" i="19"/>
  <c r="V380" i="25"/>
  <c r="V381" i="25" s="1"/>
  <c r="B15" i="25"/>
  <c r="AK5" i="25" s="1"/>
  <c r="AK13" i="23" l="1"/>
  <c r="E17" i="19"/>
  <c r="F17" i="19" s="1"/>
  <c r="C19" i="19"/>
  <c r="F43" i="19"/>
  <c r="AL10" i="23"/>
  <c r="AL9" i="23"/>
  <c r="AJ6" i="25"/>
  <c r="AJ5" i="25"/>
  <c r="AL6" i="22"/>
  <c r="AL12" i="22" s="1"/>
  <c r="AJ4" i="22" s="1"/>
  <c r="P17" i="19" s="1"/>
  <c r="AL5" i="22"/>
  <c r="AL11" i="22" s="1"/>
  <c r="AJ13" i="24"/>
  <c r="V382" i="25"/>
  <c r="V383" i="25"/>
  <c r="N70" i="19"/>
  <c r="B58" i="19"/>
  <c r="B59" i="19"/>
  <c r="B57" i="19"/>
  <c r="J15" i="23"/>
  <c r="I15" i="23"/>
  <c r="AB9" i="23"/>
  <c r="F11" i="23"/>
  <c r="G18" i="19"/>
  <c r="J42" i="19" s="1"/>
  <c r="AA383" i="23"/>
  <c r="AA382" i="23"/>
  <c r="AM8" i="23"/>
  <c r="AA381" i="23"/>
  <c r="Z15" i="23"/>
  <c r="AA9" i="23"/>
  <c r="AK10" i="24"/>
  <c r="AK12" i="24" s="1"/>
  <c r="AK13" i="24" s="1"/>
  <c r="AM10" i="24"/>
  <c r="F383" i="24"/>
  <c r="G15" i="24"/>
  <c r="CE15" i="6" s="1"/>
  <c r="F382" i="24"/>
  <c r="F381" i="24"/>
  <c r="AA15" i="24"/>
  <c r="F9" i="24"/>
  <c r="H15" i="24"/>
  <c r="D15" i="25"/>
  <c r="AK6" i="25"/>
  <c r="B382" i="25"/>
  <c r="B381" i="25"/>
  <c r="W15" i="25"/>
  <c r="H9" i="25"/>
  <c r="B20" i="19" s="1"/>
  <c r="B383" i="25"/>
  <c r="G383" i="23"/>
  <c r="G12" i="23" s="1"/>
  <c r="G381" i="23"/>
  <c r="G382" i="23"/>
  <c r="AM6" i="22"/>
  <c r="AM12" i="22" s="1"/>
  <c r="Y383" i="22"/>
  <c r="Y382" i="22"/>
  <c r="X9" i="22"/>
  <c r="Y381" i="22"/>
  <c r="D18" i="19" l="1"/>
  <c r="G42" i="19"/>
  <c r="AJ3" i="22"/>
  <c r="O17" i="19" s="1"/>
  <c r="M17" i="19" s="1"/>
  <c r="AL13" i="22"/>
  <c r="AL10" i="24"/>
  <c r="AL9" i="24"/>
  <c r="AL8" i="23"/>
  <c r="AL7" i="23"/>
  <c r="AJ8" i="25"/>
  <c r="AJ7" i="25"/>
  <c r="B9" i="19"/>
  <c r="N57" i="19"/>
  <c r="N58" i="19"/>
  <c r="N59" i="19"/>
  <c r="J17" i="19"/>
  <c r="AA11" i="22"/>
  <c r="AA5" i="22" s="1"/>
  <c r="I17" i="19" s="1"/>
  <c r="AU7" i="7"/>
  <c r="H7" i="6"/>
  <c r="Z11" i="22"/>
  <c r="Z5" i="22" s="1"/>
  <c r="H17" i="19" s="1"/>
  <c r="AB9" i="24"/>
  <c r="F11" i="24"/>
  <c r="G19" i="19"/>
  <c r="J43" i="19" s="1"/>
  <c r="G383" i="24"/>
  <c r="G12" i="24" s="1"/>
  <c r="G382" i="24"/>
  <c r="G381" i="24"/>
  <c r="Y11" i="22"/>
  <c r="Z9" i="23"/>
  <c r="Z381" i="23"/>
  <c r="Z382" i="23"/>
  <c r="Z383" i="23"/>
  <c r="Y15" i="23"/>
  <c r="AM5" i="23" s="1"/>
  <c r="AM11" i="23" s="1"/>
  <c r="AK3" i="23" s="1"/>
  <c r="Q18" i="19" s="1"/>
  <c r="I381" i="23"/>
  <c r="I382" i="23"/>
  <c r="I383" i="23"/>
  <c r="AK4" i="22"/>
  <c r="R17" i="19" s="1"/>
  <c r="AM13" i="22"/>
  <c r="D381" i="25"/>
  <c r="E15" i="25"/>
  <c r="AK7" i="25" s="1"/>
  <c r="D383" i="25"/>
  <c r="D9" i="25"/>
  <c r="D11" i="25" s="1"/>
  <c r="D382" i="25"/>
  <c r="J15" i="24"/>
  <c r="I15" i="24"/>
  <c r="AA383" i="24"/>
  <c r="AM8" i="24"/>
  <c r="AA9" i="24"/>
  <c r="AA382" i="24"/>
  <c r="AA381" i="24"/>
  <c r="Z15" i="24"/>
  <c r="J382" i="23"/>
  <c r="J381" i="23"/>
  <c r="J383" i="23"/>
  <c r="N18" i="19" l="1"/>
  <c r="E44" i="19"/>
  <c r="I41" i="19"/>
  <c r="H41" i="19"/>
  <c r="E18" i="19"/>
  <c r="F18" i="19" s="1"/>
  <c r="D19" i="19"/>
  <c r="G43" i="19"/>
  <c r="AJ10" i="25"/>
  <c r="AJ12" i="25" s="1"/>
  <c r="AJ9" i="25"/>
  <c r="AJ11" i="25" s="1"/>
  <c r="AL8" i="24"/>
  <c r="AL7" i="24"/>
  <c r="AL6" i="23"/>
  <c r="AL12" i="23" s="1"/>
  <c r="AJ4" i="23" s="1"/>
  <c r="P18" i="19" s="1"/>
  <c r="AL5" i="23"/>
  <c r="AL11" i="23" s="1"/>
  <c r="AJ3" i="23" s="1"/>
  <c r="O18" i="19" s="1"/>
  <c r="M18" i="19" s="1"/>
  <c r="Z9" i="24"/>
  <c r="Y15" i="24"/>
  <c r="Z383" i="24"/>
  <c r="Z381" i="24"/>
  <c r="Z382" i="24"/>
  <c r="Y383" i="23"/>
  <c r="X9" i="23"/>
  <c r="Y382" i="23"/>
  <c r="AM6" i="23"/>
  <c r="AM12" i="23" s="1"/>
  <c r="Y381" i="23"/>
  <c r="Y11" i="23"/>
  <c r="I7" i="6"/>
  <c r="BA7" i="7"/>
  <c r="I381" i="24"/>
  <c r="I382" i="24"/>
  <c r="I383" i="24"/>
  <c r="J382" i="24"/>
  <c r="J383" i="24"/>
  <c r="J381" i="24"/>
  <c r="E383" i="25"/>
  <c r="E382" i="25"/>
  <c r="AK8" i="25"/>
  <c r="F15" i="25"/>
  <c r="E381" i="25"/>
  <c r="E9" i="25"/>
  <c r="E11" i="25" s="1"/>
  <c r="E19" i="19" l="1"/>
  <c r="F19" i="19" s="1"/>
  <c r="E33" i="19"/>
  <c r="C20" i="19"/>
  <c r="F44" i="19"/>
  <c r="AK9" i="25"/>
  <c r="AK11" i="25" s="1"/>
  <c r="AM9" i="25"/>
  <c r="AL13" i="23"/>
  <c r="AL6" i="24"/>
  <c r="AL12" i="24" s="1"/>
  <c r="AJ4" i="24" s="1"/>
  <c r="P19" i="19" s="1"/>
  <c r="AL5" i="24"/>
  <c r="AL11" i="24" s="1"/>
  <c r="AJ13" i="25"/>
  <c r="G15" i="25"/>
  <c r="CF15" i="6" s="1"/>
  <c r="J2" i="6" s="1"/>
  <c r="F9" i="25"/>
  <c r="F382" i="25"/>
  <c r="AM10" i="25"/>
  <c r="AA15" i="25"/>
  <c r="AM7" i="25" s="1"/>
  <c r="AK10" i="25"/>
  <c r="AK12" i="25" s="1"/>
  <c r="F381" i="25"/>
  <c r="F383" i="25"/>
  <c r="H15" i="25"/>
  <c r="X9" i="24"/>
  <c r="Y11" i="24" s="1"/>
  <c r="Y382" i="24"/>
  <c r="AM6" i="24"/>
  <c r="AM12" i="24" s="1"/>
  <c r="Y381" i="24"/>
  <c r="Y383" i="24"/>
  <c r="AK4" i="23"/>
  <c r="R18" i="19" s="1"/>
  <c r="N19" i="19" s="1"/>
  <c r="AM13" i="23"/>
  <c r="J18" i="19"/>
  <c r="Z11" i="23"/>
  <c r="Z5" i="23" s="1"/>
  <c r="H18" i="19" s="1"/>
  <c r="AA11" i="23"/>
  <c r="AA5" i="23" s="1"/>
  <c r="I18" i="19" s="1"/>
  <c r="I42" i="19" l="1"/>
  <c r="H42" i="19"/>
  <c r="F33" i="19"/>
  <c r="C9" i="19"/>
  <c r="AK13" i="25"/>
  <c r="AJ3" i="24"/>
  <c r="O19" i="19" s="1"/>
  <c r="M19" i="19" s="1"/>
  <c r="AL13" i="24"/>
  <c r="AL10" i="25"/>
  <c r="AL9" i="25"/>
  <c r="J15" i="25"/>
  <c r="I15" i="25"/>
  <c r="AA383" i="25"/>
  <c r="AM8" i="25"/>
  <c r="AA9" i="25"/>
  <c r="AA382" i="25"/>
  <c r="AA381" i="25"/>
  <c r="Z15" i="25"/>
  <c r="G382" i="25"/>
  <c r="G381" i="25"/>
  <c r="G383" i="25"/>
  <c r="G12" i="25" s="1"/>
  <c r="AK4" i="24"/>
  <c r="R19" i="19" s="1"/>
  <c r="AM13" i="24"/>
  <c r="J19" i="19"/>
  <c r="Z11" i="24"/>
  <c r="Z5" i="24" s="1"/>
  <c r="H19" i="19" s="1"/>
  <c r="AA11" i="24"/>
  <c r="AA5" i="24" s="1"/>
  <c r="I19" i="19" s="1"/>
  <c r="F11" i="25"/>
  <c r="G20" i="19"/>
  <c r="J44" i="19" s="1"/>
  <c r="J33" i="19" s="1"/>
  <c r="AB9" i="25"/>
  <c r="H43" i="19" l="1"/>
  <c r="I43" i="19"/>
  <c r="D20" i="19"/>
  <c r="G44" i="19"/>
  <c r="AL8" i="25"/>
  <c r="AL7" i="25"/>
  <c r="G9" i="19"/>
  <c r="Y15" i="25"/>
  <c r="AM5" i="25" s="1"/>
  <c r="AM11" i="25" s="1"/>
  <c r="AK3" i="25" s="1"/>
  <c r="Q20" i="19" s="1"/>
  <c r="N20" i="19" s="1"/>
  <c r="Z382" i="25"/>
  <c r="Z383" i="25"/>
  <c r="Z381" i="25"/>
  <c r="Z9" i="25"/>
  <c r="I382" i="25"/>
  <c r="I381" i="25"/>
  <c r="I383" i="25"/>
  <c r="BG7" i="7"/>
  <c r="J7" i="6"/>
  <c r="J381" i="25"/>
  <c r="J383" i="25"/>
  <c r="J382" i="25"/>
  <c r="E20" i="19" l="1"/>
  <c r="F20" i="19" s="1"/>
  <c r="D9" i="19"/>
  <c r="G33" i="19"/>
  <c r="AL6" i="25"/>
  <c r="AL12" i="25" s="1"/>
  <c r="AJ4" i="25" s="1"/>
  <c r="P20" i="19" s="1"/>
  <c r="AL5" i="25"/>
  <c r="AL11" i="25" s="1"/>
  <c r="X9" i="25"/>
  <c r="Y11" i="25" s="1"/>
  <c r="Y382" i="25"/>
  <c r="AM6" i="25"/>
  <c r="AM12" i="25" s="1"/>
  <c r="Y383" i="25"/>
  <c r="Y381" i="25"/>
  <c r="E9" i="19" l="1"/>
  <c r="AJ3" i="25"/>
  <c r="O20" i="19" s="1"/>
  <c r="M20" i="19" s="1"/>
  <c r="AL13" i="25"/>
  <c r="F9" i="19"/>
  <c r="AK4" i="25"/>
  <c r="R20" i="19" s="1"/>
  <c r="AM13" i="25"/>
  <c r="J20" i="19"/>
  <c r="AA11" i="25"/>
  <c r="AA5" i="25" s="1"/>
  <c r="I20" i="19" s="1"/>
  <c r="Z11" i="25"/>
  <c r="Z5" i="25" s="1"/>
  <c r="H20" i="19" s="1"/>
  <c r="O34" i="19" l="1"/>
  <c r="O36" i="19"/>
  <c r="N36" i="19" s="1"/>
  <c r="O33" i="19"/>
  <c r="O35" i="19"/>
  <c r="N35" i="19" s="1"/>
  <c r="N33" i="19"/>
  <c r="H44" i="19"/>
  <c r="H33" i="19" s="1"/>
  <c r="I44" i="19"/>
  <c r="I33" i="19" s="1"/>
  <c r="I9" i="19"/>
  <c r="H9" i="19"/>
  <c r="J9" i="19"/>
  <c r="N34" i="19" l="1"/>
  <c r="N32" i="19" s="1"/>
  <c r="O32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6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73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5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0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<sst xmlns="http://schemas.openxmlformats.org/spreadsheetml/2006/main" count="2118" uniqueCount="377">
  <si>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</si>
  <si>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</si>
  <si>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</si>
  <si>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</si>
  <si>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</si>
  <si>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</si>
  <si>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</si>
  <si>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</si>
  <si>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</si>
  <si>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</si>
  <si>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</si>
  <si>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</si>
  <si>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</si>
  <si>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</si>
  <si>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</si>
  <si>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</si>
  <si>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</si>
  <si>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</si>
  <si>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</si>
  <si>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</si>
  <si>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</si>
  <si>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</si>
  <si>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</si>
  <si>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</si>
  <si>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</si>
  <si>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</si>
  <si>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</si>
  <si>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</si>
  <si>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</si>
  <si>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</si>
  <si>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</si>
  <si>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</si>
  <si>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</si>
  <si>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</si>
  <si>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</si>
  <si>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</si>
  <si>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</si>
  <si>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</si>
  <si>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</si>
  <si>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</si>
  <si>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</si>
  <si>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</si>
  <si>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</si>
  <si>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</si>
  <si>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</si>
  <si>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</si>
  <si>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</si>
  <si>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</si>
  <si>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</si>
  <si>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</si>
  <si>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</si>
  <si>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</si>
  <si>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</si>
  <si>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</si>
  <si>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</si>
  <si>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</si>
  <si>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</si>
  <si>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</si>
  <si>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</si>
  <si>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</si>
  <si>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</si>
  <si>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</si>
  <si>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</si>
  <si>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</si>
  <si>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</si>
  <si>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</si>
  <si>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</si>
  <si>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</si>
  <si>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</si>
  <si>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</si>
  <si>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</si>
  <si>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</si>
  <si>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</si>
  <si>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</si>
  <si>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</si>
  <si>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</si>
  <si>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</si>
  <si>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</si>
  <si>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</si>
  <si>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</si>
  <si>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</si>
  <si>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</si>
  <si>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</si>
  <si>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</si>
  <si>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</si>
  <si>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</si>
  <si>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</si>
  <si>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</si>
  <si>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</si>
  <si>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</si>
  <si>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</si>
  <si>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</si>
  <si>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</si>
  <si>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</si>
  <si>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</si>
  <si>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</si>
  <si>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</si>
  <si>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</si>
  <si>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</si>
  <si>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</si>
  <si>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</si>
  <si>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</si>
  <si>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</si>
  <si>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</si>
  <si>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</si>
  <si>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</si>
  <si>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</si>
  <si>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</si>
  <si>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</si>
  <si>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</si>
  <si>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</si>
  <si>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</si>
  <si>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</si>
  <si>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</si>
  <si>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</si>
  <si>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</si>
  <si>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</si>
  <si>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</si>
  <si>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</si>
  <si>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</si>
  <si>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</si>
  <si>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</si>
  <si>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</si>
  <si>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</si>
  <si>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</si>
  <si>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</si>
  <si>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</si>
  <si>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</si>
  <si>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</si>
  <si>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</si>
  <si>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</si>
  <si>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</si>
  <si>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</si>
  <si>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</si>
  <si>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</si>
  <si>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</si>
  <si>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</si>
  <si>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</si>
  <si>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</si>
  <si>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</si>
  <si>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</si>
  <si>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</si>
  <si>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</si>
  <si>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</si>
  <si>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</si>
  <si>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</si>
  <si>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</si>
  <si>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</si>
  <si>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</si>
  <si>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</si>
  <si>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</si>
  <si>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</si>
  <si>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</si>
  <si>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</si>
  <si>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</si>
  <si>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</si>
  <si>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</si>
  <si>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</si>
  <si>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</si>
  <si>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</si>
  <si>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</si>
  <si>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</si>
  <si>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</si>
  <si>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</si>
  <si>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</si>
  <si>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</si>
  <si>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</si>
  <si>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</si>
  <si>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</si>
  <si>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</si>
  <si>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</si>
  <si>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</si>
  <si>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</si>
  <si>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</si>
  <si>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</si>
  <si>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</si>
  <si>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</si>
  <si>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</si>
  <si>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</si>
  <si>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</si>
  <si>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</si>
  <si>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</si>
  <si>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</si>
  <si>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</si>
  <si>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</si>
  <si>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</si>
  <si>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</si>
  <si>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</si>
  <si>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</si>
  <si>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</si>
  <si>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</si>
  <si>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</si>
  <si>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</si>
  <si>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</si>
  <si>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</si>
  <si>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</si>
  <si>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</si>
  <si>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</si>
  <si>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</si>
  <si>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</si>
  <si>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</si>
  <si>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</si>
  <si>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</si>
  <si>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</si>
  <si>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</si>
  <si>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</si>
  <si>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</si>
  <si>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</si>
  <si>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</si>
  <si>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</si>
  <si>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</si>
  <si>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</si>
  <si>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</si>
  <si>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</si>
  <si>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</si>
  <si>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</si>
  <si>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</si>
  <si>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</si>
  <si>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</si>
  <si>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</si>
  <si>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</si>
  <si>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</si>
  <si>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</si>
  <si>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</si>
  <si>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</si>
  <si>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</si>
  <si>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</si>
  <si>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</si>
  <si>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</si>
  <si>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</si>
  <si>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</si>
  <si>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</si>
  <si>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</si>
  <si>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</si>
  <si>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</si>
  <si>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</si>
  <si>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</si>
  <si>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</si>
  <si>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</si>
  <si>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</si>
  <si>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</si>
  <si>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</si>
  <si>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</si>
  <si>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</si>
  <si>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</si>
  <si>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</si>
  <si>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</si>
  <si>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</si>
  <si>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</si>
  <si>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</si>
  <si>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</si>
  <si>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</si>
  <si>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</si>
  <si>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</si>
  <si>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</si>
  <si>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</si>
  <si>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</si>
  <si>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</si>
  <si>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</si>
  <si>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</si>
  <si>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</si>
  <si>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</si>
  <si>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</si>
  <si>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</si>
  <si>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</si>
  <si>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</si>
  <si>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</si>
  <si>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</si>
  <si>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</si>
  <si>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</si>
  <si>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</si>
  <si>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</si>
  <si>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</si>
  <si>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</si>
  <si>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</si>
  <si>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</si>
  <si>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</si>
  <si>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</si>
  <si>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</si>
  <si>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</si>
  <si>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</si>
  <si>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</si>
  <si>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</si>
  <si>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</si>
  <si>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</si>
  <si>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</si>
  <si>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</si>
  <si>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</si>
  <si>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</si>
  <si>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</si>
  <si>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</si>
  <si>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</si>
  <si>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</si>
  <si>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</si>
  <si>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</si>
  <si>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</si>
  <si>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</si>
  <si>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</si>
  <si>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</si>
  <si>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</si>
  <si>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</si>
  <si>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</si>
  <si>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</si>
  <si>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</si>
  <si>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</si>
  <si>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</si>
  <si>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</si>
  <si>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</si>
  <si>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</si>
  <si>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</si>
  <si>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</si>
  <si>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</si>
  <si>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</si>
  <si>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</si>
  <si>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</si>
  <si>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</si>
  <si>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</si>
  <si>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</si>
  <si>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</si>
  <si>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</si>
  <si>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</si>
  <si>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</si>
  <si>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</si>
  <si>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</si>
  <si>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</si>
  <si>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</si>
  <si>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</si>
  <si>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</si>
  <si>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</si>
  <si>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</si>
  <si>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</si>
  <si>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</si>
  <si>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</si>
  <si>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</si>
  <si>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</si>
  <si>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Garderie Labège</t>
  </si>
  <si>
    <t>Arbre 0</t>
  </si>
  <si>
    <t>Creux 0</t>
  </si>
  <si>
    <t>Creux 1</t>
  </si>
  <si>
    <t>Arbre 7</t>
  </si>
  <si>
    <t>Arbre 8</t>
  </si>
  <si>
    <t>Arbre 9</t>
  </si>
  <si>
    <t>Arbre 10</t>
  </si>
  <si>
    <t>Arbre 12</t>
  </si>
  <si>
    <t>Arbre 11</t>
  </si>
  <si>
    <t>Arbre 13</t>
  </si>
  <si>
    <t>2022-02 Garderie Pano NO.JPG</t>
  </si>
  <si>
    <t>2021-12 Garderie Sud Ouest</t>
  </si>
  <si>
    <t>2022-02-08 Garderie Proche SE</t>
  </si>
  <si>
    <t>Boulangerie Nord garderie</t>
  </si>
  <si>
    <t>Angle Ouest Préfabriqué blanc</t>
  </si>
  <si>
    <t>Hauteur 0 = sol trottoir Obs 1</t>
  </si>
  <si>
    <t>Trottoir angle parking Est</t>
  </si>
  <si>
    <t>Toit préfabriqué blanc</t>
  </si>
  <si>
    <t>poteau gauche box poubelle</t>
  </si>
  <si>
    <t>Panneau sans issue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</si>
  <si>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</si>
  <si>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</si>
  <si>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</si>
  <si>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</si>
  <si>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</si>
  <si>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</si>
  <si>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</si>
  <si>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</si>
  <si>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</si>
  <si>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</si>
  <si>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</si>
  <si>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</si>
  <si>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</si>
  <si>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</si>
  <si>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</si>
  <si>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</si>
  <si>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</si>
  <si>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</si>
  <si>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action</t>
  </si>
  <si>
    <t>23 hors net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</si>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</sst>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3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9" fontId="117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2" fontId="95" fillId="0" borderId="0" xfId="0" applyNumberFormat="1" applyFont="1" applyBorder="1" applyProtection="1">
      <protection locked="0"/>
    </xf>
    <xf numFmtId="2" fontId="38" fillId="0" borderId="5" xfId="0" applyNumberFormat="1" applyFont="1" applyBorder="1" applyProtection="1">
      <protection locked="0"/>
    </xf>
    <xf numFmtId="186" fontId="42" fillId="0" borderId="3" xfId="0" applyNumberFormat="1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100" fillId="0" borderId="0" xfId="0" applyNumberFormat="1" applyFont="1" applyFill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7">
    <dxf>
      <font>
        <b val="0"/>
        <i val="0"/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7.0264124983319203</c:v>
                </c:pt>
                <c:pt idx="6">
                  <c:v>6.7120770747523029</c:v>
                </c:pt>
                <c:pt idx="7">
                  <c:v>6.2070220397434914</c:v>
                </c:pt>
                <c:pt idx="8">
                  <c:v>5.4410464310588829</c:v>
                </c:pt>
                <c:pt idx="9">
                  <c:v>4.344779462671827</c:v>
                </c:pt>
                <c:pt idx="10">
                  <c:v>3.3171428138457184</c:v>
                </c:pt>
                <c:pt idx="11">
                  <c:v>2.7491435021879473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3.2058810057460327</c:v>
                </c:pt>
                <c:pt idx="1">
                  <c:v>4.2291671342628208</c:v>
                </c:pt>
                <c:pt idx="2">
                  <c:v>5.3761974557443795</c:v>
                </c:pt>
                <c:pt idx="3">
                  <c:v>6.3812797715987744</c:v>
                </c:pt>
                <c:pt idx="4">
                  <c:v>6.8251242975419215</c:v>
                </c:pt>
                <c:pt idx="5">
                  <c:v>6.827926158487557</c:v>
                </c:pt>
                <c:pt idx="6">
                  <c:v>6.5241830969432337</c:v>
                </c:pt>
                <c:pt idx="7">
                  <c:v>6.036544927435866</c:v>
                </c:pt>
                <c:pt idx="8">
                  <c:v>5.2947452653488911</c:v>
                </c:pt>
                <c:pt idx="9">
                  <c:v>4.2308503683821232</c:v>
                </c:pt>
                <c:pt idx="10">
                  <c:v>3.2328135292468474</c:v>
                </c:pt>
                <c:pt idx="11">
                  <c:v>2.6809904799391102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3.1280262734348994</c:v>
                </c:pt>
                <c:pt idx="1">
                  <c:v>4.1470848385924173</c:v>
                </c:pt>
                <c:pt idx="2">
                  <c:v>5.2880684964225146</c:v>
                </c:pt>
                <c:pt idx="3">
                  <c:v>6.2528235488822128</c:v>
                </c:pt>
                <c:pt idx="4">
                  <c:v>6.6616116429832459</c:v>
                </c:pt>
                <c:pt idx="5">
                  <c:v>6.6443759804551892</c:v>
                </c:pt>
                <c:pt idx="6">
                  <c:v>6.3349571065224017</c:v>
                </c:pt>
                <c:pt idx="7">
                  <c:v>5.8505807682425601</c:v>
                </c:pt>
                <c:pt idx="8">
                  <c:v>5.1123990540654507</c:v>
                </c:pt>
                <c:pt idx="9">
                  <c:v>4.0733095836626756</c:v>
                </c:pt>
                <c:pt idx="10">
                  <c:v>3.1105402436263212</c:v>
                </c:pt>
                <c:pt idx="11">
                  <c:v>2.5980543812747752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3.0321011925013504</c:v>
                </c:pt>
                <c:pt idx="1">
                  <c:v>3.9991750791051879</c:v>
                </c:pt>
                <c:pt idx="2">
                  <c:v>5.0826477535360715</c:v>
                </c:pt>
                <c:pt idx="3">
                  <c:v>6.1445219476095509</c:v>
                </c:pt>
                <c:pt idx="4">
                  <c:v>6.7976395001703667</c:v>
                </c:pt>
                <c:pt idx="5">
                  <c:v>6.7942048819750021</c:v>
                </c:pt>
                <c:pt idx="6">
                  <c:v>6.4847653213103786</c:v>
                </c:pt>
                <c:pt idx="7">
                  <c:v>5.9933954929760027</c:v>
                </c:pt>
                <c:pt idx="8">
                  <c:v>5.2510766362708416</c:v>
                </c:pt>
                <c:pt idx="9">
                  <c:v>4.1906385289355335</c:v>
                </c:pt>
                <c:pt idx="10">
                  <c:v>3.1983603717104638</c:v>
                </c:pt>
                <c:pt idx="11">
                  <c:v>2.6493793760439606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3.0882074638636552</c:v>
                </c:pt>
                <c:pt idx="1">
                  <c:v>4.0704415516083721</c:v>
                </c:pt>
                <c:pt idx="2">
                  <c:v>5.1672859359465484</c:v>
                </c:pt>
                <c:pt idx="3">
                  <c:v>6.1245039745082277</c:v>
                </c:pt>
                <c:pt idx="4">
                  <c:v>6.5393100510662556</c:v>
                </c:pt>
                <c:pt idx="5">
                  <c:v>6.5313148994536103</c:v>
                </c:pt>
                <c:pt idx="6">
                  <c:v>6.2314061902907607</c:v>
                </c:pt>
                <c:pt idx="7">
                  <c:v>5.7590366152555799</c:v>
                </c:pt>
                <c:pt idx="8">
                  <c:v>5.0462464855893163</c:v>
                </c:pt>
                <c:pt idx="9">
                  <c:v>4.0284509488226465</c:v>
                </c:pt>
                <c:pt idx="10">
                  <c:v>3.0766246561287236</c:v>
                </c:pt>
                <c:pt idx="11">
                  <c:v>2.5495610585938944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2.9724836572026359</c:v>
                </c:pt>
                <c:pt idx="1">
                  <c:v>3.9204657795029028</c:v>
                </c:pt>
                <c:pt idx="2">
                  <c:v>4.9823631009634912</c:v>
                </c:pt>
                <c:pt idx="3">
                  <c:v>5.923469087923884</c:v>
                </c:pt>
                <c:pt idx="4">
                  <c:v>6.6928539671262826</c:v>
                </c:pt>
                <c:pt idx="5">
                  <c:v>6.6863739955496833</c:v>
                </c:pt>
                <c:pt idx="6">
                  <c:v>6.3783913921078899</c:v>
                </c:pt>
                <c:pt idx="7">
                  <c:v>5.892612973913697</c:v>
                </c:pt>
                <c:pt idx="8">
                  <c:v>5.1605509962743685</c:v>
                </c:pt>
                <c:pt idx="9">
                  <c:v>4.1161603979843688</c:v>
                </c:pt>
                <c:pt idx="10">
                  <c:v>3.1403409316255364</c:v>
                </c:pt>
                <c:pt idx="11">
                  <c:v>2.6001626895012433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3.0299566145382673</c:v>
                </c:pt>
                <c:pt idx="1">
                  <c:v>3.9946843487973598</c:v>
                </c:pt>
                <c:pt idx="2">
                  <c:v>5.0745306116921309</c:v>
                </c:pt>
                <c:pt idx="3">
                  <c:v>6.0185753272329698</c:v>
                </c:pt>
                <c:pt idx="4">
                  <c:v>6.4293071291195751</c:v>
                </c:pt>
                <c:pt idx="5">
                  <c:v>6.4250520252280729</c:v>
                </c:pt>
                <c:pt idx="6">
                  <c:v>6.1326854595239002</c:v>
                </c:pt>
                <c:pt idx="7">
                  <c:v>5.6709787467805279</c:v>
                </c:pt>
                <c:pt idx="8">
                  <c:v>4.9710434821714067</c:v>
                </c:pt>
                <c:pt idx="9">
                  <c:v>3.9692530009015772</c:v>
                </c:pt>
                <c:pt idx="10">
                  <c:v>3.0323945928361558</c:v>
                </c:pt>
                <c:pt idx="11">
                  <c:v>2.513484058311136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2.9312236760635666</c:v>
                </c:pt>
                <c:pt idx="1">
                  <c:v>3.8674200355156541</c:v>
                </c:pt>
                <c:pt idx="2">
                  <c:v>4.9160946404520338</c:v>
                </c:pt>
                <c:pt idx="3">
                  <c:v>5.8461071426629365</c:v>
                </c:pt>
                <c:pt idx="4">
                  <c:v>6.5876022682029927</c:v>
                </c:pt>
                <c:pt idx="5">
                  <c:v>6.5807339897911046</c:v>
                </c:pt>
                <c:pt idx="6">
                  <c:v>6.2783346079215585</c:v>
                </c:pt>
                <c:pt idx="7">
                  <c:v>5.7995546809973293</c:v>
                </c:pt>
                <c:pt idx="8">
                  <c:v>5.0788193698150348</c:v>
                </c:pt>
                <c:pt idx="9">
                  <c:v>4.0521345323865923</c:v>
                </c:pt>
                <c:pt idx="10">
                  <c:v>3.0916243694369085</c:v>
                </c:pt>
                <c:pt idx="11">
                  <c:v>2.5603243426320401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2.9830779516530006</c:v>
                </c:pt>
                <c:pt idx="1">
                  <c:v>3.9320612793818404</c:v>
                </c:pt>
                <c:pt idx="2">
                  <c:v>4.99451952891157</c:v>
                </c:pt>
                <c:pt idx="3">
                  <c:v>5.9230827521268612</c:v>
                </c:pt>
                <c:pt idx="4">
                  <c:v>6.3283262533313973</c:v>
                </c:pt>
                <c:pt idx="5">
                  <c:v>6.323667763284889</c:v>
                </c:pt>
                <c:pt idx="6">
                  <c:v>6.0367906287663686</c:v>
                </c:pt>
                <c:pt idx="7">
                  <c:v>5.5814790156665568</c:v>
                </c:pt>
                <c:pt idx="8">
                  <c:v>4.8926183722133096</c:v>
                </c:pt>
                <c:pt idx="9">
                  <c:v>3.9080166275473678</c:v>
                </c:pt>
                <c:pt idx="10">
                  <c:v>2.9856603212069937</c:v>
                </c:pt>
                <c:pt idx="11">
                  <c:v>2.4752223272281686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2.8863655920489681</c:v>
                </c:pt>
                <c:pt idx="1">
                  <c:v>3.8073096555277672</c:v>
                </c:pt>
                <c:pt idx="2">
                  <c:v>4.8393537453303592</c:v>
                </c:pt>
                <c:pt idx="3">
                  <c:v>5.7536383823323964</c:v>
                </c:pt>
                <c:pt idx="4">
                  <c:v>6.4827659278838734</c:v>
                </c:pt>
                <c:pt idx="5">
                  <c:v>6.4761800951316548</c:v>
                </c:pt>
                <c:pt idx="6">
                  <c:v>6.1783530045231903</c:v>
                </c:pt>
                <c:pt idx="7">
                  <c:v>5.7073732716971124</c:v>
                </c:pt>
                <c:pt idx="8">
                  <c:v>4.9982254379284408</c:v>
                </c:pt>
                <c:pt idx="9">
                  <c:v>3.9874965895912644</c:v>
                </c:pt>
                <c:pt idx="10">
                  <c:v>3.0422424133109138</c:v>
                </c:pt>
                <c:pt idx="11">
                  <c:v>2.5192706146827808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945288"/>
        <c:axId val="358943720"/>
      </c:lineChart>
      <c:dateAx>
        <c:axId val="35894528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372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58943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528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24.436202250475688</c:v>
                </c:pt>
                <c:pt idx="1">
                  <c:v>24.608499657389565</c:v>
                </c:pt>
                <c:pt idx="2">
                  <c:v>24.788196883380866</c:v>
                </c:pt>
                <c:pt idx="3">
                  <c:v>24.974130878525884</c:v>
                </c:pt>
                <c:pt idx="4">
                  <c:v>25.165138995428993</c:v>
                </c:pt>
                <c:pt idx="5">
                  <c:v>25.360058998732395</c:v>
                </c:pt>
                <c:pt idx="6">
                  <c:v>25.557729057753239</c:v>
                </c:pt>
                <c:pt idx="7">
                  <c:v>25.756987754182258</c:v>
                </c:pt>
                <c:pt idx="8">
                  <c:v>25.960252897600672</c:v>
                </c:pt>
                <c:pt idx="9">
                  <c:v>26.170576546895731</c:v>
                </c:pt>
                <c:pt idx="10">
                  <c:v>26.387737286049511</c:v>
                </c:pt>
                <c:pt idx="11">
                  <c:v>26.611510131063454</c:v>
                </c:pt>
                <c:pt idx="12">
                  <c:v>26.84167016148939</c:v>
                </c:pt>
                <c:pt idx="13">
                  <c:v>27.077992530734114</c:v>
                </c:pt>
                <c:pt idx="14">
                  <c:v>27.320252459112979</c:v>
                </c:pt>
                <c:pt idx="15">
                  <c:v>27.568223467349831</c:v>
                </c:pt>
                <c:pt idx="16">
                  <c:v>27.821671961362554</c:v>
                </c:pt>
                <c:pt idx="17">
                  <c:v>28.080373377405834</c:v>
                </c:pt>
                <c:pt idx="18">
                  <c:v>28.344103230780775</c:v>
                </c:pt>
                <c:pt idx="19">
                  <c:v>28.612637070937968</c:v>
                </c:pt>
                <c:pt idx="20">
                  <c:v>28.885750512092507</c:v>
                </c:pt>
                <c:pt idx="21">
                  <c:v>29.163219285866511</c:v>
                </c:pt>
                <c:pt idx="22">
                  <c:v>29.447576936016695</c:v>
                </c:pt>
                <c:pt idx="23">
                  <c:v>29.740821503416456</c:v>
                </c:pt>
                <c:pt idx="24">
                  <c:v>30.041924929246214</c:v>
                </c:pt>
                <c:pt idx="25">
                  <c:v>30.349869770352651</c:v>
                </c:pt>
                <c:pt idx="26">
                  <c:v>30.663638966500756</c:v>
                </c:pt>
                <c:pt idx="27">
                  <c:v>30.982215828139786</c:v>
                </c:pt>
                <c:pt idx="28">
                  <c:v>31.304584050118429</c:v>
                </c:pt>
                <c:pt idx="29">
                  <c:v>31.629721285646429</c:v>
                </c:pt>
                <c:pt idx="30">
                  <c:v>31.956613753911693</c:v>
                </c:pt>
                <c:pt idx="31">
                  <c:v>32.284246286892675</c:v>
                </c:pt>
                <c:pt idx="32">
                  <c:v>32.610485757922312</c:v>
                </c:pt>
                <c:pt idx="33">
                  <c:v>32.935416137675404</c:v>
                </c:pt>
                <c:pt idx="34">
                  <c:v>33.258023693565633</c:v>
                </c:pt>
                <c:pt idx="35">
                  <c:v>33.577295209919022</c:v>
                </c:pt>
                <c:pt idx="36">
                  <c:v>33.894313758986748</c:v>
                </c:pt>
                <c:pt idx="37">
                  <c:v>34.210960684937731</c:v>
                </c:pt>
                <c:pt idx="38">
                  <c:v>34.527445280832566</c:v>
                </c:pt>
                <c:pt idx="39">
                  <c:v>34.843970420860806</c:v>
                </c:pt>
                <c:pt idx="40">
                  <c:v>35.160739067348572</c:v>
                </c:pt>
                <c:pt idx="41">
                  <c:v>35.477953996056485</c:v>
                </c:pt>
                <c:pt idx="42">
                  <c:v>35.795817887273522</c:v>
                </c:pt>
                <c:pt idx="43">
                  <c:v>36.114525157877786</c:v>
                </c:pt>
                <c:pt idx="44">
                  <c:v>36.43428470154587</c:v>
                </c:pt>
                <c:pt idx="45">
                  <c:v>36.755298896777234</c:v>
                </c:pt>
                <c:pt idx="46">
                  <c:v>37.077770020199999</c:v>
                </c:pt>
                <c:pt idx="47">
                  <c:v>37.401900246100013</c:v>
                </c:pt>
                <c:pt idx="48">
                  <c:v>37.727891642956045</c:v>
                </c:pt>
                <c:pt idx="49">
                  <c:v>38.055946171602073</c:v>
                </c:pt>
                <c:pt idx="50">
                  <c:v>38.386417533050071</c:v>
                </c:pt>
                <c:pt idx="51">
                  <c:v>38.719347030779872</c:v>
                </c:pt>
                <c:pt idx="52">
                  <c:v>39.054442690870225</c:v>
                </c:pt>
                <c:pt idx="53">
                  <c:v>39.391400306046627</c:v>
                </c:pt>
                <c:pt idx="54">
                  <c:v>39.729915774766226</c:v>
                </c:pt>
                <c:pt idx="55">
                  <c:v>40.069685124526146</c:v>
                </c:pt>
                <c:pt idx="56">
                  <c:v>40.410404507451361</c:v>
                </c:pt>
                <c:pt idx="57">
                  <c:v>40.751799184250856</c:v>
                </c:pt>
                <c:pt idx="58">
                  <c:v>41.093573834237958</c:v>
                </c:pt>
                <c:pt idx="59">
                  <c:v>41.435425033273106</c:v>
                </c:pt>
                <c:pt idx="60">
                  <c:v>41.777049476930024</c:v>
                </c:pt>
                <c:pt idx="61">
                  <c:v>42.118143978876098</c:v>
                </c:pt>
                <c:pt idx="62">
                  <c:v>42.458405470010447</c:v>
                </c:pt>
                <c:pt idx="63">
                  <c:v>42.797530997433384</c:v>
                </c:pt>
                <c:pt idx="64">
                  <c:v>43.136413602107417</c:v>
                </c:pt>
                <c:pt idx="65">
                  <c:v>43.475999097790584</c:v>
                </c:pt>
                <c:pt idx="66">
                  <c:v>43.816059767192954</c:v>
                </c:pt>
                <c:pt idx="67">
                  <c:v>44.156393199914291</c:v>
                </c:pt>
                <c:pt idx="68">
                  <c:v>44.496797053131502</c:v>
                </c:pt>
                <c:pt idx="69">
                  <c:v>44.837069052450843</c:v>
                </c:pt>
                <c:pt idx="70">
                  <c:v>45.177006992830407</c:v>
                </c:pt>
                <c:pt idx="71">
                  <c:v>45.516389617755578</c:v>
                </c:pt>
                <c:pt idx="72">
                  <c:v>45.854985548134593</c:v>
                </c:pt>
                <c:pt idx="73">
                  <c:v>46.192592658032943</c:v>
                </c:pt>
                <c:pt idx="74">
                  <c:v>46.529008877610096</c:v>
                </c:pt>
                <c:pt idx="75">
                  <c:v>46.864032192165375</c:v>
                </c:pt>
                <c:pt idx="76">
                  <c:v>47.197460643010544</c:v>
                </c:pt>
                <c:pt idx="77">
                  <c:v>47.529092325609632</c:v>
                </c:pt>
                <c:pt idx="78">
                  <c:v>47.861415775906373</c:v>
                </c:pt>
                <c:pt idx="79">
                  <c:v>48.196379007630611</c:v>
                </c:pt>
                <c:pt idx="80">
                  <c:v>48.532985778161368</c:v>
                </c:pt>
                <c:pt idx="81">
                  <c:v>48.870226132741102</c:v>
                </c:pt>
                <c:pt idx="82">
                  <c:v>49.207090565223801</c:v>
                </c:pt>
                <c:pt idx="83">
                  <c:v>49.542570016328803</c:v>
                </c:pt>
                <c:pt idx="84">
                  <c:v>49.87565587722785</c:v>
                </c:pt>
                <c:pt idx="85">
                  <c:v>50.205338846684853</c:v>
                </c:pt>
                <c:pt idx="86">
                  <c:v>50.530630700506443</c:v>
                </c:pt>
                <c:pt idx="87">
                  <c:v>50.850524300438792</c:v>
                </c:pt>
                <c:pt idx="88">
                  <c:v>51.164012983347206</c:v>
                </c:pt>
                <c:pt idx="89">
                  <c:v>51.470090560630105</c:v>
                </c:pt>
                <c:pt idx="90">
                  <c:v>51.767751325718812</c:v>
                </c:pt>
                <c:pt idx="91">
                  <c:v>52.055990062046902</c:v>
                </c:pt>
                <c:pt idx="92">
                  <c:v>52.336538210194092</c:v>
                </c:pt>
                <c:pt idx="93">
                  <c:v>52.611729193076165</c:v>
                </c:pt>
                <c:pt idx="94">
                  <c:v>52.88146459481456</c:v>
                </c:pt>
                <c:pt idx="95">
                  <c:v>53.145644730546039</c:v>
                </c:pt>
                <c:pt idx="96">
                  <c:v>53.40416996617283</c:v>
                </c:pt>
                <c:pt idx="97">
                  <c:v>53.656940727133616</c:v>
                </c:pt>
                <c:pt idx="98">
                  <c:v>53.903857492540553</c:v>
                </c:pt>
                <c:pt idx="99">
                  <c:v>54.144817121617749</c:v>
                </c:pt>
                <c:pt idx="100">
                  <c:v>54.379721425022808</c:v>
                </c:pt>
                <c:pt idx="101">
                  <c:v>54.608471060985565</c:v>
                </c:pt>
                <c:pt idx="102">
                  <c:v>54.830966754830101</c:v>
                </c:pt>
                <c:pt idx="103">
                  <c:v>55.047109302270883</c:v>
                </c:pt>
                <c:pt idx="104">
                  <c:v>55.256799573588516</c:v>
                </c:pt>
                <c:pt idx="105">
                  <c:v>55.459938516596495</c:v>
                </c:pt>
                <c:pt idx="106">
                  <c:v>55.656024992071053</c:v>
                </c:pt>
                <c:pt idx="107">
                  <c:v>55.844819722687681</c:v>
                </c:pt>
                <c:pt idx="108">
                  <c:v>56.0266276070193</c:v>
                </c:pt>
                <c:pt idx="109">
                  <c:v>56.201751928250047</c:v>
                </c:pt>
                <c:pt idx="110">
                  <c:v>56.37049584954552</c:v>
                </c:pt>
                <c:pt idx="111">
                  <c:v>56.533162417625427</c:v>
                </c:pt>
                <c:pt idx="112">
                  <c:v>56.690054561760185</c:v>
                </c:pt>
                <c:pt idx="113">
                  <c:v>56.841464949722223</c:v>
                </c:pt>
                <c:pt idx="114">
                  <c:v>56.987700075120912</c:v>
                </c:pt>
                <c:pt idx="115">
                  <c:v>57.129062427022461</c:v>
                </c:pt>
                <c:pt idx="116">
                  <c:v>57.265854379395577</c:v>
                </c:pt>
                <c:pt idx="117">
                  <c:v>57.398378195215891</c:v>
                </c:pt>
                <c:pt idx="118">
                  <c:v>57.526936028646098</c:v>
                </c:pt>
                <c:pt idx="119">
                  <c:v>57.651829925983385</c:v>
                </c:pt>
                <c:pt idx="120">
                  <c:v>57.772391702541384</c:v>
                </c:pt>
                <c:pt idx="121">
                  <c:v>57.887805430582034</c:v>
                </c:pt>
                <c:pt idx="122">
                  <c:v>57.998179778677176</c:v>
                </c:pt>
                <c:pt idx="123">
                  <c:v>58.103616447319631</c:v>
                </c:pt>
                <c:pt idx="124">
                  <c:v>58.204217143883071</c:v>
                </c:pt>
                <c:pt idx="125">
                  <c:v>58.300083587502776</c:v>
                </c:pt>
                <c:pt idx="126">
                  <c:v>58.39131750808491</c:v>
                </c:pt>
                <c:pt idx="127">
                  <c:v>58.478049240294887</c:v>
                </c:pt>
                <c:pt idx="128">
                  <c:v>58.56039238995119</c:v>
                </c:pt>
                <c:pt idx="129">
                  <c:v>58.638449651610756</c:v>
                </c:pt>
                <c:pt idx="130">
                  <c:v>58.712323771215651</c:v>
                </c:pt>
                <c:pt idx="131">
                  <c:v>58.782117557327666</c:v>
                </c:pt>
                <c:pt idx="132">
                  <c:v>58.847933870497307</c:v>
                </c:pt>
                <c:pt idx="133">
                  <c:v>58.90987563004402</c:v>
                </c:pt>
                <c:pt idx="134">
                  <c:v>58.967361343881528</c:v>
                </c:pt>
                <c:pt idx="135">
                  <c:v>59.019932144921562</c:v>
                </c:pt>
                <c:pt idx="136">
                  <c:v>59.067809963780995</c:v>
                </c:pt>
                <c:pt idx="137">
                  <c:v>59.111200704302213</c:v>
                </c:pt>
                <c:pt idx="138">
                  <c:v>59.150310320659884</c:v>
                </c:pt>
                <c:pt idx="139">
                  <c:v>59.185344799745288</c:v>
                </c:pt>
                <c:pt idx="140">
                  <c:v>59.21651015547652</c:v>
                </c:pt>
                <c:pt idx="141">
                  <c:v>59.244002703065185</c:v>
                </c:pt>
                <c:pt idx="142">
                  <c:v>59.267996329213197</c:v>
                </c:pt>
                <c:pt idx="143">
                  <c:v>59.28869619981085</c:v>
                </c:pt>
                <c:pt idx="144">
                  <c:v>59.306307386085841</c:v>
                </c:pt>
                <c:pt idx="145">
                  <c:v>59.321034916557991</c:v>
                </c:pt>
                <c:pt idx="146">
                  <c:v>59.333083763042644</c:v>
                </c:pt>
                <c:pt idx="147">
                  <c:v>59.342658827599372</c:v>
                </c:pt>
                <c:pt idx="148">
                  <c:v>59.349681690583722</c:v>
                </c:pt>
                <c:pt idx="149">
                  <c:v>59.353841306787857</c:v>
                </c:pt>
                <c:pt idx="150">
                  <c:v>59.354977982438605</c:v>
                </c:pt>
                <c:pt idx="151">
                  <c:v>59.352994239182863</c:v>
                </c:pt>
                <c:pt idx="152">
                  <c:v>59.347792638675081</c:v>
                </c:pt>
                <c:pt idx="153">
                  <c:v>59.339275775106742</c:v>
                </c:pt>
                <c:pt idx="154">
                  <c:v>59.32734627159001</c:v>
                </c:pt>
                <c:pt idx="155">
                  <c:v>59.311900969326331</c:v>
                </c:pt>
                <c:pt idx="156">
                  <c:v>59.2928527032022</c:v>
                </c:pt>
                <c:pt idx="157">
                  <c:v>59.270104072810746</c:v>
                </c:pt>
                <c:pt idx="158">
                  <c:v>59.243557673346672</c:v>
                </c:pt>
                <c:pt idx="159">
                  <c:v>59.213116089232173</c:v>
                </c:pt>
                <c:pt idx="160">
                  <c:v>59.178681888723354</c:v>
                </c:pt>
                <c:pt idx="161">
                  <c:v>59.140157623686306</c:v>
                </c:pt>
                <c:pt idx="162">
                  <c:v>59.096830549350578</c:v>
                </c:pt>
                <c:pt idx="163">
                  <c:v>59.048320646348706</c:v>
                </c:pt>
                <c:pt idx="164">
                  <c:v>58.995066464288257</c:v>
                </c:pt>
                <c:pt idx="165">
                  <c:v>58.93746998579357</c:v>
                </c:pt>
                <c:pt idx="166">
                  <c:v>58.875932854970429</c:v>
                </c:pt>
                <c:pt idx="167">
                  <c:v>58.810856374784883</c:v>
                </c:pt>
                <c:pt idx="168">
                  <c:v>58.742641507303418</c:v>
                </c:pt>
                <c:pt idx="169">
                  <c:v>58.67168870695469</c:v>
                </c:pt>
                <c:pt idx="170">
                  <c:v>58.598404812565448</c:v>
                </c:pt>
                <c:pt idx="171">
                  <c:v>58.52318987555693</c:v>
                </c:pt>
                <c:pt idx="172">
                  <c:v>58.44644360390533</c:v>
                </c:pt>
                <c:pt idx="173">
                  <c:v>58.368565401691868</c:v>
                </c:pt>
                <c:pt idx="174">
                  <c:v>58.289954342109951</c:v>
                </c:pt>
                <c:pt idx="175">
                  <c:v>58.211009129857892</c:v>
                </c:pt>
                <c:pt idx="176">
                  <c:v>58.131132247037833</c:v>
                </c:pt>
                <c:pt idx="177">
                  <c:v>58.049453921722943</c:v>
                </c:pt>
                <c:pt idx="178">
                  <c:v>57.96597461126732</c:v>
                </c:pt>
                <c:pt idx="179">
                  <c:v>57.880694441154454</c:v>
                </c:pt>
                <c:pt idx="180">
                  <c:v>57.793613430928303</c:v>
                </c:pt>
                <c:pt idx="181">
                  <c:v>57.704731499810286</c:v>
                </c:pt>
                <c:pt idx="182">
                  <c:v>57.614048469112291</c:v>
                </c:pt>
                <c:pt idx="183">
                  <c:v>57.521523098319193</c:v>
                </c:pt>
                <c:pt idx="184">
                  <c:v>57.427154894296535</c:v>
                </c:pt>
                <c:pt idx="185">
                  <c:v>57.330943058819585</c:v>
                </c:pt>
                <c:pt idx="186">
                  <c:v>57.232886761628222</c:v>
                </c:pt>
                <c:pt idx="187">
                  <c:v>57.132985144651144</c:v>
                </c:pt>
                <c:pt idx="188">
                  <c:v>57.031237332543164</c:v>
                </c:pt>
                <c:pt idx="189">
                  <c:v>56.9276424332811</c:v>
                </c:pt>
                <c:pt idx="190">
                  <c:v>56.821984136678864</c:v>
                </c:pt>
                <c:pt idx="191">
                  <c:v>56.714101813705796</c:v>
                </c:pt>
                <c:pt idx="192">
                  <c:v>56.604101470855248</c:v>
                </c:pt>
                <c:pt idx="193">
                  <c:v>56.492081796203045</c:v>
                </c:pt>
                <c:pt idx="194">
                  <c:v>56.378141443392018</c:v>
                </c:pt>
                <c:pt idx="195">
                  <c:v>56.262379039364284</c:v>
                </c:pt>
                <c:pt idx="196">
                  <c:v>56.144893186878612</c:v>
                </c:pt>
                <c:pt idx="197">
                  <c:v>56.02586544268059</c:v>
                </c:pt>
                <c:pt idx="198">
                  <c:v>55.905437370319639</c:v>
                </c:pt>
                <c:pt idx="199">
                  <c:v>55.783708134324428</c:v>
                </c:pt>
                <c:pt idx="200">
                  <c:v>55.660776830627853</c:v>
                </c:pt>
                <c:pt idx="201">
                  <c:v>55.536742495832044</c:v>
                </c:pt>
                <c:pt idx="202">
                  <c:v>55.411704116751487</c:v>
                </c:pt>
                <c:pt idx="203">
                  <c:v>55.285760639655052</c:v>
                </c:pt>
                <c:pt idx="204">
                  <c:v>55.158762837714924</c:v>
                </c:pt>
                <c:pt idx="205">
                  <c:v>55.030536309900405</c:v>
                </c:pt>
                <c:pt idx="206">
                  <c:v>54.90109143039389</c:v>
                </c:pt>
                <c:pt idx="207">
                  <c:v>54.770428042810018</c:v>
                </c:pt>
                <c:pt idx="208">
                  <c:v>54.638546013054729</c:v>
                </c:pt>
                <c:pt idx="209">
                  <c:v>54.505445234973855</c:v>
                </c:pt>
                <c:pt idx="210">
                  <c:v>54.371125633154172</c:v>
                </c:pt>
                <c:pt idx="211">
                  <c:v>54.235560979390229</c:v>
                </c:pt>
                <c:pt idx="212">
                  <c:v>54.098666649062864</c:v>
                </c:pt>
                <c:pt idx="213">
                  <c:v>53.960442408067472</c:v>
                </c:pt>
                <c:pt idx="214">
                  <c:v>53.820888089961649</c:v>
                </c:pt>
                <c:pt idx="215">
                  <c:v>53.680003594498217</c:v>
                </c:pt>
                <c:pt idx="216">
                  <c:v>53.537788884118392</c:v>
                </c:pt>
                <c:pt idx="217">
                  <c:v>53.394243981468982</c:v>
                </c:pt>
                <c:pt idx="218">
                  <c:v>53.249583715815788</c:v>
                </c:pt>
                <c:pt idx="219">
                  <c:v>53.103940548904674</c:v>
                </c:pt>
                <c:pt idx="220">
                  <c:v>52.957174475204255</c:v>
                </c:pt>
                <c:pt idx="221">
                  <c:v>52.809186564755613</c:v>
                </c:pt>
                <c:pt idx="222">
                  <c:v>52.659877980133807</c:v>
                </c:pt>
                <c:pt idx="223">
                  <c:v>52.50914997047817</c:v>
                </c:pt>
                <c:pt idx="224">
                  <c:v>52.356903868178023</c:v>
                </c:pt>
                <c:pt idx="225">
                  <c:v>52.203029880596269</c:v>
                </c:pt>
                <c:pt idx="226">
                  <c:v>52.047455950010857</c:v>
                </c:pt>
                <c:pt idx="227">
                  <c:v>51.890083665723807</c:v>
                </c:pt>
                <c:pt idx="228">
                  <c:v>51.73081468122092</c:v>
                </c:pt>
                <c:pt idx="229">
                  <c:v>51.569550712741474</c:v>
                </c:pt>
                <c:pt idx="230">
                  <c:v>51.40619353693851</c:v>
                </c:pt>
                <c:pt idx="231">
                  <c:v>51.240644985497141</c:v>
                </c:pt>
                <c:pt idx="232">
                  <c:v>51.074769872158853</c:v>
                </c:pt>
                <c:pt idx="233">
                  <c:v>50.909963757500826</c:v>
                </c:pt>
                <c:pt idx="234">
                  <c:v>50.745451147160779</c:v>
                </c:pt>
                <c:pt idx="235">
                  <c:v>50.580440646290832</c:v>
                </c:pt>
                <c:pt idx="236">
                  <c:v>50.414141196497397</c:v>
                </c:pt>
                <c:pt idx="237">
                  <c:v>50.245762072168844</c:v>
                </c:pt>
                <c:pt idx="238">
                  <c:v>50.074512877884274</c:v>
                </c:pt>
                <c:pt idx="239">
                  <c:v>49.89959983495023</c:v>
                </c:pt>
                <c:pt idx="240">
                  <c:v>49.720244364577489</c:v>
                </c:pt>
                <c:pt idx="241">
                  <c:v>49.535657029832379</c:v>
                </c:pt>
                <c:pt idx="242">
                  <c:v>49.34504871390773</c:v>
                </c:pt>
                <c:pt idx="243">
                  <c:v>49.147630614584997</c:v>
                </c:pt>
                <c:pt idx="244">
                  <c:v>48.942614245472228</c:v>
                </c:pt>
                <c:pt idx="245">
                  <c:v>48.729211426473022</c:v>
                </c:pt>
                <c:pt idx="246">
                  <c:v>48.507754389033174</c:v>
                </c:pt>
                <c:pt idx="247">
                  <c:v>48.279361422186284</c:v>
                </c:pt>
                <c:pt idx="248">
                  <c:v>48.044436771535239</c:v>
                </c:pt>
                <c:pt idx="249">
                  <c:v>47.803377876198653</c:v>
                </c:pt>
                <c:pt idx="250">
                  <c:v>47.556582027387186</c:v>
                </c:pt>
                <c:pt idx="251">
                  <c:v>47.304446360884114</c:v>
                </c:pt>
                <c:pt idx="252">
                  <c:v>47.047367866764759</c:v>
                </c:pt>
                <c:pt idx="253">
                  <c:v>46.785738814029891</c:v>
                </c:pt>
                <c:pt idx="254">
                  <c:v>46.519959588582786</c:v>
                </c:pt>
                <c:pt idx="255">
                  <c:v>46.250426734403824</c:v>
                </c:pt>
                <c:pt idx="256">
                  <c:v>45.977536649130116</c:v>
                </c:pt>
                <c:pt idx="257">
                  <c:v>45.701685583410388</c:v>
                </c:pt>
                <c:pt idx="258">
                  <c:v>45.423269640814077</c:v>
                </c:pt>
                <c:pt idx="259">
                  <c:v>45.142684777611251</c:v>
                </c:pt>
                <c:pt idx="260">
                  <c:v>44.857628975443809</c:v>
                </c:pt>
                <c:pt idx="261">
                  <c:v>44.566021879149403</c:v>
                </c:pt>
                <c:pt idx="262">
                  <c:v>44.268659645961058</c:v>
                </c:pt>
                <c:pt idx="263">
                  <c:v>43.966333797572261</c:v>
                </c:pt>
                <c:pt idx="264">
                  <c:v>43.659835566645349</c:v>
                </c:pt>
                <c:pt idx="265">
                  <c:v>43.34995588352902</c:v>
                </c:pt>
                <c:pt idx="266">
                  <c:v>43.03748538717776</c:v>
                </c:pt>
                <c:pt idx="267">
                  <c:v>42.723194497916552</c:v>
                </c:pt>
                <c:pt idx="268">
                  <c:v>42.407877901295208</c:v>
                </c:pt>
                <c:pt idx="269">
                  <c:v>42.092325511176647</c:v>
                </c:pt>
                <c:pt idx="270">
                  <c:v>41.777326969101324</c:v>
                </c:pt>
                <c:pt idx="271">
                  <c:v>41.463671648382899</c:v>
                </c:pt>
                <c:pt idx="272">
                  <c:v>41.152148657262437</c:v>
                </c:pt>
                <c:pt idx="273">
                  <c:v>40.843546842453094</c:v>
                </c:pt>
                <c:pt idx="274">
                  <c:v>40.536683148066167</c:v>
                </c:pt>
                <c:pt idx="275">
                  <c:v>40.229919908974068</c:v>
                </c:pt>
                <c:pt idx="276">
                  <c:v>39.923297956636013</c:v>
                </c:pt>
                <c:pt idx="277">
                  <c:v>39.616816762455628</c:v>
                </c:pt>
                <c:pt idx="278">
                  <c:v>39.310475684243144</c:v>
                </c:pt>
                <c:pt idx="279">
                  <c:v>39.004273960548929</c:v>
                </c:pt>
                <c:pt idx="280">
                  <c:v>38.698210705567739</c:v>
                </c:pt>
                <c:pt idx="281">
                  <c:v>38.392326685652236</c:v>
                </c:pt>
                <c:pt idx="282">
                  <c:v>38.086639255601362</c:v>
                </c:pt>
                <c:pt idx="283">
                  <c:v>37.781146351205024</c:v>
                </c:pt>
                <c:pt idx="284">
                  <c:v>37.475845722474411</c:v>
                </c:pt>
                <c:pt idx="285">
                  <c:v>37.170734932841427</c:v>
                </c:pt>
                <c:pt idx="286">
                  <c:v>36.865811359750516</c:v>
                </c:pt>
                <c:pt idx="287">
                  <c:v>36.561072196717447</c:v>
                </c:pt>
                <c:pt idx="288">
                  <c:v>36.255660964097025</c:v>
                </c:pt>
                <c:pt idx="289">
                  <c:v>35.948958944841401</c:v>
                </c:pt>
                <c:pt idx="290">
                  <c:v>35.641290869732366</c:v>
                </c:pt>
                <c:pt idx="291">
                  <c:v>35.333048767962914</c:v>
                </c:pt>
                <c:pt idx="292">
                  <c:v>35.024624477966583</c:v>
                </c:pt>
                <c:pt idx="293">
                  <c:v>34.716409658747963</c:v>
                </c:pt>
                <c:pt idx="294">
                  <c:v>34.408795798461149</c:v>
                </c:pt>
                <c:pt idx="295">
                  <c:v>34.102152917068494</c:v>
                </c:pt>
                <c:pt idx="296">
                  <c:v>33.796833795822465</c:v>
                </c:pt>
                <c:pt idx="297">
                  <c:v>33.493230562946458</c:v>
                </c:pt>
                <c:pt idx="298">
                  <c:v>33.191735325418151</c:v>
                </c:pt>
                <c:pt idx="299">
                  <c:v>32.892740100333107</c:v>
                </c:pt>
                <c:pt idx="300">
                  <c:v>32.596636822126811</c:v>
                </c:pt>
                <c:pt idx="301">
                  <c:v>32.303817347285282</c:v>
                </c:pt>
                <c:pt idx="302">
                  <c:v>32.012836785717994</c:v>
                </c:pt>
                <c:pt idx="303">
                  <c:v>31.722240109803312</c:v>
                </c:pt>
                <c:pt idx="304">
                  <c:v>31.432442537073928</c:v>
                </c:pt>
                <c:pt idx="305">
                  <c:v>31.143836057780803</c:v>
                </c:pt>
                <c:pt idx="306">
                  <c:v>30.856812603577218</c:v>
                </c:pt>
                <c:pt idx="307">
                  <c:v>30.571764059323705</c:v>
                </c:pt>
                <c:pt idx="308">
                  <c:v>30.289082260729309</c:v>
                </c:pt>
                <c:pt idx="309">
                  <c:v>30.009149096604379</c:v>
                </c:pt>
                <c:pt idx="310">
                  <c:v>29.732375792332416</c:v>
                </c:pt>
                <c:pt idx="311">
                  <c:v>29.459153875892746</c:v>
                </c:pt>
                <c:pt idx="312">
                  <c:v>29.189874844099815</c:v>
                </c:pt>
                <c:pt idx="313">
                  <c:v>28.924930170397779</c:v>
                </c:pt>
                <c:pt idx="314">
                  <c:v>28.664711303554611</c:v>
                </c:pt>
                <c:pt idx="315">
                  <c:v>28.409609672788154</c:v>
                </c:pt>
                <c:pt idx="316">
                  <c:v>28.158820537331838</c:v>
                </c:pt>
                <c:pt idx="317">
                  <c:v>27.911343339783794</c:v>
                </c:pt>
                <c:pt idx="318">
                  <c:v>27.667284444313502</c:v>
                </c:pt>
                <c:pt idx="319">
                  <c:v>27.426740632687139</c:v>
                </c:pt>
                <c:pt idx="320">
                  <c:v>27.189808745133618</c:v>
                </c:pt>
                <c:pt idx="321">
                  <c:v>26.956585689942216</c:v>
                </c:pt>
                <c:pt idx="322">
                  <c:v>26.727168434169499</c:v>
                </c:pt>
                <c:pt idx="323">
                  <c:v>26.50166852051683</c:v>
                </c:pt>
                <c:pt idx="324">
                  <c:v>26.280191722759504</c:v>
                </c:pt>
                <c:pt idx="325">
                  <c:v>26.062834783844348</c:v>
                </c:pt>
                <c:pt idx="326">
                  <c:v>25.849694594709852</c:v>
                </c:pt>
                <c:pt idx="327">
                  <c:v>25.640868088758545</c:v>
                </c:pt>
                <c:pt idx="328">
                  <c:v>25.436452225016044</c:v>
                </c:pt>
                <c:pt idx="329">
                  <c:v>25.236544038063151</c:v>
                </c:pt>
                <c:pt idx="330">
                  <c:v>25.038015575608778</c:v>
                </c:pt>
                <c:pt idx="331">
                  <c:v>24.838601577142175</c:v>
                </c:pt>
                <c:pt idx="332">
                  <c:v>24.639676581394014</c:v>
                </c:pt>
                <c:pt idx="333">
                  <c:v>24.442615349425715</c:v>
                </c:pt>
                <c:pt idx="334">
                  <c:v>24.248792368961421</c:v>
                </c:pt>
                <c:pt idx="335">
                  <c:v>24.059581823468868</c:v>
                </c:pt>
                <c:pt idx="336">
                  <c:v>23.876357586671201</c:v>
                </c:pt>
                <c:pt idx="337">
                  <c:v>23.700488980743199</c:v>
                </c:pt>
                <c:pt idx="338">
                  <c:v>23.533335794233231</c:v>
                </c:pt>
                <c:pt idx="339">
                  <c:v>23.376271050553406</c:v>
                </c:pt>
                <c:pt idx="340">
                  <c:v>23.230667362867887</c:v>
                </c:pt>
                <c:pt idx="341">
                  <c:v>23.097896928978539</c:v>
                </c:pt>
                <c:pt idx="342">
                  <c:v>22.979331513249065</c:v>
                </c:pt>
                <c:pt idx="343">
                  <c:v>22.876342433055036</c:v>
                </c:pt>
                <c:pt idx="344">
                  <c:v>22.786350665696315</c:v>
                </c:pt>
                <c:pt idx="345">
                  <c:v>22.706020890490752</c:v>
                </c:pt>
                <c:pt idx="346">
                  <c:v>22.635580441695001</c:v>
                </c:pt>
                <c:pt idx="347">
                  <c:v>22.575265758072721</c:v>
                </c:pt>
                <c:pt idx="348">
                  <c:v>22.525313168255664</c:v>
                </c:pt>
                <c:pt idx="349">
                  <c:v>22.485958899864027</c:v>
                </c:pt>
                <c:pt idx="350">
                  <c:v>22.457439065788595</c:v>
                </c:pt>
                <c:pt idx="351">
                  <c:v>22.439990468041643</c:v>
                </c:pt>
                <c:pt idx="352">
                  <c:v>22.433853055990923</c:v>
                </c:pt>
                <c:pt idx="353">
                  <c:v>22.439262567957982</c:v>
                </c:pt>
                <c:pt idx="354">
                  <c:v>22.456454636910927</c:v>
                </c:pt>
                <c:pt idx="355">
                  <c:v>22.485664776368104</c:v>
                </c:pt>
                <c:pt idx="356">
                  <c:v>22.527128403881132</c:v>
                </c:pt>
                <c:pt idx="357">
                  <c:v>22.581080775209177</c:v>
                </c:pt>
                <c:pt idx="358">
                  <c:v>22.649773178447028</c:v>
                </c:pt>
                <c:pt idx="359">
                  <c:v>22.734551890066296</c:v>
                </c:pt>
                <c:pt idx="360">
                  <c:v>22.834290842097868</c:v>
                </c:pt>
                <c:pt idx="361">
                  <c:v>22.947867554607758</c:v>
                </c:pt>
                <c:pt idx="362">
                  <c:v>23.074160681287164</c:v>
                </c:pt>
                <c:pt idx="363">
                  <c:v>23.212049231663997</c:v>
                </c:pt>
                <c:pt idx="364">
                  <c:v>23.360412552521503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23.241</c:v>
                </c:pt>
                <c:pt idx="1">
                  <c:v>16.711000000000002</c:v>
                </c:pt>
                <c:pt idx="2">
                  <c:v>17.983000000000001</c:v>
                </c:pt>
                <c:pt idx="3">
                  <c:v>19.001000000000001</c:v>
                </c:pt>
                <c:pt idx="4">
                  <c:v>15.128</c:v>
                </c:pt>
                <c:pt idx="5">
                  <c:v>21.815000000000001</c:v>
                </c:pt>
                <c:pt idx="6">
                  <c:v>11.156000000000001</c:v>
                </c:pt>
                <c:pt idx="7">
                  <c:v>7.8260000000000005</c:v>
                </c:pt>
                <c:pt idx="8">
                  <c:v>2.31</c:v>
                </c:pt>
                <c:pt idx="9">
                  <c:v>1.7929999999999999</c:v>
                </c:pt>
                <c:pt idx="10">
                  <c:v>25.839000000000002</c:v>
                </c:pt>
                <c:pt idx="11">
                  <c:v>22.045999999999999</c:v>
                </c:pt>
                <c:pt idx="12">
                  <c:v>5.3090000000000002</c:v>
                </c:pt>
                <c:pt idx="13">
                  <c:v>26.247</c:v>
                </c:pt>
                <c:pt idx="14">
                  <c:v>27.891000000000002</c:v>
                </c:pt>
                <c:pt idx="15">
                  <c:v>27.393000000000001</c:v>
                </c:pt>
                <c:pt idx="16">
                  <c:v>14.022</c:v>
                </c:pt>
                <c:pt idx="17">
                  <c:v>3.702</c:v>
                </c:pt>
                <c:pt idx="18">
                  <c:v>10.708</c:v>
                </c:pt>
                <c:pt idx="19">
                  <c:v>6.7359999999999998</c:v>
                </c:pt>
                <c:pt idx="20">
                  <c:v>21.516000000000002</c:v>
                </c:pt>
                <c:pt idx="21">
                  <c:v>29.031000000000002</c:v>
                </c:pt>
                <c:pt idx="22">
                  <c:v>29.097999999999999</c:v>
                </c:pt>
                <c:pt idx="23">
                  <c:v>29.751999999999999</c:v>
                </c:pt>
                <c:pt idx="24">
                  <c:v>28.335000000000001</c:v>
                </c:pt>
                <c:pt idx="25">
                  <c:v>29.346</c:v>
                </c:pt>
                <c:pt idx="26">
                  <c:v>27.342000000000002</c:v>
                </c:pt>
                <c:pt idx="27">
                  <c:v>4.4660000000000002</c:v>
                </c:pt>
                <c:pt idx="28">
                  <c:v>9.793000000000001</c:v>
                </c:pt>
                <c:pt idx="29">
                  <c:v>4.6580000000000004</c:v>
                </c:pt>
                <c:pt idx="30">
                  <c:v>9.527000000000001</c:v>
                </c:pt>
                <c:pt idx="31">
                  <c:v>13.831</c:v>
                </c:pt>
                <c:pt idx="32">
                  <c:v>5.556</c:v>
                </c:pt>
                <c:pt idx="33">
                  <c:v>10.472</c:v>
                </c:pt>
                <c:pt idx="34">
                  <c:v>10.369</c:v>
                </c:pt>
                <c:pt idx="35">
                  <c:v>10.032</c:v>
                </c:pt>
                <c:pt idx="36">
                  <c:v>22.951000000000001</c:v>
                </c:pt>
                <c:pt idx="37">
                  <c:v>9.8480000000000008</c:v>
                </c:pt>
                <c:pt idx="38">
                  <c:v>34.517000000000003</c:v>
                </c:pt>
                <c:pt idx="39">
                  <c:v>34.743000000000002</c:v>
                </c:pt>
                <c:pt idx="40">
                  <c:v>32.297000000000004</c:v>
                </c:pt>
                <c:pt idx="41">
                  <c:v>18.029</c:v>
                </c:pt>
                <c:pt idx="42">
                  <c:v>27.39</c:v>
                </c:pt>
                <c:pt idx="43">
                  <c:v>32.377000000000002</c:v>
                </c:pt>
                <c:pt idx="44">
                  <c:v>15.857000000000001</c:v>
                </c:pt>
                <c:pt idx="45">
                  <c:v>19.936</c:v>
                </c:pt>
                <c:pt idx="46">
                  <c:v>10.443</c:v>
                </c:pt>
                <c:pt idx="47">
                  <c:v>11.298</c:v>
                </c:pt>
                <c:pt idx="48">
                  <c:v>28.771000000000001</c:v>
                </c:pt>
                <c:pt idx="49">
                  <c:v>20.85</c:v>
                </c:pt>
                <c:pt idx="50">
                  <c:v>19.887</c:v>
                </c:pt>
                <c:pt idx="51">
                  <c:v>21.984000000000002</c:v>
                </c:pt>
                <c:pt idx="52">
                  <c:v>33.978000000000002</c:v>
                </c:pt>
                <c:pt idx="53">
                  <c:v>35.155999999999999</c:v>
                </c:pt>
                <c:pt idx="54">
                  <c:v>21.613</c:v>
                </c:pt>
                <c:pt idx="55">
                  <c:v>31.478000000000002</c:v>
                </c:pt>
                <c:pt idx="56">
                  <c:v>40.536499999999997</c:v>
                </c:pt>
                <c:pt idx="57">
                  <c:v>28.249000000000002</c:v>
                </c:pt>
                <c:pt idx="58">
                  <c:v>34.905999999999999</c:v>
                </c:pt>
                <c:pt idx="59">
                  <c:v>40.518999999999998</c:v>
                </c:pt>
                <c:pt idx="60">
                  <c:v>11.157999999999999</c:v>
                </c:pt>
                <c:pt idx="61">
                  <c:v>35.96</c:v>
                </c:pt>
                <c:pt idx="62">
                  <c:v>4.1360000000000001</c:v>
                </c:pt>
                <c:pt idx="63">
                  <c:v>13.692</c:v>
                </c:pt>
                <c:pt idx="64">
                  <c:v>16.359000000000002</c:v>
                </c:pt>
                <c:pt idx="65">
                  <c:v>38.209000000000003</c:v>
                </c:pt>
                <c:pt idx="66">
                  <c:v>33.020000000000003</c:v>
                </c:pt>
                <c:pt idx="67">
                  <c:v>29.463000000000001</c:v>
                </c:pt>
                <c:pt idx="68">
                  <c:v>25.594000000000001</c:v>
                </c:pt>
                <c:pt idx="69">
                  <c:v>16.240000000000002</c:v>
                </c:pt>
                <c:pt idx="70">
                  <c:v>15.089</c:v>
                </c:pt>
                <c:pt idx="71">
                  <c:v>10.242000000000001</c:v>
                </c:pt>
                <c:pt idx="72">
                  <c:v>14.759</c:v>
                </c:pt>
                <c:pt idx="73">
                  <c:v>14.782999999999999</c:v>
                </c:pt>
                <c:pt idx="74">
                  <c:v>13.324</c:v>
                </c:pt>
                <c:pt idx="75">
                  <c:v>11.115</c:v>
                </c:pt>
                <c:pt idx="76">
                  <c:v>14.819000000000001</c:v>
                </c:pt>
                <c:pt idx="77">
                  <c:v>30.073</c:v>
                </c:pt>
                <c:pt idx="78">
                  <c:v>31.060000000000002</c:v>
                </c:pt>
                <c:pt idx="79">
                  <c:v>45.286000000000001</c:v>
                </c:pt>
                <c:pt idx="80">
                  <c:v>42.612000000000002</c:v>
                </c:pt>
                <c:pt idx="81">
                  <c:v>48.892000000000003</c:v>
                </c:pt>
                <c:pt idx="82">
                  <c:v>47.844000000000001</c:v>
                </c:pt>
                <c:pt idx="83">
                  <c:v>41.908000000000001</c:v>
                </c:pt>
                <c:pt idx="84">
                  <c:v>47.164000000000001</c:v>
                </c:pt>
                <c:pt idx="85">
                  <c:v>45.939</c:v>
                </c:pt>
                <c:pt idx="86">
                  <c:v>35.966999999999999</c:v>
                </c:pt>
                <c:pt idx="87">
                  <c:v>28.327000000000002</c:v>
                </c:pt>
                <c:pt idx="88">
                  <c:v>7.9660000000000002</c:v>
                </c:pt>
                <c:pt idx="89">
                  <c:v>29.029</c:v>
                </c:pt>
                <c:pt idx="90">
                  <c:v>31.766999999999999</c:v>
                </c:pt>
                <c:pt idx="91">
                  <c:v>21.655999999999999</c:v>
                </c:pt>
                <c:pt idx="92">
                  <c:v>23.461000000000002</c:v>
                </c:pt>
                <c:pt idx="93">
                  <c:v>49.338000000000001</c:v>
                </c:pt>
                <c:pt idx="94">
                  <c:v>52.441000000000003</c:v>
                </c:pt>
                <c:pt idx="95">
                  <c:v>11.488</c:v>
                </c:pt>
                <c:pt idx="96">
                  <c:v>39.268999999999998</c:v>
                </c:pt>
                <c:pt idx="97">
                  <c:v>32.346000000000004</c:v>
                </c:pt>
                <c:pt idx="98">
                  <c:v>36.015000000000001</c:v>
                </c:pt>
                <c:pt idx="99">
                  <c:v>54.231000000000002</c:v>
                </c:pt>
                <c:pt idx="100">
                  <c:v>45.539000000000001</c:v>
                </c:pt>
                <c:pt idx="101">
                  <c:v>36.93</c:v>
                </c:pt>
                <c:pt idx="102">
                  <c:v>7.4050000000000002</c:v>
                </c:pt>
                <c:pt idx="103">
                  <c:v>40.027000000000001</c:v>
                </c:pt>
                <c:pt idx="104">
                  <c:v>45.87</c:v>
                </c:pt>
                <c:pt idx="105">
                  <c:v>44.261000000000003</c:v>
                </c:pt>
                <c:pt idx="106">
                  <c:v>54.061</c:v>
                </c:pt>
                <c:pt idx="107">
                  <c:v>37.393999999999998</c:v>
                </c:pt>
                <c:pt idx="108">
                  <c:v>8.9390000000000001</c:v>
                </c:pt>
                <c:pt idx="109">
                  <c:v>10.229000000000001</c:v>
                </c:pt>
                <c:pt idx="110">
                  <c:v>9.4550000000000001</c:v>
                </c:pt>
                <c:pt idx="111">
                  <c:v>27.67</c:v>
                </c:pt>
                <c:pt idx="112">
                  <c:v>9.5739999999999998</c:v>
                </c:pt>
                <c:pt idx="113">
                  <c:v>30.378</c:v>
                </c:pt>
                <c:pt idx="114">
                  <c:v>46.747</c:v>
                </c:pt>
                <c:pt idx="115">
                  <c:v>54.419000000000004</c:v>
                </c:pt>
                <c:pt idx="116">
                  <c:v>40.991</c:v>
                </c:pt>
                <c:pt idx="117">
                  <c:v>20.402999999999999</c:v>
                </c:pt>
                <c:pt idx="118">
                  <c:v>41.057000000000002</c:v>
                </c:pt>
                <c:pt idx="119">
                  <c:v>43.640999999999998</c:v>
                </c:pt>
                <c:pt idx="120">
                  <c:v>47.298000000000002</c:v>
                </c:pt>
                <c:pt idx="121">
                  <c:v>30.405000000000001</c:v>
                </c:pt>
                <c:pt idx="122">
                  <c:v>36.227000000000004</c:v>
                </c:pt>
                <c:pt idx="123">
                  <c:v>20.094999999999999</c:v>
                </c:pt>
                <c:pt idx="124">
                  <c:v>42.119</c:v>
                </c:pt>
                <c:pt idx="125">
                  <c:v>38.53</c:v>
                </c:pt>
                <c:pt idx="126">
                  <c:v>52.39</c:v>
                </c:pt>
                <c:pt idx="127">
                  <c:v>49.856999999999999</c:v>
                </c:pt>
                <c:pt idx="128">
                  <c:v>52.170999999999999</c:v>
                </c:pt>
                <c:pt idx="129">
                  <c:v>51.835999999999999</c:v>
                </c:pt>
                <c:pt idx="130">
                  <c:v>55.953000000000003</c:v>
                </c:pt>
                <c:pt idx="131">
                  <c:v>40.797000000000004</c:v>
                </c:pt>
                <c:pt idx="132">
                  <c:v>41.497</c:v>
                </c:pt>
                <c:pt idx="133">
                  <c:v>50.204999999999998</c:v>
                </c:pt>
                <c:pt idx="134">
                  <c:v>53.114000000000004</c:v>
                </c:pt>
                <c:pt idx="135">
                  <c:v>50.628</c:v>
                </c:pt>
                <c:pt idx="136">
                  <c:v>53.911999999999999</c:v>
                </c:pt>
                <c:pt idx="137">
                  <c:v>51.861000000000004</c:v>
                </c:pt>
                <c:pt idx="138">
                  <c:v>54.736000000000004</c:v>
                </c:pt>
                <c:pt idx="139">
                  <c:v>49.588000000000001</c:v>
                </c:pt>
                <c:pt idx="140">
                  <c:v>49.503999999999998</c:v>
                </c:pt>
                <c:pt idx="141">
                  <c:v>37.466000000000001</c:v>
                </c:pt>
                <c:pt idx="142">
                  <c:v>19.533000000000001</c:v>
                </c:pt>
                <c:pt idx="143">
                  <c:v>16.936</c:v>
                </c:pt>
                <c:pt idx="144">
                  <c:v>39.722000000000001</c:v>
                </c:pt>
                <c:pt idx="145">
                  <c:v>24.085000000000001</c:v>
                </c:pt>
                <c:pt idx="146">
                  <c:v>44.800000000000004</c:v>
                </c:pt>
                <c:pt idx="147">
                  <c:v>53.978999999999999</c:v>
                </c:pt>
                <c:pt idx="148">
                  <c:v>58.178000000000004</c:v>
                </c:pt>
                <c:pt idx="149">
                  <c:v>49.542000000000002</c:v>
                </c:pt>
                <c:pt idx="150">
                  <c:v>52.612000000000002</c:v>
                </c:pt>
                <c:pt idx="151">
                  <c:v>54.963999999999999</c:v>
                </c:pt>
                <c:pt idx="152">
                  <c:v>44.152999999999999</c:v>
                </c:pt>
                <c:pt idx="153">
                  <c:v>53.808</c:v>
                </c:pt>
                <c:pt idx="154">
                  <c:v>24.298000000000002</c:v>
                </c:pt>
                <c:pt idx="155">
                  <c:v>33.518000000000001</c:v>
                </c:pt>
                <c:pt idx="156">
                  <c:v>47.204999999999998</c:v>
                </c:pt>
                <c:pt idx="157">
                  <c:v>24.609000000000002</c:v>
                </c:pt>
                <c:pt idx="158">
                  <c:v>20.119</c:v>
                </c:pt>
                <c:pt idx="159">
                  <c:v>45.975000000000001</c:v>
                </c:pt>
                <c:pt idx="160">
                  <c:v>56.106000000000002</c:v>
                </c:pt>
                <c:pt idx="161">
                  <c:v>54.858000000000004</c:v>
                </c:pt>
                <c:pt idx="162">
                  <c:v>41.975000000000001</c:v>
                </c:pt>
                <c:pt idx="163">
                  <c:v>53.146999999999998</c:v>
                </c:pt>
                <c:pt idx="164">
                  <c:v>48.472000000000001</c:v>
                </c:pt>
                <c:pt idx="165">
                  <c:v>52.874000000000002</c:v>
                </c:pt>
                <c:pt idx="166">
                  <c:v>50.814</c:v>
                </c:pt>
                <c:pt idx="167">
                  <c:v>50.883000000000003</c:v>
                </c:pt>
                <c:pt idx="168">
                  <c:v>54.216000000000001</c:v>
                </c:pt>
                <c:pt idx="169">
                  <c:v>55.322000000000003</c:v>
                </c:pt>
                <c:pt idx="170">
                  <c:v>30.809000000000001</c:v>
                </c:pt>
                <c:pt idx="171">
                  <c:v>23.007999999999999</c:v>
                </c:pt>
                <c:pt idx="172">
                  <c:v>38.484000000000002</c:v>
                </c:pt>
                <c:pt idx="173">
                  <c:v>41.103000000000002</c:v>
                </c:pt>
                <c:pt idx="174">
                  <c:v>39.283000000000001</c:v>
                </c:pt>
                <c:pt idx="175">
                  <c:v>34.57</c:v>
                </c:pt>
                <c:pt idx="176">
                  <c:v>11.599</c:v>
                </c:pt>
                <c:pt idx="177">
                  <c:v>12.661</c:v>
                </c:pt>
                <c:pt idx="178">
                  <c:v>57.475999999999999</c:v>
                </c:pt>
                <c:pt idx="179">
                  <c:v>54.567</c:v>
                </c:pt>
                <c:pt idx="180">
                  <c:v>13.567</c:v>
                </c:pt>
                <c:pt idx="181">
                  <c:v>48.838999999999999</c:v>
                </c:pt>
                <c:pt idx="182">
                  <c:v>54.405000000000001</c:v>
                </c:pt>
                <c:pt idx="183">
                  <c:v>45.334000000000003</c:v>
                </c:pt>
                <c:pt idx="184">
                  <c:v>43.021000000000001</c:v>
                </c:pt>
                <c:pt idx="185">
                  <c:v>53.902000000000001</c:v>
                </c:pt>
                <c:pt idx="186">
                  <c:v>46.289000000000001</c:v>
                </c:pt>
                <c:pt idx="187">
                  <c:v>53.164000000000001</c:v>
                </c:pt>
                <c:pt idx="188">
                  <c:v>55.911000000000001</c:v>
                </c:pt>
                <c:pt idx="189">
                  <c:v>55.19</c:v>
                </c:pt>
                <c:pt idx="190">
                  <c:v>54.487000000000002</c:v>
                </c:pt>
                <c:pt idx="191">
                  <c:v>53.045000000000002</c:v>
                </c:pt>
                <c:pt idx="192">
                  <c:v>53.140999999999998</c:v>
                </c:pt>
                <c:pt idx="193">
                  <c:v>52.514000000000003</c:v>
                </c:pt>
                <c:pt idx="194">
                  <c:v>51.951999999999998</c:v>
                </c:pt>
                <c:pt idx="195">
                  <c:v>50.213999999999999</c:v>
                </c:pt>
                <c:pt idx="196">
                  <c:v>51.599000000000004</c:v>
                </c:pt>
                <c:pt idx="197">
                  <c:v>51.189</c:v>
                </c:pt>
                <c:pt idx="198">
                  <c:v>53.048999999999999</c:v>
                </c:pt>
                <c:pt idx="199">
                  <c:v>42.558999999999997</c:v>
                </c:pt>
                <c:pt idx="200">
                  <c:v>42.986000000000004</c:v>
                </c:pt>
                <c:pt idx="201">
                  <c:v>50.554000000000002</c:v>
                </c:pt>
                <c:pt idx="202">
                  <c:v>40.298999999999999</c:v>
                </c:pt>
                <c:pt idx="203">
                  <c:v>45.035000000000004</c:v>
                </c:pt>
                <c:pt idx="204">
                  <c:v>50.509</c:v>
                </c:pt>
                <c:pt idx="205">
                  <c:v>25.812000000000001</c:v>
                </c:pt>
                <c:pt idx="206">
                  <c:v>54.258000000000003</c:v>
                </c:pt>
                <c:pt idx="207">
                  <c:v>54.265999999999998</c:v>
                </c:pt>
                <c:pt idx="208">
                  <c:v>43.548999999999999</c:v>
                </c:pt>
                <c:pt idx="209">
                  <c:v>29.459</c:v>
                </c:pt>
                <c:pt idx="210">
                  <c:v>49.578000000000003</c:v>
                </c:pt>
                <c:pt idx="211">
                  <c:v>52.250999999999998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34.383000000000003</c:v>
                </c:pt>
                <c:pt idx="274">
                  <c:v>38.326999999999998</c:v>
                </c:pt>
                <c:pt idx="275">
                  <c:v>34.86</c:v>
                </c:pt>
                <c:pt idx="276">
                  <c:v>39.225000000000001</c:v>
                </c:pt>
                <c:pt idx="277">
                  <c:v>40.456000000000003</c:v>
                </c:pt>
                <c:pt idx="278">
                  <c:v>11.81</c:v>
                </c:pt>
                <c:pt idx="279">
                  <c:v>28.866</c:v>
                </c:pt>
                <c:pt idx="280">
                  <c:v>15.733000000000001</c:v>
                </c:pt>
                <c:pt idx="281">
                  <c:v>37.003</c:v>
                </c:pt>
                <c:pt idx="282">
                  <c:v>30.497</c:v>
                </c:pt>
                <c:pt idx="283">
                  <c:v>22.177</c:v>
                </c:pt>
                <c:pt idx="284">
                  <c:v>27.699000000000002</c:v>
                </c:pt>
                <c:pt idx="285">
                  <c:v>22.859000000000002</c:v>
                </c:pt>
                <c:pt idx="286">
                  <c:v>19.402999999999999</c:v>
                </c:pt>
                <c:pt idx="287">
                  <c:v>35.932000000000002</c:v>
                </c:pt>
                <c:pt idx="288">
                  <c:v>32.270000000000003</c:v>
                </c:pt>
                <c:pt idx="289">
                  <c:v>19.582000000000001</c:v>
                </c:pt>
                <c:pt idx="290">
                  <c:v>33.24</c:v>
                </c:pt>
                <c:pt idx="291">
                  <c:v>15.311</c:v>
                </c:pt>
                <c:pt idx="292">
                  <c:v>6.343</c:v>
                </c:pt>
                <c:pt idx="293">
                  <c:v>16.065000000000001</c:v>
                </c:pt>
                <c:pt idx="294">
                  <c:v>32.070999999999998</c:v>
                </c:pt>
                <c:pt idx="295">
                  <c:v>16.713000000000001</c:v>
                </c:pt>
                <c:pt idx="296">
                  <c:v>24.773</c:v>
                </c:pt>
                <c:pt idx="297">
                  <c:v>21.365000000000002</c:v>
                </c:pt>
                <c:pt idx="298">
                  <c:v>13.391999999999999</c:v>
                </c:pt>
                <c:pt idx="299">
                  <c:v>14.304</c:v>
                </c:pt>
                <c:pt idx="300">
                  <c:v>16.891000000000002</c:v>
                </c:pt>
                <c:pt idx="301">
                  <c:v>26.524000000000001</c:v>
                </c:pt>
                <c:pt idx="302">
                  <c:v>21.940999999999999</c:v>
                </c:pt>
                <c:pt idx="303">
                  <c:v>21.42</c:v>
                </c:pt>
                <c:pt idx="304">
                  <c:v>22.785</c:v>
                </c:pt>
                <c:pt idx="305">
                  <c:v>27.384</c:v>
                </c:pt>
                <c:pt idx="306">
                  <c:v>9.4030000000000005</c:v>
                </c:pt>
                <c:pt idx="307">
                  <c:v>16.491</c:v>
                </c:pt>
                <c:pt idx="308">
                  <c:v>28.716000000000001</c:v>
                </c:pt>
                <c:pt idx="309">
                  <c:v>29.584</c:v>
                </c:pt>
                <c:pt idx="310">
                  <c:v>27.34</c:v>
                </c:pt>
                <c:pt idx="311">
                  <c:v>20.584</c:v>
                </c:pt>
                <c:pt idx="312">
                  <c:v>9.625</c:v>
                </c:pt>
                <c:pt idx="313">
                  <c:v>19.988</c:v>
                </c:pt>
                <c:pt idx="314">
                  <c:v>27.071000000000002</c:v>
                </c:pt>
                <c:pt idx="315">
                  <c:v>27.116</c:v>
                </c:pt>
                <c:pt idx="316">
                  <c:v>26.193000000000001</c:v>
                </c:pt>
                <c:pt idx="317">
                  <c:v>9.2230000000000008</c:v>
                </c:pt>
                <c:pt idx="318">
                  <c:v>11.993</c:v>
                </c:pt>
                <c:pt idx="319">
                  <c:v>26.626000000000001</c:v>
                </c:pt>
                <c:pt idx="320">
                  <c:v>12.463000000000001</c:v>
                </c:pt>
                <c:pt idx="321">
                  <c:v>14.793000000000001</c:v>
                </c:pt>
                <c:pt idx="322">
                  <c:v>7.5760000000000005</c:v>
                </c:pt>
                <c:pt idx="323">
                  <c:v>15.141999999999999</c:v>
                </c:pt>
                <c:pt idx="324">
                  <c:v>3.2</c:v>
                </c:pt>
                <c:pt idx="325">
                  <c:v>7.9550000000000001</c:v>
                </c:pt>
                <c:pt idx="326">
                  <c:v>11.922000000000001</c:v>
                </c:pt>
                <c:pt idx="327">
                  <c:v>13.122</c:v>
                </c:pt>
                <c:pt idx="328">
                  <c:v>5.0810000000000004</c:v>
                </c:pt>
                <c:pt idx="329">
                  <c:v>10.185</c:v>
                </c:pt>
                <c:pt idx="330">
                  <c:v>14.488</c:v>
                </c:pt>
                <c:pt idx="331">
                  <c:v>10.502000000000001</c:v>
                </c:pt>
                <c:pt idx="332">
                  <c:v>14.612</c:v>
                </c:pt>
                <c:pt idx="333">
                  <c:v>4.0709999999999997</c:v>
                </c:pt>
                <c:pt idx="334">
                  <c:v>3.5030000000000001</c:v>
                </c:pt>
                <c:pt idx="335">
                  <c:v>5.8090000000000002</c:v>
                </c:pt>
                <c:pt idx="336">
                  <c:v>8.6769999999999996</c:v>
                </c:pt>
                <c:pt idx="337">
                  <c:v>17.228000000000002</c:v>
                </c:pt>
                <c:pt idx="338">
                  <c:v>23.449000000000002</c:v>
                </c:pt>
                <c:pt idx="339">
                  <c:v>10.86</c:v>
                </c:pt>
                <c:pt idx="340">
                  <c:v>19.705000000000002</c:v>
                </c:pt>
                <c:pt idx="341">
                  <c:v>4.0680000000000005</c:v>
                </c:pt>
                <c:pt idx="342">
                  <c:v>4.9219999999999997</c:v>
                </c:pt>
                <c:pt idx="343">
                  <c:v>11.586</c:v>
                </c:pt>
                <c:pt idx="344">
                  <c:v>16.186</c:v>
                </c:pt>
                <c:pt idx="345">
                  <c:v>5.6370000000000005</c:v>
                </c:pt>
                <c:pt idx="346">
                  <c:v>5.351</c:v>
                </c:pt>
                <c:pt idx="347">
                  <c:v>16.978999999999999</c:v>
                </c:pt>
                <c:pt idx="348">
                  <c:v>5.6319999999999997</c:v>
                </c:pt>
                <c:pt idx="349">
                  <c:v>4.7990000000000004</c:v>
                </c:pt>
                <c:pt idx="350">
                  <c:v>3.5070000000000001</c:v>
                </c:pt>
                <c:pt idx="351">
                  <c:v>21.059000000000001</c:v>
                </c:pt>
                <c:pt idx="352">
                  <c:v>17.042000000000002</c:v>
                </c:pt>
                <c:pt idx="353">
                  <c:v>4.4800000000000004</c:v>
                </c:pt>
                <c:pt idx="354">
                  <c:v>20.205000000000002</c:v>
                </c:pt>
                <c:pt idx="355">
                  <c:v>16.698</c:v>
                </c:pt>
                <c:pt idx="356">
                  <c:v>17.244</c:v>
                </c:pt>
                <c:pt idx="357">
                  <c:v>20.722999999999999</c:v>
                </c:pt>
                <c:pt idx="358">
                  <c:v>12.33</c:v>
                </c:pt>
                <c:pt idx="359">
                  <c:v>21.010999999999999</c:v>
                </c:pt>
                <c:pt idx="360">
                  <c:v>7.5720000000000001</c:v>
                </c:pt>
                <c:pt idx="361">
                  <c:v>20.182000000000002</c:v>
                </c:pt>
                <c:pt idx="362">
                  <c:v>9.9209999999999994</c:v>
                </c:pt>
                <c:pt idx="363">
                  <c:v>13.063000000000001</c:v>
                </c:pt>
                <c:pt idx="364">
                  <c:v>12.122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6656"/>
        <c:axId val="358956264"/>
      </c:lineChart>
      <c:dateAx>
        <c:axId val="35895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6264"/>
        <c:crosses val="autoZero"/>
        <c:auto val="1"/>
        <c:lblOffset val="100"/>
        <c:baseTimeUnit val="days"/>
        <c:majorUnit val="1"/>
        <c:majorTimeUnit val="months"/>
      </c:dateAx>
      <c:valAx>
        <c:axId val="3589562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66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23.989525785936827</c:v>
                </c:pt>
                <c:pt idx="1">
                  <c:v>24.158881186778128</c:v>
                </c:pt>
                <c:pt idx="2">
                  <c:v>24.335500752664974</c:v>
                </c:pt>
                <c:pt idx="3">
                  <c:v>24.518243093218643</c:v>
                </c:pt>
                <c:pt idx="4">
                  <c:v>24.705967153480461</c:v>
                </c:pt>
                <c:pt idx="5">
                  <c:v>24.897532224227344</c:v>
                </c:pt>
                <c:pt idx="6">
                  <c:v>25.091797935711043</c:v>
                </c:pt>
                <c:pt idx="7">
                  <c:v>25.287624266198915</c:v>
                </c:pt>
                <c:pt idx="8">
                  <c:v>25.487384825980314</c:v>
                </c:pt>
                <c:pt idx="9">
                  <c:v>25.694073349760902</c:v>
                </c:pt>
                <c:pt idx="10">
                  <c:v>25.90747155693823</c:v>
                </c:pt>
                <c:pt idx="11">
                  <c:v>26.127358747309721</c:v>
                </c:pt>
                <c:pt idx="12">
                  <c:v>26.353514262788909</c:v>
                </c:pt>
                <c:pt idx="13">
                  <c:v>26.585717498726808</c:v>
                </c:pt>
                <c:pt idx="14">
                  <c:v>26.823747898351602</c:v>
                </c:pt>
                <c:pt idx="15">
                  <c:v>27.067383210709242</c:v>
                </c:pt>
                <c:pt idx="16">
                  <c:v>27.31639662842597</c:v>
                </c:pt>
                <c:pt idx="17">
                  <c:v>27.570567760659756</c:v>
                </c:pt>
                <c:pt idx="18">
                  <c:v>27.829676281627748</c:v>
                </c:pt>
                <c:pt idx="19">
                  <c:v>28.09350189966419</c:v>
                </c:pt>
                <c:pt idx="20">
                  <c:v>28.36182438090599</c:v>
                </c:pt>
                <c:pt idx="21">
                  <c:v>28.634423587986486</c:v>
                </c:pt>
                <c:pt idx="22">
                  <c:v>28.913787017537409</c:v>
                </c:pt>
                <c:pt idx="23">
                  <c:v>29.201878254174076</c:v>
                </c:pt>
                <c:pt idx="24">
                  <c:v>29.497690665771973</c:v>
                </c:pt>
                <c:pt idx="25">
                  <c:v>29.800225425577857</c:v>
                </c:pt>
                <c:pt idx="26">
                  <c:v>30.108484053321781</c:v>
                </c:pt>
                <c:pt idx="27">
                  <c:v>30.421468404794535</c:v>
                </c:pt>
                <c:pt idx="28">
                  <c:v>30.73818068681846</c:v>
                </c:pt>
                <c:pt idx="29">
                  <c:v>31.057618230538139</c:v>
                </c:pt>
                <c:pt idx="30">
                  <c:v>31.378785681290307</c:v>
                </c:pt>
                <c:pt idx="31">
                  <c:v>31.700686290733479</c:v>
                </c:pt>
                <c:pt idx="32">
                  <c:v>32.02232365938179</c:v>
                </c:pt>
                <c:pt idx="33">
                  <c:v>32.34270174006506</c:v>
                </c:pt>
                <c:pt idx="34">
                  <c:v>32.660824837069917</c:v>
                </c:pt>
                <c:pt idx="35">
                  <c:v>32.975697607155951</c:v>
                </c:pt>
                <c:pt idx="36">
                  <c:v>33.288383288016369</c:v>
                </c:pt>
                <c:pt idx="37">
                  <c:v>33.600732480277969</c:v>
                </c:pt>
                <c:pt idx="38">
                  <c:v>33.912948930206909</c:v>
                </c:pt>
                <c:pt idx="39">
                  <c:v>34.225231977204118</c:v>
                </c:pt>
                <c:pt idx="40">
                  <c:v>34.537780909541482</c:v>
                </c:pt>
                <c:pt idx="41">
                  <c:v>34.850794962734994</c:v>
                </c:pt>
                <c:pt idx="42">
                  <c:v>35.16447331640741</c:v>
                </c:pt>
                <c:pt idx="43">
                  <c:v>35.479014771590855</c:v>
                </c:pt>
                <c:pt idx="44">
                  <c:v>35.794623602295218</c:v>
                </c:pt>
                <c:pt idx="45">
                  <c:v>36.111498797617884</c:v>
                </c:pt>
                <c:pt idx="46">
                  <c:v>36.429839277984293</c:v>
                </c:pt>
                <c:pt idx="47">
                  <c:v>36.749843892867602</c:v>
                </c:pt>
                <c:pt idx="48">
                  <c:v>37.071711415554155</c:v>
                </c:pt>
                <c:pt idx="49">
                  <c:v>37.39564053951338</c:v>
                </c:pt>
                <c:pt idx="50">
                  <c:v>37.721979089965672</c:v>
                </c:pt>
                <c:pt idx="51">
                  <c:v>38.050761815200843</c:v>
                </c:pt>
                <c:pt idx="52">
                  <c:v>38.381698886258583</c:v>
                </c:pt>
                <c:pt idx="53">
                  <c:v>38.714491561177283</c:v>
                </c:pt>
                <c:pt idx="54">
                  <c:v>39.048841145980568</c:v>
                </c:pt>
                <c:pt idx="55">
                  <c:v>39.384449008740958</c:v>
                </c:pt>
                <c:pt idx="56">
                  <c:v>39.721016574122928</c:v>
                </c:pt>
                <c:pt idx="57">
                  <c:v>40.058257083764801</c:v>
                </c:pt>
                <c:pt idx="58">
                  <c:v>40.395872473076942</c:v>
                </c:pt>
                <c:pt idx="59">
                  <c:v>40.733564366411649</c:v>
                </c:pt>
                <c:pt idx="60">
                  <c:v>41.071034435657431</c:v>
                </c:pt>
                <c:pt idx="61">
                  <c:v>41.407984397833069</c:v>
                </c:pt>
                <c:pt idx="62">
                  <c:v>41.744116013498015</c:v>
                </c:pt>
                <c:pt idx="63">
                  <c:v>42.079131085078679</c:v>
                </c:pt>
                <c:pt idx="64">
                  <c:v>42.413907244774258</c:v>
                </c:pt>
                <c:pt idx="65">
                  <c:v>42.749377241084588</c:v>
                </c:pt>
                <c:pt idx="66">
                  <c:v>43.085323035588694</c:v>
                </c:pt>
                <c:pt idx="67">
                  <c:v>43.421545281686313</c:v>
                </c:pt>
                <c:pt idx="68">
                  <c:v>43.75784463850988</c:v>
                </c:pt>
                <c:pt idx="69">
                  <c:v>44.09402177166762</c:v>
                </c:pt>
                <c:pt idx="70">
                  <c:v>44.42987735417708</c:v>
                </c:pt>
                <c:pt idx="71">
                  <c:v>44.765202661338151</c:v>
                </c:pt>
                <c:pt idx="72">
                  <c:v>45.099786361586936</c:v>
                </c:pt>
                <c:pt idx="73">
                  <c:v>45.433429054505019</c:v>
                </c:pt>
                <c:pt idx="74">
                  <c:v>45.765931342419911</c:v>
                </c:pt>
                <c:pt idx="75">
                  <c:v>46.097093831233117</c:v>
                </c:pt>
                <c:pt idx="76">
                  <c:v>46.426717133199325</c:v>
                </c:pt>
                <c:pt idx="77">
                  <c:v>46.754601867157049</c:v>
                </c:pt>
                <c:pt idx="78">
                  <c:v>47.083195282358588</c:v>
                </c:pt>
                <c:pt idx="79">
                  <c:v>47.414413768213208</c:v>
                </c:pt>
                <c:pt idx="80">
                  <c:v>47.747273808757647</c:v>
                </c:pt>
                <c:pt idx="81">
                  <c:v>48.080781317835019</c:v>
                </c:pt>
                <c:pt idx="82">
                  <c:v>48.413942494421214</c:v>
                </c:pt>
                <c:pt idx="83">
                  <c:v>48.745763825061886</c:v>
                </c:pt>
                <c:pt idx="84">
                  <c:v>49.075252091743621</c:v>
                </c:pt>
                <c:pt idx="85">
                  <c:v>49.401413693117888</c:v>
                </c:pt>
                <c:pt idx="86">
                  <c:v>49.723265705342477</c:v>
                </c:pt>
                <c:pt idx="87">
                  <c:v>50.039815917036073</c:v>
                </c:pt>
                <c:pt idx="88">
                  <c:v>50.350072450315707</c:v>
                </c:pt>
                <c:pt idx="89">
                  <c:v>50.653043764953971</c:v>
                </c:pt>
                <c:pt idx="90">
                  <c:v>50.94773867061803</c:v>
                </c:pt>
                <c:pt idx="91">
                  <c:v>51.233166339686328</c:v>
                </c:pt>
                <c:pt idx="92">
                  <c:v>51.51102932036779</c:v>
                </c:pt>
                <c:pt idx="93">
                  <c:v>51.783623345345177</c:v>
                </c:pt>
                <c:pt idx="94">
                  <c:v>52.050849837144973</c:v>
                </c:pt>
                <c:pt idx="95">
                  <c:v>52.312609546686893</c:v>
                </c:pt>
                <c:pt idx="96">
                  <c:v>52.568803283421325</c:v>
                </c:pt>
                <c:pt idx="97">
                  <c:v>52.819331925890133</c:v>
                </c:pt>
                <c:pt idx="98">
                  <c:v>53.064096417867368</c:v>
                </c:pt>
                <c:pt idx="99">
                  <c:v>53.302995048730658</c:v>
                </c:pt>
                <c:pt idx="100">
                  <c:v>53.535929604162618</c:v>
                </c:pt>
                <c:pt idx="101">
                  <c:v>53.762801242936582</c:v>
                </c:pt>
                <c:pt idx="102">
                  <c:v>53.983511209079346</c:v>
                </c:pt>
                <c:pt idx="103">
                  <c:v>54.19796083693619</c:v>
                </c:pt>
                <c:pt idx="104">
                  <c:v>54.406051557103211</c:v>
                </c:pt>
                <c:pt idx="105">
                  <c:v>54.607684901172547</c:v>
                </c:pt>
                <c:pt idx="106">
                  <c:v>54.802366508163679</c:v>
                </c:pt>
                <c:pt idx="107">
                  <c:v>54.989861447685932</c:v>
                </c:pt>
                <c:pt idx="108">
                  <c:v>55.17046860448702</c:v>
                </c:pt>
                <c:pt idx="109">
                  <c:v>55.344485816814974</c:v>
                </c:pt>
                <c:pt idx="110">
                  <c:v>58.56225573730476</c:v>
                </c:pt>
                <c:pt idx="111">
                  <c:v>58.732333678135042</c:v>
                </c:pt>
                <c:pt idx="112">
                  <c:v>58.896444797325096</c:v>
                </c:pt>
                <c:pt idx="113">
                  <c:v>59.054895679366311</c:v>
                </c:pt>
                <c:pt idx="114">
                  <c:v>59.208003734923196</c:v>
                </c:pt>
                <c:pt idx="115">
                  <c:v>59.356083172005022</c:v>
                </c:pt>
                <c:pt idx="116">
                  <c:v>59.499448047758008</c:v>
                </c:pt>
                <c:pt idx="117">
                  <c:v>59.638412271503306</c:v>
                </c:pt>
                <c:pt idx="118">
                  <c:v>59.773289605786999</c:v>
                </c:pt>
                <c:pt idx="119">
                  <c:v>59.904393666170179</c:v>
                </c:pt>
                <c:pt idx="120">
                  <c:v>60.031029881492138</c:v>
                </c:pt>
                <c:pt idx="121">
                  <c:v>60.15235490624562</c:v>
                </c:pt>
                <c:pt idx="122">
                  <c:v>60.268479484049955</c:v>
                </c:pt>
                <c:pt idx="123">
                  <c:v>60.379508833886625</c:v>
                </c:pt>
                <c:pt idx="124">
                  <c:v>60.485548124001163</c:v>
                </c:pt>
                <c:pt idx="125">
                  <c:v>60.586702475738747</c:v>
                </c:pt>
                <c:pt idx="126">
                  <c:v>60.683076961449714</c:v>
                </c:pt>
                <c:pt idx="127">
                  <c:v>60.774800058493078</c:v>
                </c:pt>
                <c:pt idx="128">
                  <c:v>60.861986328877748</c:v>
                </c:pt>
                <c:pt idx="129">
                  <c:v>60.94474157489983</c:v>
                </c:pt>
                <c:pt idx="130">
                  <c:v>61.023171591058883</c:v>
                </c:pt>
                <c:pt idx="131">
                  <c:v>61.097382176576403</c:v>
                </c:pt>
                <c:pt idx="132">
                  <c:v>61.167479125499</c:v>
                </c:pt>
                <c:pt idx="133">
                  <c:v>61.233568235217007</c:v>
                </c:pt>
                <c:pt idx="134">
                  <c:v>61.295043847534579</c:v>
                </c:pt>
                <c:pt idx="135">
                  <c:v>61.351410970906699</c:v>
                </c:pt>
                <c:pt idx="136">
                  <c:v>61.402892746891709</c:v>
                </c:pt>
                <c:pt idx="137">
                  <c:v>61.449701071738261</c:v>
                </c:pt>
                <c:pt idx="138">
                  <c:v>61.492047842232559</c:v>
                </c:pt>
                <c:pt idx="139">
                  <c:v>61.530144943081929</c:v>
                </c:pt>
                <c:pt idx="140">
                  <c:v>61.564204247131137</c:v>
                </c:pt>
                <c:pt idx="141">
                  <c:v>61.594428149203594</c:v>
                </c:pt>
                <c:pt idx="142">
                  <c:v>61.621001493363245</c:v>
                </c:pt>
                <c:pt idx="143">
                  <c:v>61.644135129001121</c:v>
                </c:pt>
                <c:pt idx="144">
                  <c:v>61.664039803032267</c:v>
                </c:pt>
                <c:pt idx="145">
                  <c:v>61.680926203922965</c:v>
                </c:pt>
                <c:pt idx="146">
                  <c:v>61.695004954746246</c:v>
                </c:pt>
                <c:pt idx="147">
                  <c:v>61.706486607481558</c:v>
                </c:pt>
                <c:pt idx="148">
                  <c:v>61.715287120195264</c:v>
                </c:pt>
                <c:pt idx="149">
                  <c:v>61.721089918905825</c:v>
                </c:pt>
                <c:pt idx="150">
                  <c:v>61.723745740677536</c:v>
                </c:pt>
                <c:pt idx="151">
                  <c:v>61.723151409505469</c:v>
                </c:pt>
                <c:pt idx="152">
                  <c:v>61.719203798289598</c:v>
                </c:pt>
                <c:pt idx="153">
                  <c:v>61.71179982803492</c:v>
                </c:pt>
                <c:pt idx="154">
                  <c:v>61.70083647111754</c:v>
                </c:pt>
                <c:pt idx="155">
                  <c:v>61.686206816438954</c:v>
                </c:pt>
                <c:pt idx="156">
                  <c:v>61.667818438766822</c:v>
                </c:pt>
                <c:pt idx="157">
                  <c:v>61.645568569498877</c:v>
                </c:pt>
                <c:pt idx="158">
                  <c:v>61.619354486753018</c:v>
                </c:pt>
                <c:pt idx="159">
                  <c:v>61.589073514679711</c:v>
                </c:pt>
                <c:pt idx="160">
                  <c:v>61.554623023545204</c:v>
                </c:pt>
                <c:pt idx="161">
                  <c:v>61.515900434901923</c:v>
                </c:pt>
                <c:pt idx="162">
                  <c:v>61.47216322699181</c:v>
                </c:pt>
                <c:pt idx="163">
                  <c:v>61.423015454147844</c:v>
                </c:pt>
                <c:pt idx="164">
                  <c:v>61.368901867381204</c:v>
                </c:pt>
                <c:pt idx="165">
                  <c:v>61.310239560470016</c:v>
                </c:pt>
                <c:pt idx="166">
                  <c:v>61.24744541529536</c:v>
                </c:pt>
                <c:pt idx="167">
                  <c:v>61.180936099544311</c:v>
                </c:pt>
                <c:pt idx="168">
                  <c:v>61.111128066696217</c:v>
                </c:pt>
                <c:pt idx="169">
                  <c:v>61.038437898220657</c:v>
                </c:pt>
                <c:pt idx="170">
                  <c:v>60.963286078310027</c:v>
                </c:pt>
                <c:pt idx="171">
                  <c:v>60.88608850559428</c:v>
                </c:pt>
                <c:pt idx="172">
                  <c:v>60.807260855553253</c:v>
                </c:pt>
                <c:pt idx="173">
                  <c:v>60.727218607391904</c:v>
                </c:pt>
                <c:pt idx="174">
                  <c:v>60.64637702174992</c:v>
                </c:pt>
                <c:pt idx="175">
                  <c:v>60.56515110800909</c:v>
                </c:pt>
                <c:pt idx="176">
                  <c:v>60.482919484255859</c:v>
                </c:pt>
                <c:pt idx="177">
                  <c:v>60.39878005923714</c:v>
                </c:pt>
                <c:pt idx="178">
                  <c:v>60.312733157405304</c:v>
                </c:pt>
                <c:pt idx="179">
                  <c:v>60.224779419598661</c:v>
                </c:pt>
                <c:pt idx="180">
                  <c:v>60.13491945586518</c:v>
                </c:pt>
                <c:pt idx="181">
                  <c:v>60.043153846390204</c:v>
                </c:pt>
                <c:pt idx="182">
                  <c:v>59.949483138756612</c:v>
                </c:pt>
                <c:pt idx="183">
                  <c:v>59.853876579849093</c:v>
                </c:pt>
                <c:pt idx="184">
                  <c:v>59.756333947151425</c:v>
                </c:pt>
                <c:pt idx="185">
                  <c:v>59.65685537777744</c:v>
                </c:pt>
                <c:pt idx="186">
                  <c:v>59.555441013264875</c:v>
                </c:pt>
                <c:pt idx="187">
                  <c:v>59.452090998138793</c:v>
                </c:pt>
                <c:pt idx="188">
                  <c:v>59.346805485007465</c:v>
                </c:pt>
                <c:pt idx="189">
                  <c:v>59.239584629317676</c:v>
                </c:pt>
                <c:pt idx="190">
                  <c:v>59.130204439451838</c:v>
                </c:pt>
                <c:pt idx="191">
                  <c:v>59.018497668854906</c:v>
                </c:pt>
                <c:pt idx="192">
                  <c:v>58.904572969353822</c:v>
                </c:pt>
                <c:pt idx="193">
                  <c:v>58.788534031107311</c:v>
                </c:pt>
                <c:pt idx="194">
                  <c:v>58.670484510270001</c:v>
                </c:pt>
                <c:pt idx="195">
                  <c:v>58.550528031435995</c:v>
                </c:pt>
                <c:pt idx="196">
                  <c:v>58.428768184913707</c:v>
                </c:pt>
                <c:pt idx="197">
                  <c:v>58.305370508192233</c:v>
                </c:pt>
                <c:pt idx="198">
                  <c:v>58.180471460220133</c:v>
                </c:pt>
                <c:pt idx="199">
                  <c:v>58.054175021075679</c:v>
                </c:pt>
                <c:pt idx="200">
                  <c:v>57.926585088711178</c:v>
                </c:pt>
                <c:pt idx="201">
                  <c:v>57.797805483290666</c:v>
                </c:pt>
                <c:pt idx="202">
                  <c:v>57.667939952264689</c:v>
                </c:pt>
                <c:pt idx="203">
                  <c:v>57.537092175602133</c:v>
                </c:pt>
                <c:pt idx="204">
                  <c:v>57.405107535481221</c:v>
                </c:pt>
                <c:pt idx="205">
                  <c:v>57.271799478241022</c:v>
                </c:pt>
                <c:pt idx="206">
                  <c:v>57.137181033099338</c:v>
                </c:pt>
                <c:pt idx="207">
                  <c:v>57.001252720398746</c:v>
                </c:pt>
                <c:pt idx="208">
                  <c:v>56.864015038353536</c:v>
                </c:pt>
                <c:pt idx="209">
                  <c:v>56.725468468010327</c:v>
                </c:pt>
                <c:pt idx="210">
                  <c:v>56.585613475732352</c:v>
                </c:pt>
                <c:pt idx="211">
                  <c:v>56.444432355881233</c:v>
                </c:pt>
                <c:pt idx="212">
                  <c:v>56.301862279348278</c:v>
                </c:pt>
                <c:pt idx="213">
                  <c:v>56.15790348184678</c:v>
                </c:pt>
                <c:pt idx="214">
                  <c:v>56.01255621621533</c:v>
                </c:pt>
                <c:pt idx="215">
                  <c:v>55.865820753000946</c:v>
                </c:pt>
                <c:pt idx="216">
                  <c:v>55.717697379132396</c:v>
                </c:pt>
                <c:pt idx="217">
                  <c:v>55.568186397835518</c:v>
                </c:pt>
                <c:pt idx="218">
                  <c:v>55.417511612883914</c:v>
                </c:pt>
                <c:pt idx="219">
                  <c:v>55.26581362637129</c:v>
                </c:pt>
                <c:pt idx="220">
                  <c:v>55.112952329012238</c:v>
                </c:pt>
                <c:pt idx="221">
                  <c:v>54.958824833010361</c:v>
                </c:pt>
                <c:pt idx="222">
                  <c:v>54.803328316803949</c:v>
                </c:pt>
                <c:pt idx="223">
                  <c:v>54.646360021584997</c:v>
                </c:pt>
                <c:pt idx="224">
                  <c:v>54.487817250508549</c:v>
                </c:pt>
                <c:pt idx="225">
                  <c:v>54.327587925571436</c:v>
                </c:pt>
                <c:pt idx="226">
                  <c:v>54.165587801472952</c:v>
                </c:pt>
                <c:pt idx="227">
                  <c:v>54.001714374344402</c:v>
                </c:pt>
                <c:pt idx="228">
                  <c:v>53.835865194358583</c:v>
                </c:pt>
                <c:pt idx="229">
                  <c:v>53.667937866198322</c:v>
                </c:pt>
                <c:pt idx="230">
                  <c:v>53.49783004840539</c:v>
                </c:pt>
                <c:pt idx="231">
                  <c:v>53.325439449380831</c:v>
                </c:pt>
                <c:pt idx="232">
                  <c:v>53.152706596855616</c:v>
                </c:pt>
                <c:pt idx="233">
                  <c:v>52.981085096966062</c:v>
                </c:pt>
                <c:pt idx="234">
                  <c:v>52.809765261152648</c:v>
                </c:pt>
                <c:pt idx="235">
                  <c:v>52.637923354212333</c:v>
                </c:pt>
                <c:pt idx="236">
                  <c:v>52.464735990178667</c:v>
                </c:pt>
                <c:pt idx="237">
                  <c:v>52.28938012975371</c:v>
                </c:pt>
                <c:pt idx="238">
                  <c:v>52.111033079366962</c:v>
                </c:pt>
                <c:pt idx="239">
                  <c:v>51.928870422286863</c:v>
                </c:pt>
                <c:pt idx="240">
                  <c:v>51.742079581361608</c:v>
                </c:pt>
                <c:pt idx="241">
                  <c:v>51.549838881830055</c:v>
                </c:pt>
                <c:pt idx="242">
                  <c:v>51.351326989053703</c:v>
                </c:pt>
                <c:pt idx="243">
                  <c:v>51.145722904096473</c:v>
                </c:pt>
                <c:pt idx="244">
                  <c:v>50.932205966408404</c:v>
                </c:pt>
                <c:pt idx="245">
                  <c:v>50.709955845388158</c:v>
                </c:pt>
                <c:pt idx="246">
                  <c:v>50.47931817071477</c:v>
                </c:pt>
                <c:pt idx="247">
                  <c:v>50.241459463340966</c:v>
                </c:pt>
                <c:pt idx="248">
                  <c:v>49.996798861809118</c:v>
                </c:pt>
                <c:pt idx="249">
                  <c:v>49.745749833468793</c:v>
                </c:pt>
                <c:pt idx="250">
                  <c:v>49.488725684024729</c:v>
                </c:pt>
                <c:pt idx="251">
                  <c:v>49.226139549066069</c:v>
                </c:pt>
                <c:pt idx="252">
                  <c:v>48.958404403640053</c:v>
                </c:pt>
                <c:pt idx="253">
                  <c:v>48.685931179852226</c:v>
                </c:pt>
                <c:pt idx="254">
                  <c:v>48.40913457428001</c:v>
                </c:pt>
                <c:pt idx="255">
                  <c:v>48.128427066003624</c:v>
                </c:pt>
                <c:pt idx="256">
                  <c:v>47.844220971476616</c:v>
                </c:pt>
                <c:pt idx="257">
                  <c:v>47.556928443990273</c:v>
                </c:pt>
                <c:pt idx="258">
                  <c:v>47.266961473864619</c:v>
                </c:pt>
                <c:pt idx="259">
                  <c:v>46.974731888651519</c:v>
                </c:pt>
                <c:pt idx="260">
                  <c:v>46.67784409024312</c:v>
                </c:pt>
                <c:pt idx="261">
                  <c:v>46.374148196974502</c:v>
                </c:pt>
                <c:pt idx="262">
                  <c:v>46.064469628178493</c:v>
                </c:pt>
                <c:pt idx="263">
                  <c:v>45.749631836381859</c:v>
                </c:pt>
                <c:pt idx="264">
                  <c:v>45.430457959660878</c:v>
                </c:pt>
                <c:pt idx="265">
                  <c:v>45.107770813997796</c:v>
                </c:pt>
                <c:pt idx="266">
                  <c:v>44.782392897919742</c:v>
                </c:pt>
                <c:pt idx="267">
                  <c:v>44.455124812446179</c:v>
                </c:pt>
                <c:pt idx="268">
                  <c:v>44.126790408549439</c:v>
                </c:pt>
                <c:pt idx="269">
                  <c:v>43.798211396829927</c:v>
                </c:pt>
                <c:pt idx="270">
                  <c:v>43.470209190226456</c:v>
                </c:pt>
                <c:pt idx="271">
                  <c:v>43.143604907292875</c:v>
                </c:pt>
                <c:pt idx="272">
                  <c:v>42.819219374350055</c:v>
                </c:pt>
                <c:pt idx="273">
                  <c:v>42.497873127889065</c:v>
                </c:pt>
                <c:pt idx="274">
                  <c:v>42.178335084650065</c:v>
                </c:pt>
                <c:pt idx="275">
                  <c:v>41.858870574523685</c:v>
                </c:pt>
                <c:pt idx="276">
                  <c:v>41.539507901165038</c:v>
                </c:pt>
                <c:pt idx="277">
                  <c:v>41.220246975095186</c:v>
                </c:pt>
                <c:pt idx="278">
                  <c:v>40.901087660879391</c:v>
                </c:pt>
                <c:pt idx="279">
                  <c:v>40.582029774063159</c:v>
                </c:pt>
                <c:pt idx="280">
                  <c:v>40.263073078276285</c:v>
                </c:pt>
                <c:pt idx="281">
                  <c:v>39.944254141060682</c:v>
                </c:pt>
                <c:pt idx="282">
                  <c:v>39.625592776351183</c:v>
                </c:pt>
                <c:pt idx="283">
                  <c:v>39.307087842660678</c:v>
                </c:pt>
                <c:pt idx="284">
                  <c:v>38.988738091054444</c:v>
                </c:pt>
                <c:pt idx="285">
                  <c:v>38.670542164037116</c:v>
                </c:pt>
                <c:pt idx="286">
                  <c:v>38.352498595223103</c:v>
                </c:pt>
                <c:pt idx="287">
                  <c:v>38.034605809851342</c:v>
                </c:pt>
                <c:pt idx="288">
                  <c:v>37.715974344932221</c:v>
                </c:pt>
                <c:pt idx="289">
                  <c:v>37.39597665314016</c:v>
                </c:pt>
                <c:pt idx="290">
                  <c:v>37.074980754009459</c:v>
                </c:pt>
                <c:pt idx="291">
                  <c:v>36.753395414991964</c:v>
                </c:pt>
                <c:pt idx="292">
                  <c:v>36.431629205565663</c:v>
                </c:pt>
                <c:pt idx="293">
                  <c:v>36.110090503546111</c:v>
                </c:pt>
                <c:pt idx="294">
                  <c:v>35.789187498398036</c:v>
                </c:pt>
                <c:pt idx="295">
                  <c:v>35.469311326756852</c:v>
                </c:pt>
                <c:pt idx="296">
                  <c:v>35.150835921844028</c:v>
                </c:pt>
                <c:pt idx="297">
                  <c:v>34.834169873060318</c:v>
                </c:pt>
                <c:pt idx="298">
                  <c:v>34.519721689272316</c:v>
                </c:pt>
                <c:pt idx="299">
                  <c:v>34.207899744286053</c:v>
                </c:pt>
                <c:pt idx="300">
                  <c:v>33.899112279878089</c:v>
                </c:pt>
                <c:pt idx="301">
                  <c:v>33.593767406493647</c:v>
                </c:pt>
                <c:pt idx="302">
                  <c:v>33.290363245869116</c:v>
                </c:pt>
                <c:pt idx="303">
                  <c:v>32.98739011418936</c:v>
                </c:pt>
                <c:pt idx="304">
                  <c:v>32.685267296372423</c:v>
                </c:pt>
                <c:pt idx="305">
                  <c:v>32.384403305928394</c:v>
                </c:pt>
                <c:pt idx="306">
                  <c:v>32.085206529259018</c:v>
                </c:pt>
                <c:pt idx="307">
                  <c:v>31.788085233732456</c:v>
                </c:pt>
                <c:pt idx="308">
                  <c:v>31.493447561472699</c:v>
                </c:pt>
                <c:pt idx="309">
                  <c:v>31.201693796903577</c:v>
                </c:pt>
                <c:pt idx="310">
                  <c:v>30.913247250380977</c:v>
                </c:pt>
                <c:pt idx="311">
                  <c:v>30.628515551361755</c:v>
                </c:pt>
                <c:pt idx="312">
                  <c:v>30.347906211945425</c:v>
                </c:pt>
                <c:pt idx="313">
                  <c:v>30.071826633511062</c:v>
                </c:pt>
                <c:pt idx="314">
                  <c:v>29.800684104425631</c:v>
                </c:pt>
                <c:pt idx="315">
                  <c:v>29.534885804968194</c:v>
                </c:pt>
                <c:pt idx="316">
                  <c:v>29.273595411105887</c:v>
                </c:pt>
                <c:pt idx="317">
                  <c:v>29.015770453406933</c:v>
                </c:pt>
                <c:pt idx="318">
                  <c:v>28.761519422862396</c:v>
                </c:pt>
                <c:pt idx="319">
                  <c:v>28.510943177535388</c:v>
                </c:pt>
                <c:pt idx="320">
                  <c:v>28.264142568015941</c:v>
                </c:pt>
                <c:pt idx="321">
                  <c:v>28.021218447500402</c:v>
                </c:pt>
                <c:pt idx="322">
                  <c:v>27.782271662608014</c:v>
                </c:pt>
                <c:pt idx="323">
                  <c:v>27.547414602396277</c:v>
                </c:pt>
                <c:pt idx="324">
                  <c:v>27.316754887084461</c:v>
                </c:pt>
                <c:pt idx="325">
                  <c:v>27.090393036054991</c:v>
                </c:pt>
                <c:pt idx="326">
                  <c:v>26.868429633862512</c:v>
                </c:pt>
                <c:pt idx="327">
                  <c:v>26.650965255065081</c:v>
                </c:pt>
                <c:pt idx="328">
                  <c:v>26.43810045334973</c:v>
                </c:pt>
                <c:pt idx="329">
                  <c:v>26.229935799802515</c:v>
                </c:pt>
                <c:pt idx="330">
                  <c:v>26.023220354727446</c:v>
                </c:pt>
                <c:pt idx="331">
                  <c:v>25.815598576286984</c:v>
                </c:pt>
                <c:pt idx="332">
                  <c:v>25.60850110544666</c:v>
                </c:pt>
                <c:pt idx="333">
                  <c:v>25.403356234451895</c:v>
                </c:pt>
                <c:pt idx="334">
                  <c:v>25.20159183851711</c:v>
                </c:pt>
                <c:pt idx="335">
                  <c:v>25.004635354862831</c:v>
                </c:pt>
                <c:pt idx="336">
                  <c:v>24.813913788196881</c:v>
                </c:pt>
                <c:pt idx="337">
                  <c:v>24.63084988868583</c:v>
                </c:pt>
                <c:pt idx="338">
                  <c:v>24.456859110899199</c:v>
                </c:pt>
                <c:pt idx="339">
                  <c:v>24.293367268803657</c:v>
                </c:pt>
                <c:pt idx="340">
                  <c:v>24.14179968671683</c:v>
                </c:pt>
                <c:pt idx="341">
                  <c:v>24.00358120351283</c:v>
                </c:pt>
                <c:pt idx="342">
                  <c:v>23.88013616276918</c:v>
                </c:pt>
                <c:pt idx="343">
                  <c:v>23.772888406969102</c:v>
                </c:pt>
                <c:pt idx="344">
                  <c:v>23.679157209366256</c:v>
                </c:pt>
                <c:pt idx="345">
                  <c:v>23.595476153742531</c:v>
                </c:pt>
                <c:pt idx="346">
                  <c:v>23.52208146678905</c:v>
                </c:pt>
                <c:pt idx="347">
                  <c:v>23.459217993296242</c:v>
                </c:pt>
                <c:pt idx="348">
                  <c:v>23.407130475222946</c:v>
                </c:pt>
                <c:pt idx="349">
                  <c:v>23.366063563222561</c:v>
                </c:pt>
                <c:pt idx="350">
                  <c:v>23.336261804195736</c:v>
                </c:pt>
                <c:pt idx="351">
                  <c:v>23.317970128738057</c:v>
                </c:pt>
                <c:pt idx="352">
                  <c:v>23.311436553695401</c:v>
                </c:pt>
                <c:pt idx="353">
                  <c:v>23.316905294871887</c:v>
                </c:pt>
                <c:pt idx="354">
                  <c:v>23.334620478298291</c:v>
                </c:pt>
                <c:pt idx="355">
                  <c:v>23.364826126352455</c:v>
                </c:pt>
                <c:pt idx="356">
                  <c:v>23.407766175592073</c:v>
                </c:pt>
                <c:pt idx="357">
                  <c:v>23.463684425528324</c:v>
                </c:pt>
                <c:pt idx="358">
                  <c:v>23.534919204472008</c:v>
                </c:pt>
                <c:pt idx="359">
                  <c:v>23.622868575673234</c:v>
                </c:pt>
                <c:pt idx="360">
                  <c:v>23.726362574812889</c:v>
                </c:pt>
                <c:pt idx="361">
                  <c:v>23.844234814288232</c:v>
                </c:pt>
                <c:pt idx="362">
                  <c:v>23.975319788306521</c:v>
                </c:pt>
                <c:pt idx="363">
                  <c:v>24.118452409868716</c:v>
                </c:pt>
                <c:pt idx="364">
                  <c:v>24.272467989997935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7.375</c:v>
                </c:pt>
                <c:pt idx="1">
                  <c:v>4.149</c:v>
                </c:pt>
                <c:pt idx="2">
                  <c:v>24.178000000000001</c:v>
                </c:pt>
                <c:pt idx="3">
                  <c:v>20.634</c:v>
                </c:pt>
                <c:pt idx="4">
                  <c:v>3.173</c:v>
                </c:pt>
                <c:pt idx="5">
                  <c:v>6.9020000000000001</c:v>
                </c:pt>
                <c:pt idx="6">
                  <c:v>13.885</c:v>
                </c:pt>
                <c:pt idx="7">
                  <c:v>18.895</c:v>
                </c:pt>
                <c:pt idx="8">
                  <c:v>6.1150000000000002</c:v>
                </c:pt>
                <c:pt idx="9">
                  <c:v>5.4080000000000004</c:v>
                </c:pt>
                <c:pt idx="10">
                  <c:v>5.1980000000000004</c:v>
                </c:pt>
                <c:pt idx="11">
                  <c:v>11.788</c:v>
                </c:pt>
                <c:pt idx="12">
                  <c:v>9.4710000000000001</c:v>
                </c:pt>
                <c:pt idx="13">
                  <c:v>11.904</c:v>
                </c:pt>
                <c:pt idx="14">
                  <c:v>18.346</c:v>
                </c:pt>
                <c:pt idx="15">
                  <c:v>17.856999999999999</c:v>
                </c:pt>
                <c:pt idx="16">
                  <c:v>8.2430000000000003</c:v>
                </c:pt>
                <c:pt idx="17">
                  <c:v>26.446000000000002</c:v>
                </c:pt>
                <c:pt idx="18">
                  <c:v>28.306000000000001</c:v>
                </c:pt>
                <c:pt idx="19">
                  <c:v>6.5120000000000005</c:v>
                </c:pt>
                <c:pt idx="20">
                  <c:v>12.609</c:v>
                </c:pt>
                <c:pt idx="21">
                  <c:v>6.01</c:v>
                </c:pt>
                <c:pt idx="22">
                  <c:v>7.8609999999999998</c:v>
                </c:pt>
                <c:pt idx="23">
                  <c:v>14.950000000000001</c:v>
                </c:pt>
                <c:pt idx="24">
                  <c:v>7.7990000000000004</c:v>
                </c:pt>
                <c:pt idx="25">
                  <c:v>18.222000000000001</c:v>
                </c:pt>
                <c:pt idx="26">
                  <c:v>5.64</c:v>
                </c:pt>
                <c:pt idx="27">
                  <c:v>17.189</c:v>
                </c:pt>
                <c:pt idx="28">
                  <c:v>14.926</c:v>
                </c:pt>
                <c:pt idx="29">
                  <c:v>8.6739999999999995</c:v>
                </c:pt>
                <c:pt idx="30">
                  <c:v>8.3119999999999994</c:v>
                </c:pt>
                <c:pt idx="31">
                  <c:v>7.59</c:v>
                </c:pt>
                <c:pt idx="32">
                  <c:v>27.341000000000001</c:v>
                </c:pt>
                <c:pt idx="33">
                  <c:v>21.579000000000001</c:v>
                </c:pt>
                <c:pt idx="34">
                  <c:v>15.777000000000001</c:v>
                </c:pt>
                <c:pt idx="35">
                  <c:v>13.525</c:v>
                </c:pt>
                <c:pt idx="36">
                  <c:v>9.7729999999999997</c:v>
                </c:pt>
                <c:pt idx="37">
                  <c:v>18.451000000000001</c:v>
                </c:pt>
                <c:pt idx="38">
                  <c:v>4.6349999999999998</c:v>
                </c:pt>
                <c:pt idx="39">
                  <c:v>12.448</c:v>
                </c:pt>
                <c:pt idx="40">
                  <c:v>14.445</c:v>
                </c:pt>
                <c:pt idx="41">
                  <c:v>28.396000000000001</c:v>
                </c:pt>
                <c:pt idx="42">
                  <c:v>5.2620000000000005</c:v>
                </c:pt>
                <c:pt idx="43">
                  <c:v>7.2910000000000004</c:v>
                </c:pt>
                <c:pt idx="44">
                  <c:v>33.611000000000004</c:v>
                </c:pt>
                <c:pt idx="45">
                  <c:v>32.603999999999999</c:v>
                </c:pt>
                <c:pt idx="46">
                  <c:v>29.586000000000002</c:v>
                </c:pt>
                <c:pt idx="47">
                  <c:v>33.11</c:v>
                </c:pt>
                <c:pt idx="48">
                  <c:v>14.417</c:v>
                </c:pt>
                <c:pt idx="49">
                  <c:v>35.652999999999999</c:v>
                </c:pt>
                <c:pt idx="50">
                  <c:v>29.635999999999999</c:v>
                </c:pt>
                <c:pt idx="51">
                  <c:v>13.153</c:v>
                </c:pt>
                <c:pt idx="52">
                  <c:v>8.3970000000000002</c:v>
                </c:pt>
                <c:pt idx="53">
                  <c:v>28.798999999999999</c:v>
                </c:pt>
                <c:pt idx="54">
                  <c:v>36.563000000000002</c:v>
                </c:pt>
                <c:pt idx="55">
                  <c:v>33.036000000000001</c:v>
                </c:pt>
                <c:pt idx="56">
                  <c:v>8.0909999999999993</c:v>
                </c:pt>
                <c:pt idx="57">
                  <c:v>38.503999999999998</c:v>
                </c:pt>
                <c:pt idx="58">
                  <c:v>31.478999999999999</c:v>
                </c:pt>
                <c:pt idx="59">
                  <c:v>35.913000000000004</c:v>
                </c:pt>
                <c:pt idx="60">
                  <c:v>16.882000000000001</c:v>
                </c:pt>
                <c:pt idx="61">
                  <c:v>14.919</c:v>
                </c:pt>
                <c:pt idx="62">
                  <c:v>28.033000000000001</c:v>
                </c:pt>
                <c:pt idx="63">
                  <c:v>34.116999999999997</c:v>
                </c:pt>
                <c:pt idx="64">
                  <c:v>10.725</c:v>
                </c:pt>
                <c:pt idx="65">
                  <c:v>10.541</c:v>
                </c:pt>
                <c:pt idx="66">
                  <c:v>23.202000000000002</c:v>
                </c:pt>
                <c:pt idx="67">
                  <c:v>40.719000000000001</c:v>
                </c:pt>
                <c:pt idx="68">
                  <c:v>40.215000000000003</c:v>
                </c:pt>
                <c:pt idx="69">
                  <c:v>31.580000000000002</c:v>
                </c:pt>
                <c:pt idx="70">
                  <c:v>30.57</c:v>
                </c:pt>
                <c:pt idx="71">
                  <c:v>38.521000000000001</c:v>
                </c:pt>
                <c:pt idx="72">
                  <c:v>25.875</c:v>
                </c:pt>
                <c:pt idx="73">
                  <c:v>18.036999999999999</c:v>
                </c:pt>
                <c:pt idx="74">
                  <c:v>30.634</c:v>
                </c:pt>
                <c:pt idx="75">
                  <c:v>25.091999999999999</c:v>
                </c:pt>
                <c:pt idx="76">
                  <c:v>22.963000000000001</c:v>
                </c:pt>
                <c:pt idx="77">
                  <c:v>9.016</c:v>
                </c:pt>
                <c:pt idx="78">
                  <c:v>43.27</c:v>
                </c:pt>
                <c:pt idx="79">
                  <c:v>39.664999999999999</c:v>
                </c:pt>
                <c:pt idx="80">
                  <c:v>37.989000000000004</c:v>
                </c:pt>
                <c:pt idx="81">
                  <c:v>47.634999999999998</c:v>
                </c:pt>
                <c:pt idx="82">
                  <c:v>46.719000000000001</c:v>
                </c:pt>
                <c:pt idx="83">
                  <c:v>33.268000000000001</c:v>
                </c:pt>
                <c:pt idx="84">
                  <c:v>38.213000000000001</c:v>
                </c:pt>
                <c:pt idx="85">
                  <c:v>43.256999999999998</c:v>
                </c:pt>
                <c:pt idx="86">
                  <c:v>47.786999999999999</c:v>
                </c:pt>
                <c:pt idx="87">
                  <c:v>50.268000000000001</c:v>
                </c:pt>
                <c:pt idx="88">
                  <c:v>46.975000000000001</c:v>
                </c:pt>
                <c:pt idx="89">
                  <c:v>45.486000000000004</c:v>
                </c:pt>
                <c:pt idx="90">
                  <c:v>46.548999999999999</c:v>
                </c:pt>
                <c:pt idx="91">
                  <c:v>42.253999999999998</c:v>
                </c:pt>
                <c:pt idx="92">
                  <c:v>49.268000000000001</c:v>
                </c:pt>
                <c:pt idx="93">
                  <c:v>49.407000000000004</c:v>
                </c:pt>
                <c:pt idx="94">
                  <c:v>47.556000000000004</c:v>
                </c:pt>
                <c:pt idx="95">
                  <c:v>31.48</c:v>
                </c:pt>
                <c:pt idx="96">
                  <c:v>52.012</c:v>
                </c:pt>
                <c:pt idx="97">
                  <c:v>51.492000000000004</c:v>
                </c:pt>
                <c:pt idx="98">
                  <c:v>31.905000000000001</c:v>
                </c:pt>
                <c:pt idx="99">
                  <c:v>33.112000000000002</c:v>
                </c:pt>
                <c:pt idx="100">
                  <c:v>8.1579999999999995</c:v>
                </c:pt>
                <c:pt idx="101">
                  <c:v>41.771999999999998</c:v>
                </c:pt>
                <c:pt idx="102">
                  <c:v>48.021000000000001</c:v>
                </c:pt>
                <c:pt idx="103">
                  <c:v>53.050000000000004</c:v>
                </c:pt>
                <c:pt idx="104">
                  <c:v>53.493000000000002</c:v>
                </c:pt>
                <c:pt idx="105">
                  <c:v>47.536999999999999</c:v>
                </c:pt>
                <c:pt idx="106">
                  <c:v>48.442999999999998</c:v>
                </c:pt>
                <c:pt idx="107">
                  <c:v>39.246000000000002</c:v>
                </c:pt>
                <c:pt idx="108">
                  <c:v>53.222999999999999</c:v>
                </c:pt>
                <c:pt idx="109">
                  <c:v>38.866999999999997</c:v>
                </c:pt>
                <c:pt idx="110">
                  <c:v>54.122</c:v>
                </c:pt>
                <c:pt idx="111">
                  <c:v>59.911000000000001</c:v>
                </c:pt>
                <c:pt idx="112">
                  <c:v>60.234999999999999</c:v>
                </c:pt>
                <c:pt idx="113">
                  <c:v>57.785000000000004</c:v>
                </c:pt>
                <c:pt idx="114">
                  <c:v>27.974</c:v>
                </c:pt>
                <c:pt idx="115">
                  <c:v>7.9630000000000001</c:v>
                </c:pt>
                <c:pt idx="116">
                  <c:v>20.779</c:v>
                </c:pt>
                <c:pt idx="117">
                  <c:v>18.234999999999999</c:v>
                </c:pt>
                <c:pt idx="118">
                  <c:v>27.175000000000001</c:v>
                </c:pt>
                <c:pt idx="119">
                  <c:v>16.522000000000002</c:v>
                </c:pt>
                <c:pt idx="120">
                  <c:v>19.568000000000001</c:v>
                </c:pt>
                <c:pt idx="121">
                  <c:v>49.381</c:v>
                </c:pt>
                <c:pt idx="122">
                  <c:v>58.762</c:v>
                </c:pt>
                <c:pt idx="123">
                  <c:v>52.176000000000002</c:v>
                </c:pt>
                <c:pt idx="124">
                  <c:v>35.033999999999999</c:v>
                </c:pt>
                <c:pt idx="125">
                  <c:v>36.173000000000002</c:v>
                </c:pt>
                <c:pt idx="126">
                  <c:v>27.507999999999999</c:v>
                </c:pt>
                <c:pt idx="127">
                  <c:v>58.951000000000001</c:v>
                </c:pt>
                <c:pt idx="128">
                  <c:v>21.608000000000001</c:v>
                </c:pt>
                <c:pt idx="129">
                  <c:v>43.303000000000004</c:v>
                </c:pt>
                <c:pt idx="130">
                  <c:v>36.262999999999998</c:v>
                </c:pt>
                <c:pt idx="131">
                  <c:v>43.480000000000004</c:v>
                </c:pt>
                <c:pt idx="132">
                  <c:v>47.378</c:v>
                </c:pt>
                <c:pt idx="133">
                  <c:v>44.363</c:v>
                </c:pt>
                <c:pt idx="134">
                  <c:v>21.309000000000001</c:v>
                </c:pt>
                <c:pt idx="135">
                  <c:v>13.769</c:v>
                </c:pt>
                <c:pt idx="136">
                  <c:v>57.335999999999999</c:v>
                </c:pt>
                <c:pt idx="137">
                  <c:v>36.573</c:v>
                </c:pt>
                <c:pt idx="138">
                  <c:v>44.811</c:v>
                </c:pt>
                <c:pt idx="139">
                  <c:v>60.862000000000002</c:v>
                </c:pt>
                <c:pt idx="140">
                  <c:v>39.972000000000001</c:v>
                </c:pt>
                <c:pt idx="141">
                  <c:v>30.442</c:v>
                </c:pt>
                <c:pt idx="142">
                  <c:v>39.006999999999998</c:v>
                </c:pt>
                <c:pt idx="143">
                  <c:v>29.599</c:v>
                </c:pt>
                <c:pt idx="144">
                  <c:v>50.2</c:v>
                </c:pt>
                <c:pt idx="145">
                  <c:v>54.006</c:v>
                </c:pt>
                <c:pt idx="146">
                  <c:v>60.13</c:v>
                </c:pt>
                <c:pt idx="147">
                  <c:v>54.009</c:v>
                </c:pt>
                <c:pt idx="148">
                  <c:v>36.794000000000004</c:v>
                </c:pt>
                <c:pt idx="149">
                  <c:v>54.913000000000004</c:v>
                </c:pt>
                <c:pt idx="150">
                  <c:v>59.878</c:v>
                </c:pt>
                <c:pt idx="151">
                  <c:v>38.319000000000003</c:v>
                </c:pt>
                <c:pt idx="152">
                  <c:v>48.304000000000002</c:v>
                </c:pt>
                <c:pt idx="153">
                  <c:v>54.484000000000002</c:v>
                </c:pt>
                <c:pt idx="154">
                  <c:v>8.5410000000000004</c:v>
                </c:pt>
                <c:pt idx="155">
                  <c:v>41.773000000000003</c:v>
                </c:pt>
                <c:pt idx="156">
                  <c:v>46.800000000000004</c:v>
                </c:pt>
                <c:pt idx="157">
                  <c:v>53.014000000000003</c:v>
                </c:pt>
                <c:pt idx="158">
                  <c:v>60.515999999999998</c:v>
                </c:pt>
                <c:pt idx="159">
                  <c:v>58.597999999999999</c:v>
                </c:pt>
                <c:pt idx="160">
                  <c:v>59.17</c:v>
                </c:pt>
                <c:pt idx="161">
                  <c:v>52.573999999999998</c:v>
                </c:pt>
                <c:pt idx="162">
                  <c:v>46.997999999999998</c:v>
                </c:pt>
                <c:pt idx="163">
                  <c:v>58.410000000000004</c:v>
                </c:pt>
                <c:pt idx="164">
                  <c:v>55.582000000000001</c:v>
                </c:pt>
                <c:pt idx="165">
                  <c:v>53.889000000000003</c:v>
                </c:pt>
                <c:pt idx="166">
                  <c:v>50.783000000000001</c:v>
                </c:pt>
                <c:pt idx="167">
                  <c:v>15.753</c:v>
                </c:pt>
                <c:pt idx="168">
                  <c:v>46.02</c:v>
                </c:pt>
                <c:pt idx="169">
                  <c:v>34.194000000000003</c:v>
                </c:pt>
                <c:pt idx="170">
                  <c:v>35.020000000000003</c:v>
                </c:pt>
                <c:pt idx="171">
                  <c:v>36.430999999999997</c:v>
                </c:pt>
                <c:pt idx="172">
                  <c:v>40.643999999999998</c:v>
                </c:pt>
                <c:pt idx="173">
                  <c:v>23.205000000000002</c:v>
                </c:pt>
                <c:pt idx="174">
                  <c:v>37.544000000000004</c:v>
                </c:pt>
                <c:pt idx="175">
                  <c:v>57.445999999999998</c:v>
                </c:pt>
                <c:pt idx="176">
                  <c:v>58.489000000000004</c:v>
                </c:pt>
                <c:pt idx="177">
                  <c:v>9.2089999999999996</c:v>
                </c:pt>
                <c:pt idx="178">
                  <c:v>36.768000000000001</c:v>
                </c:pt>
                <c:pt idx="179">
                  <c:v>42.7</c:v>
                </c:pt>
                <c:pt idx="180">
                  <c:v>49.454000000000001</c:v>
                </c:pt>
                <c:pt idx="181">
                  <c:v>54.103000000000002</c:v>
                </c:pt>
                <c:pt idx="182">
                  <c:v>54.433</c:v>
                </c:pt>
                <c:pt idx="183">
                  <c:v>34.125999999999998</c:v>
                </c:pt>
                <c:pt idx="184">
                  <c:v>37.585999999999999</c:v>
                </c:pt>
                <c:pt idx="185">
                  <c:v>58.768999999999998</c:v>
                </c:pt>
                <c:pt idx="186">
                  <c:v>21.312999999999999</c:v>
                </c:pt>
                <c:pt idx="187">
                  <c:v>42.344000000000001</c:v>
                </c:pt>
                <c:pt idx="188">
                  <c:v>49.887</c:v>
                </c:pt>
                <c:pt idx="189">
                  <c:v>58.228000000000002</c:v>
                </c:pt>
                <c:pt idx="190">
                  <c:v>53.105000000000004</c:v>
                </c:pt>
                <c:pt idx="191">
                  <c:v>53.292999999999999</c:v>
                </c:pt>
                <c:pt idx="192">
                  <c:v>13.843</c:v>
                </c:pt>
                <c:pt idx="193">
                  <c:v>25.238</c:v>
                </c:pt>
                <c:pt idx="194">
                  <c:v>28.137</c:v>
                </c:pt>
                <c:pt idx="195">
                  <c:v>36.529000000000003</c:v>
                </c:pt>
                <c:pt idx="196">
                  <c:v>41.581000000000003</c:v>
                </c:pt>
                <c:pt idx="197">
                  <c:v>57.947000000000003</c:v>
                </c:pt>
                <c:pt idx="198">
                  <c:v>52.209000000000003</c:v>
                </c:pt>
                <c:pt idx="199">
                  <c:v>57.319000000000003</c:v>
                </c:pt>
                <c:pt idx="200">
                  <c:v>48.777000000000001</c:v>
                </c:pt>
                <c:pt idx="201">
                  <c:v>43.472000000000001</c:v>
                </c:pt>
                <c:pt idx="202">
                  <c:v>53.465000000000003</c:v>
                </c:pt>
                <c:pt idx="203">
                  <c:v>45.417999999999999</c:v>
                </c:pt>
                <c:pt idx="204">
                  <c:v>29.144000000000002</c:v>
                </c:pt>
                <c:pt idx="205">
                  <c:v>37.225999999999999</c:v>
                </c:pt>
                <c:pt idx="206">
                  <c:v>32.491</c:v>
                </c:pt>
                <c:pt idx="207">
                  <c:v>48.600999999999999</c:v>
                </c:pt>
                <c:pt idx="208">
                  <c:v>24.85</c:v>
                </c:pt>
                <c:pt idx="209">
                  <c:v>53.957000000000001</c:v>
                </c:pt>
                <c:pt idx="210">
                  <c:v>18.815999999999999</c:v>
                </c:pt>
                <c:pt idx="211">
                  <c:v>13.038</c:v>
                </c:pt>
                <c:pt idx="212">
                  <c:v>45.890999999999998</c:v>
                </c:pt>
                <c:pt idx="213">
                  <c:v>49.125999999999998</c:v>
                </c:pt>
                <c:pt idx="214">
                  <c:v>38.658000000000001</c:v>
                </c:pt>
                <c:pt idx="215">
                  <c:v>33.75</c:v>
                </c:pt>
                <c:pt idx="216">
                  <c:v>48.259</c:v>
                </c:pt>
                <c:pt idx="217">
                  <c:v>20.518000000000001</c:v>
                </c:pt>
                <c:pt idx="218">
                  <c:v>24.888000000000002</c:v>
                </c:pt>
                <c:pt idx="219">
                  <c:v>39.097999999999999</c:v>
                </c:pt>
                <c:pt idx="220">
                  <c:v>53.727000000000004</c:v>
                </c:pt>
                <c:pt idx="221">
                  <c:v>50.920999999999999</c:v>
                </c:pt>
                <c:pt idx="222">
                  <c:v>49.878999999999998</c:v>
                </c:pt>
                <c:pt idx="223">
                  <c:v>47.673999999999999</c:v>
                </c:pt>
                <c:pt idx="224">
                  <c:v>31.435000000000002</c:v>
                </c:pt>
                <c:pt idx="225">
                  <c:v>48.795000000000002</c:v>
                </c:pt>
                <c:pt idx="226">
                  <c:v>21.795000000000002</c:v>
                </c:pt>
                <c:pt idx="227">
                  <c:v>32.655999999999999</c:v>
                </c:pt>
                <c:pt idx="228">
                  <c:v>42.919000000000004</c:v>
                </c:pt>
                <c:pt idx="229">
                  <c:v>51.000999999999998</c:v>
                </c:pt>
                <c:pt idx="230">
                  <c:v>44.399000000000001</c:v>
                </c:pt>
                <c:pt idx="231">
                  <c:v>51.236000000000004</c:v>
                </c:pt>
                <c:pt idx="232">
                  <c:v>48.850999999999999</c:v>
                </c:pt>
                <c:pt idx="233">
                  <c:v>20.587</c:v>
                </c:pt>
                <c:pt idx="234">
                  <c:v>48.989000000000004</c:v>
                </c:pt>
                <c:pt idx="235">
                  <c:v>47.713999999999999</c:v>
                </c:pt>
                <c:pt idx="236">
                  <c:v>47.963000000000001</c:v>
                </c:pt>
                <c:pt idx="237">
                  <c:v>50.416000000000004</c:v>
                </c:pt>
                <c:pt idx="238">
                  <c:v>44.46</c:v>
                </c:pt>
                <c:pt idx="239">
                  <c:v>52.206000000000003</c:v>
                </c:pt>
                <c:pt idx="240">
                  <c:v>51.611000000000004</c:v>
                </c:pt>
                <c:pt idx="241">
                  <c:v>50.487000000000002</c:v>
                </c:pt>
                <c:pt idx="242">
                  <c:v>49.892000000000003</c:v>
                </c:pt>
                <c:pt idx="243">
                  <c:v>37.541000000000004</c:v>
                </c:pt>
                <c:pt idx="244">
                  <c:v>18.975999999999999</c:v>
                </c:pt>
                <c:pt idx="245">
                  <c:v>34.167000000000002</c:v>
                </c:pt>
                <c:pt idx="246">
                  <c:v>40.707000000000001</c:v>
                </c:pt>
                <c:pt idx="247">
                  <c:v>44.81</c:v>
                </c:pt>
                <c:pt idx="248">
                  <c:v>47.823</c:v>
                </c:pt>
                <c:pt idx="249">
                  <c:v>37.727000000000004</c:v>
                </c:pt>
                <c:pt idx="250">
                  <c:v>29.749000000000002</c:v>
                </c:pt>
                <c:pt idx="251">
                  <c:v>17.992000000000001</c:v>
                </c:pt>
                <c:pt idx="252">
                  <c:v>39.883000000000003</c:v>
                </c:pt>
                <c:pt idx="253">
                  <c:v>40.31</c:v>
                </c:pt>
                <c:pt idx="254">
                  <c:v>45.69</c:v>
                </c:pt>
                <c:pt idx="255">
                  <c:v>34.042999999999999</c:v>
                </c:pt>
                <c:pt idx="256">
                  <c:v>19.488</c:v>
                </c:pt>
                <c:pt idx="257">
                  <c:v>31.548000000000002</c:v>
                </c:pt>
                <c:pt idx="258">
                  <c:v>20.187999999999999</c:v>
                </c:pt>
                <c:pt idx="259">
                  <c:v>43.997999999999998</c:v>
                </c:pt>
                <c:pt idx="260">
                  <c:v>9.1370000000000005</c:v>
                </c:pt>
                <c:pt idx="261">
                  <c:v>35.286999999999999</c:v>
                </c:pt>
                <c:pt idx="262">
                  <c:v>31.179000000000002</c:v>
                </c:pt>
                <c:pt idx="263">
                  <c:v>12.045999999999999</c:v>
                </c:pt>
                <c:pt idx="264">
                  <c:v>43.088999999999999</c:v>
                </c:pt>
                <c:pt idx="265">
                  <c:v>38.191000000000003</c:v>
                </c:pt>
                <c:pt idx="266">
                  <c:v>38.480000000000004</c:v>
                </c:pt>
                <c:pt idx="267">
                  <c:v>34.066000000000003</c:v>
                </c:pt>
                <c:pt idx="268">
                  <c:v>37.289000000000001</c:v>
                </c:pt>
                <c:pt idx="269">
                  <c:v>21.612000000000002</c:v>
                </c:pt>
                <c:pt idx="270">
                  <c:v>26.72</c:v>
                </c:pt>
                <c:pt idx="271">
                  <c:v>30.623000000000001</c:v>
                </c:pt>
                <c:pt idx="272">
                  <c:v>17.728000000000002</c:v>
                </c:pt>
                <c:pt idx="273">
                  <c:v>32.402999999999999</c:v>
                </c:pt>
                <c:pt idx="274">
                  <c:v>39.349000000000004</c:v>
                </c:pt>
                <c:pt idx="275">
                  <c:v>6.88</c:v>
                </c:pt>
                <c:pt idx="276">
                  <c:v>31.146000000000001</c:v>
                </c:pt>
                <c:pt idx="277">
                  <c:v>13.99</c:v>
                </c:pt>
                <c:pt idx="278">
                  <c:v>27.231000000000002</c:v>
                </c:pt>
                <c:pt idx="279">
                  <c:v>40.878999999999998</c:v>
                </c:pt>
                <c:pt idx="280">
                  <c:v>36.930999999999997</c:v>
                </c:pt>
                <c:pt idx="281">
                  <c:v>16.154</c:v>
                </c:pt>
                <c:pt idx="282">
                  <c:v>28.792000000000002</c:v>
                </c:pt>
                <c:pt idx="283">
                  <c:v>39.855000000000004</c:v>
                </c:pt>
                <c:pt idx="284">
                  <c:v>37.948999999999998</c:v>
                </c:pt>
                <c:pt idx="285">
                  <c:v>37.216000000000001</c:v>
                </c:pt>
                <c:pt idx="286">
                  <c:v>39.984999999999999</c:v>
                </c:pt>
                <c:pt idx="287">
                  <c:v>32.725000000000001</c:v>
                </c:pt>
                <c:pt idx="288">
                  <c:v>36.741999999999997</c:v>
                </c:pt>
                <c:pt idx="289">
                  <c:v>34.500999999999998</c:v>
                </c:pt>
                <c:pt idx="290">
                  <c:v>34.125999999999998</c:v>
                </c:pt>
                <c:pt idx="291">
                  <c:v>35.32</c:v>
                </c:pt>
                <c:pt idx="292">
                  <c:v>26.375</c:v>
                </c:pt>
                <c:pt idx="293">
                  <c:v>14.914</c:v>
                </c:pt>
                <c:pt idx="294">
                  <c:v>12.494</c:v>
                </c:pt>
                <c:pt idx="295">
                  <c:v>35.344000000000001</c:v>
                </c:pt>
                <c:pt idx="296">
                  <c:v>36.771000000000001</c:v>
                </c:pt>
                <c:pt idx="297">
                  <c:v>32.533000000000001</c:v>
                </c:pt>
                <c:pt idx="298">
                  <c:v>26.891999999999999</c:v>
                </c:pt>
                <c:pt idx="299">
                  <c:v>28.184000000000001</c:v>
                </c:pt>
                <c:pt idx="300">
                  <c:v>10.855</c:v>
                </c:pt>
                <c:pt idx="301">
                  <c:v>17.783000000000001</c:v>
                </c:pt>
                <c:pt idx="302">
                  <c:v>10.149000000000001</c:v>
                </c:pt>
                <c:pt idx="303">
                  <c:v>18.184999999999999</c:v>
                </c:pt>
                <c:pt idx="304">
                  <c:v>17.613</c:v>
                </c:pt>
                <c:pt idx="305">
                  <c:v>26.78</c:v>
                </c:pt>
                <c:pt idx="306">
                  <c:v>17.265000000000001</c:v>
                </c:pt>
                <c:pt idx="307">
                  <c:v>16.260000000000002</c:v>
                </c:pt>
                <c:pt idx="308">
                  <c:v>10.992000000000001</c:v>
                </c:pt>
                <c:pt idx="309">
                  <c:v>12.83</c:v>
                </c:pt>
                <c:pt idx="310">
                  <c:v>8.918000000000001</c:v>
                </c:pt>
                <c:pt idx="311">
                  <c:v>25.913</c:v>
                </c:pt>
                <c:pt idx="312">
                  <c:v>20.245000000000001</c:v>
                </c:pt>
                <c:pt idx="313">
                  <c:v>6.5309999999999997</c:v>
                </c:pt>
                <c:pt idx="314">
                  <c:v>11.916</c:v>
                </c:pt>
                <c:pt idx="315">
                  <c:v>7.8870000000000005</c:v>
                </c:pt>
                <c:pt idx="316">
                  <c:v>5.2750000000000004</c:v>
                </c:pt>
                <c:pt idx="317">
                  <c:v>6.2140000000000004</c:v>
                </c:pt>
                <c:pt idx="318">
                  <c:v>5.2620000000000005</c:v>
                </c:pt>
                <c:pt idx="319">
                  <c:v>9.4079999999999995</c:v>
                </c:pt>
                <c:pt idx="320">
                  <c:v>2.9540000000000002</c:v>
                </c:pt>
                <c:pt idx="321">
                  <c:v>17.597000000000001</c:v>
                </c:pt>
                <c:pt idx="322">
                  <c:v>27.172000000000001</c:v>
                </c:pt>
                <c:pt idx="323">
                  <c:v>21.995000000000001</c:v>
                </c:pt>
                <c:pt idx="324">
                  <c:v>9.3659999999999997</c:v>
                </c:pt>
                <c:pt idx="325">
                  <c:v>17.715</c:v>
                </c:pt>
                <c:pt idx="326">
                  <c:v>12.416</c:v>
                </c:pt>
                <c:pt idx="327">
                  <c:v>1.776</c:v>
                </c:pt>
                <c:pt idx="328">
                  <c:v>17.152999999999999</c:v>
                </c:pt>
                <c:pt idx="329">
                  <c:v>7.7640000000000002</c:v>
                </c:pt>
                <c:pt idx="330">
                  <c:v>15.606</c:v>
                </c:pt>
                <c:pt idx="331">
                  <c:v>7.1219999999999999</c:v>
                </c:pt>
                <c:pt idx="332">
                  <c:v>7.5890000000000004</c:v>
                </c:pt>
                <c:pt idx="333">
                  <c:v>20.339000000000002</c:v>
                </c:pt>
                <c:pt idx="334">
                  <c:v>4.3849999999999998</c:v>
                </c:pt>
                <c:pt idx="335">
                  <c:v>10.037000000000001</c:v>
                </c:pt>
                <c:pt idx="336">
                  <c:v>16.363</c:v>
                </c:pt>
                <c:pt idx="337">
                  <c:v>6.7149999999999999</c:v>
                </c:pt>
                <c:pt idx="338">
                  <c:v>9.6349999999999998</c:v>
                </c:pt>
                <c:pt idx="339">
                  <c:v>12.153</c:v>
                </c:pt>
                <c:pt idx="340">
                  <c:v>5.6930000000000005</c:v>
                </c:pt>
                <c:pt idx="341">
                  <c:v>10.023</c:v>
                </c:pt>
                <c:pt idx="342">
                  <c:v>8.3179999999999996</c:v>
                </c:pt>
                <c:pt idx="343">
                  <c:v>2.226</c:v>
                </c:pt>
                <c:pt idx="344">
                  <c:v>12.488</c:v>
                </c:pt>
                <c:pt idx="345">
                  <c:v>22.584</c:v>
                </c:pt>
                <c:pt idx="346">
                  <c:v>24.184000000000001</c:v>
                </c:pt>
                <c:pt idx="347">
                  <c:v>21.682000000000002</c:v>
                </c:pt>
                <c:pt idx="348">
                  <c:v>22.138999999999999</c:v>
                </c:pt>
                <c:pt idx="349">
                  <c:v>23.897000000000002</c:v>
                </c:pt>
                <c:pt idx="350">
                  <c:v>24.29</c:v>
                </c:pt>
                <c:pt idx="351">
                  <c:v>24.404</c:v>
                </c:pt>
                <c:pt idx="352">
                  <c:v>24.102</c:v>
                </c:pt>
                <c:pt idx="353">
                  <c:v>21.388999999999999</c:v>
                </c:pt>
                <c:pt idx="354">
                  <c:v>16.917000000000002</c:v>
                </c:pt>
                <c:pt idx="355">
                  <c:v>23.748000000000001</c:v>
                </c:pt>
                <c:pt idx="356">
                  <c:v>5.5720000000000001</c:v>
                </c:pt>
                <c:pt idx="357">
                  <c:v>13.202</c:v>
                </c:pt>
                <c:pt idx="358">
                  <c:v>9.92</c:v>
                </c:pt>
                <c:pt idx="359">
                  <c:v>11.27</c:v>
                </c:pt>
                <c:pt idx="360">
                  <c:v>10.483000000000001</c:v>
                </c:pt>
                <c:pt idx="361">
                  <c:v>5.6770000000000005</c:v>
                </c:pt>
                <c:pt idx="362">
                  <c:v>4.3220000000000001</c:v>
                </c:pt>
                <c:pt idx="363">
                  <c:v>16.513999999999999</c:v>
                </c:pt>
                <c:pt idx="364">
                  <c:v>24.153000000000002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5480"/>
        <c:axId val="358955088"/>
      </c:lineChart>
      <c:dateAx>
        <c:axId val="358955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5088"/>
        <c:crosses val="autoZero"/>
        <c:auto val="1"/>
        <c:lblOffset val="100"/>
        <c:baseTimeUnit val="days"/>
        <c:majorUnit val="1"/>
        <c:majorTimeUnit val="months"/>
      </c:dateAx>
      <c:valAx>
        <c:axId val="3589550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54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25.790555706445144</c:v>
                </c:pt>
                <c:pt idx="1">
                  <c:v>25.974722293422804</c:v>
                </c:pt>
                <c:pt idx="2">
                  <c:v>26.166725524604335</c:v>
                </c:pt>
                <c:pt idx="3">
                  <c:v>26.365339920236455</c:v>
                </c:pt>
                <c:pt idx="4">
                  <c:v>26.569339993726199</c:v>
                </c:pt>
                <c:pt idx="5">
                  <c:v>26.777500262172229</c:v>
                </c:pt>
                <c:pt idx="6">
                  <c:v>26.988595239014856</c:v>
                </c:pt>
                <c:pt idx="7">
                  <c:v>27.201399442481314</c:v>
                </c:pt>
                <c:pt idx="8">
                  <c:v>27.418466033259609</c:v>
                </c:pt>
                <c:pt idx="9">
                  <c:v>27.64300802704998</c:v>
                </c:pt>
                <c:pt idx="10">
                  <c:v>27.874789723192336</c:v>
                </c:pt>
                <c:pt idx="11">
                  <c:v>28.113575423057295</c:v>
                </c:pt>
                <c:pt idx="12">
                  <c:v>28.3591294227002</c:v>
                </c:pt>
                <c:pt idx="13">
                  <c:v>28.611216023136379</c:v>
                </c:pt>
                <c:pt idx="14">
                  <c:v>28.869599522256298</c:v>
                </c:pt>
                <c:pt idx="15">
                  <c:v>29.134044218269811</c:v>
                </c:pt>
                <c:pt idx="16">
                  <c:v>29.40431440920678</c:v>
                </c:pt>
                <c:pt idx="17">
                  <c:v>29.680174391732379</c:v>
                </c:pt>
                <c:pt idx="18">
                  <c:v>29.961388467002607</c:v>
                </c:pt>
                <c:pt idx="19">
                  <c:v>30.247720932248061</c:v>
                </c:pt>
                <c:pt idx="20">
                  <c:v>30.538936084397072</c:v>
                </c:pt>
                <c:pt idx="21">
                  <c:v>30.834798224558732</c:v>
                </c:pt>
                <c:pt idx="22">
                  <c:v>31.13798707073801</c:v>
                </c:pt>
                <c:pt idx="23">
                  <c:v>31.450623733021573</c:v>
                </c:pt>
                <c:pt idx="24">
                  <c:v>31.771634593699215</c:v>
                </c:pt>
                <c:pt idx="25">
                  <c:v>32.099946035079711</c:v>
                </c:pt>
                <c:pt idx="26">
                  <c:v>32.434484445605264</c:v>
                </c:pt>
                <c:pt idx="27">
                  <c:v>32.774176206185722</c:v>
                </c:pt>
                <c:pt idx="28">
                  <c:v>33.117947704053087</c:v>
                </c:pt>
                <c:pt idx="29">
                  <c:v>33.464725316810338</c:v>
                </c:pt>
                <c:pt idx="30">
                  <c:v>33.813435429173083</c:v>
                </c:pt>
                <c:pt idx="31">
                  <c:v>34.163004426482452</c:v>
                </c:pt>
                <c:pt idx="32">
                  <c:v>34.512358691754777</c:v>
                </c:pt>
                <c:pt idx="33">
                  <c:v>34.860424608648287</c:v>
                </c:pt>
                <c:pt idx="34">
                  <c:v>35.206128560185384</c:v>
                </c:pt>
                <c:pt idx="35">
                  <c:v>35.548396929935649</c:v>
                </c:pt>
                <c:pt idx="36">
                  <c:v>35.888374905724554</c:v>
                </c:pt>
                <c:pt idx="37">
                  <c:v>36.228066553318783</c:v>
                </c:pt>
                <c:pt idx="38">
                  <c:v>36.567686593452486</c:v>
                </c:pt>
                <c:pt idx="39">
                  <c:v>36.90744971275862</c:v>
                </c:pt>
                <c:pt idx="40">
                  <c:v>37.247570660933306</c:v>
                </c:pt>
                <c:pt idx="41">
                  <c:v>37.588264155637333</c:v>
                </c:pt>
                <c:pt idx="42">
                  <c:v>37.929744913756231</c:v>
                </c:pt>
                <c:pt idx="43">
                  <c:v>38.272227677766665</c:v>
                </c:pt>
                <c:pt idx="44">
                  <c:v>38.615927181468955</c:v>
                </c:pt>
                <c:pt idx="45">
                  <c:v>38.961058147134736</c:v>
                </c:pt>
                <c:pt idx="46">
                  <c:v>39.307835296567035</c:v>
                </c:pt>
                <c:pt idx="47">
                  <c:v>39.656473352544729</c:v>
                </c:pt>
                <c:pt idx="48">
                  <c:v>40.007187037240179</c:v>
                </c:pt>
                <c:pt idx="49">
                  <c:v>40.36019107249966</c:v>
                </c:pt>
                <c:pt idx="50">
                  <c:v>40.715861222981431</c:v>
                </c:pt>
                <c:pt idx="51">
                  <c:v>41.074215444350791</c:v>
                </c:pt>
                <c:pt idx="52">
                  <c:v>41.434931690728263</c:v>
                </c:pt>
                <c:pt idx="53">
                  <c:v>41.797687891596084</c:v>
                </c:pt>
                <c:pt idx="54">
                  <c:v>42.162161977476771</c:v>
                </c:pt>
                <c:pt idx="55">
                  <c:v>42.528031880762917</c:v>
                </c:pt>
                <c:pt idx="56">
                  <c:v>42.894975534358565</c:v>
                </c:pt>
                <c:pt idx="57">
                  <c:v>43.26267083860251</c:v>
                </c:pt>
                <c:pt idx="58">
                  <c:v>43.630795672573271</c:v>
                </c:pt>
                <c:pt idx="59">
                  <c:v>43.999027961281286</c:v>
                </c:pt>
                <c:pt idx="60">
                  <c:v>44.367045630721535</c:v>
                </c:pt>
                <c:pt idx="61">
                  <c:v>44.73452660771359</c:v>
                </c:pt>
                <c:pt idx="62">
                  <c:v>45.101148820119576</c:v>
                </c:pt>
                <c:pt idx="63">
                  <c:v>45.466590196437657</c:v>
                </c:pt>
                <c:pt idx="64">
                  <c:v>45.831799110832513</c:v>
                </c:pt>
                <c:pt idx="65">
                  <c:v>46.197795439487862</c:v>
                </c:pt>
                <c:pt idx="66">
                  <c:v>46.564364339948476</c:v>
                </c:pt>
                <c:pt idx="67">
                  <c:v>46.931291078682072</c:v>
                </c:pt>
                <c:pt idx="68">
                  <c:v>47.29836092093764</c:v>
                </c:pt>
                <c:pt idx="69">
                  <c:v>47.665359130908747</c:v>
                </c:pt>
                <c:pt idx="70">
                  <c:v>48.032070971683275</c:v>
                </c:pt>
                <c:pt idx="71">
                  <c:v>48.398281706637633</c:v>
                </c:pt>
                <c:pt idx="72">
                  <c:v>48.763776663131296</c:v>
                </c:pt>
                <c:pt idx="73">
                  <c:v>49.12834110941521</c:v>
                </c:pt>
                <c:pt idx="74">
                  <c:v>49.491760312871762</c:v>
                </c:pt>
                <c:pt idx="75">
                  <c:v>49.853819539403062</c:v>
                </c:pt>
                <c:pt idx="76">
                  <c:v>50.214304054656971</c:v>
                </c:pt>
                <c:pt idx="77">
                  <c:v>50.572999122239189</c:v>
                </c:pt>
                <c:pt idx="78">
                  <c:v>50.932552980481525</c:v>
                </c:pt>
                <c:pt idx="79">
                  <c:v>51.295041266562691</c:v>
                </c:pt>
                <c:pt idx="80">
                  <c:v>51.659390489482469</c:v>
                </c:pt>
                <c:pt idx="81">
                  <c:v>52.024527033700366</c:v>
                </c:pt>
                <c:pt idx="82">
                  <c:v>52.389377285084464</c:v>
                </c:pt>
                <c:pt idx="83">
                  <c:v>52.75286762797181</c:v>
                </c:pt>
                <c:pt idx="84">
                  <c:v>53.113924447563818</c:v>
                </c:pt>
                <c:pt idx="85">
                  <c:v>53.471474123353502</c:v>
                </c:pt>
                <c:pt idx="86">
                  <c:v>53.824443035490368</c:v>
                </c:pt>
                <c:pt idx="87">
                  <c:v>54.171757567590127</c:v>
                </c:pt>
                <c:pt idx="88">
                  <c:v>54.512344104882288</c:v>
                </c:pt>
                <c:pt idx="89">
                  <c:v>54.845129029319708</c:v>
                </c:pt>
                <c:pt idx="90">
                  <c:v>55.169038722976133</c:v>
                </c:pt>
                <c:pt idx="91">
                  <c:v>55.482999571629605</c:v>
                </c:pt>
                <c:pt idx="92">
                  <c:v>55.788854611195845</c:v>
                </c:pt>
                <c:pt idx="93">
                  <c:v>56.089091030754638</c:v>
                </c:pt>
                <c:pt idx="94">
                  <c:v>56.383601471579112</c:v>
                </c:pt>
                <c:pt idx="95">
                  <c:v>56.672278568668418</c:v>
                </c:pt>
                <c:pt idx="96">
                  <c:v>56.955014954419504</c:v>
                </c:pt>
                <c:pt idx="97">
                  <c:v>57.231703265151232</c:v>
                </c:pt>
                <c:pt idx="98">
                  <c:v>57.502236131981043</c:v>
                </c:pt>
                <c:pt idx="99">
                  <c:v>57.766506117828975</c:v>
                </c:pt>
                <c:pt idx="100">
                  <c:v>58.024405857255537</c:v>
                </c:pt>
                <c:pt idx="101">
                  <c:v>58.275827974985575</c:v>
                </c:pt>
                <c:pt idx="102">
                  <c:v>58.520665093793049</c:v>
                </c:pt>
                <c:pt idx="103">
                  <c:v>58.758809834799031</c:v>
                </c:pt>
                <c:pt idx="104">
                  <c:v>58.990154818617981</c:v>
                </c:pt>
                <c:pt idx="105">
                  <c:v>59.214592665117578</c:v>
                </c:pt>
                <c:pt idx="106">
                  <c:v>59.431586546393277</c:v>
                </c:pt>
                <c:pt idx="107">
                  <c:v>59.640885765804001</c:v>
                </c:pt>
                <c:pt idx="108">
                  <c:v>59.842812396119335</c:v>
                </c:pt>
                <c:pt idx="109">
                  <c:v>60.037688476835037</c:v>
                </c:pt>
                <c:pt idx="110">
                  <c:v>60.225836044700834</c:v>
                </c:pt>
                <c:pt idx="111">
                  <c:v>60.40757713461155</c:v>
                </c:pt>
                <c:pt idx="112">
                  <c:v>60.583233773791143</c:v>
                </c:pt>
                <c:pt idx="113">
                  <c:v>60.75312767061147</c:v>
                </c:pt>
                <c:pt idx="114">
                  <c:v>60.917580937268994</c:v>
                </c:pt>
                <c:pt idx="115">
                  <c:v>61.076915564491763</c:v>
                </c:pt>
                <c:pt idx="116">
                  <c:v>61.231453534999098</c:v>
                </c:pt>
                <c:pt idx="117">
                  <c:v>61.381516825227337</c:v>
                </c:pt>
                <c:pt idx="118">
                  <c:v>61.527427404932183</c:v>
                </c:pt>
                <c:pt idx="119">
                  <c:v>61.66950723541558</c:v>
                </c:pt>
                <c:pt idx="120">
                  <c:v>61.807040439990701</c:v>
                </c:pt>
                <c:pt idx="121">
                  <c:v>61.939167593297817</c:v>
                </c:pt>
                <c:pt idx="122">
                  <c:v>62.065996162025513</c:v>
                </c:pt>
                <c:pt idx="123">
                  <c:v>62.187633334591823</c:v>
                </c:pt>
                <c:pt idx="124">
                  <c:v>62.304186289264699</c:v>
                </c:pt>
                <c:pt idx="125">
                  <c:v>62.415762195822587</c:v>
                </c:pt>
                <c:pt idx="126">
                  <c:v>62.522468211026684</c:v>
                </c:pt>
                <c:pt idx="127">
                  <c:v>62.624413074823657</c:v>
                </c:pt>
                <c:pt idx="128">
                  <c:v>62.721704708265619</c:v>
                </c:pt>
                <c:pt idx="129">
                  <c:v>62.814450516060397</c:v>
                </c:pt>
                <c:pt idx="130">
                  <c:v>62.902757905254973</c:v>
                </c:pt>
                <c:pt idx="131">
                  <c:v>62.986734297522929</c:v>
                </c:pt>
                <c:pt idx="132">
                  <c:v>63.066487118504511</c:v>
                </c:pt>
                <c:pt idx="133">
                  <c:v>63.142123806290236</c:v>
                </c:pt>
                <c:pt idx="134">
                  <c:v>63.213018166347695</c:v>
                </c:pt>
                <c:pt idx="135">
                  <c:v>63.27861846628187</c:v>
                </c:pt>
                <c:pt idx="136">
                  <c:v>63.339140587850416</c:v>
                </c:pt>
                <c:pt idx="137">
                  <c:v>63.394799799729959</c:v>
                </c:pt>
                <c:pt idx="138">
                  <c:v>63.445811408482193</c:v>
                </c:pt>
                <c:pt idx="139">
                  <c:v>63.492390750769076</c:v>
                </c:pt>
                <c:pt idx="140">
                  <c:v>63.534753199261012</c:v>
                </c:pt>
                <c:pt idx="141">
                  <c:v>63.57311299331456</c:v>
                </c:pt>
                <c:pt idx="142">
                  <c:v>63.607682662108409</c:v>
                </c:pt>
                <c:pt idx="143">
                  <c:v>63.638677255859925</c:v>
                </c:pt>
                <c:pt idx="144">
                  <c:v>63.666311831305556</c:v>
                </c:pt>
                <c:pt idx="145">
                  <c:v>63.690801457866371</c:v>
                </c:pt>
                <c:pt idx="146">
                  <c:v>63.712361214887437</c:v>
                </c:pt>
                <c:pt idx="147">
                  <c:v>63.731206190366208</c:v>
                </c:pt>
                <c:pt idx="148">
                  <c:v>63.747247291317009</c:v>
                </c:pt>
                <c:pt idx="149">
                  <c:v>63.760178178325205</c:v>
                </c:pt>
                <c:pt idx="150">
                  <c:v>63.769886806187834</c:v>
                </c:pt>
                <c:pt idx="151">
                  <c:v>63.776265503335381</c:v>
                </c:pt>
                <c:pt idx="152">
                  <c:v>63.779206583947804</c:v>
                </c:pt>
                <c:pt idx="153">
                  <c:v>63.778602347313715</c:v>
                </c:pt>
                <c:pt idx="154">
                  <c:v>63.774345081538996</c:v>
                </c:pt>
                <c:pt idx="155">
                  <c:v>63.766326717780004</c:v>
                </c:pt>
                <c:pt idx="156">
                  <c:v>63.754441357553176</c:v>
                </c:pt>
                <c:pt idx="157">
                  <c:v>63.738581380763449</c:v>
                </c:pt>
                <c:pt idx="158">
                  <c:v>63.718639160108019</c:v>
                </c:pt>
                <c:pt idx="159">
                  <c:v>63.688889721036141</c:v>
                </c:pt>
                <c:pt idx="160">
                  <c:v>63.654846871343167</c:v>
                </c:pt>
                <c:pt idx="161">
                  <c:v>63.616404303827352</c:v>
                </c:pt>
                <c:pt idx="162">
                  <c:v>63.572793921411112</c:v>
                </c:pt>
                <c:pt idx="163">
                  <c:v>63.523605710839014</c:v>
                </c:pt>
                <c:pt idx="164">
                  <c:v>63.46927410082094</c:v>
                </c:pt>
                <c:pt idx="165">
                  <c:v>63.410229818974315</c:v>
                </c:pt>
                <c:pt idx="166">
                  <c:v>63.346903447293158</c:v>
                </c:pt>
                <c:pt idx="167">
                  <c:v>63.279725420168653</c:v>
                </c:pt>
                <c:pt idx="168">
                  <c:v>63.209126024570978</c:v>
                </c:pt>
                <c:pt idx="169">
                  <c:v>63.135535499177358</c:v>
                </c:pt>
                <c:pt idx="170">
                  <c:v>63.059384325769393</c:v>
                </c:pt>
                <c:pt idx="171">
                  <c:v>62.981102373574757</c:v>
                </c:pt>
                <c:pt idx="172">
                  <c:v>62.901119357615926</c:v>
                </c:pt>
                <c:pt idx="173">
                  <c:v>62.819864840697207</c:v>
                </c:pt>
                <c:pt idx="174">
                  <c:v>62.737768232870998</c:v>
                </c:pt>
                <c:pt idx="175">
                  <c:v>62.655258782462106</c:v>
                </c:pt>
                <c:pt idx="176">
                  <c:v>62.571693669798606</c:v>
                </c:pt>
                <c:pt idx="177">
                  <c:v>62.486143917931912</c:v>
                </c:pt>
                <c:pt idx="178">
                  <c:v>62.398610107679545</c:v>
                </c:pt>
                <c:pt idx="179">
                  <c:v>62.309092924175218</c:v>
                </c:pt>
                <c:pt idx="180">
                  <c:v>62.217593045240498</c:v>
                </c:pt>
                <c:pt idx="181">
                  <c:v>62.124111141027186</c:v>
                </c:pt>
                <c:pt idx="182">
                  <c:v>62.028647869755005</c:v>
                </c:pt>
                <c:pt idx="183">
                  <c:v>61.931198522001985</c:v>
                </c:pt>
                <c:pt idx="184">
                  <c:v>61.83176339968027</c:v>
                </c:pt>
                <c:pt idx="185">
                  <c:v>61.730342930933659</c:v>
                </c:pt>
                <c:pt idx="186">
                  <c:v>61.626937543740709</c:v>
                </c:pt>
                <c:pt idx="187">
                  <c:v>61.521547663794365</c:v>
                </c:pt>
                <c:pt idx="188">
                  <c:v>61.414173719180276</c:v>
                </c:pt>
                <c:pt idx="189">
                  <c:v>61.304816134391466</c:v>
                </c:pt>
                <c:pt idx="190">
                  <c:v>61.193243374334948</c:v>
                </c:pt>
                <c:pt idx="191">
                  <c:v>61.079291853832252</c:v>
                </c:pt>
                <c:pt idx="192">
                  <c:v>60.963069714649009</c:v>
                </c:pt>
                <c:pt idx="193">
                  <c:v>60.844684413381273</c:v>
                </c:pt>
                <c:pt idx="194">
                  <c:v>60.724243373268472</c:v>
                </c:pt>
                <c:pt idx="195">
                  <c:v>60.601853986467091</c:v>
                </c:pt>
                <c:pt idx="196">
                  <c:v>60.477623610978696</c:v>
                </c:pt>
                <c:pt idx="197">
                  <c:v>60.351670982172514</c:v>
                </c:pt>
                <c:pt idx="198">
                  <c:v>60.224109855639476</c:v>
                </c:pt>
                <c:pt idx="199">
                  <c:v>60.09504786042902</c:v>
                </c:pt>
                <c:pt idx="200">
                  <c:v>59.964592568653295</c:v>
                </c:pt>
                <c:pt idx="201">
                  <c:v>59.832851496139313</c:v>
                </c:pt>
                <c:pt idx="202">
                  <c:v>59.699932104013307</c:v>
                </c:pt>
                <c:pt idx="203">
                  <c:v>59.56594180064328</c:v>
                </c:pt>
                <c:pt idx="204">
                  <c:v>59.430720622515274</c:v>
                </c:pt>
                <c:pt idx="205">
                  <c:v>59.294046330725699</c:v>
                </c:pt>
                <c:pt idx="206">
                  <c:v>59.155923460847212</c:v>
                </c:pt>
                <c:pt idx="207">
                  <c:v>59.016352697054444</c:v>
                </c:pt>
                <c:pt idx="208">
                  <c:v>58.875334698117648</c:v>
                </c:pt>
                <c:pt idx="209">
                  <c:v>58.732870100412249</c:v>
                </c:pt>
                <c:pt idx="210">
                  <c:v>58.588959518767702</c:v>
                </c:pt>
                <c:pt idx="211">
                  <c:v>58.443600508345611</c:v>
                </c:pt>
                <c:pt idx="212">
                  <c:v>58.296781195542088</c:v>
                </c:pt>
                <c:pt idx="213">
                  <c:v>58.148501956779235</c:v>
                </c:pt>
                <c:pt idx="214">
                  <c:v>57.99876316585221</c:v>
                </c:pt>
                <c:pt idx="215">
                  <c:v>57.847565195382103</c:v>
                </c:pt>
                <c:pt idx="216">
                  <c:v>57.694908416409667</c:v>
                </c:pt>
                <c:pt idx="217">
                  <c:v>57.540793199375891</c:v>
                </c:pt>
                <c:pt idx="218">
                  <c:v>57.385451314513247</c:v>
                </c:pt>
                <c:pt idx="219">
                  <c:v>57.229039853687475</c:v>
                </c:pt>
                <c:pt idx="220">
                  <c:v>57.071442759772872</c:v>
                </c:pt>
                <c:pt idx="221">
                  <c:v>56.912553449409863</c:v>
                </c:pt>
                <c:pt idx="222">
                  <c:v>56.752265386299257</c:v>
                </c:pt>
                <c:pt idx="223">
                  <c:v>56.590472078704948</c:v>
                </c:pt>
                <c:pt idx="224">
                  <c:v>56.427067079661072</c:v>
                </c:pt>
                <c:pt idx="225">
                  <c:v>56.2619417349663</c:v>
                </c:pt>
                <c:pt idx="226">
                  <c:v>56.09499285552247</c:v>
                </c:pt>
                <c:pt idx="227">
                  <c:v>55.92611413424013</c:v>
                </c:pt>
                <c:pt idx="228">
                  <c:v>55.755199305925977</c:v>
                </c:pt>
                <c:pt idx="229">
                  <c:v>55.5821421483626</c:v>
                </c:pt>
                <c:pt idx="230">
                  <c:v>55.406836482145359</c:v>
                </c:pt>
                <c:pt idx="231">
                  <c:v>55.229176166967271</c:v>
                </c:pt>
                <c:pt idx="232">
                  <c:v>55.051170792320029</c:v>
                </c:pt>
                <c:pt idx="233">
                  <c:v>54.874330129597716</c:v>
                </c:pt>
                <c:pt idx="234">
                  <c:v>54.697804138787255</c:v>
                </c:pt>
                <c:pt idx="235">
                  <c:v>54.520739574126374</c:v>
                </c:pt>
                <c:pt idx="236">
                  <c:v>54.342283483524724</c:v>
                </c:pt>
                <c:pt idx="237">
                  <c:v>54.161583205839293</c:v>
                </c:pt>
                <c:pt idx="238">
                  <c:v>53.977786370996043</c:v>
                </c:pt>
                <c:pt idx="239">
                  <c:v>53.790040460368473</c:v>
                </c:pt>
                <c:pt idx="240">
                  <c:v>53.597495984092987</c:v>
                </c:pt>
                <c:pt idx="241">
                  <c:v>53.399301443059031</c:v>
                </c:pt>
                <c:pt idx="242">
                  <c:v>53.194605626202474</c:v>
                </c:pt>
                <c:pt idx="243">
                  <c:v>52.982557606426823</c:v>
                </c:pt>
                <c:pt idx="244">
                  <c:v>52.762306743903132</c:v>
                </c:pt>
                <c:pt idx="245">
                  <c:v>52.533002677881292</c:v>
                </c:pt>
                <c:pt idx="246">
                  <c:v>52.295002881650682</c:v>
                </c:pt>
                <c:pt idx="247">
                  <c:v>52.049516783065528</c:v>
                </c:pt>
                <c:pt idx="248">
                  <c:v>51.796973810785715</c:v>
                </c:pt>
                <c:pt idx="249">
                  <c:v>51.537801855323615</c:v>
                </c:pt>
                <c:pt idx="250">
                  <c:v>51.272428669636284</c:v>
                </c:pt>
                <c:pt idx="251">
                  <c:v>51.001281860036364</c:v>
                </c:pt>
                <c:pt idx="252">
                  <c:v>50.724788895832255</c:v>
                </c:pt>
                <c:pt idx="253">
                  <c:v>50.443376941960388</c:v>
                </c:pt>
                <c:pt idx="254">
                  <c:v>50.157473623959476</c:v>
                </c:pt>
                <c:pt idx="255">
                  <c:v>49.867505984449856</c:v>
                </c:pt>
                <c:pt idx="256">
                  <c:v>49.573900926084114</c:v>
                </c:pt>
                <c:pt idx="257">
                  <c:v>49.277085210961857</c:v>
                </c:pt>
                <c:pt idx="258">
                  <c:v>48.977485460852421</c:v>
                </c:pt>
                <c:pt idx="259">
                  <c:v>48.675528157485296</c:v>
                </c:pt>
                <c:pt idx="260">
                  <c:v>48.368730701913421</c:v>
                </c:pt>
                <c:pt idx="261">
                  <c:v>48.054895212105137</c:v>
                </c:pt>
                <c:pt idx="262">
                  <c:v>47.734874959043061</c:v>
                </c:pt>
                <c:pt idx="263">
                  <c:v>47.409522700185441</c:v>
                </c:pt>
                <c:pt idx="264">
                  <c:v>47.079690912953886</c:v>
                </c:pt>
                <c:pt idx="265">
                  <c:v>46.746231790711342</c:v>
                </c:pt>
                <c:pt idx="266">
                  <c:v>46.409997243983774</c:v>
                </c:pt>
                <c:pt idx="267">
                  <c:v>46.071832878075092</c:v>
                </c:pt>
                <c:pt idx="268">
                  <c:v>45.732590229694026</c:v>
                </c:pt>
                <c:pt idx="269">
                  <c:v>45.393120403943584</c:v>
                </c:pt>
                <c:pt idx="270">
                  <c:v>45.054274229386643</c:v>
                </c:pt>
                <c:pt idx="271">
                  <c:v>44.716902259655626</c:v>
                </c:pt>
                <c:pt idx="272">
                  <c:v>44.381854773952021</c:v>
                </c:pt>
                <c:pt idx="273">
                  <c:v>44.049981777880397</c:v>
                </c:pt>
                <c:pt idx="274">
                  <c:v>43.720006910701784</c:v>
                </c:pt>
                <c:pt idx="275">
                  <c:v>43.39008333800664</c:v>
                </c:pt>
                <c:pt idx="276">
                  <c:v>43.060210994355266</c:v>
                </c:pt>
                <c:pt idx="277">
                  <c:v>42.730389939857716</c:v>
                </c:pt>
                <c:pt idx="278">
                  <c:v>42.400620229413491</c:v>
                </c:pt>
                <c:pt idx="279">
                  <c:v>42.070901911886367</c:v>
                </c:pt>
                <c:pt idx="280">
                  <c:v>41.74123502926426</c:v>
                </c:pt>
                <c:pt idx="281">
                  <c:v>41.411629169383389</c:v>
                </c:pt>
                <c:pt idx="282">
                  <c:v>41.082090027052665</c:v>
                </c:pt>
                <c:pt idx="283">
                  <c:v>40.75261743234735</c:v>
                </c:pt>
                <c:pt idx="284">
                  <c:v>40.423211191888669</c:v>
                </c:pt>
                <c:pt idx="285">
                  <c:v>40.093871088226585</c:v>
                </c:pt>
                <c:pt idx="286">
                  <c:v>39.7645968793557</c:v>
                </c:pt>
                <c:pt idx="287">
                  <c:v>39.435388298396134</c:v>
                </c:pt>
                <c:pt idx="288">
                  <c:v>39.105324750027293</c:v>
                </c:pt>
                <c:pt idx="289">
                  <c:v>38.773774522398973</c:v>
                </c:pt>
                <c:pt idx="290">
                  <c:v>38.441165967137444</c:v>
                </c:pt>
                <c:pt idx="291">
                  <c:v>38.107923484670742</c:v>
                </c:pt>
                <c:pt idx="292">
                  <c:v>37.774471314303518</c:v>
                </c:pt>
                <c:pt idx="293">
                  <c:v>37.441233537644578</c:v>
                </c:pt>
                <c:pt idx="294">
                  <c:v>37.108634078734106</c:v>
                </c:pt>
                <c:pt idx="295">
                  <c:v>36.777092545183407</c:v>
                </c:pt>
                <c:pt idx="296">
                  <c:v>36.447023745104282</c:v>
                </c:pt>
                <c:pt idx="297">
                  <c:v>36.118851383327133</c:v>
                </c:pt>
                <c:pt idx="298">
                  <c:v>35.792999038353067</c:v>
                </c:pt>
                <c:pt idx="299">
                  <c:v>35.46989015404661</c:v>
                </c:pt>
                <c:pt idx="300">
                  <c:v>35.149948042171019</c:v>
                </c:pt>
                <c:pt idx="301">
                  <c:v>34.833595882735963</c:v>
                </c:pt>
                <c:pt idx="302">
                  <c:v>34.519276613477523</c:v>
                </c:pt>
                <c:pt idx="303">
                  <c:v>34.205430808107408</c:v>
                </c:pt>
                <c:pt idx="304">
                  <c:v>33.892477196709791</c:v>
                </c:pt>
                <c:pt idx="305">
                  <c:v>33.580839489378242</c:v>
                </c:pt>
                <c:pt idx="306">
                  <c:v>33.270941271873554</c:v>
                </c:pt>
                <c:pt idx="307">
                  <c:v>32.963206013435901</c:v>
                </c:pt>
                <c:pt idx="308">
                  <c:v>32.658057059967135</c:v>
                </c:pt>
                <c:pt idx="309">
                  <c:v>32.355915954019714</c:v>
                </c:pt>
                <c:pt idx="310">
                  <c:v>32.057209609577527</c:v>
                </c:pt>
                <c:pt idx="311">
                  <c:v>31.76236098415837</c:v>
                </c:pt>
                <c:pt idx="312">
                  <c:v>31.471792918485431</c:v>
                </c:pt>
                <c:pt idx="313">
                  <c:v>31.185928143244656</c:v>
                </c:pt>
                <c:pt idx="314">
                  <c:v>30.905189276741524</c:v>
                </c:pt>
                <c:pt idx="315">
                  <c:v>30.629998830189667</c:v>
                </c:pt>
                <c:pt idx="316">
                  <c:v>30.35948990270531</c:v>
                </c:pt>
                <c:pt idx="317">
                  <c:v>30.092582859740062</c:v>
                </c:pt>
                <c:pt idx="318">
                  <c:v>29.829385183891642</c:v>
                </c:pt>
                <c:pt idx="319">
                  <c:v>29.57000175757268</c:v>
                </c:pt>
                <c:pt idx="320">
                  <c:v>29.314537444041033</c:v>
                </c:pt>
                <c:pt idx="321">
                  <c:v>29.063097097656506</c:v>
                </c:pt>
                <c:pt idx="322">
                  <c:v>28.815785554237578</c:v>
                </c:pt>
                <c:pt idx="323">
                  <c:v>28.572710539065792</c:v>
                </c:pt>
                <c:pt idx="324">
                  <c:v>28.333978336161177</c:v>
                </c:pt>
                <c:pt idx="325">
                  <c:v>28.099693668972314</c:v>
                </c:pt>
                <c:pt idx="326">
                  <c:v>27.86996126005554</c:v>
                </c:pt>
                <c:pt idx="327">
                  <c:v>27.644885818222537</c:v>
                </c:pt>
                <c:pt idx="328">
                  <c:v>27.424572036840338</c:v>
                </c:pt>
                <c:pt idx="329">
                  <c:v>27.209124601231203</c:v>
                </c:pt>
                <c:pt idx="330">
                  <c:v>26.995172385593619</c:v>
                </c:pt>
                <c:pt idx="331">
                  <c:v>26.780264908455514</c:v>
                </c:pt>
                <c:pt idx="332">
                  <c:v>26.565885112269257</c:v>
                </c:pt>
                <c:pt idx="333">
                  <c:v>26.353514523850425</c:v>
                </c:pt>
                <c:pt idx="334">
                  <c:v>26.144634268514608</c:v>
                </c:pt>
                <c:pt idx="335">
                  <c:v>25.940725052333526</c:v>
                </c:pt>
                <c:pt idx="336">
                  <c:v>25.743267172069153</c:v>
                </c:pt>
                <c:pt idx="337">
                  <c:v>25.553739755729808</c:v>
                </c:pt>
                <c:pt idx="338">
                  <c:v>25.373619580606526</c:v>
                </c:pt>
                <c:pt idx="339">
                  <c:v>25.204385729728326</c:v>
                </c:pt>
                <c:pt idx="340">
                  <c:v>25.047516849979242</c:v>
                </c:pt>
                <c:pt idx="341">
                  <c:v>24.904491160648064</c:v>
                </c:pt>
                <c:pt idx="342">
                  <c:v>24.776786447230222</c:v>
                </c:pt>
                <c:pt idx="343">
                  <c:v>24.665880059235565</c:v>
                </c:pt>
                <c:pt idx="344">
                  <c:v>24.568991863197891</c:v>
                </c:pt>
                <c:pt idx="345">
                  <c:v>24.482526575679049</c:v>
                </c:pt>
                <c:pt idx="346">
                  <c:v>24.406736207713156</c:v>
                </c:pt>
                <c:pt idx="347">
                  <c:v>24.341874949947012</c:v>
                </c:pt>
                <c:pt idx="348">
                  <c:v>24.288196909921499</c:v>
                </c:pt>
                <c:pt idx="349">
                  <c:v>24.245956125106964</c:v>
                </c:pt>
                <c:pt idx="350">
                  <c:v>24.215406550960445</c:v>
                </c:pt>
                <c:pt idx="351">
                  <c:v>24.196801943505953</c:v>
                </c:pt>
                <c:pt idx="352">
                  <c:v>24.190396833176859</c:v>
                </c:pt>
                <c:pt idx="353">
                  <c:v>24.196444927433912</c:v>
                </c:pt>
                <c:pt idx="354">
                  <c:v>24.215199866162774</c:v>
                </c:pt>
                <c:pt idx="355">
                  <c:v>24.246915207957102</c:v>
                </c:pt>
                <c:pt idx="356">
                  <c:v>24.291844439895339</c:v>
                </c:pt>
                <c:pt idx="357">
                  <c:v>24.350240942647112</c:v>
                </c:pt>
                <c:pt idx="358">
                  <c:v>24.424531170198858</c:v>
                </c:pt>
                <c:pt idx="359">
                  <c:v>24.516166202993151</c:v>
                </c:pt>
                <c:pt idx="360">
                  <c:v>24.623935869362995</c:v>
                </c:pt>
                <c:pt idx="361">
                  <c:v>24.746631197370533</c:v>
                </c:pt>
                <c:pt idx="362">
                  <c:v>24.883043445793689</c:v>
                </c:pt>
                <c:pt idx="363">
                  <c:v>25.031964242593006</c:v>
                </c:pt>
                <c:pt idx="364">
                  <c:v>25.192185562744832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05">
                  <c:v>22.574000000000002</c:v>
                </c:pt>
                <c:pt idx="206">
                  <c:v>56.448</c:v>
                </c:pt>
                <c:pt idx="207">
                  <c:v>50.113</c:v>
                </c:pt>
                <c:pt idx="208">
                  <c:v>26.641999999999999</c:v>
                </c:pt>
                <c:pt idx="209">
                  <c:v>54.991</c:v>
                </c:pt>
                <c:pt idx="210">
                  <c:v>55.738</c:v>
                </c:pt>
                <c:pt idx="211">
                  <c:v>50.475000000000001</c:v>
                </c:pt>
                <c:pt idx="212">
                  <c:v>54.503</c:v>
                </c:pt>
                <c:pt idx="213">
                  <c:v>54.073999999999998</c:v>
                </c:pt>
                <c:pt idx="214">
                  <c:v>55.127000000000002</c:v>
                </c:pt>
                <c:pt idx="215">
                  <c:v>53.386000000000003</c:v>
                </c:pt>
                <c:pt idx="216">
                  <c:v>52.420999999999999</c:v>
                </c:pt>
                <c:pt idx="217">
                  <c:v>53.904000000000003</c:v>
                </c:pt>
                <c:pt idx="218">
                  <c:v>35.893999999999998</c:v>
                </c:pt>
                <c:pt idx="219">
                  <c:v>47.079000000000001</c:v>
                </c:pt>
                <c:pt idx="220">
                  <c:v>13.209</c:v>
                </c:pt>
                <c:pt idx="221">
                  <c:v>51.738</c:v>
                </c:pt>
                <c:pt idx="222">
                  <c:v>54.628</c:v>
                </c:pt>
                <c:pt idx="223">
                  <c:v>51.902999999999999</c:v>
                </c:pt>
                <c:pt idx="224">
                  <c:v>32.011000000000003</c:v>
                </c:pt>
                <c:pt idx="225">
                  <c:v>34.433</c:v>
                </c:pt>
                <c:pt idx="226">
                  <c:v>55.966999999999999</c:v>
                </c:pt>
                <c:pt idx="227">
                  <c:v>51.036999999999999</c:v>
                </c:pt>
                <c:pt idx="228">
                  <c:v>33.29</c:v>
                </c:pt>
                <c:pt idx="229">
                  <c:v>30.518999999999998</c:v>
                </c:pt>
                <c:pt idx="230">
                  <c:v>52.744999999999997</c:v>
                </c:pt>
                <c:pt idx="231">
                  <c:v>53.317</c:v>
                </c:pt>
                <c:pt idx="232">
                  <c:v>52.478999999999999</c:v>
                </c:pt>
                <c:pt idx="233">
                  <c:v>51.447000000000003</c:v>
                </c:pt>
                <c:pt idx="234">
                  <c:v>45.555</c:v>
                </c:pt>
                <c:pt idx="235">
                  <c:v>36.588000000000001</c:v>
                </c:pt>
                <c:pt idx="236">
                  <c:v>24.291</c:v>
                </c:pt>
                <c:pt idx="237">
                  <c:v>54.216000000000001</c:v>
                </c:pt>
                <c:pt idx="238">
                  <c:v>51.69</c:v>
                </c:pt>
                <c:pt idx="239">
                  <c:v>42.238</c:v>
                </c:pt>
                <c:pt idx="240">
                  <c:v>36.993000000000002</c:v>
                </c:pt>
                <c:pt idx="241">
                  <c:v>44.899000000000001</c:v>
                </c:pt>
                <c:pt idx="242">
                  <c:v>46.54</c:v>
                </c:pt>
                <c:pt idx="243">
                  <c:v>53.082999999999998</c:v>
                </c:pt>
                <c:pt idx="244">
                  <c:v>50.27</c:v>
                </c:pt>
                <c:pt idx="245">
                  <c:v>50.969000000000001</c:v>
                </c:pt>
                <c:pt idx="246">
                  <c:v>46.838999999999999</c:v>
                </c:pt>
                <c:pt idx="247">
                  <c:v>42.975000000000001</c:v>
                </c:pt>
                <c:pt idx="248">
                  <c:v>30.102</c:v>
                </c:pt>
                <c:pt idx="249">
                  <c:v>35.034999999999997</c:v>
                </c:pt>
                <c:pt idx="250">
                  <c:v>48.805999999999997</c:v>
                </c:pt>
                <c:pt idx="251">
                  <c:v>34.878999999999998</c:v>
                </c:pt>
                <c:pt idx="252">
                  <c:v>39.625</c:v>
                </c:pt>
                <c:pt idx="253">
                  <c:v>46.273000000000003</c:v>
                </c:pt>
                <c:pt idx="254">
                  <c:v>28.952999999999999</c:v>
                </c:pt>
                <c:pt idx="255">
                  <c:v>24.33</c:v>
                </c:pt>
                <c:pt idx="256">
                  <c:v>31.501999999999999</c:v>
                </c:pt>
                <c:pt idx="257">
                  <c:v>38.780999999999999</c:v>
                </c:pt>
                <c:pt idx="258">
                  <c:v>45.83</c:v>
                </c:pt>
                <c:pt idx="259">
                  <c:v>43.548999999999999</c:v>
                </c:pt>
                <c:pt idx="260">
                  <c:v>41.865000000000002</c:v>
                </c:pt>
                <c:pt idx="261">
                  <c:v>36.764000000000003</c:v>
                </c:pt>
                <c:pt idx="262">
                  <c:v>44.392000000000003</c:v>
                </c:pt>
                <c:pt idx="263">
                  <c:v>33.619999999999997</c:v>
                </c:pt>
                <c:pt idx="264">
                  <c:v>43.548000000000002</c:v>
                </c:pt>
                <c:pt idx="265">
                  <c:v>43.899000000000001</c:v>
                </c:pt>
                <c:pt idx="266">
                  <c:v>39.715000000000003</c:v>
                </c:pt>
                <c:pt idx="267">
                  <c:v>46.082000000000001</c:v>
                </c:pt>
                <c:pt idx="268">
                  <c:v>46.04</c:v>
                </c:pt>
                <c:pt idx="269">
                  <c:v>44.694000000000003</c:v>
                </c:pt>
                <c:pt idx="270">
                  <c:v>41.768000000000001</c:v>
                </c:pt>
                <c:pt idx="271">
                  <c:v>43.454999999999998</c:v>
                </c:pt>
                <c:pt idx="272">
                  <c:v>41.005000000000003</c:v>
                </c:pt>
                <c:pt idx="273">
                  <c:v>27.46</c:v>
                </c:pt>
                <c:pt idx="274">
                  <c:v>44.112000000000002</c:v>
                </c:pt>
                <c:pt idx="275">
                  <c:v>42.094000000000001</c:v>
                </c:pt>
                <c:pt idx="276">
                  <c:v>41.671999999999997</c:v>
                </c:pt>
                <c:pt idx="277">
                  <c:v>41.854999999999997</c:v>
                </c:pt>
                <c:pt idx="278">
                  <c:v>39.234999999999999</c:v>
                </c:pt>
                <c:pt idx="279">
                  <c:v>13.465</c:v>
                </c:pt>
                <c:pt idx="280">
                  <c:v>13.224</c:v>
                </c:pt>
                <c:pt idx="281">
                  <c:v>34.454999999999998</c:v>
                </c:pt>
                <c:pt idx="282">
                  <c:v>19.116</c:v>
                </c:pt>
                <c:pt idx="283">
                  <c:v>30.626999999999999</c:v>
                </c:pt>
                <c:pt idx="284">
                  <c:v>34.795000000000002</c:v>
                </c:pt>
                <c:pt idx="285">
                  <c:v>28.117000000000001</c:v>
                </c:pt>
                <c:pt idx="286">
                  <c:v>35.329000000000001</c:v>
                </c:pt>
                <c:pt idx="287">
                  <c:v>10.795999999999999</c:v>
                </c:pt>
                <c:pt idx="288">
                  <c:v>17.864000000000001</c:v>
                </c:pt>
                <c:pt idx="289">
                  <c:v>21.582000000000001</c:v>
                </c:pt>
                <c:pt idx="290">
                  <c:v>10.888999999999999</c:v>
                </c:pt>
                <c:pt idx="291">
                  <c:v>24.373000000000001</c:v>
                </c:pt>
                <c:pt idx="292">
                  <c:v>10.961</c:v>
                </c:pt>
                <c:pt idx="293">
                  <c:v>17.946000000000002</c:v>
                </c:pt>
                <c:pt idx="294">
                  <c:v>23.08</c:v>
                </c:pt>
                <c:pt idx="295">
                  <c:v>36.99</c:v>
                </c:pt>
                <c:pt idx="296">
                  <c:v>35.442</c:v>
                </c:pt>
                <c:pt idx="297">
                  <c:v>35.509</c:v>
                </c:pt>
                <c:pt idx="298">
                  <c:v>4.0049999999999999</c:v>
                </c:pt>
                <c:pt idx="299">
                  <c:v>9.3800000000000008</c:v>
                </c:pt>
                <c:pt idx="300">
                  <c:v>3.8359999999999999</c:v>
                </c:pt>
                <c:pt idx="301">
                  <c:v>4.4180000000000001</c:v>
                </c:pt>
                <c:pt idx="302">
                  <c:v>32.703000000000003</c:v>
                </c:pt>
                <c:pt idx="303">
                  <c:v>9.7970000000000006</c:v>
                </c:pt>
                <c:pt idx="304">
                  <c:v>22.588999999999999</c:v>
                </c:pt>
                <c:pt idx="305">
                  <c:v>9.0079999999999991</c:v>
                </c:pt>
                <c:pt idx="306">
                  <c:v>29.632999999999999</c:v>
                </c:pt>
                <c:pt idx="307">
                  <c:v>22.895</c:v>
                </c:pt>
                <c:pt idx="308">
                  <c:v>10.75</c:v>
                </c:pt>
                <c:pt idx="309">
                  <c:v>24.097999999999999</c:v>
                </c:pt>
                <c:pt idx="310">
                  <c:v>9.8339999999999996</c:v>
                </c:pt>
                <c:pt idx="311">
                  <c:v>17.21</c:v>
                </c:pt>
                <c:pt idx="312">
                  <c:v>5.92</c:v>
                </c:pt>
                <c:pt idx="313">
                  <c:v>21.510999999999999</c:v>
                </c:pt>
                <c:pt idx="314">
                  <c:v>26.483000000000001</c:v>
                </c:pt>
                <c:pt idx="315">
                  <c:v>27.888999999999999</c:v>
                </c:pt>
                <c:pt idx="316">
                  <c:v>8.64</c:v>
                </c:pt>
                <c:pt idx="317">
                  <c:v>18.3</c:v>
                </c:pt>
                <c:pt idx="318">
                  <c:v>20.047000000000001</c:v>
                </c:pt>
                <c:pt idx="319">
                  <c:v>25.298999999999999</c:v>
                </c:pt>
                <c:pt idx="320">
                  <c:v>28.289000000000001</c:v>
                </c:pt>
                <c:pt idx="321">
                  <c:v>23.254999999999999</c:v>
                </c:pt>
                <c:pt idx="322">
                  <c:v>20.178999999999998</c:v>
                </c:pt>
                <c:pt idx="323">
                  <c:v>9.3879999999999999</c:v>
                </c:pt>
                <c:pt idx="324">
                  <c:v>28.417000000000002</c:v>
                </c:pt>
                <c:pt idx="325">
                  <c:v>20.283999999999999</c:v>
                </c:pt>
                <c:pt idx="326">
                  <c:v>12.188000000000001</c:v>
                </c:pt>
                <c:pt idx="327">
                  <c:v>21.893999999999998</c:v>
                </c:pt>
                <c:pt idx="328">
                  <c:v>13.569000000000001</c:v>
                </c:pt>
                <c:pt idx="329">
                  <c:v>3.7570000000000001</c:v>
                </c:pt>
                <c:pt idx="330">
                  <c:v>24.777999999999999</c:v>
                </c:pt>
                <c:pt idx="331">
                  <c:v>18.367999999999999</c:v>
                </c:pt>
                <c:pt idx="332">
                  <c:v>26.042000000000002</c:v>
                </c:pt>
                <c:pt idx="333">
                  <c:v>10.788</c:v>
                </c:pt>
                <c:pt idx="334">
                  <c:v>18.754999999999999</c:v>
                </c:pt>
                <c:pt idx="335">
                  <c:v>7.33</c:v>
                </c:pt>
                <c:pt idx="336">
                  <c:v>7.8970000000000002</c:v>
                </c:pt>
                <c:pt idx="337">
                  <c:v>6.0350000000000001</c:v>
                </c:pt>
                <c:pt idx="338">
                  <c:v>19.318000000000001</c:v>
                </c:pt>
                <c:pt idx="339">
                  <c:v>12.292</c:v>
                </c:pt>
                <c:pt idx="340">
                  <c:v>19.204000000000001</c:v>
                </c:pt>
                <c:pt idx="341">
                  <c:v>15.926</c:v>
                </c:pt>
                <c:pt idx="342">
                  <c:v>5.37</c:v>
                </c:pt>
                <c:pt idx="343">
                  <c:v>10.683</c:v>
                </c:pt>
                <c:pt idx="344">
                  <c:v>17.986000000000001</c:v>
                </c:pt>
                <c:pt idx="345">
                  <c:v>3.1920000000000002</c:v>
                </c:pt>
                <c:pt idx="346">
                  <c:v>2.0299999999999998</c:v>
                </c:pt>
                <c:pt idx="347">
                  <c:v>2.827</c:v>
                </c:pt>
                <c:pt idx="348">
                  <c:v>5.9669999999999996</c:v>
                </c:pt>
                <c:pt idx="349">
                  <c:v>3.55</c:v>
                </c:pt>
                <c:pt idx="350">
                  <c:v>20.042000000000002</c:v>
                </c:pt>
                <c:pt idx="351">
                  <c:v>13.018000000000001</c:v>
                </c:pt>
                <c:pt idx="352">
                  <c:v>23.027999999999999</c:v>
                </c:pt>
                <c:pt idx="353">
                  <c:v>13.725</c:v>
                </c:pt>
                <c:pt idx="354">
                  <c:v>8.5570000000000004</c:v>
                </c:pt>
                <c:pt idx="355">
                  <c:v>6.1740000000000004</c:v>
                </c:pt>
                <c:pt idx="356">
                  <c:v>5.0190000000000001</c:v>
                </c:pt>
                <c:pt idx="357">
                  <c:v>5.2640000000000002</c:v>
                </c:pt>
                <c:pt idx="358">
                  <c:v>16.07</c:v>
                </c:pt>
                <c:pt idx="359">
                  <c:v>23.902999999999999</c:v>
                </c:pt>
                <c:pt idx="360">
                  <c:v>24.277999999999999</c:v>
                </c:pt>
                <c:pt idx="361">
                  <c:v>3.415</c:v>
                </c:pt>
                <c:pt idx="362">
                  <c:v>4.673</c:v>
                </c:pt>
                <c:pt idx="363">
                  <c:v>3.5019999999999998</c:v>
                </c:pt>
                <c:pt idx="364">
                  <c:v>6.117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4304"/>
        <c:axId val="358953912"/>
      </c:lineChart>
      <c:dateAx>
        <c:axId val="358954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3912"/>
        <c:crosses val="autoZero"/>
        <c:auto val="1"/>
        <c:lblOffset val="100"/>
        <c:baseTimeUnit val="days"/>
        <c:majorUnit val="1"/>
        <c:majorTimeUnit val="months"/>
      </c:dateAx>
      <c:valAx>
        <c:axId val="3589539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43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2.1902566432308035E-5</c:v>
                </c:pt>
                <c:pt idx="160">
                  <c:v>4.3804653142243133E-5</c:v>
                </c:pt>
                <c:pt idx="161">
                  <c:v>6.570626014024139E-5</c:v>
                </c:pt>
                <c:pt idx="162">
                  <c:v>8.7607387436960948E-5</c:v>
                </c:pt>
                <c:pt idx="163">
                  <c:v>1.0950803504261586E-4</c:v>
                </c:pt>
                <c:pt idx="164">
                  <c:v>1.3140820296797528E-4</c:v>
                </c:pt>
                <c:pt idx="165">
                  <c:v>1.5330789122347532E-4</c:v>
                </c:pt>
                <c:pt idx="166">
                  <c:v>1.7520709981955207E-4</c:v>
                </c:pt>
                <c:pt idx="167">
                  <c:v>1.9710582876675264E-4</c:v>
                </c:pt>
                <c:pt idx="168">
                  <c:v>2.1900407807551314E-4</c:v>
                </c:pt>
                <c:pt idx="169">
                  <c:v>2.409018477564917E-4</c:v>
                </c:pt>
                <c:pt idx="170">
                  <c:v>2.6279913782012443E-4</c:v>
                </c:pt>
                <c:pt idx="171">
                  <c:v>2.8469594827695843E-4</c:v>
                </c:pt>
                <c:pt idx="172">
                  <c:v>3.0659227913731879E-4</c:v>
                </c:pt>
                <c:pt idx="173">
                  <c:v>3.2848813041197467E-4</c:v>
                </c:pt>
                <c:pt idx="174">
                  <c:v>3.5038350211114011E-4</c:v>
                </c:pt>
                <c:pt idx="175">
                  <c:v>3.7227839424558429E-4</c:v>
                </c:pt>
                <c:pt idx="176">
                  <c:v>3.9417280682563227E-4</c:v>
                </c:pt>
                <c:pt idx="177">
                  <c:v>4.160667398619422E-4</c:v>
                </c:pt>
                <c:pt idx="178">
                  <c:v>4.3796019336483916E-4</c:v>
                </c:pt>
                <c:pt idx="179">
                  <c:v>4.5985316734498127E-4</c:v>
                </c:pt>
                <c:pt idx="180">
                  <c:v>4.8174566181280465E-4</c:v>
                </c:pt>
                <c:pt idx="181">
                  <c:v>5.0363767677874538E-4</c:v>
                </c:pt>
                <c:pt idx="182">
                  <c:v>5.2552921225346161E-4</c:v>
                </c:pt>
                <c:pt idx="183">
                  <c:v>5.4742026824727841E-4</c:v>
                </c:pt>
                <c:pt idx="184">
                  <c:v>5.6931084477085392E-4</c:v>
                </c:pt>
                <c:pt idx="185">
                  <c:v>5.9120094183462424E-4</c:v>
                </c:pt>
                <c:pt idx="186">
                  <c:v>6.1309055944902546E-4</c:v>
                </c:pt>
                <c:pt idx="187">
                  <c:v>6.3497969762471573E-4</c:v>
                </c:pt>
                <c:pt idx="188">
                  <c:v>6.5686835637202012E-4</c:v>
                </c:pt>
                <c:pt idx="189">
                  <c:v>6.7875653570159677E-4</c:v>
                </c:pt>
                <c:pt idx="190">
                  <c:v>7.0064423562377076E-4</c:v>
                </c:pt>
                <c:pt idx="191">
                  <c:v>7.2253145614920022E-4</c:v>
                </c:pt>
                <c:pt idx="192">
                  <c:v>7.4441819728832126E-4</c:v>
                </c:pt>
                <c:pt idx="193">
                  <c:v>7.6630445905168099E-4</c:v>
                </c:pt>
                <c:pt idx="194">
                  <c:v>7.881902414497155E-4</c:v>
                </c:pt>
                <c:pt idx="195">
                  <c:v>8.100755444928609E-4</c:v>
                </c:pt>
                <c:pt idx="196">
                  <c:v>8.3196036819188635E-4</c:v>
                </c:pt>
                <c:pt idx="197">
                  <c:v>8.5384471255689487E-4</c:v>
                </c:pt>
                <c:pt idx="198">
                  <c:v>8.7572857759876666E-4</c:v>
                </c:pt>
                <c:pt idx="199">
                  <c:v>8.9761196332771576E-4</c:v>
                </c:pt>
                <c:pt idx="200">
                  <c:v>9.1949486975440031E-4</c:v>
                </c:pt>
                <c:pt idx="201">
                  <c:v>9.4137729688936744E-4</c:v>
                </c:pt>
                <c:pt idx="202">
                  <c:v>9.632592447428312E-4</c:v>
                </c:pt>
                <c:pt idx="203">
                  <c:v>9.8514071332567177E-4</c:v>
                </c:pt>
                <c:pt idx="204">
                  <c:v>1.0070217026481032E-3</c:v>
                </c:pt>
                <c:pt idx="205">
                  <c:v>1.0289022127206726E-3</c:v>
                </c:pt>
                <c:pt idx="206">
                  <c:v>1.0507822435539271E-3</c:v>
                </c:pt>
                <c:pt idx="207">
                  <c:v>1.0726617951584139E-3</c:v>
                </c:pt>
                <c:pt idx="208">
                  <c:v>1.0945408675444579E-3</c:v>
                </c:pt>
                <c:pt idx="209">
                  <c:v>1.1164194607228284E-3</c:v>
                </c:pt>
                <c:pt idx="210">
                  <c:v>1.1382975747037394E-3</c:v>
                </c:pt>
                <c:pt idx="211">
                  <c:v>1.160175209497849E-3</c:v>
                </c:pt>
                <c:pt idx="212">
                  <c:v>1.1820523651155934E-3</c:v>
                </c:pt>
                <c:pt idx="213">
                  <c:v>1.2039290415675197E-3</c:v>
                </c:pt>
                <c:pt idx="214">
                  <c:v>1.2258052388639529E-3</c:v>
                </c:pt>
                <c:pt idx="215">
                  <c:v>1.2476809570156622E-3</c:v>
                </c:pt>
                <c:pt idx="216">
                  <c:v>1.2695561960329727E-3</c:v>
                </c:pt>
                <c:pt idx="217">
                  <c:v>1.2914309559264314E-3</c:v>
                </c:pt>
                <c:pt idx="218">
                  <c:v>1.3133052367064746E-3</c:v>
                </c:pt>
                <c:pt idx="219">
                  <c:v>1.3351790383835382E-3</c:v>
                </c:pt>
                <c:pt idx="220">
                  <c:v>1.3570523609683915E-3</c:v>
                </c:pt>
                <c:pt idx="221">
                  <c:v>1.3789252044712486E-3</c:v>
                </c:pt>
                <c:pt idx="222">
                  <c:v>1.4007975689026564E-3</c:v>
                </c:pt>
                <c:pt idx="223">
                  <c:v>1.4226694542731622E-3</c:v>
                </c:pt>
                <c:pt idx="224">
                  <c:v>1.444540860593313E-3</c:v>
                </c:pt>
                <c:pt idx="225">
                  <c:v>1.466411787873434E-3</c:v>
                </c:pt>
                <c:pt idx="226">
                  <c:v>1.4882822361241832E-3</c:v>
                </c:pt>
                <c:pt idx="227">
                  <c:v>1.5101522053559968E-3</c:v>
                </c:pt>
                <c:pt idx="228">
                  <c:v>1.5320216955794219E-3</c:v>
                </c:pt>
                <c:pt idx="229">
                  <c:v>1.5538907068047836E-3</c:v>
                </c:pt>
                <c:pt idx="230">
                  <c:v>1.5757592390426289E-3</c:v>
                </c:pt>
                <c:pt idx="231">
                  <c:v>1.5976272923036161E-3</c:v>
                </c:pt>
                <c:pt idx="232">
                  <c:v>1.6194948665980702E-3</c:v>
                </c:pt>
                <c:pt idx="233">
                  <c:v>1.6413619619365383E-3</c:v>
                </c:pt>
                <c:pt idx="234">
                  <c:v>1.6632285783294565E-3</c:v>
                </c:pt>
                <c:pt idx="235">
                  <c:v>1.6850947157873719E-3</c:v>
                </c:pt>
                <c:pt idx="236">
                  <c:v>1.7069603743207207E-3</c:v>
                </c:pt>
                <c:pt idx="237">
                  <c:v>1.7288255539400499E-3</c:v>
                </c:pt>
                <c:pt idx="238">
                  <c:v>1.7506902546559067E-3</c:v>
                </c:pt>
                <c:pt idx="239">
                  <c:v>1.7725544764786161E-3</c:v>
                </c:pt>
                <c:pt idx="240">
                  <c:v>1.7944182194188363E-3</c:v>
                </c:pt>
                <c:pt idx="241">
                  <c:v>1.8162814834868923E-3</c:v>
                </c:pt>
                <c:pt idx="242">
                  <c:v>1.8381442686933314E-3</c:v>
                </c:pt>
                <c:pt idx="243">
                  <c:v>1.8600065750488115E-3</c:v>
                </c:pt>
                <c:pt idx="244">
                  <c:v>1.8818684025635468E-3</c:v>
                </c:pt>
                <c:pt idx="245">
                  <c:v>1.9037297512481954E-3</c:v>
                </c:pt>
                <c:pt idx="246">
                  <c:v>1.9255906211131935E-3</c:v>
                </c:pt>
                <c:pt idx="247">
                  <c:v>1.947451012168977E-3</c:v>
                </c:pt>
                <c:pt idx="248">
                  <c:v>1.9693109244262041E-3</c:v>
                </c:pt>
                <c:pt idx="249">
                  <c:v>1.9911703578952E-3</c:v>
                </c:pt>
                <c:pt idx="250">
                  <c:v>2.0130293125865117E-3</c:v>
                </c:pt>
                <c:pt idx="251">
                  <c:v>2.0348877885105754E-3</c:v>
                </c:pt>
                <c:pt idx="252">
                  <c:v>2.0567457856779381E-3</c:v>
                </c:pt>
                <c:pt idx="253">
                  <c:v>2.078603304099147E-3</c:v>
                </c:pt>
                <c:pt idx="254">
                  <c:v>2.1004603437845271E-3</c:v>
                </c:pt>
                <c:pt idx="255">
                  <c:v>2.1223169047446255E-3</c:v>
                </c:pt>
                <c:pt idx="256">
                  <c:v>2.1441729869899895E-3</c:v>
                </c:pt>
                <c:pt idx="257">
                  <c:v>2.166028590531055E-3</c:v>
                </c:pt>
                <c:pt idx="258">
                  <c:v>2.1878837153782582E-3</c:v>
                </c:pt>
                <c:pt idx="259">
                  <c:v>2.2097383615422572E-3</c:v>
                </c:pt>
                <c:pt idx="260">
                  <c:v>2.2315925290332661E-3</c:v>
                </c:pt>
                <c:pt idx="261">
                  <c:v>2.253446217862054E-3</c:v>
                </c:pt>
                <c:pt idx="262">
                  <c:v>2.275299428038835E-3</c:v>
                </c:pt>
                <c:pt idx="263">
                  <c:v>2.2971521595743782E-3</c:v>
                </c:pt>
                <c:pt idx="264">
                  <c:v>2.3190044124788978E-3</c:v>
                </c:pt>
                <c:pt idx="265">
                  <c:v>2.3408561867630517E-3</c:v>
                </c:pt>
                <c:pt idx="266">
                  <c:v>2.3627074824372762E-3</c:v>
                </c:pt>
                <c:pt idx="267">
                  <c:v>2.3845582995120074E-3</c:v>
                </c:pt>
                <c:pt idx="268">
                  <c:v>2.4064086379977923E-3</c:v>
                </c:pt>
                <c:pt idx="269">
                  <c:v>2.428258497905067E-3</c:v>
                </c:pt>
                <c:pt idx="270">
                  <c:v>2.4501078792443787E-3</c:v>
                </c:pt>
                <c:pt idx="271">
                  <c:v>2.4719567820261634E-3</c:v>
                </c:pt>
                <c:pt idx="272">
                  <c:v>2.4938052062608573E-3</c:v>
                </c:pt>
                <c:pt idx="273">
                  <c:v>2.5156531519590075E-3</c:v>
                </c:pt>
                <c:pt idx="274">
                  <c:v>2.5375006191310501E-3</c:v>
                </c:pt>
                <c:pt idx="275">
                  <c:v>2.5593476077875321E-3</c:v>
                </c:pt>
                <c:pt idx="276">
                  <c:v>2.5811941179388898E-3</c:v>
                </c:pt>
                <c:pt idx="277">
                  <c:v>2.6030401495955591E-3</c:v>
                </c:pt>
                <c:pt idx="278">
                  <c:v>2.6248857027680872E-3</c:v>
                </c:pt>
                <c:pt idx="279">
                  <c:v>2.6467307774669102E-3</c:v>
                </c:pt>
                <c:pt idx="280">
                  <c:v>2.6685753737025752E-3</c:v>
                </c:pt>
                <c:pt idx="281">
                  <c:v>2.6904194914855184E-3</c:v>
                </c:pt>
                <c:pt idx="282">
                  <c:v>2.7122631308262868E-3</c:v>
                </c:pt>
                <c:pt idx="283">
                  <c:v>2.7341062917352055E-3</c:v>
                </c:pt>
                <c:pt idx="284">
                  <c:v>2.7559489742228216E-3</c:v>
                </c:pt>
                <c:pt idx="285">
                  <c:v>2.7777911782996823E-3</c:v>
                </c:pt>
                <c:pt idx="286">
                  <c:v>2.7996329039762236E-3</c:v>
                </c:pt>
                <c:pt idx="287">
                  <c:v>2.8214741512629926E-3</c:v>
                </c:pt>
                <c:pt idx="288">
                  <c:v>2.8433149201702035E-3</c:v>
                </c:pt>
                <c:pt idx="289">
                  <c:v>2.8651552107086253E-3</c:v>
                </c:pt>
                <c:pt idx="290">
                  <c:v>2.8869950228886943E-3</c:v>
                </c:pt>
                <c:pt idx="291">
                  <c:v>2.9088343567207353E-3</c:v>
                </c:pt>
                <c:pt idx="292">
                  <c:v>2.9306732122152956E-3</c:v>
                </c:pt>
                <c:pt idx="293">
                  <c:v>2.9525115893829224E-3</c:v>
                </c:pt>
                <c:pt idx="294">
                  <c:v>2.9743494882340515E-3</c:v>
                </c:pt>
                <c:pt idx="295">
                  <c:v>2.9961869087792303E-3</c:v>
                </c:pt>
                <c:pt idx="296">
                  <c:v>3.0180238510286728E-3</c:v>
                </c:pt>
                <c:pt idx="297">
                  <c:v>3.039860314993148E-3</c:v>
                </c:pt>
                <c:pt idx="298">
                  <c:v>3.0616963006829812E-3</c:v>
                </c:pt>
                <c:pt idx="299">
                  <c:v>3.0835318081087193E-3</c:v>
                </c:pt>
                <c:pt idx="300">
                  <c:v>3.1053668372807985E-3</c:v>
                </c:pt>
                <c:pt idx="301">
                  <c:v>3.127201388209766E-3</c:v>
                </c:pt>
                <c:pt idx="302">
                  <c:v>3.1490354609059468E-3</c:v>
                </c:pt>
                <c:pt idx="303">
                  <c:v>3.1708690553798879E-3</c:v>
                </c:pt>
                <c:pt idx="304">
                  <c:v>3.1927021716421367E-3</c:v>
                </c:pt>
                <c:pt idx="305">
                  <c:v>3.214534809703018E-3</c:v>
                </c:pt>
                <c:pt idx="306">
                  <c:v>3.23636696957319E-3</c:v>
                </c:pt>
                <c:pt idx="307">
                  <c:v>3.2581986512629779E-3</c:v>
                </c:pt>
                <c:pt idx="308">
                  <c:v>3.2800298547829287E-3</c:v>
                </c:pt>
                <c:pt idx="309">
                  <c:v>3.3018605801434786E-3</c:v>
                </c:pt>
                <c:pt idx="310">
                  <c:v>3.3236908273550636E-3</c:v>
                </c:pt>
                <c:pt idx="311">
                  <c:v>3.3455205964282309E-3</c:v>
                </c:pt>
                <c:pt idx="312">
                  <c:v>3.3673498873735275E-3</c:v>
                </c:pt>
                <c:pt idx="313">
                  <c:v>3.3891787002012785E-3</c:v>
                </c:pt>
                <c:pt idx="314">
                  <c:v>3.4110070349219201E-3</c:v>
                </c:pt>
                <c:pt idx="315">
                  <c:v>3.4328348915461104E-3</c:v>
                </c:pt>
                <c:pt idx="316">
                  <c:v>3.4546622700841745E-3</c:v>
                </c:pt>
                <c:pt idx="317">
                  <c:v>3.4764891705466594E-3</c:v>
                </c:pt>
                <c:pt idx="318">
                  <c:v>3.4983155929440013E-3</c:v>
                </c:pt>
                <c:pt idx="319">
                  <c:v>3.5201415372866363E-3</c:v>
                </c:pt>
                <c:pt idx="320">
                  <c:v>3.5419670035851114E-3</c:v>
                </c:pt>
                <c:pt idx="321">
                  <c:v>3.5637919918498628E-3</c:v>
                </c:pt>
                <c:pt idx="322">
                  <c:v>3.5856165020914377E-3</c:v>
                </c:pt>
                <c:pt idx="323">
                  <c:v>3.60744053432005E-3</c:v>
                </c:pt>
                <c:pt idx="324">
                  <c:v>3.6292640885464689E-3</c:v>
                </c:pt>
                <c:pt idx="325">
                  <c:v>3.6510871647810195E-3</c:v>
                </c:pt>
                <c:pt idx="326">
                  <c:v>3.6729097630342489E-3</c:v>
                </c:pt>
                <c:pt idx="327">
                  <c:v>3.6947318833164822E-3</c:v>
                </c:pt>
                <c:pt idx="328">
                  <c:v>3.7165535256382665E-3</c:v>
                </c:pt>
                <c:pt idx="329">
                  <c:v>3.7383746900101489E-3</c:v>
                </c:pt>
                <c:pt idx="330">
                  <c:v>3.7601953764424545E-3</c:v>
                </c:pt>
                <c:pt idx="331">
                  <c:v>3.7820155849458414E-3</c:v>
                </c:pt>
                <c:pt idx="332">
                  <c:v>3.8038353155305238E-3</c:v>
                </c:pt>
                <c:pt idx="333">
                  <c:v>3.8256545682071597E-3</c:v>
                </c:pt>
                <c:pt idx="334">
                  <c:v>3.8474733429861852E-3</c:v>
                </c:pt>
                <c:pt idx="335">
                  <c:v>3.8692916398780364E-3</c:v>
                </c:pt>
                <c:pt idx="336">
                  <c:v>3.8911094588932604E-3</c:v>
                </c:pt>
                <c:pt idx="337">
                  <c:v>3.9129268000421824E-3</c:v>
                </c:pt>
                <c:pt idx="338">
                  <c:v>3.9347436633353494E-3</c:v>
                </c:pt>
                <c:pt idx="339">
                  <c:v>3.9565600487831976E-3</c:v>
                </c:pt>
                <c:pt idx="340">
                  <c:v>3.9783759563962739E-3</c:v>
                </c:pt>
                <c:pt idx="341">
                  <c:v>4.0001913861849037E-3</c:v>
                </c:pt>
                <c:pt idx="342">
                  <c:v>4.0220063381596338E-3</c:v>
                </c:pt>
                <c:pt idx="343">
                  <c:v>4.0438208123310115E-3</c:v>
                </c:pt>
                <c:pt idx="344">
                  <c:v>4.0656348087093619E-3</c:v>
                </c:pt>
                <c:pt idx="345">
                  <c:v>4.087448327305232E-3</c:v>
                </c:pt>
                <c:pt idx="346">
                  <c:v>4.109261368129058E-3</c:v>
                </c:pt>
                <c:pt idx="347">
                  <c:v>4.1310739311912759E-3</c:v>
                </c:pt>
                <c:pt idx="348">
                  <c:v>4.1528860165024328E-3</c:v>
                </c:pt>
                <c:pt idx="349">
                  <c:v>4.1746976240728539E-3</c:v>
                </c:pt>
                <c:pt idx="350">
                  <c:v>4.1965087539131973E-3</c:v>
                </c:pt>
                <c:pt idx="351">
                  <c:v>4.2183194060337881E-3</c:v>
                </c:pt>
                <c:pt idx="352">
                  <c:v>4.2401295804450623E-3</c:v>
                </c:pt>
                <c:pt idx="353">
                  <c:v>4.2619392771576781E-3</c:v>
                </c:pt>
                <c:pt idx="354">
                  <c:v>4.2837484961818495E-3</c:v>
                </c:pt>
                <c:pt idx="355">
                  <c:v>4.3055572375281237E-3</c:v>
                </c:pt>
                <c:pt idx="356">
                  <c:v>4.3273655012070478E-3</c:v>
                </c:pt>
                <c:pt idx="357">
                  <c:v>4.3491732872290578E-3</c:v>
                </c:pt>
                <c:pt idx="358">
                  <c:v>4.37098059560459E-3</c:v>
                </c:pt>
                <c:pt idx="359">
                  <c:v>4.3927874263440803E-3</c:v>
                </c:pt>
                <c:pt idx="360">
                  <c:v>4.4145937794579648E-3</c:v>
                </c:pt>
                <c:pt idx="361">
                  <c:v>4.4363996549567908E-3</c:v>
                </c:pt>
                <c:pt idx="362">
                  <c:v>4.4582050528509942E-3</c:v>
                </c:pt>
                <c:pt idx="363">
                  <c:v>4.4800099731510112E-3</c:v>
                </c:pt>
                <c:pt idx="364">
                  <c:v>4.5018144158672779E-3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6.62907971666148E-5</c:v>
                </c:pt>
                <c:pt idx="160">
                  <c:v>1.3259922725903167E-4</c:v>
                </c:pt>
                <c:pt idx="161">
                  <c:v>1.9892269897931305E-4</c:v>
                </c:pt>
                <c:pt idx="162">
                  <c:v>2.6525847144756457E-4</c:v>
                </c:pt>
                <c:pt idx="163">
                  <c:v>3.31603667693792E-4</c:v>
                </c:pt>
                <c:pt idx="164">
                  <c:v>3.9795528891446312E-4</c:v>
                </c:pt>
                <c:pt idx="165">
                  <c:v>4.6431022939271712E-4</c:v>
                </c:pt>
                <c:pt idx="166">
                  <c:v>5.3066529197402746E-4</c:v>
                </c:pt>
                <c:pt idx="167">
                  <c:v>5.9701720398370702E-4</c:v>
                </c:pt>
                <c:pt idx="168">
                  <c:v>6.6336263346727248E-4</c:v>
                </c:pt>
                <c:pt idx="169">
                  <c:v>7.296982056316342E-4</c:v>
                </c:pt>
                <c:pt idx="170">
                  <c:v>7.9602051936207671E-4</c:v>
                </c:pt>
                <c:pt idx="171">
                  <c:v>8.6232616368908232E-4</c:v>
                </c:pt>
                <c:pt idx="172">
                  <c:v>9.2861173407892989E-4</c:v>
                </c:pt>
                <c:pt idx="173">
                  <c:v>9.9487384842316751E-4</c:v>
                </c:pt>
                <c:pt idx="174">
                  <c:v>1.0611091626047174E-3</c:v>
                </c:pt>
                <c:pt idx="175">
                  <c:v>1.1273143855219593E-3</c:v>
                </c:pt>
                <c:pt idx="176">
                  <c:v>1.193486293457243E-3</c:v>
                </c:pt>
                <c:pt idx="177">
                  <c:v>1.2596217436821175E-3</c:v>
                </c:pt>
                <c:pt idx="178">
                  <c:v>1.3257176871990595E-3</c:v>
                </c:pt>
                <c:pt idx="179">
                  <c:v>1.3917711805274198E-3</c:v>
                </c:pt>
                <c:pt idx="180">
                  <c:v>1.4577793964506373E-3</c:v>
                </c:pt>
                <c:pt idx="181">
                  <c:v>1.5237396336515766E-3</c:v>
                </c:pt>
                <c:pt idx="182">
                  <c:v>1.5896493251737016E-3</c:v>
                </c:pt>
                <c:pt idx="183">
                  <c:v>1.6555060456569918E-3</c:v>
                </c:pt>
                <c:pt idx="184">
                  <c:v>1.7213075173093781E-3</c:v>
                </c:pt>
                <c:pt idx="185">
                  <c:v>1.7870516145866145E-3</c:v>
                </c:pt>
                <c:pt idx="186">
                  <c:v>1.8527363675658378E-3</c:v>
                </c:pt>
                <c:pt idx="187">
                  <c:v>1.9183599640106561E-3</c:v>
                </c:pt>
                <c:pt idx="188">
                  <c:v>1.9839207501378036E-3</c:v>
                </c:pt>
                <c:pt idx="189">
                  <c:v>2.0494172301078382E-3</c:v>
                </c:pt>
                <c:pt idx="190">
                  <c:v>2.1148480642740981E-3</c:v>
                </c:pt>
                <c:pt idx="191">
                  <c:v>2.1802120662356098E-3</c:v>
                </c:pt>
                <c:pt idx="192">
                  <c:v>2.2455081987503415E-3</c:v>
                </c:pt>
                <c:pt idx="193">
                  <c:v>2.3107355685755395E-3</c:v>
                </c:pt>
                <c:pt idx="194">
                  <c:v>2.3758934203108946E-3</c:v>
                </c:pt>
                <c:pt idx="195">
                  <c:v>2.4409811293287236E-3</c:v>
                </c:pt>
                <c:pt idx="196">
                  <c:v>2.50599819388271E-3</c:v>
                </c:pt>
                <c:pt idx="197">
                  <c:v>2.5709442264929406E-3</c:v>
                </c:pt>
                <c:pt idx="198">
                  <c:v>2.6358189447098362E-3</c:v>
                </c:pt>
                <c:pt idx="199">
                  <c:v>2.700622161363533E-3</c:v>
                </c:pt>
                <c:pt idx="200">
                  <c:v>2.7653537744078346E-3</c:v>
                </c:pt>
                <c:pt idx="201">
                  <c:v>2.8300137564688734E-3</c:v>
                </c:pt>
                <c:pt idx="202">
                  <c:v>2.8946021442087127E-3</c:v>
                </c:pt>
                <c:pt idx="203">
                  <c:v>2.9591190276127446E-3</c:v>
                </c:pt>
                <c:pt idx="204">
                  <c:v>3.0235645393070485E-3</c:v>
                </c:pt>
                <c:pt idx="205">
                  <c:v>3.0879388440080749E-3</c:v>
                </c:pt>
                <c:pt idx="206">
                  <c:v>3.1522421282019594E-3</c:v>
                </c:pt>
                <c:pt idx="207">
                  <c:v>3.2164745901445929E-3</c:v>
                </c:pt>
                <c:pt idx="208">
                  <c:v>3.2806364302665259E-3</c:v>
                </c:pt>
                <c:pt idx="209">
                  <c:v>3.3447278420585856E-3</c:v>
                </c:pt>
                <c:pt idx="210">
                  <c:v>3.4087490035052434E-3</c:v>
                </c:pt>
                <c:pt idx="211">
                  <c:v>3.4727000691231989E-3</c:v>
                </c:pt>
                <c:pt idx="212">
                  <c:v>3.536581162652346E-3</c:v>
                </c:pt>
                <c:pt idx="213">
                  <c:v>3.6003923704358578E-3</c:v>
                </c:pt>
                <c:pt idx="214">
                  <c:v>3.6641337355150525E-3</c:v>
                </c:pt>
                <c:pt idx="215">
                  <c:v>3.7278052524537817E-3</c:v>
                </c:pt>
                <c:pt idx="216">
                  <c:v>3.7914068628959359E-3</c:v>
                </c:pt>
                <c:pt idx="217">
                  <c:v>3.8549384518486878E-3</c:v>
                </c:pt>
                <c:pt idx="218">
                  <c:v>3.9183998446737749E-3</c:v>
                </c:pt>
                <c:pt idx="219">
                  <c:v>3.9817908047583839E-3</c:v>
                </c:pt>
                <c:pt idx="220">
                  <c:v>4.0451110318282394E-3</c:v>
                </c:pt>
                <c:pt idx="221">
                  <c:v>4.1083601608559494E-3</c:v>
                </c:pt>
                <c:pt idx="222">
                  <c:v>4.1715377615100871E-3</c:v>
                </c:pt>
                <c:pt idx="223">
                  <c:v>4.2346433380830491E-3</c:v>
                </c:pt>
                <c:pt idx="224">
                  <c:v>4.2976763298297176E-3</c:v>
                </c:pt>
                <c:pt idx="225">
                  <c:v>4.360636111643966E-3</c:v>
                </c:pt>
                <c:pt idx="226">
                  <c:v>4.4235219949964192E-3</c:v>
                </c:pt>
                <c:pt idx="227">
                  <c:v>4.4863332290541605E-3</c:v>
                </c:pt>
                <c:pt idx="228">
                  <c:v>4.5490690019020751E-3</c:v>
                </c:pt>
                <c:pt idx="229">
                  <c:v>4.6117284417857389E-3</c:v>
                </c:pt>
                <c:pt idx="230">
                  <c:v>4.6743106182969762E-3</c:v>
                </c:pt>
                <c:pt idx="231">
                  <c:v>4.736814543426439E-3</c:v>
                </c:pt>
                <c:pt idx="232">
                  <c:v>4.7992391724114413E-3</c:v>
                </c:pt>
                <c:pt idx="233">
                  <c:v>4.8615834043128723E-3</c:v>
                </c:pt>
                <c:pt idx="234">
                  <c:v>4.9238460822615716E-3</c:v>
                </c:pt>
                <c:pt idx="235">
                  <c:v>4.9860259933224294E-3</c:v>
                </c:pt>
                <c:pt idx="236">
                  <c:v>5.0481218679331369E-3</c:v>
                </c:pt>
                <c:pt idx="237">
                  <c:v>5.1101323788844038E-3</c:v>
                </c:pt>
                <c:pt idx="238">
                  <c:v>5.1720561398189997E-3</c:v>
                </c:pt>
                <c:pt idx="239">
                  <c:v>5.2338917032381032E-3</c:v>
                </c:pt>
                <c:pt idx="240">
                  <c:v>5.2956375580152232E-3</c:v>
                </c:pt>
                <c:pt idx="241">
                  <c:v>5.3572921264303016E-3</c:v>
                </c:pt>
                <c:pt idx="242">
                  <c:v>5.4188537607485661E-3</c:v>
                </c:pt>
                <c:pt idx="243">
                  <c:v>5.4803207393813698E-3</c:v>
                </c:pt>
                <c:pt idx="244">
                  <c:v>5.5416912626784793E-3</c:v>
                </c:pt>
                <c:pt idx="245">
                  <c:v>5.6029634484130141E-3</c:v>
                </c:pt>
                <c:pt idx="246">
                  <c:v>5.6641353270319873E-3</c:v>
                </c:pt>
                <c:pt idx="247">
                  <c:v>5.7252048367560614E-3</c:v>
                </c:pt>
                <c:pt idx="248">
                  <c:v>5.7861698186220277E-3</c:v>
                </c:pt>
                <c:pt idx="249">
                  <c:v>5.8470280115710043E-3</c:v>
                </c:pt>
                <c:pt idx="250">
                  <c:v>5.9077770476926219E-3</c:v>
                </c:pt>
                <c:pt idx="251">
                  <c:v>5.9684144477427587E-3</c:v>
                </c:pt>
                <c:pt idx="252">
                  <c:v>6.028937617057281E-3</c:v>
                </c:pt>
                <c:pt idx="253">
                  <c:v>6.0893438419881126E-3</c:v>
                </c:pt>
                <c:pt idx="254">
                  <c:v>6.1496302869902889E-3</c:v>
                </c:pt>
                <c:pt idx="255">
                  <c:v>6.2097939924890084E-3</c:v>
                </c:pt>
                <c:pt idx="256">
                  <c:v>6.2698318736546287E-3</c:v>
                </c:pt>
                <c:pt idx="257">
                  <c:v>6.3297407202105097E-3</c:v>
                </c:pt>
                <c:pt idx="258">
                  <c:v>6.3895171973939353E-3</c:v>
                </c:pt>
                <c:pt idx="259">
                  <c:v>6.4491578481838318E-3</c:v>
                </c:pt>
                <c:pt idx="260">
                  <c:v>6.5086590969005778E-3</c:v>
                </c:pt>
                <c:pt idx="261">
                  <c:v>6.5680172542734944E-3</c:v>
                </c:pt>
                <c:pt idx="262">
                  <c:v>6.6272285240596739E-3</c:v>
                </c:pt>
                <c:pt idx="263">
                  <c:v>6.6862890112847941E-3</c:v>
                </c:pt>
                <c:pt idx="264">
                  <c:v>6.7451947321620536E-3</c:v>
                </c:pt>
                <c:pt idx="265">
                  <c:v>6.803941625728986E-3</c:v>
                </c:pt>
                <c:pt idx="266">
                  <c:v>6.8625255672254389E-3</c:v>
                </c:pt>
                <c:pt idx="267">
                  <c:v>6.9209423832172143E-3</c:v>
                </c:pt>
                <c:pt idx="268">
                  <c:v>6.9791878684514639E-3</c:v>
                </c:pt>
                <c:pt idx="269">
                  <c:v>7.0372578044100081E-3</c:v>
                </c:pt>
                <c:pt idx="270">
                  <c:v>7.0951479795068918E-3</c:v>
                </c:pt>
                <c:pt idx="271">
                  <c:v>7.1528542108561712E-3</c:v>
                </c:pt>
                <c:pt idx="272">
                  <c:v>7.2103723675158238E-3</c:v>
                </c:pt>
                <c:pt idx="273">
                  <c:v>7.267698395093493E-3</c:v>
                </c:pt>
                <c:pt idx="274">
                  <c:v>7.3248283415804421E-3</c:v>
                </c:pt>
                <c:pt idx="275">
                  <c:v>7.3817583842610513E-3</c:v>
                </c:pt>
                <c:pt idx="276">
                  <c:v>7.4384848575273542E-3</c:v>
                </c:pt>
                <c:pt idx="277">
                  <c:v>7.4950042814114172E-3</c:v>
                </c:pt>
                <c:pt idx="278">
                  <c:v>7.5513133906325147E-3</c:v>
                </c:pt>
                <c:pt idx="279">
                  <c:v>7.6074091639426892E-3</c:v>
                </c:pt>
                <c:pt idx="280">
                  <c:v>7.6632888535416079E-3</c:v>
                </c:pt>
                <c:pt idx="281">
                  <c:v>7.7189500143217352E-3</c:v>
                </c:pt>
                <c:pt idx="282">
                  <c:v>7.7743905326964199E-3</c:v>
                </c:pt>
                <c:pt idx="283">
                  <c:v>7.8296086547576058E-3</c:v>
                </c:pt>
                <c:pt idx="284">
                  <c:v>7.8846030135063215E-3</c:v>
                </c:pt>
                <c:pt idx="285">
                  <c:v>7.9393726548977004E-3</c:v>
                </c:pt>
                <c:pt idx="286">
                  <c:v>7.9939170624436645E-3</c:v>
                </c:pt>
                <c:pt idx="287">
                  <c:v>8.0482361801202697E-3</c:v>
                </c:pt>
                <c:pt idx="288">
                  <c:v>8.1023304333329924E-3</c:v>
                </c:pt>
                <c:pt idx="289">
                  <c:v>8.1562007477021786E-3</c:v>
                </c:pt>
                <c:pt idx="290">
                  <c:v>8.2098485654424243E-3</c:v>
                </c:pt>
                <c:pt idx="291">
                  <c:v>8.2632758591235818E-3</c:v>
                </c:pt>
                <c:pt idx="292">
                  <c:v>8.316485142617196E-3</c:v>
                </c:pt>
                <c:pt idx="293">
                  <c:v>8.3694794790510878E-3</c:v>
                </c:pt>
                <c:pt idx="294">
                  <c:v>8.4222624856150983E-3</c:v>
                </c:pt>
                <c:pt idx="295">
                  <c:v>8.474838335084011E-3</c:v>
                </c:pt>
                <c:pt idx="296">
                  <c:v>8.5272117539479716E-3</c:v>
                </c:pt>
                <c:pt idx="297">
                  <c:v>8.5793880170665516E-3</c:v>
                </c:pt>
                <c:pt idx="298">
                  <c:v>8.6313729387903597E-3</c:v>
                </c:pt>
                <c:pt idx="299">
                  <c:v>8.6831728605221564E-3</c:v>
                </c:pt>
                <c:pt idx="300">
                  <c:v>8.7347946347189811E-3</c:v>
                </c:pt>
                <c:pt idx="301">
                  <c:v>8.7862456053665518E-3</c:v>
                </c:pt>
                <c:pt idx="302">
                  <c:v>8.8375335849874351E-3</c:v>
                </c:pt>
                <c:pt idx="303">
                  <c:v>8.8886668282746138E-3</c:v>
                </c:pt>
                <c:pt idx="304">
                  <c:v>8.9396540024719428E-3</c:v>
                </c:pt>
                <c:pt idx="305">
                  <c:v>8.9905041546523828E-3</c:v>
                </c:pt>
                <c:pt idx="306">
                  <c:v>9.0412266760731969E-3</c:v>
                </c:pt>
                <c:pt idx="307">
                  <c:v>9.0918312638148258E-3</c:v>
                </c:pt>
                <c:pt idx="308">
                  <c:v>9.1423278799355884E-3</c:v>
                </c:pt>
                <c:pt idx="309">
                  <c:v>9.1927267083991276E-3</c:v>
                </c:pt>
                <c:pt idx="310">
                  <c:v>9.2430381100530225E-3</c:v>
                </c:pt>
                <c:pt idx="311">
                  <c:v>9.2932725759576409E-3</c:v>
                </c:pt>
                <c:pt idx="312">
                  <c:v>9.3434406793815317E-3</c:v>
                </c:pt>
                <c:pt idx="313">
                  <c:v>9.3935530267947424E-3</c:v>
                </c:pt>
                <c:pt idx="314">
                  <c:v>9.4436202082039122E-3</c:v>
                </c:pt>
                <c:pt idx="315">
                  <c:v>9.4936527471819639E-3</c:v>
                </c:pt>
                <c:pt idx="316">
                  <c:v>9.5436610509518609E-3</c:v>
                </c:pt>
                <c:pt idx="317">
                  <c:v>9.5936553608867783E-3</c:v>
                </c:pt>
                <c:pt idx="318">
                  <c:v>9.643645703789297E-3</c:v>
                </c:pt>
                <c:pt idx="319">
                  <c:v>9.6936418443086536E-3</c:v>
                </c:pt>
                <c:pt idx="320">
                  <c:v>9.7436532388490045E-3</c:v>
                </c:pt>
                <c:pt idx="321">
                  <c:v>9.7936889913118053E-3</c:v>
                </c:pt>
                <c:pt idx="322">
                  <c:v>9.8437578110026E-3</c:v>
                </c:pt>
                <c:pt idx="323">
                  <c:v>9.8938679730171276E-3</c:v>
                </c:pt>
                <c:pt idx="324">
                  <c:v>9.9440272814025066E-3</c:v>
                </c:pt>
                <c:pt idx="325">
                  <c:v>9.9942430353682898E-3</c:v>
                </c:pt>
                <c:pt idx="326">
                  <c:v>1.0044521998798033E-2</c:v>
                </c:pt>
                <c:pt idx="327">
                  <c:v>1.0094870373285851E-2</c:v>
                </c:pt>
                <c:pt idx="328">
                  <c:v>1.0145293774893885E-2</c:v>
                </c:pt>
                <c:pt idx="329">
                  <c:v>1.0195797214796682E-2</c:v>
                </c:pt>
                <c:pt idx="330">
                  <c:v>1.0246385083946333E-2</c:v>
                </c:pt>
                <c:pt idx="331">
                  <c:v>1.0297061141859373E-2</c:v>
                </c:pt>
                <c:pt idx="332">
                  <c:v>1.0347828509592299E-2</c:v>
                </c:pt>
                <c:pt idx="333">
                  <c:v>1.0398689666937728E-2</c:v>
                </c:pt>
                <c:pt idx="334">
                  <c:v>1.0449646453838394E-2</c:v>
                </c:pt>
                <c:pt idx="335">
                  <c:v>1.0500700075980878E-2</c:v>
                </c:pt>
                <c:pt idx="336">
                  <c:v>1.0551851114496247E-2</c:v>
                </c:pt>
                <c:pt idx="337">
                  <c:v>1.060309953966094E-2</c:v>
                </c:pt>
                <c:pt idx="338">
                  <c:v>1.0654444728457634E-2</c:v>
                </c:pt>
                <c:pt idx="339">
                  <c:v>1.0705885485824551E-2</c:v>
                </c:pt>
                <c:pt idx="340">
                  <c:v>1.0757420069390873E-2</c:v>
                </c:pt>
                <c:pt idx="341">
                  <c:v>1.0809046217467989E-2</c:v>
                </c:pt>
                <c:pt idx="342">
                  <c:v>1.0860761180039886E-2</c:v>
                </c:pt>
                <c:pt idx="343">
                  <c:v>1.0912561752472063E-2</c:v>
                </c:pt>
                <c:pt idx="344">
                  <c:v>1.0964444311637397E-2</c:v>
                </c:pt>
                <c:pt idx="345">
                  <c:v>1.1016404854138762E-2</c:v>
                </c:pt>
                <c:pt idx="346">
                  <c:v>1.1068439036292864E-2</c:v>
                </c:pt>
                <c:pt idx="347">
                  <c:v>1.1120542215527544E-2</c:v>
                </c:pt>
                <c:pt idx="348">
                  <c:v>1.1172709492835699E-2</c:v>
                </c:pt>
                <c:pt idx="349">
                  <c:v>1.1224935755923217E-2</c:v>
                </c:pt>
                <c:pt idx="350">
                  <c:v>1.1277215722686043E-2</c:v>
                </c:pt>
                <c:pt idx="351">
                  <c:v>1.1329543984652664E-2</c:v>
                </c:pt>
                <c:pt idx="352">
                  <c:v>1.1381915050032275E-2</c:v>
                </c:pt>
                <c:pt idx="353">
                  <c:v>1.1434323386017107E-2</c:v>
                </c:pt>
                <c:pt idx="354">
                  <c:v>1.1486763459997985E-2</c:v>
                </c:pt>
                <c:pt idx="355">
                  <c:v>1.153922977936632E-2</c:v>
                </c:pt>
                <c:pt idx="356">
                  <c:v>1.1591716929592726E-2</c:v>
                </c:pt>
                <c:pt idx="357">
                  <c:v>1.1644219610292187E-2</c:v>
                </c:pt>
                <c:pt idx="358">
                  <c:v>1.1696732669008067E-2</c:v>
                </c:pt>
                <c:pt idx="359">
                  <c:v>1.1749251132471883E-2</c:v>
                </c:pt>
                <c:pt idx="360">
                  <c:v>1.1801770235122551E-2</c:v>
                </c:pt>
                <c:pt idx="361">
                  <c:v>1.1854285444697406E-2</c:v>
                </c:pt>
                <c:pt idx="362">
                  <c:v>1.1906792484737326E-2</c:v>
                </c:pt>
                <c:pt idx="363">
                  <c:v>1.195928735387973E-2</c:v>
                </c:pt>
                <c:pt idx="364">
                  <c:v>1.2011766341845328E-2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1.1078790194703113E-10</c:v>
                </c:pt>
                <c:pt idx="1">
                  <c:v>2.8069676031460391E-9</c:v>
                </c:pt>
                <c:pt idx="2">
                  <c:v>5.586878295912209E-9</c:v>
                </c:pt>
                <c:pt idx="3">
                  <c:v>8.4432686909070826E-9</c:v>
                </c:pt>
                <c:pt idx="4">
                  <c:v>1.1368947179606523E-8</c:v>
                </c:pt>
                <c:pt idx="5">
                  <c:v>1.4356785136968867E-8</c:v>
                </c:pt>
                <c:pt idx="6">
                  <c:v>1.739971117174997E-8</c:v>
                </c:pt>
                <c:pt idx="7">
                  <c:v>2.0490696658280013E-8</c:v>
                </c:pt>
                <c:pt idx="8">
                  <c:v>2.3619477346721142E-8</c:v>
                </c:pt>
                <c:pt idx="9">
                  <c:v>2.6747442437372599E-8</c:v>
                </c:pt>
                <c:pt idx="10">
                  <c:v>2.9845603636029566E-8</c:v>
                </c:pt>
                <c:pt idx="11">
                  <c:v>3.2889550591477093E-8</c:v>
                </c:pt>
                <c:pt idx="12">
                  <c:v>3.5853756829931054E-8</c:v>
                </c:pt>
                <c:pt idx="13">
                  <c:v>3.8711538670979347E-8</c:v>
                </c:pt>
                <c:pt idx="14">
                  <c:v>4.1435007733138547E-8</c:v>
                </c:pt>
                <c:pt idx="15">
                  <c:v>4.4026741507606822E-8</c:v>
                </c:pt>
                <c:pt idx="16">
                  <c:v>4.6535411700798534E-8</c:v>
                </c:pt>
                <c:pt idx="17">
                  <c:v>4.8953685495978321E-8</c:v>
                </c:pt>
                <c:pt idx="18">
                  <c:v>5.127399145028924E-8</c:v>
                </c:pt>
                <c:pt idx="19">
                  <c:v>5.3488793445845321E-8</c:v>
                </c:pt>
                <c:pt idx="20">
                  <c:v>5.5590453340738411E-8</c:v>
                </c:pt>
                <c:pt idx="21">
                  <c:v>5.7570828115218422E-8</c:v>
                </c:pt>
                <c:pt idx="22">
                  <c:v>5.9415883327730236E-8</c:v>
                </c:pt>
                <c:pt idx="23">
                  <c:v>6.1136838789802274E-8</c:v>
                </c:pt>
                <c:pt idx="24">
                  <c:v>6.2814864897523807E-8</c:v>
                </c:pt>
                <c:pt idx="25">
                  <c:v>6.4460490105407824E-8</c:v>
                </c:pt>
                <c:pt idx="26">
                  <c:v>6.6084906512778052E-8</c:v>
                </c:pt>
                <c:pt idx="27">
                  <c:v>6.7699965225424461E-8</c:v>
                </c:pt>
                <c:pt idx="28">
                  <c:v>6.9318181857478684E-8</c:v>
                </c:pt>
                <c:pt idx="29">
                  <c:v>7.1128185659875257E-8</c:v>
                </c:pt>
                <c:pt idx="30">
                  <c:v>7.309202181076072E-8</c:v>
                </c:pt>
                <c:pt idx="31">
                  <c:v>7.5240441892098901E-8</c:v>
                </c:pt>
                <c:pt idx="32">
                  <c:v>7.7605974107346932E-8</c:v>
                </c:pt>
                <c:pt idx="33">
                  <c:v>8.0223088299974579E-8</c:v>
                </c:pt>
                <c:pt idx="34">
                  <c:v>8.3128383987659304E-8</c:v>
                </c:pt>
                <c:pt idx="35">
                  <c:v>8.6360802672192917E-8</c:v>
                </c:pt>
                <c:pt idx="36">
                  <c:v>8.9956304102824763E-8</c:v>
                </c:pt>
                <c:pt idx="37">
                  <c:v>9.4334156621193528E-8</c:v>
                </c:pt>
                <c:pt idx="38">
                  <c:v>9.9535822731655653E-8</c:v>
                </c:pt>
                <c:pt idx="39">
                  <c:v>1.065261835364838E-7</c:v>
                </c:pt>
                <c:pt idx="40">
                  <c:v>1.1453503901285794E-7</c:v>
                </c:pt>
                <c:pt idx="41">
                  <c:v>1.2368201098904545E-7</c:v>
                </c:pt>
                <c:pt idx="42">
                  <c:v>1.3409362298612226E-7</c:v>
                </c:pt>
                <c:pt idx="43">
                  <c:v>1.4523049923609854E-7</c:v>
                </c:pt>
                <c:pt idx="44">
                  <c:v>1.5679239978302694E-7</c:v>
                </c:pt>
                <c:pt idx="45">
                  <c:v>1.6878591957190173E-7</c:v>
                </c:pt>
                <c:pt idx="46">
                  <c:v>1.81217314779985E-7</c:v>
                </c:pt>
                <c:pt idx="47">
                  <c:v>1.9409246932435451E-7</c:v>
                </c:pt>
                <c:pt idx="48">
                  <c:v>2.0741686153298334E-7</c:v>
                </c:pt>
                <c:pt idx="49">
                  <c:v>2.211955310529207E-7</c:v>
                </c:pt>
                <c:pt idx="50">
                  <c:v>2.3543211486669674E-7</c:v>
                </c:pt>
                <c:pt idx="51">
                  <c:v>2.4861328547796704E-7</c:v>
                </c:pt>
                <c:pt idx="52">
                  <c:v>2.5981965349891968E-7</c:v>
                </c:pt>
                <c:pt idx="53">
                  <c:v>2.687673289078419E-7</c:v>
                </c:pt>
                <c:pt idx="54">
                  <c:v>2.7515563523637082E-7</c:v>
                </c:pt>
                <c:pt idx="55">
                  <c:v>2.7866475106386217E-7</c:v>
                </c:pt>
                <c:pt idx="56">
                  <c:v>2.7895442976024179E-7</c:v>
                </c:pt>
                <c:pt idx="57">
                  <c:v>2.7645288723687743E-7</c:v>
                </c:pt>
                <c:pt idx="58">
                  <c:v>2.7208040654061552E-7</c:v>
                </c:pt>
                <c:pt idx="59">
                  <c:v>2.656619445720577E-7</c:v>
                </c:pt>
                <c:pt idx="60">
                  <c:v>2.5701132721340359E-7</c:v>
                </c:pt>
                <c:pt idx="61">
                  <c:v>2.4593047950627829E-7</c:v>
                </c:pt>
                <c:pt idx="62">
                  <c:v>2.3220859612360524E-7</c:v>
                </c:pt>
                <c:pt idx="63">
                  <c:v>2.1562124724044263E-7</c:v>
                </c:pt>
                <c:pt idx="64">
                  <c:v>1.959239834422819E-7</c:v>
                </c:pt>
                <c:pt idx="65">
                  <c:v>1.7444694279939666E-7</c:v>
                </c:pt>
                <c:pt idx="66">
                  <c:v>1.5379742793377542E-7</c:v>
                </c:pt>
                <c:pt idx="67">
                  <c:v>1.3418346670458099E-7</c:v>
                </c:pt>
                <c:pt idx="68">
                  <c:v>1.1582819885022864E-7</c:v>
                </c:pt>
                <c:pt idx="69">
                  <c:v>9.8970926949630253E-8</c:v>
                </c:pt>
                <c:pt idx="70">
                  <c:v>8.3868250469578721E-8</c:v>
                </c:pt>
                <c:pt idx="71">
                  <c:v>7.0759510619007882E-8</c:v>
                </c:pt>
                <c:pt idx="72">
                  <c:v>5.8563557410872821E-8</c:v>
                </c:pt>
                <c:pt idx="73">
                  <c:v>4.744141382850744E-8</c:v>
                </c:pt>
                <c:pt idx="74">
                  <c:v>3.7566086589559238E-8</c:v>
                </c:pt>
                <c:pt idx="75">
                  <c:v>2.9123447703036386E-8</c:v>
                </c:pt>
                <c:pt idx="76">
                  <c:v>2.2313185590197343E-8</c:v>
                </c:pt>
                <c:pt idx="77">
                  <c:v>1.7349830638845946E-8</c:v>
                </c:pt>
                <c:pt idx="78">
                  <c:v>1.4463047712914037E-8</c:v>
                </c:pt>
                <c:pt idx="79">
                  <c:v>1.3959517007245869E-8</c:v>
                </c:pt>
                <c:pt idx="80">
                  <c:v>1.3390949514054627E-8</c:v>
                </c:pt>
                <c:pt idx="81">
                  <c:v>1.2754845009811668E-8</c:v>
                </c:pt>
                <c:pt idx="82">
                  <c:v>1.2048507430346505E-8</c:v>
                </c:pt>
                <c:pt idx="83">
                  <c:v>1.1269025926029549E-8</c:v>
                </c:pt>
                <c:pt idx="84">
                  <c:v>1.0413255106117048E-8</c:v>
                </c:pt>
                <c:pt idx="85">
                  <c:v>9.5942597357184428E-9</c:v>
                </c:pt>
                <c:pt idx="86">
                  <c:v>8.888581927523545E-9</c:v>
                </c:pt>
                <c:pt idx="87">
                  <c:v>8.3146310375956982E-9</c:v>
                </c:pt>
                <c:pt idx="88">
                  <c:v>7.892254596466768E-9</c:v>
                </c:pt>
                <c:pt idx="89">
                  <c:v>7.6428853296955449E-9</c:v>
                </c:pt>
                <c:pt idx="90">
                  <c:v>7.5897031240188717E-9</c:v>
                </c:pt>
                <c:pt idx="91">
                  <c:v>7.7578132882321141E-9</c:v>
                </c:pt>
                <c:pt idx="92">
                  <c:v>8.1740152656363391E-9</c:v>
                </c:pt>
                <c:pt idx="93">
                  <c:v>9.185875115036448E-9</c:v>
                </c:pt>
                <c:pt idx="94">
                  <c:v>1.0751368965695591E-8</c:v>
                </c:pt>
                <c:pt idx="95">
                  <c:v>1.2929138791811407E-8</c:v>
                </c:pt>
                <c:pt idx="96">
                  <c:v>1.5782525070707651E-8</c:v>
                </c:pt>
                <c:pt idx="97">
                  <c:v>1.9379906819416674E-8</c:v>
                </c:pt>
                <c:pt idx="98">
                  <c:v>2.37950618369659E-8</c:v>
                </c:pt>
                <c:pt idx="99">
                  <c:v>3.036624960089836E-8</c:v>
                </c:pt>
                <c:pt idx="100">
                  <c:v>3.9114225241371704E-8</c:v>
                </c:pt>
                <c:pt idx="101">
                  <c:v>5.0258856610785156E-8</c:v>
                </c:pt>
                <c:pt idx="102">
                  <c:v>6.4037545302240121E-8</c:v>
                </c:pt>
                <c:pt idx="103">
                  <c:v>8.0706431120662394E-8</c:v>
                </c:pt>
                <c:pt idx="104">
                  <c:v>1.005416582370877E-7</c:v>
                </c:pt>
                <c:pt idx="105">
                  <c:v>1.238407035693078E-7</c:v>
                </c:pt>
                <c:pt idx="106">
                  <c:v>1.5092485811749143E-7</c:v>
                </c:pt>
                <c:pt idx="107">
                  <c:v>1.8487583794429955E-7</c:v>
                </c:pt>
                <c:pt idx="108">
                  <c:v>2.2583307433398833E-7</c:v>
                </c:pt>
                <c:pt idx="109">
                  <c:v>2.7447847770092817E-7</c:v>
                </c:pt>
                <c:pt idx="110">
                  <c:v>3.3154560674687249E-7</c:v>
                </c:pt>
                <c:pt idx="111">
                  <c:v>3.978221083036679E-7</c:v>
                </c:pt>
                <c:pt idx="112">
                  <c:v>4.7415126736851432E-7</c:v>
                </c:pt>
                <c:pt idx="113">
                  <c:v>5.6670162996712156E-7</c:v>
                </c:pt>
                <c:pt idx="114">
                  <c:v>6.7486447131476905E-7</c:v>
                </c:pt>
                <c:pt idx="115">
                  <c:v>8.0009199029008563E-7</c:v>
                </c:pt>
                <c:pt idx="116">
                  <c:v>9.4393531086635943E-7</c:v>
                </c:pt>
                <c:pt idx="117">
                  <c:v>1.1080483422388593E-6</c:v>
                </c:pt>
                <c:pt idx="118">
                  <c:v>1.2941914463115427E-6</c:v>
                </c:pt>
                <c:pt idx="119">
                  <c:v>1.504234857006496E-6</c:v>
                </c:pt>
                <c:pt idx="120">
                  <c:v>1.7401910106520272E-6</c:v>
                </c:pt>
                <c:pt idx="121">
                  <c:v>2.0106042760765181E-6</c:v>
                </c:pt>
                <c:pt idx="122">
                  <c:v>2.3136235596615376E-6</c:v>
                </c:pt>
                <c:pt idx="123">
                  <c:v>2.6519059800945527E-6</c:v>
                </c:pt>
                <c:pt idx="124">
                  <c:v>3.0282615015386734E-6</c:v>
                </c:pt>
                <c:pt idx="125">
                  <c:v>3.4456563626553144E-6</c:v>
                </c:pt>
                <c:pt idx="126">
                  <c:v>3.9072159454113168E-6</c:v>
                </c:pt>
                <c:pt idx="127">
                  <c:v>4.3907910729356184E-6</c:v>
                </c:pt>
                <c:pt idx="128">
                  <c:v>4.8874716227919995E-6</c:v>
                </c:pt>
                <c:pt idx="129">
                  <c:v>5.3966384827004274E-6</c:v>
                </c:pt>
                <c:pt idx="130">
                  <c:v>5.9175564751570963E-6</c:v>
                </c:pt>
                <c:pt idx="131">
                  <c:v>6.4493669718607729E-6</c:v>
                </c:pt>
                <c:pt idx="132">
                  <c:v>6.9910806326308921E-6</c:v>
                </c:pt>
                <c:pt idx="133">
                  <c:v>7.5415703416652332E-6</c:v>
                </c:pt>
                <c:pt idx="134">
                  <c:v>8.0996584275652909E-6</c:v>
                </c:pt>
                <c:pt idx="135">
                  <c:v>8.6186631034596279E-6</c:v>
                </c:pt>
                <c:pt idx="136">
                  <c:v>9.0804948011882893E-6</c:v>
                </c:pt>
                <c:pt idx="137">
                  <c:v>9.4767626211978088E-6</c:v>
                </c:pt>
                <c:pt idx="138">
                  <c:v>9.7985354315470831E-6</c:v>
                </c:pt>
                <c:pt idx="139">
                  <c:v>1.0036340156188641E-5</c:v>
                </c:pt>
                <c:pt idx="140">
                  <c:v>1.0180163614289867E-5</c:v>
                </c:pt>
                <c:pt idx="141">
                  <c:v>1.0237795718187613E-5</c:v>
                </c:pt>
                <c:pt idx="142">
                  <c:v>1.02438544885819E-5</c:v>
                </c:pt>
                <c:pt idx="143">
                  <c:v>1.019325839084607E-5</c:v>
                </c:pt>
                <c:pt idx="144">
                  <c:v>1.0080791784787741E-5</c:v>
                </c:pt>
                <c:pt idx="145">
                  <c:v>9.9010543969798478E-6</c:v>
                </c:pt>
                <c:pt idx="146">
                  <c:v>9.6484739821432814E-6</c:v>
                </c:pt>
                <c:pt idx="147">
                  <c:v>9.3173208793032367E-6</c:v>
                </c:pt>
                <c:pt idx="148">
                  <c:v>8.9017669199616035E-6</c:v>
                </c:pt>
                <c:pt idx="149">
                  <c:v>8.4355512116930715E-6</c:v>
                </c:pt>
                <c:pt idx="150">
                  <c:v>7.9920945011587132E-6</c:v>
                </c:pt>
                <c:pt idx="151">
                  <c:v>7.5761915470099386E-6</c:v>
                </c:pt>
                <c:pt idx="152">
                  <c:v>7.1928709745367336E-6</c:v>
                </c:pt>
                <c:pt idx="153">
                  <c:v>6.8473862671690349E-6</c:v>
                </c:pt>
                <c:pt idx="154">
                  <c:v>6.5452052608212362E-6</c:v>
                </c:pt>
                <c:pt idx="155">
                  <c:v>6.2973728645414928E-6</c:v>
                </c:pt>
                <c:pt idx="156">
                  <c:v>6.0809217191260014E-6</c:v>
                </c:pt>
                <c:pt idx="157">
                  <c:v>5.8999085944957647E-6</c:v>
                </c:pt>
                <c:pt idx="158">
                  <c:v>5.7585125791566435E-6</c:v>
                </c:pt>
                <c:pt idx="159">
                  <c:v>5.6610241946786995E-6</c:v>
                </c:pt>
                <c:pt idx="160">
                  <c:v>5.6118339226161557E-6</c:v>
                </c:pt>
                <c:pt idx="161">
                  <c:v>5.6154202730195459E-6</c:v>
                </c:pt>
                <c:pt idx="162">
                  <c:v>5.6763966298284989E-6</c:v>
                </c:pt>
                <c:pt idx="163">
                  <c:v>5.7979915788186531E-6</c:v>
                </c:pt>
                <c:pt idx="164">
                  <c:v>5.9245768417484961E-6</c:v>
                </c:pt>
                <c:pt idx="165">
                  <c:v>6.0563716986585196E-6</c:v>
                </c:pt>
                <c:pt idx="166">
                  <c:v>6.1935966472201046E-6</c:v>
                </c:pt>
                <c:pt idx="167">
                  <c:v>6.3364725484592835E-6</c:v>
                </c:pt>
                <c:pt idx="168">
                  <c:v>6.4852197494351731E-6</c:v>
                </c:pt>
                <c:pt idx="169">
                  <c:v>6.6384228815509959E-6</c:v>
                </c:pt>
                <c:pt idx="170">
                  <c:v>6.7883959591362981E-6</c:v>
                </c:pt>
                <c:pt idx="171">
                  <c:v>6.9347572853886687E-6</c:v>
                </c:pt>
                <c:pt idx="172">
                  <c:v>7.0771272453216201E-6</c:v>
                </c:pt>
                <c:pt idx="173">
                  <c:v>7.2150559310527287E-6</c:v>
                </c:pt>
                <c:pt idx="174">
                  <c:v>7.3480888682665442E-6</c:v>
                </c:pt>
                <c:pt idx="175">
                  <c:v>7.475847004799934E-6</c:v>
                </c:pt>
                <c:pt idx="176">
                  <c:v>7.598089227593118E-6</c:v>
                </c:pt>
                <c:pt idx="177">
                  <c:v>7.7235398415397064E-6</c:v>
                </c:pt>
                <c:pt idx="178">
                  <c:v>7.8543192822904897E-6</c:v>
                </c:pt>
                <c:pt idx="179">
                  <c:v>7.9907036818664212E-6</c:v>
                </c:pt>
                <c:pt idx="180">
                  <c:v>8.1329685713587823E-6</c:v>
                </c:pt>
                <c:pt idx="181">
                  <c:v>8.2813883705813195E-6</c:v>
                </c:pt>
                <c:pt idx="182">
                  <c:v>8.4362359309723569E-6</c:v>
                </c:pt>
                <c:pt idx="183">
                  <c:v>8.6843071641118661E-6</c:v>
                </c:pt>
                <c:pt idx="184">
                  <c:v>9.0317369918237551E-6</c:v>
                </c:pt>
                <c:pt idx="185">
                  <c:v>9.4824949844131427E-6</c:v>
                </c:pt>
                <c:pt idx="186">
                  <c:v>1.0040424574391466E-5</c:v>
                </c:pt>
                <c:pt idx="187">
                  <c:v>1.0709241287813652E-5</c:v>
                </c:pt>
                <c:pt idx="188">
                  <c:v>1.1492532231280943E-5</c:v>
                </c:pt>
                <c:pt idx="189">
                  <c:v>1.2393756772797236E-5</c:v>
                </c:pt>
                <c:pt idx="190">
                  <c:v>1.3416299193208914E-5</c:v>
                </c:pt>
                <c:pt idx="191">
                  <c:v>1.4620644471560134E-5</c:v>
                </c:pt>
                <c:pt idx="192">
                  <c:v>1.6000822173725635E-5</c:v>
                </c:pt>
                <c:pt idx="193">
                  <c:v>1.7561302025635838E-5</c:v>
                </c:pt>
                <c:pt idx="194">
                  <c:v>1.9306382316326049E-5</c:v>
                </c:pt>
                <c:pt idx="195">
                  <c:v>2.1240194479950102E-5</c:v>
                </c:pt>
                <c:pt idx="196">
                  <c:v>2.3366708345642744E-5</c:v>
                </c:pt>
                <c:pt idx="197">
                  <c:v>2.5500695980729571E-5</c:v>
                </c:pt>
                <c:pt idx="198">
                  <c:v>2.7537316101672375E-5</c:v>
                </c:pt>
                <c:pt idx="199">
                  <c:v>2.9472034303319356E-5</c:v>
                </c:pt>
                <c:pt idx="200">
                  <c:v>3.1300479594933532E-5</c:v>
                </c:pt>
                <c:pt idx="201">
                  <c:v>3.3018440787486726E-5</c:v>
                </c:pt>
                <c:pt idx="202">
                  <c:v>3.4621862168237193E-5</c:v>
                </c:pt>
                <c:pt idx="203">
                  <c:v>3.6106838594876269E-5</c:v>
                </c:pt>
                <c:pt idx="204">
                  <c:v>3.7469718164163205E-5</c:v>
                </c:pt>
                <c:pt idx="205">
                  <c:v>3.8555900919134263E-5</c:v>
                </c:pt>
                <c:pt idx="206">
                  <c:v>3.9292756454864415E-5</c:v>
                </c:pt>
                <c:pt idx="207">
                  <c:v>3.9672166375775626E-5</c:v>
                </c:pt>
                <c:pt idx="208">
                  <c:v>3.9686289863499799E-5</c:v>
                </c:pt>
                <c:pt idx="209">
                  <c:v>3.9327546471573862E-5</c:v>
                </c:pt>
                <c:pt idx="210">
                  <c:v>3.858859925101144E-5</c:v>
                </c:pt>
                <c:pt idx="211">
                  <c:v>3.751434516663811E-5</c:v>
                </c:pt>
                <c:pt idx="212">
                  <c:v>3.6311819277419179E-5</c:v>
                </c:pt>
                <c:pt idx="213">
                  <c:v>3.4979500208848665E-5</c:v>
                </c:pt>
                <c:pt idx="214">
                  <c:v>3.3515900134034055E-5</c:v>
                </c:pt>
                <c:pt idx="215">
                  <c:v>3.1919561323261097E-5</c:v>
                </c:pt>
                <c:pt idx="216">
                  <c:v>3.0189053058782338E-5</c:v>
                </c:pt>
                <c:pt idx="217">
                  <c:v>2.8322968903457385E-5</c:v>
                </c:pt>
                <c:pt idx="218">
                  <c:v>2.631981818097148E-5</c:v>
                </c:pt>
                <c:pt idx="219">
                  <c:v>2.423769257307381E-5</c:v>
                </c:pt>
                <c:pt idx="220">
                  <c:v>2.2243052169718758E-5</c:v>
                </c:pt>
                <c:pt idx="221">
                  <c:v>2.0338411437802299E-5</c:v>
                </c:pt>
                <c:pt idx="222">
                  <c:v>1.8526197518510847E-5</c:v>
                </c:pt>
                <c:pt idx="223">
                  <c:v>1.6808756138927471E-5</c:v>
                </c:pt>
                <c:pt idx="224">
                  <c:v>1.5188357372478374E-5</c:v>
                </c:pt>
                <c:pt idx="225">
                  <c:v>1.3707249798417095E-5</c:v>
                </c:pt>
                <c:pt idx="226">
                  <c:v>1.2311426017769877E-5</c:v>
                </c:pt>
                <c:pt idx="227">
                  <c:v>1.100270256021137E-5</c:v>
                </c:pt>
                <c:pt idx="228">
                  <c:v>9.7828465594455103E-6</c:v>
                </c:pt>
                <c:pt idx="229">
                  <c:v>8.6535801025284E-6</c:v>
                </c:pt>
                <c:pt idx="230">
                  <c:v>7.6165844601065551E-6</c:v>
                </c:pt>
                <c:pt idx="231">
                  <c:v>6.6735042071405552E-6</c:v>
                </c:pt>
                <c:pt idx="232">
                  <c:v>5.8257273453579201E-6</c:v>
                </c:pt>
                <c:pt idx="233">
                  <c:v>5.0998285485009273E-6</c:v>
                </c:pt>
                <c:pt idx="234">
                  <c:v>4.4336767507484529E-6</c:v>
                </c:pt>
                <c:pt idx="235">
                  <c:v>3.828394996480264E-6</c:v>
                </c:pt>
                <c:pt idx="236">
                  <c:v>3.2850420968264019E-6</c:v>
                </c:pt>
                <c:pt idx="237">
                  <c:v>2.8046193621932607E-6</c:v>
                </c:pt>
                <c:pt idx="238">
                  <c:v>2.3880843213202371E-6</c:v>
                </c:pt>
                <c:pt idx="239">
                  <c:v>2.0445136195137281E-6</c:v>
                </c:pt>
                <c:pt idx="240">
                  <c:v>1.7319702202972993E-6</c:v>
                </c:pt>
                <c:pt idx="241">
                  <c:v>1.4508917896442439E-6</c:v>
                </c:pt>
                <c:pt idx="242">
                  <c:v>1.2017042882940906E-6</c:v>
                </c:pt>
                <c:pt idx="243">
                  <c:v>9.8482772993118269E-7</c:v>
                </c:pt>
                <c:pt idx="244">
                  <c:v>8.0068214073209759E-7</c:v>
                </c:pt>
                <c:pt idx="245">
                  <c:v>6.4969373914490431E-7</c:v>
                </c:pt>
                <c:pt idx="246">
                  <c:v>5.3228906906194883E-7</c:v>
                </c:pt>
                <c:pt idx="247">
                  <c:v>4.5328306866306777E-7</c:v>
                </c:pt>
                <c:pt idx="248">
                  <c:v>3.8641107892240789E-7</c:v>
                </c:pt>
                <c:pt idx="249">
                  <c:v>3.3184108133422294E-7</c:v>
                </c:pt>
                <c:pt idx="250">
                  <c:v>2.8974929740596653E-7</c:v>
                </c:pt>
                <c:pt idx="251">
                  <c:v>2.603195766006805E-7</c:v>
                </c:pt>
                <c:pt idx="252">
                  <c:v>2.4374272293431949E-7</c:v>
                </c:pt>
                <c:pt idx="253">
                  <c:v>2.4333503692414619E-7</c:v>
                </c:pt>
                <c:pt idx="254">
                  <c:v>2.5058729399685364E-7</c:v>
                </c:pt>
                <c:pt idx="255">
                  <c:v>2.6561829133763444E-7</c:v>
                </c:pt>
                <c:pt idx="256">
                  <c:v>2.8854877140083125E-7</c:v>
                </c:pt>
                <c:pt idx="257">
                  <c:v>3.1950079776936114E-7</c:v>
                </c:pt>
                <c:pt idx="258">
                  <c:v>3.5859707500122552E-7</c:v>
                </c:pt>
                <c:pt idx="259">
                  <c:v>4.0596020996607716E-7</c:v>
                </c:pt>
                <c:pt idx="260">
                  <c:v>4.617396803714725E-7</c:v>
                </c:pt>
                <c:pt idx="261">
                  <c:v>5.2333273599616727E-7</c:v>
                </c:pt>
                <c:pt idx="262">
                  <c:v>5.8611087780420585E-7</c:v>
                </c:pt>
                <c:pt idx="263">
                  <c:v>6.500896334611203E-7</c:v>
                </c:pt>
                <c:pt idx="264">
                  <c:v>7.1528040392509923E-7</c:v>
                </c:pt>
                <c:pt idx="265">
                  <c:v>7.8169426397024682E-7</c:v>
                </c:pt>
                <c:pt idx="266">
                  <c:v>8.493366046069193E-7</c:v>
                </c:pt>
                <c:pt idx="267">
                  <c:v>1.0489863993315712E-6</c:v>
                </c:pt>
                <c:pt idx="268">
                  <c:v>1.3794246413464028E-6</c:v>
                </c:pt>
                <c:pt idx="269">
                  <c:v>1.8427323535859354E-6</c:v>
                </c:pt>
                <c:pt idx="270">
                  <c:v>2.4409344959646351E-6</c:v>
                </c:pt>
                <c:pt idx="271">
                  <c:v>3.1759682137643718E-6</c:v>
                </c:pt>
                <c:pt idx="272">
                  <c:v>4.0496491669489056E-6</c:v>
                </c:pt>
                <c:pt idx="273">
                  <c:v>5.0636360003085947E-6</c:v>
                </c:pt>
                <c:pt idx="274">
                  <c:v>6.2196955046867257E-6</c:v>
                </c:pt>
                <c:pt idx="275">
                  <c:v>7.6110476773686462E-6</c:v>
                </c:pt>
                <c:pt idx="276">
                  <c:v>9.2436455576838451E-6</c:v>
                </c:pt>
                <c:pt idx="277">
                  <c:v>1.1120386148722834E-5</c:v>
                </c:pt>
                <c:pt idx="278">
                  <c:v>1.3244053061792716E-5</c:v>
                </c:pt>
                <c:pt idx="279">
                  <c:v>1.5617310735966668E-5</c:v>
                </c:pt>
                <c:pt idx="280">
                  <c:v>1.8242699776045624E-5</c:v>
                </c:pt>
                <c:pt idx="281">
                  <c:v>2.08919408676161E-5</c:v>
                </c:pt>
                <c:pt idx="282">
                  <c:v>2.3423778172380123E-5</c:v>
                </c:pt>
                <c:pt idx="283">
                  <c:v>2.5835865427520851E-5</c:v>
                </c:pt>
                <c:pt idx="284">
                  <c:v>2.8125914431875889E-5</c:v>
                </c:pt>
                <c:pt idx="285">
                  <c:v>3.0291702599526714E-5</c:v>
                </c:pt>
                <c:pt idx="286">
                  <c:v>3.2331080105280271E-5</c:v>
                </c:pt>
                <c:pt idx="287">
                  <c:v>3.4241976507128217E-5</c:v>
                </c:pt>
                <c:pt idx="288">
                  <c:v>3.6023254450780057E-5</c:v>
                </c:pt>
                <c:pt idx="289">
                  <c:v>3.7532470798789933E-5</c:v>
                </c:pt>
                <c:pt idx="290">
                  <c:v>3.8669038199897474E-5</c:v>
                </c:pt>
                <c:pt idx="291">
                  <c:v>3.9428504541558654E-5</c:v>
                </c:pt>
                <c:pt idx="292">
                  <c:v>3.9806525208537337E-5</c:v>
                </c:pt>
                <c:pt idx="293">
                  <c:v>3.9798894717406372E-5</c:v>
                </c:pt>
                <c:pt idx="294">
                  <c:v>3.940157784447407E-5</c:v>
                </c:pt>
                <c:pt idx="295">
                  <c:v>3.8723939391076566E-5</c:v>
                </c:pt>
                <c:pt idx="296">
                  <c:v>3.8007196753972981E-5</c:v>
                </c:pt>
                <c:pt idx="297">
                  <c:v>3.7251315553965363E-5</c:v>
                </c:pt>
                <c:pt idx="298">
                  <c:v>3.6455977966412593E-5</c:v>
                </c:pt>
                <c:pt idx="299">
                  <c:v>3.5620910470959044E-5</c:v>
                </c:pt>
                <c:pt idx="300">
                  <c:v>3.4745885489130263E-5</c:v>
                </c:pt>
                <c:pt idx="301">
                  <c:v>3.3830722990309703E-5</c:v>
                </c:pt>
                <c:pt idx="302">
                  <c:v>3.2877177832339536E-5</c:v>
                </c:pt>
                <c:pt idx="303">
                  <c:v>3.196929758711793E-5</c:v>
                </c:pt>
                <c:pt idx="304">
                  <c:v>3.1254920101021316E-5</c:v>
                </c:pt>
                <c:pt idx="305">
                  <c:v>3.0735379048270557E-5</c:v>
                </c:pt>
                <c:pt idx="306">
                  <c:v>3.0411999739575505E-5</c:v>
                </c:pt>
                <c:pt idx="307">
                  <c:v>3.028609161391526E-5</c:v>
                </c:pt>
                <c:pt idx="308">
                  <c:v>3.0358940464227108E-5</c:v>
                </c:pt>
                <c:pt idx="309">
                  <c:v>3.0684043586077489E-5</c:v>
                </c:pt>
                <c:pt idx="310">
                  <c:v>3.1145476877403703E-5</c:v>
                </c:pt>
                <c:pt idx="311">
                  <c:v>3.1743973359980708E-5</c:v>
                </c:pt>
                <c:pt idx="312">
                  <c:v>3.2480218346705449E-5</c:v>
                </c:pt>
                <c:pt idx="313">
                  <c:v>3.3354840188032536E-5</c:v>
                </c:pt>
                <c:pt idx="314">
                  <c:v>3.4368399879480359E-5</c:v>
                </c:pt>
                <c:pt idx="315">
                  <c:v>3.5521379362921936E-5</c:v>
                </c:pt>
                <c:pt idx="316">
                  <c:v>3.6815731756648601E-5</c:v>
                </c:pt>
                <c:pt idx="317">
                  <c:v>3.8289879848104895E-5</c:v>
                </c:pt>
                <c:pt idx="318">
                  <c:v>3.9860068594307075E-5</c:v>
                </c:pt>
                <c:pt idx="319">
                  <c:v>4.1527186523420628E-5</c:v>
                </c:pt>
                <c:pt idx="320">
                  <c:v>4.3292155309176156E-5</c:v>
                </c:pt>
                <c:pt idx="321">
                  <c:v>4.5155927681434069E-5</c:v>
                </c:pt>
                <c:pt idx="322">
                  <c:v>4.7119484098112617E-5</c:v>
                </c:pt>
                <c:pt idx="323">
                  <c:v>4.9082392741912297E-5</c:v>
                </c:pt>
                <c:pt idx="324">
                  <c:v>5.0991088264939466E-5</c:v>
                </c:pt>
                <c:pt idx="325">
                  <c:v>5.2845508229333997E-5</c:v>
                </c:pt>
                <c:pt idx="326">
                  <c:v>5.4645197023364193E-5</c:v>
                </c:pt>
                <c:pt idx="327">
                  <c:v>5.6389825986214957E-5</c:v>
                </c:pt>
                <c:pt idx="328">
                  <c:v>5.8079278979199474E-5</c:v>
                </c:pt>
                <c:pt idx="329">
                  <c:v>5.9713380091090928E-5</c:v>
                </c:pt>
                <c:pt idx="330">
                  <c:v>6.1299775056868739E-5</c:v>
                </c:pt>
                <c:pt idx="331">
                  <c:v>6.2761638504431122E-5</c:v>
                </c:pt>
                <c:pt idx="332">
                  <c:v>6.405847120754041E-5</c:v>
                </c:pt>
                <c:pt idx="333">
                  <c:v>6.5186077839992978E-5</c:v>
                </c:pt>
                <c:pt idx="334">
                  <c:v>6.6139649707689204E-5</c:v>
                </c:pt>
                <c:pt idx="335">
                  <c:v>6.6913839554646657E-5</c:v>
                </c:pt>
                <c:pt idx="336">
                  <c:v>6.7502849508619284E-5</c:v>
                </c:pt>
                <c:pt idx="337">
                  <c:v>6.7930043139295557E-5</c:v>
                </c:pt>
                <c:pt idx="338">
                  <c:v>6.8295260017210531E-5</c:v>
                </c:pt>
                <c:pt idx="339">
                  <c:v>6.8593280193226136E-5</c:v>
                </c:pt>
                <c:pt idx="340">
                  <c:v>6.8818725909394922E-5</c:v>
                </c:pt>
                <c:pt idx="341">
                  <c:v>6.8966127989306114E-5</c:v>
                </c:pt>
                <c:pt idx="342">
                  <c:v>6.9030002596533294E-5</c:v>
                </c:pt>
                <c:pt idx="343">
                  <c:v>6.900493791968264E-5</c:v>
                </c:pt>
                <c:pt idx="344">
                  <c:v>6.889762488568107E-5</c:v>
                </c:pt>
                <c:pt idx="345">
                  <c:v>6.8717327367116135E-5</c:v>
                </c:pt>
                <c:pt idx="346">
                  <c:v>6.8554123409561766E-5</c:v>
                </c:pt>
                <c:pt idx="347">
                  <c:v>6.840691017854795E-5</c:v>
                </c:pt>
                <c:pt idx="348">
                  <c:v>6.8274566339495717E-5</c:v>
                </c:pt>
                <c:pt idx="349">
                  <c:v>6.8155957057918363E-5</c:v>
                </c:pt>
                <c:pt idx="350">
                  <c:v>6.8049939267859804E-5</c:v>
                </c:pt>
                <c:pt idx="351">
                  <c:v>6.7960214176250689E-5</c:v>
                </c:pt>
                <c:pt idx="352">
                  <c:v>6.7855602000448169E-5</c:v>
                </c:pt>
                <c:pt idx="353">
                  <c:v>6.7735075035668015E-5</c:v>
                </c:pt>
                <c:pt idx="354">
                  <c:v>6.7597678502974356E-5</c:v>
                </c:pt>
                <c:pt idx="355">
                  <c:v>6.7442539386794434E-5</c:v>
                </c:pt>
                <c:pt idx="356">
                  <c:v>6.7268022521864833E-5</c:v>
                </c:pt>
                <c:pt idx="357">
                  <c:v>6.7074231901002241E-5</c:v>
                </c:pt>
                <c:pt idx="358">
                  <c:v>6.6854327000238784E-5</c:v>
                </c:pt>
                <c:pt idx="359">
                  <c:v>6.6604403863374195E-5</c:v>
                </c:pt>
                <c:pt idx="360">
                  <c:v>6.6357282042784962E-5</c:v>
                </c:pt>
                <c:pt idx="361">
                  <c:v>6.6111339666295149E-5</c:v>
                </c:pt>
                <c:pt idx="362">
                  <c:v>6.5869650933052335E-5</c:v>
                </c:pt>
                <c:pt idx="363">
                  <c:v>6.5635201511030739E-5</c:v>
                </c:pt>
                <c:pt idx="364">
                  <c:v>6.5410876390041239E-5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3128"/>
        <c:axId val="358952736"/>
      </c:lineChart>
      <c:dateAx>
        <c:axId val="3589531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2736"/>
        <c:crosses val="autoZero"/>
        <c:auto val="1"/>
        <c:lblOffset val="100"/>
        <c:baseTimeUnit val="days"/>
        <c:majorUnit val="1"/>
        <c:majorTimeUnit val="months"/>
      </c:dateAx>
      <c:valAx>
        <c:axId val="3589527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3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4.5236183810103414E-3</c:v>
                </c:pt>
                <c:pt idx="1">
                  <c:v>4.5454218685905268E-3</c:v>
                </c:pt>
                <c:pt idx="2">
                  <c:v>4.5672248786184921E-3</c:v>
                </c:pt>
                <c:pt idx="3">
                  <c:v>4.5890274111044516E-3</c:v>
                </c:pt>
                <c:pt idx="4">
                  <c:v>4.6108294660590632E-3</c:v>
                </c:pt>
                <c:pt idx="5">
                  <c:v>4.6326310434927631E-3</c:v>
                </c:pt>
                <c:pt idx="6">
                  <c:v>4.6544321434158764E-3</c:v>
                </c:pt>
                <c:pt idx="7">
                  <c:v>4.6762327658390612E-3</c:v>
                </c:pt>
                <c:pt idx="8">
                  <c:v>4.6980329107725316E-3</c:v>
                </c:pt>
                <c:pt idx="9">
                  <c:v>4.7198325782269457E-3</c:v>
                </c:pt>
                <c:pt idx="10">
                  <c:v>4.7416317682127396E-3</c:v>
                </c:pt>
                <c:pt idx="11">
                  <c:v>4.7634304807402383E-3</c:v>
                </c:pt>
                <c:pt idx="12">
                  <c:v>4.7852287158201001E-3</c:v>
                </c:pt>
                <c:pt idx="13">
                  <c:v>4.807026473462539E-3</c:v>
                </c:pt>
                <c:pt idx="14">
                  <c:v>4.828823753678213E-3</c:v>
                </c:pt>
                <c:pt idx="15">
                  <c:v>4.8506205564775584E-3</c:v>
                </c:pt>
                <c:pt idx="16">
                  <c:v>4.8724168818709002E-3</c:v>
                </c:pt>
                <c:pt idx="17">
                  <c:v>4.8942127298687854E-3</c:v>
                </c:pt>
                <c:pt idx="18">
                  <c:v>4.9160081004816503E-3</c:v>
                </c:pt>
                <c:pt idx="19">
                  <c:v>4.9378029937200418E-3</c:v>
                </c:pt>
                <c:pt idx="20">
                  <c:v>4.9595974095942852E-3</c:v>
                </c:pt>
                <c:pt idx="21">
                  <c:v>4.9813913481149275E-3</c:v>
                </c:pt>
                <c:pt idx="22">
                  <c:v>5.0031848092922937E-3</c:v>
                </c:pt>
                <c:pt idx="23">
                  <c:v>5.0249777931370421E-3</c:v>
                </c:pt>
                <c:pt idx="24">
                  <c:v>5.0467702996593866E-3</c:v>
                </c:pt>
                <c:pt idx="25">
                  <c:v>5.0685623288699855E-3</c:v>
                </c:pt>
                <c:pt idx="26">
                  <c:v>5.0903538807792748E-3</c:v>
                </c:pt>
                <c:pt idx="27">
                  <c:v>5.1121449553975795E-3</c:v>
                </c:pt>
                <c:pt idx="28">
                  <c:v>5.1339355527353359E-3</c:v>
                </c:pt>
                <c:pt idx="29">
                  <c:v>5.1557256728032019E-3</c:v>
                </c:pt>
                <c:pt idx="30">
                  <c:v>5.1775153156115028E-3</c:v>
                </c:pt>
                <c:pt idx="31">
                  <c:v>5.1993044811706746E-3</c:v>
                </c:pt>
                <c:pt idx="32">
                  <c:v>5.2210931694912643E-3</c:v>
                </c:pt>
                <c:pt idx="33">
                  <c:v>5.2428813805835972E-3</c:v>
                </c:pt>
                <c:pt idx="34">
                  <c:v>5.2646691144582203E-3</c:v>
                </c:pt>
                <c:pt idx="35">
                  <c:v>5.2864563711255697E-3</c:v>
                </c:pt>
                <c:pt idx="36">
                  <c:v>5.3082431505960814E-3</c:v>
                </c:pt>
                <c:pt idx="37">
                  <c:v>5.3300294528800807E-3</c:v>
                </c:pt>
                <c:pt idx="38">
                  <c:v>5.3518152779883366E-3</c:v>
                </c:pt>
                <c:pt idx="39">
                  <c:v>5.3736006259309521E-3</c:v>
                </c:pt>
                <c:pt idx="40">
                  <c:v>5.3953854967185855E-3</c:v>
                </c:pt>
                <c:pt idx="41">
                  <c:v>5.4171698903616727E-3</c:v>
                </c:pt>
                <c:pt idx="42">
                  <c:v>5.43895380687065E-3</c:v>
                </c:pt>
                <c:pt idx="43">
                  <c:v>5.4607372462559534E-3</c:v>
                </c:pt>
                <c:pt idx="44">
                  <c:v>5.4825202085280189E-3</c:v>
                </c:pt>
                <c:pt idx="45">
                  <c:v>5.5043026936972828E-3</c:v>
                </c:pt>
                <c:pt idx="46">
                  <c:v>5.526084701774181E-3</c:v>
                </c:pt>
                <c:pt idx="47">
                  <c:v>5.5478662327692607E-3</c:v>
                </c:pt>
                <c:pt idx="48">
                  <c:v>5.569647286692847E-3</c:v>
                </c:pt>
                <c:pt idx="49">
                  <c:v>5.591427863555487E-3</c:v>
                </c:pt>
                <c:pt idx="50">
                  <c:v>5.6132079633676168E-3</c:v>
                </c:pt>
                <c:pt idx="51">
                  <c:v>5.6349875861396725E-3</c:v>
                </c:pt>
                <c:pt idx="52">
                  <c:v>5.6567667318819792E-3</c:v>
                </c:pt>
                <c:pt idx="53">
                  <c:v>5.678545400605195E-3</c:v>
                </c:pt>
                <c:pt idx="54">
                  <c:v>5.7003235923197559E-3</c:v>
                </c:pt>
                <c:pt idx="55">
                  <c:v>5.7221013070358762E-3</c:v>
                </c:pt>
                <c:pt idx="56">
                  <c:v>5.7438785447642138E-3</c:v>
                </c:pt>
                <c:pt idx="57">
                  <c:v>5.7656553055152049E-3</c:v>
                </c:pt>
                <c:pt idx="58">
                  <c:v>5.7874315892991746E-3</c:v>
                </c:pt>
                <c:pt idx="59">
                  <c:v>5.8092073961266699E-3</c:v>
                </c:pt>
                <c:pt idx="60">
                  <c:v>5.8309827260081271E-3</c:v>
                </c:pt>
                <c:pt idx="61">
                  <c:v>5.8527575789538711E-3</c:v>
                </c:pt>
                <c:pt idx="62">
                  <c:v>5.87453195497456E-3</c:v>
                </c:pt>
                <c:pt idx="63">
                  <c:v>5.8963058540805191E-3</c:v>
                </c:pt>
                <c:pt idx="64">
                  <c:v>5.9180792762821843E-3</c:v>
                </c:pt>
                <c:pt idx="65">
                  <c:v>5.9398522215899918E-3</c:v>
                </c:pt>
                <c:pt idx="66">
                  <c:v>5.9616246900144887E-3</c:v>
                </c:pt>
                <c:pt idx="67">
                  <c:v>5.983396681566E-3</c:v>
                </c:pt>
                <c:pt idx="68">
                  <c:v>6.0051681962550729E-3</c:v>
                </c:pt>
                <c:pt idx="69">
                  <c:v>6.0269392340920325E-3</c:v>
                </c:pt>
                <c:pt idx="70">
                  <c:v>6.0487097950874258E-3</c:v>
                </c:pt>
                <c:pt idx="71">
                  <c:v>6.070479879251689E-3</c:v>
                </c:pt>
                <c:pt idx="72">
                  <c:v>6.0922494865951471E-3</c:v>
                </c:pt>
                <c:pt idx="73">
                  <c:v>6.1140186171284583E-3</c:v>
                </c:pt>
                <c:pt idx="74">
                  <c:v>6.1357872708618366E-3</c:v>
                </c:pt>
                <c:pt idx="75">
                  <c:v>6.1575554478058292E-3</c:v>
                </c:pt>
                <c:pt idx="76">
                  <c:v>6.1793231479709831E-3</c:v>
                </c:pt>
                <c:pt idx="77">
                  <c:v>6.2010903713675125E-3</c:v>
                </c:pt>
                <c:pt idx="78">
                  <c:v>6.2228571180060754E-3</c:v>
                </c:pt>
                <c:pt idx="79">
                  <c:v>6.244623387896997E-3</c:v>
                </c:pt>
                <c:pt idx="80">
                  <c:v>6.2663891810507133E-3</c:v>
                </c:pt>
                <c:pt idx="81">
                  <c:v>6.2881544974777714E-3</c:v>
                </c:pt>
                <c:pt idx="82">
                  <c:v>6.3099193371884965E-3</c:v>
                </c:pt>
                <c:pt idx="83">
                  <c:v>6.3316837001933246E-3</c:v>
                </c:pt>
                <c:pt idx="84">
                  <c:v>6.3534475865028028E-3</c:v>
                </c:pt>
                <c:pt idx="85">
                  <c:v>6.3752109961273673E-3</c:v>
                </c:pt>
                <c:pt idx="86">
                  <c:v>6.3969739290773431E-3</c:v>
                </c:pt>
                <c:pt idx="87">
                  <c:v>6.4187363853632773E-3</c:v>
                </c:pt>
                <c:pt idx="88">
                  <c:v>6.440498364995495E-3</c:v>
                </c:pt>
                <c:pt idx="89">
                  <c:v>6.4622598679845433E-3</c:v>
                </c:pt>
                <c:pt idx="90">
                  <c:v>6.4840208943408584E-3</c:v>
                </c:pt>
                <c:pt idx="91">
                  <c:v>6.5057814440747652E-3</c:v>
                </c:pt>
                <c:pt idx="92">
                  <c:v>6.527541517196811E-3</c:v>
                </c:pt>
                <c:pt idx="93">
                  <c:v>6.5493011137175428E-3</c:v>
                </c:pt>
                <c:pt idx="94">
                  <c:v>6.5710602336470636E-3</c:v>
                </c:pt>
                <c:pt idx="95">
                  <c:v>6.5928188769961427E-3</c:v>
                </c:pt>
                <c:pt idx="96">
                  <c:v>6.614577043775105E-3</c:v>
                </c:pt>
                <c:pt idx="97">
                  <c:v>6.6363347339942758E-3</c:v>
                </c:pt>
                <c:pt idx="98">
                  <c:v>6.658091947664313E-3</c:v>
                </c:pt>
                <c:pt idx="99">
                  <c:v>6.6798486847954308E-3</c:v>
                </c:pt>
                <c:pt idx="100">
                  <c:v>6.7016049453981763E-3</c:v>
                </c:pt>
                <c:pt idx="101">
                  <c:v>6.7233607294829856E-3</c:v>
                </c:pt>
                <c:pt idx="102">
                  <c:v>6.7451160370602947E-3</c:v>
                </c:pt>
                <c:pt idx="103">
                  <c:v>6.7668708681405398E-3</c:v>
                </c:pt>
                <c:pt idx="104">
                  <c:v>6.788625222734157E-3</c:v>
                </c:pt>
                <c:pt idx="105">
                  <c:v>6.8103791008515824E-3</c:v>
                </c:pt>
                <c:pt idx="106">
                  <c:v>6.832132502503252E-3</c:v>
                </c:pt>
                <c:pt idx="107">
                  <c:v>6.853885427699602E-3</c:v>
                </c:pt>
                <c:pt idx="108">
                  <c:v>6.8756378764510684E-3</c:v>
                </c:pt>
                <c:pt idx="109">
                  <c:v>6.8973898487680874E-3</c:v>
                </c:pt>
                <c:pt idx="110">
                  <c:v>6.919141344660984E-3</c:v>
                </c:pt>
                <c:pt idx="111">
                  <c:v>6.9408923641404163E-3</c:v>
                </c:pt>
                <c:pt idx="112">
                  <c:v>6.9626429072165985E-3</c:v>
                </c:pt>
                <c:pt idx="113">
                  <c:v>6.9843929739001887E-3</c:v>
                </c:pt>
                <c:pt idx="114">
                  <c:v>7.0061425642014008E-3</c:v>
                </c:pt>
                <c:pt idx="115">
                  <c:v>7.0278916781307821E-3</c:v>
                </c:pt>
                <c:pt idx="116">
                  <c:v>7.0496403156987686E-3</c:v>
                </c:pt>
                <c:pt idx="117">
                  <c:v>7.0713884769157964E-3</c:v>
                </c:pt>
                <c:pt idx="118">
                  <c:v>7.0931361617923017E-3</c:v>
                </c:pt>
                <c:pt idx="119">
                  <c:v>7.1148833703386094E-3</c:v>
                </c:pt>
                <c:pt idx="120">
                  <c:v>7.1366301025652668E-3</c:v>
                </c:pt>
                <c:pt idx="121">
                  <c:v>7.1583763584827098E-3</c:v>
                </c:pt>
                <c:pt idx="122">
                  <c:v>7.1801221381013747E-3</c:v>
                </c:pt>
                <c:pt idx="123">
                  <c:v>7.2018674414315864E-3</c:v>
                </c:pt>
                <c:pt idx="124">
                  <c:v>7.2236122684837811E-3</c:v>
                </c:pt>
                <c:pt idx="125">
                  <c:v>7.245356619268617E-3</c:v>
                </c:pt>
                <c:pt idx="126">
                  <c:v>7.2671004937961969E-3</c:v>
                </c:pt>
                <c:pt idx="127">
                  <c:v>7.2888438920772902E-3</c:v>
                </c:pt>
                <c:pt idx="128">
                  <c:v>7.3105868141219998E-3</c:v>
                </c:pt>
                <c:pt idx="129">
                  <c:v>7.3323292599409839E-3</c:v>
                </c:pt>
                <c:pt idx="130">
                  <c:v>7.3540712295446786E-3</c:v>
                </c:pt>
                <c:pt idx="131">
                  <c:v>7.3758127229432979E-3</c:v>
                </c:pt>
                <c:pt idx="132">
                  <c:v>7.3975537401475E-3</c:v>
                </c:pt>
                <c:pt idx="133">
                  <c:v>7.4192942811676099E-3</c:v>
                </c:pt>
                <c:pt idx="134">
                  <c:v>7.4410343460141748E-3</c:v>
                </c:pt>
                <c:pt idx="135">
                  <c:v>7.4627739346974087E-3</c:v>
                </c:pt>
                <c:pt idx="136">
                  <c:v>7.4845130472278587E-3</c:v>
                </c:pt>
                <c:pt idx="137">
                  <c:v>7.506251683615961E-3</c:v>
                </c:pt>
                <c:pt idx="138">
                  <c:v>7.5279898438721515E-3</c:v>
                </c:pt>
                <c:pt idx="139">
                  <c:v>7.5497275280068665E-3</c:v>
                </c:pt>
                <c:pt idx="140">
                  <c:v>7.571464736030431E-3</c:v>
                </c:pt>
                <c:pt idx="141">
                  <c:v>7.5932014679533921E-3</c:v>
                </c:pt>
                <c:pt idx="142">
                  <c:v>7.6149377237861859E-3</c:v>
                </c:pt>
                <c:pt idx="143">
                  <c:v>7.6366735035391375E-3</c:v>
                </c:pt>
                <c:pt idx="144">
                  <c:v>7.658408807222794E-3</c:v>
                </c:pt>
                <c:pt idx="145">
                  <c:v>7.6801436348474805E-3</c:v>
                </c:pt>
                <c:pt idx="146">
                  <c:v>7.7018779864236331E-3</c:v>
                </c:pt>
                <c:pt idx="147">
                  <c:v>7.7236118619616878E-3</c:v>
                </c:pt>
                <c:pt idx="148">
                  <c:v>7.7453452614721918E-3</c:v>
                </c:pt>
                <c:pt idx="149">
                  <c:v>7.7670781849653592E-3</c:v>
                </c:pt>
                <c:pt idx="150">
                  <c:v>7.788810632451848E-3</c:v>
                </c:pt>
                <c:pt idx="151">
                  <c:v>7.8105426039418724E-3</c:v>
                </c:pt>
                <c:pt idx="152">
                  <c:v>7.8322740994459794E-3</c:v>
                </c:pt>
                <c:pt idx="153">
                  <c:v>7.8540051189744942E-3</c:v>
                </c:pt>
                <c:pt idx="154">
                  <c:v>7.8757356625379638E-3</c:v>
                </c:pt>
                <c:pt idx="155">
                  <c:v>7.8974657301467133E-3</c:v>
                </c:pt>
                <c:pt idx="156">
                  <c:v>7.9191953218112898E-3</c:v>
                </c:pt>
                <c:pt idx="157">
                  <c:v>7.9409244375420185E-3</c:v>
                </c:pt>
                <c:pt idx="158">
                  <c:v>7.9626530773493354E-3</c:v>
                </c:pt>
                <c:pt idx="159">
                  <c:v>7.9843812412436765E-3</c:v>
                </c:pt>
                <c:pt idx="160">
                  <c:v>8.0061089292354781E-3</c:v>
                </c:pt>
                <c:pt idx="161">
                  <c:v>8.0278361413351762E-3</c:v>
                </c:pt>
                <c:pt idx="162">
                  <c:v>8.0495628775530959E-3</c:v>
                </c:pt>
                <c:pt idx="163">
                  <c:v>8.0712891378997842E-3</c:v>
                </c:pt>
                <c:pt idx="164">
                  <c:v>8.0930149223855663E-3</c:v>
                </c:pt>
                <c:pt idx="165">
                  <c:v>8.1147402310209893E-3</c:v>
                </c:pt>
                <c:pt idx="166">
                  <c:v>8.1364650638162672E-3</c:v>
                </c:pt>
                <c:pt idx="167">
                  <c:v>8.1581894207820582E-3</c:v>
                </c:pt>
                <c:pt idx="168">
                  <c:v>8.1799133019286874E-3</c:v>
                </c:pt>
                <c:pt idx="169">
                  <c:v>8.2016367072664798E-3</c:v>
                </c:pt>
                <c:pt idx="170">
                  <c:v>8.2233596368059825E-3</c:v>
                </c:pt>
                <c:pt idx="171">
                  <c:v>8.2450820905576316E-3</c:v>
                </c:pt>
                <c:pt idx="172">
                  <c:v>8.2668040685317523E-3</c:v>
                </c:pt>
                <c:pt idx="173">
                  <c:v>8.2885255707387806E-3</c:v>
                </c:pt>
                <c:pt idx="174">
                  <c:v>8.3102465971891526E-3</c:v>
                </c:pt>
                <c:pt idx="175">
                  <c:v>8.3319671478934154E-3</c:v>
                </c:pt>
                <c:pt idx="176">
                  <c:v>8.3536872228617831E-3</c:v>
                </c:pt>
                <c:pt idx="177">
                  <c:v>8.3754068221046918E-3</c:v>
                </c:pt>
                <c:pt idx="178">
                  <c:v>8.3971259456327996E-3</c:v>
                </c:pt>
                <c:pt idx="179">
                  <c:v>8.4188445934562095E-3</c:v>
                </c:pt>
                <c:pt idx="180">
                  <c:v>8.4405627655855797E-3</c:v>
                </c:pt>
                <c:pt idx="181">
                  <c:v>8.4622804620312353E-3</c:v>
                </c:pt>
                <c:pt idx="182">
                  <c:v>8.4839976828036123E-3</c:v>
                </c:pt>
                <c:pt idx="183">
                  <c:v>8.5057144279130359E-3</c:v>
                </c:pt>
                <c:pt idx="184">
                  <c:v>8.5274306973701641E-3</c:v>
                </c:pt>
                <c:pt idx="185">
                  <c:v>8.5491464911851001E-3</c:v>
                </c:pt>
                <c:pt idx="186">
                  <c:v>8.5708618093685018E-3</c:v>
                </c:pt>
                <c:pt idx="187">
                  <c:v>8.5925766519306945E-3</c:v>
                </c:pt>
                <c:pt idx="188">
                  <c:v>8.6142910188821142E-3</c:v>
                </c:pt>
                <c:pt idx="189">
                  <c:v>8.636004910233086E-3</c:v>
                </c:pt>
                <c:pt idx="190">
                  <c:v>8.657718325994268E-3</c:v>
                </c:pt>
                <c:pt idx="191">
                  <c:v>8.6794312661757633E-3</c:v>
                </c:pt>
                <c:pt idx="192">
                  <c:v>8.70114373078823E-3</c:v>
                </c:pt>
                <c:pt idx="193">
                  <c:v>8.7228557198419931E-3</c:v>
                </c:pt>
                <c:pt idx="194">
                  <c:v>8.7445672333473778E-3</c:v>
                </c:pt>
                <c:pt idx="195">
                  <c:v>8.7662782713150422E-3</c:v>
                </c:pt>
                <c:pt idx="196">
                  <c:v>8.7879888337552003E-3</c:v>
                </c:pt>
                <c:pt idx="197">
                  <c:v>8.8096989206782883E-3</c:v>
                </c:pt>
                <c:pt idx="198">
                  <c:v>8.8314085320947422E-3</c:v>
                </c:pt>
                <c:pt idx="199">
                  <c:v>8.8531176680149981E-3</c:v>
                </c:pt>
                <c:pt idx="200">
                  <c:v>8.8748263284494922E-3</c:v>
                </c:pt>
                <c:pt idx="201">
                  <c:v>8.8965345134086604E-3</c:v>
                </c:pt>
                <c:pt idx="202">
                  <c:v>8.918242222902828E-3</c:v>
                </c:pt>
                <c:pt idx="203">
                  <c:v>8.9399494569424309E-3</c:v>
                </c:pt>
                <c:pt idx="204">
                  <c:v>8.9616562155379054E-3</c:v>
                </c:pt>
                <c:pt idx="205">
                  <c:v>8.9833624986995764E-3</c:v>
                </c:pt>
                <c:pt idx="206">
                  <c:v>9.0050683064379911E-3</c:v>
                </c:pt>
                <c:pt idx="207">
                  <c:v>9.0267736387635855E-3</c:v>
                </c:pt>
                <c:pt idx="208">
                  <c:v>9.0484784956865738E-3</c:v>
                </c:pt>
                <c:pt idx="209">
                  <c:v>9.0701828772176141E-3</c:v>
                </c:pt>
                <c:pt idx="210">
                  <c:v>9.0918867833669204E-3</c:v>
                </c:pt>
                <c:pt idx="211">
                  <c:v>9.1135902141450398E-3</c:v>
                </c:pt>
                <c:pt idx="212">
                  <c:v>9.1352931695622974E-3</c:v>
                </c:pt>
                <c:pt idx="213">
                  <c:v>9.1569956496290184E-3</c:v>
                </c:pt>
                <c:pt idx="214">
                  <c:v>9.1786976543558607E-3</c:v>
                </c:pt>
                <c:pt idx="215">
                  <c:v>9.2003991837530386E-3</c:v>
                </c:pt>
                <c:pt idx="216">
                  <c:v>9.222100237831099E-3</c:v>
                </c:pt>
                <c:pt idx="217">
                  <c:v>9.2438008166003671E-3</c:v>
                </c:pt>
                <c:pt idx="218">
                  <c:v>9.265500920071168E-3</c:v>
                </c:pt>
                <c:pt idx="219">
                  <c:v>9.2872005482541597E-3</c:v>
                </c:pt>
                <c:pt idx="220">
                  <c:v>9.3088997011595565E-3</c:v>
                </c:pt>
                <c:pt idx="221">
                  <c:v>9.3305983787976832E-3</c:v>
                </c:pt>
                <c:pt idx="222">
                  <c:v>9.352296581179198E-3</c:v>
                </c:pt>
                <c:pt idx="223">
                  <c:v>9.3739943083144261E-3</c:v>
                </c:pt>
                <c:pt idx="224">
                  <c:v>9.3956915602136926E-3</c:v>
                </c:pt>
                <c:pt idx="225">
                  <c:v>9.4173883368874334E-3</c:v>
                </c:pt>
                <c:pt idx="226">
                  <c:v>9.4390846383460847E-3</c:v>
                </c:pt>
                <c:pt idx="227">
                  <c:v>9.4607804646000826E-3</c:v>
                </c:pt>
                <c:pt idx="228">
                  <c:v>9.4824758156598632E-3</c:v>
                </c:pt>
                <c:pt idx="229">
                  <c:v>9.5041706915357516E-3</c:v>
                </c:pt>
                <c:pt idx="230">
                  <c:v>9.5258650922380728E-3</c:v>
                </c:pt>
                <c:pt idx="231">
                  <c:v>9.5475590177774849E-3</c:v>
                </c:pt>
                <c:pt idx="232">
                  <c:v>9.5692524681640911E-3</c:v>
                </c:pt>
                <c:pt idx="233">
                  <c:v>9.5909454434085495E-3</c:v>
                </c:pt>
                <c:pt idx="234">
                  <c:v>9.6126379435211851E-3</c:v>
                </c:pt>
                <c:pt idx="235">
                  <c:v>9.634329968512434E-3</c:v>
                </c:pt>
                <c:pt idx="236">
                  <c:v>9.6560215183926212E-3</c:v>
                </c:pt>
                <c:pt idx="237">
                  <c:v>9.677712593172183E-3</c:v>
                </c:pt>
                <c:pt idx="238">
                  <c:v>9.6994031928615554E-3</c:v>
                </c:pt>
                <c:pt idx="239">
                  <c:v>9.7210933174710634E-3</c:v>
                </c:pt>
                <c:pt idx="240">
                  <c:v>9.7427829670112542E-3</c:v>
                </c:pt>
                <c:pt idx="241">
                  <c:v>9.7644721414924529E-3</c:v>
                </c:pt>
                <c:pt idx="242">
                  <c:v>9.7861608409249845E-3</c:v>
                </c:pt>
                <c:pt idx="243">
                  <c:v>9.8078490653193962E-3</c:v>
                </c:pt>
                <c:pt idx="244">
                  <c:v>9.8295368146860129E-3</c:v>
                </c:pt>
                <c:pt idx="245">
                  <c:v>9.8512240890352709E-3</c:v>
                </c:pt>
                <c:pt idx="246">
                  <c:v>9.8729108883776062E-3</c:v>
                </c:pt>
                <c:pt idx="247">
                  <c:v>9.8945972127233439E-3</c:v>
                </c:pt>
                <c:pt idx="248">
                  <c:v>9.9162830620829201E-3</c:v>
                </c:pt>
                <c:pt idx="249">
                  <c:v>9.9379684364667709E-3</c:v>
                </c:pt>
                <c:pt idx="250">
                  <c:v>9.9596533358852213E-3</c:v>
                </c:pt>
                <c:pt idx="251">
                  <c:v>9.9813377603487075E-3</c:v>
                </c:pt>
                <c:pt idx="252">
                  <c:v>1.0003021709867665E-2</c:v>
                </c:pt>
                <c:pt idx="253">
                  <c:v>1.0024705184452531E-2</c:v>
                </c:pt>
                <c:pt idx="254">
                  <c:v>1.0046388184113519E-2</c:v>
                </c:pt>
                <c:pt idx="255">
                  <c:v>1.0068070708861288E-2</c:v>
                </c:pt>
                <c:pt idx="256">
                  <c:v>1.0089752758706161E-2</c:v>
                </c:pt>
                <c:pt idx="257">
                  <c:v>1.0111434333658353E-2</c:v>
                </c:pt>
                <c:pt idx="258">
                  <c:v>1.0133115433728523E-2</c:v>
                </c:pt>
                <c:pt idx="259">
                  <c:v>1.0154796058926885E-2</c:v>
                </c:pt>
                <c:pt idx="260">
                  <c:v>1.0176476209263985E-2</c:v>
                </c:pt>
                <c:pt idx="261">
                  <c:v>1.0198155884750038E-2</c:v>
                </c:pt>
                <c:pt idx="262">
                  <c:v>1.0219835085395701E-2</c:v>
                </c:pt>
                <c:pt idx="263">
                  <c:v>1.0241513811211078E-2</c:v>
                </c:pt>
                <c:pt idx="264">
                  <c:v>1.0263192062206827E-2</c:v>
                </c:pt>
                <c:pt idx="265">
                  <c:v>1.0284869838393274E-2</c:v>
                </c:pt>
                <c:pt idx="266">
                  <c:v>1.0306547139780742E-2</c:v>
                </c:pt>
                <c:pt idx="267">
                  <c:v>1.0328223966379668E-2</c:v>
                </c:pt>
                <c:pt idx="268">
                  <c:v>1.0349900318200489E-2</c:v>
                </c:pt>
                <c:pt idx="269">
                  <c:v>1.0371576195253529E-2</c:v>
                </c:pt>
                <c:pt idx="270">
                  <c:v>1.0393251597549225E-2</c:v>
                </c:pt>
                <c:pt idx="271">
                  <c:v>1.0414926525098012E-2</c:v>
                </c:pt>
                <c:pt idx="272">
                  <c:v>1.0436600977910215E-2</c:v>
                </c:pt>
                <c:pt idx="273">
                  <c:v>1.0458274955996383E-2</c:v>
                </c:pt>
                <c:pt idx="274">
                  <c:v>1.0479948459366728E-2</c:v>
                </c:pt>
                <c:pt idx="275">
                  <c:v>1.0501621488031687E-2</c:v>
                </c:pt>
                <c:pt idx="276">
                  <c:v>1.0523294042001807E-2</c:v>
                </c:pt>
                <c:pt idx="277">
                  <c:v>1.0544966121287302E-2</c:v>
                </c:pt>
                <c:pt idx="278">
                  <c:v>1.0566637725898609E-2</c:v>
                </c:pt>
                <c:pt idx="279">
                  <c:v>1.0588308855846162E-2</c:v>
                </c:pt>
                <c:pt idx="280">
                  <c:v>1.0609979511140399E-2</c:v>
                </c:pt>
                <c:pt idx="281">
                  <c:v>1.0631649691791645E-2</c:v>
                </c:pt>
                <c:pt idx="282">
                  <c:v>1.0653319397810335E-2</c:v>
                </c:pt>
                <c:pt idx="283">
                  <c:v>1.0674988629206905E-2</c:v>
                </c:pt>
                <c:pt idx="284">
                  <c:v>1.069665738599157E-2</c:v>
                </c:pt>
                <c:pt idx="285">
                  <c:v>1.0718325668174988E-2</c:v>
                </c:pt>
                <c:pt idx="286">
                  <c:v>1.0739993475767262E-2</c:v>
                </c:pt>
                <c:pt idx="287">
                  <c:v>1.076166080877905E-2</c:v>
                </c:pt>
                <c:pt idx="288">
                  <c:v>1.0783327667220677E-2</c:v>
                </c:pt>
                <c:pt idx="289">
                  <c:v>1.0804994051102357E-2</c:v>
                </c:pt>
                <c:pt idx="290">
                  <c:v>1.0826659960434748E-2</c:v>
                </c:pt>
                <c:pt idx="291">
                  <c:v>1.0848325395228064E-2</c:v>
                </c:pt>
                <c:pt idx="292">
                  <c:v>1.0869990355492742E-2</c:v>
                </c:pt>
                <c:pt idx="293">
                  <c:v>1.0891654841239218E-2</c:v>
                </c:pt>
                <c:pt idx="294">
                  <c:v>1.0913318852477816E-2</c:v>
                </c:pt>
                <c:pt idx="295">
                  <c:v>1.0934982389218972E-2</c:v>
                </c:pt>
                <c:pt idx="296">
                  <c:v>1.0956645451473124E-2</c:v>
                </c:pt>
                <c:pt idx="297">
                  <c:v>1.0978308039250595E-2</c:v>
                </c:pt>
                <c:pt idx="298">
                  <c:v>1.0999970152561822E-2</c:v>
                </c:pt>
                <c:pt idx="299">
                  <c:v>1.102163179141713E-2</c:v>
                </c:pt>
                <c:pt idx="300">
                  <c:v>1.1043292955826955E-2</c:v>
                </c:pt>
                <c:pt idx="301">
                  <c:v>1.1064953645801734E-2</c:v>
                </c:pt>
                <c:pt idx="302">
                  <c:v>1.1086613861351791E-2</c:v>
                </c:pt>
                <c:pt idx="303">
                  <c:v>1.1108273602487562E-2</c:v>
                </c:pt>
                <c:pt idx="304">
                  <c:v>1.1129932869219372E-2</c:v>
                </c:pt>
                <c:pt idx="305">
                  <c:v>1.1151591661557658E-2</c:v>
                </c:pt>
                <c:pt idx="306">
                  <c:v>1.1173249979512745E-2</c:v>
                </c:pt>
                <c:pt idx="307">
                  <c:v>1.1194907823095179E-2</c:v>
                </c:pt>
                <c:pt idx="308">
                  <c:v>1.1216565192315286E-2</c:v>
                </c:pt>
                <c:pt idx="309">
                  <c:v>1.1238222087183281E-2</c:v>
                </c:pt>
                <c:pt idx="310">
                  <c:v>1.125987850770982E-2</c:v>
                </c:pt>
                <c:pt idx="311">
                  <c:v>1.1281534453905118E-2</c:v>
                </c:pt>
                <c:pt idx="312">
                  <c:v>1.1303189925779611E-2</c:v>
                </c:pt>
                <c:pt idx="313">
                  <c:v>1.1324844923343735E-2</c:v>
                </c:pt>
                <c:pt idx="314">
                  <c:v>1.1346499446607816E-2</c:v>
                </c:pt>
                <c:pt idx="315">
                  <c:v>1.1368153495582289E-2</c:v>
                </c:pt>
                <c:pt idx="316">
                  <c:v>1.138980707027748E-2</c:v>
                </c:pt>
                <c:pt idx="317">
                  <c:v>1.1411460170703824E-2</c:v>
                </c:pt>
                <c:pt idx="318">
                  <c:v>1.1433112796871647E-2</c:v>
                </c:pt>
                <c:pt idx="319">
                  <c:v>1.1454764948791496E-2</c:v>
                </c:pt>
                <c:pt idx="320">
                  <c:v>1.1476416626473585E-2</c:v>
                </c:pt>
                <c:pt idx="321">
                  <c:v>1.1498067829928349E-2</c:v>
                </c:pt>
                <c:pt idx="322">
                  <c:v>1.1519718559166225E-2</c:v>
                </c:pt>
                <c:pt idx="323">
                  <c:v>1.1541368814197539E-2</c:v>
                </c:pt>
                <c:pt idx="324">
                  <c:v>1.1563018595032615E-2</c:v>
                </c:pt>
                <c:pt idx="325">
                  <c:v>1.1584667901682111E-2</c:v>
                </c:pt>
                <c:pt idx="326">
                  <c:v>1.160631673415613E-2</c:v>
                </c:pt>
                <c:pt idx="327">
                  <c:v>1.1627965092465109E-2</c:v>
                </c:pt>
                <c:pt idx="328">
                  <c:v>1.1649612976619594E-2</c:v>
                </c:pt>
                <c:pt idx="329">
                  <c:v>1.16712603866298E-2</c:v>
                </c:pt>
                <c:pt idx="330">
                  <c:v>1.1692907322506163E-2</c:v>
                </c:pt>
                <c:pt idx="331">
                  <c:v>1.1714553784259119E-2</c:v>
                </c:pt>
                <c:pt idx="332">
                  <c:v>1.1736199771898992E-2</c:v>
                </c:pt>
                <c:pt idx="333">
                  <c:v>1.1757845285436108E-2</c:v>
                </c:pt>
                <c:pt idx="334">
                  <c:v>1.1779490324881015E-2</c:v>
                </c:pt>
                <c:pt idx="335">
                  <c:v>1.1801134890244036E-2</c:v>
                </c:pt>
                <c:pt idx="336">
                  <c:v>1.1822778981535387E-2</c:v>
                </c:pt>
                <c:pt idx="337">
                  <c:v>1.1844422598765725E-2</c:v>
                </c:pt>
                <c:pt idx="338">
                  <c:v>1.1866065741945264E-2</c:v>
                </c:pt>
                <c:pt idx="339">
                  <c:v>1.1887708411084441E-2</c:v>
                </c:pt>
                <c:pt idx="340">
                  <c:v>1.1909350606193581E-2</c:v>
                </c:pt>
                <c:pt idx="341">
                  <c:v>1.1930992327283008E-2</c:v>
                </c:pt>
                <c:pt idx="342">
                  <c:v>1.195263357436338E-2</c:v>
                </c:pt>
                <c:pt idx="343">
                  <c:v>1.1974274347444802E-2</c:v>
                </c:pt>
                <c:pt idx="344">
                  <c:v>1.199591464653782E-2</c:v>
                </c:pt>
                <c:pt idx="345">
                  <c:v>1.2017554471652647E-2</c:v>
                </c:pt>
                <c:pt idx="346">
                  <c:v>1.2039193822799832E-2</c:v>
                </c:pt>
                <c:pt idx="347">
                  <c:v>1.2060832699989699E-2</c:v>
                </c:pt>
                <c:pt idx="348">
                  <c:v>1.2082471103232573E-2</c:v>
                </c:pt>
                <c:pt idx="349">
                  <c:v>1.210410903253889E-2</c:v>
                </c:pt>
                <c:pt idx="350">
                  <c:v>1.2125746487919087E-2</c:v>
                </c:pt>
                <c:pt idx="351">
                  <c:v>1.2147383469383488E-2</c:v>
                </c:pt>
                <c:pt idx="352">
                  <c:v>1.2169019976942308E-2</c:v>
                </c:pt>
                <c:pt idx="353">
                  <c:v>1.2190656010606205E-2</c:v>
                </c:pt>
                <c:pt idx="354">
                  <c:v>1.2212291570385503E-2</c:v>
                </c:pt>
                <c:pt idx="355">
                  <c:v>1.2233926656290417E-2</c:v>
                </c:pt>
                <c:pt idx="356">
                  <c:v>1.2255561268331383E-2</c:v>
                </c:pt>
                <c:pt idx="357">
                  <c:v>1.2277195406518948E-2</c:v>
                </c:pt>
                <c:pt idx="358">
                  <c:v>1.2298829070863326E-2</c:v>
                </c:pt>
                <c:pt idx="359">
                  <c:v>1.2320462261374843E-2</c:v>
                </c:pt>
                <c:pt idx="360">
                  <c:v>1.2342094978064044E-2</c:v>
                </c:pt>
                <c:pt idx="361">
                  <c:v>1.2363727220941256E-2</c:v>
                </c:pt>
                <c:pt idx="362">
                  <c:v>1.2385358990016804E-2</c:v>
                </c:pt>
                <c:pt idx="363">
                  <c:v>1.2406990285301012E-2</c:v>
                </c:pt>
                <c:pt idx="364">
                  <c:v>1.2428621106804427E-2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1.206422604205745E-2</c:v>
                </c:pt>
                <c:pt idx="1">
                  <c:v>1.211666336086566E-2</c:v>
                </c:pt>
                <c:pt idx="2">
                  <c:v>1.2169075523378627E-2</c:v>
                </c:pt>
                <c:pt idx="3">
                  <c:v>1.2221460075943505E-2</c:v>
                </c:pt>
                <c:pt idx="4">
                  <c:v>1.227381488534127E-2</c:v>
                </c:pt>
                <c:pt idx="5">
                  <c:v>1.232613813479805E-2</c:v>
                </c:pt>
                <c:pt idx="6">
                  <c:v>1.2378428316942179E-2</c:v>
                </c:pt>
                <c:pt idx="7">
                  <c:v>1.2430684223864499E-2</c:v>
                </c:pt>
                <c:pt idx="8">
                  <c:v>1.2482904934465522E-2</c:v>
                </c:pt>
                <c:pt idx="9">
                  <c:v>1.2535089799296946E-2</c:v>
                </c:pt>
                <c:pt idx="10">
                  <c:v>1.2587238423126545E-2</c:v>
                </c:pt>
                <c:pt idx="11">
                  <c:v>1.2639350645474483E-2</c:v>
                </c:pt>
                <c:pt idx="12">
                  <c:v>1.2691426519385372E-2</c:v>
                </c:pt>
                <c:pt idx="13">
                  <c:v>1.27434662887139E-2</c:v>
                </c:pt>
                <c:pt idx="14">
                  <c:v>1.2795470364212238E-2</c:v>
                </c:pt>
                <c:pt idx="15">
                  <c:v>1.2847439298714876E-2</c:v>
                </c:pt>
                <c:pt idx="16">
                  <c:v>1.2899373761721074E-2</c:v>
                </c:pt>
                <c:pt idx="17">
                  <c:v>1.2951274513676014E-2</c:v>
                </c:pt>
                <c:pt idx="18">
                  <c:v>1.3003142380250295E-2</c:v>
                </c:pt>
                <c:pt idx="19">
                  <c:v>1.3054978226912232E-2</c:v>
                </c:pt>
                <c:pt idx="20">
                  <c:v>1.3106782934079802E-2</c:v>
                </c:pt>
                <c:pt idx="21">
                  <c:v>1.3158557373128335E-2</c:v>
                </c:pt>
                <c:pt idx="22">
                  <c:v>1.3210302383516706E-2</c:v>
                </c:pt>
                <c:pt idx="23">
                  <c:v>1.3262018751278939E-2</c:v>
                </c:pt>
                <c:pt idx="24">
                  <c:v>1.3313707189109882E-2</c:v>
                </c:pt>
                <c:pt idx="25">
                  <c:v>1.3365368318253294E-2</c:v>
                </c:pt>
                <c:pt idx="26">
                  <c:v>1.341700265237839E-2</c:v>
                </c:pt>
                <c:pt idx="27">
                  <c:v>1.3468610583607139E-2</c:v>
                </c:pt>
                <c:pt idx="28">
                  <c:v>1.3520192370829361E-2</c:v>
                </c:pt>
                <c:pt idx="29">
                  <c:v>1.3571748130416226E-2</c:v>
                </c:pt>
                <c:pt idx="30">
                  <c:v>1.3623277829415923E-2</c:v>
                </c:pt>
                <c:pt idx="31">
                  <c:v>1.3674781281287351E-2</c:v>
                </c:pt>
                <c:pt idx="32">
                  <c:v>1.3726258144200318E-2</c:v>
                </c:pt>
                <c:pt idx="33">
                  <c:v>1.3777707921902473E-2</c:v>
                </c:pt>
                <c:pt idx="34">
                  <c:v>1.3829129967126491E-2</c:v>
                </c:pt>
                <c:pt idx="35">
                  <c:v>1.3880523487483944E-2</c:v>
                </c:pt>
                <c:pt idx="36">
                  <c:v>1.3931887553766809E-2</c:v>
                </c:pt>
                <c:pt idx="37">
                  <c:v>1.3983221110553093E-2</c:v>
                </c:pt>
                <c:pt idx="38">
                  <c:v>1.4034522988990002E-2</c:v>
                </c:pt>
                <c:pt idx="39">
                  <c:v>1.4085791921606722E-2</c:v>
                </c:pt>
                <c:pt idx="40">
                  <c:v>1.4137026558989494E-2</c:v>
                </c:pt>
                <c:pt idx="41">
                  <c:v>1.4188225488134316E-2</c:v>
                </c:pt>
                <c:pt idx="42">
                  <c:v>1.4239387252277323E-2</c:v>
                </c:pt>
                <c:pt idx="43">
                  <c:v>1.4290510371990348E-2</c:v>
                </c:pt>
                <c:pt idx="44">
                  <c:v>1.4341593367318625E-2</c:v>
                </c:pt>
                <c:pt idx="45">
                  <c:v>1.4392634780729977E-2</c:v>
                </c:pt>
                <c:pt idx="46">
                  <c:v>1.4443633200639606E-2</c:v>
                </c:pt>
                <c:pt idx="47">
                  <c:v>1.4494587285271941E-2</c:v>
                </c:pt>
                <c:pt idx="48">
                  <c:v>1.454549578662114E-2</c:v>
                </c:pt>
                <c:pt idx="49">
                  <c:v>1.4596357574274308E-2</c:v>
                </c:pt>
                <c:pt idx="50">
                  <c:v>1.4647171658866502E-2</c:v>
                </c:pt>
                <c:pt idx="51">
                  <c:v>1.4697937214944029E-2</c:v>
                </c:pt>
                <c:pt idx="52">
                  <c:v>1.4748653603022244E-2</c:v>
                </c:pt>
                <c:pt idx="53">
                  <c:v>1.4799320390635806E-2</c:v>
                </c:pt>
                <c:pt idx="54">
                  <c:v>1.4849937372192847E-2</c:v>
                </c:pt>
                <c:pt idx="55">
                  <c:v>1.4900504587460367E-2</c:v>
                </c:pt>
                <c:pt idx="56">
                  <c:v>1.4951022338524696E-2</c:v>
                </c:pt>
                <c:pt idx="57">
                  <c:v>1.5001491205089543E-2</c:v>
                </c:pt>
                <c:pt idx="58">
                  <c:v>1.5051912057993251E-2</c:v>
                </c:pt>
                <c:pt idx="59">
                  <c:v>1.5102286070847164E-2</c:v>
                </c:pt>
                <c:pt idx="60">
                  <c:v>1.5152614729717928E-2</c:v>
                </c:pt>
                <c:pt idx="61">
                  <c:v>1.5202899840797406E-2</c:v>
                </c:pt>
                <c:pt idx="62">
                  <c:v>1.5253143536025363E-2</c:v>
                </c:pt>
                <c:pt idx="63">
                  <c:v>1.5303348276650681E-2</c:v>
                </c:pt>
                <c:pt idx="64">
                  <c:v>1.5353516854737887E-2</c:v>
                </c:pt>
                <c:pt idx="65">
                  <c:v>1.5403652392645253E-2</c:v>
                </c:pt>
                <c:pt idx="66">
                  <c:v>1.5453758340519895E-2</c:v>
                </c:pt>
                <c:pt idx="67">
                  <c:v>1.5503838471873251E-2</c:v>
                </c:pt>
                <c:pt idx="68">
                  <c:v>1.5553896877316623E-2</c:v>
                </c:pt>
                <c:pt idx="69">
                  <c:v>1.5603937956551774E-2</c:v>
                </c:pt>
                <c:pt idx="70">
                  <c:v>1.565396640872482E-2</c:v>
                </c:pt>
                <c:pt idx="71">
                  <c:v>1.5703987221263427E-2</c:v>
                </c:pt>
                <c:pt idx="72">
                  <c:v>1.575400565732684E-2</c:v>
                </c:pt>
                <c:pt idx="73">
                  <c:v>1.5804027242006285E-2</c:v>
                </c:pt>
                <c:pt idx="74">
                  <c:v>1.5854057747418777E-2</c:v>
                </c:pt>
                <c:pt idx="75">
                  <c:v>1.5904103176841086E-2</c:v>
                </c:pt>
                <c:pt idx="76">
                  <c:v>1.595416974803212E-2</c:v>
                </c:pt>
                <c:pt idx="77">
                  <c:v>1.6004263875891645E-2</c:v>
                </c:pt>
                <c:pt idx="78">
                  <c:v>1.6054392154600319E-2</c:v>
                </c:pt>
                <c:pt idx="79">
                  <c:v>1.6104561339382241E-2</c:v>
                </c:pt>
                <c:pt idx="80">
                  <c:v>1.615477832802413E-2</c:v>
                </c:pt>
                <c:pt idx="81">
                  <c:v>1.6205050142277931E-2</c:v>
                </c:pt>
                <c:pt idx="82">
                  <c:v>1.6255383909263697E-2</c:v>
                </c:pt>
                <c:pt idx="83">
                  <c:v>1.6305786842978665E-2</c:v>
                </c:pt>
                <c:pt idx="84">
                  <c:v>1.6356266226006413E-2</c:v>
                </c:pt>
                <c:pt idx="85">
                  <c:v>1.6406829391506599E-2</c:v>
                </c:pt>
                <c:pt idx="86">
                  <c:v>1.6457483705551858E-2</c:v>
                </c:pt>
                <c:pt idx="87">
                  <c:v>1.6508236549863838E-2</c:v>
                </c:pt>
                <c:pt idx="88">
                  <c:v>1.6559095304985255E-2</c:v>
                </c:pt>
                <c:pt idx="89">
                  <c:v>1.661006733391017E-2</c:v>
                </c:pt>
                <c:pt idx="90">
                  <c:v>1.6661159966179E-2</c:v>
                </c:pt>
                <c:pt idx="91">
                  <c:v>1.6712380482431149E-2</c:v>
                </c:pt>
                <c:pt idx="92">
                  <c:v>1.6763736099393162E-2</c:v>
                </c:pt>
                <c:pt idx="93">
                  <c:v>1.6815233955267683E-2</c:v>
                </c:pt>
                <c:pt idx="94">
                  <c:v>1.6866881095476193E-2</c:v>
                </c:pt>
                <c:pt idx="95">
                  <c:v>1.691868445869725E-2</c:v>
                </c:pt>
                <c:pt idx="96">
                  <c:v>1.6970650863132684E-2</c:v>
                </c:pt>
                <c:pt idx="97">
                  <c:v>1.7022786992926E-2</c:v>
                </c:pt>
                <c:pt idx="98">
                  <c:v>1.707509938465088E-2</c:v>
                </c:pt>
                <c:pt idx="99">
                  <c:v>1.7127594413783309E-2</c:v>
                </c:pt>
                <c:pt idx="100">
                  <c:v>1.718027828106819E-2</c:v>
                </c:pt>
                <c:pt idx="101">
                  <c:v>1.7233156998690716E-2</c:v>
                </c:pt>
                <c:pt idx="102">
                  <c:v>1.7286236376164249E-2</c:v>
                </c:pt>
                <c:pt idx="103">
                  <c:v>1.7339522005850042E-2</c:v>
                </c:pt>
                <c:pt idx="104">
                  <c:v>1.7393019248029599E-2</c:v>
                </c:pt>
                <c:pt idx="105">
                  <c:v>1.7446733215457977E-2</c:v>
                </c:pt>
                <c:pt idx="106">
                  <c:v>1.7500668757336121E-2</c:v>
                </c:pt>
                <c:pt idx="107">
                  <c:v>1.7554830442651222E-2</c:v>
                </c:pt>
                <c:pt idx="108">
                  <c:v>1.7609222542847511E-2</c:v>
                </c:pt>
                <c:pt idx="109">
                  <c:v>1.7663849013804404E-2</c:v>
                </c:pt>
                <c:pt idx="110">
                  <c:v>1.7718713477114689E-2</c:v>
                </c:pt>
                <c:pt idx="111">
                  <c:v>1.7773819200673155E-2</c:v>
                </c:pt>
                <c:pt idx="112">
                  <c:v>1.7829169078603713E-2</c:v>
                </c:pt>
                <c:pt idx="113">
                  <c:v>1.7884765610572378E-2</c:v>
                </c:pt>
                <c:pt idx="114">
                  <c:v>1.7940610880552828E-2</c:v>
                </c:pt>
                <c:pt idx="115">
                  <c:v>1.7996706535130826E-2</c:v>
                </c:pt>
                <c:pt idx="116">
                  <c:v>1.805305376145374E-2</c:v>
                </c:pt>
                <c:pt idx="117">
                  <c:v>1.810965326495053E-2</c:v>
                </c:pt>
                <c:pt idx="118">
                  <c:v>1.8166505246966447E-2</c:v>
                </c:pt>
                <c:pt idx="119">
                  <c:v>1.8223609382474824E-2</c:v>
                </c:pt>
                <c:pt idx="120">
                  <c:v>1.8280964798044919E-2</c:v>
                </c:pt>
                <c:pt idx="121">
                  <c:v>1.8338570050260457E-2</c:v>
                </c:pt>
                <c:pt idx="122">
                  <c:v>1.8396423104797187E-2</c:v>
                </c:pt>
                <c:pt idx="123">
                  <c:v>1.8454521316379931E-2</c:v>
                </c:pt>
                <c:pt idx="124">
                  <c:v>1.8512861409849316E-2</c:v>
                </c:pt>
                <c:pt idx="125">
                  <c:v>1.8571439462575813E-2</c:v>
                </c:pt>
                <c:pt idx="126">
                  <c:v>1.8630250888464397E-2</c:v>
                </c:pt>
                <c:pt idx="127">
                  <c:v>1.8689290423794795E-2</c:v>
                </c:pt>
                <c:pt idx="128">
                  <c:v>1.8748552115142737E-2</c:v>
                </c:pt>
                <c:pt idx="129">
                  <c:v>1.8808029309624118E-2</c:v>
                </c:pt>
                <c:pt idx="130">
                  <c:v>1.8867714647698104E-2</c:v>
                </c:pt>
                <c:pt idx="131">
                  <c:v>1.8927600058756194E-2</c:v>
                </c:pt>
                <c:pt idx="132">
                  <c:v>1.898767675971251E-2</c:v>
                </c:pt>
                <c:pt idx="133">
                  <c:v>1.9047935256795576E-2</c:v>
                </c:pt>
                <c:pt idx="134">
                  <c:v>1.9108365350724466E-2</c:v>
                </c:pt>
                <c:pt idx="135">
                  <c:v>1.9168956145431706E-2</c:v>
                </c:pt>
                <c:pt idx="136">
                  <c:v>1.922969606047252E-2</c:v>
                </c:pt>
                <c:pt idx="137">
                  <c:v>1.929057284723459E-2</c:v>
                </c:pt>
                <c:pt idx="138">
                  <c:v>1.9351573609035114E-2</c:v>
                </c:pt>
                <c:pt idx="139">
                  <c:v>1.9412684825162237E-2</c:v>
                </c:pt>
                <c:pt idx="140">
                  <c:v>1.9473892378886918E-2</c:v>
                </c:pt>
                <c:pt idx="141">
                  <c:v>1.9535181589438511E-2</c:v>
                </c:pt>
                <c:pt idx="142">
                  <c:v>1.9596537247903608E-2</c:v>
                </c:pt>
                <c:pt idx="143">
                  <c:v>1.9657943656973077E-2</c:v>
                </c:pt>
                <c:pt idx="144">
                  <c:v>1.9719384674427187E-2</c:v>
                </c:pt>
                <c:pt idx="145">
                  <c:v>1.9780843760213575E-2</c:v>
                </c:pt>
                <c:pt idx="146">
                  <c:v>1.9842304026937874E-2</c:v>
                </c:pt>
                <c:pt idx="147">
                  <c:v>1.9903748293552466E-2</c:v>
                </c:pt>
                <c:pt idx="148">
                  <c:v>1.9965159141995637E-2</c:v>
                </c:pt>
                <c:pt idx="149">
                  <c:v>2.0026518976501286E-2</c:v>
                </c:pt>
                <c:pt idx="150">
                  <c:v>2.0087810085269116E-2</c:v>
                </c:pt>
                <c:pt idx="151">
                  <c:v>2.0149014704157045E-2</c:v>
                </c:pt>
                <c:pt idx="152">
                  <c:v>2.0210115082031622E-2</c:v>
                </c:pt>
                <c:pt idx="153">
                  <c:v>2.0271093547389013E-2</c:v>
                </c:pt>
                <c:pt idx="154">
                  <c:v>2.0331932575838988E-2</c:v>
                </c:pt>
                <c:pt idx="155">
                  <c:v>2.0392614858027219E-2</c:v>
                </c:pt>
                <c:pt idx="156">
                  <c:v>2.0453123367557755E-2</c:v>
                </c:pt>
                <c:pt idx="157">
                  <c:v>2.0513441428467508E-2</c:v>
                </c:pt>
                <c:pt idx="158">
                  <c:v>2.0573552781798628E-2</c:v>
                </c:pt>
                <c:pt idx="159">
                  <c:v>2.0633441650812295E-2</c:v>
                </c:pt>
                <c:pt idx="160">
                  <c:v>2.0693092804389749E-2</c:v>
                </c:pt>
                <c:pt idx="161">
                  <c:v>2.075249161817189E-2</c:v>
                </c:pt>
                <c:pt idx="162">
                  <c:v>2.0811624132999092E-2</c:v>
                </c:pt>
                <c:pt idx="163">
                  <c:v>2.0870477110227124E-2</c:v>
                </c:pt>
                <c:pt idx="164">
                  <c:v>2.0929038083512836E-2</c:v>
                </c:pt>
                <c:pt idx="165">
                  <c:v>2.0987295406685477E-2</c:v>
                </c:pt>
                <c:pt idx="166">
                  <c:v>2.1045238297345253E-2</c:v>
                </c:pt>
                <c:pt idx="167">
                  <c:v>2.1102856875859506E-2</c:v>
                </c:pt>
                <c:pt idx="168">
                  <c:v>2.1160142199459837E-2</c:v>
                </c:pt>
                <c:pt idx="169">
                  <c:v>2.1217086291178622E-2</c:v>
                </c:pt>
                <c:pt idx="170">
                  <c:v>2.1273682163401322E-2</c:v>
                </c:pt>
                <c:pt idx="171">
                  <c:v>2.1329923835852166E-2</c:v>
                </c:pt>
                <c:pt idx="172">
                  <c:v>2.1385806347872214E-2</c:v>
                </c:pt>
                <c:pt idx="173">
                  <c:v>2.1441325764893829E-2</c:v>
                </c:pt>
                <c:pt idx="174">
                  <c:v>2.1496479179060186E-2</c:v>
                </c:pt>
                <c:pt idx="175">
                  <c:v>2.1551264703984805E-2</c:v>
                </c:pt>
                <c:pt idx="176">
                  <c:v>2.1605681463692263E-2</c:v>
                </c:pt>
                <c:pt idx="177">
                  <c:v>2.1659729575827555E-2</c:v>
                </c:pt>
                <c:pt idx="178">
                  <c:v>2.1713410129267363E-2</c:v>
                </c:pt>
                <c:pt idx="179">
                  <c:v>2.1766725156310854E-2</c:v>
                </c:pt>
                <c:pt idx="180">
                  <c:v>2.1819677599671208E-2</c:v>
                </c:pt>
                <c:pt idx="181">
                  <c:v>2.1872271274530477E-2</c:v>
                </c:pt>
                <c:pt idx="182">
                  <c:v>2.1924510825959042E-2</c:v>
                </c:pt>
                <c:pt idx="183">
                  <c:v>2.197640168203803E-2</c:v>
                </c:pt>
                <c:pt idx="184">
                  <c:v>2.2027950003056081E-2</c:v>
                </c:pt>
                <c:pt idx="185">
                  <c:v>2.2079162627181955E-2</c:v>
                </c:pt>
                <c:pt idx="186">
                  <c:v>2.213004701304121E-2</c:v>
                </c:pt>
                <c:pt idx="187">
                  <c:v>2.218061117964721E-2</c:v>
                </c:pt>
                <c:pt idx="188">
                  <c:v>2.2230863644155465E-2</c:v>
                </c:pt>
                <c:pt idx="189">
                  <c:v>2.2280813357924031E-2</c:v>
                </c:pt>
                <c:pt idx="190">
                  <c:v>2.233046964137236E-2</c:v>
                </c:pt>
                <c:pt idx="191">
                  <c:v>2.23798421181357E-2</c:v>
                </c:pt>
                <c:pt idx="192">
                  <c:v>2.2428940649012619E-2</c:v>
                </c:pt>
                <c:pt idx="193">
                  <c:v>2.2477775266198683E-2</c:v>
                </c:pt>
                <c:pt idx="194">
                  <c:v>2.2526356108290339E-2</c:v>
                </c:pt>
                <c:pt idx="195">
                  <c:v>2.257469335652959E-2</c:v>
                </c:pt>
                <c:pt idx="196">
                  <c:v>2.2622797172742147E-2</c:v>
                </c:pt>
                <c:pt idx="197">
                  <c:v>2.2670677639399572E-2</c:v>
                </c:pt>
                <c:pt idx="198">
                  <c:v>2.2718344702210028E-2</c:v>
                </c:pt>
                <c:pt idx="199">
                  <c:v>2.2765808115612254E-2</c:v>
                </c:pt>
                <c:pt idx="200">
                  <c:v>2.2813077391514551E-2</c:v>
                </c:pt>
                <c:pt idx="201">
                  <c:v>2.2860161751584101E-2</c:v>
                </c:pt>
                <c:pt idx="202">
                  <c:v>2.2907070083353197E-2</c:v>
                </c:pt>
                <c:pt idx="203">
                  <c:v>2.2953810900367938E-2</c:v>
                </c:pt>
                <c:pt idx="204">
                  <c:v>2.3000392306561819E-2</c:v>
                </c:pt>
                <c:pt idx="205">
                  <c:v>2.3046821964992397E-2</c:v>
                </c:pt>
                <c:pt idx="206">
                  <c:v>2.3093107071034128E-2</c:v>
                </c:pt>
                <c:pt idx="207">
                  <c:v>2.3139254330074611E-2</c:v>
                </c:pt>
                <c:pt idx="208">
                  <c:v>2.3185269939715866E-2</c:v>
                </c:pt>
                <c:pt idx="209">
                  <c:v>2.323115957643752E-2</c:v>
                </c:pt>
                <c:pt idx="210">
                  <c:v>2.3276928386634196E-2</c:v>
                </c:pt>
                <c:pt idx="211">
                  <c:v>2.3322580981897385E-2</c:v>
                </c:pt>
                <c:pt idx="212">
                  <c:v>2.3368121438371057E-2</c:v>
                </c:pt>
                <c:pt idx="213">
                  <c:v>2.3413553299972151E-2</c:v>
                </c:pt>
                <c:pt idx="214">
                  <c:v>2.3458879585231737E-2</c:v>
                </c:pt>
                <c:pt idx="215">
                  <c:v>2.3504102797480071E-2</c:v>
                </c:pt>
                <c:pt idx="216">
                  <c:v>2.3549224938070237E-2</c:v>
                </c:pt>
                <c:pt idx="217">
                  <c:v>2.3594247522309982E-2</c:v>
                </c:pt>
                <c:pt idx="218">
                  <c:v>2.3639171597750419E-2</c:v>
                </c:pt>
                <c:pt idx="219">
                  <c:v>2.3683997764463872E-2</c:v>
                </c:pt>
                <c:pt idx="220">
                  <c:v>2.3728726196930845E-2</c:v>
                </c:pt>
                <c:pt idx="221">
                  <c:v>2.3773356667148939E-2</c:v>
                </c:pt>
                <c:pt idx="222">
                  <c:v>2.3817888568573371E-2</c:v>
                </c:pt>
                <c:pt idx="223">
                  <c:v>2.386232094050126E-2</c:v>
                </c:pt>
                <c:pt idx="224">
                  <c:v>2.3906652492518072E-2</c:v>
                </c:pt>
                <c:pt idx="225">
                  <c:v>2.3950881628636018E-2</c:v>
                </c:pt>
                <c:pt idx="226">
                  <c:v>2.3995006470770259E-2</c:v>
                </c:pt>
                <c:pt idx="227">
                  <c:v>2.4039024881218472E-2</c:v>
                </c:pt>
                <c:pt idx="228">
                  <c:v>2.4082934483833862E-2</c:v>
                </c:pt>
                <c:pt idx="229">
                  <c:v>2.4126732683609448E-2</c:v>
                </c:pt>
                <c:pt idx="230">
                  <c:v>2.4170416684423098E-2</c:v>
                </c:pt>
                <c:pt idx="231">
                  <c:v>2.4213983504727372E-2</c:v>
                </c:pt>
                <c:pt idx="232">
                  <c:v>2.4257429991005486E-2</c:v>
                </c:pt>
                <c:pt idx="233">
                  <c:v>2.4300752828854459E-2</c:v>
                </c:pt>
                <c:pt idx="234">
                  <c:v>2.4343948551597942E-2</c:v>
                </c:pt>
                <c:pt idx="235">
                  <c:v>2.4387013546373962E-2</c:v>
                </c:pt>
                <c:pt idx="236">
                  <c:v>2.4429944057686819E-2</c:v>
                </c:pt>
                <c:pt idx="237">
                  <c:v>2.4472736188455954E-2</c:v>
                </c:pt>
                <c:pt idx="238">
                  <c:v>2.4515385898638928E-2</c:v>
                </c:pt>
                <c:pt idx="239">
                  <c:v>2.4557889001548362E-2</c:v>
                </c:pt>
                <c:pt idx="240">
                  <c:v>2.460024115802506E-2</c:v>
                </c:pt>
                <c:pt idx="241">
                  <c:v>2.4642437868669344E-2</c:v>
                </c:pt>
                <c:pt idx="242">
                  <c:v>2.4684474464370783E-2</c:v>
                </c:pt>
                <c:pt idx="243">
                  <c:v>2.4726346095411831E-2</c:v>
                </c:pt>
                <c:pt idx="244">
                  <c:v>2.4768047719452672E-2</c:v>
                </c:pt>
                <c:pt idx="245">
                  <c:v>2.4809574088733532E-2</c:v>
                </c:pt>
                <c:pt idx="246">
                  <c:v>2.4850919736854979E-2</c:v>
                </c:pt>
                <c:pt idx="247">
                  <c:v>2.4892078965517046E-2</c:v>
                </c:pt>
                <c:pt idx="248">
                  <c:v>2.4933045831613931E-2</c:v>
                </c:pt>
                <c:pt idx="249">
                  <c:v>2.4973814135091567E-2</c:v>
                </c:pt>
                <c:pt idx="250">
                  <c:v>2.5014377407981493E-2</c:v>
                </c:pt>
                <c:pt idx="251">
                  <c:v>2.5054728905024734E-2</c:v>
                </c:pt>
                <c:pt idx="252">
                  <c:v>2.5094861596295228E-2</c:v>
                </c:pt>
                <c:pt idx="253">
                  <c:v>2.513476816222189E-2</c:v>
                </c:pt>
                <c:pt idx="254">
                  <c:v>2.5174440991393709E-2</c:v>
                </c:pt>
                <c:pt idx="255">
                  <c:v>2.5213872181511589E-2</c:v>
                </c:pt>
                <c:pt idx="256">
                  <c:v>2.5253053543825302E-2</c:v>
                </c:pt>
                <c:pt idx="257">
                  <c:v>2.5291976611363797E-2</c:v>
                </c:pt>
                <c:pt idx="258">
                  <c:v>2.5330632651232188E-2</c:v>
                </c:pt>
                <c:pt idx="259">
                  <c:v>2.5369012681209665E-2</c:v>
                </c:pt>
                <c:pt idx="260">
                  <c:v>2.5407107490839746E-2</c:v>
                </c:pt>
                <c:pt idx="261">
                  <c:v>2.5444907667157585E-2</c:v>
                </c:pt>
                <c:pt idx="262">
                  <c:v>2.5482403625149891E-2</c:v>
                </c:pt>
                <c:pt idx="263">
                  <c:v>2.5519585642990446E-2</c:v>
                </c:pt>
                <c:pt idx="264">
                  <c:v>2.555644390204086E-2</c:v>
                </c:pt>
                <c:pt idx="265">
                  <c:v>2.5592968531549912E-2</c:v>
                </c:pt>
                <c:pt idx="266">
                  <c:v>2.5629149657929007E-2</c:v>
                </c:pt>
                <c:pt idx="267">
                  <c:v>2.566497745842412E-2</c:v>
                </c:pt>
                <c:pt idx="268">
                  <c:v>2.5700442218948519E-2</c:v>
                </c:pt>
                <c:pt idx="269">
                  <c:v>2.5735534395785017E-2</c:v>
                </c:pt>
                <c:pt idx="270">
                  <c:v>2.577024468081214E-2</c:v>
                </c:pt>
                <c:pt idx="271">
                  <c:v>2.5804564069857629E-2</c:v>
                </c:pt>
                <c:pt idx="272">
                  <c:v>2.5838483933732694E-2</c:v>
                </c:pt>
                <c:pt idx="273">
                  <c:v>2.5871996091455334E-2</c:v>
                </c:pt>
                <c:pt idx="274">
                  <c:v>2.590509288512869E-2</c:v>
                </c:pt>
                <c:pt idx="275">
                  <c:v>2.5937767255902942E-2</c:v>
                </c:pt>
                <c:pt idx="276">
                  <c:v>2.5970012820416451E-2</c:v>
                </c:pt>
                <c:pt idx="277">
                  <c:v>2.6001823947084196E-2</c:v>
                </c:pt>
                <c:pt idx="278">
                  <c:v>2.6033195831579686E-2</c:v>
                </c:pt>
                <c:pt idx="279">
                  <c:v>2.6064124570840581E-2</c:v>
                </c:pt>
                <c:pt idx="280">
                  <c:v>2.6094607234918233E-2</c:v>
                </c:pt>
                <c:pt idx="281">
                  <c:v>2.6124641935988308E-2</c:v>
                </c:pt>
                <c:pt idx="282">
                  <c:v>2.6154227893842572E-2</c:v>
                </c:pt>
                <c:pt idx="283">
                  <c:v>2.6183365497192013E-2</c:v>
                </c:pt>
                <c:pt idx="284">
                  <c:v>2.6212056360127741E-2</c:v>
                </c:pt>
                <c:pt idx="285">
                  <c:v>2.6240303373109498E-2</c:v>
                </c:pt>
                <c:pt idx="286">
                  <c:v>2.6268110747881143E-2</c:v>
                </c:pt>
                <c:pt idx="287">
                  <c:v>2.6295484055748303E-2</c:v>
                </c:pt>
                <c:pt idx="288">
                  <c:v>2.6322430258695649E-2</c:v>
                </c:pt>
                <c:pt idx="289">
                  <c:v>2.6348957732868855E-2</c:v>
                </c:pt>
                <c:pt idx="290">
                  <c:v>2.6375076283999342E-2</c:v>
                </c:pt>
                <c:pt idx="291">
                  <c:v>2.6400797154408441E-2</c:v>
                </c:pt>
                <c:pt idx="292">
                  <c:v>2.6426133021289395E-2</c:v>
                </c:pt>
                <c:pt idx="293">
                  <c:v>2.6451097986033002E-2</c:v>
                </c:pt>
                <c:pt idx="294">
                  <c:v>2.6475707554431689E-2</c:v>
                </c:pt>
                <c:pt idx="295">
                  <c:v>2.6499978607669835E-2</c:v>
                </c:pt>
                <c:pt idx="296">
                  <c:v>2.6523929364082727E-2</c:v>
                </c:pt>
                <c:pt idx="297">
                  <c:v>2.6547579331742302E-2</c:v>
                </c:pt>
                <c:pt idx="298">
                  <c:v>2.6570949252004743E-2</c:v>
                </c:pt>
                <c:pt idx="299">
                  <c:v>2.6594061034231807E-2</c:v>
                </c:pt>
                <c:pt idx="300">
                  <c:v>2.6616937681973284E-2</c:v>
                </c:pt>
                <c:pt idx="301">
                  <c:v>2.6639603210973025E-2</c:v>
                </c:pt>
                <c:pt idx="302">
                  <c:v>2.6662082559433073E-2</c:v>
                </c:pt>
                <c:pt idx="303">
                  <c:v>2.6684401491039754E-2</c:v>
                </c:pt>
                <c:pt idx="304">
                  <c:v>2.6706586491322144E-2</c:v>
                </c:pt>
                <c:pt idx="305">
                  <c:v>2.672866465797431E-2</c:v>
                </c:pt>
                <c:pt idx="306">
                  <c:v>2.6750663585830604E-2</c:v>
                </c:pt>
                <c:pt idx="307">
                  <c:v>2.6772611247234193E-2</c:v>
                </c:pt>
                <c:pt idx="308">
                  <c:v>2.6794535868585361E-2</c:v>
                </c:pt>
                <c:pt idx="309">
                  <c:v>2.6816465803895181E-2</c:v>
                </c:pt>
                <c:pt idx="310">
                  <c:v>2.6838429406203033E-2</c:v>
                </c:pt>
                <c:pt idx="311">
                  <c:v>2.686045489774205E-2</c:v>
                </c:pt>
                <c:pt idx="312">
                  <c:v>2.6882570239754485E-2</c:v>
                </c:pt>
                <c:pt idx="313">
                  <c:v>2.6904803002869918E-2</c:v>
                </c:pt>
                <c:pt idx="314">
                  <c:v>2.6927180238961752E-2</c:v>
                </c:pt>
                <c:pt idx="315">
                  <c:v>2.6949728355392541E-2</c:v>
                </c:pt>
                <c:pt idx="316">
                  <c:v>2.6972472992545793E-2</c:v>
                </c:pt>
                <c:pt idx="317">
                  <c:v>2.6995438905521432E-2</c:v>
                </c:pt>
                <c:pt idx="318">
                  <c:v>2.7018649850843481E-2</c:v>
                </c:pt>
                <c:pt idx="319">
                  <c:v>2.7042128478993527E-2</c:v>
                </c:pt>
                <c:pt idx="320">
                  <c:v>2.706589623354012E-2</c:v>
                </c:pt>
                <c:pt idx="321">
                  <c:v>2.7089973257585522E-2</c:v>
                </c:pt>
                <c:pt idx="322">
                  <c:v>2.7114378308194832E-2</c:v>
                </c:pt>
                <c:pt idx="323">
                  <c:v>2.7139128679411199E-2</c:v>
                </c:pt>
                <c:pt idx="324">
                  <c:v>2.7164240134394169E-2</c:v>
                </c:pt>
                <c:pt idx="325">
                  <c:v>2.7189726847146087E-2</c:v>
                </c:pt>
                <c:pt idx="326">
                  <c:v>2.72156013542162E-2</c:v>
                </c:pt>
                <c:pt idx="327">
                  <c:v>2.7241874516693087E-2</c:v>
                </c:pt>
                <c:pt idx="328">
                  <c:v>2.7268555492713981E-2</c:v>
                </c:pt>
                <c:pt idx="329">
                  <c:v>2.7295651720636301E-2</c:v>
                </c:pt>
                <c:pt idx="330">
                  <c:v>2.7323168912931399E-2</c:v>
                </c:pt>
                <c:pt idx="331">
                  <c:v>2.7351111060775719E-2</c:v>
                </c:pt>
                <c:pt idx="332">
                  <c:v>2.7379480449229145E-2</c:v>
                </c:pt>
                <c:pt idx="333">
                  <c:v>2.7408277682806931E-2</c:v>
                </c:pt>
                <c:pt idx="334">
                  <c:v>2.7437501721169166E-2</c:v>
                </c:pt>
                <c:pt idx="335">
                  <c:v>2.746714992457281E-2</c:v>
                </c:pt>
                <c:pt idx="336">
                  <c:v>2.749721810865504E-2</c:v>
                </c:pt>
                <c:pt idx="337">
                  <c:v>2.7527700608044593E-2</c:v>
                </c:pt>
                <c:pt idx="338">
                  <c:v>2.7558590348230605E-2</c:v>
                </c:pt>
                <c:pt idx="339">
                  <c:v>2.7589878925055957E-2</c:v>
                </c:pt>
                <c:pt idx="340">
                  <c:v>2.7621556691146156E-2</c:v>
                </c:pt>
                <c:pt idx="341">
                  <c:v>2.7653612848534351E-2</c:v>
                </c:pt>
                <c:pt idx="342">
                  <c:v>2.7686035546699964E-2</c:v>
                </c:pt>
                <c:pt idx="343">
                  <c:v>2.7718811985201954E-2</c:v>
                </c:pt>
                <c:pt idx="344">
                  <c:v>2.7751928520059026E-2</c:v>
                </c:pt>
                <c:pt idx="345">
                  <c:v>2.7785370773007398E-2</c:v>
                </c:pt>
                <c:pt idx="346">
                  <c:v>2.7819123742753912E-2</c:v>
                </c:pt>
                <c:pt idx="347">
                  <c:v>2.7853171917335728E-2</c:v>
                </c:pt>
                <c:pt idx="348">
                  <c:v>2.7887499386700789E-2</c:v>
                </c:pt>
                <c:pt idx="349">
                  <c:v>2.7922089954632631E-2</c:v>
                </c:pt>
                <c:pt idx="350">
                  <c:v>2.7956927249161146E-2</c:v>
                </c:pt>
                <c:pt idx="351">
                  <c:v>2.7991994830625654E-2</c:v>
                </c:pt>
                <c:pt idx="352">
                  <c:v>2.8027276296589038E-2</c:v>
                </c:pt>
                <c:pt idx="353">
                  <c:v>2.8062755382840459E-2</c:v>
                </c:pt>
                <c:pt idx="354">
                  <c:v>2.8098416059770027E-2</c:v>
                </c:pt>
                <c:pt idx="355">
                  <c:v>2.8134242623449449E-2</c:v>
                </c:pt>
                <c:pt idx="356">
                  <c:v>2.8170219780810007E-2</c:v>
                </c:pt>
                <c:pt idx="357">
                  <c:v>2.820633272837049E-2</c:v>
                </c:pt>
                <c:pt idx="358">
                  <c:v>2.8242567224033312E-2</c:v>
                </c:pt>
                <c:pt idx="359">
                  <c:v>2.8278909651536611E-2</c:v>
                </c:pt>
                <c:pt idx="360">
                  <c:v>2.8315347077222254E-2</c:v>
                </c:pt>
                <c:pt idx="361">
                  <c:v>2.8351867298853806E-2</c:v>
                </c:pt>
                <c:pt idx="362">
                  <c:v>2.8388458886294536E-2</c:v>
                </c:pt>
                <c:pt idx="363">
                  <c:v>2.8425111213932101E-2</c:v>
                </c:pt>
                <c:pt idx="364">
                  <c:v>2.8461814484812623E-2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6.5199607684078713E-5</c:v>
                </c:pt>
                <c:pt idx="1">
                  <c:v>6.4921785424775779E-5</c:v>
                </c:pt>
                <c:pt idx="2">
                  <c:v>6.4578325946205225E-5</c:v>
                </c:pt>
                <c:pt idx="3">
                  <c:v>6.4173607128903613E-5</c:v>
                </c:pt>
                <c:pt idx="4">
                  <c:v>6.3711914393255585E-5</c:v>
                </c:pt>
                <c:pt idx="5">
                  <c:v>6.3197409414738018E-5</c:v>
                </c:pt>
                <c:pt idx="6">
                  <c:v>6.2634103998091779E-5</c:v>
                </c:pt>
                <c:pt idx="7">
                  <c:v>6.2025838670833291E-5</c:v>
                </c:pt>
                <c:pt idx="8">
                  <c:v>6.1367807163404295E-5</c:v>
                </c:pt>
                <c:pt idx="9">
                  <c:v>6.0559314832668346E-5</c:v>
                </c:pt>
                <c:pt idx="10">
                  <c:v>5.9578583867826135E-5</c:v>
                </c:pt>
                <c:pt idx="11">
                  <c:v>5.843086584234439E-5</c:v>
                </c:pt>
                <c:pt idx="12">
                  <c:v>5.7121468689470078E-5</c:v>
                </c:pt>
                <c:pt idx="13">
                  <c:v>5.5655729894477142E-5</c:v>
                </c:pt>
                <c:pt idx="14">
                  <c:v>5.4038991407247624E-5</c:v>
                </c:pt>
                <c:pt idx="15">
                  <c:v>5.2308971130620521E-5</c:v>
                </c:pt>
                <c:pt idx="16">
                  <c:v>5.0541967672932231E-5</c:v>
                </c:pt>
                <c:pt idx="17">
                  <c:v>4.8740343777393438E-5</c:v>
                </c:pt>
                <c:pt idx="18">
                  <c:v>4.6906374778684528E-5</c:v>
                </c:pt>
                <c:pt idx="19">
                  <c:v>4.5042496410446135E-5</c:v>
                </c:pt>
                <c:pt idx="20">
                  <c:v>4.3151117637868163E-5</c:v>
                </c:pt>
                <c:pt idx="21">
                  <c:v>4.1234311644494565E-5</c:v>
                </c:pt>
                <c:pt idx="22">
                  <c:v>3.9290346000560991E-5</c:v>
                </c:pt>
                <c:pt idx="23">
                  <c:v>3.736320581525207E-5</c:v>
                </c:pt>
                <c:pt idx="24">
                  <c:v>3.5538093921916073E-5</c:v>
                </c:pt>
                <c:pt idx="25">
                  <c:v>3.3814574341339819E-5</c:v>
                </c:pt>
                <c:pt idx="26">
                  <c:v>3.2191845945370893E-5</c:v>
                </c:pt>
                <c:pt idx="27">
                  <c:v>3.0668797096799242E-5</c:v>
                </c:pt>
                <c:pt idx="28">
                  <c:v>2.9244057289830892E-5</c:v>
                </c:pt>
                <c:pt idx="29">
                  <c:v>2.7982698371295737E-5</c:v>
                </c:pt>
                <c:pt idx="30">
                  <c:v>2.6852980496986936E-5</c:v>
                </c:pt>
                <c:pt idx="31">
                  <c:v>2.5851928265296349E-5</c:v>
                </c:pt>
                <c:pt idx="32">
                  <c:v>2.4976537961535944E-5</c:v>
                </c:pt>
                <c:pt idx="33">
                  <c:v>2.4223820002932348E-5</c:v>
                </c:pt>
                <c:pt idx="34">
                  <c:v>2.3590836886203379E-5</c:v>
                </c:pt>
                <c:pt idx="35">
                  <c:v>2.3074736993447166E-5</c:v>
                </c:pt>
                <c:pt idx="36">
                  <c:v>2.2671382906759512E-5</c:v>
                </c:pt>
                <c:pt idx="37">
                  <c:v>2.2462925641781021E-5</c:v>
                </c:pt>
                <c:pt idx="38">
                  <c:v>2.2405749943361642E-5</c:v>
                </c:pt>
                <c:pt idx="39">
                  <c:v>2.2495709649463356E-5</c:v>
                </c:pt>
                <c:pt idx="40">
                  <c:v>2.2728823304980692E-5</c:v>
                </c:pt>
                <c:pt idx="41">
                  <c:v>2.3101259447708063E-5</c:v>
                </c:pt>
                <c:pt idx="42">
                  <c:v>2.36093231302944E-5</c:v>
                </c:pt>
                <c:pt idx="43">
                  <c:v>2.4144885152810601E-5</c:v>
                </c:pt>
                <c:pt idx="44">
                  <c:v>2.4649099219672511E-5</c:v>
                </c:pt>
                <c:pt idx="45">
                  <c:v>2.5122634171782563E-5</c:v>
                </c:pt>
                <c:pt idx="46">
                  <c:v>2.5566131728251939E-5</c:v>
                </c:pt>
                <c:pt idx="47">
                  <c:v>2.5980209809903956E-5</c:v>
                </c:pt>
                <c:pt idx="48">
                  <c:v>2.6365465681096419E-5</c:v>
                </c:pt>
                <c:pt idx="49">
                  <c:v>2.6722478903669758E-5</c:v>
                </c:pt>
                <c:pt idx="50">
                  <c:v>2.7051707101824548E-5</c:v>
                </c:pt>
                <c:pt idx="51">
                  <c:v>2.7189106604274809E-5</c:v>
                </c:pt>
                <c:pt idx="52">
                  <c:v>2.7063179633319739E-5</c:v>
                </c:pt>
                <c:pt idx="53">
                  <c:v>2.668034145255596E-5</c:v>
                </c:pt>
                <c:pt idx="54">
                  <c:v>2.6046962293730554E-5</c:v>
                </c:pt>
                <c:pt idx="55">
                  <c:v>2.5169218491087076E-5</c:v>
                </c:pt>
                <c:pt idx="56">
                  <c:v>2.4053078505162706E-5</c:v>
                </c:pt>
                <c:pt idx="57">
                  <c:v>2.2768161403702116E-5</c:v>
                </c:pt>
                <c:pt idx="58">
                  <c:v>2.1411078493188453E-5</c:v>
                </c:pt>
                <c:pt idx="59">
                  <c:v>1.9983573610740952E-5</c:v>
                </c:pt>
                <c:pt idx="60">
                  <c:v>1.8487278649237213E-5</c:v>
                </c:pt>
                <c:pt idx="61">
                  <c:v>1.6923709727271741E-5</c:v>
                </c:pt>
                <c:pt idx="62">
                  <c:v>1.5294263300067709E-5</c:v>
                </c:pt>
                <c:pt idx="63">
                  <c:v>1.3600212195931384E-5</c:v>
                </c:pt>
                <c:pt idx="64">
                  <c:v>1.1842373288841526E-5</c:v>
                </c:pt>
                <c:pt idx="65">
                  <c:v>1.0111531148933894E-5</c:v>
                </c:pt>
                <c:pt idx="66">
                  <c:v>8.5540848716842009E-6</c:v>
                </c:pt>
                <c:pt idx="67">
                  <c:v>7.1663501361089006E-6</c:v>
                </c:pt>
                <c:pt idx="68">
                  <c:v>5.9447427143377397E-6</c:v>
                </c:pt>
                <c:pt idx="69">
                  <c:v>4.8857866276961287E-6</c:v>
                </c:pt>
                <c:pt idx="70">
                  <c:v>3.9861222600083726E-6</c:v>
                </c:pt>
                <c:pt idx="71">
                  <c:v>3.240626705505348E-6</c:v>
                </c:pt>
                <c:pt idx="72">
                  <c:v>2.5887096387289061E-6</c:v>
                </c:pt>
                <c:pt idx="73">
                  <c:v>2.0284793388535445E-6</c:v>
                </c:pt>
                <c:pt idx="74">
                  <c:v>1.5581244605566065E-6</c:v>
                </c:pt>
                <c:pt idx="75">
                  <c:v>1.1759186972958167E-6</c:v>
                </c:pt>
                <c:pt idx="76">
                  <c:v>8.8022541525519602E-7</c:v>
                </c:pt>
                <c:pt idx="77">
                  <c:v>6.6950225525183712E-7</c:v>
                </c:pt>
                <c:pt idx="78">
                  <c:v>5.4227523434240887E-7</c:v>
                </c:pt>
                <c:pt idx="79">
                  <c:v>4.9931683135243907E-7</c:v>
                </c:pt>
                <c:pt idx="80">
                  <c:v>4.5716196581599875E-7</c:v>
                </c:pt>
                <c:pt idx="81">
                  <c:v>4.1579706923120745E-7</c:v>
                </c:pt>
                <c:pt idx="82">
                  <c:v>3.7520466963668033E-7</c:v>
                </c:pt>
                <c:pt idx="83">
                  <c:v>3.353636792329535E-7</c:v>
                </c:pt>
                <c:pt idx="84">
                  <c:v>2.9624966521754027E-7</c:v>
                </c:pt>
                <c:pt idx="85">
                  <c:v>2.6082082612175363E-7</c:v>
                </c:pt>
                <c:pt idx="86">
                  <c:v>2.3076467627009642E-7</c:v>
                </c:pt>
                <c:pt idx="87">
                  <c:v>2.0600407555288483E-7</c:v>
                </c:pt>
                <c:pt idx="88">
                  <c:v>1.8646936749787597E-7</c:v>
                </c:pt>
                <c:pt idx="89">
                  <c:v>1.7209945655951092E-7</c:v>
                </c:pt>
                <c:pt idx="90">
                  <c:v>1.6284284128150688E-7</c:v>
                </c:pt>
                <c:pt idx="91">
                  <c:v>1.5865861341858022E-7</c:v>
                </c:pt>
                <c:pt idx="92">
                  <c:v>1.5950909401810366E-7</c:v>
                </c:pt>
                <c:pt idx="93">
                  <c:v>1.7103194479057452E-7</c:v>
                </c:pt>
                <c:pt idx="94">
                  <c:v>1.9117538453157565E-7</c:v>
                </c:pt>
                <c:pt idx="95">
                  <c:v>2.1993915445867684E-7</c:v>
                </c:pt>
                <c:pt idx="96">
                  <c:v>2.5734079340317907E-7</c:v>
                </c:pt>
                <c:pt idx="97">
                  <c:v>3.0341601389812326E-7</c:v>
                </c:pt>
                <c:pt idx="98">
                  <c:v>3.5821909643584381E-7</c:v>
                </c:pt>
                <c:pt idx="99">
                  <c:v>4.3970387076912302E-7</c:v>
                </c:pt>
                <c:pt idx="100">
                  <c:v>5.4509733427454968E-7</c:v>
                </c:pt>
                <c:pt idx="101">
                  <c:v>6.7460388697861325E-7</c:v>
                </c:pt>
                <c:pt idx="102">
                  <c:v>8.2848167301959992E-7</c:v>
                </c:pt>
                <c:pt idx="103">
                  <c:v>1.0070438458879459E-6</c:v>
                </c:pt>
                <c:pt idx="104">
                  <c:v>1.2106598837944286E-6</c:v>
                </c:pt>
                <c:pt idx="105">
                  <c:v>1.4397569542450277E-6</c:v>
                </c:pt>
                <c:pt idx="106">
                  <c:v>1.6948335729825155E-6</c:v>
                </c:pt>
                <c:pt idx="107">
                  <c:v>2.0067895320551763E-6</c:v>
                </c:pt>
                <c:pt idx="108">
                  <c:v>2.3708060156519135E-6</c:v>
                </c:pt>
                <c:pt idx="109">
                  <c:v>2.7879187056472954E-6</c:v>
                </c:pt>
                <c:pt idx="110">
                  <c:v>3.2592858316322625E-6</c:v>
                </c:pt>
                <c:pt idx="111">
                  <c:v>3.7861845378267651E-6</c:v>
                </c:pt>
                <c:pt idx="112">
                  <c:v>4.3699994014860533E-6</c:v>
                </c:pt>
                <c:pt idx="113">
                  <c:v>5.060268319449271E-6</c:v>
                </c:pt>
                <c:pt idx="114">
                  <c:v>5.8405877414678535E-6</c:v>
                </c:pt>
                <c:pt idx="115">
                  <c:v>6.7133324976339442E-6</c:v>
                </c:pt>
                <c:pt idx="116">
                  <c:v>7.6810539782731687E-6</c:v>
                </c:pt>
                <c:pt idx="117">
                  <c:v>8.7464779206808429E-6</c:v>
                </c:pt>
                <c:pt idx="118">
                  <c:v>9.912501684584203E-6</c:v>
                </c:pt>
                <c:pt idx="119">
                  <c:v>1.1182190930083539E-5</c:v>
                </c:pt>
                <c:pt idx="120">
                  <c:v>1.2558986489043637E-5</c:v>
                </c:pt>
                <c:pt idx="121">
                  <c:v>1.409356019269486E-5</c:v>
                </c:pt>
                <c:pt idx="122">
                  <c:v>1.5757413823933479E-5</c:v>
                </c:pt>
                <c:pt idx="123">
                  <c:v>1.7554957254693869E-5</c:v>
                </c:pt>
                <c:pt idx="124">
                  <c:v>1.9490824974258558E-5</c:v>
                </c:pt>
                <c:pt idx="125">
                  <c:v>2.1569872851686108E-5</c:v>
                </c:pt>
                <c:pt idx="126">
                  <c:v>2.3797173927252476E-5</c:v>
                </c:pt>
                <c:pt idx="127">
                  <c:v>2.6027454975997239E-5</c:v>
                </c:pt>
                <c:pt idx="128">
                  <c:v>2.820676244387867E-5</c:v>
                </c:pt>
                <c:pt idx="129">
                  <c:v>3.0333871089446823E-5</c:v>
                </c:pt>
                <c:pt idx="130">
                  <c:v>3.2407307921378652E-5</c:v>
                </c:pt>
                <c:pt idx="131">
                  <c:v>3.4425348462664299E-5</c:v>
                </c:pt>
                <c:pt idx="132">
                  <c:v>3.6386013546257988E-5</c:v>
                </c:pt>
                <c:pt idx="133">
                  <c:v>3.8287066719898637E-5</c:v>
                </c:pt>
                <c:pt idx="134">
                  <c:v>4.0126478068677251E-5</c:v>
                </c:pt>
                <c:pt idx="135">
                  <c:v>4.1680704096231189E-5</c:v>
                </c:pt>
                <c:pt idx="136">
                  <c:v>4.2883418951217674E-5</c:v>
                </c:pt>
                <c:pt idx="137">
                  <c:v>4.3720695246235503E-5</c:v>
                </c:pt>
                <c:pt idx="138">
                  <c:v>4.4177829169072081E-5</c:v>
                </c:pt>
                <c:pt idx="139">
                  <c:v>4.423937064184114E-5</c:v>
                </c:pt>
                <c:pt idx="140">
                  <c:v>4.3889158322761266E-5</c:v>
                </c:pt>
                <c:pt idx="141">
                  <c:v>4.3187059406574147E-5</c:v>
                </c:pt>
                <c:pt idx="142">
                  <c:v>4.2298466995944187E-5</c:v>
                </c:pt>
                <c:pt idx="143">
                  <c:v>4.1215349072108273E-5</c:v>
                </c:pt>
                <c:pt idx="144">
                  <c:v>3.9929756342256034E-5</c:v>
                </c:pt>
                <c:pt idx="145">
                  <c:v>3.8433582676664367E-5</c:v>
                </c:pt>
                <c:pt idx="146">
                  <c:v>3.6718591816242391E-5</c:v>
                </c:pt>
                <c:pt idx="147">
                  <c:v>3.4776446005135595E-5</c:v>
                </c:pt>
                <c:pt idx="148">
                  <c:v>3.2598891996584365E-5</c:v>
                </c:pt>
                <c:pt idx="149">
                  <c:v>3.0320783063943699E-5</c:v>
                </c:pt>
                <c:pt idx="150">
                  <c:v>2.8207624966824402E-5</c:v>
                </c:pt>
                <c:pt idx="151">
                  <c:v>2.6267134486208639E-5</c:v>
                </c:pt>
                <c:pt idx="152">
                  <c:v>2.4507276116130395E-5</c:v>
                </c:pt>
                <c:pt idx="153">
                  <c:v>2.2936245024163846E-5</c:v>
                </c:pt>
                <c:pt idx="154">
                  <c:v>2.1562448758154112E-5</c:v>
                </c:pt>
                <c:pt idx="155">
                  <c:v>2.0412011792723672E-5</c:v>
                </c:pt>
                <c:pt idx="156">
                  <c:v>1.9401312129132656E-5</c:v>
                </c:pt>
                <c:pt idx="157">
                  <c:v>1.8536449863683225E-5</c:v>
                </c:pt>
                <c:pt idx="158">
                  <c:v>1.7823631719168253E-5</c:v>
                </c:pt>
                <c:pt idx="159">
                  <c:v>1.7269156169184013E-5</c:v>
                </c:pt>
                <c:pt idx="160">
                  <c:v>1.687939849097469E-5</c:v>
                </c:pt>
                <c:pt idx="161">
                  <c:v>1.6660795933006471E-5</c:v>
                </c:pt>
                <c:pt idx="162">
                  <c:v>1.6620006218214691E-5</c:v>
                </c:pt>
                <c:pt idx="163">
                  <c:v>1.675945605049279E-5</c:v>
                </c:pt>
                <c:pt idx="164">
                  <c:v>1.6913039467314754E-5</c:v>
                </c:pt>
                <c:pt idx="165">
                  <c:v>1.7081038756011629E-5</c:v>
                </c:pt>
                <c:pt idx="166">
                  <c:v>1.7263738019719536E-5</c:v>
                </c:pt>
                <c:pt idx="167">
                  <c:v>1.7461421603725809E-5</c:v>
                </c:pt>
                <c:pt idx="168">
                  <c:v>1.7674372526604451E-5</c:v>
                </c:pt>
                <c:pt idx="169">
                  <c:v>1.7898400869880598E-5</c:v>
                </c:pt>
                <c:pt idx="170">
                  <c:v>1.8112742557031199E-5</c:v>
                </c:pt>
                <c:pt idx="171">
                  <c:v>1.8316865249385926E-5</c:v>
                </c:pt>
                <c:pt idx="172">
                  <c:v>1.8510244579016193E-5</c:v>
                </c:pt>
                <c:pt idx="173">
                  <c:v>1.8692174769068432E-5</c:v>
                </c:pt>
                <c:pt idx="174">
                  <c:v>1.886194429967633E-5</c:v>
                </c:pt>
                <c:pt idx="175">
                  <c:v>1.9019038016624369E-5</c:v>
                </c:pt>
                <c:pt idx="176">
                  <c:v>1.9163284787949339E-5</c:v>
                </c:pt>
                <c:pt idx="177">
                  <c:v>1.9317008270109144E-5</c:v>
                </c:pt>
                <c:pt idx="178">
                  <c:v>1.9485376706188521E-5</c:v>
                </c:pt>
                <c:pt idx="179">
                  <c:v>1.9668804651242984E-5</c:v>
                </c:pt>
                <c:pt idx="180">
                  <c:v>1.9867703821946628E-5</c:v>
                </c:pt>
                <c:pt idx="181">
                  <c:v>2.0082482697669821E-5</c:v>
                </c:pt>
                <c:pt idx="182">
                  <c:v>2.0313546208066536E-5</c:v>
                </c:pt>
                <c:pt idx="183">
                  <c:v>2.0768758691050887E-5</c:v>
                </c:pt>
                <c:pt idx="184">
                  <c:v>2.1458410627070009E-5</c:v>
                </c:pt>
                <c:pt idx="185">
                  <c:v>2.2387602812723062E-5</c:v>
                </c:pt>
                <c:pt idx="186">
                  <c:v>2.3561258034507071E-5</c:v>
                </c:pt>
                <c:pt idx="187">
                  <c:v>2.4984125327721569E-5</c:v>
                </c:pt>
                <c:pt idx="188">
                  <c:v>2.6660785795570118E-5</c:v>
                </c:pt>
                <c:pt idx="189">
                  <c:v>2.8595659863502045E-5</c:v>
                </c:pt>
                <c:pt idx="190">
                  <c:v>3.0793132542821582E-5</c:v>
                </c:pt>
                <c:pt idx="191">
                  <c:v>3.3387817253051952E-5</c:v>
                </c:pt>
                <c:pt idx="192">
                  <c:v>3.6361110085592341E-5</c:v>
                </c:pt>
                <c:pt idx="193">
                  <c:v>3.97187704891264E-5</c:v>
                </c:pt>
                <c:pt idx="194">
                  <c:v>4.3466370006300006E-5</c:v>
                </c:pt>
                <c:pt idx="195">
                  <c:v>4.760930285659491E-5</c:v>
                </c:pt>
                <c:pt idx="196">
                  <c:v>5.2152796876465115E-5</c:v>
                </c:pt>
                <c:pt idx="197">
                  <c:v>5.6681182600882225E-5</c:v>
                </c:pt>
                <c:pt idx="198">
                  <c:v>6.0963948354857838E-5</c:v>
                </c:pt>
                <c:pt idx="199">
                  <c:v>6.4995535873569148E-5</c:v>
                </c:pt>
                <c:pt idx="200">
                  <c:v>6.8770583013389242E-5</c:v>
                </c:pt>
                <c:pt idx="201">
                  <c:v>7.2283913729074905E-5</c:v>
                </c:pt>
                <c:pt idx="202">
                  <c:v>7.5530527536912473E-5</c:v>
                </c:pt>
                <c:pt idx="203">
                  <c:v>7.8505588666705558E-5</c:v>
                </c:pt>
                <c:pt idx="204">
                  <c:v>8.1204649210494517E-5</c:v>
                </c:pt>
                <c:pt idx="205">
                  <c:v>8.3297364256145658E-5</c:v>
                </c:pt>
                <c:pt idx="206">
                  <c:v>8.4633559840683212E-5</c:v>
                </c:pt>
                <c:pt idx="207">
                  <c:v>8.5202646888603111E-5</c:v>
                </c:pt>
                <c:pt idx="208">
                  <c:v>8.4994275550615087E-5</c:v>
                </c:pt>
                <c:pt idx="209">
                  <c:v>8.3998307801972215E-5</c:v>
                </c:pt>
                <c:pt idx="210">
                  <c:v>8.2204791608923175E-5</c:v>
                </c:pt>
                <c:pt idx="211">
                  <c:v>7.9714918486424073E-5</c:v>
                </c:pt>
                <c:pt idx="212">
                  <c:v>7.6972604478589167E-5</c:v>
                </c:pt>
                <c:pt idx="213">
                  <c:v>7.397548995662083E-5</c:v>
                </c:pt>
                <c:pt idx="214">
                  <c:v>7.0721214656386527E-5</c:v>
                </c:pt>
                <c:pt idx="215">
                  <c:v>6.7207414493109617E-5</c:v>
                </c:pt>
                <c:pt idx="216">
                  <c:v>6.3431719051653082E-5</c:v>
                </c:pt>
                <c:pt idx="217">
                  <c:v>5.9391749710658139E-5</c:v>
                </c:pt>
                <c:pt idx="218">
                  <c:v>5.5084896240278061E-5</c:v>
                </c:pt>
                <c:pt idx="219">
                  <c:v>5.0633084903788509E-5</c:v>
                </c:pt>
                <c:pt idx="220">
                  <c:v>4.6383205526891309E-5</c:v>
                </c:pt>
                <c:pt idx="221">
                  <c:v>4.2338531976844486E-5</c:v>
                </c:pt>
                <c:pt idx="222">
                  <c:v>3.8502251289313378E-5</c:v>
                </c:pt>
                <c:pt idx="223">
                  <c:v>3.4877473070327938E-5</c:v>
                </c:pt>
                <c:pt idx="224">
                  <c:v>3.1467238465683034E-5</c:v>
                </c:pt>
                <c:pt idx="225">
                  <c:v>2.8357450030265355E-5</c:v>
                </c:pt>
                <c:pt idx="226">
                  <c:v>2.5434131013346175E-5</c:v>
                </c:pt>
                <c:pt idx="227">
                  <c:v>2.2699774050488871E-5</c:v>
                </c:pt>
                <c:pt idx="228">
                  <c:v>2.0156836320010201E-5</c:v>
                </c:pt>
                <c:pt idx="229">
                  <c:v>1.7807745810192261E-5</c:v>
                </c:pt>
                <c:pt idx="230">
                  <c:v>1.5654907349083529E-5</c:v>
                </c:pt>
                <c:pt idx="231">
                  <c:v>1.3700708428845555E-5</c:v>
                </c:pt>
                <c:pt idx="232">
                  <c:v>1.1947065696998642E-5</c:v>
                </c:pt>
                <c:pt idx="233">
                  <c:v>1.0447526360567212E-5</c:v>
                </c:pt>
                <c:pt idx="234">
                  <c:v>9.0737439193922718E-6</c:v>
                </c:pt>
                <c:pt idx="235">
                  <c:v>7.8274747180709136E-6</c:v>
                </c:pt>
                <c:pt idx="236">
                  <c:v>6.7103735995444649E-6</c:v>
                </c:pt>
                <c:pt idx="237">
                  <c:v>5.7240066908531672E-6</c:v>
                </c:pt>
                <c:pt idx="238">
                  <c:v>4.8698783688153785E-6</c:v>
                </c:pt>
                <c:pt idx="239">
                  <c:v>4.1660624659553468E-6</c:v>
                </c:pt>
                <c:pt idx="240">
                  <c:v>3.5266332050613772E-6</c:v>
                </c:pt>
                <c:pt idx="241">
                  <c:v>2.9522699056254903E-6</c:v>
                </c:pt>
                <c:pt idx="242">
                  <c:v>2.4436405570911274E-6</c:v>
                </c:pt>
                <c:pt idx="243">
                  <c:v>2.0014129089136718E-6</c:v>
                </c:pt>
                <c:pt idx="244">
                  <c:v>1.6262659477834047E-6</c:v>
                </c:pt>
                <c:pt idx="245">
                  <c:v>1.3189018043123199E-6</c:v>
                </c:pt>
                <c:pt idx="246">
                  <c:v>1.0800332027575147E-6</c:v>
                </c:pt>
                <c:pt idx="247">
                  <c:v>9.1928955889131134E-7</c:v>
                </c:pt>
                <c:pt idx="248">
                  <c:v>7.8334059215834662E-7</c:v>
                </c:pt>
                <c:pt idx="249">
                  <c:v>6.7247536081043244E-7</c:v>
                </c:pt>
                <c:pt idx="250">
                  <c:v>5.8700269863121403E-7</c:v>
                </c:pt>
                <c:pt idx="251">
                  <c:v>5.2724976167007315E-7</c:v>
                </c:pt>
                <c:pt idx="252">
                  <c:v>4.9356046806000232E-7</c:v>
                </c:pt>
                <c:pt idx="253">
                  <c:v>4.926142230736226E-7</c:v>
                </c:pt>
                <c:pt idx="254">
                  <c:v>5.0718065447107548E-7</c:v>
                </c:pt>
                <c:pt idx="255">
                  <c:v>5.374801335333259E-7</c:v>
                </c:pt>
                <c:pt idx="256">
                  <c:v>5.8373816615854496E-7</c:v>
                </c:pt>
                <c:pt idx="257">
                  <c:v>6.461840560257979E-7</c:v>
                </c:pt>
                <c:pt idx="258">
                  <c:v>7.2504946158154572E-7</c:v>
                </c:pt>
                <c:pt idx="259">
                  <c:v>8.2056684146602538E-7</c:v>
                </c:pt>
                <c:pt idx="260">
                  <c:v>9.33023893403511E-7</c:v>
                </c:pt>
                <c:pt idx="261">
                  <c:v>1.0571494182976143E-6</c:v>
                </c:pt>
                <c:pt idx="262">
                  <c:v>1.1836015973224709E-6</c:v>
                </c:pt>
                <c:pt idx="263">
                  <c:v>1.3124138629083334E-6</c:v>
                </c:pt>
                <c:pt idx="264">
                  <c:v>1.4436112214830696E-6</c:v>
                </c:pt>
                <c:pt idx="265">
                  <c:v>1.577217937392919E-6</c:v>
                </c:pt>
                <c:pt idx="266">
                  <c:v>1.7132467297604793E-6</c:v>
                </c:pt>
                <c:pt idx="267">
                  <c:v>2.1148825655096428E-6</c:v>
                </c:pt>
                <c:pt idx="268">
                  <c:v>2.779465748378263E-6</c:v>
                </c:pt>
                <c:pt idx="269">
                  <c:v>3.7110061628060504E-6</c:v>
                </c:pt>
                <c:pt idx="270">
                  <c:v>4.9134115605919149E-6</c:v>
                </c:pt>
                <c:pt idx="271">
                  <c:v>6.3904232509887764E-6</c:v>
                </c:pt>
                <c:pt idx="272">
                  <c:v>8.1455480274706962E-6</c:v>
                </c:pt>
                <c:pt idx="273">
                  <c:v>1.0181986445904615E-5</c:v>
                </c:pt>
                <c:pt idx="274">
                  <c:v>1.2503165651229152E-5</c:v>
                </c:pt>
                <c:pt idx="275">
                  <c:v>1.5296246563845686E-5</c:v>
                </c:pt>
                <c:pt idx="276">
                  <c:v>1.8572995205106385E-5</c:v>
                </c:pt>
                <c:pt idx="277">
                  <c:v>2.233903748999234E-5</c:v>
                </c:pt>
                <c:pt idx="278">
                  <c:v>2.6599784753767056E-5</c:v>
                </c:pt>
                <c:pt idx="279">
                  <c:v>3.1360421525086454E-5</c:v>
                </c:pt>
                <c:pt idx="280">
                  <c:v>3.6625895575554596E-5</c:v>
                </c:pt>
                <c:pt idx="281">
                  <c:v>4.193787701661027E-5</c:v>
                </c:pt>
                <c:pt idx="282">
                  <c:v>4.7012964741281121E-5</c:v>
                </c:pt>
                <c:pt idx="283">
                  <c:v>5.1846625891318487E-5</c:v>
                </c:pt>
                <c:pt idx="284">
                  <c:v>5.643443446316062E-5</c:v>
                </c:pt>
                <c:pt idx="285">
                  <c:v>6.0772086884464298E-5</c:v>
                </c:pt>
                <c:pt idx="286">
                  <c:v>6.4855416747472403E-5</c:v>
                </c:pt>
                <c:pt idx="287">
                  <c:v>6.8680408470968109E-5</c:v>
                </c:pt>
                <c:pt idx="288">
                  <c:v>7.2244909771443722E-5</c:v>
                </c:pt>
                <c:pt idx="289">
                  <c:v>7.526345612920514E-5</c:v>
                </c:pt>
                <c:pt idx="290">
                  <c:v>7.7534579992880498E-5</c:v>
                </c:pt>
                <c:pt idx="291">
                  <c:v>7.9049596355682753E-5</c:v>
                </c:pt>
                <c:pt idx="292">
                  <c:v>7.9800020141398669E-5</c:v>
                </c:pt>
                <c:pt idx="293">
                  <c:v>7.977763042795377E-5</c:v>
                </c:pt>
                <c:pt idx="294">
                  <c:v>7.8974533587198345E-5</c:v>
                </c:pt>
                <c:pt idx="295">
                  <c:v>7.7610088461307585E-5</c:v>
                </c:pt>
                <c:pt idx="296">
                  <c:v>7.6167796552514748E-5</c:v>
                </c:pt>
                <c:pt idx="297">
                  <c:v>7.4647583665397608E-5</c:v>
                </c:pt>
                <c:pt idx="298">
                  <c:v>7.3048807336846989E-5</c:v>
                </c:pt>
                <c:pt idx="299">
                  <c:v>7.1370913748893759E-5</c:v>
                </c:pt>
                <c:pt idx="300">
                  <c:v>6.9613440999472941E-5</c:v>
                </c:pt>
                <c:pt idx="301">
                  <c:v>6.7776022310408522E-5</c:v>
                </c:pt>
                <c:pt idx="302">
                  <c:v>6.5862166888889685E-5</c:v>
                </c:pt>
                <c:pt idx="303">
                  <c:v>6.4040246555783294E-5</c:v>
                </c:pt>
                <c:pt idx="304">
                  <c:v>6.2606286387929203E-5</c:v>
                </c:pt>
                <c:pt idx="305">
                  <c:v>6.1562875902870218E-5</c:v>
                </c:pt>
                <c:pt idx="306">
                  <c:v>6.0912593299889695E-5</c:v>
                </c:pt>
                <c:pt idx="307">
                  <c:v>6.0657990098443443E-5</c:v>
                </c:pt>
                <c:pt idx="308">
                  <c:v>6.0801575265444583E-5</c:v>
                </c:pt>
                <c:pt idx="309">
                  <c:v>6.1450586792636037E-5</c:v>
                </c:pt>
                <c:pt idx="310">
                  <c:v>6.23728390706445E-5</c:v>
                </c:pt>
                <c:pt idx="311">
                  <c:v>6.3569765149538442E-5</c:v>
                </c:pt>
                <c:pt idx="312">
                  <c:v>6.5042705052936544E-5</c:v>
                </c:pt>
                <c:pt idx="313">
                  <c:v>6.6792887095871241E-5</c:v>
                </c:pt>
                <c:pt idx="314">
                  <c:v>6.882140693182611E-5</c:v>
                </c:pt>
                <c:pt idx="315">
                  <c:v>7.1129203993492308E-5</c:v>
                </c:pt>
                <c:pt idx="316">
                  <c:v>7.372016556320314E-5</c:v>
                </c:pt>
                <c:pt idx="317">
                  <c:v>7.6671199107980847E-5</c:v>
                </c:pt>
                <c:pt idx="318">
                  <c:v>7.9814593081585679E-5</c:v>
                </c:pt>
                <c:pt idx="319">
                  <c:v>8.3152117307232876E-5</c:v>
                </c:pt>
                <c:pt idx="320">
                  <c:v>8.6685608802325841E-5</c:v>
                </c:pt>
                <c:pt idx="321">
                  <c:v>9.0416967537545982E-5</c:v>
                </c:pt>
                <c:pt idx="322">
                  <c:v>9.4348149718915514E-5</c:v>
                </c:pt>
                <c:pt idx="323">
                  <c:v>9.8277897269090266E-5</c:v>
                </c:pt>
                <c:pt idx="324">
                  <c:v>1.0209883243589582E-4</c:v>
                </c:pt>
                <c:pt idx="325">
                  <c:v>1.058108450029834E-4</c:v>
                </c:pt>
                <c:pt idx="326">
                  <c:v>1.094130363827998E-4</c:v>
                </c:pt>
                <c:pt idx="327">
                  <c:v>1.1290476113556602E-4</c:v>
                </c:pt>
                <c:pt idx="328">
                  <c:v>1.1628579835061701E-4</c:v>
                </c:pt>
                <c:pt idx="329">
                  <c:v>1.1955580649753537E-4</c:v>
                </c:pt>
                <c:pt idx="330">
                  <c:v>1.2273010311076416E-4</c:v>
                </c:pt>
                <c:pt idx="331">
                  <c:v>1.2565491109798468E-4</c:v>
                </c:pt>
                <c:pt idx="332">
                  <c:v>1.2824918755933236E-4</c:v>
                </c:pt>
                <c:pt idx="333">
                  <c:v>1.3050455202923483E-4</c:v>
                </c:pt>
                <c:pt idx="334">
                  <c:v>1.3241139491710184E-4</c:v>
                </c:pt>
                <c:pt idx="335">
                  <c:v>1.3395902747218385E-4</c:v>
                </c:pt>
                <c:pt idx="336">
                  <c:v>1.3513585803188088E-4</c:v>
                </c:pt>
                <c:pt idx="337">
                  <c:v>1.3598871238409009E-4</c:v>
                </c:pt>
                <c:pt idx="338">
                  <c:v>1.3671761718095918E-4</c:v>
                </c:pt>
                <c:pt idx="339">
                  <c:v>1.3731212696513421E-4</c:v>
                </c:pt>
                <c:pt idx="340">
                  <c:v>1.377614805677084E-4</c:v>
                </c:pt>
                <c:pt idx="341">
                  <c:v>1.3805473395472488E-4</c:v>
                </c:pt>
                <c:pt idx="342">
                  <c:v>1.3818091381617001E-4</c:v>
                </c:pt>
                <c:pt idx="343">
                  <c:v>1.3812919101397562E-4</c:v>
                </c:pt>
                <c:pt idx="344">
                  <c:v>1.3791296248260774E-4</c:v>
                </c:pt>
                <c:pt idx="345">
                  <c:v>1.3755077433617351E-4</c:v>
                </c:pt>
                <c:pt idx="346">
                  <c:v>1.3722288164538874E-4</c:v>
                </c:pt>
                <c:pt idx="347">
                  <c:v>1.3692707303422262E-4</c:v>
                </c:pt>
                <c:pt idx="348">
                  <c:v>1.3666110033957248E-4</c:v>
                </c:pt>
                <c:pt idx="349">
                  <c:v>1.3642268860051637E-4</c:v>
                </c:pt>
                <c:pt idx="350">
                  <c:v>1.3620954658527306E-4</c:v>
                </c:pt>
                <c:pt idx="351">
                  <c:v>1.3602905237925005E-4</c:v>
                </c:pt>
                <c:pt idx="352">
                  <c:v>1.3581875361615506E-4</c:v>
                </c:pt>
                <c:pt idx="353">
                  <c:v>1.3557659197364853E-4</c:v>
                </c:pt>
                <c:pt idx="354">
                  <c:v>1.3530065529665183E-4</c:v>
                </c:pt>
                <c:pt idx="355">
                  <c:v>1.3498919528341308E-4</c:v>
                </c:pt>
                <c:pt idx="356">
                  <c:v>1.3463983829458933E-4</c:v>
                </c:pt>
                <c:pt idx="357">
                  <c:v>1.3425185070761037E-4</c:v>
                </c:pt>
                <c:pt idx="358">
                  <c:v>1.3381154159611855E-4</c:v>
                </c:pt>
                <c:pt idx="359">
                  <c:v>1.3331109790323576E-4</c:v>
                </c:pt>
                <c:pt idx="360">
                  <c:v>1.328162496909361E-4</c:v>
                </c:pt>
                <c:pt idx="361">
                  <c:v>1.3232377756946682E-4</c:v>
                </c:pt>
                <c:pt idx="362">
                  <c:v>1.3183983471788349E-4</c:v>
                </c:pt>
                <c:pt idx="363">
                  <c:v>1.3137039703750353E-4</c:v>
                </c:pt>
                <c:pt idx="364">
                  <c:v>1.3092123884753874E-4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1952"/>
        <c:axId val="358951560"/>
      </c:lineChart>
      <c:dateAx>
        <c:axId val="3589519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1560"/>
        <c:crosses val="autoZero"/>
        <c:auto val="1"/>
        <c:lblOffset val="100"/>
        <c:baseTimeUnit val="days"/>
        <c:majorUnit val="1"/>
        <c:majorTimeUnit val="months"/>
      </c:dateAx>
      <c:valAx>
        <c:axId val="3589515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19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25.362499743374524</c:v>
                </c:pt>
                <c:pt idx="1">
                  <c:v>25.541701574761106</c:v>
                </c:pt>
                <c:pt idx="2">
                  <c:v>25.72858419117777</c:v>
                </c:pt>
                <c:pt idx="3">
                  <c:v>25.921941001024233</c:v>
                </c:pt>
                <c:pt idx="4">
                  <c:v>26.120565761483373</c:v>
                </c:pt>
                <c:pt idx="5">
                  <c:v>26.323252588359615</c:v>
                </c:pt>
                <c:pt idx="6">
                  <c:v>26.528795948360894</c:v>
                </c:pt>
                <c:pt idx="7">
                  <c:v>26.735990666948972</c:v>
                </c:pt>
                <c:pt idx="8">
                  <c:v>26.947345866669966</c:v>
                </c:pt>
                <c:pt idx="9">
                  <c:v>27.166020998475794</c:v>
                </c:pt>
                <c:pt idx="10">
                  <c:v>27.391783547463934</c:v>
                </c:pt>
                <c:pt idx="11">
                  <c:v>27.624400344656593</c:v>
                </c:pt>
                <c:pt idx="12">
                  <c:v>27.863638280246722</c:v>
                </c:pt>
                <c:pt idx="13">
                  <c:v>28.109264313937345</c:v>
                </c:pt>
                <c:pt idx="14">
                  <c:v>28.361045467299107</c:v>
                </c:pt>
                <c:pt idx="15">
                  <c:v>28.618747901274258</c:v>
                </c:pt>
                <c:pt idx="16">
                  <c:v>28.882136694100119</c:v>
                </c:pt>
                <c:pt idx="17">
                  <c:v>29.150979063578092</c:v>
                </c:pt>
                <c:pt idx="18">
                  <c:v>29.425042298866465</c:v>
                </c:pt>
                <c:pt idx="19">
                  <c:v>29.704093745325476</c:v>
                </c:pt>
                <c:pt idx="20">
                  <c:v>29.987900813841453</c:v>
                </c:pt>
                <c:pt idx="21">
                  <c:v>30.276230995016824</c:v>
                </c:pt>
                <c:pt idx="22">
                  <c:v>30.571714359271315</c:v>
                </c:pt>
                <c:pt idx="23">
                  <c:v>30.876430399739725</c:v>
                </c:pt>
                <c:pt idx="24">
                  <c:v>31.189320497743363</c:v>
                </c:pt>
                <c:pt idx="25">
                  <c:v>31.509328929833085</c:v>
                </c:pt>
                <c:pt idx="26">
                  <c:v>31.83540029605345</c:v>
                </c:pt>
                <c:pt idx="27">
                  <c:v>32.166479506755657</c:v>
                </c:pt>
                <c:pt idx="28">
                  <c:v>32.501511796397438</c:v>
                </c:pt>
                <c:pt idx="29">
                  <c:v>32.839440524905299</c:v>
                </c:pt>
                <c:pt idx="30">
                  <c:v>33.179212486201109</c:v>
                </c:pt>
                <c:pt idx="31">
                  <c:v>33.519773867412759</c:v>
                </c:pt>
                <c:pt idx="32">
                  <c:v>33.860071171495989</c:v>
                </c:pt>
                <c:pt idx="33">
                  <c:v>34.199051220026355</c:v>
                </c:pt>
                <c:pt idx="34">
                  <c:v>34.535661151731695</c:v>
                </c:pt>
                <c:pt idx="35">
                  <c:v>34.86884842333474</c:v>
                </c:pt>
                <c:pt idx="36">
                  <c:v>35.199737086846234</c:v>
                </c:pt>
                <c:pt idx="37">
                  <c:v>35.530290159463753</c:v>
                </c:pt>
                <c:pt idx="38">
                  <c:v>35.860719722018167</c:v>
                </c:pt>
                <c:pt idx="39">
                  <c:v>36.191236427696708</c:v>
                </c:pt>
                <c:pt idx="40">
                  <c:v>36.522050871328986</c:v>
                </c:pt>
                <c:pt idx="41">
                  <c:v>36.853373589498787</c:v>
                </c:pt>
                <c:pt idx="42">
                  <c:v>37.185415059263597</c:v>
                </c:pt>
                <c:pt idx="43">
                  <c:v>37.518389621067286</c:v>
                </c:pt>
                <c:pt idx="44">
                  <c:v>37.852509833085861</c:v>
                </c:pt>
                <c:pt idx="45">
                  <c:v>38.187985998383624</c:v>
                </c:pt>
                <c:pt idx="46">
                  <c:v>38.525028358077485</c:v>
                </c:pt>
                <c:pt idx="47">
                  <c:v>38.863847091820524</c:v>
                </c:pt>
                <c:pt idx="48">
                  <c:v>39.20465231526822</c:v>
                </c:pt>
                <c:pt idx="49">
                  <c:v>39.547654079328275</c:v>
                </c:pt>
                <c:pt idx="50">
                  <c:v>39.893220162685552</c:v>
                </c:pt>
                <c:pt idx="51">
                  <c:v>40.241374235673128</c:v>
                </c:pt>
                <c:pt idx="52">
                  <c:v>40.591803370499647</c:v>
                </c:pt>
                <c:pt idx="53">
                  <c:v>40.944191638868489</c:v>
                </c:pt>
                <c:pt idx="54">
                  <c:v>41.298223192217357</c:v>
                </c:pt>
                <c:pt idx="55">
                  <c:v>41.653582266416571</c:v>
                </c:pt>
                <c:pt idx="56">
                  <c:v>42.009953179076682</c:v>
                </c:pt>
                <c:pt idx="57">
                  <c:v>42.367017623227134</c:v>
                </c:pt>
                <c:pt idx="58">
                  <c:v>42.724456118417315</c:v>
                </c:pt>
                <c:pt idx="59">
                  <c:v>43.081953208838073</c:v>
                </c:pt>
                <c:pt idx="60">
                  <c:v>43.439193516267416</c:v>
                </c:pt>
                <c:pt idx="61">
                  <c:v>43.795861738951089</c:v>
                </c:pt>
                <c:pt idx="62">
                  <c:v>44.151642650957115</c:v>
                </c:pt>
                <c:pt idx="63">
                  <c:v>44.506221101031819</c:v>
                </c:pt>
                <c:pt idx="64">
                  <c:v>44.860525548048173</c:v>
                </c:pt>
                <c:pt idx="65">
                  <c:v>45.215550150730415</c:v>
                </c:pt>
                <c:pt idx="66">
                  <c:v>45.571077780551299</c:v>
                </c:pt>
                <c:pt idx="67">
                  <c:v>45.926898033414666</c:v>
                </c:pt>
                <c:pt idx="68">
                  <c:v>46.282800544954284</c:v>
                </c:pt>
                <c:pt idx="69">
                  <c:v>46.638574990307255</c:v>
                </c:pt>
                <c:pt idx="70">
                  <c:v>46.99401108376631</c:v>
                </c:pt>
                <c:pt idx="71">
                  <c:v>47.348898667622834</c:v>
                </c:pt>
                <c:pt idx="72">
                  <c:v>47.703030277644899</c:v>
                </c:pt>
                <c:pt idx="73">
                  <c:v>48.056195755481802</c:v>
                </c:pt>
                <c:pt idx="74">
                  <c:v>48.408184982514051</c:v>
                </c:pt>
                <c:pt idx="75">
                  <c:v>48.758787879525315</c:v>
                </c:pt>
                <c:pt idx="76">
                  <c:v>49.10779440826574</c:v>
                </c:pt>
                <c:pt idx="77">
                  <c:v>49.454994570158334</c:v>
                </c:pt>
                <c:pt idx="78">
                  <c:v>49.802977890385662</c:v>
                </c:pt>
                <c:pt idx="79">
                  <c:v>50.153773155521613</c:v>
                </c:pt>
                <c:pt idx="80">
                  <c:v>50.506333818681249</c:v>
                </c:pt>
                <c:pt idx="81">
                  <c:v>50.859609494232025</c:v>
                </c:pt>
                <c:pt idx="82">
                  <c:v>51.212550088470181</c:v>
                </c:pt>
                <c:pt idx="83">
                  <c:v>51.564105798103654</c:v>
                </c:pt>
                <c:pt idx="84">
                  <c:v>51.913227114133186</c:v>
                </c:pt>
                <c:pt idx="85">
                  <c:v>52.258864667203724</c:v>
                </c:pt>
                <c:pt idx="86">
                  <c:v>52.599969446534054</c:v>
                </c:pt>
                <c:pt idx="87">
                  <c:v>52.93549283197698</c:v>
                </c:pt>
                <c:pt idx="88">
                  <c:v>53.264386506183939</c:v>
                </c:pt>
                <c:pt idx="89">
                  <c:v>53.58560245222489</c:v>
                </c:pt>
                <c:pt idx="90">
                  <c:v>53.898092959470915</c:v>
                </c:pt>
                <c:pt idx="91">
                  <c:v>54.200810629816075</c:v>
                </c:pt>
                <c:pt idx="92">
                  <c:v>54.495557413721151</c:v>
                </c:pt>
                <c:pt idx="93">
                  <c:v>54.78476361080498</c:v>
                </c:pt>
                <c:pt idx="94">
                  <c:v>55.068325172858486</c:v>
                </c:pt>
                <c:pt idx="95">
                  <c:v>55.346137974076342</c:v>
                </c:pt>
                <c:pt idx="96">
                  <c:v>55.618097921150671</c:v>
                </c:pt>
                <c:pt idx="97">
                  <c:v>55.884100961138301</c:v>
                </c:pt>
                <c:pt idx="98">
                  <c:v>56.144043074069884</c:v>
                </c:pt>
                <c:pt idx="99">
                  <c:v>56.397819275554689</c:v>
                </c:pt>
                <c:pt idx="100">
                  <c:v>56.645325776070578</c:v>
                </c:pt>
                <c:pt idx="101">
                  <c:v>56.886458665309817</c:v>
                </c:pt>
                <c:pt idx="102">
                  <c:v>57.121114074739985</c:v>
                </c:pt>
                <c:pt idx="103">
                  <c:v>57.349188179553721</c:v>
                </c:pt>
                <c:pt idx="104">
                  <c:v>57.570577201488575</c:v>
                </c:pt>
                <c:pt idx="105">
                  <c:v>57.785177410338072</c:v>
                </c:pt>
                <c:pt idx="106">
                  <c:v>57.992466077019728</c:v>
                </c:pt>
                <c:pt idx="107">
                  <c:v>58.192198229115739</c:v>
                </c:pt>
                <c:pt idx="108">
                  <c:v>58.384689700442856</c:v>
                </c:pt>
                <c:pt idx="109">
                  <c:v>58.570255915078612</c:v>
                </c:pt>
                <c:pt idx="110">
                  <c:v>58.749212220809966</c:v>
                </c:pt>
                <c:pt idx="111">
                  <c:v>58.921873891167451</c:v>
                </c:pt>
                <c:pt idx="112">
                  <c:v>59.088556121343302</c:v>
                </c:pt>
                <c:pt idx="113">
                  <c:v>59.24957119106184</c:v>
                </c:pt>
                <c:pt idx="114">
                  <c:v>59.405235195885517</c:v>
                </c:pt>
                <c:pt idx="115">
                  <c:v>59.555863063224812</c:v>
                </c:pt>
                <c:pt idx="116">
                  <c:v>59.701769644208127</c:v>
                </c:pt>
                <c:pt idx="117">
                  <c:v>59.84326971646589</c:v>
                </c:pt>
                <c:pt idx="118">
                  <c:v>59.980677984852541</c:v>
                </c:pt>
                <c:pt idx="119">
                  <c:v>60.1143090808308</c:v>
                </c:pt>
                <c:pt idx="120">
                  <c:v>60.243465977777397</c:v>
                </c:pt>
                <c:pt idx="121">
                  <c:v>60.367309556962461</c:v>
                </c:pt>
                <c:pt idx="122">
                  <c:v>60.485947438292804</c:v>
                </c:pt>
                <c:pt idx="123">
                  <c:v>60.599485277532544</c:v>
                </c:pt>
                <c:pt idx="124">
                  <c:v>60.708028731710172</c:v>
                </c:pt>
                <c:pt idx="125">
                  <c:v>60.811683462133828</c:v>
                </c:pt>
                <c:pt idx="126">
                  <c:v>60.910555131279615</c:v>
                </c:pt>
                <c:pt idx="127">
                  <c:v>61.004758592183727</c:v>
                </c:pt>
                <c:pt idx="128">
                  <c:v>61.094403192911841</c:v>
                </c:pt>
                <c:pt idx="129">
                  <c:v>61.179595091444867</c:v>
                </c:pt>
                <c:pt idx="130">
                  <c:v>61.260440471762237</c:v>
                </c:pt>
                <c:pt idx="131">
                  <c:v>61.337045555720358</c:v>
                </c:pt>
                <c:pt idx="132">
                  <c:v>61.409516592331052</c:v>
                </c:pt>
                <c:pt idx="133">
                  <c:v>61.477959865423166</c:v>
                </c:pt>
                <c:pt idx="134">
                  <c:v>61.54176742121706</c:v>
                </c:pt>
                <c:pt idx="135">
                  <c:v>61.600414892416381</c:v>
                </c:pt>
                <c:pt idx="136">
                  <c:v>61.654117442828031</c:v>
                </c:pt>
                <c:pt idx="137">
                  <c:v>61.703086984939759</c:v>
                </c:pt>
                <c:pt idx="138">
                  <c:v>61.747535451900454</c:v>
                </c:pt>
                <c:pt idx="139">
                  <c:v>61.787674786166967</c:v>
                </c:pt>
                <c:pt idx="140">
                  <c:v>61.823716941156476</c:v>
                </c:pt>
                <c:pt idx="141">
                  <c:v>61.855869128863908</c:v>
                </c:pt>
                <c:pt idx="142">
                  <c:v>61.884331981328678</c:v>
                </c:pt>
                <c:pt idx="143">
                  <c:v>61.909316808758348</c:v>
                </c:pt>
                <c:pt idx="144">
                  <c:v>61.931034872871493</c:v>
                </c:pt>
                <c:pt idx="145">
                  <c:v>61.949697401227105</c:v>
                </c:pt>
                <c:pt idx="146">
                  <c:v>61.965515580150665</c:v>
                </c:pt>
                <c:pt idx="147">
                  <c:v>61.978700548964554</c:v>
                </c:pt>
                <c:pt idx="148">
                  <c:v>61.989167587910977</c:v>
                </c:pt>
                <c:pt idx="149">
                  <c:v>61.996614358453776</c:v>
                </c:pt>
                <c:pt idx="150">
                  <c:v>62.000921887575551</c:v>
                </c:pt>
                <c:pt idx="151">
                  <c:v>62.001987220111758</c:v>
                </c:pt>
                <c:pt idx="152">
                  <c:v>61.999707421524704</c:v>
                </c:pt>
                <c:pt idx="153">
                  <c:v>61.993979573114238</c:v>
                </c:pt>
                <c:pt idx="154">
                  <c:v>61.984700771357574</c:v>
                </c:pt>
                <c:pt idx="155">
                  <c:v>61.971767034602394</c:v>
                </c:pt>
                <c:pt idx="156">
                  <c:v>61.955081199768934</c:v>
                </c:pt>
                <c:pt idx="157">
                  <c:v>61.93454055357715</c:v>
                </c:pt>
                <c:pt idx="158">
                  <c:v>61.91004238212453</c:v>
                </c:pt>
                <c:pt idx="159">
                  <c:v>61.881483966669485</c:v>
                </c:pt>
                <c:pt idx="160">
                  <c:v>61.848762580379876</c:v>
                </c:pt>
                <c:pt idx="161">
                  <c:v>61.811775490412089</c:v>
                </c:pt>
                <c:pt idx="162">
                  <c:v>61.769776879208614</c:v>
                </c:pt>
                <c:pt idx="163">
                  <c:v>61.722368957099725</c:v>
                </c:pt>
                <c:pt idx="164">
                  <c:v>61.669981127412569</c:v>
                </c:pt>
                <c:pt idx="165">
                  <c:v>61.61303230631281</c:v>
                </c:pt>
                <c:pt idx="166">
                  <c:v>61.551941209517743</c:v>
                </c:pt>
                <c:pt idx="167">
                  <c:v>61.48712635015</c:v>
                </c:pt>
                <c:pt idx="168">
                  <c:v>61.419006039146872</c:v>
                </c:pt>
                <c:pt idx="169">
                  <c:v>61.347998656235752</c:v>
                </c:pt>
                <c:pt idx="170">
                  <c:v>61.274523390635586</c:v>
                </c:pt>
                <c:pt idx="171">
                  <c:v>61.198997985441821</c:v>
                </c:pt>
                <c:pt idx="172">
                  <c:v>61.121839979506973</c:v>
                </c:pt>
                <c:pt idx="173">
                  <c:v>61.043466718895523</c:v>
                </c:pt>
                <c:pt idx="174">
                  <c:v>60.964295352369057</c:v>
                </c:pt>
                <c:pt idx="175">
                  <c:v>60.884742818324376</c:v>
                </c:pt>
                <c:pt idx="176">
                  <c:v>60.804184215749011</c:v>
                </c:pt>
                <c:pt idx="177">
                  <c:v>60.721715660779971</c:v>
                </c:pt>
                <c:pt idx="178">
                  <c:v>60.637337137445797</c:v>
                </c:pt>
                <c:pt idx="179">
                  <c:v>60.551048853864209</c:v>
                </c:pt>
                <c:pt idx="180">
                  <c:v>60.462850959901111</c:v>
                </c:pt>
                <c:pt idx="181">
                  <c:v>60.372743550194315</c:v>
                </c:pt>
                <c:pt idx="182">
                  <c:v>60.280726663593249</c:v>
                </c:pt>
                <c:pt idx="183">
                  <c:v>60.186787802974351</c:v>
                </c:pt>
                <c:pt idx="184">
                  <c:v>60.090926376543955</c:v>
                </c:pt>
                <c:pt idx="185">
                  <c:v>59.993142067014588</c:v>
                </c:pt>
                <c:pt idx="186">
                  <c:v>59.893434533455647</c:v>
                </c:pt>
                <c:pt idx="187">
                  <c:v>59.791803413078163</c:v>
                </c:pt>
                <c:pt idx="188">
                  <c:v>59.688248329642285</c:v>
                </c:pt>
                <c:pt idx="189">
                  <c:v>59.58276889148889</c:v>
                </c:pt>
                <c:pt idx="190">
                  <c:v>59.475139247996637</c:v>
                </c:pt>
                <c:pt idx="191">
                  <c:v>59.36519523227166</c:v>
                </c:pt>
                <c:pt idx="192">
                  <c:v>59.253041946045819</c:v>
                </c:pt>
                <c:pt idx="193">
                  <c:v>59.138783004545161</c:v>
                </c:pt>
                <c:pt idx="194">
                  <c:v>59.022522004433689</c:v>
                </c:pt>
                <c:pt idx="195">
                  <c:v>58.904362529316558</c:v>
                </c:pt>
                <c:pt idx="196">
                  <c:v>58.784408149851906</c:v>
                </c:pt>
                <c:pt idx="197">
                  <c:v>58.662787112106976</c:v>
                </c:pt>
                <c:pt idx="198">
                  <c:v>58.539616600768994</c:v>
                </c:pt>
                <c:pt idx="199">
                  <c:v>58.415000527377458</c:v>
                </c:pt>
                <c:pt idx="200">
                  <c:v>58.289042773468417</c:v>
                </c:pt>
                <c:pt idx="201">
                  <c:v>58.161847194046501</c:v>
                </c:pt>
                <c:pt idx="202">
                  <c:v>58.033517621655804</c:v>
                </c:pt>
                <c:pt idx="203">
                  <c:v>57.904157870484767</c:v>
                </c:pt>
                <c:pt idx="204">
                  <c:v>57.773611865522888</c:v>
                </c:pt>
                <c:pt idx="205">
                  <c:v>57.641673097592182</c:v>
                </c:pt>
                <c:pt idx="206">
                  <c:v>57.508349791219544</c:v>
                </c:pt>
                <c:pt idx="207">
                  <c:v>57.373642107204581</c:v>
                </c:pt>
                <c:pt idx="208">
                  <c:v>57.237550211815275</c:v>
                </c:pt>
                <c:pt idx="209">
                  <c:v>57.100074280233066</c:v>
                </c:pt>
                <c:pt idx="210">
                  <c:v>56.961214497578823</c:v>
                </c:pt>
                <c:pt idx="211">
                  <c:v>56.820964753639522</c:v>
                </c:pt>
                <c:pt idx="212">
                  <c:v>56.679299593955847</c:v>
                </c:pt>
                <c:pt idx="213">
                  <c:v>56.536219078013758</c:v>
                </c:pt>
                <c:pt idx="214">
                  <c:v>56.391723292646098</c:v>
                </c:pt>
                <c:pt idx="215">
                  <c:v>56.245812352210912</c:v>
                </c:pt>
                <c:pt idx="216">
                  <c:v>56.098486396813954</c:v>
                </c:pt>
                <c:pt idx="217">
                  <c:v>55.949745591754898</c:v>
                </c:pt>
                <c:pt idx="218">
                  <c:v>55.79981513888292</c:v>
                </c:pt>
                <c:pt idx="219">
                  <c:v>55.64884404767443</c:v>
                </c:pt>
                <c:pt idx="220">
                  <c:v>55.49670931558159</c:v>
                </c:pt>
                <c:pt idx="221">
                  <c:v>55.343307217478952</c:v>
                </c:pt>
                <c:pt idx="222">
                  <c:v>55.188534084652417</c:v>
                </c:pt>
                <c:pt idx="223">
                  <c:v>55.032286300655855</c:v>
                </c:pt>
                <c:pt idx="224">
                  <c:v>54.874460299852657</c:v>
                </c:pt>
                <c:pt idx="225">
                  <c:v>54.714948029862882</c:v>
                </c:pt>
                <c:pt idx="226">
                  <c:v>54.553652438893742</c:v>
                </c:pt>
                <c:pt idx="227">
                  <c:v>54.390470108731932</c:v>
                </c:pt>
                <c:pt idx="228">
                  <c:v>54.225297663285531</c:v>
                </c:pt>
                <c:pt idx="229">
                  <c:v>54.058031768429821</c:v>
                </c:pt>
                <c:pt idx="230">
                  <c:v>53.888569130762811</c:v>
                </c:pt>
                <c:pt idx="231">
                  <c:v>53.716806493029196</c:v>
                </c:pt>
                <c:pt idx="232">
                  <c:v>53.544698440817676</c:v>
                </c:pt>
                <c:pt idx="233">
                  <c:v>53.373712152806831</c:v>
                </c:pt>
                <c:pt idx="234">
                  <c:v>53.20302457686681</c:v>
                </c:pt>
                <c:pt idx="235">
                  <c:v>53.031805892557067</c:v>
                </c:pt>
                <c:pt idx="236">
                  <c:v>52.85922650750733</c:v>
                </c:pt>
                <c:pt idx="237">
                  <c:v>52.68445705434133</c:v>
                </c:pt>
                <c:pt idx="238">
                  <c:v>52.506668390068633</c:v>
                </c:pt>
                <c:pt idx="239">
                  <c:v>52.32503072536845</c:v>
                </c:pt>
                <c:pt idx="240">
                  <c:v>52.138719926586411</c:v>
                </c:pt>
                <c:pt idx="241">
                  <c:v>51.946907514662243</c:v>
                </c:pt>
                <c:pt idx="242">
                  <c:v>51.748765229853696</c:v>
                </c:pt>
                <c:pt idx="243">
                  <c:v>51.543465027313871</c:v>
                </c:pt>
                <c:pt idx="244">
                  <c:v>51.330179079816048</c:v>
                </c:pt>
                <c:pt idx="245">
                  <c:v>51.108079769251191</c:v>
                </c:pt>
                <c:pt idx="246">
                  <c:v>50.877514510100774</c:v>
                </c:pt>
                <c:pt idx="247">
                  <c:v>50.639659393774018</c:v>
                </c:pt>
                <c:pt idx="248">
                  <c:v>50.394933329298638</c:v>
                </c:pt>
                <c:pt idx="249">
                  <c:v>50.143752373044002</c:v>
                </c:pt>
                <c:pt idx="250">
                  <c:v>49.886532480407837</c:v>
                </c:pt>
                <c:pt idx="251">
                  <c:v>49.623689497167319</c:v>
                </c:pt>
                <c:pt idx="252">
                  <c:v>49.355639168984638</c:v>
                </c:pt>
                <c:pt idx="253">
                  <c:v>49.082796821482958</c:v>
                </c:pt>
                <c:pt idx="254">
                  <c:v>48.805578855384546</c:v>
                </c:pt>
                <c:pt idx="255">
                  <c:v>48.52440069960597</c:v>
                </c:pt>
                <c:pt idx="256">
                  <c:v>48.239677679646718</c:v>
                </c:pt>
                <c:pt idx="257">
                  <c:v>47.951825016703452</c:v>
                </c:pt>
                <c:pt idx="258">
                  <c:v>47.661257827477897</c:v>
                </c:pt>
                <c:pt idx="259">
                  <c:v>47.368391123961025</c:v>
                </c:pt>
                <c:pt idx="260">
                  <c:v>47.070808929106441</c:v>
                </c:pt>
                <c:pt idx="261">
                  <c:v>46.766372273454898</c:v>
                </c:pt>
                <c:pt idx="262">
                  <c:v>46.455911494092355</c:v>
                </c:pt>
                <c:pt idx="263">
                  <c:v>46.140256262454258</c:v>
                </c:pt>
                <c:pt idx="264">
                  <c:v>45.820236035393499</c:v>
                </c:pt>
                <c:pt idx="265">
                  <c:v>45.496680050641281</c:v>
                </c:pt>
                <c:pt idx="266">
                  <c:v>45.170417327832752</c:v>
                </c:pt>
                <c:pt idx="267">
                  <c:v>44.842264869141843</c:v>
                </c:pt>
                <c:pt idx="268">
                  <c:v>44.513051638013337</c:v>
                </c:pt>
                <c:pt idx="269">
                  <c:v>44.183606083255526</c:v>
                </c:pt>
                <c:pt idx="270">
                  <c:v>43.85475644409297</c:v>
                </c:pt>
                <c:pt idx="271">
                  <c:v>43.527330751962502</c:v>
                </c:pt>
                <c:pt idx="272">
                  <c:v>43.202156831338073</c:v>
                </c:pt>
                <c:pt idx="273">
                  <c:v>42.880062300996542</c:v>
                </c:pt>
                <c:pt idx="274">
                  <c:v>42.55980488916763</c:v>
                </c:pt>
                <c:pt idx="275">
                  <c:v>42.239582945116638</c:v>
                </c:pt>
                <c:pt idx="276">
                  <c:v>41.919396286595692</c:v>
                </c:pt>
                <c:pt idx="277">
                  <c:v>41.599244961277861</c:v>
                </c:pt>
                <c:pt idx="278">
                  <c:v>41.279128990341206</c:v>
                </c:pt>
                <c:pt idx="279">
                  <c:v>40.959048366876004</c:v>
                </c:pt>
                <c:pt idx="280">
                  <c:v>40.63900305439995</c:v>
                </c:pt>
                <c:pt idx="281">
                  <c:v>40.319011655347218</c:v>
                </c:pt>
                <c:pt idx="282">
                  <c:v>39.999085140579993</c:v>
                </c:pt>
                <c:pt idx="283">
                  <c:v>39.679223004096627</c:v>
                </c:pt>
                <c:pt idx="284">
                  <c:v>39.359424680992994</c:v>
                </c:pt>
                <c:pt idx="285">
                  <c:v>39.039689546989734</c:v>
                </c:pt>
                <c:pt idx="286">
                  <c:v>38.720016918356166</c:v>
                </c:pt>
                <c:pt idx="287">
                  <c:v>38.400406052266661</c:v>
                </c:pt>
                <c:pt idx="288">
                  <c:v>38.07995994261843</c:v>
                </c:pt>
                <c:pt idx="289">
                  <c:v>37.758068142146605</c:v>
                </c:pt>
                <c:pt idx="290">
                  <c:v>37.43515067122722</c:v>
                </c:pt>
                <c:pt idx="291">
                  <c:v>37.111620000861436</c:v>
                </c:pt>
                <c:pt idx="292">
                  <c:v>36.787888455926186</c:v>
                </c:pt>
                <c:pt idx="293">
                  <c:v>36.46436822200377</c:v>
                </c:pt>
                <c:pt idx="294">
                  <c:v>36.141471349214832</c:v>
                </c:pt>
                <c:pt idx="295">
                  <c:v>35.819601633656426</c:v>
                </c:pt>
                <c:pt idx="296">
                  <c:v>35.499153679037377</c:v>
                </c:pt>
                <c:pt idx="297">
                  <c:v>35.180539630645356</c:v>
                </c:pt>
                <c:pt idx="298">
                  <c:v>34.864171563749757</c:v>
                </c:pt>
                <c:pt idx="299">
                  <c:v>34.550461466988381</c:v>
                </c:pt>
                <c:pt idx="300">
                  <c:v>34.239821248078428</c:v>
                </c:pt>
                <c:pt idx="301">
                  <c:v>33.932662737292894</c:v>
                </c:pt>
                <c:pt idx="302">
                  <c:v>33.627468672609304</c:v>
                </c:pt>
                <c:pt idx="303">
                  <c:v>33.322716569154665</c:v>
                </c:pt>
                <c:pt idx="304">
                  <c:v>33.018808932148843</c:v>
                </c:pt>
                <c:pt idx="305">
                  <c:v>32.716158167872365</c:v>
                </c:pt>
                <c:pt idx="306">
                  <c:v>32.415176627099051</c:v>
                </c:pt>
                <c:pt idx="307">
                  <c:v>32.116276614641926</c:v>
                </c:pt>
                <c:pt idx="308">
                  <c:v>31.819870384364489</c:v>
                </c:pt>
                <c:pt idx="309">
                  <c:v>31.526366846896742</c:v>
                </c:pt>
                <c:pt idx="310">
                  <c:v>31.23618558875317</c:v>
                </c:pt>
                <c:pt idx="311">
                  <c:v>30.949738656585264</c:v>
                </c:pt>
                <c:pt idx="312">
                  <c:v>30.667438056743414</c:v>
                </c:pt>
                <c:pt idx="313">
                  <c:v>30.389695762196396</c:v>
                </c:pt>
                <c:pt idx="314">
                  <c:v>30.116923710271298</c:v>
                </c:pt>
                <c:pt idx="315">
                  <c:v>29.849533807524285</c:v>
                </c:pt>
                <c:pt idx="316">
                  <c:v>29.586681397366867</c:v>
                </c:pt>
                <c:pt idx="317">
                  <c:v>29.327313370240855</c:v>
                </c:pt>
                <c:pt idx="318">
                  <c:v>29.071537096616243</c:v>
                </c:pt>
                <c:pt idx="319">
                  <c:v>28.819454923927143</c:v>
                </c:pt>
                <c:pt idx="320">
                  <c:v>28.571169223130578</c:v>
                </c:pt>
                <c:pt idx="321">
                  <c:v>28.326782398209591</c:v>
                </c:pt>
                <c:pt idx="322">
                  <c:v>28.086396876094476</c:v>
                </c:pt>
                <c:pt idx="323">
                  <c:v>27.85012077654557</c:v>
                </c:pt>
                <c:pt idx="324">
                  <c:v>27.618059461264849</c:v>
                </c:pt>
                <c:pt idx="325">
                  <c:v>27.390315288988862</c:v>
                </c:pt>
                <c:pt idx="326">
                  <c:v>27.166990668206306</c:v>
                </c:pt>
                <c:pt idx="327">
                  <c:v>26.948188028619544</c:v>
                </c:pt>
                <c:pt idx="328">
                  <c:v>26.734009815680949</c:v>
                </c:pt>
                <c:pt idx="329">
                  <c:v>26.524558503491825</c:v>
                </c:pt>
                <c:pt idx="330">
                  <c:v>26.316547959135402</c:v>
                </c:pt>
                <c:pt idx="331">
                  <c:v>26.10759153228825</c:v>
                </c:pt>
                <c:pt idx="332">
                  <c:v>25.899136096616264</c:v>
                </c:pt>
                <c:pt idx="333">
                  <c:v>25.692626325128131</c:v>
                </c:pt>
                <c:pt idx="334">
                  <c:v>25.489506654535528</c:v>
                </c:pt>
                <c:pt idx="335">
                  <c:v>25.291221261032433</c:v>
                </c:pt>
                <c:pt idx="336">
                  <c:v>25.0992140630566</c:v>
                </c:pt>
                <c:pt idx="337">
                  <c:v>24.914927236202878</c:v>
                </c:pt>
                <c:pt idx="338">
                  <c:v>24.739798908220735</c:v>
                </c:pt>
                <c:pt idx="339">
                  <c:v>24.575272232986102</c:v>
                </c:pt>
                <c:pt idx="340">
                  <c:v>24.422790049926125</c:v>
                </c:pt>
                <c:pt idx="341">
                  <c:v>24.283794886460672</c:v>
                </c:pt>
                <c:pt idx="342">
                  <c:v>24.159728946414976</c:v>
                </c:pt>
                <c:pt idx="343">
                  <c:v>24.052034102720874</c:v>
                </c:pt>
                <c:pt idx="344">
                  <c:v>23.958000425071237</c:v>
                </c:pt>
                <c:pt idx="345">
                  <c:v>23.874122819334211</c:v>
                </c:pt>
                <c:pt idx="346">
                  <c:v>23.800645758161526</c:v>
                </c:pt>
                <c:pt idx="347">
                  <c:v>23.737818038919979</c:v>
                </c:pt>
                <c:pt idx="348">
                  <c:v>23.685888380512377</c:v>
                </c:pt>
                <c:pt idx="349">
                  <c:v>23.645105434970098</c:v>
                </c:pt>
                <c:pt idx="350">
                  <c:v>23.615717774829466</c:v>
                </c:pt>
                <c:pt idx="351">
                  <c:v>23.597973663832672</c:v>
                </c:pt>
                <c:pt idx="352">
                  <c:v>23.592122944797655</c:v>
                </c:pt>
                <c:pt idx="353">
                  <c:v>23.598413943122583</c:v>
                </c:pt>
                <c:pt idx="354">
                  <c:v>23.617094916674748</c:v>
                </c:pt>
                <c:pt idx="355">
                  <c:v>23.64841404202279</c:v>
                </c:pt>
                <c:pt idx="356">
                  <c:v>23.692619422581661</c:v>
                </c:pt>
                <c:pt idx="357">
                  <c:v>23.749959060146651</c:v>
                </c:pt>
                <c:pt idx="358">
                  <c:v>23.822800636474486</c:v>
                </c:pt>
                <c:pt idx="359">
                  <c:v>23.912560541546583</c:v>
                </c:pt>
                <c:pt idx="360">
                  <c:v>24.018058584993319</c:v>
                </c:pt>
                <c:pt idx="361">
                  <c:v>24.138116473310323</c:v>
                </c:pt>
                <c:pt idx="362">
                  <c:v>24.271555933308907</c:v>
                </c:pt>
                <c:pt idx="363">
                  <c:v>24.417198961766012</c:v>
                </c:pt>
                <c:pt idx="364">
                  <c:v>24.57386780507753</c:v>
                </c:pt>
                <c:pt idx="365">
                  <c:v>24.968183774226027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1.7709999999999999</c:v>
                </c:pt>
                <c:pt idx="1">
                  <c:v>7.3440000000000003</c:v>
                </c:pt>
                <c:pt idx="2">
                  <c:v>26.925000000000001</c:v>
                </c:pt>
                <c:pt idx="3">
                  <c:v>24.042999999999999</c:v>
                </c:pt>
                <c:pt idx="4">
                  <c:v>26.59</c:v>
                </c:pt>
                <c:pt idx="5">
                  <c:v>4.6459999999999999</c:v>
                </c:pt>
                <c:pt idx="6">
                  <c:v>2.8</c:v>
                </c:pt>
                <c:pt idx="7">
                  <c:v>4.3840000000000003</c:v>
                </c:pt>
                <c:pt idx="8">
                  <c:v>11.691000000000001</c:v>
                </c:pt>
                <c:pt idx="9">
                  <c:v>13.003</c:v>
                </c:pt>
                <c:pt idx="10">
                  <c:v>24.864999999999998</c:v>
                </c:pt>
                <c:pt idx="11">
                  <c:v>9.4700000000000006</c:v>
                </c:pt>
                <c:pt idx="12">
                  <c:v>4.0149999999999997</c:v>
                </c:pt>
                <c:pt idx="13">
                  <c:v>5.6020000000000003</c:v>
                </c:pt>
                <c:pt idx="14">
                  <c:v>28.555</c:v>
                </c:pt>
                <c:pt idx="15">
                  <c:v>28.661999999999999</c:v>
                </c:pt>
                <c:pt idx="16">
                  <c:v>10.478</c:v>
                </c:pt>
                <c:pt idx="17">
                  <c:v>15.006</c:v>
                </c:pt>
                <c:pt idx="18">
                  <c:v>16.815000000000001</c:v>
                </c:pt>
                <c:pt idx="19">
                  <c:v>7.7649999999999997</c:v>
                </c:pt>
                <c:pt idx="20">
                  <c:v>7.3120000000000003</c:v>
                </c:pt>
                <c:pt idx="21">
                  <c:v>11.567</c:v>
                </c:pt>
                <c:pt idx="22">
                  <c:v>10.426</c:v>
                </c:pt>
                <c:pt idx="23">
                  <c:v>11.012</c:v>
                </c:pt>
                <c:pt idx="24">
                  <c:v>5.5069999999999997</c:v>
                </c:pt>
                <c:pt idx="25">
                  <c:v>15.88</c:v>
                </c:pt>
                <c:pt idx="26">
                  <c:v>14.708</c:v>
                </c:pt>
                <c:pt idx="27">
                  <c:v>15.058</c:v>
                </c:pt>
                <c:pt idx="28">
                  <c:v>5.7409999999999997</c:v>
                </c:pt>
                <c:pt idx="29">
                  <c:v>8.3079999999999998</c:v>
                </c:pt>
                <c:pt idx="30">
                  <c:v>7.6210000000000004</c:v>
                </c:pt>
                <c:pt idx="31">
                  <c:v>27.419</c:v>
                </c:pt>
                <c:pt idx="32">
                  <c:v>3.3719999999999999</c:v>
                </c:pt>
                <c:pt idx="33">
                  <c:v>13.62</c:v>
                </c:pt>
                <c:pt idx="34">
                  <c:v>27.38</c:v>
                </c:pt>
                <c:pt idx="35">
                  <c:v>3.863</c:v>
                </c:pt>
                <c:pt idx="36">
                  <c:v>10.815</c:v>
                </c:pt>
                <c:pt idx="37">
                  <c:v>7.1950000000000003</c:v>
                </c:pt>
                <c:pt idx="38">
                  <c:v>30.587</c:v>
                </c:pt>
                <c:pt idx="39">
                  <c:v>29.228000000000002</c:v>
                </c:pt>
                <c:pt idx="40">
                  <c:v>9.2279999999999998</c:v>
                </c:pt>
                <c:pt idx="41">
                  <c:v>21.178999999999998</c:v>
                </c:pt>
                <c:pt idx="42">
                  <c:v>37.709000000000003</c:v>
                </c:pt>
                <c:pt idx="43">
                  <c:v>39.009</c:v>
                </c:pt>
                <c:pt idx="44">
                  <c:v>39.280999999999999</c:v>
                </c:pt>
                <c:pt idx="45">
                  <c:v>39.526000000000003</c:v>
                </c:pt>
                <c:pt idx="46">
                  <c:v>39.960999999999999</c:v>
                </c:pt>
                <c:pt idx="47">
                  <c:v>40.393000000000001</c:v>
                </c:pt>
                <c:pt idx="48">
                  <c:v>39.921999999999997</c:v>
                </c:pt>
                <c:pt idx="49">
                  <c:v>29.853999999999999</c:v>
                </c:pt>
                <c:pt idx="50">
                  <c:v>39.799999999999997</c:v>
                </c:pt>
                <c:pt idx="51">
                  <c:v>37.951999999999998</c:v>
                </c:pt>
                <c:pt idx="52">
                  <c:v>39.378999999999998</c:v>
                </c:pt>
                <c:pt idx="53">
                  <c:v>39.987000000000002</c:v>
                </c:pt>
                <c:pt idx="54">
                  <c:v>40.192999999999998</c:v>
                </c:pt>
                <c:pt idx="55">
                  <c:v>41.164000000000001</c:v>
                </c:pt>
                <c:pt idx="56">
                  <c:v>37.472000000000001</c:v>
                </c:pt>
                <c:pt idx="57">
                  <c:v>41.372</c:v>
                </c:pt>
                <c:pt idx="58">
                  <c:v>32.523000000000003</c:v>
                </c:pt>
                <c:pt idx="59">
                  <c:v>15.007</c:v>
                </c:pt>
                <c:pt idx="60">
                  <c:v>22.096</c:v>
                </c:pt>
                <c:pt idx="61">
                  <c:v>38.192</c:v>
                </c:pt>
                <c:pt idx="62">
                  <c:v>13.241</c:v>
                </c:pt>
                <c:pt idx="63">
                  <c:v>43.591000000000001</c:v>
                </c:pt>
                <c:pt idx="64">
                  <c:v>22.887</c:v>
                </c:pt>
                <c:pt idx="65">
                  <c:v>41.777999999999999</c:v>
                </c:pt>
                <c:pt idx="66">
                  <c:v>21.78</c:v>
                </c:pt>
                <c:pt idx="67">
                  <c:v>20.241</c:v>
                </c:pt>
                <c:pt idx="68">
                  <c:v>14.359</c:v>
                </c:pt>
                <c:pt idx="69">
                  <c:v>28.312000000000001</c:v>
                </c:pt>
                <c:pt idx="70">
                  <c:v>41.38</c:v>
                </c:pt>
                <c:pt idx="71">
                  <c:v>27.576000000000001</c:v>
                </c:pt>
                <c:pt idx="72">
                  <c:v>24.748999999999999</c:v>
                </c:pt>
                <c:pt idx="73">
                  <c:v>13.045999999999999</c:v>
                </c:pt>
                <c:pt idx="74">
                  <c:v>47.389000000000003</c:v>
                </c:pt>
                <c:pt idx="75">
                  <c:v>16.763999999999999</c:v>
                </c:pt>
                <c:pt idx="76">
                  <c:v>34.661000000000001</c:v>
                </c:pt>
                <c:pt idx="77">
                  <c:v>12.717000000000001</c:v>
                </c:pt>
                <c:pt idx="78">
                  <c:v>50.011000000000003</c:v>
                </c:pt>
                <c:pt idx="79">
                  <c:v>50.234999999999999</c:v>
                </c:pt>
                <c:pt idx="80">
                  <c:v>49.118000000000002</c:v>
                </c:pt>
                <c:pt idx="81">
                  <c:v>46.238</c:v>
                </c:pt>
                <c:pt idx="82">
                  <c:v>50.338999999999999</c:v>
                </c:pt>
                <c:pt idx="83">
                  <c:v>43.801000000000002</c:v>
                </c:pt>
                <c:pt idx="84">
                  <c:v>53.691000000000003</c:v>
                </c:pt>
                <c:pt idx="85">
                  <c:v>52.947000000000003</c:v>
                </c:pt>
                <c:pt idx="86">
                  <c:v>51.72</c:v>
                </c:pt>
                <c:pt idx="87">
                  <c:v>53.125999999999998</c:v>
                </c:pt>
                <c:pt idx="88">
                  <c:v>54.213000000000001</c:v>
                </c:pt>
                <c:pt idx="89">
                  <c:v>46.28</c:v>
                </c:pt>
                <c:pt idx="90">
                  <c:v>39.731000000000002</c:v>
                </c:pt>
                <c:pt idx="91">
                  <c:v>15.236000000000001</c:v>
                </c:pt>
                <c:pt idx="92">
                  <c:v>15.61</c:v>
                </c:pt>
                <c:pt idx="93">
                  <c:v>39.783999999999999</c:v>
                </c:pt>
                <c:pt idx="94">
                  <c:v>51.651000000000003</c:v>
                </c:pt>
                <c:pt idx="95">
                  <c:v>19.648</c:v>
                </c:pt>
                <c:pt idx="96">
                  <c:v>34.701000000000001</c:v>
                </c:pt>
                <c:pt idx="97">
                  <c:v>35.953000000000003</c:v>
                </c:pt>
                <c:pt idx="98">
                  <c:v>40.664999999999999</c:v>
                </c:pt>
                <c:pt idx="99">
                  <c:v>36.979999999999997</c:v>
                </c:pt>
                <c:pt idx="100">
                  <c:v>10.102</c:v>
                </c:pt>
                <c:pt idx="101">
                  <c:v>56.933</c:v>
                </c:pt>
                <c:pt idx="102">
                  <c:v>57.622999999999998</c:v>
                </c:pt>
                <c:pt idx="103">
                  <c:v>30.126999999999999</c:v>
                </c:pt>
                <c:pt idx="104">
                  <c:v>40.706000000000003</c:v>
                </c:pt>
                <c:pt idx="105">
                  <c:v>36.997999999999998</c:v>
                </c:pt>
                <c:pt idx="106">
                  <c:v>38.612000000000002</c:v>
                </c:pt>
                <c:pt idx="107">
                  <c:v>29.341999999999999</c:v>
                </c:pt>
                <c:pt idx="108">
                  <c:v>52.618000000000002</c:v>
                </c:pt>
                <c:pt idx="109">
                  <c:v>53.61</c:v>
                </c:pt>
                <c:pt idx="110">
                  <c:v>18.811</c:v>
                </c:pt>
                <c:pt idx="111">
                  <c:v>33.593000000000004</c:v>
                </c:pt>
                <c:pt idx="112">
                  <c:v>35.581000000000003</c:v>
                </c:pt>
                <c:pt idx="113">
                  <c:v>52.439</c:v>
                </c:pt>
                <c:pt idx="114">
                  <c:v>36.433999999999997</c:v>
                </c:pt>
                <c:pt idx="115">
                  <c:v>30.004999999999999</c:v>
                </c:pt>
                <c:pt idx="116">
                  <c:v>29.672999999999998</c:v>
                </c:pt>
                <c:pt idx="117">
                  <c:v>45.695999999999998</c:v>
                </c:pt>
                <c:pt idx="118">
                  <c:v>51.405999999999999</c:v>
                </c:pt>
                <c:pt idx="119">
                  <c:v>60.515999999999998</c:v>
                </c:pt>
                <c:pt idx="120">
                  <c:v>56.468000000000004</c:v>
                </c:pt>
                <c:pt idx="121">
                  <c:v>33.776000000000003</c:v>
                </c:pt>
                <c:pt idx="122">
                  <c:v>20.010000000000002</c:v>
                </c:pt>
                <c:pt idx="123">
                  <c:v>34.450000000000003</c:v>
                </c:pt>
                <c:pt idx="124">
                  <c:v>50.177</c:v>
                </c:pt>
                <c:pt idx="125">
                  <c:v>62.54</c:v>
                </c:pt>
                <c:pt idx="126">
                  <c:v>47.506</c:v>
                </c:pt>
                <c:pt idx="127">
                  <c:v>32.515999999999998</c:v>
                </c:pt>
                <c:pt idx="128">
                  <c:v>47.44</c:v>
                </c:pt>
                <c:pt idx="129">
                  <c:v>38.81</c:v>
                </c:pt>
                <c:pt idx="130">
                  <c:v>37.851999999999997</c:v>
                </c:pt>
                <c:pt idx="131">
                  <c:v>57.686999999999998</c:v>
                </c:pt>
                <c:pt idx="132">
                  <c:v>63.69</c:v>
                </c:pt>
                <c:pt idx="133">
                  <c:v>62.15</c:v>
                </c:pt>
                <c:pt idx="134">
                  <c:v>62.636000000000003</c:v>
                </c:pt>
                <c:pt idx="135">
                  <c:v>54.280999999999999</c:v>
                </c:pt>
                <c:pt idx="136">
                  <c:v>7.375</c:v>
                </c:pt>
                <c:pt idx="137">
                  <c:v>38.4</c:v>
                </c:pt>
                <c:pt idx="138">
                  <c:v>27.305</c:v>
                </c:pt>
                <c:pt idx="139">
                  <c:v>52.396999999999998</c:v>
                </c:pt>
                <c:pt idx="140">
                  <c:v>50.527000000000001</c:v>
                </c:pt>
                <c:pt idx="141">
                  <c:v>61.177</c:v>
                </c:pt>
                <c:pt idx="142">
                  <c:v>53.005000000000003</c:v>
                </c:pt>
                <c:pt idx="143">
                  <c:v>12.631</c:v>
                </c:pt>
                <c:pt idx="144">
                  <c:v>25.462</c:v>
                </c:pt>
                <c:pt idx="145">
                  <c:v>25.443999999999999</c:v>
                </c:pt>
                <c:pt idx="146">
                  <c:v>29.888999999999999</c:v>
                </c:pt>
                <c:pt idx="147">
                  <c:v>28.161000000000001</c:v>
                </c:pt>
                <c:pt idx="148">
                  <c:v>37.738</c:v>
                </c:pt>
                <c:pt idx="149">
                  <c:v>55.640999999999998</c:v>
                </c:pt>
                <c:pt idx="150">
                  <c:v>61.375</c:v>
                </c:pt>
                <c:pt idx="151">
                  <c:v>62.927999999999997</c:v>
                </c:pt>
                <c:pt idx="152">
                  <c:v>61.960999999999999</c:v>
                </c:pt>
                <c:pt idx="153">
                  <c:v>46.795000000000002</c:v>
                </c:pt>
                <c:pt idx="154">
                  <c:v>58.271000000000001</c:v>
                </c:pt>
                <c:pt idx="155">
                  <c:v>11.000999999999999</c:v>
                </c:pt>
                <c:pt idx="156">
                  <c:v>60.584000000000003</c:v>
                </c:pt>
                <c:pt idx="157">
                  <c:v>21.207000000000001</c:v>
                </c:pt>
                <c:pt idx="158">
                  <c:v>62.639000000000003</c:v>
                </c:pt>
                <c:pt idx="159">
                  <c:v>49.168999999999997</c:v>
                </c:pt>
                <c:pt idx="160">
                  <c:v>21.582000000000001</c:v>
                </c:pt>
                <c:pt idx="161">
                  <c:v>32.923999999999999</c:v>
                </c:pt>
                <c:pt idx="162">
                  <c:v>56.572000000000003</c:v>
                </c:pt>
                <c:pt idx="163">
                  <c:v>64.212000000000003</c:v>
                </c:pt>
                <c:pt idx="164">
                  <c:v>23.989000000000001</c:v>
                </c:pt>
                <c:pt idx="165">
                  <c:v>25.198</c:v>
                </c:pt>
                <c:pt idx="166">
                  <c:v>62.881999999999998</c:v>
                </c:pt>
                <c:pt idx="167">
                  <c:v>60.857999999999997</c:v>
                </c:pt>
                <c:pt idx="168">
                  <c:v>59.127000000000002</c:v>
                </c:pt>
                <c:pt idx="169">
                  <c:v>50.161000000000001</c:v>
                </c:pt>
                <c:pt idx="170">
                  <c:v>29.835000000000001</c:v>
                </c:pt>
                <c:pt idx="171">
                  <c:v>11.11</c:v>
                </c:pt>
                <c:pt idx="172">
                  <c:v>52.521999999999998</c:v>
                </c:pt>
                <c:pt idx="173">
                  <c:v>53.749000000000002</c:v>
                </c:pt>
                <c:pt idx="174">
                  <c:v>40.631999999999998</c:v>
                </c:pt>
                <c:pt idx="175">
                  <c:v>54.634999999999998</c:v>
                </c:pt>
                <c:pt idx="176">
                  <c:v>59.722999999999999</c:v>
                </c:pt>
                <c:pt idx="177">
                  <c:v>59.49</c:v>
                </c:pt>
                <c:pt idx="178">
                  <c:v>56.537999999999997</c:v>
                </c:pt>
                <c:pt idx="179">
                  <c:v>56.514000000000003</c:v>
                </c:pt>
                <c:pt idx="180">
                  <c:v>50.889000000000003</c:v>
                </c:pt>
                <c:pt idx="181">
                  <c:v>18.844000000000001</c:v>
                </c:pt>
                <c:pt idx="182">
                  <c:v>31.425999999999998</c:v>
                </c:pt>
                <c:pt idx="183">
                  <c:v>52.134</c:v>
                </c:pt>
                <c:pt idx="184">
                  <c:v>57.203000000000003</c:v>
                </c:pt>
                <c:pt idx="185">
                  <c:v>56.540999999999997</c:v>
                </c:pt>
                <c:pt idx="186">
                  <c:v>54.552999999999997</c:v>
                </c:pt>
                <c:pt idx="187">
                  <c:v>52.55</c:v>
                </c:pt>
                <c:pt idx="188">
                  <c:v>36.337000000000003</c:v>
                </c:pt>
                <c:pt idx="189">
                  <c:v>20.405000000000001</c:v>
                </c:pt>
                <c:pt idx="190">
                  <c:v>58.134</c:v>
                </c:pt>
                <c:pt idx="191">
                  <c:v>59.554000000000002</c:v>
                </c:pt>
                <c:pt idx="192">
                  <c:v>59.959000000000003</c:v>
                </c:pt>
                <c:pt idx="193">
                  <c:v>51.207999999999998</c:v>
                </c:pt>
                <c:pt idx="194">
                  <c:v>59.984000000000002</c:v>
                </c:pt>
                <c:pt idx="195">
                  <c:v>61.366</c:v>
                </c:pt>
                <c:pt idx="196">
                  <c:v>59.423000000000002</c:v>
                </c:pt>
                <c:pt idx="197">
                  <c:v>51.502000000000002</c:v>
                </c:pt>
                <c:pt idx="198">
                  <c:v>39.661999999999999</c:v>
                </c:pt>
                <c:pt idx="199">
                  <c:v>57.97</c:v>
                </c:pt>
                <c:pt idx="200">
                  <c:v>27.257000000000001</c:v>
                </c:pt>
                <c:pt idx="201">
                  <c:v>45.609000000000002</c:v>
                </c:pt>
                <c:pt idx="202">
                  <c:v>48.156999999999996</c:v>
                </c:pt>
                <c:pt idx="203">
                  <c:v>56.097000000000001</c:v>
                </c:pt>
                <c:pt idx="204">
                  <c:v>56.081000000000003</c:v>
                </c:pt>
                <c:pt idx="205">
                  <c:v>56.749000000000002</c:v>
                </c:pt>
                <c:pt idx="206">
                  <c:v>20.655999999999999</c:v>
                </c:pt>
                <c:pt idx="207">
                  <c:v>13.117000000000001</c:v>
                </c:pt>
                <c:pt idx="208">
                  <c:v>52.652000000000001</c:v>
                </c:pt>
                <c:pt idx="209">
                  <c:v>57.725000000000001</c:v>
                </c:pt>
                <c:pt idx="210">
                  <c:v>28.071000000000002</c:v>
                </c:pt>
                <c:pt idx="211">
                  <c:v>56.369</c:v>
                </c:pt>
                <c:pt idx="212">
                  <c:v>47.819000000000003</c:v>
                </c:pt>
                <c:pt idx="213">
                  <c:v>55.002000000000002</c:v>
                </c:pt>
                <c:pt idx="214">
                  <c:v>55.662999999999997</c:v>
                </c:pt>
                <c:pt idx="215">
                  <c:v>53.036000000000001</c:v>
                </c:pt>
                <c:pt idx="216">
                  <c:v>53.048999999999999</c:v>
                </c:pt>
                <c:pt idx="217">
                  <c:v>40.968000000000004</c:v>
                </c:pt>
                <c:pt idx="218">
                  <c:v>42.311</c:v>
                </c:pt>
                <c:pt idx="219">
                  <c:v>53.247999999999998</c:v>
                </c:pt>
                <c:pt idx="220">
                  <c:v>51.384</c:v>
                </c:pt>
                <c:pt idx="221">
                  <c:v>39.244</c:v>
                </c:pt>
                <c:pt idx="222">
                  <c:v>27.021999999999998</c:v>
                </c:pt>
                <c:pt idx="223">
                  <c:v>28.064</c:v>
                </c:pt>
                <c:pt idx="224">
                  <c:v>47.930999999999997</c:v>
                </c:pt>
                <c:pt idx="225">
                  <c:v>55.481999999999999</c:v>
                </c:pt>
                <c:pt idx="226">
                  <c:v>28.876000000000001</c:v>
                </c:pt>
                <c:pt idx="227">
                  <c:v>54.542999999999999</c:v>
                </c:pt>
                <c:pt idx="228">
                  <c:v>53.448999999999998</c:v>
                </c:pt>
                <c:pt idx="229">
                  <c:v>37.186</c:v>
                </c:pt>
                <c:pt idx="230">
                  <c:v>34.682000000000002</c:v>
                </c:pt>
                <c:pt idx="231">
                  <c:v>32.069000000000003</c:v>
                </c:pt>
                <c:pt idx="232">
                  <c:v>49.094999999999999</c:v>
                </c:pt>
                <c:pt idx="233">
                  <c:v>54.921999999999997</c:v>
                </c:pt>
                <c:pt idx="234">
                  <c:v>52.311999999999998</c:v>
                </c:pt>
                <c:pt idx="235">
                  <c:v>52.639000000000003</c:v>
                </c:pt>
                <c:pt idx="236">
                  <c:v>44.978000000000002</c:v>
                </c:pt>
                <c:pt idx="237">
                  <c:v>44.438000000000002</c:v>
                </c:pt>
                <c:pt idx="238">
                  <c:v>31.416</c:v>
                </c:pt>
                <c:pt idx="239">
                  <c:v>37.887999999999998</c:v>
                </c:pt>
                <c:pt idx="240">
                  <c:v>49.3</c:v>
                </c:pt>
                <c:pt idx="241">
                  <c:v>48.89</c:v>
                </c:pt>
                <c:pt idx="242">
                  <c:v>46.273000000000003</c:v>
                </c:pt>
                <c:pt idx="243">
                  <c:v>17.157</c:v>
                </c:pt>
                <c:pt idx="244">
                  <c:v>49.661000000000001</c:v>
                </c:pt>
                <c:pt idx="245">
                  <c:v>51.9</c:v>
                </c:pt>
                <c:pt idx="246">
                  <c:v>51.445999999999998</c:v>
                </c:pt>
                <c:pt idx="247">
                  <c:v>38.332999999999998</c:v>
                </c:pt>
                <c:pt idx="248">
                  <c:v>52.781999999999996</c:v>
                </c:pt>
                <c:pt idx="249">
                  <c:v>48.402000000000001</c:v>
                </c:pt>
                <c:pt idx="250">
                  <c:v>45.802</c:v>
                </c:pt>
                <c:pt idx="251">
                  <c:v>40.838000000000001</c:v>
                </c:pt>
                <c:pt idx="252">
                  <c:v>13.752000000000001</c:v>
                </c:pt>
                <c:pt idx="253">
                  <c:v>44.582000000000001</c:v>
                </c:pt>
                <c:pt idx="254">
                  <c:v>48.985999999999997</c:v>
                </c:pt>
                <c:pt idx="255">
                  <c:v>39.640999999999998</c:v>
                </c:pt>
                <c:pt idx="256">
                  <c:v>40.052999999999997</c:v>
                </c:pt>
                <c:pt idx="257">
                  <c:v>41.899000000000001</c:v>
                </c:pt>
                <c:pt idx="258">
                  <c:v>42.637999999999998</c:v>
                </c:pt>
                <c:pt idx="259">
                  <c:v>41.603999999999999</c:v>
                </c:pt>
                <c:pt idx="260">
                  <c:v>27.244</c:v>
                </c:pt>
                <c:pt idx="261">
                  <c:v>40.912999999999997</c:v>
                </c:pt>
                <c:pt idx="262">
                  <c:v>46.457000000000001</c:v>
                </c:pt>
                <c:pt idx="263">
                  <c:v>33.671999999999997</c:v>
                </c:pt>
                <c:pt idx="264">
                  <c:v>8.7050000000000001</c:v>
                </c:pt>
                <c:pt idx="265">
                  <c:v>40.462000000000003</c:v>
                </c:pt>
                <c:pt idx="266">
                  <c:v>27.86</c:v>
                </c:pt>
                <c:pt idx="267">
                  <c:v>29.43</c:v>
                </c:pt>
                <c:pt idx="268">
                  <c:v>36.067999999999998</c:v>
                </c:pt>
                <c:pt idx="269">
                  <c:v>36.637</c:v>
                </c:pt>
                <c:pt idx="270">
                  <c:v>32.487000000000002</c:v>
                </c:pt>
                <c:pt idx="271">
                  <c:v>42.859000000000002</c:v>
                </c:pt>
                <c:pt idx="272">
                  <c:v>27.280999999999999</c:v>
                </c:pt>
                <c:pt idx="273">
                  <c:v>33.765999999999998</c:v>
                </c:pt>
                <c:pt idx="274">
                  <c:v>22.747</c:v>
                </c:pt>
                <c:pt idx="275">
                  <c:v>33.405999999999999</c:v>
                </c:pt>
                <c:pt idx="276">
                  <c:v>10.093999999999999</c:v>
                </c:pt>
                <c:pt idx="277">
                  <c:v>36.823</c:v>
                </c:pt>
                <c:pt idx="278">
                  <c:v>18.936</c:v>
                </c:pt>
                <c:pt idx="279">
                  <c:v>31.305</c:v>
                </c:pt>
                <c:pt idx="280">
                  <c:v>38.939</c:v>
                </c:pt>
                <c:pt idx="281">
                  <c:v>9.6110000000000007</c:v>
                </c:pt>
                <c:pt idx="282">
                  <c:v>29.167999999999999</c:v>
                </c:pt>
                <c:pt idx="283">
                  <c:v>40.823</c:v>
                </c:pt>
                <c:pt idx="284">
                  <c:v>20.11</c:v>
                </c:pt>
                <c:pt idx="285">
                  <c:v>38.390999999999998</c:v>
                </c:pt>
                <c:pt idx="286">
                  <c:v>13.038</c:v>
                </c:pt>
                <c:pt idx="287">
                  <c:v>31.039000000000001</c:v>
                </c:pt>
                <c:pt idx="288">
                  <c:v>33.832000000000001</c:v>
                </c:pt>
                <c:pt idx="289">
                  <c:v>19.731000000000002</c:v>
                </c:pt>
                <c:pt idx="290">
                  <c:v>15.233000000000001</c:v>
                </c:pt>
                <c:pt idx="291">
                  <c:v>30.802</c:v>
                </c:pt>
                <c:pt idx="292">
                  <c:v>13.285</c:v>
                </c:pt>
                <c:pt idx="293">
                  <c:v>23.687000000000001</c:v>
                </c:pt>
                <c:pt idx="294">
                  <c:v>4.8620000000000001</c:v>
                </c:pt>
                <c:pt idx="295">
                  <c:v>17.206</c:v>
                </c:pt>
                <c:pt idx="296">
                  <c:v>17.562000000000001</c:v>
                </c:pt>
                <c:pt idx="297">
                  <c:v>29.033999999999999</c:v>
                </c:pt>
                <c:pt idx="298">
                  <c:v>35.819000000000003</c:v>
                </c:pt>
                <c:pt idx="299">
                  <c:v>25.091999999999999</c:v>
                </c:pt>
                <c:pt idx="300">
                  <c:v>9.7070000000000007</c:v>
                </c:pt>
                <c:pt idx="301">
                  <c:v>28.803000000000001</c:v>
                </c:pt>
                <c:pt idx="302">
                  <c:v>21.863</c:v>
                </c:pt>
                <c:pt idx="303">
                  <c:v>16.530999999999999</c:v>
                </c:pt>
                <c:pt idx="304">
                  <c:v>7.492</c:v>
                </c:pt>
                <c:pt idx="305">
                  <c:v>4.992</c:v>
                </c:pt>
                <c:pt idx="306">
                  <c:v>12.571</c:v>
                </c:pt>
                <c:pt idx="307">
                  <c:v>12.680999999999999</c:v>
                </c:pt>
                <c:pt idx="308">
                  <c:v>12.686999999999999</c:v>
                </c:pt>
                <c:pt idx="309">
                  <c:v>13.776</c:v>
                </c:pt>
                <c:pt idx="310">
                  <c:v>4.1829999999999998</c:v>
                </c:pt>
                <c:pt idx="311">
                  <c:v>14.471</c:v>
                </c:pt>
                <c:pt idx="312">
                  <c:v>19.785</c:v>
                </c:pt>
                <c:pt idx="313">
                  <c:v>19.143999999999998</c:v>
                </c:pt>
                <c:pt idx="314">
                  <c:v>23.521000000000001</c:v>
                </c:pt>
                <c:pt idx="315">
                  <c:v>19.785</c:v>
                </c:pt>
                <c:pt idx="316">
                  <c:v>18.335000000000001</c:v>
                </c:pt>
                <c:pt idx="317">
                  <c:v>5.9630000000000001</c:v>
                </c:pt>
                <c:pt idx="318">
                  <c:v>11.648999999999999</c:v>
                </c:pt>
                <c:pt idx="319">
                  <c:v>14.532</c:v>
                </c:pt>
                <c:pt idx="320">
                  <c:v>12.169</c:v>
                </c:pt>
                <c:pt idx="321">
                  <c:v>11.954000000000001</c:v>
                </c:pt>
                <c:pt idx="322">
                  <c:v>18.86</c:v>
                </c:pt>
                <c:pt idx="323">
                  <c:v>28.952000000000002</c:v>
                </c:pt>
                <c:pt idx="324">
                  <c:v>27.963999999999999</c:v>
                </c:pt>
                <c:pt idx="325">
                  <c:v>13.58</c:v>
                </c:pt>
                <c:pt idx="326">
                  <c:v>8.07</c:v>
                </c:pt>
                <c:pt idx="327">
                  <c:v>14.877000000000001</c:v>
                </c:pt>
                <c:pt idx="328">
                  <c:v>12.308</c:v>
                </c:pt>
                <c:pt idx="329">
                  <c:v>19.038</c:v>
                </c:pt>
                <c:pt idx="330">
                  <c:v>19.78</c:v>
                </c:pt>
                <c:pt idx="331">
                  <c:v>11.275</c:v>
                </c:pt>
                <c:pt idx="332">
                  <c:v>19.518999999999998</c:v>
                </c:pt>
                <c:pt idx="333">
                  <c:v>11.516</c:v>
                </c:pt>
                <c:pt idx="334">
                  <c:v>7.34</c:v>
                </c:pt>
                <c:pt idx="335">
                  <c:v>4.0599999999999996</c:v>
                </c:pt>
                <c:pt idx="336">
                  <c:v>4.5659999999999998</c:v>
                </c:pt>
                <c:pt idx="337">
                  <c:v>6.2249999999999996</c:v>
                </c:pt>
                <c:pt idx="338">
                  <c:v>9.4819999999999993</c:v>
                </c:pt>
                <c:pt idx="339">
                  <c:v>7.8840000000000003</c:v>
                </c:pt>
                <c:pt idx="340">
                  <c:v>14.693</c:v>
                </c:pt>
                <c:pt idx="341">
                  <c:v>16.099</c:v>
                </c:pt>
                <c:pt idx="342">
                  <c:v>11.413</c:v>
                </c:pt>
                <c:pt idx="343">
                  <c:v>21.091999999999999</c:v>
                </c:pt>
                <c:pt idx="344">
                  <c:v>1.9319999999999999</c:v>
                </c:pt>
                <c:pt idx="345">
                  <c:v>5.2320000000000002</c:v>
                </c:pt>
                <c:pt idx="346">
                  <c:v>2.4020000000000001</c:v>
                </c:pt>
                <c:pt idx="347">
                  <c:v>19.030999999999999</c:v>
                </c:pt>
                <c:pt idx="348">
                  <c:v>24.541</c:v>
                </c:pt>
                <c:pt idx="349">
                  <c:v>14.27</c:v>
                </c:pt>
                <c:pt idx="350">
                  <c:v>11.561</c:v>
                </c:pt>
                <c:pt idx="351">
                  <c:v>17.908999999999999</c:v>
                </c:pt>
                <c:pt idx="352">
                  <c:v>10.295999999999999</c:v>
                </c:pt>
                <c:pt idx="353">
                  <c:v>8.2949999999999999</c:v>
                </c:pt>
                <c:pt idx="354">
                  <c:v>19.690999999999999</c:v>
                </c:pt>
                <c:pt idx="355">
                  <c:v>7.4189999999999996</c:v>
                </c:pt>
                <c:pt idx="356">
                  <c:v>6.9009999999999998</c:v>
                </c:pt>
                <c:pt idx="357">
                  <c:v>14.686</c:v>
                </c:pt>
                <c:pt idx="358">
                  <c:v>13.138999999999999</c:v>
                </c:pt>
                <c:pt idx="359">
                  <c:v>10.673</c:v>
                </c:pt>
                <c:pt idx="360">
                  <c:v>21.085000000000001</c:v>
                </c:pt>
                <c:pt idx="361">
                  <c:v>4.2080000000000002</c:v>
                </c:pt>
                <c:pt idx="362">
                  <c:v>23.699000000000002</c:v>
                </c:pt>
                <c:pt idx="363">
                  <c:v>24.965</c:v>
                </c:pt>
                <c:pt idx="364">
                  <c:v>17.216000000000001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50776"/>
        <c:axId val="358950384"/>
      </c:lineChart>
      <c:dateAx>
        <c:axId val="358950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0384"/>
        <c:crosses val="autoZero"/>
        <c:auto val="1"/>
        <c:lblOffset val="100"/>
        <c:baseTimeUnit val="days"/>
        <c:majorUnit val="1"/>
        <c:majorTimeUnit val="months"/>
      </c:dateAx>
      <c:valAx>
        <c:axId val="3589503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07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1.2450251454537375E-2</c:v>
                </c:pt>
                <c:pt idx="1">
                  <c:v>1.247188132851007E-2</c:v>
                </c:pt>
                <c:pt idx="2">
                  <c:v>1.2493510728733059E-2</c:v>
                </c:pt>
                <c:pt idx="3">
                  <c:v>1.2515139655216778E-2</c:v>
                </c:pt>
                <c:pt idx="4">
                  <c:v>1.253676810797133E-2</c:v>
                </c:pt>
                <c:pt idx="5">
                  <c:v>1.2558396087007373E-2</c:v>
                </c:pt>
                <c:pt idx="6">
                  <c:v>1.2580023592335121E-2</c:v>
                </c:pt>
                <c:pt idx="7">
                  <c:v>1.2601650623965011E-2</c:v>
                </c:pt>
                <c:pt idx="8">
                  <c:v>1.2623277181907477E-2</c:v>
                </c:pt>
                <c:pt idx="9">
                  <c:v>1.2644903266172736E-2</c:v>
                </c:pt>
                <c:pt idx="10">
                  <c:v>1.2666528876771221E-2</c:v>
                </c:pt>
                <c:pt idx="11">
                  <c:v>1.2688154013713371E-2</c:v>
                </c:pt>
                <c:pt idx="12">
                  <c:v>1.270977867700962E-2</c:v>
                </c:pt>
                <c:pt idx="13">
                  <c:v>1.2731402866670072E-2</c:v>
                </c:pt>
                <c:pt idx="14">
                  <c:v>1.2753026582705385E-2</c:v>
                </c:pt>
                <c:pt idx="15">
                  <c:v>1.2774649825125772E-2</c:v>
                </c:pt>
                <c:pt idx="16">
                  <c:v>1.2796272593941671E-2</c:v>
                </c:pt>
                <c:pt idx="17">
                  <c:v>1.2817894889163517E-2</c:v>
                </c:pt>
                <c:pt idx="18">
                  <c:v>1.2839516710801524E-2</c:v>
                </c:pt>
                <c:pt idx="19">
                  <c:v>1.2861138058866128E-2</c:v>
                </c:pt>
                <c:pt idx="20">
                  <c:v>1.2882758933367766E-2</c:v>
                </c:pt>
                <c:pt idx="21">
                  <c:v>1.2904379334316651E-2</c:v>
                </c:pt>
                <c:pt idx="22">
                  <c:v>1.2925999261723442E-2</c:v>
                </c:pt>
                <c:pt idx="23">
                  <c:v>1.2947618715598241E-2</c:v>
                </c:pt>
                <c:pt idx="24">
                  <c:v>1.2969237695951485E-2</c:v>
                </c:pt>
                <c:pt idx="25">
                  <c:v>1.299085620279361E-2</c:v>
                </c:pt>
                <c:pt idx="26">
                  <c:v>1.3012474236134941E-2</c:v>
                </c:pt>
                <c:pt idx="27">
                  <c:v>1.3034091795985914E-2</c:v>
                </c:pt>
                <c:pt idx="28">
                  <c:v>1.3055708882356853E-2</c:v>
                </c:pt>
                <c:pt idx="29">
                  <c:v>1.3077325495258085E-2</c:v>
                </c:pt>
                <c:pt idx="30">
                  <c:v>1.3098941634700045E-2</c:v>
                </c:pt>
                <c:pt idx="31">
                  <c:v>1.3120557300692948E-2</c:v>
                </c:pt>
                <c:pt idx="32">
                  <c:v>1.314217249324745E-2</c:v>
                </c:pt>
                <c:pt idx="33">
                  <c:v>1.3163787212373657E-2</c:v>
                </c:pt>
                <c:pt idx="34">
                  <c:v>1.3185401458082113E-2</c:v>
                </c:pt>
                <c:pt idx="35">
                  <c:v>1.3207015230383035E-2</c:v>
                </c:pt>
                <c:pt idx="36">
                  <c:v>1.3228628529286968E-2</c:v>
                </c:pt>
                <c:pt idx="37">
                  <c:v>1.3250241354804126E-2</c:v>
                </c:pt>
                <c:pt idx="38">
                  <c:v>1.3271853706944947E-2</c:v>
                </c:pt>
                <c:pt idx="39">
                  <c:v>1.3293465585719866E-2</c:v>
                </c:pt>
                <c:pt idx="40">
                  <c:v>1.3315076991139096E-2</c:v>
                </c:pt>
                <c:pt idx="41">
                  <c:v>1.3336687923213075E-2</c:v>
                </c:pt>
                <c:pt idx="42">
                  <c:v>1.3358298381952127E-2</c:v>
                </c:pt>
                <c:pt idx="43">
                  <c:v>1.33799083673668E-2</c:v>
                </c:pt>
                <c:pt idx="44">
                  <c:v>1.3401517879467306E-2</c:v>
                </c:pt>
                <c:pt idx="45">
                  <c:v>1.3423126918263972E-2</c:v>
                </c:pt>
                <c:pt idx="46">
                  <c:v>1.3444735483767234E-2</c:v>
                </c:pt>
                <c:pt idx="47">
                  <c:v>1.3466343575987527E-2</c:v>
                </c:pt>
                <c:pt idx="48">
                  <c:v>1.3487951194935066E-2</c:v>
                </c:pt>
                <c:pt idx="49">
                  <c:v>1.3509558340620287E-2</c:v>
                </c:pt>
                <c:pt idx="50">
                  <c:v>1.3531165013053625E-2</c:v>
                </c:pt>
                <c:pt idx="51">
                  <c:v>1.3552771212245407E-2</c:v>
                </c:pt>
                <c:pt idx="52">
                  <c:v>1.3574376938205956E-2</c:v>
                </c:pt>
                <c:pt idx="53">
                  <c:v>1.3595982190945599E-2</c:v>
                </c:pt>
                <c:pt idx="54">
                  <c:v>1.3617586970474771E-2</c:v>
                </c:pt>
                <c:pt idx="55">
                  <c:v>1.3639191276803908E-2</c:v>
                </c:pt>
                <c:pt idx="56">
                  <c:v>1.3660795109943225E-2</c:v>
                </c:pt>
                <c:pt idx="57">
                  <c:v>1.3682398469903156E-2</c:v>
                </c:pt>
                <c:pt idx="58">
                  <c:v>1.3704001356694029E-2</c:v>
                </c:pt>
                <c:pt idx="59">
                  <c:v>1.3725603770326278E-2</c:v>
                </c:pt>
                <c:pt idx="60">
                  <c:v>1.3747205710810229E-2</c:v>
                </c:pt>
                <c:pt idx="61">
                  <c:v>1.3768807178156206E-2</c:v>
                </c:pt>
                <c:pt idx="62">
                  <c:v>1.3790408172374646E-2</c:v>
                </c:pt>
                <c:pt idx="63">
                  <c:v>1.3812008693475875E-2</c:v>
                </c:pt>
                <c:pt idx="64">
                  <c:v>1.3833608741470216E-2</c:v>
                </c:pt>
                <c:pt idx="65">
                  <c:v>1.3855208316368106E-2</c:v>
                </c:pt>
                <c:pt idx="66">
                  <c:v>1.3876807418179871E-2</c:v>
                </c:pt>
                <c:pt idx="67">
                  <c:v>1.3898406046915945E-2</c:v>
                </c:pt>
                <c:pt idx="68">
                  <c:v>1.3920004202586544E-2</c:v>
                </c:pt>
                <c:pt idx="69">
                  <c:v>1.3941601885202104E-2</c:v>
                </c:pt>
                <c:pt idx="70">
                  <c:v>1.3963199094772949E-2</c:v>
                </c:pt>
                <c:pt idx="71">
                  <c:v>1.3984795831309516E-2</c:v>
                </c:pt>
                <c:pt idx="72">
                  <c:v>1.4006392094822129E-2</c:v>
                </c:pt>
                <c:pt idx="73">
                  <c:v>1.4027987885321114E-2</c:v>
                </c:pt>
                <c:pt idx="74">
                  <c:v>1.4049583202816907E-2</c:v>
                </c:pt>
                <c:pt idx="75">
                  <c:v>1.4071178047319832E-2</c:v>
                </c:pt>
                <c:pt idx="76">
                  <c:v>1.4092772418840216E-2</c:v>
                </c:pt>
                <c:pt idx="77">
                  <c:v>1.4114366317388383E-2</c:v>
                </c:pt>
                <c:pt idx="78">
                  <c:v>1.413595974297488E-2</c:v>
                </c:pt>
                <c:pt idx="79">
                  <c:v>1.415755269560981E-2</c:v>
                </c:pt>
                <c:pt idx="80">
                  <c:v>1.417914517530372E-2</c:v>
                </c:pt>
                <c:pt idx="81">
                  <c:v>1.4200737182066936E-2</c:v>
                </c:pt>
                <c:pt idx="82">
                  <c:v>1.4222328715909782E-2</c:v>
                </c:pt>
                <c:pt idx="83">
                  <c:v>1.4243919776842584E-2</c:v>
                </c:pt>
                <c:pt idx="84">
                  <c:v>1.4265510364875778E-2</c:v>
                </c:pt>
                <c:pt idx="85">
                  <c:v>1.4287100480019688E-2</c:v>
                </c:pt>
                <c:pt idx="86">
                  <c:v>1.430869012228464E-2</c:v>
                </c:pt>
                <c:pt idx="87">
                  <c:v>1.4330279291680958E-2</c:v>
                </c:pt>
                <c:pt idx="88">
                  <c:v>1.4351867988219191E-2</c:v>
                </c:pt>
                <c:pt idx="89">
                  <c:v>1.4373456211909441E-2</c:v>
                </c:pt>
                <c:pt idx="90">
                  <c:v>1.4395043962762255E-2</c:v>
                </c:pt>
                <c:pt idx="91">
                  <c:v>1.4416631240787958E-2</c:v>
                </c:pt>
                <c:pt idx="92">
                  <c:v>1.4438218045996765E-2</c:v>
                </c:pt>
                <c:pt idx="93">
                  <c:v>1.4459804378399221E-2</c:v>
                </c:pt>
                <c:pt idx="94">
                  <c:v>1.4481390238005543E-2</c:v>
                </c:pt>
                <c:pt idx="95">
                  <c:v>1.4502975624826164E-2</c:v>
                </c:pt>
                <c:pt idx="96">
                  <c:v>1.4524560538871412E-2</c:v>
                </c:pt>
                <c:pt idx="97">
                  <c:v>1.4546144980151721E-2</c:v>
                </c:pt>
                <c:pt idx="98">
                  <c:v>1.4567728948677305E-2</c:v>
                </c:pt>
                <c:pt idx="99">
                  <c:v>1.4589312444458491E-2</c:v>
                </c:pt>
                <c:pt idx="100">
                  <c:v>1.4610895467505824E-2</c:v>
                </c:pt>
                <c:pt idx="101">
                  <c:v>1.4632478017829631E-2</c:v>
                </c:pt>
                <c:pt idx="102">
                  <c:v>1.4654060095440125E-2</c:v>
                </c:pt>
                <c:pt idx="103">
                  <c:v>1.4675641700347741E-2</c:v>
                </c:pt>
                <c:pt idx="104">
                  <c:v>1.4697222832562806E-2</c:v>
                </c:pt>
                <c:pt idx="105">
                  <c:v>1.4718803492095645E-2</c:v>
                </c:pt>
                <c:pt idx="106">
                  <c:v>1.4740383678956692E-2</c:v>
                </c:pt>
                <c:pt idx="107">
                  <c:v>1.4761963393156274E-2</c:v>
                </c:pt>
                <c:pt idx="108">
                  <c:v>1.4783542634704716E-2</c:v>
                </c:pt>
                <c:pt idx="109">
                  <c:v>1.4805121403612453E-2</c:v>
                </c:pt>
                <c:pt idx="110">
                  <c:v>1.48266996998897E-2</c:v>
                </c:pt>
                <c:pt idx="111">
                  <c:v>1.4848277523546893E-2</c:v>
                </c:pt>
                <c:pt idx="112">
                  <c:v>1.4869854874594357E-2</c:v>
                </c:pt>
                <c:pt idx="113">
                  <c:v>1.4891431753042528E-2</c:v>
                </c:pt>
                <c:pt idx="114">
                  <c:v>1.4913008158901619E-2</c:v>
                </c:pt>
                <c:pt idx="115">
                  <c:v>1.4934584092182068E-2</c:v>
                </c:pt>
                <c:pt idx="116">
                  <c:v>1.4956159552894199E-2</c:v>
                </c:pt>
                <c:pt idx="117">
                  <c:v>1.4977734541048338E-2</c:v>
                </c:pt>
                <c:pt idx="118">
                  <c:v>1.4999309056654919E-2</c:v>
                </c:pt>
                <c:pt idx="119">
                  <c:v>1.5020883099724158E-2</c:v>
                </c:pt>
                <c:pt idx="120">
                  <c:v>1.5042456670266602E-2</c:v>
                </c:pt>
                <c:pt idx="121">
                  <c:v>1.5064029768292353E-2</c:v>
                </c:pt>
                <c:pt idx="122">
                  <c:v>1.5085602393811959E-2</c:v>
                </c:pt>
                <c:pt idx="123">
                  <c:v>1.5107174546835744E-2</c:v>
                </c:pt>
                <c:pt idx="124">
                  <c:v>1.5128746227373924E-2</c:v>
                </c:pt>
                <c:pt idx="125">
                  <c:v>1.5150317435437044E-2</c:v>
                </c:pt>
                <c:pt idx="126">
                  <c:v>1.5171888171035208E-2</c:v>
                </c:pt>
                <c:pt idx="127">
                  <c:v>1.5193458434179075E-2</c:v>
                </c:pt>
                <c:pt idx="128">
                  <c:v>1.5215028224878746E-2</c:v>
                </c:pt>
                <c:pt idx="129">
                  <c:v>1.5236597543144548E-2</c:v>
                </c:pt>
                <c:pt idx="130">
                  <c:v>1.5258166388987027E-2</c:v>
                </c:pt>
                <c:pt idx="131">
                  <c:v>1.5279734762416397E-2</c:v>
                </c:pt>
                <c:pt idx="132">
                  <c:v>1.5301302663443095E-2</c:v>
                </c:pt>
                <c:pt idx="133">
                  <c:v>1.5322870092077334E-2</c:v>
                </c:pt>
                <c:pt idx="134">
                  <c:v>1.5344437048329551E-2</c:v>
                </c:pt>
                <c:pt idx="135">
                  <c:v>1.5366003532210071E-2</c:v>
                </c:pt>
                <c:pt idx="136">
                  <c:v>1.5387569543729218E-2</c:v>
                </c:pt>
                <c:pt idx="137">
                  <c:v>1.5409135082897429E-2</c:v>
                </c:pt>
                <c:pt idx="138">
                  <c:v>1.5430700149724919E-2</c:v>
                </c:pt>
                <c:pt idx="139">
                  <c:v>1.5452264744222122E-2</c:v>
                </c:pt>
                <c:pt idx="140">
                  <c:v>1.5473828866399475E-2</c:v>
                </c:pt>
                <c:pt idx="141">
                  <c:v>1.5495392516267081E-2</c:v>
                </c:pt>
                <c:pt idx="142">
                  <c:v>1.5516955693835377E-2</c:v>
                </c:pt>
                <c:pt idx="143">
                  <c:v>1.5538518399114909E-2</c:v>
                </c:pt>
                <c:pt idx="144">
                  <c:v>1.5560080632115669E-2</c:v>
                </c:pt>
                <c:pt idx="145">
                  <c:v>1.5581642392848316E-2</c:v>
                </c:pt>
                <c:pt idx="146">
                  <c:v>1.5603203681323063E-2</c:v>
                </c:pt>
                <c:pt idx="147">
                  <c:v>1.5624764497550236E-2</c:v>
                </c:pt>
                <c:pt idx="148">
                  <c:v>1.564632484154016E-2</c:v>
                </c:pt>
                <c:pt idx="149">
                  <c:v>1.5667884713303271E-2</c:v>
                </c:pt>
                <c:pt idx="150">
                  <c:v>1.5689444112849782E-2</c:v>
                </c:pt>
                <c:pt idx="151">
                  <c:v>1.571100304019013E-2</c:v>
                </c:pt>
                <c:pt idx="152">
                  <c:v>1.573256149533464E-2</c:v>
                </c:pt>
                <c:pt idx="153">
                  <c:v>1.5754119478293749E-2</c:v>
                </c:pt>
                <c:pt idx="154">
                  <c:v>1.5775676989077669E-2</c:v>
                </c:pt>
                <c:pt idx="155">
                  <c:v>1.5797234027696727E-2</c:v>
                </c:pt>
                <c:pt idx="156">
                  <c:v>1.5818790594161358E-2</c:v>
                </c:pt>
                <c:pt idx="157">
                  <c:v>1.5840346688481777E-2</c:v>
                </c:pt>
                <c:pt idx="158">
                  <c:v>1.586190231066853E-2</c:v>
                </c:pt>
                <c:pt idx="159">
                  <c:v>1.588345746073172E-2</c:v>
                </c:pt>
                <c:pt idx="160">
                  <c:v>1.5905012138681895E-2</c:v>
                </c:pt>
                <c:pt idx="161">
                  <c:v>1.5926566344529269E-2</c:v>
                </c:pt>
                <c:pt idx="162">
                  <c:v>1.5948120078284167E-2</c:v>
                </c:pt>
                <c:pt idx="163">
                  <c:v>1.5969673339957025E-2</c:v>
                </c:pt>
                <c:pt idx="164">
                  <c:v>1.5991226129558167E-2</c:v>
                </c:pt>
                <c:pt idx="165">
                  <c:v>1.6012778447097809E-2</c:v>
                </c:pt>
                <c:pt idx="166">
                  <c:v>1.6034330292586496E-2</c:v>
                </c:pt>
                <c:pt idx="167">
                  <c:v>1.6055881666034444E-2</c:v>
                </c:pt>
                <c:pt idx="168">
                  <c:v>1.6077432567451977E-2</c:v>
                </c:pt>
                <c:pt idx="169">
                  <c:v>1.609898299684942E-2</c:v>
                </c:pt>
                <c:pt idx="170">
                  <c:v>1.612053295423721E-2</c:v>
                </c:pt>
                <c:pt idx="171">
                  <c:v>1.614208243962556E-2</c:v>
                </c:pt>
                <c:pt idx="172">
                  <c:v>1.6163631453024907E-2</c:v>
                </c:pt>
                <c:pt idx="173">
                  <c:v>1.6185179994445575E-2</c:v>
                </c:pt>
                <c:pt idx="174">
                  <c:v>1.6206728063897891E-2</c:v>
                </c:pt>
                <c:pt idx="175">
                  <c:v>1.6228275661392177E-2</c:v>
                </c:pt>
                <c:pt idx="176">
                  <c:v>1.6249822786938761E-2</c:v>
                </c:pt>
                <c:pt idx="177">
                  <c:v>1.6271369440547967E-2</c:v>
                </c:pt>
                <c:pt idx="178">
                  <c:v>1.6292915622230231E-2</c:v>
                </c:pt>
                <c:pt idx="179">
                  <c:v>1.6314461331995767E-2</c:v>
                </c:pt>
                <c:pt idx="180">
                  <c:v>1.6336006569855011E-2</c:v>
                </c:pt>
                <c:pt idx="181">
                  <c:v>1.6357551335818177E-2</c:v>
                </c:pt>
                <c:pt idx="182">
                  <c:v>1.6379095629895701E-2</c:v>
                </c:pt>
                <c:pt idx="183">
                  <c:v>1.6400639452097909E-2</c:v>
                </c:pt>
                <c:pt idx="184">
                  <c:v>1.6422182802435126E-2</c:v>
                </c:pt>
                <c:pt idx="185">
                  <c:v>1.6443725680917676E-2</c:v>
                </c:pt>
                <c:pt idx="186">
                  <c:v>1.6465268087555995E-2</c:v>
                </c:pt>
                <c:pt idx="187">
                  <c:v>1.6486810022360188E-2</c:v>
                </c:pt>
                <c:pt idx="188">
                  <c:v>1.65083514853408E-2</c:v>
                </c:pt>
                <c:pt idx="189">
                  <c:v>1.6529892476508046E-2</c:v>
                </c:pt>
                <c:pt idx="190">
                  <c:v>1.6551432995872251E-2</c:v>
                </c:pt>
                <c:pt idx="191">
                  <c:v>1.657297304344385E-2</c:v>
                </c:pt>
                <c:pt idx="192">
                  <c:v>1.659451261923317E-2</c:v>
                </c:pt>
                <c:pt idx="193">
                  <c:v>1.6616051723250425E-2</c:v>
                </c:pt>
                <c:pt idx="194">
                  <c:v>1.6637590355506049E-2</c:v>
                </c:pt>
                <c:pt idx="195">
                  <c:v>1.6659128516010369E-2</c:v>
                </c:pt>
                <c:pt idx="196">
                  <c:v>1.6680666204773709E-2</c:v>
                </c:pt>
                <c:pt idx="197">
                  <c:v>1.6702203421806394E-2</c:v>
                </c:pt>
                <c:pt idx="198">
                  <c:v>1.672374016711875E-2</c:v>
                </c:pt>
                <c:pt idx="199">
                  <c:v>1.6745276440720991E-2</c:v>
                </c:pt>
                <c:pt idx="200">
                  <c:v>1.6766812242623663E-2</c:v>
                </c:pt>
                <c:pt idx="201">
                  <c:v>1.6788347572837092E-2</c:v>
                </c:pt>
                <c:pt idx="202">
                  <c:v>1.6809882431371381E-2</c:v>
                </c:pt>
                <c:pt idx="203">
                  <c:v>1.6831416818237077E-2</c:v>
                </c:pt>
                <c:pt idx="204">
                  <c:v>1.6852950733444394E-2</c:v>
                </c:pt>
                <c:pt idx="205">
                  <c:v>1.6874484177003768E-2</c:v>
                </c:pt>
                <c:pt idx="206">
                  <c:v>1.6896017148925413E-2</c:v>
                </c:pt>
                <c:pt idx="207">
                  <c:v>1.6917549649219654E-2</c:v>
                </c:pt>
                <c:pt idx="208">
                  <c:v>1.6939081677896928E-2</c:v>
                </c:pt>
                <c:pt idx="209">
                  <c:v>1.6960613234967559E-2</c:v>
                </c:pt>
                <c:pt idx="210">
                  <c:v>1.6982144320441761E-2</c:v>
                </c:pt>
                <c:pt idx="211">
                  <c:v>1.7003674934329971E-2</c:v>
                </c:pt>
                <c:pt idx="212">
                  <c:v>1.7025205076642513E-2</c:v>
                </c:pt>
                <c:pt idx="213">
                  <c:v>1.7046734747389602E-2</c:v>
                </c:pt>
                <c:pt idx="214">
                  <c:v>1.7068263946581674E-2</c:v>
                </c:pt>
                <c:pt idx="215">
                  <c:v>1.7089792674229054E-2</c:v>
                </c:pt>
                <c:pt idx="216">
                  <c:v>1.7111320930342067E-2</c:v>
                </c:pt>
                <c:pt idx="217">
                  <c:v>1.7132848714931037E-2</c:v>
                </c:pt>
                <c:pt idx="218">
                  <c:v>1.715437602800618E-2</c:v>
                </c:pt>
                <c:pt idx="219">
                  <c:v>1.717590286957793E-2</c:v>
                </c:pt>
                <c:pt idx="220">
                  <c:v>1.7197429239656725E-2</c:v>
                </c:pt>
                <c:pt idx="221">
                  <c:v>1.7218955138252667E-2</c:v>
                </c:pt>
                <c:pt idx="222">
                  <c:v>1.7240480565376193E-2</c:v>
                </c:pt>
                <c:pt idx="223">
                  <c:v>1.7262005521037627E-2</c:v>
                </c:pt>
                <c:pt idx="224">
                  <c:v>1.7283530005247294E-2</c:v>
                </c:pt>
                <c:pt idx="225">
                  <c:v>1.730505401801552E-2</c:v>
                </c:pt>
                <c:pt idx="226">
                  <c:v>1.7326577559352629E-2</c:v>
                </c:pt>
                <c:pt idx="227">
                  <c:v>1.7348100629268948E-2</c:v>
                </c:pt>
                <c:pt idx="228">
                  <c:v>1.73696232277748E-2</c:v>
                </c:pt>
                <c:pt idx="229">
                  <c:v>1.73911453548804E-2</c:v>
                </c:pt>
                <c:pt idx="230">
                  <c:v>1.7412667010596294E-2</c:v>
                </c:pt>
                <c:pt idx="231">
                  <c:v>1.7434188194932698E-2</c:v>
                </c:pt>
                <c:pt idx="232">
                  <c:v>1.7455708907899936E-2</c:v>
                </c:pt>
                <c:pt idx="233">
                  <c:v>1.7477229149508333E-2</c:v>
                </c:pt>
                <c:pt idx="234">
                  <c:v>1.7498748919768103E-2</c:v>
                </c:pt>
                <c:pt idx="235">
                  <c:v>1.7520268218689794E-2</c:v>
                </c:pt>
                <c:pt idx="236">
                  <c:v>1.7541787046283508E-2</c:v>
                </c:pt>
                <c:pt idx="237">
                  <c:v>1.7563305402559792E-2</c:v>
                </c:pt>
                <c:pt idx="238">
                  <c:v>1.758482328752875E-2</c:v>
                </c:pt>
                <c:pt idx="239">
                  <c:v>1.7606340701200818E-2</c:v>
                </c:pt>
                <c:pt idx="240">
                  <c:v>1.762785764358632E-2</c:v>
                </c:pt>
                <c:pt idx="241">
                  <c:v>1.7649374114695582E-2</c:v>
                </c:pt>
                <c:pt idx="242">
                  <c:v>1.7670890114538929E-2</c:v>
                </c:pt>
                <c:pt idx="243">
                  <c:v>1.7692405643126574E-2</c:v>
                </c:pt>
                <c:pt idx="244">
                  <c:v>1.7713920700469066E-2</c:v>
                </c:pt>
                <c:pt idx="245">
                  <c:v>1.7735435286576395E-2</c:v>
                </c:pt>
                <c:pt idx="246">
                  <c:v>1.7756949401459221E-2</c:v>
                </c:pt>
                <c:pt idx="247">
                  <c:v>1.7778463045127646E-2</c:v>
                </c:pt>
                <c:pt idx="248">
                  <c:v>1.7799976217592106E-2</c:v>
                </c:pt>
                <c:pt idx="249">
                  <c:v>1.7821488918862816E-2</c:v>
                </c:pt>
                <c:pt idx="250">
                  <c:v>1.784300114895021E-2</c:v>
                </c:pt>
                <c:pt idx="251">
                  <c:v>1.7864512907864505E-2</c:v>
                </c:pt>
                <c:pt idx="252">
                  <c:v>1.7886024195616135E-2</c:v>
                </c:pt>
                <c:pt idx="253">
                  <c:v>1.7907535012215314E-2</c:v>
                </c:pt>
                <c:pt idx="254">
                  <c:v>1.792904535767248E-2</c:v>
                </c:pt>
                <c:pt idx="255">
                  <c:v>1.7950555231997734E-2</c:v>
                </c:pt>
                <c:pt idx="256">
                  <c:v>1.7972064635201623E-2</c:v>
                </c:pt>
                <c:pt idx="257">
                  <c:v>1.7993573567294363E-2</c:v>
                </c:pt>
                <c:pt idx="258">
                  <c:v>1.8015082028286278E-2</c:v>
                </c:pt>
                <c:pt idx="259">
                  <c:v>1.8036590018187804E-2</c:v>
                </c:pt>
                <c:pt idx="260">
                  <c:v>1.8058097537009044E-2</c:v>
                </c:pt>
                <c:pt idx="261">
                  <c:v>1.8079604584760434E-2</c:v>
                </c:pt>
                <c:pt idx="262">
                  <c:v>1.8101111161452299E-2</c:v>
                </c:pt>
                <c:pt idx="263">
                  <c:v>1.8122617267094965E-2</c:v>
                </c:pt>
                <c:pt idx="264">
                  <c:v>1.8144122901698645E-2</c:v>
                </c:pt>
                <c:pt idx="265">
                  <c:v>1.8165628065273776E-2</c:v>
                </c:pt>
                <c:pt idx="266">
                  <c:v>1.8187132757830682E-2</c:v>
                </c:pt>
                <c:pt idx="267">
                  <c:v>1.8208636979379578E-2</c:v>
                </c:pt>
                <c:pt idx="268">
                  <c:v>1.8230140729930788E-2</c:v>
                </c:pt>
                <c:pt idx="269">
                  <c:v>1.825164400949475E-2</c:v>
                </c:pt>
                <c:pt idx="270">
                  <c:v>1.8273146818081676E-2</c:v>
                </c:pt>
                <c:pt idx="271">
                  <c:v>1.8294649155701892E-2</c:v>
                </c:pt>
                <c:pt idx="272">
                  <c:v>1.8316151022365723E-2</c:v>
                </c:pt>
                <c:pt idx="273">
                  <c:v>1.8337652418083605E-2</c:v>
                </c:pt>
                <c:pt idx="274">
                  <c:v>1.8359153342865642E-2</c:v>
                </c:pt>
                <c:pt idx="275">
                  <c:v>1.8380653796722268E-2</c:v>
                </c:pt>
                <c:pt idx="276">
                  <c:v>1.8402153779663699E-2</c:v>
                </c:pt>
                <c:pt idx="277">
                  <c:v>1.842365329170037E-2</c:v>
                </c:pt>
                <c:pt idx="278">
                  <c:v>1.8445152332842607E-2</c:v>
                </c:pt>
                <c:pt idx="279">
                  <c:v>1.8466650903100623E-2</c:v>
                </c:pt>
                <c:pt idx="280">
                  <c:v>1.8488149002484744E-2</c:v>
                </c:pt>
                <c:pt idx="281">
                  <c:v>1.8509646631005405E-2</c:v>
                </c:pt>
                <c:pt idx="282">
                  <c:v>1.853114378867271E-2</c:v>
                </c:pt>
                <c:pt idx="283">
                  <c:v>1.8552640475497206E-2</c:v>
                </c:pt>
                <c:pt idx="284">
                  <c:v>1.8574136691488996E-2</c:v>
                </c:pt>
                <c:pt idx="285">
                  <c:v>1.8595632436658627E-2</c:v>
                </c:pt>
                <c:pt idx="286">
                  <c:v>1.861712771101609E-2</c:v>
                </c:pt>
                <c:pt idx="287">
                  <c:v>1.8638622514572045E-2</c:v>
                </c:pt>
                <c:pt idx="288">
                  <c:v>1.8660116847336483E-2</c:v>
                </c:pt>
                <c:pt idx="289">
                  <c:v>1.8681610709319951E-2</c:v>
                </c:pt>
                <c:pt idx="290">
                  <c:v>1.8703104100532664E-2</c:v>
                </c:pt>
                <c:pt idx="291">
                  <c:v>1.8724597020985057E-2</c:v>
                </c:pt>
                <c:pt idx="292">
                  <c:v>1.8746089470687233E-2</c:v>
                </c:pt>
                <c:pt idx="293">
                  <c:v>1.8767581449649517E-2</c:v>
                </c:pt>
                <c:pt idx="294">
                  <c:v>1.8789072957882458E-2</c:v>
                </c:pt>
                <c:pt idx="295">
                  <c:v>1.8810563995396046E-2</c:v>
                </c:pt>
                <c:pt idx="296">
                  <c:v>1.8832054562200939E-2</c:v>
                </c:pt>
                <c:pt idx="297">
                  <c:v>1.8853544658307131E-2</c:v>
                </c:pt>
                <c:pt idx="298">
                  <c:v>1.8875034283725167E-2</c:v>
                </c:pt>
                <c:pt idx="299">
                  <c:v>1.8896523438465151E-2</c:v>
                </c:pt>
                <c:pt idx="300">
                  <c:v>1.891801212253752E-2</c:v>
                </c:pt>
                <c:pt idx="301">
                  <c:v>1.8939500335952597E-2</c:v>
                </c:pt>
                <c:pt idx="302">
                  <c:v>1.8960988078720709E-2</c:v>
                </c:pt>
                <c:pt idx="303">
                  <c:v>1.8982475350851957E-2</c:v>
                </c:pt>
                <c:pt idx="304">
                  <c:v>1.900396215235689E-2</c:v>
                </c:pt>
                <c:pt idx="305">
                  <c:v>1.9025448483245722E-2</c:v>
                </c:pt>
                <c:pt idx="306">
                  <c:v>1.9046934343528776E-2</c:v>
                </c:pt>
                <c:pt idx="307">
                  <c:v>1.906841973321638E-2</c:v>
                </c:pt>
                <c:pt idx="308">
                  <c:v>1.9089904652318745E-2</c:v>
                </c:pt>
                <c:pt idx="309">
                  <c:v>1.9111389100846199E-2</c:v>
                </c:pt>
                <c:pt idx="310">
                  <c:v>1.9132873078809176E-2</c:v>
                </c:pt>
                <c:pt idx="311">
                  <c:v>1.9154356586217891E-2</c:v>
                </c:pt>
                <c:pt idx="312">
                  <c:v>1.9175839623082669E-2</c:v>
                </c:pt>
                <c:pt idx="313">
                  <c:v>1.9197322189413724E-2</c:v>
                </c:pt>
                <c:pt idx="314">
                  <c:v>1.9218804285221491E-2</c:v>
                </c:pt>
                <c:pt idx="315">
                  <c:v>1.9240285910516186E-2</c:v>
                </c:pt>
                <c:pt idx="316">
                  <c:v>1.9261767065308244E-2</c:v>
                </c:pt>
                <c:pt idx="317">
                  <c:v>1.9283247749607879E-2</c:v>
                </c:pt>
                <c:pt idx="318">
                  <c:v>1.9304727963425306E-2</c:v>
                </c:pt>
                <c:pt idx="319">
                  <c:v>1.9326207706770959E-2</c:v>
                </c:pt>
                <c:pt idx="320">
                  <c:v>1.9347686979655165E-2</c:v>
                </c:pt>
                <c:pt idx="321">
                  <c:v>1.9369165782088138E-2</c:v>
                </c:pt>
                <c:pt idx="322">
                  <c:v>1.9390644114080202E-2</c:v>
                </c:pt>
                <c:pt idx="323">
                  <c:v>1.9412121975641683E-2</c:v>
                </c:pt>
                <c:pt idx="324">
                  <c:v>1.9433599366782794E-2</c:v>
                </c:pt>
                <c:pt idx="325">
                  <c:v>1.9455076287514084E-2</c:v>
                </c:pt>
                <c:pt idx="326">
                  <c:v>1.9476552737845543E-2</c:v>
                </c:pt>
                <c:pt idx="327">
                  <c:v>1.9498028717787719E-2</c:v>
                </c:pt>
                <c:pt idx="328">
                  <c:v>1.9519504227350715E-2</c:v>
                </c:pt>
                <c:pt idx="329">
                  <c:v>1.9540979266544967E-2</c:v>
                </c:pt>
                <c:pt idx="330">
                  <c:v>1.95624538353808E-2</c:v>
                </c:pt>
                <c:pt idx="331">
                  <c:v>1.9583927933868428E-2</c:v>
                </c:pt>
                <c:pt idx="332">
                  <c:v>1.9605401562018177E-2</c:v>
                </c:pt>
                <c:pt idx="333">
                  <c:v>1.962687471984037E-2</c:v>
                </c:pt>
                <c:pt idx="334">
                  <c:v>1.9648347407345335E-2</c:v>
                </c:pt>
                <c:pt idx="335">
                  <c:v>1.9669819624543283E-2</c:v>
                </c:pt>
                <c:pt idx="336">
                  <c:v>1.9691291371444652E-2</c:v>
                </c:pt>
                <c:pt idx="337">
                  <c:v>1.9712762648059545E-2</c:v>
                </c:pt>
                <c:pt idx="338">
                  <c:v>1.9734233454398509E-2</c:v>
                </c:pt>
                <c:pt idx="339">
                  <c:v>1.9755703790471535E-2</c:v>
                </c:pt>
                <c:pt idx="340">
                  <c:v>1.9777173656289282E-2</c:v>
                </c:pt>
                <c:pt idx="341">
                  <c:v>1.9798643051861742E-2</c:v>
                </c:pt>
                <c:pt idx="342">
                  <c:v>1.9820111977199351E-2</c:v>
                </c:pt>
                <c:pt idx="343">
                  <c:v>1.9841580432312433E-2</c:v>
                </c:pt>
                <c:pt idx="344">
                  <c:v>1.9863048417211204E-2</c:v>
                </c:pt>
                <c:pt idx="345">
                  <c:v>1.9884515931906099E-2</c:v>
                </c:pt>
                <c:pt idx="346">
                  <c:v>1.9905982976407222E-2</c:v>
                </c:pt>
                <c:pt idx="347">
                  <c:v>1.9927449550725007E-2</c:v>
                </c:pt>
                <c:pt idx="348">
                  <c:v>1.9948915654869781E-2</c:v>
                </c:pt>
                <c:pt idx="349">
                  <c:v>1.9970381288851757E-2</c:v>
                </c:pt>
                <c:pt idx="350">
                  <c:v>1.9991846452681261E-2</c:v>
                </c:pt>
                <c:pt idx="351">
                  <c:v>2.0013311146368506E-2</c:v>
                </c:pt>
                <c:pt idx="352">
                  <c:v>2.0034775369924041E-2</c:v>
                </c:pt>
                <c:pt idx="353">
                  <c:v>2.0056239123357855E-2</c:v>
                </c:pt>
                <c:pt idx="354">
                  <c:v>2.0077702406680387E-2</c:v>
                </c:pt>
                <c:pt idx="355">
                  <c:v>2.009916521990196E-2</c:v>
                </c:pt>
                <c:pt idx="356">
                  <c:v>2.01206275630329E-2</c:v>
                </c:pt>
                <c:pt idx="357">
                  <c:v>2.014208943608331E-2</c:v>
                </c:pt>
                <c:pt idx="358">
                  <c:v>2.0163550839063737E-2</c:v>
                </c:pt>
                <c:pt idx="359">
                  <c:v>2.0185011771984285E-2</c:v>
                </c:pt>
                <c:pt idx="360">
                  <c:v>2.0206472234855388E-2</c:v>
                </c:pt>
                <c:pt idx="361">
                  <c:v>2.0227932227687262E-2</c:v>
                </c:pt>
                <c:pt idx="362">
                  <c:v>2.0249391750490231E-2</c:v>
                </c:pt>
                <c:pt idx="363">
                  <c:v>2.0270850803274509E-2</c:v>
                </c:pt>
                <c:pt idx="364">
                  <c:v>2.0292309386050533E-2</c:v>
                </c:pt>
                <c:pt idx="365">
                  <c:v>2.0313767498828406E-2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2.8498559746523384E-2</c:v>
                </c:pt>
                <c:pt idx="1">
                  <c:v>2.8535338898936804E-2</c:v>
                </c:pt>
                <c:pt idx="2">
                  <c:v>2.8572144694001503E-2</c:v>
                </c:pt>
                <c:pt idx="3">
                  <c:v>2.8608970727834717E-2</c:v>
                </c:pt>
                <c:pt idx="4">
                  <c:v>2.8645811425436981E-2</c:v>
                </c:pt>
                <c:pt idx="5">
                  <c:v>2.8682662018411676E-2</c:v>
                </c:pt>
                <c:pt idx="6">
                  <c:v>2.8719518516129278E-2</c:v>
                </c:pt>
                <c:pt idx="7">
                  <c:v>2.8756377670828611E-2</c:v>
                </c:pt>
                <c:pt idx="8">
                  <c:v>2.8793236937194214E-2</c:v>
                </c:pt>
                <c:pt idx="9">
                  <c:v>2.8830094426989535E-2</c:v>
                </c:pt>
                <c:pt idx="10">
                  <c:v>2.8866948859360766E-2</c:v>
                </c:pt>
                <c:pt idx="11">
                  <c:v>2.8903799507453819E-2</c:v>
                </c:pt>
                <c:pt idx="12">
                  <c:v>2.8940646142008999E-2</c:v>
                </c:pt>
                <c:pt idx="13">
                  <c:v>2.897748897261208E-2</c:v>
                </c:pt>
                <c:pt idx="14">
                  <c:v>2.9014328587288998E-2</c:v>
                </c:pt>
                <c:pt idx="15">
                  <c:v>2.9051165891131957E-2</c:v>
                </c:pt>
                <c:pt idx="16">
                  <c:v>2.9088002044639297E-2</c:v>
                </c:pt>
                <c:pt idx="17">
                  <c:v>2.9124838402439141E-2</c:v>
                </c:pt>
                <c:pt idx="18">
                  <c:v>2.9161676453048291E-2</c:v>
                </c:pt>
                <c:pt idx="19">
                  <c:v>2.9198517760292989E-2</c:v>
                </c:pt>
                <c:pt idx="20">
                  <c:v>2.9235363906987694E-2</c:v>
                </c:pt>
                <c:pt idx="21">
                  <c:v>2.9272216441432124E-2</c:v>
                </c:pt>
                <c:pt idx="22">
                  <c:v>2.9309076827246122E-2</c:v>
                </c:pt>
                <c:pt idx="23">
                  <c:v>2.934594639701639E-2</c:v>
                </c:pt>
                <c:pt idx="24">
                  <c:v>2.9382826310180139E-2</c:v>
                </c:pt>
                <c:pt idx="25">
                  <c:v>2.9419717515518126E-2</c:v>
                </c:pt>
                <c:pt idx="26">
                  <c:v>2.9456620718573995E-2</c:v>
                </c:pt>
                <c:pt idx="27">
                  <c:v>2.9493536354259432E-2</c:v>
                </c:pt>
                <c:pt idx="28">
                  <c:v>2.9530464564845607E-2</c:v>
                </c:pt>
                <c:pt idx="29">
                  <c:v>2.9567405183481148E-2</c:v>
                </c:pt>
                <c:pt idx="30">
                  <c:v>2.9604357723316561E-2</c:v>
                </c:pt>
                <c:pt idx="31">
                  <c:v>2.9641321372255131E-2</c:v>
                </c:pt>
                <c:pt idx="32">
                  <c:v>2.9678294993290985E-2</c:v>
                </c:pt>
                <c:pt idx="33">
                  <c:v>2.9715277130337649E-2</c:v>
                </c:pt>
                <c:pt idx="34">
                  <c:v>2.9752266019394593E-2</c:v>
                </c:pt>
                <c:pt idx="35">
                  <c:v>2.9789259604846883E-2</c:v>
                </c:pt>
                <c:pt idx="36">
                  <c:v>2.9826255560642667E-2</c:v>
                </c:pt>
                <c:pt idx="37">
                  <c:v>2.9863251316047751E-2</c:v>
                </c:pt>
                <c:pt idx="38">
                  <c:v>2.990024408563384E-2</c:v>
                </c:pt>
                <c:pt idx="39">
                  <c:v>2.9937230903119644E-2</c:v>
                </c:pt>
                <c:pt idx="40">
                  <c:v>2.9974208658650817E-2</c:v>
                </c:pt>
                <c:pt idx="41">
                  <c:v>3.0011174139076741E-2</c:v>
                </c:pt>
                <c:pt idx="42">
                  <c:v>3.0048124070759196E-2</c:v>
                </c:pt>
                <c:pt idx="43">
                  <c:v>3.0085055164430437E-2</c:v>
                </c:pt>
                <c:pt idx="44">
                  <c:v>3.0121964161606004E-2</c:v>
                </c:pt>
                <c:pt idx="45">
                  <c:v>3.0158847882050904E-2</c:v>
                </c:pt>
                <c:pt idx="46">
                  <c:v>3.0195703271796461E-2</c:v>
                </c:pt>
                <c:pt idx="47">
                  <c:v>3.0232527451209048E-2</c:v>
                </c:pt>
                <c:pt idx="48">
                  <c:v>3.0269317762621203E-2</c:v>
                </c:pt>
                <c:pt idx="49">
                  <c:v>3.0306071817049699E-2</c:v>
                </c:pt>
                <c:pt idx="50">
                  <c:v>3.0342787539543847E-2</c:v>
                </c:pt>
                <c:pt idx="51">
                  <c:v>3.0379463212730752E-2</c:v>
                </c:pt>
                <c:pt idx="52">
                  <c:v>3.0416097518151351E-2</c:v>
                </c:pt>
                <c:pt idx="53">
                  <c:v>3.0452689575012303E-2</c:v>
                </c:pt>
                <c:pt idx="54">
                  <c:v>3.0489238976012561E-2</c:v>
                </c:pt>
                <c:pt idx="55">
                  <c:v>3.0525745819941164E-2</c:v>
                </c:pt>
                <c:pt idx="56">
                  <c:v>3.056221074078146E-2</c:v>
                </c:pt>
                <c:pt idx="57">
                  <c:v>3.0598634933098803E-2</c:v>
                </c:pt>
                <c:pt idx="58">
                  <c:v>3.0635020173530838E-2</c:v>
                </c:pt>
                <c:pt idx="59">
                  <c:v>3.0671368838243153E-2</c:v>
                </c:pt>
                <c:pt idx="60">
                  <c:v>3.0707683916256629E-2</c:v>
                </c:pt>
                <c:pt idx="61">
                  <c:v>3.0743969018596218E-2</c:v>
                </c:pt>
                <c:pt idx="62">
                  <c:v>3.0780228383253935E-2</c:v>
                </c:pt>
                <c:pt idx="63">
                  <c:v>3.0816466875999884E-2</c:v>
                </c:pt>
                <c:pt idx="64">
                  <c:v>3.0852689987115753E-2</c:v>
                </c:pt>
                <c:pt idx="65">
                  <c:v>3.0888903824162487E-2</c:v>
                </c:pt>
                <c:pt idx="66">
                  <c:v>3.0925115100929469E-2</c:v>
                </c:pt>
                <c:pt idx="67">
                  <c:v>3.0961331122745198E-2</c:v>
                </c:pt>
                <c:pt idx="68">
                  <c:v>3.0997559768358419E-2</c:v>
                </c:pt>
                <c:pt idx="69">
                  <c:v>3.1033809468624989E-2</c:v>
                </c:pt>
                <c:pt idx="70">
                  <c:v>3.1070089182257628E-2</c:v>
                </c:pt>
                <c:pt idx="71">
                  <c:v>3.1106408368914266E-2</c:v>
                </c:pt>
                <c:pt idx="72">
                  <c:v>3.114277695991486E-2</c:v>
                </c:pt>
                <c:pt idx="73">
                  <c:v>3.1179205326886873E-2</c:v>
                </c:pt>
                <c:pt idx="74">
                  <c:v>3.121570424864565E-2</c:v>
                </c:pt>
                <c:pt idx="75">
                  <c:v>3.1252284876617825E-2</c:v>
                </c:pt>
                <c:pt idx="76">
                  <c:v>3.1288958699114126E-2</c:v>
                </c:pt>
                <c:pt idx="77">
                  <c:v>3.1325737504751337E-2</c:v>
                </c:pt>
                <c:pt idx="78">
                  <c:v>3.1362633345314347E-2</c:v>
                </c:pt>
                <c:pt idx="79">
                  <c:v>3.1399658498334981E-2</c:v>
                </c:pt>
                <c:pt idx="80">
                  <c:v>3.1436825429648423E-2</c:v>
                </c:pt>
                <c:pt idx="81">
                  <c:v>3.1474146756168303E-2</c:v>
                </c:pt>
                <c:pt idx="82">
                  <c:v>3.1511635209099297E-2</c:v>
                </c:pt>
                <c:pt idx="83">
                  <c:v>3.1549303597781568E-2</c:v>
                </c:pt>
                <c:pt idx="84">
                  <c:v>3.1587164774335395E-2</c:v>
                </c:pt>
                <c:pt idx="85">
                  <c:v>3.1625231599245886E-2</c:v>
                </c:pt>
                <c:pt idx="86">
                  <c:v>3.1663516907999428E-2</c:v>
                </c:pt>
                <c:pt idx="87">
                  <c:v>3.1702033478853676E-2</c:v>
                </c:pt>
                <c:pt idx="88">
                  <c:v>3.1740794001793166E-2</c:v>
                </c:pt>
                <c:pt idx="89">
                  <c:v>3.1779811048693589E-2</c:v>
                </c:pt>
                <c:pt idx="90">
                  <c:v>3.1819097044688736E-2</c:v>
                </c:pt>
                <c:pt idx="91">
                  <c:v>3.185866424070681E-2</c:v>
                </c:pt>
                <c:pt idx="92">
                  <c:v>3.193969285105578E-2</c:v>
                </c:pt>
                <c:pt idx="93">
                  <c:v>3.2021002471580517E-2</c:v>
                </c:pt>
                <c:pt idx="94">
                  <c:v>3.2102605993291629E-2</c:v>
                </c:pt>
                <c:pt idx="95">
                  <c:v>3.2184516083248481E-2</c:v>
                </c:pt>
                <c:pt idx="96">
                  <c:v>3.2266745159317392E-2</c:v>
                </c:pt>
                <c:pt idx="97">
                  <c:v>3.2349305365281827E-2</c:v>
                </c:pt>
                <c:pt idx="98">
                  <c:v>3.2432208546146618E-2</c:v>
                </c:pt>
                <c:pt idx="99">
                  <c:v>3.2515466223469701E-2</c:v>
                </c:pt>
                <c:pt idx="100">
                  <c:v>3.2599089570551278E-2</c:v>
                </c:pt>
                <c:pt idx="101">
                  <c:v>3.2683089387309475E-2</c:v>
                </c:pt>
                <c:pt idx="102">
                  <c:v>3.2767476074675381E-2</c:v>
                </c:pt>
                <c:pt idx="103">
                  <c:v>3.285225960834736E-2</c:v>
                </c:pt>
                <c:pt idx="104">
                  <c:v>3.2937449511755881E-2</c:v>
                </c:pt>
                <c:pt idx="105">
                  <c:v>3.3023054828104935E-2</c:v>
                </c:pt>
                <c:pt idx="106">
                  <c:v>3.3109084091374426E-2</c:v>
                </c:pt>
                <c:pt idx="107">
                  <c:v>3.3195545296190045E-2</c:v>
                </c:pt>
                <c:pt idx="108">
                  <c:v>3.3282445866491692E-2</c:v>
                </c:pt>
                <c:pt idx="109">
                  <c:v>3.3369792622959846E-2</c:v>
                </c:pt>
                <c:pt idx="110">
                  <c:v>3.3457591749188963E-2</c:v>
                </c:pt>
                <c:pt idx="111">
                  <c:v>3.3545848756630213E-2</c:v>
                </c:pt>
                <c:pt idx="112">
                  <c:v>3.3634568448359312E-2</c:v>
                </c:pt>
                <c:pt idx="113">
                  <c:v>3.3723754881761159E-2</c:v>
                </c:pt>
                <c:pt idx="114">
                  <c:v>3.3813411330259023E-2</c:v>
                </c:pt>
                <c:pt idx="115">
                  <c:v>3.3903540244252746E-2</c:v>
                </c:pt>
                <c:pt idx="116">
                  <c:v>3.3994143211466758E-2</c:v>
                </c:pt>
                <c:pt idx="117">
                  <c:v>3.4085220916944499E-2</c:v>
                </c:pt>
                <c:pt idx="118">
                  <c:v>3.4176773102960231E-2</c:v>
                </c:pt>
                <c:pt idx="119">
                  <c:v>3.4268798529152371E-2</c:v>
                </c:pt>
                <c:pt idx="120">
                  <c:v>3.4361294933212681E-2</c:v>
                </c:pt>
                <c:pt idx="121">
                  <c:v>3.4454258992493755E-2</c:v>
                </c:pt>
                <c:pt idx="122">
                  <c:v>3.454768628692214E-2</c:v>
                </c:pt>
                <c:pt idx="123">
                  <c:v>3.4641571263625326E-2</c:v>
                </c:pt>
                <c:pt idx="124">
                  <c:v>3.4735907203698388E-2</c:v>
                </c:pt>
                <c:pt idx="125">
                  <c:v>3.4830686191548381E-2</c:v>
                </c:pt>
                <c:pt idx="126">
                  <c:v>3.4925899087263679E-2</c:v>
                </c:pt>
                <c:pt idx="127">
                  <c:v>3.5021535502457693E-2</c:v>
                </c:pt>
                <c:pt idx="128">
                  <c:v>3.5117583780035426E-2</c:v>
                </c:pt>
                <c:pt idx="129">
                  <c:v>3.521403097832379E-2</c:v>
                </c:pt>
                <c:pt idx="130">
                  <c:v>3.5310862859994172E-2</c:v>
                </c:pt>
                <c:pt idx="131">
                  <c:v>3.5408063886187946E-2</c:v>
                </c:pt>
                <c:pt idx="132">
                  <c:v>3.5505617216232049E-2</c:v>
                </c:pt>
                <c:pt idx="133">
                  <c:v>3.5603504713303528E-2</c:v>
                </c:pt>
                <c:pt idx="134">
                  <c:v>3.5701706956367839E-2</c:v>
                </c:pt>
                <c:pt idx="135">
                  <c:v>3.5800203258677152E-2</c:v>
                </c:pt>
                <c:pt idx="136">
                  <c:v>3.5898971693071526E-2</c:v>
                </c:pt>
                <c:pt idx="137">
                  <c:v>3.5997989124278255E-2</c:v>
                </c:pt>
                <c:pt idx="138">
                  <c:v>3.6097231248352769E-2</c:v>
                </c:pt>
                <c:pt idx="139">
                  <c:v>3.6196672639349753E-2</c:v>
                </c:pt>
                <c:pt idx="140">
                  <c:v>3.6296286803254668E-2</c:v>
                </c:pt>
                <c:pt idx="141">
                  <c:v>3.6396046239145656E-2</c:v>
                </c:pt>
                <c:pt idx="142">
                  <c:v>3.6495922507492888E-2</c:v>
                </c:pt>
                <c:pt idx="143">
                  <c:v>3.6595886305439168E-2</c:v>
                </c:pt>
                <c:pt idx="144">
                  <c:v>3.6695907548840868E-2</c:v>
                </c:pt>
                <c:pt idx="145">
                  <c:v>3.6795955460783888E-2</c:v>
                </c:pt>
                <c:pt idx="146">
                  <c:v>3.6895998666225713E-2</c:v>
                </c:pt>
                <c:pt idx="147">
                  <c:v>3.6996005292352169E-2</c:v>
                </c:pt>
                <c:pt idx="148">
                  <c:v>3.709594307417715E-2</c:v>
                </c:pt>
                <c:pt idx="149">
                  <c:v>3.7195779464855631E-2</c:v>
                </c:pt>
                <c:pt idx="150">
                  <c:v>3.7295481750126112E-2</c:v>
                </c:pt>
                <c:pt idx="151">
                  <c:v>3.7395017166248122E-2</c:v>
                </c:pt>
                <c:pt idx="152">
                  <c:v>3.7494353020754101E-2</c:v>
                </c:pt>
                <c:pt idx="153">
                  <c:v>3.7593456815294635E-2</c:v>
                </c:pt>
                <c:pt idx="154">
                  <c:v>3.7692296369820112E-2</c:v>
                </c:pt>
                <c:pt idx="155">
                  <c:v>3.7790839947313089E-2</c:v>
                </c:pt>
                <c:pt idx="156">
                  <c:v>3.788905637826253E-2</c:v>
                </c:pt>
                <c:pt idx="157">
                  <c:v>3.7986915184055101E-2</c:v>
                </c:pt>
                <c:pt idx="158">
                  <c:v>3.8084386698449921E-2</c:v>
                </c:pt>
                <c:pt idx="159">
                  <c:v>3.8181442186301075E-2</c:v>
                </c:pt>
                <c:pt idx="160">
                  <c:v>3.8278053958698592E-2</c:v>
                </c:pt>
                <c:pt idx="161">
                  <c:v>3.8374195483711022E-2</c:v>
                </c:pt>
                <c:pt idx="162">
                  <c:v>3.8469841491934192E-2</c:v>
                </c:pt>
                <c:pt idx="163">
                  <c:v>3.8564968076078135E-2</c:v>
                </c:pt>
                <c:pt idx="164">
                  <c:v>3.8659552783860067E-2</c:v>
                </c:pt>
                <c:pt idx="165">
                  <c:v>3.8753574703513129E-2</c:v>
                </c:pt>
                <c:pt idx="166">
                  <c:v>3.884701454126975E-2</c:v>
                </c:pt>
                <c:pt idx="167">
                  <c:v>3.8939854690233679E-2</c:v>
                </c:pt>
                <c:pt idx="168">
                  <c:v>3.9032079290115755E-2</c:v>
                </c:pt>
                <c:pt idx="169">
                  <c:v>3.9123674277374912E-2</c:v>
                </c:pt>
                <c:pt idx="170">
                  <c:v>3.921462742537668E-2</c:v>
                </c:pt>
                <c:pt idx="171">
                  <c:v>3.930492837425726E-2</c:v>
                </c:pt>
                <c:pt idx="172">
                  <c:v>3.9394568650259087E-2</c:v>
                </c:pt>
                <c:pt idx="173">
                  <c:v>3.9483541674385551E-2</c:v>
                </c:pt>
                <c:pt idx="174">
                  <c:v>3.9571842760305891E-2</c:v>
                </c:pt>
                <c:pt idx="175">
                  <c:v>3.9659469101525138E-2</c:v>
                </c:pt>
                <c:pt idx="176">
                  <c:v>3.9746419747919287E-2</c:v>
                </c:pt>
                <c:pt idx="177">
                  <c:v>3.9832695571820072E-2</c:v>
                </c:pt>
                <c:pt idx="178">
                  <c:v>3.9918299223916417E-2</c:v>
                </c:pt>
                <c:pt idx="179">
                  <c:v>4.0003235079321332E-2</c:v>
                </c:pt>
                <c:pt idx="180">
                  <c:v>4.0087509174230512E-2</c:v>
                </c:pt>
                <c:pt idx="181">
                  <c:v>4.0171129133673732E-2</c:v>
                </c:pt>
                <c:pt idx="182">
                  <c:v>4.0254104090930685E-2</c:v>
                </c:pt>
                <c:pt idx="183">
                  <c:v>4.0336444599246991E-2</c:v>
                </c:pt>
                <c:pt idx="184">
                  <c:v>4.041816253654705E-2</c:v>
                </c:pt>
                <c:pt idx="185">
                  <c:v>4.0499271003892147E-2</c:v>
                </c:pt>
                <c:pt idx="186">
                  <c:v>4.0579784218479457E-2</c:v>
                </c:pt>
                <c:pt idx="187">
                  <c:v>4.0659717402016349E-2</c:v>
                </c:pt>
                <c:pt idx="188">
                  <c:v>4.0739086665335662E-2</c:v>
                </c:pt>
                <c:pt idx="189">
                  <c:v>4.08179088901411E-2</c:v>
                </c:pt>
                <c:pt idx="190">
                  <c:v>4.0896201608786903E-2</c:v>
                </c:pt>
                <c:pt idx="191">
                  <c:v>4.097398288300276E-2</c:v>
                </c:pt>
                <c:pt idx="192">
                  <c:v>4.1051271182473023E-2</c:v>
                </c:pt>
                <c:pt idx="193">
                  <c:v>4.1128085264169084E-2</c:v>
                </c:pt>
                <c:pt idx="194">
                  <c:v>4.1204444053315289E-2</c:v>
                </c:pt>
                <c:pt idx="195">
                  <c:v>4.1280366526841784E-2</c:v>
                </c:pt>
                <c:pt idx="196">
                  <c:v>4.1355871600143285E-2</c:v>
                </c:pt>
                <c:pt idx="197">
                  <c:v>4.1430978017920526E-2</c:v>
                </c:pt>
                <c:pt idx="198">
                  <c:v>4.1505704249831563E-2</c:v>
                </c:pt>
                <c:pt idx="199">
                  <c:v>4.1580068391624883E-2</c:v>
                </c:pt>
                <c:pt idx="200">
                  <c:v>4.1654088072363558E-2</c:v>
                </c:pt>
                <c:pt idx="201">
                  <c:v>4.1727780368283209E-2</c:v>
                </c:pt>
                <c:pt idx="202">
                  <c:v>4.1801161723754171E-2</c:v>
                </c:pt>
                <c:pt idx="203">
                  <c:v>4.1874247879742539E-2</c:v>
                </c:pt>
                <c:pt idx="204">
                  <c:v>4.1947053810085809E-2</c:v>
                </c:pt>
                <c:pt idx="205">
                  <c:v>4.2019593665817798E-2</c:v>
                </c:pt>
                <c:pt idx="206">
                  <c:v>4.20918807276945E-2</c:v>
                </c:pt>
                <c:pt idx="207">
                  <c:v>4.2163927366989581E-2</c:v>
                </c:pt>
                <c:pt idx="208">
                  <c:v>4.2235745014545079E-2</c:v>
                </c:pt>
                <c:pt idx="209">
                  <c:v>4.2307344137981345E-2</c:v>
                </c:pt>
                <c:pt idx="210">
                  <c:v>4.2378734226890508E-2</c:v>
                </c:pt>
                <c:pt idx="211">
                  <c:v>4.2449923785760554E-2</c:v>
                </c:pt>
                <c:pt idx="212">
                  <c:v>4.2520920334304872E-2</c:v>
                </c:pt>
                <c:pt idx="213">
                  <c:v>4.2591730414802575E-2</c:v>
                </c:pt>
                <c:pt idx="214">
                  <c:v>4.2662359605992267E-2</c:v>
                </c:pt>
                <c:pt idx="215">
                  <c:v>4.2732812543003942E-2</c:v>
                </c:pt>
                <c:pt idx="216">
                  <c:v>4.2803092942762924E-2</c:v>
                </c:pt>
                <c:pt idx="217">
                  <c:v>4.2873203634255938E-2</c:v>
                </c:pt>
                <c:pt idx="218">
                  <c:v>4.2943146593012627E-2</c:v>
                </c:pt>
                <c:pt idx="219">
                  <c:v>4.301292297912758E-2</c:v>
                </c:pt>
                <c:pt idx="220">
                  <c:v>4.308253317812738E-2</c:v>
                </c:pt>
                <c:pt idx="221">
                  <c:v>4.3151976843975669E-2</c:v>
                </c:pt>
                <c:pt idx="222">
                  <c:v>4.322125294350504E-2</c:v>
                </c:pt>
                <c:pt idx="223">
                  <c:v>4.3290359801570491E-2</c:v>
                </c:pt>
                <c:pt idx="224">
                  <c:v>4.3359295146232602E-2</c:v>
                </c:pt>
                <c:pt idx="225">
                  <c:v>4.3428056153300039E-2</c:v>
                </c:pt>
                <c:pt idx="226">
                  <c:v>4.3496639489591774E-2</c:v>
                </c:pt>
                <c:pt idx="227">
                  <c:v>4.3565041354316617E-2</c:v>
                </c:pt>
                <c:pt idx="228">
                  <c:v>4.3633257518012745E-2</c:v>
                </c:pt>
                <c:pt idx="229">
                  <c:v>4.370128335854221E-2</c:v>
                </c:pt>
                <c:pt idx="230">
                  <c:v>4.3769113893692209E-2</c:v>
                </c:pt>
                <c:pt idx="231">
                  <c:v>4.3836743809999974E-2</c:v>
                </c:pt>
                <c:pt idx="232">
                  <c:v>4.3904167487484935E-2</c:v>
                </c:pt>
                <c:pt idx="233">
                  <c:v>4.3971379020044964E-2</c:v>
                </c:pt>
                <c:pt idx="234">
                  <c:v>4.4038372231348467E-2</c:v>
                </c:pt>
                <c:pt idx="235">
                  <c:v>4.4105140686132062E-2</c:v>
                </c:pt>
                <c:pt idx="236">
                  <c:v>4.4171677696892397E-2</c:v>
                </c:pt>
                <c:pt idx="237">
                  <c:v>4.4237976326040158E-2</c:v>
                </c:pt>
                <c:pt idx="238">
                  <c:v>4.4304029383663672E-2</c:v>
                </c:pt>
                <c:pt idx="239">
                  <c:v>4.4369829421126238E-2</c:v>
                </c:pt>
                <c:pt idx="240">
                  <c:v>4.4435368720797716E-2</c:v>
                </c:pt>
                <c:pt idx="241">
                  <c:v>4.4500639282291213E-2</c:v>
                </c:pt>
                <c:pt idx="242">
                  <c:v>4.4565632805645156E-2</c:v>
                </c:pt>
                <c:pt idx="243">
                  <c:v>4.4630340671952005E-2</c:v>
                </c:pt>
                <c:pt idx="244">
                  <c:v>4.469475392199318E-2</c:v>
                </c:pt>
                <c:pt idx="245">
                  <c:v>4.4758863233489141E-2</c:v>
                </c:pt>
                <c:pt idx="246">
                  <c:v>4.4822658897617079E-2</c:v>
                </c:pt>
                <c:pt idx="247">
                  <c:v>4.4886130795484022E-2</c:v>
                </c:pt>
                <c:pt idx="248">
                  <c:v>4.494926837526983E-2</c:v>
                </c:pt>
                <c:pt idx="249">
                  <c:v>4.5012060630773017E-2</c:v>
                </c:pt>
                <c:pt idx="250">
                  <c:v>4.5074496082101373E-2</c:v>
                </c:pt>
                <c:pt idx="251">
                  <c:v>4.5136562759249314E-2</c:v>
                </c:pt>
                <c:pt idx="252">
                  <c:v>4.5198248189293654E-2</c:v>
                </c:pt>
                <c:pt idx="253">
                  <c:v>4.5259539387921252E-2</c:v>
                </c:pt>
                <c:pt idx="254">
                  <c:v>4.5320422855972632E-2</c:v>
                </c:pt>
                <c:pt idx="255">
                  <c:v>4.5380884581648066E-2</c:v>
                </c:pt>
                <c:pt idx="256">
                  <c:v>4.544091004897631E-2</c:v>
                </c:pt>
                <c:pt idx="257">
                  <c:v>4.5500484253089876E-2</c:v>
                </c:pt>
                <c:pt idx="258">
                  <c:v>4.5559591722788291E-2</c:v>
                </c:pt>
                <c:pt idx="259">
                  <c:v>4.5618216550799132E-2</c:v>
                </c:pt>
                <c:pt idx="260">
                  <c:v>4.5676342432068993E-2</c:v>
                </c:pt>
                <c:pt idx="261">
                  <c:v>4.5733952710332919E-2</c:v>
                </c:pt>
                <c:pt idx="262">
                  <c:v>4.5791030433121022E-2</c:v>
                </c:pt>
                <c:pt idx="263">
                  <c:v>4.5847558415267893E-2</c:v>
                </c:pt>
                <c:pt idx="264">
                  <c:v>4.5903519310893412E-2</c:v>
                </c:pt>
                <c:pt idx="265">
                  <c:v>4.5958895693723523E-2</c:v>
                </c:pt>
                <c:pt idx="266">
                  <c:v>4.6013670145519298E-2</c:v>
                </c:pt>
                <c:pt idx="267">
                  <c:v>4.6067825352281037E-2</c:v>
                </c:pt>
                <c:pt idx="268">
                  <c:v>4.6121344207793798E-2</c:v>
                </c:pt>
                <c:pt idx="269">
                  <c:v>4.6174209923982072E-2</c:v>
                </c:pt>
                <c:pt idx="270">
                  <c:v>4.6226406147445713E-2</c:v>
                </c:pt>
                <c:pt idx="271">
                  <c:v>4.6277917081457454E-2</c:v>
                </c:pt>
                <c:pt idx="272">
                  <c:v>4.632872761261575E-2</c:v>
                </c:pt>
                <c:pt idx="273">
                  <c:v>4.6378823441266037E-2</c:v>
                </c:pt>
                <c:pt idx="274">
                  <c:v>4.6428191214729957E-2</c:v>
                </c:pt>
                <c:pt idx="275">
                  <c:v>4.647681866231642E-2</c:v>
                </c:pt>
                <c:pt idx="276">
                  <c:v>4.6524694731031081E-2</c:v>
                </c:pt>
                <c:pt idx="277">
                  <c:v>4.6571809720853959E-2</c:v>
                </c:pt>
                <c:pt idx="278">
                  <c:v>4.661815541841656E-2</c:v>
                </c:pt>
                <c:pt idx="279">
                  <c:v>4.6663725227884222E-2</c:v>
                </c:pt>
                <c:pt idx="280">
                  <c:v>4.6708514297832723E-2</c:v>
                </c:pt>
                <c:pt idx="281">
                  <c:v>4.6752519642905138E-2</c:v>
                </c:pt>
                <c:pt idx="282">
                  <c:v>4.6795740259041631E-2</c:v>
                </c:pt>
                <c:pt idx="283">
                  <c:v>4.6838177231095027E-2</c:v>
                </c:pt>
                <c:pt idx="284">
                  <c:v>4.6879833831676161E-2</c:v>
                </c:pt>
                <c:pt idx="285">
                  <c:v>4.6920715610115772E-2</c:v>
                </c:pt>
                <c:pt idx="286">
                  <c:v>4.6960830470484834E-2</c:v>
                </c:pt>
                <c:pt idx="287">
                  <c:v>4.7000188737680658E-2</c:v>
                </c:pt>
                <c:pt idx="288">
                  <c:v>4.7038803210662457E-2</c:v>
                </c:pt>
                <c:pt idx="289">
                  <c:v>4.7076689202007048E-2</c:v>
                </c:pt>
                <c:pt idx="290">
                  <c:v>4.7113864563050716E-2</c:v>
                </c:pt>
                <c:pt idx="291">
                  <c:v>4.7150349693988639E-2</c:v>
                </c:pt>
                <c:pt idx="292">
                  <c:v>4.718616753841498E-2</c:v>
                </c:pt>
                <c:pt idx="293">
                  <c:v>4.7221343561906243E-2</c:v>
                </c:pt>
                <c:pt idx="294">
                  <c:v>4.725590571437558E-2</c:v>
                </c:pt>
                <c:pt idx="295">
                  <c:v>4.7289884376054886E-2</c:v>
                </c:pt>
                <c:pt idx="296">
                  <c:v>4.7323312287094764E-2</c:v>
                </c:pt>
                <c:pt idx="297">
                  <c:v>4.7356224460907946E-2</c:v>
                </c:pt>
                <c:pt idx="298">
                  <c:v>4.7388658081517585E-2</c:v>
                </c:pt>
                <c:pt idx="299">
                  <c:v>4.7420652385308279E-2</c:v>
                </c:pt>
                <c:pt idx="300">
                  <c:v>4.7452248527712126E-2</c:v>
                </c:pt>
                <c:pt idx="301">
                  <c:v>4.7483489435493603E-2</c:v>
                </c:pt>
                <c:pt idx="302">
                  <c:v>4.7514419645425111E-2</c:v>
                </c:pt>
                <c:pt idx="303">
                  <c:v>4.7545085130266986E-2</c:v>
                </c:pt>
                <c:pt idx="304">
                  <c:v>4.7575533113082089E-2</c:v>
                </c:pt>
                <c:pt idx="305">
                  <c:v>4.7605811871022995E-2</c:v>
                </c:pt>
                <c:pt idx="306">
                  <c:v>4.7635970529829742E-2</c:v>
                </c:pt>
                <c:pt idx="307">
                  <c:v>4.7666058850365907E-2</c:v>
                </c:pt>
                <c:pt idx="308">
                  <c:v>4.7696127008599987E-2</c:v>
                </c:pt>
                <c:pt idx="309">
                  <c:v>4.7726225370507538E-2</c:v>
                </c:pt>
                <c:pt idx="310">
                  <c:v>4.7756404263424708E-2</c:v>
                </c:pt>
                <c:pt idx="311">
                  <c:v>4.7786713745427582E-2</c:v>
                </c:pt>
                <c:pt idx="312">
                  <c:v>4.7817203374341477E-2</c:v>
                </c:pt>
                <c:pt idx="313">
                  <c:v>4.7847921978000418E-2</c:v>
                </c:pt>
                <c:pt idx="314">
                  <c:v>4.7878917427380673E-2</c:v>
                </c:pt>
                <c:pt idx="315">
                  <c:v>4.7910236414219556E-2</c:v>
                </c:pt>
                <c:pt idx="316">
                  <c:v>4.7941924234706994E-2</c:v>
                </c:pt>
                <c:pt idx="317">
                  <c:v>4.7974024580797539E-2</c:v>
                </c:pt>
                <c:pt idx="318">
                  <c:v>4.8006579340638705E-2</c:v>
                </c:pt>
                <c:pt idx="319">
                  <c:v>4.8039628409546349E-2</c:v>
                </c:pt>
                <c:pt idx="320">
                  <c:v>4.8073209512879675E-2</c:v>
                </c:pt>
                <c:pt idx="321">
                  <c:v>4.8107358042079357E-2</c:v>
                </c:pt>
                <c:pt idx="322">
                  <c:v>4.8142106905031547E-2</c:v>
                </c:pt>
                <c:pt idx="323">
                  <c:v>4.8177486391809451E-2</c:v>
                </c:pt>
                <c:pt idx="324">
                  <c:v>4.8213524056724917E-2</c:v>
                </c:pt>
                <c:pt idx="325">
                  <c:v>4.8250244617493665E-2</c:v>
                </c:pt>
                <c:pt idx="326">
                  <c:v>4.8287669872183282E-2</c:v>
                </c:pt>
                <c:pt idx="327">
                  <c:v>4.832581863447187E-2</c:v>
                </c:pt>
                <c:pt idx="328">
                  <c:v>4.8364706687600081E-2</c:v>
                </c:pt>
                <c:pt idx="329">
                  <c:v>4.8404346757250562E-2</c:v>
                </c:pt>
                <c:pt idx="330">
                  <c:v>4.8444748503438557E-2</c:v>
                </c:pt>
                <c:pt idx="331">
                  <c:v>4.848591853134597E-2</c:v>
                </c:pt>
                <c:pt idx="332">
                  <c:v>4.8527860420881704E-2</c:v>
                </c:pt>
                <c:pt idx="333">
                  <c:v>4.8570574774602575E-2</c:v>
                </c:pt>
                <c:pt idx="334">
                  <c:v>4.8614059283484778E-2</c:v>
                </c:pt>
                <c:pt idx="335">
                  <c:v>4.8658308809896675E-2</c:v>
                </c:pt>
                <c:pt idx="336">
                  <c:v>4.8703315486989605E-2</c:v>
                </c:pt>
                <c:pt idx="337">
                  <c:v>4.8749068833597455E-2</c:v>
                </c:pt>
                <c:pt idx="338">
                  <c:v>4.8795555883617794E-2</c:v>
                </c:pt>
                <c:pt idx="339">
                  <c:v>4.8842761328739118E-2</c:v>
                </c:pt>
                <c:pt idx="340">
                  <c:v>4.8890667673280271E-2</c:v>
                </c:pt>
                <c:pt idx="341">
                  <c:v>4.8939255399821878E-2</c:v>
                </c:pt>
                <c:pt idx="342">
                  <c:v>4.8988503144234301E-2</c:v>
                </c:pt>
                <c:pt idx="343">
                  <c:v>4.9038387878644778E-2</c:v>
                </c:pt>
                <c:pt idx="344">
                  <c:v>4.9088885100837067E-2</c:v>
                </c:pt>
                <c:pt idx="345">
                  <c:v>4.9139969028541508E-2</c:v>
                </c:pt>
                <c:pt idx="346">
                  <c:v>4.9191612797051427E-2</c:v>
                </c:pt>
                <c:pt idx="347">
                  <c:v>4.9243788658593995E-2</c:v>
                </c:pt>
                <c:pt idx="348">
                  <c:v>4.9296468181889486E-2</c:v>
                </c:pt>
                <c:pt idx="349">
                  <c:v>4.9349622450352272E-2</c:v>
                </c:pt>
                <c:pt idx="350">
                  <c:v>4.9403222257420686E-2</c:v>
                </c:pt>
                <c:pt idx="351">
                  <c:v>4.9457238297548146E-2</c:v>
                </c:pt>
                <c:pt idx="352">
                  <c:v>4.9511641351447165E-2</c:v>
                </c:pt>
                <c:pt idx="353">
                  <c:v>4.9566402464248489E-2</c:v>
                </c:pt>
                <c:pt idx="354">
                  <c:v>4.9621493115318986E-2</c:v>
                </c:pt>
                <c:pt idx="355">
                  <c:v>4.967688537857444E-2</c:v>
                </c:pt>
                <c:pt idx="356">
                  <c:v>4.9732552072224434E-2</c:v>
                </c:pt>
                <c:pt idx="357">
                  <c:v>4.9788466896996654E-2</c:v>
                </c:pt>
                <c:pt idx="358">
                  <c:v>4.9844604562004714E-2</c:v>
                </c:pt>
                <c:pt idx="359">
                  <c:v>4.9900940897546937E-2</c:v>
                </c:pt>
                <c:pt idx="360">
                  <c:v>4.995745295425158E-2</c:v>
                </c:pt>
                <c:pt idx="361">
                  <c:v>5.0014119088115427E-2</c:v>
                </c:pt>
                <c:pt idx="362">
                  <c:v>5.0070919031116927E-2</c:v>
                </c:pt>
                <c:pt idx="363">
                  <c:v>5.0127833947220264E-2</c:v>
                </c:pt>
                <c:pt idx="364">
                  <c:v>5.0184846473721172E-2</c:v>
                </c:pt>
                <c:pt idx="365">
                  <c:v>5.0241940748019569E-2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1.3049807235711742E-4</c:v>
                </c:pt>
                <c:pt idx="1">
                  <c:v>1.299381150323328E-4</c:v>
                </c:pt>
                <c:pt idx="2">
                  <c:v>1.2924672979900347E-4</c:v>
                </c:pt>
                <c:pt idx="3">
                  <c:v>1.284326849036882E-4</c:v>
                </c:pt>
                <c:pt idx="4">
                  <c:v>1.275045632455269E-4</c:v>
                </c:pt>
                <c:pt idx="5">
                  <c:v>1.2647069977726573E-4</c:v>
                </c:pt>
                <c:pt idx="6">
                  <c:v>1.2533912923947058E-4</c:v>
                </c:pt>
                <c:pt idx="7">
                  <c:v>1.2411754334746688E-4</c:v>
                </c:pt>
                <c:pt idx="8">
                  <c:v>1.227963313957246E-4</c:v>
                </c:pt>
                <c:pt idx="9">
                  <c:v>1.2117388785381114E-4</c:v>
                </c:pt>
                <c:pt idx="10">
                  <c:v>1.1920664197677076E-4</c:v>
                </c:pt>
                <c:pt idx="11">
                  <c:v>1.1690514896672838E-4</c:v>
                </c:pt>
                <c:pt idx="12">
                  <c:v>1.1428007884292951E-4</c:v>
                </c:pt>
                <c:pt idx="13">
                  <c:v>1.1134216283852735E-4</c:v>
                </c:pt>
                <c:pt idx="14">
                  <c:v>1.0810214325206389E-4</c:v>
                </c:pt>
                <c:pt idx="15">
                  <c:v>1.0463550766803721E-4</c:v>
                </c:pt>
                <c:pt idx="16">
                  <c:v>1.0109490034567683E-4</c:v>
                </c:pt>
                <c:pt idx="17">
                  <c:v>9.7485077385516106E-5</c:v>
                </c:pt>
                <c:pt idx="18">
                  <c:v>9.3810620890403379E-5</c:v>
                </c:pt>
                <c:pt idx="19">
                  <c:v>9.0076434576471905E-5</c:v>
                </c:pt>
                <c:pt idx="20">
                  <c:v>8.628736935939826E-5</c:v>
                </c:pt>
                <c:pt idx="21">
                  <c:v>8.244760546205112E-5</c:v>
                </c:pt>
                <c:pt idx="22">
                  <c:v>7.8553715373226346E-5</c:v>
                </c:pt>
                <c:pt idx="23">
                  <c:v>7.4693784239043224E-5</c:v>
                </c:pt>
                <c:pt idx="24">
                  <c:v>7.1038283353640485E-5</c:v>
                </c:pt>
                <c:pt idx="25">
                  <c:v>6.7586316893237223E-5</c:v>
                </c:pt>
                <c:pt idx="26">
                  <c:v>6.4336256867765965E-5</c:v>
                </c:pt>
                <c:pt idx="27">
                  <c:v>6.1285852535576877E-5</c:v>
                </c:pt>
                <c:pt idx="28">
                  <c:v>5.8432333789770318E-5</c:v>
                </c:pt>
                <c:pt idx="29">
                  <c:v>5.5905661519487003E-5</c:v>
                </c:pt>
                <c:pt idx="30">
                  <c:v>5.3642359494413356E-5</c:v>
                </c:pt>
                <c:pt idx="31">
                  <c:v>5.1636422874594985E-5</c:v>
                </c:pt>
                <c:pt idx="32">
                  <c:v>4.9881787546798757E-5</c:v>
                </c:pt>
                <c:pt idx="33">
                  <c:v>4.8372414846182251E-5</c:v>
                </c:pt>
                <c:pt idx="34">
                  <c:v>4.7102367237364308E-5</c:v>
                </c:pt>
                <c:pt idx="35">
                  <c:v>4.6065875665344231E-5</c:v>
                </c:pt>
                <c:pt idx="36">
                  <c:v>4.5254601326782832E-5</c:v>
                </c:pt>
                <c:pt idx="37">
                  <c:v>4.4832400401709571E-5</c:v>
                </c:pt>
                <c:pt idx="38">
                  <c:v>4.4711964063991628E-5</c:v>
                </c:pt>
                <c:pt idx="39">
                  <c:v>4.4888275631974928E-5</c:v>
                </c:pt>
                <c:pt idx="40">
                  <c:v>4.5349524815527024E-5</c:v>
                </c:pt>
                <c:pt idx="41">
                  <c:v>4.6087895750516669E-5</c:v>
                </c:pt>
                <c:pt idx="42">
                  <c:v>4.7095841084239218E-5</c:v>
                </c:pt>
                <c:pt idx="43">
                  <c:v>4.8158089191309098E-5</c:v>
                </c:pt>
                <c:pt idx="44">
                  <c:v>4.915757287191917E-5</c:v>
                </c:pt>
                <c:pt idx="45">
                  <c:v>5.009593891690376E-5</c:v>
                </c:pt>
                <c:pt idx="46">
                  <c:v>5.0974796050751925E-5</c:v>
                </c:pt>
                <c:pt idx="47">
                  <c:v>5.1795722606479503E-5</c:v>
                </c:pt>
                <c:pt idx="48">
                  <c:v>5.2560273849731897E-5</c:v>
                </c:pt>
                <c:pt idx="49">
                  <c:v>5.3269988942020384E-5</c:v>
                </c:pt>
                <c:pt idx="50">
                  <c:v>5.3926184244338758E-5</c:v>
                </c:pt>
                <c:pt idx="51">
                  <c:v>5.4202720277819017E-5</c:v>
                </c:pt>
                <c:pt idx="52">
                  <c:v>5.3957935588254796E-5</c:v>
                </c:pt>
                <c:pt idx="53">
                  <c:v>5.3205410003336562E-5</c:v>
                </c:pt>
                <c:pt idx="54">
                  <c:v>5.1958675476483795E-5</c:v>
                </c:pt>
                <c:pt idx="55">
                  <c:v>5.0230922066061157E-5</c:v>
                </c:pt>
                <c:pt idx="56">
                  <c:v>4.8034973032761719E-5</c:v>
                </c:pt>
                <c:pt idx="57">
                  <c:v>4.5506512604370464E-5</c:v>
                </c:pt>
                <c:pt idx="58">
                  <c:v>4.2835354614729453E-5</c:v>
                </c:pt>
                <c:pt idx="59">
                  <c:v>4.002454845598282E-5</c:v>
                </c:pt>
                <c:pt idx="60">
                  <c:v>3.7076894457874577E-5</c:v>
                </c:pt>
                <c:pt idx="61">
                  <c:v>3.3994934405645259E-5</c:v>
                </c:pt>
                <c:pt idx="62">
                  <c:v>3.0780941779426973E-5</c:v>
                </c:pt>
                <c:pt idx="63">
                  <c:v>2.7436911671446851E-5</c:v>
                </c:pt>
                <c:pt idx="64">
                  <c:v>2.396388605016076E-5</c:v>
                </c:pt>
                <c:pt idx="65">
                  <c:v>2.054102566847967E-5</c:v>
                </c:pt>
                <c:pt idx="66">
                  <c:v>1.7457536525531711E-5</c:v>
                </c:pt>
                <c:pt idx="67">
                  <c:v>1.4704817040194668E-5</c:v>
                </c:pt>
                <c:pt idx="68">
                  <c:v>1.2274387449629297E-5</c:v>
                </c:pt>
                <c:pt idx="69">
                  <c:v>1.0157900730893246E-5</c:v>
                </c:pt>
                <c:pt idx="70">
                  <c:v>8.3471530157943609E-6</c:v>
                </c:pt>
                <c:pt idx="71">
                  <c:v>6.8342878292343941E-6</c:v>
                </c:pt>
                <c:pt idx="72">
                  <c:v>5.5067583951251579E-6</c:v>
                </c:pt>
                <c:pt idx="73">
                  <c:v>4.3609294471760607E-6</c:v>
                </c:pt>
                <c:pt idx="74">
                  <c:v>3.39333652517951E-6</c:v>
                </c:pt>
                <c:pt idx="75">
                  <c:v>2.6006960965298498E-6</c:v>
                </c:pt>
                <c:pt idx="76">
                  <c:v>1.9799156940354613E-6</c:v>
                </c:pt>
                <c:pt idx="77">
                  <c:v>1.528104070656071E-6</c:v>
                </c:pt>
                <c:pt idx="78">
                  <c:v>1.2425115664939053E-6</c:v>
                </c:pt>
                <c:pt idx="79">
                  <c:v>1.1250820006491199E-6</c:v>
                </c:pt>
                <c:pt idx="80">
                  <c:v>1.0122569798002839E-6</c:v>
                </c:pt>
                <c:pt idx="81">
                  <c:v>9.0464088566876297E-7</c:v>
                </c:pt>
                <c:pt idx="82">
                  <c:v>8.0287256531823692E-7</c:v>
                </c:pt>
                <c:pt idx="83">
                  <c:v>7.0762990324232857E-7</c:v>
                </c:pt>
                <c:pt idx="84">
                  <c:v>6.1963481210223861E-7</c:v>
                </c:pt>
                <c:pt idx="85">
                  <c:v>5.4569830203553388E-7</c:v>
                </c:pt>
                <c:pt idx="86">
                  <c:v>4.8250537690087709E-7</c:v>
                </c:pt>
                <c:pt idx="87">
                  <c:v>4.2992403288279117E-7</c:v>
                </c:pt>
                <c:pt idx="88">
                  <c:v>3.8783887573830103E-7</c:v>
                </c:pt>
                <c:pt idx="89">
                  <c:v>3.5615345702843184E-7</c:v>
                </c:pt>
                <c:pt idx="90">
                  <c:v>3.347925429680611E-7</c:v>
                </c:pt>
                <c:pt idx="91">
                  <c:v>3.2370433778250892E-7</c:v>
                </c:pt>
                <c:pt idx="92">
                  <c:v>3.2284580539421484E-7</c:v>
                </c:pt>
                <c:pt idx="93">
                  <c:v>3.4331751795282485E-7</c:v>
                </c:pt>
                <c:pt idx="94">
                  <c:v>3.807060987163949E-7</c:v>
                </c:pt>
                <c:pt idx="95">
                  <c:v>4.3498972815587135E-7</c:v>
                </c:pt>
                <c:pt idx="96">
                  <c:v>5.0618063744514237E-7</c:v>
                </c:pt>
                <c:pt idx="97">
                  <c:v>5.9432576792848782E-7</c:v>
                </c:pt>
                <c:pt idx="98">
                  <c:v>6.9950746251841487E-7</c:v>
                </c:pt>
                <c:pt idx="99">
                  <c:v>8.5635642676587732E-7</c:v>
                </c:pt>
                <c:pt idx="100">
                  <c:v>1.0590249291119009E-6</c:v>
                </c:pt>
                <c:pt idx="101">
                  <c:v>1.3077220831513732E-6</c:v>
                </c:pt>
                <c:pt idx="102">
                  <c:v>1.6027485638493E-6</c:v>
                </c:pt>
                <c:pt idx="103">
                  <c:v>1.9444980470851996E-6</c:v>
                </c:pt>
                <c:pt idx="104">
                  <c:v>2.3334586937173329E-6</c:v>
                </c:pt>
                <c:pt idx="105">
                  <c:v>2.7702146758476557E-6</c:v>
                </c:pt>
                <c:pt idx="106">
                  <c:v>3.2554712657921175E-6</c:v>
                </c:pt>
                <c:pt idx="107">
                  <c:v>3.8481416692324749E-6</c:v>
                </c:pt>
                <c:pt idx="108">
                  <c:v>4.5383052068145593E-6</c:v>
                </c:pt>
                <c:pt idx="109">
                  <c:v>5.3273852084326667E-6</c:v>
                </c:pt>
                <c:pt idx="110">
                  <c:v>6.2170008855256259E-6</c:v>
                </c:pt>
                <c:pt idx="111">
                  <c:v>7.2089577042504353E-6</c:v>
                </c:pt>
                <c:pt idx="112">
                  <c:v>8.3052228861572685E-6</c:v>
                </c:pt>
                <c:pt idx="113">
                  <c:v>9.5989817179197003E-6</c:v>
                </c:pt>
                <c:pt idx="114">
                  <c:v>1.1058093482114739E-5</c:v>
                </c:pt>
                <c:pt idx="115">
                  <c:v>1.2685934178008693E-5</c:v>
                </c:pt>
                <c:pt idx="116">
                  <c:v>1.4486139230677204E-5</c:v>
                </c:pt>
                <c:pt idx="117">
                  <c:v>1.6462595402010196E-5</c:v>
                </c:pt>
                <c:pt idx="118">
                  <c:v>1.8619431860852938E-5</c:v>
                </c:pt>
                <c:pt idx="119">
                  <c:v>2.0961010292365099E-5</c:v>
                </c:pt>
                <c:pt idx="120">
                  <c:v>2.3492308389092096E-5</c:v>
                </c:pt>
                <c:pt idx="121">
                  <c:v>2.6311695501479382E-5</c:v>
                </c:pt>
                <c:pt idx="122">
                  <c:v>2.9364507498717321E-5</c:v>
                </c:pt>
                <c:pt idx="123">
                  <c:v>3.2657705920389156E-5</c:v>
                </c:pt>
                <c:pt idx="124">
                  <c:v>3.6198604129889406E-5</c:v>
                </c:pt>
                <c:pt idx="125">
                  <c:v>3.9994859378241207E-5</c:v>
                </c:pt>
                <c:pt idx="126">
                  <c:v>4.4054463347163909E-5</c:v>
                </c:pt>
                <c:pt idx="127">
                  <c:v>4.8112536958432189E-5</c:v>
                </c:pt>
                <c:pt idx="128">
                  <c:v>5.2071047959192969E-5</c:v>
                </c:pt>
                <c:pt idx="129">
                  <c:v>5.592958644392768E-5</c:v>
                </c:pt>
                <c:pt idx="130">
                  <c:v>5.9687444848065244E-5</c:v>
                </c:pt>
                <c:pt idx="131">
                  <c:v>6.3343618892987633E-5</c:v>
                </c:pt>
                <c:pt idx="132">
                  <c:v>6.689680905806538E-5</c:v>
                </c:pt>
                <c:pt idx="133">
                  <c:v>7.0345422617061726E-5</c:v>
                </c:pt>
                <c:pt idx="134">
                  <c:v>7.3688431541984008E-5</c:v>
                </c:pt>
                <c:pt idx="135">
                  <c:v>7.6508135615993363E-5</c:v>
                </c:pt>
                <c:pt idx="136">
                  <c:v>7.868014911429433E-5</c:v>
                </c:pt>
                <c:pt idx="137">
                  <c:v>8.0183742744219605E-5</c:v>
                </c:pt>
                <c:pt idx="138">
                  <c:v>8.099706586484511E-5</c:v>
                </c:pt>
                <c:pt idx="139">
                  <c:v>8.1097206266133459E-5</c:v>
                </c:pt>
                <c:pt idx="140">
                  <c:v>8.0460256671456847E-5</c:v>
                </c:pt>
                <c:pt idx="141">
                  <c:v>7.9187050833814249E-5</c:v>
                </c:pt>
                <c:pt idx="142">
                  <c:v>7.7566595095983974E-5</c:v>
                </c:pt>
                <c:pt idx="143">
                  <c:v>7.5584453494646458E-5</c:v>
                </c:pt>
                <c:pt idx="144">
                  <c:v>7.3226331307058807E-5</c:v>
                </c:pt>
                <c:pt idx="145">
                  <c:v>7.0477634092775421E-5</c:v>
                </c:pt>
                <c:pt idx="146">
                  <c:v>6.7323514779743727E-5</c:v>
                </c:pt>
                <c:pt idx="147">
                  <c:v>6.3748924199501692E-5</c:v>
                </c:pt>
                <c:pt idx="148">
                  <c:v>5.9738949958095208E-5</c:v>
                </c:pt>
                <c:pt idx="149">
                  <c:v>5.5539159654289441E-5</c:v>
                </c:pt>
                <c:pt idx="150">
                  <c:v>5.1636108021048667E-5</c:v>
                </c:pt>
                <c:pt idx="151">
                  <c:v>4.8040193512064636E-5</c:v>
                </c:pt>
                <c:pt idx="152">
                  <c:v>4.4762095438214002E-5</c:v>
                </c:pt>
                <c:pt idx="153">
                  <c:v>4.1812750280054575E-5</c:v>
                </c:pt>
                <c:pt idx="154">
                  <c:v>3.9203326874317453E-5</c:v>
                </c:pt>
                <c:pt idx="155">
                  <c:v>3.6981598933431419E-5</c:v>
                </c:pt>
                <c:pt idx="156">
                  <c:v>3.5018845371471639E-5</c:v>
                </c:pt>
                <c:pt idx="157">
                  <c:v>3.3324971658216961E-5</c:v>
                </c:pt>
                <c:pt idx="158">
                  <c:v>3.1910033539416766E-5</c:v>
                </c:pt>
                <c:pt idx="159">
                  <c:v>3.0784213430602146E-5</c:v>
                </c:pt>
                <c:pt idx="160">
                  <c:v>2.995779695183926E-5</c:v>
                </c:pt>
                <c:pt idx="161">
                  <c:v>2.9441149902295155E-5</c:v>
                </c:pt>
                <c:pt idx="162">
                  <c:v>2.9245000446467257E-5</c:v>
                </c:pt>
                <c:pt idx="163">
                  <c:v>2.9374460945780165E-5</c:v>
                </c:pt>
                <c:pt idx="164">
                  <c:v>2.9533930245740762E-5</c:v>
                </c:pt>
                <c:pt idx="165">
                  <c:v>2.9724410870936343E-5</c:v>
                </c:pt>
                <c:pt idx="166">
                  <c:v>2.9946917812909357E-5</c:v>
                </c:pt>
                <c:pt idx="167">
                  <c:v>3.0202473735209884E-5</c:v>
                </c:pt>
                <c:pt idx="168">
                  <c:v>3.0492104134653942E-5</c:v>
                </c:pt>
                <c:pt idx="169">
                  <c:v>3.0811178478294955E-5</c:v>
                </c:pt>
                <c:pt idx="170">
                  <c:v>3.1116891104587084E-5</c:v>
                </c:pt>
                <c:pt idx="171">
                  <c:v>3.1408731549144193E-5</c:v>
                </c:pt>
                <c:pt idx="172">
                  <c:v>3.1686202491560257E-5</c:v>
                </c:pt>
                <c:pt idx="173">
                  <c:v>3.1948494485113866E-5</c:v>
                </c:pt>
                <c:pt idx="174">
                  <c:v>3.2194786455698827E-5</c:v>
                </c:pt>
                <c:pt idx="175">
                  <c:v>3.2424588316924054E-5</c:v>
                </c:pt>
                <c:pt idx="176">
                  <c:v>3.2637988730836387E-5</c:v>
                </c:pt>
                <c:pt idx="177">
                  <c:v>3.2882255089423239E-5</c:v>
                </c:pt>
                <c:pt idx="178">
                  <c:v>3.3164383913819222E-5</c:v>
                </c:pt>
                <c:pt idx="179">
                  <c:v>3.3485555037231483E-5</c:v>
                </c:pt>
                <c:pt idx="180">
                  <c:v>3.3846927209039942E-5</c:v>
                </c:pt>
                <c:pt idx="181">
                  <c:v>3.4249636833978289E-5</c:v>
                </c:pt>
                <c:pt idx="182">
                  <c:v>3.4694797030844946E-5</c:v>
                </c:pt>
                <c:pt idx="183">
                  <c:v>3.5542374284684347E-5</c:v>
                </c:pt>
                <c:pt idx="184">
                  <c:v>3.6806517166650291E-5</c:v>
                </c:pt>
                <c:pt idx="185">
                  <c:v>3.8495161425612294E-5</c:v>
                </c:pt>
                <c:pt idx="186">
                  <c:v>4.0615954540394281E-5</c:v>
                </c:pt>
                <c:pt idx="187">
                  <c:v>4.3176265686396103E-5</c:v>
                </c:pt>
                <c:pt idx="188">
                  <c:v>4.6183198116397367E-5</c:v>
                </c:pt>
                <c:pt idx="189">
                  <c:v>4.9643603735929718E-5</c:v>
                </c:pt>
                <c:pt idx="190">
                  <c:v>5.3564302653948192E-5</c:v>
                </c:pt>
                <c:pt idx="191">
                  <c:v>5.8125738348582696E-5</c:v>
                </c:pt>
                <c:pt idx="192">
                  <c:v>6.328322907934986E-5</c:v>
                </c:pt>
                <c:pt idx="193">
                  <c:v>6.9043654146238312E-5</c:v>
                </c:pt>
                <c:pt idx="194">
                  <c:v>7.5413689007084234E-5</c:v>
                </c:pt>
                <c:pt idx="195">
                  <c:v>8.2399822894194363E-5</c:v>
                </c:pt>
                <c:pt idx="196">
                  <c:v>9.0008376359336406E-5</c:v>
                </c:pt>
                <c:pt idx="197">
                  <c:v>9.7512803590056975E-5</c:v>
                </c:pt>
                <c:pt idx="198">
                  <c:v>1.0451815037919345E-4</c:v>
                </c:pt>
                <c:pt idx="199">
                  <c:v>1.1101446581663855E-4</c:v>
                </c:pt>
                <c:pt idx="200">
                  <c:v>1.169921525885705E-4</c:v>
                </c:pt>
                <c:pt idx="201">
                  <c:v>1.2244194680494737E-4</c:v>
                </c:pt>
                <c:pt idx="202">
                  <c:v>1.2735489716309781E-4</c:v>
                </c:pt>
                <c:pt idx="203">
                  <c:v>1.3172234382091927E-4</c:v>
                </c:pt>
                <c:pt idx="204">
                  <c:v>1.3553628808633938E-4</c:v>
                </c:pt>
                <c:pt idx="205">
                  <c:v>1.3830303022800455E-4</c:v>
                </c:pt>
                <c:pt idx="206">
                  <c:v>1.3982673890650427E-4</c:v>
                </c:pt>
                <c:pt idx="207">
                  <c:v>1.4009295900929746E-4</c:v>
                </c:pt>
                <c:pt idx="208">
                  <c:v>1.3908748152976206E-4</c:v>
                </c:pt>
                <c:pt idx="209">
                  <c:v>1.3679630255786454E-4</c:v>
                </c:pt>
                <c:pt idx="210">
                  <c:v>1.3320558522552433E-4</c:v>
                </c:pt>
                <c:pt idx="211">
                  <c:v>1.2851513522074316E-4</c:v>
                </c:pt>
                <c:pt idx="212">
                  <c:v>1.2349582315439889E-4</c:v>
                </c:pt>
                <c:pt idx="213">
                  <c:v>1.1814589576029054E-4</c:v>
                </c:pt>
                <c:pt idx="214">
                  <c:v>1.1246351744493693E-4</c:v>
                </c:pt>
                <c:pt idx="215">
                  <c:v>1.0644677007888451E-4</c:v>
                </c:pt>
                <c:pt idx="216">
                  <c:v>1.000936537036199E-4</c:v>
                </c:pt>
                <c:pt idx="217">
                  <c:v>9.3402088062357426E-5</c:v>
                </c:pt>
                <c:pt idx="218">
                  <c:v>8.6369566601219257E-5</c:v>
                </c:pt>
                <c:pt idx="219">
                  <c:v>7.9185746440064755E-5</c:v>
                </c:pt>
                <c:pt idx="220">
                  <c:v>7.2362573153641988E-5</c:v>
                </c:pt>
                <c:pt idx="221">
                  <c:v>6.5904987324239711E-5</c:v>
                </c:pt>
                <c:pt idx="222">
                  <c:v>5.9817816919950035E-5</c:v>
                </c:pt>
                <c:pt idx="223">
                  <c:v>5.4105792446999389E-5</c:v>
                </c:pt>
                <c:pt idx="224">
                  <c:v>4.8773561326997554E-5</c:v>
                </c:pt>
                <c:pt idx="225">
                  <c:v>4.3953975806156057E-5</c:v>
                </c:pt>
                <c:pt idx="226">
                  <c:v>3.9426401311730509E-5</c:v>
                </c:pt>
                <c:pt idx="227">
                  <c:v>3.5194102789431293E-5</c:v>
                </c:pt>
                <c:pt idx="228">
                  <c:v>3.1260320991053164E-5</c:v>
                </c:pt>
                <c:pt idx="229">
                  <c:v>2.7628280888409212E-5</c:v>
                </c:pt>
                <c:pt idx="230">
                  <c:v>2.4301199725189231E-5</c:v>
                </c:pt>
                <c:pt idx="231">
                  <c:v>2.128229476156397E-5</c:v>
                </c:pt>
                <c:pt idx="232">
                  <c:v>1.8574076911097603E-5</c:v>
                </c:pt>
                <c:pt idx="233">
                  <c:v>1.6257353562884049E-5</c:v>
                </c:pt>
                <c:pt idx="234">
                  <c:v>1.4134747127524617E-5</c:v>
                </c:pt>
                <c:pt idx="235">
                  <c:v>1.2208701262498527E-5</c:v>
                </c:pt>
                <c:pt idx="236">
                  <c:v>1.0481517343999885E-5</c:v>
                </c:pt>
                <c:pt idx="237">
                  <c:v>8.9553733492602344E-6</c:v>
                </c:pt>
                <c:pt idx="238">
                  <c:v>7.6323647770337869E-6</c:v>
                </c:pt>
                <c:pt idx="239">
                  <c:v>6.5426786924380129E-6</c:v>
                </c:pt>
                <c:pt idx="240">
                  <c:v>5.5538207877917456E-6</c:v>
                </c:pt>
                <c:pt idx="241">
                  <c:v>4.6667567231475665E-6</c:v>
                </c:pt>
                <c:pt idx="242">
                  <c:v>3.8824406507731185E-6</c:v>
                </c:pt>
                <c:pt idx="243">
                  <c:v>3.2018322179149331E-6</c:v>
                </c:pt>
                <c:pt idx="244">
                  <c:v>2.6259141644716939E-6</c:v>
                </c:pt>
                <c:pt idx="245">
                  <c:v>2.1557105836552286E-6</c:v>
                </c:pt>
                <c:pt idx="246">
                  <c:v>1.7922645442279947E-6</c:v>
                </c:pt>
                <c:pt idx="247">
                  <c:v>1.557574293039787E-6</c:v>
                </c:pt>
                <c:pt idx="248">
                  <c:v>1.3711758808830954E-6</c:v>
                </c:pt>
                <c:pt idx="249">
                  <c:v>1.2336418780380595E-6</c:v>
                </c:pt>
                <c:pt idx="250">
                  <c:v>1.145581486585267E-6</c:v>
                </c:pt>
                <c:pt idx="251">
                  <c:v>1.1076376091213652E-6</c:v>
                </c:pt>
                <c:pt idx="252">
                  <c:v>1.1204837027126116E-6</c:v>
                </c:pt>
                <c:pt idx="253">
                  <c:v>1.2070438132980731E-6</c:v>
                </c:pt>
                <c:pt idx="254">
                  <c:v>1.3384439566223839E-6</c:v>
                </c:pt>
                <c:pt idx="255">
                  <c:v>1.5153408283081631E-6</c:v>
                </c:pt>
                <c:pt idx="256">
                  <c:v>1.7384019947772311E-6</c:v>
                </c:pt>
                <c:pt idx="257">
                  <c:v>2.0083019596102533E-6</c:v>
                </c:pt>
                <c:pt idx="258">
                  <c:v>2.3257179132401661E-6</c:v>
                </c:pt>
                <c:pt idx="259">
                  <c:v>2.6913251520991454E-6</c:v>
                </c:pt>
                <c:pt idx="260">
                  <c:v>3.1059789411417537E-6</c:v>
                </c:pt>
                <c:pt idx="261">
                  <c:v>3.878003828843383E-6</c:v>
                </c:pt>
                <c:pt idx="262">
                  <c:v>4.990803167984624E-6</c:v>
                </c:pt>
                <c:pt idx="263">
                  <c:v>6.4500244923978264E-6</c:v>
                </c:pt>
                <c:pt idx="264">
                  <c:v>8.2613941143793605E-6</c:v>
                </c:pt>
                <c:pt idx="265">
                  <c:v>1.0430711218077236E-5</c:v>
                </c:pt>
                <c:pt idx="266">
                  <c:v>1.296374579692184E-5</c:v>
                </c:pt>
                <c:pt idx="267">
                  <c:v>1.6240693131756181E-5</c:v>
                </c:pt>
                <c:pt idx="268">
                  <c:v>2.0248786847743638E-5</c:v>
                </c:pt>
                <c:pt idx="269">
                  <c:v>2.4998586170374612E-5</c:v>
                </c:pt>
                <c:pt idx="270">
                  <c:v>3.0500161598708003E-5</c:v>
                </c:pt>
                <c:pt idx="271">
                  <c:v>3.6762911301503292E-5</c:v>
                </c:pt>
                <c:pt idx="272">
                  <c:v>4.3795367478701938E-5</c:v>
                </c:pt>
                <c:pt idx="273">
                  <c:v>5.1604993172530222E-5</c:v>
                </c:pt>
                <c:pt idx="274">
                  <c:v>6.0200897668412401E-5</c:v>
                </c:pt>
                <c:pt idx="275">
                  <c:v>6.917766190172762E-5</c:v>
                </c:pt>
                <c:pt idx="276">
                  <c:v>7.8204568706526288E-5</c:v>
                </c:pt>
                <c:pt idx="277">
                  <c:v>8.7278901561516469E-5</c:v>
                </c:pt>
                <c:pt idx="278">
                  <c:v>9.6397871827142833E-5</c:v>
                </c:pt>
                <c:pt idx="279">
                  <c:v>1.055586294786202E-4</c:v>
                </c:pt>
                <c:pt idx="280">
                  <c:v>1.1475827565599746E-4</c:v>
                </c:pt>
                <c:pt idx="281">
                  <c:v>1.2330106539423558E-4</c:v>
                </c:pt>
                <c:pt idx="282">
                  <c:v>1.3077452288630094E-4</c:v>
                </c:pt>
                <c:pt idx="283">
                  <c:v>1.3716302788941627E-4</c:v>
                </c:pt>
                <c:pt idx="284">
                  <c:v>1.4245148852976813E-4</c:v>
                </c:pt>
                <c:pt idx="285">
                  <c:v>1.4662537629255861E-4</c:v>
                </c:pt>
                <c:pt idx="286">
                  <c:v>1.4967075506982003E-4</c:v>
                </c:pt>
                <c:pt idx="287">
                  <c:v>1.5157430342863253E-4</c:v>
                </c:pt>
                <c:pt idx="288">
                  <c:v>1.5232691393223256E-4</c:v>
                </c:pt>
                <c:pt idx="289">
                  <c:v>1.5192806785782235E-4</c:v>
                </c:pt>
                <c:pt idx="290">
                  <c:v>1.5080774490983039E-4</c:v>
                </c:pt>
                <c:pt idx="291">
                  <c:v>1.4895805191726379E-4</c:v>
                </c:pt>
                <c:pt idx="292">
                  <c:v>1.4637138575814164E-4</c:v>
                </c:pt>
                <c:pt idx="293">
                  <c:v>1.4304049265717126E-4</c:v>
                </c:pt>
                <c:pt idx="294">
                  <c:v>1.3895852622879153E-4</c:v>
                </c:pt>
                <c:pt idx="295">
                  <c:v>1.3447028400928455E-4</c:v>
                </c:pt>
                <c:pt idx="296">
                  <c:v>1.3030377818896597E-4</c:v>
                </c:pt>
                <c:pt idx="297">
                  <c:v>1.2646348126621172E-4</c:v>
                </c:pt>
                <c:pt idx="298">
                  <c:v>1.2295267194034824E-4</c:v>
                </c:pt>
                <c:pt idx="299">
                  <c:v>1.1977455642386764E-4</c:v>
                </c:pt>
                <c:pt idx="300">
                  <c:v>1.1693224010249751E-4</c:v>
                </c:pt>
                <c:pt idx="301">
                  <c:v>1.1442869944893044E-4</c:v>
                </c:pt>
                <c:pt idx="302">
                  <c:v>1.1227319383215561E-4</c:v>
                </c:pt>
                <c:pt idx="303">
                  <c:v>1.1068328760896839E-4</c:v>
                </c:pt>
                <c:pt idx="304">
                  <c:v>1.0965266180673191E-4</c:v>
                </c:pt>
                <c:pt idx="305">
                  <c:v>1.0918487855831407E-4</c:v>
                </c:pt>
                <c:pt idx="306">
                  <c:v>1.0928347355278769E-4</c:v>
                </c:pt>
                <c:pt idx="307">
                  <c:v>1.0995193248438579E-4</c:v>
                </c:pt>
                <c:pt idx="308">
                  <c:v>1.1119366643317011E-4</c:v>
                </c:pt>
                <c:pt idx="309">
                  <c:v>1.131883663351072E-4</c:v>
                </c:pt>
                <c:pt idx="310">
                  <c:v>1.1557630645359223E-4</c:v>
                </c:pt>
                <c:pt idx="311">
                  <c:v>1.1835930283717755E-4</c:v>
                </c:pt>
                <c:pt idx="312">
                  <c:v>1.2153901237430064E-4</c:v>
                </c:pt>
                <c:pt idx="313">
                  <c:v>1.2511690229619554E-4</c:v>
                </c:pt>
                <c:pt idx="314">
                  <c:v>1.2909421606876559E-4</c:v>
                </c:pt>
                <c:pt idx="315">
                  <c:v>1.3347193520252371E-4</c:v>
                </c:pt>
                <c:pt idx="316">
                  <c:v>1.3825660766066738E-4</c:v>
                </c:pt>
                <c:pt idx="317">
                  <c:v>1.4352848602105072E-4</c:v>
                </c:pt>
                <c:pt idx="318">
                  <c:v>1.4907616556284408E-4</c:v>
                </c:pt>
                <c:pt idx="319">
                  <c:v>1.5490242509507088E-4</c:v>
                </c:pt>
                <c:pt idx="320">
                  <c:v>1.6101014383543575E-4</c:v>
                </c:pt>
                <c:pt idx="321">
                  <c:v>1.6740229050009344E-4</c:v>
                </c:pt>
                <c:pt idx="322">
                  <c:v>1.7408190855186791E-4</c:v>
                </c:pt>
                <c:pt idx="323">
                  <c:v>1.8074108795427532E-4</c:v>
                </c:pt>
                <c:pt idx="324">
                  <c:v>1.871990236347914E-4</c:v>
                </c:pt>
                <c:pt idx="325">
                  <c:v>1.9345543106223428E-4</c:v>
                </c:pt>
                <c:pt idx="326">
                  <c:v>1.9950858446710187E-4</c:v>
                </c:pt>
                <c:pt idx="327">
                  <c:v>2.0535722879760486E-4</c:v>
                </c:pt>
                <c:pt idx="328">
                  <c:v>2.110008828085122E-4</c:v>
                </c:pt>
                <c:pt idx="329">
                  <c:v>2.1643884202810073E-4</c:v>
                </c:pt>
                <c:pt idx="330">
                  <c:v>2.2169868512836262E-4</c:v>
                </c:pt>
                <c:pt idx="331">
                  <c:v>2.2653343826105571E-4</c:v>
                </c:pt>
                <c:pt idx="332">
                  <c:v>2.3085699942163195E-4</c:v>
                </c:pt>
                <c:pt idx="333">
                  <c:v>2.3465487081407842E-4</c:v>
                </c:pt>
                <c:pt idx="334">
                  <c:v>2.3791049716890761E-4</c:v>
                </c:pt>
                <c:pt idx="335">
                  <c:v>2.4060549472791889E-4</c:v>
                </c:pt>
                <c:pt idx="336">
                  <c:v>2.4271992333717868E-4</c:v>
                </c:pt>
                <c:pt idx="337">
                  <c:v>2.4433948098677471E-4</c:v>
                </c:pt>
                <c:pt idx="338">
                  <c:v>2.4576782950008394E-4</c:v>
                </c:pt>
                <c:pt idx="339">
                  <c:v>2.469864491956499E-4</c:v>
                </c:pt>
                <c:pt idx="340">
                  <c:v>2.4797618229045098E-4</c:v>
                </c:pt>
                <c:pt idx="341">
                  <c:v>2.4871744808279008E-4</c:v>
                </c:pt>
                <c:pt idx="342">
                  <c:v>2.4919049484767574E-4</c:v>
                </c:pt>
                <c:pt idx="343">
                  <c:v>2.4937568736181816E-4</c:v>
                </c:pt>
                <c:pt idx="344">
                  <c:v>2.4929701266901216E-4</c:v>
                </c:pt>
                <c:pt idx="345">
                  <c:v>2.4898782298607598E-4</c:v>
                </c:pt>
                <c:pt idx="346">
                  <c:v>2.4871813118653368E-4</c:v>
                </c:pt>
                <c:pt idx="347">
                  <c:v>2.4848362013924218E-4</c:v>
                </c:pt>
                <c:pt idx="348">
                  <c:v>2.4827991970209813E-4</c:v>
                </c:pt>
                <c:pt idx="349">
                  <c:v>2.4810263002286015E-4</c:v>
                </c:pt>
                <c:pt idx="350">
                  <c:v>2.4794734594763912E-4</c:v>
                </c:pt>
                <c:pt idx="351">
                  <c:v>2.4780410381013043E-4</c:v>
                </c:pt>
                <c:pt idx="352">
                  <c:v>2.4755987588424659E-4</c:v>
                </c:pt>
                <c:pt idx="353">
                  <c:v>2.4721091213185056E-4</c:v>
                </c:pt>
                <c:pt idx="354">
                  <c:v>2.4675382733994655E-4</c:v>
                </c:pt>
                <c:pt idx="355">
                  <c:v>2.4618564039733277E-4</c:v>
                </c:pt>
                <c:pt idx="356">
                  <c:v>2.455024980881478E-4</c:v>
                </c:pt>
                <c:pt idx="357">
                  <c:v>2.4470333552263868E-4</c:v>
                </c:pt>
                <c:pt idx="358">
                  <c:v>2.4376376655339276E-4</c:v>
                </c:pt>
                <c:pt idx="359">
                  <c:v>2.4267029609270968E-4</c:v>
                </c:pt>
                <c:pt idx="360">
                  <c:v>2.4154274212356974E-4</c:v>
                </c:pt>
                <c:pt idx="361">
                  <c:v>2.403987366028482E-4</c:v>
                </c:pt>
                <c:pt idx="362">
                  <c:v>2.3925017361720919E-4</c:v>
                </c:pt>
                <c:pt idx="363">
                  <c:v>2.3810862490591399E-4</c:v>
                </c:pt>
                <c:pt idx="364">
                  <c:v>2.3698528374981384E-4</c:v>
                </c:pt>
                <c:pt idx="365">
                  <c:v>2.3589092378278773E-4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949600"/>
        <c:axId val="358949208"/>
      </c:lineChart>
      <c:dateAx>
        <c:axId val="3589496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9208"/>
        <c:crosses val="autoZero"/>
        <c:auto val="1"/>
        <c:lblOffset val="100"/>
        <c:baseTimeUnit val="days"/>
        <c:majorUnit val="1"/>
        <c:majorTimeUnit val="months"/>
      </c:dateAx>
      <c:valAx>
        <c:axId val="3589492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9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24.740384975158225</c:v>
                </c:pt>
                <c:pt idx="1">
                  <c:v>24.915577429346705</c:v>
                </c:pt>
                <c:pt idx="2">
                  <c:v>25.098268284208636</c:v>
                </c:pt>
                <c:pt idx="3">
                  <c:v>25.287280839160026</c:v>
                </c:pt>
                <c:pt idx="4">
                  <c:v>25.481438650005028</c:v>
                </c:pt>
                <c:pt idx="5">
                  <c:v>25.679565539234083</c:v>
                </c:pt>
                <c:pt idx="6">
                  <c:v>25.880485589205399</c:v>
                </c:pt>
                <c:pt idx="7">
                  <c:v>26.083023150543731</c:v>
                </c:pt>
                <c:pt idx="8">
                  <c:v>26.289626355607421</c:v>
                </c:pt>
                <c:pt idx="9">
                  <c:v>26.503380497405026</c:v>
                </c:pt>
                <c:pt idx="10">
                  <c:v>26.724059748057957</c:v>
                </c:pt>
                <c:pt idx="11">
                  <c:v>26.951436913394311</c:v>
                </c:pt>
                <c:pt idx="12">
                  <c:v>27.185284834073737</c:v>
                </c:pt>
                <c:pt idx="13">
                  <c:v>27.425376396402466</c:v>
                </c:pt>
                <c:pt idx="14">
                  <c:v>27.671484525655078</c:v>
                </c:pt>
                <c:pt idx="15">
                  <c:v>27.923380382347741</c:v>
                </c:pt>
                <c:pt idx="16">
                  <c:v>28.180832929132769</c:v>
                </c:pt>
                <c:pt idx="17">
                  <c:v>28.443615223865731</c:v>
                </c:pt>
                <c:pt idx="18">
                  <c:v>28.71150037642299</c:v>
                </c:pt>
                <c:pt idx="19">
                  <c:v>28.984261527599994</c:v>
                </c:pt>
                <c:pt idx="20">
                  <c:v>29.26167186423562</c:v>
                </c:pt>
                <c:pt idx="21">
                  <c:v>29.543504642991813</c:v>
                </c:pt>
                <c:pt idx="22">
                  <c:v>29.832326564557725</c:v>
                </c:pt>
                <c:pt idx="23">
                  <c:v>30.13016585123512</c:v>
                </c:pt>
                <c:pt idx="24">
                  <c:v>30.435987237502811</c:v>
                </c:pt>
                <c:pt idx="25">
                  <c:v>30.748760746004304</c:v>
                </c:pt>
                <c:pt idx="26">
                  <c:v>31.0674566586253</c:v>
                </c:pt>
                <c:pt idx="27">
                  <c:v>31.39104550464004</c:v>
                </c:pt>
                <c:pt idx="28">
                  <c:v>31.718498075133603</c:v>
                </c:pt>
                <c:pt idx="29">
                  <c:v>32.048781146737632</c:v>
                </c:pt>
                <c:pt idx="30">
                  <c:v>32.380867829845855</c:v>
                </c:pt>
                <c:pt idx="31">
                  <c:v>32.713729686853178</c:v>
                </c:pt>
                <c:pt idx="32">
                  <c:v>33.046338536802224</c:v>
                </c:pt>
                <c:pt idx="33">
                  <c:v>33.377666458585338</c:v>
                </c:pt>
                <c:pt idx="34">
                  <c:v>33.706685789867173</c:v>
                </c:pt>
                <c:pt idx="35">
                  <c:v>34.032369128132466</c:v>
                </c:pt>
                <c:pt idx="36">
                  <c:v>34.35581347917941</c:v>
                </c:pt>
                <c:pt idx="37">
                  <c:v>34.678931808798566</c:v>
                </c:pt>
                <c:pt idx="38">
                  <c:v>35.001932476736144</c:v>
                </c:pt>
                <c:pt idx="39">
                  <c:v>35.325021009903857</c:v>
                </c:pt>
                <c:pt idx="40">
                  <c:v>35.648403143354358</c:v>
                </c:pt>
                <c:pt idx="41">
                  <c:v>35.972284441967524</c:v>
                </c:pt>
                <c:pt idx="42">
                  <c:v>36.29687042661773</c:v>
                </c:pt>
                <c:pt idx="43">
                  <c:v>36.622374189847633</c:v>
                </c:pt>
                <c:pt idx="44">
                  <c:v>36.949005428256143</c:v>
                </c:pt>
                <c:pt idx="45">
                  <c:v>37.276969517566599</c:v>
                </c:pt>
                <c:pt idx="46">
                  <c:v>37.60647178241252</c:v>
                </c:pt>
                <c:pt idx="47">
                  <c:v>37.937717495603067</c:v>
                </c:pt>
                <c:pt idx="48">
                  <c:v>38.270911874412285</c:v>
                </c:pt>
                <c:pt idx="49">
                  <c:v>38.606260078588278</c:v>
                </c:pt>
                <c:pt idx="50">
                  <c:v>38.944121251708587</c:v>
                </c:pt>
                <c:pt idx="51">
                  <c:v>39.284525025184109</c:v>
                </c:pt>
                <c:pt idx="52">
                  <c:v>39.627169004338832</c:v>
                </c:pt>
                <c:pt idx="53">
                  <c:v>39.971744847840448</c:v>
                </c:pt>
                <c:pt idx="54">
                  <c:v>40.317944258333732</c:v>
                </c:pt>
                <c:pt idx="55">
                  <c:v>40.665458991023051</c:v>
                </c:pt>
                <c:pt idx="56">
                  <c:v>41.013980849928245</c:v>
                </c:pt>
                <c:pt idx="57">
                  <c:v>41.363196588368915</c:v>
                </c:pt>
                <c:pt idx="58">
                  <c:v>41.712790558390694</c:v>
                </c:pt>
                <c:pt idx="59">
                  <c:v>42.062454744019981</c:v>
                </c:pt>
                <c:pt idx="60">
                  <c:v>42.411881175439746</c:v>
                </c:pt>
                <c:pt idx="61">
                  <c:v>42.7607619275799</c:v>
                </c:pt>
                <c:pt idx="62">
                  <c:v>43.108789119302948</c:v>
                </c:pt>
                <c:pt idx="63">
                  <c:v>43.455654912242146</c:v>
                </c:pt>
                <c:pt idx="64">
                  <c:v>43.802265726066139</c:v>
                </c:pt>
                <c:pt idx="65">
                  <c:v>44.149588277180023</c:v>
                </c:pt>
                <c:pt idx="66">
                  <c:v>44.49740402995841</c:v>
                </c:pt>
                <c:pt idx="67">
                  <c:v>44.845507410572232</c:v>
                </c:pt>
                <c:pt idx="68">
                  <c:v>45.193692859847729</c:v>
                </c:pt>
                <c:pt idx="69">
                  <c:v>45.541754833437651</c:v>
                </c:pt>
                <c:pt idx="70">
                  <c:v>45.889487801978028</c:v>
                </c:pt>
                <c:pt idx="71">
                  <c:v>46.236686242175338</c:v>
                </c:pt>
                <c:pt idx="72">
                  <c:v>46.583149530519727</c:v>
                </c:pt>
                <c:pt idx="73">
                  <c:v>46.928672101782503</c:v>
                </c:pt>
                <c:pt idx="74">
                  <c:v>47.27304840202072</c:v>
                </c:pt>
                <c:pt idx="75">
                  <c:v>47.616072888824746</c:v>
                </c:pt>
                <c:pt idx="76">
                  <c:v>47.957540033476853</c:v>
                </c:pt>
                <c:pt idx="77">
                  <c:v>48.297244320378013</c:v>
                </c:pt>
                <c:pt idx="78">
                  <c:v>48.637714232946436</c:v>
                </c:pt>
                <c:pt idx="79">
                  <c:v>48.980930631144865</c:v>
                </c:pt>
                <c:pt idx="80">
                  <c:v>49.325875015884144</c:v>
                </c:pt>
                <c:pt idx="81">
                  <c:v>49.671521177103003</c:v>
                </c:pt>
                <c:pt idx="82">
                  <c:v>50.016843125868711</c:v>
                </c:pt>
                <c:pt idx="83">
                  <c:v>50.360815094661191</c:v>
                </c:pt>
                <c:pt idx="84">
                  <c:v>50.702411543040107</c:v>
                </c:pt>
                <c:pt idx="85">
                  <c:v>51.04060685270877</c:v>
                </c:pt>
                <c:pt idx="86">
                  <c:v>51.37437615313705</c:v>
                </c:pt>
                <c:pt idx="87">
                  <c:v>51.70269465651662</c:v>
                </c:pt>
                <c:pt idx="88">
                  <c:v>52.02453782329917</c:v>
                </c:pt>
                <c:pt idx="89">
                  <c:v>52.338881362518272</c:v>
                </c:pt>
                <c:pt idx="90">
                  <c:v>52.644701240270628</c:v>
                </c:pt>
                <c:pt idx="91">
                  <c:v>52.940973688612665</c:v>
                </c:pt>
                <c:pt idx="92">
                  <c:v>53.227194489699656</c:v>
                </c:pt>
                <c:pt idx="93">
                  <c:v>53.507977172326392</c:v>
                </c:pt>
                <c:pt idx="94">
                  <c:v>53.783220288826527</c:v>
                </c:pt>
                <c:pt idx="95">
                  <c:v>54.052822209775577</c:v>
                </c:pt>
                <c:pt idx="96">
                  <c:v>54.316681355853348</c:v>
                </c:pt>
                <c:pt idx="97">
                  <c:v>54.574696206827127</c:v>
                </c:pt>
                <c:pt idx="98">
                  <c:v>54.826765295645394</c:v>
                </c:pt>
                <c:pt idx="99">
                  <c:v>55.072785319849181</c:v>
                </c:pt>
                <c:pt idx="100">
                  <c:v>55.312655245042372</c:v>
                </c:pt>
                <c:pt idx="101">
                  <c:v>55.546273777381415</c:v>
                </c:pt>
                <c:pt idx="102">
                  <c:v>55.773539689713729</c:v>
                </c:pt>
                <c:pt idx="103">
                  <c:v>55.994351824890579</c:v>
                </c:pt>
                <c:pt idx="104">
                  <c:v>56.208609099960078</c:v>
                </c:pt>
                <c:pt idx="105">
                  <c:v>56.416210509114769</c:v>
                </c:pt>
                <c:pt idx="106">
                  <c:v>56.616646019146181</c:v>
                </c:pt>
                <c:pt idx="107">
                  <c:v>56.809675266915974</c:v>
                </c:pt>
                <c:pt idx="108">
                  <c:v>56.995607276568926</c:v>
                </c:pt>
                <c:pt idx="109">
                  <c:v>57.174750345508706</c:v>
                </c:pt>
                <c:pt idx="110">
                  <c:v>57.347412676063691</c:v>
                </c:pt>
                <c:pt idx="111">
                  <c:v>57.513902378378909</c:v>
                </c:pt>
                <c:pt idx="112">
                  <c:v>57.674527467754494</c:v>
                </c:pt>
                <c:pt idx="113">
                  <c:v>57.829590608785892</c:v>
                </c:pt>
                <c:pt idx="114">
                  <c:v>57.979401594004706</c:v>
                </c:pt>
                <c:pt idx="115">
                  <c:v>58.124268100129164</c:v>
                </c:pt>
                <c:pt idx="116">
                  <c:v>58.2644977122631</c:v>
                </c:pt>
                <c:pt idx="117">
                  <c:v>58.40039792743427</c:v>
                </c:pt>
                <c:pt idx="118">
                  <c:v>58.532276156127594</c:v>
                </c:pt>
                <c:pt idx="119">
                  <c:v>58.660439722516344</c:v>
                </c:pt>
                <c:pt idx="120">
                  <c:v>58.784208773081005</c:v>
                </c:pt>
                <c:pt idx="121">
                  <c:v>58.902762233466078</c:v>
                </c:pt>
                <c:pt idx="122">
                  <c:v>59.016207270055098</c:v>
                </c:pt>
                <c:pt idx="123">
                  <c:v>59.124647474666993</c:v>
                </c:pt>
                <c:pt idx="124">
                  <c:v>59.228186460399655</c:v>
                </c:pt>
                <c:pt idx="125">
                  <c:v>59.32692786554508</c:v>
                </c:pt>
                <c:pt idx="126">
                  <c:v>59.420975351451304</c:v>
                </c:pt>
                <c:pt idx="127">
                  <c:v>59.510448866299015</c:v>
                </c:pt>
                <c:pt idx="128">
                  <c:v>59.595458557034618</c:v>
                </c:pt>
                <c:pt idx="129">
                  <c:v>59.676108820954106</c:v>
                </c:pt>
                <c:pt idx="130">
                  <c:v>59.752504109959553</c:v>
                </c:pt>
                <c:pt idx="131">
                  <c:v>59.824748941828346</c:v>
                </c:pt>
                <c:pt idx="132">
                  <c:v>59.892947889244276</c:v>
                </c:pt>
                <c:pt idx="133">
                  <c:v>59.957205586559624</c:v>
                </c:pt>
                <c:pt idx="134">
                  <c:v>60.016930130796126</c:v>
                </c:pt>
                <c:pt idx="135">
                  <c:v>60.07162299639117</c:v>
                </c:pt>
                <c:pt idx="136">
                  <c:v>60.121498787133277</c:v>
                </c:pt>
                <c:pt idx="137">
                  <c:v>60.166765861742405</c:v>
                </c:pt>
                <c:pt idx="138">
                  <c:v>60.207632617711575</c:v>
                </c:pt>
                <c:pt idx="139">
                  <c:v>60.244307476764583</c:v>
                </c:pt>
                <c:pt idx="140">
                  <c:v>60.276998882682825</c:v>
                </c:pt>
                <c:pt idx="141">
                  <c:v>60.305907710765077</c:v>
                </c:pt>
                <c:pt idx="142">
                  <c:v>60.331223420449859</c:v>
                </c:pt>
                <c:pt idx="143">
                  <c:v>60.353153707661853</c:v>
                </c:pt>
                <c:pt idx="144">
                  <c:v>60.371906205865692</c:v>
                </c:pt>
                <c:pt idx="145">
                  <c:v>60.387688509190639</c:v>
                </c:pt>
                <c:pt idx="146">
                  <c:v>60.400708161201017</c:v>
                </c:pt>
                <c:pt idx="147">
                  <c:v>60.411172644748021</c:v>
                </c:pt>
                <c:pt idx="148">
                  <c:v>60.419001050205729</c:v>
                </c:pt>
                <c:pt idx="149">
                  <c:v>60.423893294313778</c:v>
                </c:pt>
                <c:pt idx="150">
                  <c:v>60.42572137871764</c:v>
                </c:pt>
                <c:pt idx="151">
                  <c:v>60.424386128520858</c:v>
                </c:pt>
                <c:pt idx="152">
                  <c:v>60.419788400623318</c:v>
                </c:pt>
                <c:pt idx="153">
                  <c:v>60.411829075468688</c:v>
                </c:pt>
                <c:pt idx="154">
                  <c:v>60.400409052755698</c:v>
                </c:pt>
                <c:pt idx="155">
                  <c:v>60.385427042643066</c:v>
                </c:pt>
                <c:pt idx="156">
                  <c:v>60.36679242782251</c:v>
                </c:pt>
                <c:pt idx="157">
                  <c:v>60.344406220735479</c:v>
                </c:pt>
                <c:pt idx="158">
                  <c:v>60.318169419567333</c:v>
                </c:pt>
                <c:pt idx="159">
                  <c:v>60.287983000813725</c:v>
                </c:pt>
                <c:pt idx="160">
                  <c:v>60.253747912900543</c:v>
                </c:pt>
                <c:pt idx="161">
                  <c:v>60.215365075132702</c:v>
                </c:pt>
                <c:pt idx="162">
                  <c:v>60.172108921316322</c:v>
                </c:pt>
                <c:pt idx="163">
                  <c:v>60.123593050119148</c:v>
                </c:pt>
                <c:pt idx="164">
                  <c:v>60.070244748133675</c:v>
                </c:pt>
                <c:pt idx="165">
                  <c:v>60.012473126433605</c:v>
                </c:pt>
                <c:pt idx="166">
                  <c:v>59.950686980931764</c:v>
                </c:pt>
                <c:pt idx="167">
                  <c:v>59.885294789505494</c:v>
                </c:pt>
                <c:pt idx="168">
                  <c:v>59.816704712007805</c:v>
                </c:pt>
                <c:pt idx="169">
                  <c:v>59.745324924913369</c:v>
                </c:pt>
                <c:pt idx="170">
                  <c:v>59.671565560775107</c:v>
                </c:pt>
                <c:pt idx="171">
                  <c:v>59.595833901578743</c:v>
                </c:pt>
                <c:pt idx="172">
                  <c:v>59.518536910348537</c:v>
                </c:pt>
                <c:pt idx="173">
                  <c:v>59.440081251808444</c:v>
                </c:pt>
                <c:pt idx="174">
                  <c:v>59.36087328230844</c:v>
                </c:pt>
                <c:pt idx="175">
                  <c:v>59.281319030901919</c:v>
                </c:pt>
                <c:pt idx="176">
                  <c:v>59.200810034088846</c:v>
                </c:pt>
                <c:pt idx="177">
                  <c:v>59.118464783701711</c:v>
                </c:pt>
                <c:pt idx="178">
                  <c:v>59.034283185690235</c:v>
                </c:pt>
                <c:pt idx="179">
                  <c:v>58.948265375515682</c:v>
                </c:pt>
                <c:pt idx="180">
                  <c:v>58.860411383584129</c:v>
                </c:pt>
                <c:pt idx="181">
                  <c:v>58.770721140775493</c:v>
                </c:pt>
                <c:pt idx="182">
                  <c:v>58.679194480704169</c:v>
                </c:pt>
                <c:pt idx="183">
                  <c:v>58.585810123302721</c:v>
                </c:pt>
                <c:pt idx="184">
                  <c:v>58.490567069398175</c:v>
                </c:pt>
                <c:pt idx="185">
                  <c:v>58.393464615074905</c:v>
                </c:pt>
                <c:pt idx="186">
                  <c:v>58.294502011244433</c:v>
                </c:pt>
                <c:pt idx="187">
                  <c:v>58.193678468621904</c:v>
                </c:pt>
                <c:pt idx="188">
                  <c:v>58.090993169180393</c:v>
                </c:pt>
                <c:pt idx="189">
                  <c:v>57.986445267517027</c:v>
                </c:pt>
                <c:pt idx="190">
                  <c:v>57.879814492744643</c:v>
                </c:pt>
                <c:pt idx="191">
                  <c:v>57.770938112317737</c:v>
                </c:pt>
                <c:pt idx="192">
                  <c:v>57.659919602752296</c:v>
                </c:pt>
                <c:pt idx="193">
                  <c:v>57.546859400400599</c:v>
                </c:pt>
                <c:pt idx="194">
                  <c:v>57.4318579117963</c:v>
                </c:pt>
                <c:pt idx="195">
                  <c:v>57.315015522074674</c:v>
                </c:pt>
                <c:pt idx="196">
                  <c:v>57.196432598020444</c:v>
                </c:pt>
                <c:pt idx="197">
                  <c:v>57.07625132048107</c:v>
                </c:pt>
                <c:pt idx="198">
                  <c:v>56.954594613075912</c:v>
                </c:pt>
                <c:pt idx="199">
                  <c:v>56.831563306141874</c:v>
                </c:pt>
                <c:pt idx="200">
                  <c:v>56.707258190994352</c:v>
                </c:pt>
                <c:pt idx="201">
                  <c:v>56.581780026652716</c:v>
                </c:pt>
                <c:pt idx="202">
                  <c:v>56.455229546910054</c:v>
                </c:pt>
                <c:pt idx="203">
                  <c:v>56.327707467179984</c:v>
                </c:pt>
                <c:pt idx="204">
                  <c:v>56.199061689898663</c:v>
                </c:pt>
                <c:pt idx="205">
                  <c:v>56.069100061386614</c:v>
                </c:pt>
                <c:pt idx="206">
                  <c:v>55.937832674085826</c:v>
                </c:pt>
                <c:pt idx="207">
                  <c:v>55.805259442754483</c:v>
                </c:pt>
                <c:pt idx="208">
                  <c:v>55.671380308863952</c:v>
                </c:pt>
                <c:pt idx="209">
                  <c:v>55.536195245002482</c:v>
                </c:pt>
                <c:pt idx="210">
                  <c:v>55.399704256606576</c:v>
                </c:pt>
                <c:pt idx="211">
                  <c:v>55.261895583156821</c:v>
                </c:pt>
                <c:pt idx="212">
                  <c:v>55.122726141408656</c:v>
                </c:pt>
                <c:pt idx="213">
                  <c:v>54.982195818312775</c:v>
                </c:pt>
                <c:pt idx="214">
                  <c:v>54.840304558328903</c:v>
                </c:pt>
                <c:pt idx="215">
                  <c:v>54.697052362537335</c:v>
                </c:pt>
                <c:pt idx="216">
                  <c:v>54.552439285692955</c:v>
                </c:pt>
                <c:pt idx="217">
                  <c:v>54.40646543433634</c:v>
                </c:pt>
                <c:pt idx="218">
                  <c:v>54.259349771645859</c:v>
                </c:pt>
                <c:pt idx="219">
                  <c:v>54.11123351330442</c:v>
                </c:pt>
                <c:pt idx="220">
                  <c:v>53.961988178781596</c:v>
                </c:pt>
                <c:pt idx="221">
                  <c:v>53.811512954567789</c:v>
                </c:pt>
                <c:pt idx="222">
                  <c:v>53.659707112510972</c:v>
                </c:pt>
                <c:pt idx="223">
                  <c:v>53.506470004130719</c:v>
                </c:pt>
                <c:pt idx="224">
                  <c:v>53.351701057583298</c:v>
                </c:pt>
                <c:pt idx="225">
                  <c:v>53.195292951834659</c:v>
                </c:pt>
                <c:pt idx="226">
                  <c:v>53.037157261150405</c:v>
                </c:pt>
                <c:pt idx="227">
                  <c:v>52.877193642855303</c:v>
                </c:pt>
                <c:pt idx="228">
                  <c:v>52.715301815068614</c:v>
                </c:pt>
                <c:pt idx="229">
                  <c:v>52.551381555367691</c:v>
                </c:pt>
                <c:pt idx="230">
                  <c:v>52.385332698496185</c:v>
                </c:pt>
                <c:pt idx="231">
                  <c:v>52.217055130944551</c:v>
                </c:pt>
                <c:pt idx="232">
                  <c:v>52.048449106841026</c:v>
                </c:pt>
                <c:pt idx="233">
                  <c:v>51.880939537305451</c:v>
                </c:pt>
                <c:pt idx="234">
                  <c:v>51.713730071955503</c:v>
                </c:pt>
                <c:pt idx="235">
                  <c:v>51.54601422616296</c:v>
                </c:pt>
                <c:pt idx="236">
                  <c:v>51.376985824279068</c:v>
                </c:pt>
                <c:pt idx="237">
                  <c:v>51.205838995839109</c:v>
                </c:pt>
                <c:pt idx="238">
                  <c:v>51.031768173835047</c:v>
                </c:pt>
                <c:pt idx="239">
                  <c:v>50.853966661113219</c:v>
                </c:pt>
                <c:pt idx="240">
                  <c:v>50.671636322732375</c:v>
                </c:pt>
                <c:pt idx="241">
                  <c:v>50.483972483189071</c:v>
                </c:pt>
                <c:pt idx="242">
                  <c:v>50.290170761742523</c:v>
                </c:pt>
                <c:pt idx="243">
                  <c:v>50.08942706722857</c:v>
                </c:pt>
                <c:pt idx="244">
                  <c:v>49.880937599780083</c:v>
                </c:pt>
                <c:pt idx="245">
                  <c:v>49.663898841575616</c:v>
                </c:pt>
                <c:pt idx="246">
                  <c:v>49.438649154908674</c:v>
                </c:pt>
                <c:pt idx="247">
                  <c:v>49.206331499222884</c:v>
                </c:pt>
                <c:pt idx="248">
                  <c:v>48.967354937430258</c:v>
                </c:pt>
                <c:pt idx="249">
                  <c:v>48.722124360660494</c:v>
                </c:pt>
                <c:pt idx="250">
                  <c:v>48.471044523426158</c:v>
                </c:pt>
                <c:pt idx="251">
                  <c:v>48.214520035653671</c:v>
                </c:pt>
                <c:pt idx="252">
                  <c:v>47.952955372285352</c:v>
                </c:pt>
                <c:pt idx="253">
                  <c:v>47.68675380437714</c:v>
                </c:pt>
                <c:pt idx="254">
                  <c:v>47.416320950325861</c:v>
                </c:pt>
                <c:pt idx="255">
                  <c:v>47.14206086531977</c:v>
                </c:pt>
                <c:pt idx="256">
                  <c:v>46.864377467109037</c:v>
                </c:pt>
                <c:pt idx="257">
                  <c:v>46.583674535048189</c:v>
                </c:pt>
                <c:pt idx="258">
                  <c:v>46.300355709710153</c:v>
                </c:pt>
                <c:pt idx="259">
                  <c:v>46.014824492376945</c:v>
                </c:pt>
                <c:pt idx="260">
                  <c:v>45.724734308580537</c:v>
                </c:pt>
                <c:pt idx="261">
                  <c:v>45.427993646064685</c:v>
                </c:pt>
                <c:pt idx="262">
                  <c:v>45.125410290457928</c:v>
                </c:pt>
                <c:pt idx="263">
                  <c:v>44.817790721946302</c:v>
                </c:pt>
                <c:pt idx="264">
                  <c:v>44.505941139182326</c:v>
                </c:pt>
                <c:pt idx="265">
                  <c:v>44.190667452985913</c:v>
                </c:pt>
                <c:pt idx="266">
                  <c:v>43.872775288779145</c:v>
                </c:pt>
                <c:pt idx="267">
                  <c:v>43.553053677284417</c:v>
                </c:pt>
                <c:pt idx="268">
                  <c:v>43.232308825948529</c:v>
                </c:pt>
                <c:pt idx="269">
                  <c:v>42.911345624781596</c:v>
                </c:pt>
                <c:pt idx="270">
                  <c:v>42.590968691674028</c:v>
                </c:pt>
                <c:pt idx="271">
                  <c:v>42.271982375091625</c:v>
                </c:pt>
                <c:pt idx="272">
                  <c:v>41.955190755911502</c:v>
                </c:pt>
                <c:pt idx="273">
                  <c:v>41.64139764977255</c:v>
                </c:pt>
                <c:pt idx="274">
                  <c:v>41.329396662357745</c:v>
                </c:pt>
                <c:pt idx="275">
                  <c:v>41.017462837678366</c:v>
                </c:pt>
                <c:pt idx="276">
                  <c:v>40.705609741324608</c:v>
                </c:pt>
                <c:pt idx="277">
                  <c:v>40.393837204777668</c:v>
                </c:pt>
                <c:pt idx="278">
                  <c:v>40.082144983980513</c:v>
                </c:pt>
                <c:pt idx="279">
                  <c:v>39.770532755766517</c:v>
                </c:pt>
                <c:pt idx="280">
                  <c:v>39.459000114645775</c:v>
                </c:pt>
                <c:pt idx="281">
                  <c:v>39.147573695244809</c:v>
                </c:pt>
                <c:pt idx="282">
                  <c:v>38.836268179457136</c:v>
                </c:pt>
                <c:pt idx="283">
                  <c:v>38.525082359746634</c:v>
                </c:pt>
                <c:pt idx="284">
                  <c:v>38.214014903207435</c:v>
                </c:pt>
                <c:pt idx="285">
                  <c:v>37.903064351076132</c:v>
                </c:pt>
                <c:pt idx="286">
                  <c:v>37.592229119128106</c:v>
                </c:pt>
                <c:pt idx="287">
                  <c:v>37.28150749900999</c:v>
                </c:pt>
                <c:pt idx="288">
                  <c:v>36.970027507920371</c:v>
                </c:pt>
                <c:pt idx="289">
                  <c:v>36.657184652611264</c:v>
                </c:pt>
                <c:pt idx="290">
                  <c:v>36.34336259581039</c:v>
                </c:pt>
                <c:pt idx="291">
                  <c:v>36.028961137958682</c:v>
                </c:pt>
                <c:pt idx="292">
                  <c:v>35.714379890058595</c:v>
                </c:pt>
                <c:pt idx="293">
                  <c:v>35.400018284084915</c:v>
                </c:pt>
                <c:pt idx="294">
                  <c:v>35.086275580633824</c:v>
                </c:pt>
                <c:pt idx="295">
                  <c:v>34.7735386675364</c:v>
                </c:pt>
                <c:pt idx="296">
                  <c:v>34.462181530197427</c:v>
                </c:pt>
                <c:pt idx="297">
                  <c:v>34.152603655819412</c:v>
                </c:pt>
                <c:pt idx="298">
                  <c:v>33.845204462369132</c:v>
                </c:pt>
                <c:pt idx="299">
                  <c:v>33.540383268225973</c:v>
                </c:pt>
                <c:pt idx="300">
                  <c:v>33.238539300778449</c:v>
                </c:pt>
                <c:pt idx="301">
                  <c:v>32.940071702678878</c:v>
                </c:pt>
                <c:pt idx="302">
                  <c:v>32.6435068769946</c:v>
                </c:pt>
                <c:pt idx="303">
                  <c:v>32.347364811391742</c:v>
                </c:pt>
                <c:pt idx="304">
                  <c:v>32.052045509414839</c:v>
                </c:pt>
                <c:pt idx="305">
                  <c:v>31.757948590665805</c:v>
                </c:pt>
                <c:pt idx="306">
                  <c:v>31.465473621092638</c:v>
                </c:pt>
                <c:pt idx="307">
                  <c:v>31.175020125398859</c:v>
                </c:pt>
                <c:pt idx="308">
                  <c:v>30.886987585059835</c:v>
                </c:pt>
                <c:pt idx="309">
                  <c:v>30.601770053880173</c:v>
                </c:pt>
                <c:pt idx="310">
                  <c:v>30.319778103633379</c:v>
                </c:pt>
                <c:pt idx="311">
                  <c:v>30.041411009950064</c:v>
                </c:pt>
                <c:pt idx="312">
                  <c:v>29.767068024344617</c:v>
                </c:pt>
                <c:pt idx="313">
                  <c:v>29.497148382298121</c:v>
                </c:pt>
                <c:pt idx="314">
                  <c:v>29.232051302067632</c:v>
                </c:pt>
                <c:pt idx="315">
                  <c:v>28.972175990053675</c:v>
                </c:pt>
                <c:pt idx="316">
                  <c:v>28.716701977601382</c:v>
                </c:pt>
                <c:pt idx="317">
                  <c:v>28.464606533034907</c:v>
                </c:pt>
                <c:pt idx="318">
                  <c:v>28.215994672936851</c:v>
                </c:pt>
                <c:pt idx="319">
                  <c:v>27.970965278704302</c:v>
                </c:pt>
                <c:pt idx="320">
                  <c:v>27.729617289542187</c:v>
                </c:pt>
                <c:pt idx="321">
                  <c:v>27.492049711721794</c:v>
                </c:pt>
                <c:pt idx="322">
                  <c:v>27.258361608588274</c:v>
                </c:pt>
                <c:pt idx="323">
                  <c:v>27.028660516028783</c:v>
                </c:pt>
                <c:pt idx="324">
                  <c:v>26.803050338528362</c:v>
                </c:pt>
                <c:pt idx="325">
                  <c:v>26.581630087442285</c:v>
                </c:pt>
                <c:pt idx="326">
                  <c:v>26.364498874194432</c:v>
                </c:pt>
                <c:pt idx="327">
                  <c:v>26.151755857687537</c:v>
                </c:pt>
                <c:pt idx="328">
                  <c:v>25.943500234216391</c:v>
                </c:pt>
                <c:pt idx="329">
                  <c:v>25.739831260197885</c:v>
                </c:pt>
                <c:pt idx="330">
                  <c:v>25.537559595290805</c:v>
                </c:pt>
                <c:pt idx="331">
                  <c:v>25.334371667845275</c:v>
                </c:pt>
                <c:pt idx="332">
                  <c:v>25.1316717313907</c:v>
                </c:pt>
                <c:pt idx="333">
                  <c:v>24.930861868750387</c:v>
                </c:pt>
                <c:pt idx="334">
                  <c:v>24.73334388695946</c:v>
                </c:pt>
                <c:pt idx="335">
                  <c:v>24.540519286334604</c:v>
                </c:pt>
                <c:pt idx="336">
                  <c:v>24.353789255634936</c:v>
                </c:pt>
                <c:pt idx="337">
                  <c:v>24.174552068575242</c:v>
                </c:pt>
                <c:pt idx="338">
                  <c:v>24.004200462512937</c:v>
                </c:pt>
                <c:pt idx="339">
                  <c:v>23.844134696287682</c:v>
                </c:pt>
                <c:pt idx="340">
                  <c:v>23.695754628134473</c:v>
                </c:pt>
                <c:pt idx="341">
                  <c:v>23.560459711397527</c:v>
                </c:pt>
                <c:pt idx="342">
                  <c:v>23.439648976999816</c:v>
                </c:pt>
                <c:pt idx="343">
                  <c:v>23.334721020488988</c:v>
                </c:pt>
                <c:pt idx="344">
                  <c:v>23.243045963756174</c:v>
                </c:pt>
                <c:pt idx="345">
                  <c:v>23.161222609780417</c:v>
                </c:pt>
                <c:pt idx="346">
                  <c:v>23.089485823562466</c:v>
                </c:pt>
                <c:pt idx="347">
                  <c:v>23.028076779732881</c:v>
                </c:pt>
                <c:pt idx="348">
                  <c:v>22.977236545064432</c:v>
                </c:pt>
                <c:pt idx="349">
                  <c:v>22.937206088205386</c:v>
                </c:pt>
                <c:pt idx="350">
                  <c:v>22.90822626608718</c:v>
                </c:pt>
                <c:pt idx="351">
                  <c:v>22.890537949529893</c:v>
                </c:pt>
                <c:pt idx="352">
                  <c:v>22.884384265696234</c:v>
                </c:pt>
                <c:pt idx="353">
                  <c:v>22.890005716111141</c:v>
                </c:pt>
                <c:pt idx="354">
                  <c:v>22.907642699538197</c:v>
                </c:pt>
                <c:pt idx="355">
                  <c:v>22.937535497955558</c:v>
                </c:pt>
                <c:pt idx="356">
                  <c:v>22.979924295563645</c:v>
                </c:pt>
                <c:pt idx="357">
                  <c:v>23.035049119144944</c:v>
                </c:pt>
                <c:pt idx="358">
                  <c:v>23.105206033084286</c:v>
                </c:pt>
                <c:pt idx="359">
                  <c:v>23.191768164173958</c:v>
                </c:pt>
                <c:pt idx="360">
                  <c:v>23.293588862307953</c:v>
                </c:pt>
                <c:pt idx="361">
                  <c:v>23.409524157880689</c:v>
                </c:pt>
                <c:pt idx="362">
                  <c:v>23.538430529468855</c:v>
                </c:pt>
                <c:pt idx="363">
                  <c:v>23.679164800371577</c:v>
                </c:pt>
                <c:pt idx="364">
                  <c:v>23.830584119846218</c:v>
                </c:pt>
                <c:pt idx="365">
                  <c:v>23.991545982433934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14.680999999999999</c:v>
                </c:pt>
                <c:pt idx="1">
                  <c:v>23.306999999999999</c:v>
                </c:pt>
                <c:pt idx="2">
                  <c:v>8.0039999999999996</c:v>
                </c:pt>
                <c:pt idx="3">
                  <c:v>6.7789999999999999</c:v>
                </c:pt>
                <c:pt idx="4">
                  <c:v>13.877000000000001</c:v>
                </c:pt>
                <c:pt idx="5">
                  <c:v>25.643000000000001</c:v>
                </c:pt>
                <c:pt idx="6">
                  <c:v>7.0919999999999996</c:v>
                </c:pt>
                <c:pt idx="7">
                  <c:v>12.661</c:v>
                </c:pt>
                <c:pt idx="8">
                  <c:v>24.962</c:v>
                </c:pt>
                <c:pt idx="9">
                  <c:v>9.125</c:v>
                </c:pt>
                <c:pt idx="10">
                  <c:v>26.664999999999999</c:v>
                </c:pt>
                <c:pt idx="11">
                  <c:v>26.812999999999999</c:v>
                </c:pt>
                <c:pt idx="12">
                  <c:v>15.367000000000001</c:v>
                </c:pt>
                <c:pt idx="13">
                  <c:v>26.661000000000001</c:v>
                </c:pt>
                <c:pt idx="14">
                  <c:v>22.475999999999999</c:v>
                </c:pt>
                <c:pt idx="15">
                  <c:v>23.254999999999999</c:v>
                </c:pt>
                <c:pt idx="16">
                  <c:v>4.6719999999999997</c:v>
                </c:pt>
                <c:pt idx="17">
                  <c:v>18.407</c:v>
                </c:pt>
                <c:pt idx="18">
                  <c:v>27.74</c:v>
                </c:pt>
                <c:pt idx="19">
                  <c:v>11.83</c:v>
                </c:pt>
                <c:pt idx="20">
                  <c:v>3.4470000000000001</c:v>
                </c:pt>
                <c:pt idx="21">
                  <c:v>1.2470000000000001</c:v>
                </c:pt>
                <c:pt idx="22">
                  <c:v>12.35</c:v>
                </c:pt>
                <c:pt idx="23">
                  <c:v>15.772</c:v>
                </c:pt>
                <c:pt idx="24">
                  <c:v>15.946999999999999</c:v>
                </c:pt>
                <c:pt idx="25">
                  <c:v>7.0510000000000002</c:v>
                </c:pt>
                <c:pt idx="26">
                  <c:v>11.132</c:v>
                </c:pt>
                <c:pt idx="27">
                  <c:v>16.882000000000001</c:v>
                </c:pt>
                <c:pt idx="28">
                  <c:v>19.495999999999999</c:v>
                </c:pt>
                <c:pt idx="29">
                  <c:v>11.753</c:v>
                </c:pt>
                <c:pt idx="30">
                  <c:v>22.587</c:v>
                </c:pt>
                <c:pt idx="31">
                  <c:v>14.204000000000001</c:v>
                </c:pt>
                <c:pt idx="32">
                  <c:v>28.286000000000001</c:v>
                </c:pt>
                <c:pt idx="33">
                  <c:v>26.242999999999999</c:v>
                </c:pt>
                <c:pt idx="34">
                  <c:v>17.332999999999998</c:v>
                </c:pt>
                <c:pt idx="35">
                  <c:v>34.018000000000001</c:v>
                </c:pt>
                <c:pt idx="36">
                  <c:v>35.518999999999998</c:v>
                </c:pt>
                <c:pt idx="37">
                  <c:v>24.274999999999999</c:v>
                </c:pt>
                <c:pt idx="38">
                  <c:v>28.658999999999999</c:v>
                </c:pt>
                <c:pt idx="39">
                  <c:v>28.734999999999999</c:v>
                </c:pt>
                <c:pt idx="40">
                  <c:v>8.9659999999999993</c:v>
                </c:pt>
                <c:pt idx="41">
                  <c:v>9.0169999999999995</c:v>
                </c:pt>
                <c:pt idx="42">
                  <c:v>20.86</c:v>
                </c:pt>
                <c:pt idx="43">
                  <c:v>17.608000000000001</c:v>
                </c:pt>
                <c:pt idx="44">
                  <c:v>27.661000000000001</c:v>
                </c:pt>
                <c:pt idx="45">
                  <c:v>36.316000000000003</c:v>
                </c:pt>
                <c:pt idx="46">
                  <c:v>21.67</c:v>
                </c:pt>
                <c:pt idx="47">
                  <c:v>5.5309999999999997</c:v>
                </c:pt>
                <c:pt idx="48">
                  <c:v>29.148</c:v>
                </c:pt>
                <c:pt idx="49">
                  <c:v>25.875</c:v>
                </c:pt>
                <c:pt idx="50">
                  <c:v>38.886000000000003</c:v>
                </c:pt>
                <c:pt idx="51">
                  <c:v>13.51</c:v>
                </c:pt>
                <c:pt idx="52">
                  <c:v>37.527000000000001</c:v>
                </c:pt>
                <c:pt idx="53">
                  <c:v>39.113</c:v>
                </c:pt>
                <c:pt idx="54">
                  <c:v>37.542999999999999</c:v>
                </c:pt>
                <c:pt idx="55">
                  <c:v>16.948</c:v>
                </c:pt>
                <c:pt idx="56">
                  <c:v>18.074999999999999</c:v>
                </c:pt>
                <c:pt idx="57">
                  <c:v>7.7910000000000004</c:v>
                </c:pt>
                <c:pt idx="58">
                  <c:v>17.643000000000001</c:v>
                </c:pt>
                <c:pt idx="59">
                  <c:v>15.747999999999999</c:v>
                </c:pt>
                <c:pt idx="60">
                  <c:v>27.87</c:v>
                </c:pt>
                <c:pt idx="61">
                  <c:v>22.599</c:v>
                </c:pt>
                <c:pt idx="62">
                  <c:v>5.3129999999999997</c:v>
                </c:pt>
                <c:pt idx="63">
                  <c:v>8.82</c:v>
                </c:pt>
                <c:pt idx="64">
                  <c:v>10.891999999999999</c:v>
                </c:pt>
                <c:pt idx="65">
                  <c:v>20.998000000000001</c:v>
                </c:pt>
                <c:pt idx="66">
                  <c:v>28.364999999999998</c:v>
                </c:pt>
                <c:pt idx="67">
                  <c:v>33.612000000000002</c:v>
                </c:pt>
                <c:pt idx="68">
                  <c:v>26.478999999999999</c:v>
                </c:pt>
                <c:pt idx="69">
                  <c:v>32.143000000000001</c:v>
                </c:pt>
                <c:pt idx="70">
                  <c:v>39.067</c:v>
                </c:pt>
                <c:pt idx="71">
                  <c:v>15.865</c:v>
                </c:pt>
                <c:pt idx="72">
                  <c:v>39.337000000000003</c:v>
                </c:pt>
                <c:pt idx="73">
                  <c:v>30.021000000000001</c:v>
                </c:pt>
                <c:pt idx="74">
                  <c:v>48.228000000000002</c:v>
                </c:pt>
                <c:pt idx="75">
                  <c:v>9.157</c:v>
                </c:pt>
                <c:pt idx="76">
                  <c:v>13.542</c:v>
                </c:pt>
                <c:pt idx="77">
                  <c:v>44.036000000000001</c:v>
                </c:pt>
                <c:pt idx="78">
                  <c:v>45.091999999999999</c:v>
                </c:pt>
                <c:pt idx="79">
                  <c:v>48.923999999999999</c:v>
                </c:pt>
                <c:pt idx="80">
                  <c:v>47.918999999999997</c:v>
                </c:pt>
                <c:pt idx="81">
                  <c:v>41.835000000000001</c:v>
                </c:pt>
                <c:pt idx="82">
                  <c:v>33.869</c:v>
                </c:pt>
                <c:pt idx="83">
                  <c:v>45.871000000000002</c:v>
                </c:pt>
                <c:pt idx="84">
                  <c:v>51.594000000000001</c:v>
                </c:pt>
                <c:pt idx="85">
                  <c:v>27.318999999999999</c:v>
                </c:pt>
                <c:pt idx="86">
                  <c:v>47.759</c:v>
                </c:pt>
                <c:pt idx="87">
                  <c:v>48.658000000000001</c:v>
                </c:pt>
                <c:pt idx="88">
                  <c:v>29.888999999999999</c:v>
                </c:pt>
                <c:pt idx="89">
                  <c:v>17.7</c:v>
                </c:pt>
                <c:pt idx="90">
                  <c:v>43.241</c:v>
                </c:pt>
                <c:pt idx="91">
                  <c:v>41.107999999999997</c:v>
                </c:pt>
                <c:pt idx="92">
                  <c:v>27.282</c:v>
                </c:pt>
                <c:pt idx="93">
                  <c:v>53.935000000000002</c:v>
                </c:pt>
                <c:pt idx="94">
                  <c:v>55.92</c:v>
                </c:pt>
                <c:pt idx="95">
                  <c:v>56.610999999999997</c:v>
                </c:pt>
                <c:pt idx="96">
                  <c:v>31.013000000000002</c:v>
                </c:pt>
                <c:pt idx="97">
                  <c:v>37.343000000000004</c:v>
                </c:pt>
                <c:pt idx="98">
                  <c:v>39.679000000000002</c:v>
                </c:pt>
                <c:pt idx="99">
                  <c:v>55.353000000000002</c:v>
                </c:pt>
                <c:pt idx="100">
                  <c:v>56.36</c:v>
                </c:pt>
                <c:pt idx="101">
                  <c:v>55.3</c:v>
                </c:pt>
                <c:pt idx="102">
                  <c:v>43.499000000000002</c:v>
                </c:pt>
                <c:pt idx="103">
                  <c:v>17.007999999999999</c:v>
                </c:pt>
                <c:pt idx="104">
                  <c:v>53.067999999999998</c:v>
                </c:pt>
                <c:pt idx="105">
                  <c:v>50.350999999999999</c:v>
                </c:pt>
                <c:pt idx="106">
                  <c:v>45.506</c:v>
                </c:pt>
                <c:pt idx="107">
                  <c:v>34.100999999999999</c:v>
                </c:pt>
                <c:pt idx="108">
                  <c:v>44.314999999999998</c:v>
                </c:pt>
                <c:pt idx="109">
                  <c:v>17.963000000000001</c:v>
                </c:pt>
                <c:pt idx="110">
                  <c:v>15.452</c:v>
                </c:pt>
                <c:pt idx="111">
                  <c:v>15.348000000000001</c:v>
                </c:pt>
                <c:pt idx="112">
                  <c:v>9.9529999999999994</c:v>
                </c:pt>
                <c:pt idx="113">
                  <c:v>16.052</c:v>
                </c:pt>
                <c:pt idx="114">
                  <c:v>51.570999999999998</c:v>
                </c:pt>
                <c:pt idx="115">
                  <c:v>46.466000000000001</c:v>
                </c:pt>
                <c:pt idx="116">
                  <c:v>23.257999999999999</c:v>
                </c:pt>
                <c:pt idx="117">
                  <c:v>22.376000000000001</c:v>
                </c:pt>
                <c:pt idx="118">
                  <c:v>31.454000000000001</c:v>
                </c:pt>
                <c:pt idx="119">
                  <c:v>51.802999999999997</c:v>
                </c:pt>
                <c:pt idx="120">
                  <c:v>42.966000000000001</c:v>
                </c:pt>
                <c:pt idx="121">
                  <c:v>20.38</c:v>
                </c:pt>
                <c:pt idx="122">
                  <c:v>36.270000000000003</c:v>
                </c:pt>
                <c:pt idx="123">
                  <c:v>54.433999999999997</c:v>
                </c:pt>
                <c:pt idx="124">
                  <c:v>57.389000000000003</c:v>
                </c:pt>
                <c:pt idx="125">
                  <c:v>49.935000000000002</c:v>
                </c:pt>
                <c:pt idx="126">
                  <c:v>57.131999999999998</c:v>
                </c:pt>
                <c:pt idx="127">
                  <c:v>52.11</c:v>
                </c:pt>
                <c:pt idx="128">
                  <c:v>52.463999999999999</c:v>
                </c:pt>
                <c:pt idx="129">
                  <c:v>48.648000000000003</c:v>
                </c:pt>
                <c:pt idx="130">
                  <c:v>11.712999999999999</c:v>
                </c:pt>
                <c:pt idx="131">
                  <c:v>8.8780000000000001</c:v>
                </c:pt>
                <c:pt idx="132">
                  <c:v>20.327000000000002</c:v>
                </c:pt>
                <c:pt idx="133">
                  <c:v>30.978000000000002</c:v>
                </c:pt>
                <c:pt idx="134">
                  <c:v>20.306000000000001</c:v>
                </c:pt>
                <c:pt idx="135">
                  <c:v>15.879</c:v>
                </c:pt>
                <c:pt idx="136">
                  <c:v>34.332000000000001</c:v>
                </c:pt>
                <c:pt idx="137">
                  <c:v>60.713999999999999</c:v>
                </c:pt>
                <c:pt idx="138">
                  <c:v>59.832000000000001</c:v>
                </c:pt>
                <c:pt idx="139">
                  <c:v>58.527000000000001</c:v>
                </c:pt>
                <c:pt idx="140">
                  <c:v>58.040999999999997</c:v>
                </c:pt>
                <c:pt idx="141">
                  <c:v>53.38</c:v>
                </c:pt>
                <c:pt idx="142">
                  <c:v>55.741</c:v>
                </c:pt>
                <c:pt idx="143">
                  <c:v>17.707000000000001</c:v>
                </c:pt>
                <c:pt idx="144">
                  <c:v>56.603000000000002</c:v>
                </c:pt>
                <c:pt idx="145">
                  <c:v>58.776000000000003</c:v>
                </c:pt>
                <c:pt idx="146">
                  <c:v>58.795999999999999</c:v>
                </c:pt>
                <c:pt idx="147">
                  <c:v>58.1</c:v>
                </c:pt>
                <c:pt idx="148">
                  <c:v>58.164999999999999</c:v>
                </c:pt>
                <c:pt idx="149">
                  <c:v>54.029000000000003</c:v>
                </c:pt>
                <c:pt idx="150">
                  <c:v>59.581000000000003</c:v>
                </c:pt>
                <c:pt idx="151">
                  <c:v>59.365000000000002</c:v>
                </c:pt>
                <c:pt idx="152">
                  <c:v>31.018999999999998</c:v>
                </c:pt>
                <c:pt idx="153">
                  <c:v>51.244</c:v>
                </c:pt>
                <c:pt idx="154">
                  <c:v>27.533999999999999</c:v>
                </c:pt>
                <c:pt idx="155">
                  <c:v>35.698999999999998</c:v>
                </c:pt>
                <c:pt idx="156">
                  <c:v>24.677</c:v>
                </c:pt>
                <c:pt idx="157">
                  <c:v>27.04</c:v>
                </c:pt>
                <c:pt idx="158">
                  <c:v>37.923999999999999</c:v>
                </c:pt>
                <c:pt idx="159">
                  <c:v>42.36</c:v>
                </c:pt>
                <c:pt idx="160">
                  <c:v>24.109000000000002</c:v>
                </c:pt>
                <c:pt idx="161">
                  <c:v>41.101999999999997</c:v>
                </c:pt>
                <c:pt idx="162">
                  <c:v>26.87</c:v>
                </c:pt>
                <c:pt idx="163">
                  <c:v>52.835000000000001</c:v>
                </c:pt>
                <c:pt idx="164">
                  <c:v>39.570999999999998</c:v>
                </c:pt>
                <c:pt idx="165">
                  <c:v>52.915999999999997</c:v>
                </c:pt>
                <c:pt idx="166">
                  <c:v>43.787999999999997</c:v>
                </c:pt>
                <c:pt idx="167">
                  <c:v>30.463999999999999</c:v>
                </c:pt>
                <c:pt idx="168">
                  <c:v>51.921999999999997</c:v>
                </c:pt>
                <c:pt idx="169">
                  <c:v>44.9</c:v>
                </c:pt>
                <c:pt idx="170">
                  <c:v>55.023000000000003</c:v>
                </c:pt>
                <c:pt idx="171">
                  <c:v>51.444000000000003</c:v>
                </c:pt>
                <c:pt idx="172">
                  <c:v>59.542000000000002</c:v>
                </c:pt>
                <c:pt idx="173">
                  <c:v>47.536999999999999</c:v>
                </c:pt>
                <c:pt idx="174">
                  <c:v>58.609000000000002</c:v>
                </c:pt>
                <c:pt idx="175">
                  <c:v>54.673000000000002</c:v>
                </c:pt>
                <c:pt idx="176">
                  <c:v>51.091999999999999</c:v>
                </c:pt>
                <c:pt idx="177">
                  <c:v>48.33</c:v>
                </c:pt>
                <c:pt idx="178">
                  <c:v>42.011000000000003</c:v>
                </c:pt>
                <c:pt idx="179">
                  <c:v>48.124000000000002</c:v>
                </c:pt>
                <c:pt idx="180">
                  <c:v>25.640999999999998</c:v>
                </c:pt>
                <c:pt idx="181">
                  <c:v>57.09</c:v>
                </c:pt>
                <c:pt idx="182">
                  <c:v>39.488999999999997</c:v>
                </c:pt>
                <c:pt idx="183">
                  <c:v>18.920000000000002</c:v>
                </c:pt>
                <c:pt idx="184">
                  <c:v>44.515999999999998</c:v>
                </c:pt>
                <c:pt idx="185">
                  <c:v>57.869</c:v>
                </c:pt>
                <c:pt idx="186">
                  <c:v>57.311</c:v>
                </c:pt>
                <c:pt idx="187">
                  <c:v>38.076999999999998</c:v>
                </c:pt>
                <c:pt idx="188">
                  <c:v>59.558</c:v>
                </c:pt>
                <c:pt idx="189">
                  <c:v>57.103000000000002</c:v>
                </c:pt>
                <c:pt idx="190">
                  <c:v>53.753</c:v>
                </c:pt>
                <c:pt idx="191">
                  <c:v>47.039000000000001</c:v>
                </c:pt>
                <c:pt idx="192">
                  <c:v>48.207000000000001</c:v>
                </c:pt>
                <c:pt idx="193">
                  <c:v>38.825000000000003</c:v>
                </c:pt>
                <c:pt idx="194">
                  <c:v>57.051000000000002</c:v>
                </c:pt>
                <c:pt idx="195">
                  <c:v>45.905000000000001</c:v>
                </c:pt>
                <c:pt idx="196">
                  <c:v>20.506</c:v>
                </c:pt>
                <c:pt idx="197">
                  <c:v>24.061</c:v>
                </c:pt>
                <c:pt idx="198">
                  <c:v>26.225999999999999</c:v>
                </c:pt>
                <c:pt idx="199">
                  <c:v>57.085000000000001</c:v>
                </c:pt>
                <c:pt idx="200">
                  <c:v>55.914999999999999</c:v>
                </c:pt>
                <c:pt idx="201">
                  <c:v>49.61</c:v>
                </c:pt>
                <c:pt idx="202">
                  <c:v>52.11</c:v>
                </c:pt>
                <c:pt idx="203">
                  <c:v>50.957999999999998</c:v>
                </c:pt>
                <c:pt idx="204">
                  <c:v>48.616</c:v>
                </c:pt>
                <c:pt idx="205">
                  <c:v>54.643000000000001</c:v>
                </c:pt>
                <c:pt idx="206">
                  <c:v>54.648000000000003</c:v>
                </c:pt>
                <c:pt idx="207">
                  <c:v>43.6</c:v>
                </c:pt>
                <c:pt idx="208">
                  <c:v>53.134</c:v>
                </c:pt>
                <c:pt idx="209">
                  <c:v>33.682000000000002</c:v>
                </c:pt>
                <c:pt idx="210">
                  <c:v>47.972000000000001</c:v>
                </c:pt>
                <c:pt idx="211">
                  <c:v>52.856000000000002</c:v>
                </c:pt>
                <c:pt idx="212">
                  <c:v>51.23</c:v>
                </c:pt>
                <c:pt idx="213">
                  <c:v>45.75</c:v>
                </c:pt>
                <c:pt idx="214">
                  <c:v>34.143000000000001</c:v>
                </c:pt>
                <c:pt idx="215">
                  <c:v>48.209000000000003</c:v>
                </c:pt>
                <c:pt idx="216">
                  <c:v>53.097000000000001</c:v>
                </c:pt>
                <c:pt idx="217">
                  <c:v>54.051000000000002</c:v>
                </c:pt>
                <c:pt idx="218">
                  <c:v>52.503</c:v>
                </c:pt>
                <c:pt idx="219">
                  <c:v>51.725000000000001</c:v>
                </c:pt>
                <c:pt idx="220">
                  <c:v>49.494999999999997</c:v>
                </c:pt>
                <c:pt idx="221">
                  <c:v>40.295000000000002</c:v>
                </c:pt>
                <c:pt idx="222">
                  <c:v>37.061999999999998</c:v>
                </c:pt>
                <c:pt idx="223">
                  <c:v>42.587000000000003</c:v>
                </c:pt>
                <c:pt idx="224">
                  <c:v>27.704000000000001</c:v>
                </c:pt>
                <c:pt idx="225">
                  <c:v>17.427</c:v>
                </c:pt>
                <c:pt idx="226">
                  <c:v>44.186</c:v>
                </c:pt>
                <c:pt idx="227">
                  <c:v>46.08</c:v>
                </c:pt>
                <c:pt idx="228">
                  <c:v>18.878</c:v>
                </c:pt>
                <c:pt idx="229">
                  <c:v>41.728999999999999</c:v>
                </c:pt>
                <c:pt idx="230">
                  <c:v>40.152000000000001</c:v>
                </c:pt>
                <c:pt idx="231">
                  <c:v>50.383000000000003</c:v>
                </c:pt>
                <c:pt idx="232">
                  <c:v>51.195</c:v>
                </c:pt>
                <c:pt idx="233">
                  <c:v>46.527999999999999</c:v>
                </c:pt>
                <c:pt idx="234">
                  <c:v>36.17</c:v>
                </c:pt>
                <c:pt idx="235">
                  <c:v>42.743000000000002</c:v>
                </c:pt>
                <c:pt idx="236">
                  <c:v>46.996000000000002</c:v>
                </c:pt>
                <c:pt idx="237">
                  <c:v>49.780999999999999</c:v>
                </c:pt>
                <c:pt idx="238">
                  <c:v>26.308</c:v>
                </c:pt>
                <c:pt idx="239">
                  <c:v>48.046999999999997</c:v>
                </c:pt>
                <c:pt idx="240">
                  <c:v>9.3520000000000003</c:v>
                </c:pt>
                <c:pt idx="241">
                  <c:v>22.911999999999999</c:v>
                </c:pt>
                <c:pt idx="242">
                  <c:v>31.228999999999999</c:v>
                </c:pt>
                <c:pt idx="243">
                  <c:v>43.753</c:v>
                </c:pt>
                <c:pt idx="244">
                  <c:v>46.345999999999997</c:v>
                </c:pt>
                <c:pt idx="245">
                  <c:v>50.808999999999997</c:v>
                </c:pt>
                <c:pt idx="246">
                  <c:v>47.978000000000002</c:v>
                </c:pt>
                <c:pt idx="247">
                  <c:v>49.521999999999998</c:v>
                </c:pt>
                <c:pt idx="248">
                  <c:v>43.970999999999997</c:v>
                </c:pt>
                <c:pt idx="249">
                  <c:v>27.567</c:v>
                </c:pt>
                <c:pt idx="250">
                  <c:v>43.188000000000002</c:v>
                </c:pt>
                <c:pt idx="251">
                  <c:v>46.143999999999998</c:v>
                </c:pt>
                <c:pt idx="252">
                  <c:v>23.864000000000001</c:v>
                </c:pt>
                <c:pt idx="253">
                  <c:v>39.665999999999997</c:v>
                </c:pt>
                <c:pt idx="254">
                  <c:v>44.475000000000001</c:v>
                </c:pt>
                <c:pt idx="255">
                  <c:v>45.228999999999999</c:v>
                </c:pt>
                <c:pt idx="256">
                  <c:v>44.953000000000003</c:v>
                </c:pt>
                <c:pt idx="257">
                  <c:v>45.850999999999999</c:v>
                </c:pt>
                <c:pt idx="258">
                  <c:v>38.341999999999999</c:v>
                </c:pt>
                <c:pt idx="259">
                  <c:v>40.247999999999998</c:v>
                </c:pt>
                <c:pt idx="260">
                  <c:v>40.880000000000003</c:v>
                </c:pt>
                <c:pt idx="261">
                  <c:v>19.838999999999999</c:v>
                </c:pt>
                <c:pt idx="262">
                  <c:v>32.354999999999997</c:v>
                </c:pt>
                <c:pt idx="263">
                  <c:v>30.72</c:v>
                </c:pt>
                <c:pt idx="264">
                  <c:v>27.236000000000001</c:v>
                </c:pt>
                <c:pt idx="265">
                  <c:v>23.952999999999999</c:v>
                </c:pt>
                <c:pt idx="266">
                  <c:v>34.865000000000002</c:v>
                </c:pt>
                <c:pt idx="267">
                  <c:v>21.306000000000001</c:v>
                </c:pt>
                <c:pt idx="268">
                  <c:v>20.68</c:v>
                </c:pt>
                <c:pt idx="269">
                  <c:v>14.837</c:v>
                </c:pt>
                <c:pt idx="270">
                  <c:v>12.242000000000001</c:v>
                </c:pt>
                <c:pt idx="271">
                  <c:v>29.094000000000001</c:v>
                </c:pt>
                <c:pt idx="272">
                  <c:v>33.761000000000003</c:v>
                </c:pt>
                <c:pt idx="273">
                  <c:v>40.747999999999998</c:v>
                </c:pt>
                <c:pt idx="274">
                  <c:v>8.1020000000000003</c:v>
                </c:pt>
                <c:pt idx="275">
                  <c:v>5.6589999999999998</c:v>
                </c:pt>
                <c:pt idx="276">
                  <c:v>17.209</c:v>
                </c:pt>
                <c:pt idx="277">
                  <c:v>20.800999999999998</c:v>
                </c:pt>
                <c:pt idx="278">
                  <c:v>27.015000000000001</c:v>
                </c:pt>
                <c:pt idx="279">
                  <c:v>6.976</c:v>
                </c:pt>
                <c:pt idx="280">
                  <c:v>28.978999999999999</c:v>
                </c:pt>
                <c:pt idx="281">
                  <c:v>34.713999999999999</c:v>
                </c:pt>
                <c:pt idx="282">
                  <c:v>24.113</c:v>
                </c:pt>
                <c:pt idx="283">
                  <c:v>21.661999999999999</c:v>
                </c:pt>
                <c:pt idx="284">
                  <c:v>15.513999999999999</c:v>
                </c:pt>
                <c:pt idx="285">
                  <c:v>22.751999999999999</c:v>
                </c:pt>
                <c:pt idx="286">
                  <c:v>21.024000000000001</c:v>
                </c:pt>
                <c:pt idx="287">
                  <c:v>14.555</c:v>
                </c:pt>
                <c:pt idx="288">
                  <c:v>17.945</c:v>
                </c:pt>
                <c:pt idx="289">
                  <c:v>9.5489999999999995</c:v>
                </c:pt>
                <c:pt idx="290">
                  <c:v>35.335000000000001</c:v>
                </c:pt>
                <c:pt idx="291">
                  <c:v>35.259</c:v>
                </c:pt>
                <c:pt idx="292">
                  <c:v>29.83</c:v>
                </c:pt>
                <c:pt idx="293">
                  <c:v>5.7309999999999999</c:v>
                </c:pt>
                <c:pt idx="294">
                  <c:v>24.111999999999998</c:v>
                </c:pt>
                <c:pt idx="295">
                  <c:v>4.7880000000000003</c:v>
                </c:pt>
                <c:pt idx="296">
                  <c:v>9.7910000000000004</c:v>
                </c:pt>
                <c:pt idx="297">
                  <c:v>29.824999999999999</c:v>
                </c:pt>
                <c:pt idx="298">
                  <c:v>22.292999999999999</c:v>
                </c:pt>
                <c:pt idx="299">
                  <c:v>25.364999999999998</c:v>
                </c:pt>
                <c:pt idx="300">
                  <c:v>23.271000000000001</c:v>
                </c:pt>
                <c:pt idx="301">
                  <c:v>13.029</c:v>
                </c:pt>
                <c:pt idx="302">
                  <c:v>28.318999999999999</c:v>
                </c:pt>
                <c:pt idx="303">
                  <c:v>31.308</c:v>
                </c:pt>
                <c:pt idx="304">
                  <c:v>30.248000000000001</c:v>
                </c:pt>
                <c:pt idx="305">
                  <c:v>27.05</c:v>
                </c:pt>
                <c:pt idx="306">
                  <c:v>27.629000000000001</c:v>
                </c:pt>
                <c:pt idx="307">
                  <c:v>5.0049999999999999</c:v>
                </c:pt>
                <c:pt idx="308">
                  <c:v>15.62</c:v>
                </c:pt>
                <c:pt idx="309">
                  <c:v>23.370999999999999</c:v>
                </c:pt>
                <c:pt idx="310">
                  <c:v>15.877000000000001</c:v>
                </c:pt>
                <c:pt idx="311">
                  <c:v>5.1050000000000004</c:v>
                </c:pt>
                <c:pt idx="312">
                  <c:v>20.376000000000001</c:v>
                </c:pt>
                <c:pt idx="313">
                  <c:v>15.864000000000001</c:v>
                </c:pt>
                <c:pt idx="314">
                  <c:v>10.52</c:v>
                </c:pt>
                <c:pt idx="315">
                  <c:v>21.469000000000001</c:v>
                </c:pt>
                <c:pt idx="316">
                  <c:v>27.242000000000001</c:v>
                </c:pt>
                <c:pt idx="317">
                  <c:v>18.579000000000001</c:v>
                </c:pt>
                <c:pt idx="318">
                  <c:v>25.408999999999999</c:v>
                </c:pt>
                <c:pt idx="319">
                  <c:v>19.382000000000001</c:v>
                </c:pt>
                <c:pt idx="320">
                  <c:v>21.956</c:v>
                </c:pt>
                <c:pt idx="321">
                  <c:v>25.622</c:v>
                </c:pt>
                <c:pt idx="322">
                  <c:v>27.138999999999999</c:v>
                </c:pt>
                <c:pt idx="323">
                  <c:v>8.2270000000000003</c:v>
                </c:pt>
                <c:pt idx="324">
                  <c:v>18.631</c:v>
                </c:pt>
                <c:pt idx="325">
                  <c:v>27.61</c:v>
                </c:pt>
                <c:pt idx="326">
                  <c:v>27.582000000000001</c:v>
                </c:pt>
                <c:pt idx="327">
                  <c:v>25.398</c:v>
                </c:pt>
                <c:pt idx="328">
                  <c:v>24.614000000000001</c:v>
                </c:pt>
                <c:pt idx="329">
                  <c:v>24.992999999999999</c:v>
                </c:pt>
                <c:pt idx="330">
                  <c:v>20.407</c:v>
                </c:pt>
                <c:pt idx="331">
                  <c:v>14.461</c:v>
                </c:pt>
                <c:pt idx="332">
                  <c:v>7.9489999999999998</c:v>
                </c:pt>
                <c:pt idx="333">
                  <c:v>23.954999999999998</c:v>
                </c:pt>
                <c:pt idx="334">
                  <c:v>24.722000000000001</c:v>
                </c:pt>
                <c:pt idx="335">
                  <c:v>4.5570000000000004</c:v>
                </c:pt>
                <c:pt idx="336">
                  <c:v>1.369</c:v>
                </c:pt>
                <c:pt idx="337">
                  <c:v>12.492000000000001</c:v>
                </c:pt>
                <c:pt idx="338">
                  <c:v>8.5809999999999995</c:v>
                </c:pt>
                <c:pt idx="339">
                  <c:v>19.234000000000002</c:v>
                </c:pt>
                <c:pt idx="340">
                  <c:v>11.634</c:v>
                </c:pt>
                <c:pt idx="341">
                  <c:v>2.714</c:v>
                </c:pt>
                <c:pt idx="342">
                  <c:v>8.4529999999999994</c:v>
                </c:pt>
                <c:pt idx="343">
                  <c:v>8.6039999999999992</c:v>
                </c:pt>
                <c:pt idx="344">
                  <c:v>4.6870000000000003</c:v>
                </c:pt>
                <c:pt idx="345">
                  <c:v>6.7949999999999999</c:v>
                </c:pt>
                <c:pt idx="346">
                  <c:v>11.37</c:v>
                </c:pt>
                <c:pt idx="347">
                  <c:v>10.326000000000001</c:v>
                </c:pt>
                <c:pt idx="348">
                  <c:v>3.67</c:v>
                </c:pt>
                <c:pt idx="349">
                  <c:v>2.3410000000000002</c:v>
                </c:pt>
                <c:pt idx="350">
                  <c:v>16.5</c:v>
                </c:pt>
                <c:pt idx="351">
                  <c:v>8.9499999999999993</c:v>
                </c:pt>
                <c:pt idx="352">
                  <c:v>9.5909999999999993</c:v>
                </c:pt>
                <c:pt idx="353">
                  <c:v>8.2490000000000006</c:v>
                </c:pt>
                <c:pt idx="354">
                  <c:v>7.0220000000000002</c:v>
                </c:pt>
                <c:pt idx="355">
                  <c:v>7.77</c:v>
                </c:pt>
                <c:pt idx="356">
                  <c:v>18.460999999999999</c:v>
                </c:pt>
                <c:pt idx="357">
                  <c:v>9.2739999999999991</c:v>
                </c:pt>
                <c:pt idx="358">
                  <c:v>10.195</c:v>
                </c:pt>
                <c:pt idx="359">
                  <c:v>4.13</c:v>
                </c:pt>
                <c:pt idx="360">
                  <c:v>15.43</c:v>
                </c:pt>
                <c:pt idx="361">
                  <c:v>6.2759999999999998</c:v>
                </c:pt>
                <c:pt idx="362">
                  <c:v>7.2759999999999998</c:v>
                </c:pt>
                <c:pt idx="363">
                  <c:v>8.3019999999999996</c:v>
                </c:pt>
                <c:pt idx="364">
                  <c:v>11.332000000000001</c:v>
                </c:pt>
                <c:pt idx="365">
                  <c:v>14.01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17280"/>
        <c:axId val="329116888"/>
      </c:lineChart>
      <c:dateAx>
        <c:axId val="32911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9116888"/>
        <c:crosses val="autoZero"/>
        <c:auto val="1"/>
        <c:lblOffset val="100"/>
        <c:baseTimeUnit val="days"/>
        <c:majorUnit val="1"/>
        <c:majorTimeUnit val="months"/>
      </c:dateAx>
      <c:valAx>
        <c:axId val="3291168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91172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-0.50260972632787138</c:v>
                </c:pt>
                <c:pt idx="1">
                  <c:v>-0.50258051171387719</c:v>
                </c:pt>
                <c:pt idx="2">
                  <c:v>-0.50255007511838756</c:v>
                </c:pt>
                <c:pt idx="3">
                  <c:v>-0.50251836558709251</c:v>
                </c:pt>
                <c:pt idx="4">
                  <c:v>-0.50248533005453078</c:v>
                </c:pt>
                <c:pt idx="5">
                  <c:v>-0.50245091325778013</c:v>
                </c:pt>
                <c:pt idx="6">
                  <c:v>-0.5024150576467169</c:v>
                </c:pt>
                <c:pt idx="7">
                  <c:v>-0.50237770329071973</c:v>
                </c:pt>
                <c:pt idx="8">
                  <c:v>-0.50233878778168461</c:v>
                </c:pt>
                <c:pt idx="9">
                  <c:v>-0.50229824613321505</c:v>
                </c:pt>
                <c:pt idx="10">
                  <c:v>-0.50225601067584902</c:v>
                </c:pt>
                <c:pt idx="11">
                  <c:v>-0.50221201094817791</c:v>
                </c:pt>
                <c:pt idx="12">
                  <c:v>-0.50216617358370885</c:v>
                </c:pt>
                <c:pt idx="13">
                  <c:v>-0.50211842219331937</c:v>
                </c:pt>
                <c:pt idx="14">
                  <c:v>-0.50206867724314708</c:v>
                </c:pt>
                <c:pt idx="15">
                  <c:v>-0.5020168559277538</c:v>
                </c:pt>
                <c:pt idx="16">
                  <c:v>-0.50196287203839962</c:v>
                </c:pt>
                <c:pt idx="17">
                  <c:v>-0.50190663582625794</c:v>
                </c:pt>
                <c:pt idx="18">
                  <c:v>-0.5018480538603971</c:v>
                </c:pt>
                <c:pt idx="19">
                  <c:v>-0.50178702888035442</c:v>
                </c:pt>
                <c:pt idx="20">
                  <c:v>-0.50172345964311826</c:v>
                </c:pt>
                <c:pt idx="21">
                  <c:v>-0.50165724076433615</c:v>
                </c:pt>
                <c:pt idx="22">
                  <c:v>-0.50158826255355882</c:v>
                </c:pt>
                <c:pt idx="23">
                  <c:v>-0.50151641084332932</c:v>
                </c:pt>
                <c:pt idx="24">
                  <c:v>-0.50144156681192109</c:v>
                </c:pt>
                <c:pt idx="25">
                  <c:v>-0.50136360679952841</c:v>
                </c:pt>
                <c:pt idx="26">
                  <c:v>-0.50128240211770669</c:v>
                </c:pt>
                <c:pt idx="27">
                  <c:v>-0.50119781885186077</c:v>
                </c:pt>
                <c:pt idx="28">
                  <c:v>-0.50110971765657553</c:v>
                </c:pt>
                <c:pt idx="29">
                  <c:v>-0.50101795354358203</c:v>
                </c:pt>
                <c:pt idx="30">
                  <c:v>-0.50092237566215192</c:v>
                </c:pt>
                <c:pt idx="31">
                  <c:v>-0.50082282707171144</c:v>
                </c:pt>
                <c:pt idx="32">
                  <c:v>-0.5007191445064666</c:v>
                </c:pt>
                <c:pt idx="33">
                  <c:v>-0.50061115813183366</c:v>
                </c:pt>
                <c:pt idx="34">
                  <c:v>-0.5004986912924676</c:v>
                </c:pt>
                <c:pt idx="35">
                  <c:v>-0.50038156025168679</c:v>
                </c:pt>
                <c:pt idx="36">
                  <c:v>-0.50025957392209264</c:v>
                </c:pt>
                <c:pt idx="37">
                  <c:v>-0.50013253358719123</c:v>
                </c:pt>
                <c:pt idx="38">
                  <c:v>-0.50000023261382498</c:v>
                </c:pt>
                <c:pt idx="39">
                  <c:v>-0.49986245615523378</c:v>
                </c:pt>
                <c:pt idx="40">
                  <c:v>-0.49971898084457128</c:v>
                </c:pt>
                <c:pt idx="41">
                  <c:v>-0.49956957447871009</c:v>
                </c:pt>
                <c:pt idx="42">
                  <c:v>-0.49941399569218725</c:v>
                </c:pt>
                <c:pt idx="43">
                  <c:v>-0.49925199362114808</c:v>
                </c:pt>
                <c:pt idx="44">
                  <c:v>-0.49908330755716634</c:v>
                </c:pt>
                <c:pt idx="45">
                  <c:v>-0.49890766659083591</c:v>
                </c:pt>
                <c:pt idx="46">
                  <c:v>-0.49872478924504782</c:v>
                </c:pt>
                <c:pt idx="47">
                  <c:v>-0.4985343830978915</c:v>
                </c:pt>
                <c:pt idx="48">
                  <c:v>-0.49833614439514323</c:v>
                </c:pt>
                <c:pt idx="49">
                  <c:v>-0.49812975765233425</c:v>
                </c:pt>
                <c:pt idx="50">
                  <c:v>-0.49791489524642396</c:v>
                </c:pt>
                <c:pt idx="51">
                  <c:v>-0.49769121699713736</c:v>
                </c:pt>
                <c:pt idx="52">
                  <c:v>-0.49745836973806806</c:v>
                </c:pt>
                <c:pt idx="53">
                  <c:v>-0.4972159868776902</c:v>
                </c:pt>
                <c:pt idx="54">
                  <c:v>-0.49696368795047191</c:v>
                </c:pt>
                <c:pt idx="55">
                  <c:v>-0.49670107815833586</c:v>
                </c:pt>
                <c:pt idx="56">
                  <c:v>-0.49642774790277056</c:v>
                </c:pt>
                <c:pt idx="57">
                  <c:v>-0.4961432723079604</c:v>
                </c:pt>
                <c:pt idx="58">
                  <c:v>-0.49584721073537275</c:v>
                </c:pt>
                <c:pt idx="59">
                  <c:v>-0.495539106290314</c:v>
                </c:pt>
                <c:pt idx="60">
                  <c:v>-0.49521848532105245</c:v>
                </c:pt>
                <c:pt idx="61">
                  <c:v>-0.49488485691119455</c:v>
                </c:pt>
                <c:pt idx="62">
                  <c:v>-0.49453771236609628</c:v>
                </c:pt>
                <c:pt idx="63">
                  <c:v>-0.49417652469420065</c:v>
                </c:pt>
                <c:pt idx="64">
                  <c:v>-0.49380074808430252</c:v>
                </c:pt>
                <c:pt idx="65">
                  <c:v>-0.49340981737986694</c:v>
                </c:pt>
                <c:pt idx="66">
                  <c:v>-0.49300314755165686</c:v>
                </c:pt>
                <c:pt idx="67">
                  <c:v>-0.49258013317006993</c:v>
                </c:pt>
                <c:pt idx="68">
                  <c:v>-0.49214014787873317</c:v>
                </c:pt>
                <c:pt idx="69">
                  <c:v>-0.4916825438710683</c:v>
                </c:pt>
                <c:pt idx="70">
                  <c:v>-0.4912066513717131</c:v>
                </c:pt>
                <c:pt idx="71">
                  <c:v>-0.49071177812486727</c:v>
                </c:pt>
                <c:pt idx="72">
                  <c:v>-0.49019720889182966</c:v>
                </c:pt>
                <c:pt idx="73">
                  <c:v>-0.48966220496019808</c:v>
                </c:pt>
                <c:pt idx="74">
                  <c:v>-0.48910600366742613</c:v>
                </c:pt>
                <c:pt idx="75">
                  <c:v>-0.48852781794166189</c:v>
                </c:pt>
                <c:pt idx="76">
                  <c:v>-0.48792683586303648</c:v>
                </c:pt>
                <c:pt idx="77">
                  <c:v>-0.48730222024882985</c:v>
                </c:pt>
                <c:pt idx="78">
                  <c:v>-0.48665310826620839</c:v>
                </c:pt>
                <c:pt idx="79">
                  <c:v>-0.48597861107650819</c:v>
                </c:pt>
                <c:pt idx="80">
                  <c:v>-0.4852778135153335</c:v>
                </c:pt>
                <c:pt idx="81">
                  <c:v>-0.48454977381303882</c:v>
                </c:pt>
                <c:pt idx="82">
                  <c:v>-0.48379352336047904</c:v>
                </c:pt>
                <c:pt idx="83">
                  <c:v>-0.48300806652523176</c:v>
                </c:pt>
                <c:pt idx="84">
                  <c:v>-0.48219238052382818</c:v>
                </c:pt>
                <c:pt idx="85">
                  <c:v>-0.48134541535586356</c:v>
                </c:pt>
                <c:pt idx="86">
                  <c:v>-0.48046609380619937</c:v>
                </c:pt>
                <c:pt idx="87">
                  <c:v>-0.47955331152181296</c:v>
                </c:pt>
                <c:pt idx="88">
                  <c:v>-0.47860593717019462</c:v>
                </c:pt>
                <c:pt idx="89">
                  <c:v>-0.47762281268653034</c:v>
                </c:pt>
                <c:pt idx="90">
                  <c:v>-0.47660275361724513</c:v>
                </c:pt>
                <c:pt idx="91">
                  <c:v>-0.47554454956780579</c:v>
                </c:pt>
                <c:pt idx="92">
                  <c:v>-0.4744469647629922</c:v>
                </c:pt>
                <c:pt idx="93">
                  <c:v>-0.4733087387281395</c:v>
                </c:pt>
                <c:pt idx="94">
                  <c:v>-0.47212858710012079</c:v>
                </c:pt>
                <c:pt idx="95">
                  <c:v>-0.47090520257708057</c:v>
                </c:pt>
                <c:pt idx="96">
                  <c:v>-0.4696372560161316</c:v>
                </c:pt>
                <c:pt idx="97">
                  <c:v>-0.46832339768838799</c:v>
                </c:pt>
                <c:pt idx="98">
                  <c:v>-0.46696225870082197</c:v>
                </c:pt>
                <c:pt idx="99">
                  <c:v>-0.46555245259447942</c:v>
                </c:pt>
                <c:pt idx="100">
                  <c:v>-0.46409257712858232</c:v>
                </c:pt>
                <c:pt idx="101">
                  <c:v>-0.46258121625995402</c:v>
                </c:pt>
                <c:pt idx="102">
                  <c:v>-0.46101694232703244</c:v>
                </c:pt>
                <c:pt idx="103">
                  <c:v>-0.45939831844746887</c:v>
                </c:pt>
                <c:pt idx="104">
                  <c:v>-0.45772390113793737</c:v>
                </c:pt>
                <c:pt idx="105">
                  <c:v>-0.45599224316429499</c:v>
                </c:pt>
                <c:pt idx="106">
                  <c:v>-0.45420189662961818</c:v>
                </c:pt>
                <c:pt idx="107">
                  <c:v>-0.45235141630689529</c:v>
                </c:pt>
                <c:pt idx="108">
                  <c:v>-0.45043936322225842</c:v>
                </c:pt>
                <c:pt idx="109">
                  <c:v>-0.4484643084935892</c:v>
                </c:pt>
                <c:pt idx="110">
                  <c:v>-0.44642483742811617</c:v>
                </c:pt>
                <c:pt idx="111">
                  <c:v>-0.44431955388123368</c:v>
                </c:pt>
                <c:pt idx="112">
                  <c:v>-0.44214708487720034</c:v>
                </c:pt>
                <c:pt idx="113">
                  <c:v>-0.43990608549061883</c:v>
                </c:pt>
                <c:pt idx="114">
                  <c:v>-0.43759524398565297</c:v>
                </c:pt>
                <c:pt idx="115">
                  <c:v>-0.43521328720779401</c:v>
                </c:pt>
                <c:pt idx="116">
                  <c:v>-0.43275898622065906</c:v>
                </c:pt>
                <c:pt idx="117">
                  <c:v>-0.43023116217778173</c:v>
                </c:pt>
                <c:pt idx="118">
                  <c:v>-0.42762869241664969</c:v>
                </c:pt>
                <c:pt idx="119">
                  <c:v>-0.42495051675937057</c:v>
                </c:pt>
                <c:pt idx="120">
                  <c:v>-0.42219564400131054</c:v>
                </c:pt>
                <c:pt idx="121">
                  <c:v>-0.41936315856587547</c:v>
                </c:pt>
                <c:pt idx="122">
                  <c:v>-0.41645222730031167</c:v>
                </c:pt>
                <c:pt idx="123">
                  <c:v>-0.41346210638402126</c:v>
                </c:pt>
                <c:pt idx="124">
                  <c:v>-0.41039214831744486</c:v>
                </c:pt>
                <c:pt idx="125">
                  <c:v>-0.40724180895610351</c:v>
                </c:pt>
                <c:pt idx="126">
                  <c:v>-0.4040106545509512</c:v>
                </c:pt>
                <c:pt idx="127">
                  <c:v>-0.40069836875281822</c:v>
                </c:pt>
                <c:pt idx="128">
                  <c:v>-0.39730475953547284</c:v>
                </c:pt>
                <c:pt idx="129">
                  <c:v>-0.39382976598875463</c:v>
                </c:pt>
                <c:pt idx="130">
                  <c:v>-0.39027346493039033</c:v>
                </c:pt>
                <c:pt idx="131">
                  <c:v>-0.38663607728256161</c:v>
                </c:pt>
                <c:pt idx="132">
                  <c:v>-0.38291797415710949</c:v>
                </c:pt>
                <c:pt idx="133">
                  <c:v>-0.37911968259150713</c:v>
                </c:pt>
                <c:pt idx="134">
                  <c:v>-0.37524189087646753</c:v>
                </c:pt>
                <c:pt idx="135">
                  <c:v>-0.37128545341534136</c:v>
                </c:pt>
                <c:pt idx="136">
                  <c:v>-0.36725139505536758</c:v>
                </c:pt>
                <c:pt idx="137">
                  <c:v>-0.36314091483141048</c:v>
                </c:pt>
                <c:pt idx="138">
                  <c:v>-0.35895538906411401</c:v>
                </c:pt>
                <c:pt idx="139">
                  <c:v>-0.35469637375645335</c:v>
                </c:pt>
                <c:pt idx="140">
                  <c:v>-0.3503656062355105</c:v>
                </c:pt>
                <c:pt idx="141">
                  <c:v>-0.34596500598995489</c:v>
                </c:pt>
                <c:pt idx="142">
                  <c:v>-0.34149667465818256</c:v>
                </c:pt>
                <c:pt idx="143">
                  <c:v>-0.336962895127353</c:v>
                </c:pt>
                <c:pt idx="144">
                  <c:v>-0.33236612970963597</c:v>
                </c:pt>
                <c:pt idx="145">
                  <c:v>-0.32770901736880365</c:v>
                </c:pt>
                <c:pt idx="146">
                  <c:v>-0.32299436997782777</c:v>
                </c:pt>
                <c:pt idx="147">
                  <c:v>-0.31822516759628539</c:v>
                </c:pt>
                <c:pt idx="148">
                  <c:v>-0.3134045527650634</c:v>
                </c:pt>
                <c:pt idx="149">
                  <c:v>-0.30853582382497585</c:v>
                </c:pt>
                <c:pt idx="150">
                  <c:v>-0.30362242727534916</c:v>
                </c:pt>
                <c:pt idx="151">
                  <c:v>-0.29866794919826684</c:v>
                </c:pt>
                <c:pt idx="152">
                  <c:v>-0.29367610578385428</c:v>
                </c:pt>
                <c:pt idx="153">
                  <c:v>-0.28865073300158239</c:v>
                </c:pt>
                <c:pt idx="154">
                  <c:v>-0.28359577547192261</c:v>
                </c:pt>
                <c:pt idx="155">
                  <c:v>-0.2785152746016506</c:v>
                </c:pt>
                <c:pt idx="156">
                  <c:v>-0.27341335605451067</c:v>
                </c:pt>
                <c:pt idx="157">
                  <c:v>-0.26829421663668468</c:v>
                </c:pt>
                <c:pt idx="158">
                  <c:v>-0.26316211068341822</c:v>
                </c:pt>
                <c:pt idx="159">
                  <c:v>-0.25802133603911231</c:v>
                </c:pt>
                <c:pt idx="160">
                  <c:v>-0.25287621972810082</c:v>
                </c:pt>
                <c:pt idx="161">
                  <c:v>-0.24773110341708926</c:v>
                </c:pt>
                <c:pt idx="162">
                  <c:v>-0.24259032877278336</c:v>
                </c:pt>
                <c:pt idx="163">
                  <c:v>-0.23745822281951684</c:v>
                </c:pt>
                <c:pt idx="164">
                  <c:v>-0.2323390834016909</c:v>
                </c:pt>
                <c:pt idx="165">
                  <c:v>-0.22723716485455087</c:v>
                </c:pt>
                <c:pt idx="166">
                  <c:v>-0.22215666398427897</c:v>
                </c:pt>
                <c:pt idx="167">
                  <c:v>-0.21710170645461918</c:v>
                </c:pt>
                <c:pt idx="168">
                  <c:v>-0.21207633367234724</c:v>
                </c:pt>
                <c:pt idx="169">
                  <c:v>-0.20708449025793474</c:v>
                </c:pt>
                <c:pt idx="170">
                  <c:v>-0.20213001218085241</c:v>
                </c:pt>
                <c:pt idx="171">
                  <c:v>-0.19721661563122572</c:v>
                </c:pt>
                <c:pt idx="172">
                  <c:v>-0.19234788669113811</c:v>
                </c:pt>
                <c:pt idx="173">
                  <c:v>-0.18752727185991619</c:v>
                </c:pt>
                <c:pt idx="174">
                  <c:v>-0.18275806947837381</c:v>
                </c:pt>
                <c:pt idx="175">
                  <c:v>-0.17804342208739793</c:v>
                </c:pt>
                <c:pt idx="176">
                  <c:v>-0.17338630974656566</c:v>
                </c:pt>
                <c:pt idx="177">
                  <c:v>-0.16878954432884852</c:v>
                </c:pt>
                <c:pt idx="178">
                  <c:v>-0.16425576479801901</c:v>
                </c:pt>
                <c:pt idx="179">
                  <c:v>-0.15978743346624669</c:v>
                </c:pt>
                <c:pt idx="180">
                  <c:v>-0.15538683322069108</c:v>
                </c:pt>
                <c:pt idx="181">
                  <c:v>-0.15105606569974822</c:v>
                </c:pt>
                <c:pt idx="182">
                  <c:v>-0.14679705039208757</c:v>
                </c:pt>
                <c:pt idx="183">
                  <c:v>-0.1426115246247911</c:v>
                </c:pt>
                <c:pt idx="184">
                  <c:v>-0.13850104440083399</c:v>
                </c:pt>
                <c:pt idx="185">
                  <c:v>-0.13446698604086016</c:v>
                </c:pt>
                <c:pt idx="186">
                  <c:v>-0.13051054857973404</c:v>
                </c:pt>
                <c:pt idx="187">
                  <c:v>-0.12663275686469444</c:v>
                </c:pt>
                <c:pt idx="188">
                  <c:v>-0.12283446529909203</c:v>
                </c:pt>
                <c:pt idx="189">
                  <c:v>-0.11911636217363997</c:v>
                </c:pt>
                <c:pt idx="190">
                  <c:v>-0.11547897452581124</c:v>
                </c:pt>
                <c:pt idx="191">
                  <c:v>-0.11192267346744694</c:v>
                </c:pt>
                <c:pt idx="192">
                  <c:v>-0.10844767992072873</c:v>
                </c:pt>
                <c:pt idx="193">
                  <c:v>-0.1050540707033833</c:v>
                </c:pt>
                <c:pt idx="194">
                  <c:v>-0.10174178490525038</c:v>
                </c:pt>
                <c:pt idx="195">
                  <c:v>-9.8510630500098006E-2</c:v>
                </c:pt>
                <c:pt idx="196">
                  <c:v>-9.5360291138756603E-2</c:v>
                </c:pt>
                <c:pt idx="197">
                  <c:v>-9.2290333072180264E-2</c:v>
                </c:pt>
                <c:pt idx="198">
                  <c:v>-8.9300212155889847E-2</c:v>
                </c:pt>
                <c:pt idx="199">
                  <c:v>-8.6389280890326103E-2</c:v>
                </c:pt>
                <c:pt idx="200">
                  <c:v>-8.3556795454890975E-2</c:v>
                </c:pt>
                <c:pt idx="201">
                  <c:v>-8.0801922696831008E-2</c:v>
                </c:pt>
                <c:pt idx="202">
                  <c:v>-7.8123747039551883E-2</c:v>
                </c:pt>
                <c:pt idx="203">
                  <c:v>-7.5521277278419785E-2</c:v>
                </c:pt>
                <c:pt idx="204">
                  <c:v>-7.2993453235542516E-2</c:v>
                </c:pt>
                <c:pt idx="205">
                  <c:v>-7.0539152248407511E-2</c:v>
                </c:pt>
                <c:pt idx="206">
                  <c:v>-6.8157195470548604E-2</c:v>
                </c:pt>
                <c:pt idx="207">
                  <c:v>-6.5846353965582749E-2</c:v>
                </c:pt>
                <c:pt idx="208">
                  <c:v>-6.3605354579001239E-2</c:v>
                </c:pt>
                <c:pt idx="209">
                  <c:v>-6.1432885574967844E-2</c:v>
                </c:pt>
                <c:pt idx="210">
                  <c:v>-5.9327602028085402E-2</c:v>
                </c:pt>
                <c:pt idx="211">
                  <c:v>-5.7288130962612316E-2</c:v>
                </c:pt>
                <c:pt idx="212">
                  <c:v>-5.5313076233943104E-2</c:v>
                </c:pt>
                <c:pt idx="213">
                  <c:v>-5.3401023149306281E-2</c:v>
                </c:pt>
                <c:pt idx="214">
                  <c:v>-5.1550542826583334E-2</c:v>
                </c:pt>
                <c:pt idx="215">
                  <c:v>-4.9760196291906533E-2</c:v>
                </c:pt>
                <c:pt idx="216">
                  <c:v>-4.8028538318264202E-2</c:v>
                </c:pt>
                <c:pt idx="217">
                  <c:v>-4.6354121008732652E-2</c:v>
                </c:pt>
                <c:pt idx="218">
                  <c:v>-4.4735497129169077E-2</c:v>
                </c:pt>
                <c:pt idx="219">
                  <c:v>-4.3171223196247555E-2</c:v>
                </c:pt>
                <c:pt idx="220">
                  <c:v>-4.1659862327619257E-2</c:v>
                </c:pt>
                <c:pt idx="221">
                  <c:v>-4.0199986861722103E-2</c:v>
                </c:pt>
                <c:pt idx="222">
                  <c:v>-3.87901807553796E-2</c:v>
                </c:pt>
                <c:pt idx="223">
                  <c:v>-3.7429041767813531E-2</c:v>
                </c:pt>
                <c:pt idx="224">
                  <c:v>-3.611518344006992E-2</c:v>
                </c:pt>
                <c:pt idx="225">
                  <c:v>-3.4847236879121002E-2</c:v>
                </c:pt>
                <c:pt idx="226">
                  <c:v>-3.3623852356080786E-2</c:v>
                </c:pt>
                <c:pt idx="227">
                  <c:v>-3.2443700728062019E-2</c:v>
                </c:pt>
                <c:pt idx="228">
                  <c:v>-3.1305474693209379E-2</c:v>
                </c:pt>
                <c:pt idx="229">
                  <c:v>-3.0207889888395789E-2</c:v>
                </c:pt>
                <c:pt idx="230">
                  <c:v>-2.9149685838956441E-2</c:v>
                </c:pt>
                <c:pt idx="231">
                  <c:v>-2.8129626769671179E-2</c:v>
                </c:pt>
                <c:pt idx="232">
                  <c:v>-2.7146502286006957E-2</c:v>
                </c:pt>
                <c:pt idx="233">
                  <c:v>-2.6199127934388555E-2</c:v>
                </c:pt>
                <c:pt idx="234">
                  <c:v>-2.5286345650002262E-2</c:v>
                </c:pt>
                <c:pt idx="235">
                  <c:v>-2.4407024100338015E-2</c:v>
                </c:pt>
                <c:pt idx="236">
                  <c:v>-2.3560058932373396E-2</c:v>
                </c:pt>
                <c:pt idx="237">
                  <c:v>-2.2744372930969758E-2</c:v>
                </c:pt>
                <c:pt idx="238">
                  <c:v>-2.1958916095722536E-2</c:v>
                </c:pt>
                <c:pt idx="239">
                  <c:v>-2.1202665643162699E-2</c:v>
                </c:pt>
                <c:pt idx="240">
                  <c:v>-2.0474625940868074E-2</c:v>
                </c:pt>
                <c:pt idx="241">
                  <c:v>-1.9773828379693381E-2</c:v>
                </c:pt>
                <c:pt idx="242">
                  <c:v>-1.9099331189993185E-2</c:v>
                </c:pt>
                <c:pt idx="243">
                  <c:v>-1.8450219207371721E-2</c:v>
                </c:pt>
                <c:pt idx="244">
                  <c:v>-1.7825603593165096E-2</c:v>
                </c:pt>
                <c:pt idx="245">
                  <c:v>-1.7224621514539629E-2</c:v>
                </c:pt>
                <c:pt idx="246">
                  <c:v>-1.6646435788775393E-2</c:v>
                </c:pt>
                <c:pt idx="247">
                  <c:v>-1.6090234496003497E-2</c:v>
                </c:pt>
                <c:pt idx="248">
                  <c:v>-1.5555230564371858E-2</c:v>
                </c:pt>
                <c:pt idx="249">
                  <c:v>-1.5040661331334249E-2</c:v>
                </c:pt>
                <c:pt idx="250">
                  <c:v>-1.454578808448842E-2</c:v>
                </c:pt>
                <c:pt idx="251">
                  <c:v>-1.4069895585133219E-2</c:v>
                </c:pt>
                <c:pt idx="252">
                  <c:v>-1.361229157746835E-2</c:v>
                </c:pt>
                <c:pt idx="253">
                  <c:v>-1.3172306286131641E-2</c:v>
                </c:pt>
                <c:pt idx="254">
                  <c:v>-1.2749291904544657E-2</c:v>
                </c:pt>
                <c:pt idx="255">
                  <c:v>-1.2342622076334575E-2</c:v>
                </c:pt>
                <c:pt idx="256">
                  <c:v>-1.1951691371898998E-2</c:v>
                </c:pt>
                <c:pt idx="257">
                  <c:v>-1.1575914762000927E-2</c:v>
                </c:pt>
                <c:pt idx="258">
                  <c:v>-1.1214727090105292E-2</c:v>
                </c:pt>
                <c:pt idx="259">
                  <c:v>-1.0867582545006971E-2</c:v>
                </c:pt>
                <c:pt idx="260">
                  <c:v>-1.0533954135149126E-2</c:v>
                </c:pt>
                <c:pt idx="261">
                  <c:v>-1.0213333165887517E-2</c:v>
                </c:pt>
                <c:pt idx="262">
                  <c:v>-9.9052287208287737E-3</c:v>
                </c:pt>
                <c:pt idx="263">
                  <c:v>-9.6091671482411156E-3</c:v>
                </c:pt>
                <c:pt idx="264">
                  <c:v>-9.3246915534309638E-3</c:v>
                </c:pt>
                <c:pt idx="265">
                  <c:v>-9.0513612978657121E-3</c:v>
                </c:pt>
                <c:pt idx="266">
                  <c:v>-8.7887515057296639E-3</c:v>
                </c:pt>
                <c:pt idx="267">
                  <c:v>-8.5364525785113776E-3</c:v>
                </c:pt>
                <c:pt idx="268">
                  <c:v>-8.2940697181334566E-3</c:v>
                </c:pt>
                <c:pt idx="269">
                  <c:v>-8.0612224590642101E-3</c:v>
                </c:pt>
                <c:pt idx="270">
                  <c:v>-7.8375442097775583E-3</c:v>
                </c:pt>
                <c:pt idx="271">
                  <c:v>-7.6226818038673261E-3</c:v>
                </c:pt>
                <c:pt idx="272">
                  <c:v>-7.4162950610583422E-3</c:v>
                </c:pt>
                <c:pt idx="273">
                  <c:v>-7.2180563583100765E-3</c:v>
                </c:pt>
                <c:pt idx="274">
                  <c:v>-7.027650211153702E-3</c:v>
                </c:pt>
                <c:pt idx="275">
                  <c:v>-6.8447728653656115E-3</c:v>
                </c:pt>
                <c:pt idx="276">
                  <c:v>-6.6691318990351744E-3</c:v>
                </c:pt>
                <c:pt idx="277">
                  <c:v>-6.5004458350534922E-3</c:v>
                </c:pt>
                <c:pt idx="278">
                  <c:v>-6.3384437640143232E-3</c:v>
                </c:pt>
                <c:pt idx="279">
                  <c:v>-6.1828649774914868E-3</c:v>
                </c:pt>
                <c:pt idx="280">
                  <c:v>-6.0334586116302935E-3</c:v>
                </c:pt>
                <c:pt idx="281">
                  <c:v>-5.8899833009677383E-3</c:v>
                </c:pt>
                <c:pt idx="282">
                  <c:v>-5.7522068423766504E-3</c:v>
                </c:pt>
                <c:pt idx="283">
                  <c:v>-5.6199058690103443E-3</c:v>
                </c:pt>
                <c:pt idx="284">
                  <c:v>-5.4928655341088817E-3</c:v>
                </c:pt>
                <c:pt idx="285">
                  <c:v>-5.3708792045147336E-3</c:v>
                </c:pt>
                <c:pt idx="286">
                  <c:v>-5.2537481637339178E-3</c:v>
                </c:pt>
                <c:pt idx="287">
                  <c:v>-5.141281324367919E-3</c:v>
                </c:pt>
                <c:pt idx="288">
                  <c:v>-5.0332949497349233E-3</c:v>
                </c:pt>
                <c:pt idx="289">
                  <c:v>-4.9296123844900785E-3</c:v>
                </c:pt>
                <c:pt idx="290">
                  <c:v>-4.8300637940495994E-3</c:v>
                </c:pt>
                <c:pt idx="291">
                  <c:v>-4.7344859126194905E-3</c:v>
                </c:pt>
                <c:pt idx="292">
                  <c:v>-4.6427217996261039E-3</c:v>
                </c:pt>
                <c:pt idx="293">
                  <c:v>-4.5546206043408088E-3</c:v>
                </c:pt>
                <c:pt idx="294">
                  <c:v>-4.4700373384948811E-3</c:v>
                </c:pt>
                <c:pt idx="295">
                  <c:v>-4.388832656673114E-3</c:v>
                </c:pt>
                <c:pt idx="296">
                  <c:v>-4.3108726442804279E-3</c:v>
                </c:pt>
                <c:pt idx="297">
                  <c:v>-4.2360286128722002E-3</c:v>
                </c:pt>
                <c:pt idx="298">
                  <c:v>-4.1641769026427022E-3</c:v>
                </c:pt>
                <c:pt idx="299">
                  <c:v>-4.0951986918654204E-3</c:v>
                </c:pt>
                <c:pt idx="300">
                  <c:v>-4.028979813083311E-3</c:v>
                </c:pt>
                <c:pt idx="301">
                  <c:v>-3.9654105758471503E-3</c:v>
                </c:pt>
                <c:pt idx="302">
                  <c:v>-3.9043855958044715E-3</c:v>
                </c:pt>
                <c:pt idx="303">
                  <c:v>-3.8458036299435783E-3</c:v>
                </c:pt>
                <c:pt idx="304">
                  <c:v>-3.7895674178018979E-3</c:v>
                </c:pt>
                <c:pt idx="305">
                  <c:v>-3.7355835284477723E-3</c:v>
                </c:pt>
                <c:pt idx="306">
                  <c:v>-3.6837622130545533E-3</c:v>
                </c:pt>
                <c:pt idx="307">
                  <c:v>-3.6340172628822054E-3</c:v>
                </c:pt>
                <c:pt idx="308">
                  <c:v>-3.5862658724927776E-3</c:v>
                </c:pt>
                <c:pt idx="309">
                  <c:v>-3.5404285080236075E-3</c:v>
                </c:pt>
                <c:pt idx="310">
                  <c:v>-3.4964287803525007E-3</c:v>
                </c:pt>
                <c:pt idx="311">
                  <c:v>-3.4541933229864652E-3</c:v>
                </c:pt>
                <c:pt idx="312">
                  <c:v>-3.4136516745169598E-3</c:v>
                </c:pt>
                <c:pt idx="313">
                  <c:v>-3.3747361654817842E-3</c:v>
                </c:pt>
                <c:pt idx="314">
                  <c:v>-3.3373818094846741E-3</c:v>
                </c:pt>
                <c:pt idx="315">
                  <c:v>-3.301526198421445E-3</c:v>
                </c:pt>
                <c:pt idx="316">
                  <c:v>-3.2671094016707425E-3</c:v>
                </c:pt>
                <c:pt idx="317">
                  <c:v>-3.2340738691090665E-3</c:v>
                </c:pt>
                <c:pt idx="318">
                  <c:v>-3.2023643378139566E-3</c:v>
                </c:pt>
                <c:pt idx="319">
                  <c:v>-3.1719277423243875E-3</c:v>
                </c:pt>
                <c:pt idx="320">
                  <c:v>-3.1427131283301435E-3</c:v>
                </c:pt>
                <c:pt idx="321">
                  <c:v>-3.1146715696667715E-3</c:v>
                </c:pt>
                <c:pt idx="322">
                  <c:v>-3.0877560884962629E-3</c:v>
                </c:pt>
                <c:pt idx="323">
                  <c:v>-3.0619215785572251E-3</c:v>
                </c:pt>
                <c:pt idx="324">
                  <c:v>-3.0371247313721317E-3</c:v>
                </c:pt>
                <c:pt idx="325">
                  <c:v>-3.013323965303516E-3</c:v>
                </c:pt>
                <c:pt idx="326">
                  <c:v>-2.9904793573538035E-3</c:v>
                </c:pt>
                <c:pt idx="327">
                  <c:v>-2.9685525776058097E-3</c:v>
                </c:pt>
                <c:pt idx="328">
                  <c:v>-2.9475068262084791E-3</c:v>
                </c:pt>
                <c:pt idx="329">
                  <c:v>-2.9273067728101121E-3</c:v>
                </c:pt>
                <c:pt idx="330">
                  <c:v>-2.9079184983495376E-3</c:v>
                </c:pt>
                <c:pt idx="331">
                  <c:v>-2.8893094391148066E-3</c:v>
                </c:pt>
                <c:pt idx="332">
                  <c:v>-2.8714483329856377E-3</c:v>
                </c:pt>
                <c:pt idx="333">
                  <c:v>-2.8543051677765718E-3</c:v>
                </c:pt>
                <c:pt idx="334">
                  <c:v>-2.8378511316010657E-3</c:v>
                </c:pt>
                <c:pt idx="335">
                  <c:v>-2.8220585651791419E-3</c:v>
                </c:pt>
                <c:pt idx="336">
                  <c:v>-2.8069009160165415E-3</c:v>
                </c:pt>
                <c:pt idx="337">
                  <c:v>-2.7923526943815502E-3</c:v>
                </c:pt>
                <c:pt idx="338">
                  <c:v>-2.7783894310126067E-3</c:v>
                </c:pt>
                <c:pt idx="339">
                  <c:v>-2.7649876364896353E-3</c:v>
                </c:pt>
                <c:pt idx="340">
                  <c:v>-2.7521247622045997E-3</c:v>
                </c:pt>
                <c:pt idx="341">
                  <c:v>-2.7397791628705481E-3</c:v>
                </c:pt>
                <c:pt idx="342">
                  <c:v>-2.727930060510475E-3</c:v>
                </c:pt>
                <c:pt idx="343">
                  <c:v>-2.7165575098659356E-3</c:v>
                </c:pt>
                <c:pt idx="344">
                  <c:v>-2.7056423651746209E-3</c:v>
                </c:pt>
                <c:pt idx="345">
                  <c:v>-2.6951662482598837E-3</c:v>
                </c:pt>
                <c:pt idx="346">
                  <c:v>-2.6851115178839757E-3</c:v>
                </c:pt>
                <c:pt idx="347">
                  <c:v>-2.6754612403146472E-3</c:v>
                </c:pt>
                <c:pt idx="348">
                  <c:v>-2.666199161058147E-3</c:v>
                </c:pt>
                <c:pt idx="349">
                  <c:v>-2.6573096777129379E-3</c:v>
                </c:pt>
                <c:pt idx="350">
                  <c:v>-2.6487778139004936E-3</c:v>
                </c:pt>
                <c:pt idx="351">
                  <c:v>-2.6405891942312132E-3</c:v>
                </c:pt>
                <c:pt idx="352">
                  <c:v>-2.6327300202649839E-3</c:v>
                </c:pt>
                <c:pt idx="353">
                  <c:v>-2.625187047426647E-3</c:v>
                </c:pt>
                <c:pt idx="354">
                  <c:v>-2.6179475628397286E-3</c:v>
                </c:pt>
                <c:pt idx="355">
                  <c:v>-2.6109993640424656E-3</c:v>
                </c:pt>
                <c:pt idx="356">
                  <c:v>-2.6109993640424656E-3</c:v>
                </c:pt>
                <c:pt idx="357">
                  <c:v>-2.6109993640424656E-3</c:v>
                </c:pt>
                <c:pt idx="358">
                  <c:v>-2.6109993640424656E-3</c:v>
                </c:pt>
                <c:pt idx="359">
                  <c:v>-2.6109993640424656E-3</c:v>
                </c:pt>
                <c:pt idx="360">
                  <c:v>-2.6109993640424656E-3</c:v>
                </c:pt>
                <c:pt idx="361">
                  <c:v>-2.6109993640424656E-3</c:v>
                </c:pt>
                <c:pt idx="362">
                  <c:v>-2.6109993640424656E-3</c:v>
                </c:pt>
                <c:pt idx="363">
                  <c:v>-2.6109993640424656E-3</c:v>
                </c:pt>
                <c:pt idx="364">
                  <c:v>-2.6109993640424656E-3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21200"/>
        <c:axId val="184271256"/>
      </c:lineChart>
      <c:dateAx>
        <c:axId val="32912120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271256"/>
        <c:crosses val="autoZero"/>
        <c:auto val="1"/>
        <c:lblOffset val="100"/>
        <c:baseTimeUnit val="days"/>
        <c:majorUnit val="1"/>
      </c:dateAx>
      <c:valAx>
        <c:axId val="184271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91212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2.0335225141618674E-2</c:v>
                </c:pt>
                <c:pt idx="1">
                  <c:v>2.035668231443144E-2</c:v>
                </c:pt>
                <c:pt idx="2">
                  <c:v>2.037813901727703E-2</c:v>
                </c:pt>
                <c:pt idx="3">
                  <c:v>2.039959525016577E-2</c:v>
                </c:pt>
                <c:pt idx="4">
                  <c:v>2.0421051013107983E-2</c:v>
                </c:pt>
                <c:pt idx="5">
                  <c:v>2.0442506306113883E-2</c:v>
                </c:pt>
                <c:pt idx="6">
                  <c:v>2.0463961129193797E-2</c:v>
                </c:pt>
                <c:pt idx="7">
                  <c:v>2.0485415482358049E-2</c:v>
                </c:pt>
                <c:pt idx="8">
                  <c:v>2.0506869365616853E-2</c:v>
                </c:pt>
                <c:pt idx="9">
                  <c:v>2.0528322778980646E-2</c:v>
                </c:pt>
                <c:pt idx="10">
                  <c:v>2.054977572245964E-2</c:v>
                </c:pt>
                <c:pt idx="11">
                  <c:v>2.0571228196064051E-2</c:v>
                </c:pt>
                <c:pt idx="12">
                  <c:v>2.0592680199804203E-2</c:v>
                </c:pt>
                <c:pt idx="13">
                  <c:v>2.0614131733690422E-2</c:v>
                </c:pt>
                <c:pt idx="14">
                  <c:v>2.0635582797733032E-2</c:v>
                </c:pt>
                <c:pt idx="15">
                  <c:v>2.0657033391942248E-2</c:v>
                </c:pt>
                <c:pt idx="16">
                  <c:v>2.0678483516328505E-2</c:v>
                </c:pt>
                <c:pt idx="17">
                  <c:v>2.0699933170901907E-2</c:v>
                </c:pt>
                <c:pt idx="18">
                  <c:v>2.0721382355672779E-2</c:v>
                </c:pt>
                <c:pt idx="19">
                  <c:v>2.0742831070651557E-2</c:v>
                </c:pt>
                <c:pt idx="20">
                  <c:v>2.0764279315848344E-2</c:v>
                </c:pt>
                <c:pt idx="21">
                  <c:v>2.0785727091273576E-2</c:v>
                </c:pt>
                <c:pt idx="22">
                  <c:v>2.0807174396937467E-2</c:v>
                </c:pt>
                <c:pt idx="23">
                  <c:v>2.0828621232850342E-2</c:v>
                </c:pt>
                <c:pt idx="24">
                  <c:v>2.0850067599022415E-2</c:v>
                </c:pt>
                <c:pt idx="25">
                  <c:v>2.0871513495464011E-2</c:v>
                </c:pt>
                <c:pt idx="26">
                  <c:v>2.0892958922185567E-2</c:v>
                </c:pt>
                <c:pt idx="27">
                  <c:v>2.0914403879197074E-2</c:v>
                </c:pt>
                <c:pt idx="28">
                  <c:v>2.093584836650908E-2</c:v>
                </c:pt>
                <c:pt idx="29">
                  <c:v>2.0957292384131798E-2</c:v>
                </c:pt>
                <c:pt idx="30">
                  <c:v>2.0978735932075443E-2</c:v>
                </c:pt>
                <c:pt idx="31">
                  <c:v>2.1000179010350339E-2</c:v>
                </c:pt>
                <c:pt idx="32">
                  <c:v>2.1021621618966813E-2</c:v>
                </c:pt>
                <c:pt idx="33">
                  <c:v>2.1043063757935188E-2</c:v>
                </c:pt>
                <c:pt idx="34">
                  <c:v>2.1064505427265567E-2</c:v>
                </c:pt>
                <c:pt idx="35">
                  <c:v>2.1085946626968499E-2</c:v>
                </c:pt>
                <c:pt idx="36">
                  <c:v>2.1107387357054086E-2</c:v>
                </c:pt>
                <c:pt idx="37">
                  <c:v>2.1128827617532542E-2</c:v>
                </c:pt>
                <c:pt idx="38">
                  <c:v>2.1150267408414414E-2</c:v>
                </c:pt>
                <c:pt idx="39">
                  <c:v>2.1171706729709805E-2</c:v>
                </c:pt>
                <c:pt idx="40">
                  <c:v>2.1193145581428929E-2</c:v>
                </c:pt>
                <c:pt idx="41">
                  <c:v>2.1214583963582334E-2</c:v>
                </c:pt>
                <c:pt idx="42">
                  <c:v>2.1236021876180122E-2</c:v>
                </c:pt>
                <c:pt idx="43">
                  <c:v>2.1257459319232508E-2</c:v>
                </c:pt>
                <c:pt idx="44">
                  <c:v>2.1278896292749927E-2</c:v>
                </c:pt>
                <c:pt idx="45">
                  <c:v>2.1300332796742594E-2</c:v>
                </c:pt>
                <c:pt idx="46">
                  <c:v>2.1321768831220833E-2</c:v>
                </c:pt>
                <c:pt idx="47">
                  <c:v>2.134320439619497E-2</c:v>
                </c:pt>
                <c:pt idx="48">
                  <c:v>2.1364639491675108E-2</c:v>
                </c:pt>
                <c:pt idx="49">
                  <c:v>2.1386074117671683E-2</c:v>
                </c:pt>
                <c:pt idx="50">
                  <c:v>2.1407508274194909E-2</c:v>
                </c:pt>
                <c:pt idx="51">
                  <c:v>2.142894196125511E-2</c:v>
                </c:pt>
                <c:pt idx="52">
                  <c:v>2.1450375178862613E-2</c:v>
                </c:pt>
                <c:pt idx="53">
                  <c:v>2.1471807927027631E-2</c:v>
                </c:pt>
                <c:pt idx="54">
                  <c:v>2.1493240205760378E-2</c:v>
                </c:pt>
                <c:pt idx="55">
                  <c:v>2.151467201507129E-2</c:v>
                </c:pt>
                <c:pt idx="56">
                  <c:v>2.1536103354970582E-2</c:v>
                </c:pt>
                <c:pt idx="57">
                  <c:v>2.1557534225468467E-2</c:v>
                </c:pt>
                <c:pt idx="58">
                  <c:v>2.1578964626575381E-2</c:v>
                </c:pt>
                <c:pt idx="59">
                  <c:v>2.1600394558301428E-2</c:v>
                </c:pt>
                <c:pt idx="60">
                  <c:v>2.1621824020657043E-2</c:v>
                </c:pt>
                <c:pt idx="61">
                  <c:v>2.164325301365233E-2</c:v>
                </c:pt>
                <c:pt idx="62">
                  <c:v>2.1664681537297725E-2</c:v>
                </c:pt>
                <c:pt idx="63">
                  <c:v>2.1686109591603442E-2</c:v>
                </c:pt>
                <c:pt idx="64">
                  <c:v>2.1707537176579805E-2</c:v>
                </c:pt>
                <c:pt idx="65">
                  <c:v>2.1728964292237141E-2</c:v>
                </c:pt>
                <c:pt idx="66">
                  <c:v>2.1750390938585551E-2</c:v>
                </c:pt>
                <c:pt idx="67">
                  <c:v>2.1771817115635361E-2</c:v>
                </c:pt>
                <c:pt idx="68">
                  <c:v>2.1793242823397008E-2</c:v>
                </c:pt>
                <c:pt idx="69">
                  <c:v>2.1814668061880704E-2</c:v>
                </c:pt>
                <c:pt idx="70">
                  <c:v>2.1836092831096554E-2</c:v>
                </c:pt>
                <c:pt idx="71">
                  <c:v>2.1857517131055104E-2</c:v>
                </c:pt>
                <c:pt idx="72">
                  <c:v>2.1878940961766347E-2</c:v>
                </c:pt>
                <c:pt idx="73">
                  <c:v>2.1900364323240828E-2</c:v>
                </c:pt>
                <c:pt idx="74">
                  <c:v>2.1921787215488764E-2</c:v>
                </c:pt>
                <c:pt idx="75">
                  <c:v>2.1943209638520256E-2</c:v>
                </c:pt>
                <c:pt idx="76">
                  <c:v>2.196463159234574E-2</c:v>
                </c:pt>
                <c:pt idx="77">
                  <c:v>2.1986053076975542E-2</c:v>
                </c:pt>
                <c:pt idx="78">
                  <c:v>2.2007474092419765E-2</c:v>
                </c:pt>
                <c:pt idx="79">
                  <c:v>2.2028894638688734E-2</c:v>
                </c:pt>
                <c:pt idx="80">
                  <c:v>2.2050314715792885E-2</c:v>
                </c:pt>
                <c:pt idx="81">
                  <c:v>2.207173432374232E-2</c:v>
                </c:pt>
                <c:pt idx="82">
                  <c:v>2.2093153462547366E-2</c:v>
                </c:pt>
                <c:pt idx="83">
                  <c:v>2.2114572132218235E-2</c:v>
                </c:pt>
                <c:pt idx="84">
                  <c:v>2.2135990332765365E-2</c:v>
                </c:pt>
                <c:pt idx="85">
                  <c:v>2.2157408064198858E-2</c:v>
                </c:pt>
                <c:pt idx="86">
                  <c:v>2.217882532652915E-2</c:v>
                </c:pt>
                <c:pt idx="87">
                  <c:v>2.2200242119766345E-2</c:v>
                </c:pt>
                <c:pt idx="88">
                  <c:v>2.2221658443920878E-2</c:v>
                </c:pt>
                <c:pt idx="89">
                  <c:v>2.2243074299002963E-2</c:v>
                </c:pt>
                <c:pt idx="90">
                  <c:v>2.2264489685022815E-2</c:v>
                </c:pt>
                <c:pt idx="91">
                  <c:v>2.2285904601990758E-2</c:v>
                </c:pt>
                <c:pt idx="92">
                  <c:v>2.2307319049917007E-2</c:v>
                </c:pt>
                <c:pt idx="93">
                  <c:v>2.2328733028811998E-2</c:v>
                </c:pt>
                <c:pt idx="94">
                  <c:v>2.2350146538685833E-2</c:v>
                </c:pt>
                <c:pt idx="95">
                  <c:v>2.2371559579548839E-2</c:v>
                </c:pt>
                <c:pt idx="96">
                  <c:v>2.2392972151411228E-2</c:v>
                </c:pt>
                <c:pt idx="97">
                  <c:v>2.2414384254283437E-2</c:v>
                </c:pt>
                <c:pt idx="98">
                  <c:v>2.2435795888175569E-2</c:v>
                </c:pt>
                <c:pt idx="99">
                  <c:v>2.2457207053098061E-2</c:v>
                </c:pt>
                <c:pt idx="100">
                  <c:v>2.2478617749061014E-2</c:v>
                </c:pt>
                <c:pt idx="101">
                  <c:v>2.2500027976074866E-2</c:v>
                </c:pt>
                <c:pt idx="102">
                  <c:v>2.2521437734149719E-2</c:v>
                </c:pt>
                <c:pt idx="103">
                  <c:v>2.2542847023295898E-2</c:v>
                </c:pt>
                <c:pt idx="104">
                  <c:v>2.2564255843523728E-2</c:v>
                </c:pt>
                <c:pt idx="105">
                  <c:v>2.2585664194843535E-2</c:v>
                </c:pt>
                <c:pt idx="106">
                  <c:v>2.2607072077265422E-2</c:v>
                </c:pt>
                <c:pt idx="107">
                  <c:v>2.2628479490799713E-2</c:v>
                </c:pt>
                <c:pt idx="108">
                  <c:v>2.2649886435456734E-2</c:v>
                </c:pt>
                <c:pt idx="109">
                  <c:v>2.267129291124681E-2</c:v>
                </c:pt>
                <c:pt idx="110">
                  <c:v>2.2692698918180043E-2</c:v>
                </c:pt>
                <c:pt idx="111">
                  <c:v>2.2714104456266759E-2</c:v>
                </c:pt>
                <c:pt idx="112">
                  <c:v>2.2735509525517283E-2</c:v>
                </c:pt>
                <c:pt idx="113">
                  <c:v>2.2756914125941941E-2</c:v>
                </c:pt>
                <c:pt idx="114">
                  <c:v>2.2778318257550834E-2</c:v>
                </c:pt>
                <c:pt idx="115">
                  <c:v>2.2799721920354288E-2</c:v>
                </c:pt>
                <c:pt idx="116">
                  <c:v>2.2821125114362628E-2</c:v>
                </c:pt>
                <c:pt idx="117">
                  <c:v>2.284252783958618E-2</c:v>
                </c:pt>
                <c:pt idx="118">
                  <c:v>2.2863930096035046E-2</c:v>
                </c:pt>
                <c:pt idx="119">
                  <c:v>2.2885331883719551E-2</c:v>
                </c:pt>
                <c:pt idx="120">
                  <c:v>2.2906733202649909E-2</c:v>
                </c:pt>
                <c:pt idx="121">
                  <c:v>2.2928134052836557E-2</c:v>
                </c:pt>
                <c:pt idx="122">
                  <c:v>2.2949534434289709E-2</c:v>
                </c:pt>
                <c:pt idx="123">
                  <c:v>2.2970934347019467E-2</c:v>
                </c:pt>
                <c:pt idx="124">
                  <c:v>2.2992333791036268E-2</c:v>
                </c:pt>
                <c:pt idx="125">
                  <c:v>2.3013732766350325E-2</c:v>
                </c:pt>
                <c:pt idx="126">
                  <c:v>2.3035131272971854E-2</c:v>
                </c:pt>
                <c:pt idx="127">
                  <c:v>2.3056529310911289E-2</c:v>
                </c:pt>
                <c:pt idx="128">
                  <c:v>2.3077926880178623E-2</c:v>
                </c:pt>
                <c:pt idx="129">
                  <c:v>2.3099323980784403E-2</c:v>
                </c:pt>
                <c:pt idx="130">
                  <c:v>2.3120720612738732E-2</c:v>
                </c:pt>
                <c:pt idx="131">
                  <c:v>2.3142116776051824E-2</c:v>
                </c:pt>
                <c:pt idx="132">
                  <c:v>2.3163512470734116E-2</c:v>
                </c:pt>
                <c:pt idx="133">
                  <c:v>2.318490769679582E-2</c:v>
                </c:pt>
                <c:pt idx="134">
                  <c:v>2.3206302454247041E-2</c:v>
                </c:pt>
                <c:pt idx="135">
                  <c:v>2.3227696743098325E-2</c:v>
                </c:pt>
                <c:pt idx="136">
                  <c:v>2.3249090563359665E-2</c:v>
                </c:pt>
                <c:pt idx="137">
                  <c:v>2.3270483915041384E-2</c:v>
                </c:pt>
                <c:pt idx="138">
                  <c:v>2.3291876798153921E-2</c:v>
                </c:pt>
                <c:pt idx="139">
                  <c:v>2.3313269212707377E-2</c:v>
                </c:pt>
                <c:pt idx="140">
                  <c:v>2.3334661158711967E-2</c:v>
                </c:pt>
                <c:pt idx="141">
                  <c:v>2.3356052636178126E-2</c:v>
                </c:pt>
                <c:pt idx="142">
                  <c:v>2.3377443645116069E-2</c:v>
                </c:pt>
                <c:pt idx="143">
                  <c:v>2.3398834185535899E-2</c:v>
                </c:pt>
                <c:pt idx="144">
                  <c:v>2.3420224257448052E-2</c:v>
                </c:pt>
                <c:pt idx="145">
                  <c:v>2.3441613860862742E-2</c:v>
                </c:pt>
                <c:pt idx="146">
                  <c:v>2.3463002995790294E-2</c:v>
                </c:pt>
                <c:pt idx="147">
                  <c:v>2.3484391662240811E-2</c:v>
                </c:pt>
                <c:pt idx="148">
                  <c:v>2.3505779860224618E-2</c:v>
                </c:pt>
                <c:pt idx="149">
                  <c:v>2.352716758975204E-2</c:v>
                </c:pt>
                <c:pt idx="150">
                  <c:v>2.3548554850833292E-2</c:v>
                </c:pt>
                <c:pt idx="151">
                  <c:v>2.3569941643478587E-2</c:v>
                </c:pt>
                <c:pt idx="152">
                  <c:v>2.3591327967698361E-2</c:v>
                </c:pt>
                <c:pt idx="153">
                  <c:v>2.3612713823502607E-2</c:v>
                </c:pt>
                <c:pt idx="154">
                  <c:v>2.363409921090176E-2</c:v>
                </c:pt>
                <c:pt idx="155">
                  <c:v>2.3655484129906146E-2</c:v>
                </c:pt>
                <c:pt idx="156">
                  <c:v>2.3676868580525867E-2</c:v>
                </c:pt>
                <c:pt idx="157">
                  <c:v>2.3698252562771138E-2</c:v>
                </c:pt>
                <c:pt idx="158">
                  <c:v>2.3719636076652395E-2</c:v>
                </c:pt>
                <c:pt idx="159">
                  <c:v>2.3741019122179852E-2</c:v>
                </c:pt>
                <c:pt idx="160">
                  <c:v>2.3762401699363722E-2</c:v>
                </c:pt>
                <c:pt idx="161">
                  <c:v>2.3783783808214221E-2</c:v>
                </c:pt>
                <c:pt idx="162">
                  <c:v>2.3805165448741672E-2</c:v>
                </c:pt>
                <c:pt idx="163">
                  <c:v>2.3826546620956401E-2</c:v>
                </c:pt>
                <c:pt idx="164">
                  <c:v>2.3847927324868512E-2</c:v>
                </c:pt>
                <c:pt idx="165">
                  <c:v>2.3869307560488329E-2</c:v>
                </c:pt>
                <c:pt idx="166">
                  <c:v>2.3890687327826177E-2</c:v>
                </c:pt>
                <c:pt idx="167">
                  <c:v>2.3912066626892159E-2</c:v>
                </c:pt>
                <c:pt idx="168">
                  <c:v>2.3933445457696712E-2</c:v>
                </c:pt>
                <c:pt idx="169">
                  <c:v>2.3954823820249938E-2</c:v>
                </c:pt>
                <c:pt idx="170">
                  <c:v>2.3976201714562162E-2</c:v>
                </c:pt>
                <c:pt idx="171">
                  <c:v>2.399757914064371E-2</c:v>
                </c:pt>
                <c:pt idx="172">
                  <c:v>2.4018956098504685E-2</c:v>
                </c:pt>
                <c:pt idx="173">
                  <c:v>2.4040332588155522E-2</c:v>
                </c:pt>
                <c:pt idx="174">
                  <c:v>2.4061708609606214E-2</c:v>
                </c:pt>
                <c:pt idx="175">
                  <c:v>2.4083084162867308E-2</c:v>
                </c:pt>
                <c:pt idx="176">
                  <c:v>2.4104459247948906E-2</c:v>
                </c:pt>
                <c:pt idx="177">
                  <c:v>2.4125833864861224E-2</c:v>
                </c:pt>
                <c:pt idx="178">
                  <c:v>2.4147208013614585E-2</c:v>
                </c:pt>
                <c:pt idx="179">
                  <c:v>2.4168581694219315E-2</c:v>
                </c:pt>
                <c:pt idx="180">
                  <c:v>2.4189954906685518E-2</c:v>
                </c:pt>
                <c:pt idx="181">
                  <c:v>2.4211327651023518E-2</c:v>
                </c:pt>
                <c:pt idx="182">
                  <c:v>2.4232699927243528E-2</c:v>
                </c:pt>
                <c:pt idx="183">
                  <c:v>2.4254071735355875E-2</c:v>
                </c:pt>
                <c:pt idx="184">
                  <c:v>2.4275443075370773E-2</c:v>
                </c:pt>
                <c:pt idx="185">
                  <c:v>2.4296813947298546E-2</c:v>
                </c:pt>
                <c:pt idx="186">
                  <c:v>2.4318184351149297E-2</c:v>
                </c:pt>
                <c:pt idx="187">
                  <c:v>2.4339554286933351E-2</c:v>
                </c:pt>
                <c:pt idx="188">
                  <c:v>2.4360923754661035E-2</c:v>
                </c:pt>
                <c:pt idx="189">
                  <c:v>2.4382292754342449E-2</c:v>
                </c:pt>
                <c:pt idx="190">
                  <c:v>2.4403661285988032E-2</c:v>
                </c:pt>
                <c:pt idx="191">
                  <c:v>2.4425029349607885E-2</c:v>
                </c:pt>
                <c:pt idx="192">
                  <c:v>2.4446396945212223E-2</c:v>
                </c:pt>
                <c:pt idx="193">
                  <c:v>2.4467764072811482E-2</c:v>
                </c:pt>
                <c:pt idx="194">
                  <c:v>2.4489130732415765E-2</c:v>
                </c:pt>
                <c:pt idx="195">
                  <c:v>2.4510496924035396E-2</c:v>
                </c:pt>
                <c:pt idx="196">
                  <c:v>2.4531862647680591E-2</c:v>
                </c:pt>
                <c:pt idx="197">
                  <c:v>2.4553227903361563E-2</c:v>
                </c:pt>
                <c:pt idx="198">
                  <c:v>2.4574592691088637E-2</c:v>
                </c:pt>
                <c:pt idx="199">
                  <c:v>2.4595957010872027E-2</c:v>
                </c:pt>
                <c:pt idx="200">
                  <c:v>2.4617320862721948E-2</c:v>
                </c:pt>
                <c:pt idx="201">
                  <c:v>2.4638684246648723E-2</c:v>
                </c:pt>
                <c:pt idx="202">
                  <c:v>2.4660047162662568E-2</c:v>
                </c:pt>
                <c:pt idx="203">
                  <c:v>2.4681409610773697E-2</c:v>
                </c:pt>
                <c:pt idx="204">
                  <c:v>2.4702771590992434E-2</c:v>
                </c:pt>
                <c:pt idx="205">
                  <c:v>2.4724133103328882E-2</c:v>
                </c:pt>
                <c:pt idx="206">
                  <c:v>2.4745494147793479E-2</c:v>
                </c:pt>
                <c:pt idx="207">
                  <c:v>2.4766854724396326E-2</c:v>
                </c:pt>
                <c:pt idx="208">
                  <c:v>2.4788214833147748E-2</c:v>
                </c:pt>
                <c:pt idx="209">
                  <c:v>2.480957447405796E-2</c:v>
                </c:pt>
                <c:pt idx="210">
                  <c:v>2.4830933647137288E-2</c:v>
                </c:pt>
                <c:pt idx="211">
                  <c:v>2.4852292352395833E-2</c:v>
                </c:pt>
                <c:pt idx="212">
                  <c:v>2.4873650589843921E-2</c:v>
                </c:pt>
                <c:pt idx="213">
                  <c:v>2.4895008359491766E-2</c:v>
                </c:pt>
                <c:pt idx="214">
                  <c:v>2.4916365661349693E-2</c:v>
                </c:pt>
                <c:pt idx="215">
                  <c:v>2.4937722495427916E-2</c:v>
                </c:pt>
                <c:pt idx="216">
                  <c:v>2.495907886173665E-2</c:v>
                </c:pt>
                <c:pt idx="217">
                  <c:v>2.4980434760286108E-2</c:v>
                </c:pt>
                <c:pt idx="218">
                  <c:v>2.5001790191086615E-2</c:v>
                </c:pt>
                <c:pt idx="219">
                  <c:v>2.5023145154148385E-2</c:v>
                </c:pt>
                <c:pt idx="220">
                  <c:v>2.5044499649481633E-2</c:v>
                </c:pt>
                <c:pt idx="221">
                  <c:v>2.5065853677096683E-2</c:v>
                </c:pt>
                <c:pt idx="222">
                  <c:v>2.5087207237003639E-2</c:v>
                </c:pt>
                <c:pt idx="223">
                  <c:v>2.5108560329212937E-2</c:v>
                </c:pt>
                <c:pt idx="224">
                  <c:v>2.5129912953734568E-2</c:v>
                </c:pt>
                <c:pt idx="225">
                  <c:v>2.515126511057908E-2</c:v>
                </c:pt>
                <c:pt idx="226">
                  <c:v>2.5172616799756464E-2</c:v>
                </c:pt>
                <c:pt idx="227">
                  <c:v>2.5193968021277047E-2</c:v>
                </c:pt>
                <c:pt idx="228">
                  <c:v>2.5215318775151152E-2</c:v>
                </c:pt>
                <c:pt idx="229">
                  <c:v>2.5236669061388883E-2</c:v>
                </c:pt>
                <c:pt idx="230">
                  <c:v>2.5258018880000566E-2</c:v>
                </c:pt>
                <c:pt idx="231">
                  <c:v>2.5279368230996413E-2</c:v>
                </c:pt>
                <c:pt idx="232">
                  <c:v>2.530071711438675E-2</c:v>
                </c:pt>
                <c:pt idx="233">
                  <c:v>2.5322065530181681E-2</c:v>
                </c:pt>
                <c:pt idx="234">
                  <c:v>2.5343413478391641E-2</c:v>
                </c:pt>
                <c:pt idx="235">
                  <c:v>2.5364760959026622E-2</c:v>
                </c:pt>
                <c:pt idx="236">
                  <c:v>2.538610797209695E-2</c:v>
                </c:pt>
                <c:pt idx="237">
                  <c:v>2.540745451761306E-2</c:v>
                </c:pt>
                <c:pt idx="238">
                  <c:v>2.5428800595584944E-2</c:v>
                </c:pt>
                <c:pt idx="239">
                  <c:v>2.5450146206022928E-2</c:v>
                </c:pt>
                <c:pt idx="240">
                  <c:v>2.5471491348937336E-2</c:v>
                </c:pt>
                <c:pt idx="241">
                  <c:v>2.5492836024338272E-2</c:v>
                </c:pt>
                <c:pt idx="242">
                  <c:v>2.5514180232236061E-2</c:v>
                </c:pt>
                <c:pt idx="243">
                  <c:v>2.5535523972640806E-2</c:v>
                </c:pt>
                <c:pt idx="244">
                  <c:v>2.5556867245563053E-2</c:v>
                </c:pt>
                <c:pt idx="245">
                  <c:v>2.5578210051012684E-2</c:v>
                </c:pt>
                <c:pt idx="246">
                  <c:v>2.5599552389000135E-2</c:v>
                </c:pt>
                <c:pt idx="247">
                  <c:v>2.5620894259535731E-2</c:v>
                </c:pt>
                <c:pt idx="248">
                  <c:v>2.5642235662629465E-2</c:v>
                </c:pt>
                <c:pt idx="249">
                  <c:v>2.5663576598291771E-2</c:v>
                </c:pt>
                <c:pt idx="250">
                  <c:v>2.5684917066532753E-2</c:v>
                </c:pt>
                <c:pt idx="251">
                  <c:v>2.5706257067362737E-2</c:v>
                </c:pt>
                <c:pt idx="252">
                  <c:v>2.5727596600791935E-2</c:v>
                </c:pt>
                <c:pt idx="253">
                  <c:v>2.5748935666830564E-2</c:v>
                </c:pt>
                <c:pt idx="254">
                  <c:v>2.5770274265488946E-2</c:v>
                </c:pt>
                <c:pt idx="255">
                  <c:v>2.5791612396777186E-2</c:v>
                </c:pt>
                <c:pt idx="256">
                  <c:v>2.5812950060705608E-2</c:v>
                </c:pt>
                <c:pt idx="257">
                  <c:v>2.5834287257284427E-2</c:v>
                </c:pt>
                <c:pt idx="258">
                  <c:v>2.5855623986523857E-2</c:v>
                </c:pt>
                <c:pt idx="259">
                  <c:v>2.5876960248434222E-2</c:v>
                </c:pt>
                <c:pt idx="260">
                  <c:v>2.5898296043025626E-2</c:v>
                </c:pt>
                <c:pt idx="261">
                  <c:v>2.5919631370308505E-2</c:v>
                </c:pt>
                <c:pt idx="262">
                  <c:v>2.594096623029285E-2</c:v>
                </c:pt>
                <c:pt idx="263">
                  <c:v>2.5962300622988987E-2</c:v>
                </c:pt>
                <c:pt idx="264">
                  <c:v>2.5983634548407242E-2</c:v>
                </c:pt>
                <c:pt idx="265">
                  <c:v>2.6004968006557716E-2</c:v>
                </c:pt>
                <c:pt idx="266">
                  <c:v>2.6026300997450735E-2</c:v>
                </c:pt>
                <c:pt idx="267">
                  <c:v>2.6047633521096514E-2</c:v>
                </c:pt>
                <c:pt idx="268">
                  <c:v>2.6068965577505265E-2</c:v>
                </c:pt>
                <c:pt idx="269">
                  <c:v>2.6090297166687204E-2</c:v>
                </c:pt>
                <c:pt idx="270">
                  <c:v>2.6111628288652544E-2</c:v>
                </c:pt>
                <c:pt idx="271">
                  <c:v>2.6132958943411722E-2</c:v>
                </c:pt>
                <c:pt idx="272">
                  <c:v>2.6154289130974728E-2</c:v>
                </c:pt>
                <c:pt idx="273">
                  <c:v>2.6175618851351889E-2</c:v>
                </c:pt>
                <c:pt idx="274">
                  <c:v>2.6196948104553419E-2</c:v>
                </c:pt>
                <c:pt idx="275">
                  <c:v>2.6218276890589531E-2</c:v>
                </c:pt>
                <c:pt idx="276">
                  <c:v>2.6239605209470551E-2</c:v>
                </c:pt>
                <c:pt idx="277">
                  <c:v>2.6260933061206693E-2</c:v>
                </c:pt>
                <c:pt idx="278">
                  <c:v>2.6282260445808059E-2</c:v>
                </c:pt>
                <c:pt idx="279">
                  <c:v>2.6303587363284975E-2</c:v>
                </c:pt>
                <c:pt idx="280">
                  <c:v>2.6324913813647766E-2</c:v>
                </c:pt>
                <c:pt idx="281">
                  <c:v>2.6346239796906423E-2</c:v>
                </c:pt>
                <c:pt idx="282">
                  <c:v>2.6367565313071384E-2</c:v>
                </c:pt>
                <c:pt idx="283">
                  <c:v>2.638889036215275E-2</c:v>
                </c:pt>
                <c:pt idx="284">
                  <c:v>2.6410214944160959E-2</c:v>
                </c:pt>
                <c:pt idx="285">
                  <c:v>2.6431539059106002E-2</c:v>
                </c:pt>
                <c:pt idx="286">
                  <c:v>2.6452862706998204E-2</c:v>
                </c:pt>
                <c:pt idx="287">
                  <c:v>2.6474185887847779E-2</c:v>
                </c:pt>
                <c:pt idx="288">
                  <c:v>2.6495508601664941E-2</c:v>
                </c:pt>
                <c:pt idx="289">
                  <c:v>2.6516830848460016E-2</c:v>
                </c:pt>
                <c:pt idx="290">
                  <c:v>2.6538152628243106E-2</c:v>
                </c:pt>
                <c:pt idx="291">
                  <c:v>2.6559473941024536E-2</c:v>
                </c:pt>
                <c:pt idx="292">
                  <c:v>2.658079478681441E-2</c:v>
                </c:pt>
                <c:pt idx="293">
                  <c:v>2.6602115165623164E-2</c:v>
                </c:pt>
                <c:pt idx="294">
                  <c:v>2.6623435077460789E-2</c:v>
                </c:pt>
                <c:pt idx="295">
                  <c:v>2.6644754522337721E-2</c:v>
                </c:pt>
                <c:pt idx="296">
                  <c:v>2.6666073500264065E-2</c:v>
                </c:pt>
                <c:pt idx="297">
                  <c:v>2.6687392011250144E-2</c:v>
                </c:pt>
                <c:pt idx="298">
                  <c:v>2.6708710055306062E-2</c:v>
                </c:pt>
                <c:pt idx="299">
                  <c:v>2.6730027632442033E-2</c:v>
                </c:pt>
                <c:pt idx="300">
                  <c:v>2.6751344742668492E-2</c:v>
                </c:pt>
                <c:pt idx="301">
                  <c:v>2.6772661385995433E-2</c:v>
                </c:pt>
                <c:pt idx="302">
                  <c:v>2.679397756243318E-2</c:v>
                </c:pt>
                <c:pt idx="303">
                  <c:v>2.6815293271991947E-2</c:v>
                </c:pt>
                <c:pt idx="304">
                  <c:v>2.6836608514682059E-2</c:v>
                </c:pt>
                <c:pt idx="305">
                  <c:v>2.6857923290513508E-2</c:v>
                </c:pt>
                <c:pt idx="306">
                  <c:v>2.6879237599496841E-2</c:v>
                </c:pt>
                <c:pt idx="307">
                  <c:v>2.690055144164194E-2</c:v>
                </c:pt>
                <c:pt idx="308">
                  <c:v>2.6921864816959351E-2</c:v>
                </c:pt>
                <c:pt idx="309">
                  <c:v>2.6943177725459067E-2</c:v>
                </c:pt>
                <c:pt idx="310">
                  <c:v>2.69644901671513E-2</c:v>
                </c:pt>
                <c:pt idx="311">
                  <c:v>2.6985802142046489E-2</c:v>
                </c:pt>
                <c:pt idx="312">
                  <c:v>2.7007113650154624E-2</c:v>
                </c:pt>
                <c:pt idx="313">
                  <c:v>2.7028424691486141E-2</c:v>
                </c:pt>
                <c:pt idx="314">
                  <c:v>2.7049735266051145E-2</c:v>
                </c:pt>
                <c:pt idx="315">
                  <c:v>2.7071045373859848E-2</c:v>
                </c:pt>
                <c:pt idx="316">
                  <c:v>2.7092355014922465E-2</c:v>
                </c:pt>
                <c:pt idx="317">
                  <c:v>2.711366418924932E-2</c:v>
                </c:pt>
                <c:pt idx="318">
                  <c:v>2.7134972896850518E-2</c:v>
                </c:pt>
                <c:pt idx="319">
                  <c:v>2.7156281137736382E-2</c:v>
                </c:pt>
                <c:pt idx="320">
                  <c:v>2.7177588911917017E-2</c:v>
                </c:pt>
                <c:pt idx="321">
                  <c:v>2.7198896219402746E-2</c:v>
                </c:pt>
                <c:pt idx="322">
                  <c:v>2.7220203060203785E-2</c:v>
                </c:pt>
                <c:pt idx="323">
                  <c:v>2.7241509434330347E-2</c:v>
                </c:pt>
                <c:pt idx="324">
                  <c:v>2.7262815341792535E-2</c:v>
                </c:pt>
                <c:pt idx="325">
                  <c:v>2.7284120782600785E-2</c:v>
                </c:pt>
                <c:pt idx="326">
                  <c:v>2.7305425756765089E-2</c:v>
                </c:pt>
                <c:pt idx="327">
                  <c:v>2.7326730264295884E-2</c:v>
                </c:pt>
                <c:pt idx="328">
                  <c:v>2.7348034305203162E-2</c:v>
                </c:pt>
                <c:pt idx="329">
                  <c:v>2.7369337879497357E-2</c:v>
                </c:pt>
                <c:pt idx="330">
                  <c:v>2.7390640987188575E-2</c:v>
                </c:pt>
                <c:pt idx="331">
                  <c:v>2.7411943628287139E-2</c:v>
                </c:pt>
                <c:pt idx="332">
                  <c:v>2.7433245802803041E-2</c:v>
                </c:pt>
                <c:pt idx="333">
                  <c:v>2.745454751074683E-2</c:v>
                </c:pt>
                <c:pt idx="334">
                  <c:v>2.7475848752128385E-2</c:v>
                </c:pt>
                <c:pt idx="335">
                  <c:v>2.7497149526958142E-2</c:v>
                </c:pt>
                <c:pt idx="336">
                  <c:v>2.7518449835246317E-2</c:v>
                </c:pt>
                <c:pt idx="337">
                  <c:v>2.7539749677003011E-2</c:v>
                </c:pt>
                <c:pt idx="338">
                  <c:v>2.7561049052238551E-2</c:v>
                </c:pt>
                <c:pt idx="339">
                  <c:v>2.7582347960963038E-2</c:v>
                </c:pt>
                <c:pt idx="340">
                  <c:v>2.7603646403186799E-2</c:v>
                </c:pt>
                <c:pt idx="341">
                  <c:v>2.7624944378920047E-2</c:v>
                </c:pt>
                <c:pt idx="342">
                  <c:v>2.7646241888172995E-2</c:v>
                </c:pt>
                <c:pt idx="343">
                  <c:v>2.7667538930955748E-2</c:v>
                </c:pt>
                <c:pt idx="344">
                  <c:v>2.7688835507278631E-2</c:v>
                </c:pt>
                <c:pt idx="345">
                  <c:v>2.7710131617151856E-2</c:v>
                </c:pt>
                <c:pt idx="346">
                  <c:v>2.7731427260585639E-2</c:v>
                </c:pt>
                <c:pt idx="347">
                  <c:v>2.7752722437590083E-2</c:v>
                </c:pt>
                <c:pt idx="348">
                  <c:v>2.7774017148175623E-2</c:v>
                </c:pt>
                <c:pt idx="349">
                  <c:v>2.7795311392352251E-2</c:v>
                </c:pt>
                <c:pt idx="350">
                  <c:v>2.7816605170130293E-2</c:v>
                </c:pt>
                <c:pt idx="351">
                  <c:v>2.7837898481519963E-2</c:v>
                </c:pt>
                <c:pt idx="352">
                  <c:v>2.7859191326531474E-2</c:v>
                </c:pt>
                <c:pt idx="353">
                  <c:v>2.7880483705175041E-2</c:v>
                </c:pt>
                <c:pt idx="354">
                  <c:v>2.7901775617460878E-2</c:v>
                </c:pt>
                <c:pt idx="355">
                  <c:v>2.7923067063399198E-2</c:v>
                </c:pt>
                <c:pt idx="356">
                  <c:v>2.7944358043000217E-2</c:v>
                </c:pt>
                <c:pt idx="357">
                  <c:v>2.7965648556274147E-2</c:v>
                </c:pt>
                <c:pt idx="358">
                  <c:v>2.7986938603231093E-2</c:v>
                </c:pt>
                <c:pt idx="359">
                  <c:v>2.8008228183881489E-2</c:v>
                </c:pt>
                <c:pt idx="360">
                  <c:v>2.802951729823544E-2</c:v>
                </c:pt>
                <c:pt idx="361">
                  <c:v>2.8050805946303048E-2</c:v>
                </c:pt>
                <c:pt idx="362">
                  <c:v>2.8072094128094638E-2</c:v>
                </c:pt>
                <c:pt idx="363">
                  <c:v>2.8093381843620424E-2</c:v>
                </c:pt>
                <c:pt idx="364">
                  <c:v>2.8114669092890732E-2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5.0301113607721076E-2</c:v>
                </c:pt>
                <c:pt idx="1">
                  <c:v>5.0358218901515074E-2</c:v>
                </c:pt>
                <c:pt idx="2">
                  <c:v>5.0415378940365005E-2</c:v>
                </c:pt>
                <c:pt idx="3">
                  <c:v>5.0472582366644959E-2</c:v>
                </c:pt>
                <c:pt idx="4">
                  <c:v>5.0529819292194425E-2</c:v>
                </c:pt>
                <c:pt idx="5">
                  <c:v>5.0587081257839082E-2</c:v>
                </c:pt>
                <c:pt idx="6">
                  <c:v>5.0644361181400407E-2</c:v>
                </c:pt>
                <c:pt idx="7">
                  <c:v>5.0701653295073819E-2</c:v>
                </c:pt>
                <c:pt idx="8">
                  <c:v>5.0758953073136208E-2</c:v>
                </c:pt>
                <c:pt idx="9">
                  <c:v>5.081625715101442E-2</c:v>
                </c:pt>
                <c:pt idx="10">
                  <c:v>5.0873563236806085E-2</c:v>
                </c:pt>
                <c:pt idx="11">
                  <c:v>5.0930870016392342E-2</c:v>
                </c:pt>
                <c:pt idx="12">
                  <c:v>5.0988177053318526E-2</c:v>
                </c:pt>
                <c:pt idx="13">
                  <c:v>5.1045484684643379E-2</c:v>
                </c:pt>
                <c:pt idx="14">
                  <c:v>5.1102793913969678E-2</c:v>
                </c:pt>
                <c:pt idx="15">
                  <c:v>5.1160106302869789E-2</c:v>
                </c:pt>
                <c:pt idx="16">
                  <c:v>5.1217423861907925E-2</c:v>
                </c:pt>
                <c:pt idx="17">
                  <c:v>5.1274748942438032E-2</c:v>
                </c:pt>
                <c:pt idx="18">
                  <c:v>5.1332084130322204E-2</c:v>
                </c:pt>
                <c:pt idx="19">
                  <c:v>5.1389432142669299E-2</c:v>
                </c:pt>
                <c:pt idx="20">
                  <c:v>5.1446795728638688E-2</c:v>
                </c:pt>
                <c:pt idx="21">
                  <c:v>5.1504177575290161E-2</c:v>
                </c:pt>
                <c:pt idx="22">
                  <c:v>5.1561580219387081E-2</c:v>
                </c:pt>
                <c:pt idx="23">
                  <c:v>5.1619005965980784E-2</c:v>
                </c:pt>
                <c:pt idx="24">
                  <c:v>5.167645681451527E-2</c:v>
                </c:pt>
                <c:pt idx="25">
                  <c:v>5.1733934393099187E-2</c:v>
                </c:pt>
                <c:pt idx="26">
                  <c:v>5.1791439901493645E-2</c:v>
                </c:pt>
                <c:pt idx="27">
                  <c:v>5.1848974063262568E-2</c:v>
                </c:pt>
                <c:pt idx="28">
                  <c:v>5.1906537087428414E-2</c:v>
                </c:pt>
                <c:pt idx="29">
                  <c:v>5.1964128639869975E-2</c:v>
                </c:pt>
                <c:pt idx="30">
                  <c:v>5.2021747824592769E-2</c:v>
                </c:pt>
                <c:pt idx="31">
                  <c:v>5.2079393174897286E-2</c:v>
                </c:pt>
                <c:pt idx="32">
                  <c:v>5.2137062654366163E-2</c:v>
                </c:pt>
                <c:pt idx="33">
                  <c:v>5.219475366749092E-2</c:v>
                </c:pt>
                <c:pt idx="34">
                  <c:v>5.2252463079661055E-2</c:v>
                </c:pt>
                <c:pt idx="35">
                  <c:v>5.2310187246146667E-2</c:v>
                </c:pt>
                <c:pt idx="36">
                  <c:v>5.2367922049618348E-2</c:v>
                </c:pt>
                <c:pt idx="37">
                  <c:v>5.2425662945667792E-2</c:v>
                </c:pt>
                <c:pt idx="38">
                  <c:v>5.2483405015719707E-2</c:v>
                </c:pt>
                <c:pt idx="39">
                  <c:v>5.2541143026659423E-2</c:v>
                </c:pt>
                <c:pt idx="40">
                  <c:v>5.2598871496444315E-2</c:v>
                </c:pt>
                <c:pt idx="41">
                  <c:v>5.2656584764917969E-2</c:v>
                </c:pt>
                <c:pt idx="42">
                  <c:v>5.2714277069007213E-2</c:v>
                </c:pt>
                <c:pt idx="43">
                  <c:v>5.277194262145235E-2</c:v>
                </c:pt>
                <c:pt idx="44">
                  <c:v>5.282957569220003E-2</c:v>
                </c:pt>
                <c:pt idx="45">
                  <c:v>5.2887170691578035E-2</c:v>
                </c:pt>
                <c:pt idx="46">
                  <c:v>5.2944722254369352E-2</c:v>
                </c:pt>
                <c:pt idx="47">
                  <c:v>5.300222532391112E-2</c:v>
                </c:pt>
                <c:pt idx="48">
                  <c:v>5.3059675235361037E-2</c:v>
                </c:pt>
                <c:pt idx="49">
                  <c:v>5.3117067797299307E-2</c:v>
                </c:pt>
                <c:pt idx="50">
                  <c:v>5.3174399370868111E-2</c:v>
                </c:pt>
                <c:pt idx="51">
                  <c:v>5.3231666945692306E-2</c:v>
                </c:pt>
                <c:pt idx="52">
                  <c:v>5.3288868211873189E-2</c:v>
                </c:pt>
                <c:pt idx="53">
                  <c:v>5.3346001627402911E-2</c:v>
                </c:pt>
                <c:pt idx="54">
                  <c:v>5.3403066480406568E-2</c:v>
                </c:pt>
                <c:pt idx="55">
                  <c:v>5.346006294568581E-2</c:v>
                </c:pt>
                <c:pt idx="56">
                  <c:v>5.3516992135105974E-2</c:v>
                </c:pt>
                <c:pt idx="57">
                  <c:v>5.3573856141442049E-2</c:v>
                </c:pt>
                <c:pt idx="58">
                  <c:v>5.3630658075373622E-2</c:v>
                </c:pt>
                <c:pt idx="59">
                  <c:v>5.3687402095394403E-2</c:v>
                </c:pt>
                <c:pt idx="60">
                  <c:v>5.3744093430479582E-2</c:v>
                </c:pt>
                <c:pt idx="61">
                  <c:v>5.3800738395429239E-2</c:v>
                </c:pt>
                <c:pt idx="62">
                  <c:v>5.3857344398882082E-2</c:v>
                </c:pt>
                <c:pt idx="63">
                  <c:v>5.3913919944065115E-2</c:v>
                </c:pt>
                <c:pt idx="64">
                  <c:v>5.397047462241597E-2</c:v>
                </c:pt>
                <c:pt idx="65">
                  <c:v>5.4027019100279426E-2</c:v>
                </c:pt>
                <c:pt idx="66">
                  <c:v>5.4083565098941855E-2</c:v>
                </c:pt>
                <c:pt idx="67">
                  <c:v>5.4140125368323827E-2</c:v>
                </c:pt>
                <c:pt idx="68">
                  <c:v>5.4196713654701807E-2</c:v>
                </c:pt>
                <c:pt idx="69">
                  <c:v>5.4253344662874854E-2</c:v>
                </c:pt>
                <c:pt idx="70">
                  <c:v>5.4310034013230757E-2</c:v>
                </c:pt>
                <c:pt idx="71">
                  <c:v>5.4366798194197173E-2</c:v>
                </c:pt>
                <c:pt idx="72">
                  <c:v>5.4423654510588185E-2</c:v>
                </c:pt>
                <c:pt idx="73">
                  <c:v>5.4480621028373762E-2</c:v>
                </c:pt>
                <c:pt idx="74">
                  <c:v>5.4537716516410061E-2</c:v>
                </c:pt>
                <c:pt idx="75">
                  <c:v>5.4594960385670591E-2</c:v>
                </c:pt>
                <c:pt idx="76">
                  <c:v>5.4652372626515414E-2</c:v>
                </c:pt>
                <c:pt idx="77">
                  <c:v>5.4709973744522869E-2</c:v>
                </c:pt>
                <c:pt idx="78">
                  <c:v>5.4767784695392611E-2</c:v>
                </c:pt>
                <c:pt idx="79">
                  <c:v>5.4825826819403393E-2</c:v>
                </c:pt>
                <c:pt idx="80">
                  <c:v>5.4884121775880923E-2</c:v>
                </c:pt>
                <c:pt idx="81">
                  <c:v>5.4942691478095891E-2</c:v>
                </c:pt>
                <c:pt idx="82">
                  <c:v>5.5001558028973316E-2</c:v>
                </c:pt>
                <c:pt idx="83">
                  <c:v>5.5060743657951605E-2</c:v>
                </c:pt>
                <c:pt idx="84">
                  <c:v>5.5120270659282961E-2</c:v>
                </c:pt>
                <c:pt idx="85">
                  <c:v>5.5180161332018279E-2</c:v>
                </c:pt>
                <c:pt idx="86">
                  <c:v>5.5240437921869029E-2</c:v>
                </c:pt>
                <c:pt idx="87">
                  <c:v>5.5301122565086847E-2</c:v>
                </c:pt>
                <c:pt idx="88">
                  <c:v>5.5362237234450128E-2</c:v>
                </c:pt>
                <c:pt idx="89">
                  <c:v>5.5423803687394885E-2</c:v>
                </c:pt>
                <c:pt idx="90">
                  <c:v>5.548584341627804E-2</c:v>
                </c:pt>
                <c:pt idx="91">
                  <c:v>5.5548377600712552E-2</c:v>
                </c:pt>
                <c:pt idx="92">
                  <c:v>5.5611427061869168E-2</c:v>
                </c:pt>
                <c:pt idx="93">
                  <c:v>5.5675012218597338E-2</c:v>
                </c:pt>
                <c:pt idx="94">
                  <c:v>5.5739153045180602E-2</c:v>
                </c:pt>
                <c:pt idx="95">
                  <c:v>5.5803869030508151E-2</c:v>
                </c:pt>
                <c:pt idx="96">
                  <c:v>5.5869179138416665E-2</c:v>
                </c:pt>
                <c:pt idx="97">
                  <c:v>5.5935101768933855E-2</c:v>
                </c:pt>
                <c:pt idx="98">
                  <c:v>5.6001654720138891E-2</c:v>
                </c:pt>
                <c:pt idx="99">
                  <c:v>5.6068855150344377E-2</c:v>
                </c:pt>
                <c:pt idx="100">
                  <c:v>5.6136719540300632E-2</c:v>
                </c:pt>
                <c:pt idx="101">
                  <c:v>5.6205263655126098E-2</c:v>
                </c:pt>
                <c:pt idx="102">
                  <c:v>5.6274502505676033E-2</c:v>
                </c:pt>
                <c:pt idx="103">
                  <c:v>5.6344450309078344E-2</c:v>
                </c:pt>
                <c:pt idx="104">
                  <c:v>5.6415120448186293E-2</c:v>
                </c:pt>
                <c:pt idx="105">
                  <c:v>5.648652542972666E-2</c:v>
                </c:pt>
                <c:pt idx="106">
                  <c:v>5.6558676840955342E-2</c:v>
                </c:pt>
                <c:pt idx="107">
                  <c:v>5.6631585304671515E-2</c:v>
                </c:pt>
                <c:pt idx="108">
                  <c:v>5.6705260432485548E-2</c:v>
                </c:pt>
                <c:pt idx="109">
                  <c:v>5.6779710776284194E-2</c:v>
                </c:pt>
                <c:pt idx="110">
                  <c:v>5.0350886553575799E-3</c:v>
                </c:pt>
                <c:pt idx="111">
                  <c:v>5.124414662617904E-3</c:v>
                </c:pt>
                <c:pt idx="112">
                  <c:v>5.2138023254094555E-3</c:v>
                </c:pt>
                <c:pt idx="113">
                  <c:v>5.3032554441618234E-3</c:v>
                </c:pt>
                <c:pt idx="114">
                  <c:v>5.3927776966319384E-3</c:v>
                </c:pt>
                <c:pt idx="115">
                  <c:v>5.4823726228550194E-3</c:v>
                </c:pt>
                <c:pt idx="116">
                  <c:v>5.5720436096210043E-3</c:v>
                </c:pt>
                <c:pt idx="117">
                  <c:v>5.6617938745138633E-3</c:v>
                </c:pt>
                <c:pt idx="118">
                  <c:v>5.7516264495608036E-3</c:v>
                </c:pt>
                <c:pt idx="119">
                  <c:v>5.8415441645492975E-3</c:v>
                </c:pt>
                <c:pt idx="120">
                  <c:v>5.93154963007941E-3</c:v>
                </c:pt>
                <c:pt idx="121">
                  <c:v>6.0216452204302322E-3</c:v>
                </c:pt>
                <c:pt idx="122">
                  <c:v>6.1118330563287235E-3</c:v>
                </c:pt>
                <c:pt idx="123">
                  <c:v>6.202114987719741E-3</c:v>
                </c:pt>
                <c:pt idx="124">
                  <c:v>6.2924925766453185E-3</c:v>
                </c:pt>
                <c:pt idx="125">
                  <c:v>6.3829670803500858E-3</c:v>
                </c:pt>
                <c:pt idx="126">
                  <c:v>6.4735394347380133E-3</c:v>
                </c:pt>
                <c:pt idx="127">
                  <c:v>6.5642102383126448E-3</c:v>
                </c:pt>
                <c:pt idx="128">
                  <c:v>6.6549797367393337E-3</c:v>
                </c:pt>
                <c:pt idx="129">
                  <c:v>6.7458478081726244E-3</c:v>
                </c:pt>
                <c:pt idx="130">
                  <c:v>6.8368139494958584E-3</c:v>
                </c:pt>
                <c:pt idx="131">
                  <c:v>6.9278772636219895E-3</c:v>
                </c:pt>
                <c:pt idx="132">
                  <c:v>7.0190364480054645E-3</c:v>
                </c:pt>
                <c:pt idx="133">
                  <c:v>7.1102897845138477E-3</c:v>
                </c:pt>
                <c:pt idx="134">
                  <c:v>7.2016351308054798E-3</c:v>
                </c:pt>
                <c:pt idx="135">
                  <c:v>7.2930699133549829E-3</c:v>
                </c:pt>
                <c:pt idx="136">
                  <c:v>7.3845911222624079E-3</c:v>
                </c:pt>
                <c:pt idx="137">
                  <c:v>7.4761953079740999E-3</c:v>
                </c:pt>
                <c:pt idx="138">
                  <c:v>7.5678785800336696E-3</c:v>
                </c:pt>
                <c:pt idx="139">
                  <c:v>7.6596366079705351E-3</c:v>
                </c:pt>
                <c:pt idx="140">
                  <c:v>7.7514646244203553E-3</c:v>
                </c:pt>
                <c:pt idx="141">
                  <c:v>7.8433574305576455E-3</c:v>
                </c:pt>
                <c:pt idx="142">
                  <c:v>7.9353094039048989E-3</c:v>
                </c:pt>
                <c:pt idx="143">
                  <c:v>8.027314508565515E-3</c:v>
                </c:pt>
                <c:pt idx="144">
                  <c:v>8.119366307909456E-3</c:v>
                </c:pt>
                <c:pt idx="145">
                  <c:v>8.2114579797215488E-3</c:v>
                </c:pt>
                <c:pt idx="146">
                  <c:v>8.303582333801884E-3</c:v>
                </c:pt>
                <c:pt idx="147">
                  <c:v>8.3957318319872309E-3</c:v>
                </c:pt>
                <c:pt idx="148">
                  <c:v>8.4878986105410871E-3</c:v>
                </c:pt>
                <c:pt idx="149">
                  <c:v>8.5800745048386483E-3</c:v>
                </c:pt>
                <c:pt idx="150">
                  <c:v>8.6722510762512837E-3</c:v>
                </c:pt>
                <c:pt idx="151">
                  <c:v>8.7644196411140185E-3</c:v>
                </c:pt>
                <c:pt idx="152">
                  <c:v>8.8565713016388013E-3</c:v>
                </c:pt>
                <c:pt idx="153">
                  <c:v>8.9486969786159373E-3</c:v>
                </c:pt>
                <c:pt idx="154">
                  <c:v>9.0407874457269881E-3</c:v>
                </c:pt>
                <c:pt idx="155">
                  <c:v>9.1328333652742691E-3</c:v>
                </c:pt>
                <c:pt idx="156">
                  <c:v>9.2248253251153087E-3</c:v>
                </c:pt>
                <c:pt idx="157">
                  <c:v>9.3167538765753458E-3</c:v>
                </c:pt>
                <c:pt idx="158">
                  <c:v>9.408609573097429E-3</c:v>
                </c:pt>
                <c:pt idx="159">
                  <c:v>9.5003830093780568E-3</c:v>
                </c:pt>
                <c:pt idx="160">
                  <c:v>9.5920648607268344E-3</c:v>
                </c:pt>
                <c:pt idx="161">
                  <c:v>9.6836459223812593E-3</c:v>
                </c:pt>
                <c:pt idx="162">
                  <c:v>9.7751171485026944E-3</c:v>
                </c:pt>
                <c:pt idx="163">
                  <c:v>9.8664696905772561E-3</c:v>
                </c:pt>
                <c:pt idx="164">
                  <c:v>9.9576949349449839E-3</c:v>
                </c:pt>
                <c:pt idx="165">
                  <c:v>1.0048784539183489E-2</c:v>
                </c:pt>
                <c:pt idx="166">
                  <c:v>1.0139730467077097E-2</c:v>
                </c:pt>
                <c:pt idx="167">
                  <c:v>1.0230525021910341E-2</c:v>
                </c:pt>
                <c:pt idx="168">
                  <c:v>1.0321160877834752E-2</c:v>
                </c:pt>
                <c:pt idx="169">
                  <c:v>1.0411631109070426E-2</c:v>
                </c:pt>
                <c:pt idx="170">
                  <c:v>1.0501929216719271E-2</c:v>
                </c:pt>
                <c:pt idx="171">
                  <c:v>1.0592049152983457E-2</c:v>
                </c:pt>
                <c:pt idx="172">
                  <c:v>1.0681985342602849E-2</c:v>
                </c:pt>
                <c:pt idx="173">
                  <c:v>1.0771732701345649E-2</c:v>
                </c:pt>
                <c:pt idx="174">
                  <c:v>1.0861286651410425E-2</c:v>
                </c:pt>
                <c:pt idx="175">
                  <c:v>1.095064313362179E-2</c:v>
                </c:pt>
                <c:pt idx="176">
                  <c:v>1.1039798616328287E-2</c:v>
                </c:pt>
                <c:pt idx="177">
                  <c:v>1.1128750100937954E-2</c:v>
                </c:pt>
                <c:pt idx="178">
                  <c:v>1.1217495124055052E-2</c:v>
                </c:pt>
                <c:pt idx="179">
                  <c:v>1.1306031756209683E-2</c:v>
                </c:pt>
                <c:pt idx="180">
                  <c:v>1.1394358597200739E-2</c:v>
                </c:pt>
                <c:pt idx="181">
                  <c:v>1.1482474768101408E-2</c:v>
                </c:pt>
                <c:pt idx="182">
                  <c:v>1.1570379900004368E-2</c:v>
                </c:pt>
                <c:pt idx="183">
                  <c:v>1.165807411961187E-2</c:v>
                </c:pt>
                <c:pt idx="184">
                  <c:v>1.1745558031802387E-2</c:v>
                </c:pt>
                <c:pt idx="185">
                  <c:v>1.1832832699331214E-2</c:v>
                </c:pt>
                <c:pt idx="186">
                  <c:v>1.1919899619846453E-2</c:v>
                </c:pt>
                <c:pt idx="187">
                  <c:v>1.200676070042426E-2</c:v>
                </c:pt>
                <c:pt idx="188">
                  <c:v>1.2093418229847535E-2</c:v>
                </c:pt>
                <c:pt idx="189">
                  <c:v>1.217987484887067E-2</c:v>
                </c:pt>
                <c:pt idx="190">
                  <c:v>1.2266133518728772E-2</c:v>
                </c:pt>
                <c:pt idx="191">
                  <c:v>1.2352197488163063E-2</c:v>
                </c:pt>
                <c:pt idx="192">
                  <c:v>1.2438070259244731E-2</c:v>
                </c:pt>
                <c:pt idx="193">
                  <c:v>1.2523755552287645E-2</c:v>
                </c:pt>
                <c:pt idx="194">
                  <c:v>1.2609257270144732E-2</c:v>
                </c:pt>
                <c:pt idx="195">
                  <c:v>1.2694579462185033E-2</c:v>
                </c:pt>
                <c:pt idx="196">
                  <c:v>1.2779726288247487E-2</c:v>
                </c:pt>
                <c:pt idx="197">
                  <c:v>1.286470198286299E-2</c:v>
                </c:pt>
                <c:pt idx="198">
                  <c:v>1.2949510820029667E-2</c:v>
                </c:pt>
                <c:pt idx="199">
                  <c:v>1.3034157078816165E-2</c:v>
                </c:pt>
                <c:pt idx="200">
                  <c:v>1.3118645010054917E-2</c:v>
                </c:pt>
                <c:pt idx="201">
                  <c:v>1.3202978804372493E-2</c:v>
                </c:pt>
                <c:pt idx="202">
                  <c:v>1.3287162561785556E-2</c:v>
                </c:pt>
                <c:pt idx="203">
                  <c:v>1.3371200263071582E-2</c:v>
                </c:pt>
                <c:pt idx="204">
                  <c:v>1.3455095743100774E-2</c:v>
                </c:pt>
                <c:pt idx="205">
                  <c:v>1.3538852666291791E-2</c:v>
                </c:pt>
                <c:pt idx="206">
                  <c:v>1.3622474504328358E-2</c:v>
                </c:pt>
                <c:pt idx="207">
                  <c:v>1.3705964516246942E-2</c:v>
                </c:pt>
                <c:pt idx="208">
                  <c:v>1.3789325730977835E-2</c:v>
                </c:pt>
                <c:pt idx="209">
                  <c:v>1.3872560932393597E-2</c:v>
                </c:pt>
                <c:pt idx="210">
                  <c:v>1.3955672646889935E-2</c:v>
                </c:pt>
                <c:pt idx="211">
                  <c:v>1.4038663133495468E-2</c:v>
                </c:pt>
                <c:pt idx="212">
                  <c:v>1.4121534376478071E-2</c:v>
                </c:pt>
                <c:pt idx="213">
                  <c:v>1.4204288080388051E-2</c:v>
                </c:pt>
                <c:pt idx="214">
                  <c:v>1.4286925667451329E-2</c:v>
                </c:pt>
                <c:pt idx="215">
                  <c:v>1.4369448277200325E-2</c:v>
                </c:pt>
                <c:pt idx="216">
                  <c:v>1.4451856768206617E-2</c:v>
                </c:pt>
                <c:pt idx="217">
                  <c:v>1.453415172175686E-2</c:v>
                </c:pt>
                <c:pt idx="218">
                  <c:v>1.4616333447294252E-2</c:v>
                </c:pt>
                <c:pt idx="219">
                  <c:v>1.4698401989429795E-2</c:v>
                </c:pt>
                <c:pt idx="220">
                  <c:v>1.478035713631305E-2</c:v>
                </c:pt>
                <c:pt idx="221">
                  <c:v>1.4862198429140001E-2</c:v>
                </c:pt>
                <c:pt idx="222">
                  <c:v>1.4943925172566349E-2</c:v>
                </c:pt>
                <c:pt idx="223">
                  <c:v>1.5025536445788702E-2</c:v>
                </c:pt>
                <c:pt idx="224">
                  <c:v>1.5107031114053286E-2</c:v>
                </c:pt>
                <c:pt idx="225">
                  <c:v>1.518840784035189E-2</c:v>
                </c:pt>
                <c:pt idx="226">
                  <c:v>1.5269665097068671E-2</c:v>
                </c:pt>
                <c:pt idx="227">
                  <c:v>1.5350801177347979E-2</c:v>
                </c:pt>
                <c:pt idx="228">
                  <c:v>1.5431814205963288E-2</c:v>
                </c:pt>
                <c:pt idx="229">
                  <c:v>1.5512702149480626E-2</c:v>
                </c:pt>
                <c:pt idx="230">
                  <c:v>1.559346282552509E-2</c:v>
                </c:pt>
                <c:pt idx="231">
                  <c:v>1.56740939109784E-2</c:v>
                </c:pt>
                <c:pt idx="232">
                  <c:v>1.5754592948955974E-2</c:v>
                </c:pt>
                <c:pt idx="233">
                  <c:v>1.5834957354435783E-2</c:v>
                </c:pt>
                <c:pt idx="234">
                  <c:v>1.5915184418436434E-2</c:v>
                </c:pt>
                <c:pt idx="235">
                  <c:v>1.5995271310669121E-2</c:v>
                </c:pt>
                <c:pt idx="236">
                  <c:v>1.6075215080616923E-2</c:v>
                </c:pt>
                <c:pt idx="237">
                  <c:v>1.6155012657024011E-2</c:v>
                </c:pt>
                <c:pt idx="238">
                  <c:v>1.6234660845808015E-2</c:v>
                </c:pt>
                <c:pt idx="239">
                  <c:v>1.6314156326439396E-2</c:v>
                </c:pt>
                <c:pt idx="240">
                  <c:v>1.6393495646862204E-2</c:v>
                </c:pt>
                <c:pt idx="241">
                  <c:v>1.6472675217060528E-2</c:v>
                </c:pt>
                <c:pt idx="242">
                  <c:v>1.6551691301404887E-2</c:v>
                </c:pt>
                <c:pt idx="243">
                  <c:v>1.663054000994036E-2</c:v>
                </c:pt>
                <c:pt idx="244">
                  <c:v>1.6709217288805013E-2</c:v>
                </c:pt>
                <c:pt idx="245">
                  <c:v>1.6787718909992158E-2</c:v>
                </c:pt>
                <c:pt idx="246">
                  <c:v>1.6866040460691741E-2</c:v>
                </c:pt>
                <c:pt idx="247">
                  <c:v>1.6944177332466542E-2</c:v>
                </c:pt>
                <c:pt idx="248">
                  <c:v>1.7022124710535477E-2</c:v>
                </c:pt>
                <c:pt idx="249">
                  <c:v>1.7099877563449876E-2</c:v>
                </c:pt>
                <c:pt idx="250">
                  <c:v>1.7177430633459535E-2</c:v>
                </c:pt>
                <c:pt idx="251">
                  <c:v>1.725477842787141E-2</c:v>
                </c:pt>
                <c:pt idx="252">
                  <c:v>1.7331915211707325E-2</c:v>
                </c:pt>
                <c:pt idx="253">
                  <c:v>1.7408835001966078E-2</c:v>
                </c:pt>
                <c:pt idx="254">
                  <c:v>1.7485531563790419E-2</c:v>
                </c:pt>
                <c:pt idx="255">
                  <c:v>1.7561998408830722E-2</c:v>
                </c:pt>
                <c:pt idx="256">
                  <c:v>1.7638228796084243E-2</c:v>
                </c:pt>
                <c:pt idx="257">
                  <c:v>1.7714215735472411E-2</c:v>
                </c:pt>
                <c:pt idx="258">
                  <c:v>1.7789951994397639E-2</c:v>
                </c:pt>
                <c:pt idx="259">
                  <c:v>1.7865430107497603E-2</c:v>
                </c:pt>
                <c:pt idx="260">
                  <c:v>1.7940642389786366E-2</c:v>
                </c:pt>
                <c:pt idx="261">
                  <c:v>1.8015580953341808E-2</c:v>
                </c:pt>
                <c:pt idx="262">
                  <c:v>1.8090237727663935E-2</c:v>
                </c:pt>
                <c:pt idx="263">
                  <c:v>1.8164604483792621E-2</c:v>
                </c:pt>
                <c:pt idx="264">
                  <c:v>1.8238672862234379E-2</c:v>
                </c:pt>
                <c:pt idx="265">
                  <c:v>1.8312434404706389E-2</c:v>
                </c:pt>
                <c:pt idx="266">
                  <c:v>1.8385880589664404E-2</c:v>
                </c:pt>
                <c:pt idx="267">
                  <c:v>1.8459002871536668E-2</c:v>
                </c:pt>
                <c:pt idx="268">
                  <c:v>1.8531792723542675E-2</c:v>
                </c:pt>
                <c:pt idx="269">
                  <c:v>1.860424168393051E-2</c:v>
                </c:pt>
                <c:pt idx="270">
                  <c:v>1.8676341405422903E-2</c:v>
                </c:pt>
                <c:pt idx="271">
                  <c:v>1.8748083707618372E-2</c:v>
                </c:pt>
                <c:pt idx="272">
                  <c:v>1.8819460632052098E-2</c:v>
                </c:pt>
                <c:pt idx="273">
                  <c:v>1.8890464499580612E-2</c:v>
                </c:pt>
                <c:pt idx="274">
                  <c:v>1.8961087969716135E-2</c:v>
                </c:pt>
                <c:pt idx="275">
                  <c:v>1.9031324101501261E-2</c:v>
                </c:pt>
                <c:pt idx="276">
                  <c:v>1.9101166415481648E-2</c:v>
                </c:pt>
                <c:pt idx="277">
                  <c:v>1.9170608956306151E-2</c:v>
                </c:pt>
                <c:pt idx="278">
                  <c:v>1.9239646355458155E-2</c:v>
                </c:pt>
                <c:pt idx="279">
                  <c:v>1.9308273893601569E-2</c:v>
                </c:pt>
                <c:pt idx="280">
                  <c:v>1.9376487562008049E-2</c:v>
                </c:pt>
                <c:pt idx="281">
                  <c:v>1.9444284122521215E-2</c:v>
                </c:pt>
                <c:pt idx="282">
                  <c:v>1.9511661165506494E-2</c:v>
                </c:pt>
                <c:pt idx="283">
                  <c:v>1.9578617165234371E-2</c:v>
                </c:pt>
                <c:pt idx="284">
                  <c:v>1.9645151532148609E-2</c:v>
                </c:pt>
                <c:pt idx="285">
                  <c:v>1.9711264661480436E-2</c:v>
                </c:pt>
                <c:pt idx="286">
                  <c:v>1.9776957977684639E-2</c:v>
                </c:pt>
                <c:pt idx="287">
                  <c:v>1.9842233974193449E-2</c:v>
                </c:pt>
                <c:pt idx="288">
                  <c:v>1.9907096248009504E-2</c:v>
                </c:pt>
                <c:pt idx="289">
                  <c:v>1.9971549528690132E-2</c:v>
                </c:pt>
                <c:pt idx="290">
                  <c:v>2.0035599701309789E-2</c:v>
                </c:pt>
                <c:pt idx="291">
                  <c:v>2.0099253823028702E-2</c:v>
                </c:pt>
                <c:pt idx="292">
                  <c:v>2.0162520132938976E-2</c:v>
                </c:pt>
                <c:pt idx="293">
                  <c:v>2.022540805490888E-2</c:v>
                </c:pt>
                <c:pt idx="294">
                  <c:v>2.0287928193197614E-2</c:v>
                </c:pt>
                <c:pt idx="295">
                  <c:v>2.0350092320667808E-2</c:v>
                </c:pt>
                <c:pt idx="296">
                  <c:v>2.0411913359481389E-2</c:v>
                </c:pt>
                <c:pt idx="297">
                  <c:v>2.047340535422415E-2</c:v>
                </c:pt>
                <c:pt idx="298">
                  <c:v>2.0534583437465871E-2</c:v>
                </c:pt>
                <c:pt idx="299">
                  <c:v>2.059546378782608E-2</c:v>
                </c:pt>
                <c:pt idx="300">
                  <c:v>2.0656063580678102E-2</c:v>
                </c:pt>
                <c:pt idx="301">
                  <c:v>2.0716400931687577E-2</c:v>
                </c:pt>
                <c:pt idx="302">
                  <c:v>2.0776494833443834E-2</c:v>
                </c:pt>
                <c:pt idx="303">
                  <c:v>2.0836365085503739E-2</c:v>
                </c:pt>
                <c:pt idx="304">
                  <c:v>2.0896032218226553E-2</c:v>
                </c:pt>
                <c:pt idx="305">
                  <c:v>2.0955517410835428E-2</c:v>
                </c:pt>
                <c:pt idx="306">
                  <c:v>2.1014842404194555E-2</c:v>
                </c:pt>
                <c:pt idx="307">
                  <c:v>2.1074029408841323E-2</c:v>
                </c:pt>
                <c:pt idx="308">
                  <c:v>2.1133101008858741E-2</c:v>
                </c:pt>
                <c:pt idx="309">
                  <c:v>2.1192080062215034E-2</c:v>
                </c:pt>
                <c:pt idx="310">
                  <c:v>2.1250989598233586E-2</c:v>
                </c:pt>
                <c:pt idx="311">
                  <c:v>2.1309852712887944E-2</c:v>
                </c:pt>
                <c:pt idx="312">
                  <c:v>2.1368692462641566E-2</c:v>
                </c:pt>
                <c:pt idx="313">
                  <c:v>2.1427531757571741E-2</c:v>
                </c:pt>
                <c:pt idx="314">
                  <c:v>2.1486393254530219E-2</c:v>
                </c:pt>
                <c:pt idx="315">
                  <c:v>2.1545299251099645E-2</c:v>
                </c:pt>
                <c:pt idx="316">
                  <c:v>2.160427158110553E-2</c:v>
                </c:pt>
                <c:pt idx="317">
                  <c:v>2.1663331512436722E-2</c:v>
                </c:pt>
                <c:pt idx="318">
                  <c:v>2.1722499647914645E-2</c:v>
                </c:pt>
                <c:pt idx="319">
                  <c:v>2.1781795829932209E-2</c:v>
                </c:pt>
                <c:pt idx="320">
                  <c:v>2.1841239049557221E-2</c:v>
                </c:pt>
                <c:pt idx="321">
                  <c:v>2.1900847360763476E-2</c:v>
                </c:pt>
                <c:pt idx="322">
                  <c:v>2.196063780041467E-2</c:v>
                </c:pt>
                <c:pt idx="323">
                  <c:v>2.2020626314582799E-2</c:v>
                </c:pt>
                <c:pt idx="324">
                  <c:v>2.208082769173399E-2</c:v>
                </c:pt>
                <c:pt idx="325">
                  <c:v>2.2141255503261442E-2</c:v>
                </c:pt>
                <c:pt idx="326">
                  <c:v>2.2201922051786848E-2</c:v>
                </c:pt>
                <c:pt idx="327">
                  <c:v>2.2262838327590545E-2</c:v>
                </c:pt>
                <c:pt idx="328">
                  <c:v>2.2324013973465159E-2</c:v>
                </c:pt>
                <c:pt idx="329">
                  <c:v>2.2385457258220397E-2</c:v>
                </c:pt>
                <c:pt idx="330">
                  <c:v>2.2447175058996512E-2</c:v>
                </c:pt>
                <c:pt idx="331">
                  <c:v>2.2509172852473176E-2</c:v>
                </c:pt>
                <c:pt idx="332">
                  <c:v>2.2571454714988066E-2</c:v>
                </c:pt>
                <c:pt idx="333">
                  <c:v>2.2634023331508244E-2</c:v>
                </c:pt>
                <c:pt idx="334">
                  <c:v>2.2696880013324715E-2</c:v>
                </c:pt>
                <c:pt idx="335">
                  <c:v>2.2760024724271365E-2</c:v>
                </c:pt>
                <c:pt idx="336">
                  <c:v>2.2823456115200078E-2</c:v>
                </c:pt>
                <c:pt idx="337">
                  <c:v>2.2887171566378185E-2</c:v>
                </c:pt>
                <c:pt idx="338">
                  <c:v>2.2951167237411394E-2</c:v>
                </c:pt>
                <c:pt idx="339">
                  <c:v>2.3015438124235812E-2</c:v>
                </c:pt>
                <c:pt idx="340">
                  <c:v>2.307997812266761E-2</c:v>
                </c:pt>
                <c:pt idx="341">
                  <c:v>2.314478009794866E-2</c:v>
                </c:pt>
                <c:pt idx="342">
                  <c:v>2.3209835959680642E-2</c:v>
                </c:pt>
                <c:pt idx="343">
                  <c:v>2.3275136741500894E-2</c:v>
                </c:pt>
                <c:pt idx="344">
                  <c:v>2.3340672684819114E-2</c:v>
                </c:pt>
                <c:pt idx="345">
                  <c:v>2.3406433325906736E-2</c:v>
                </c:pt>
                <c:pt idx="346">
                  <c:v>2.3472407585609121E-2</c:v>
                </c:pt>
                <c:pt idx="347">
                  <c:v>2.3538583860936876E-2</c:v>
                </c:pt>
                <c:pt idx="348">
                  <c:v>2.3604950117784192E-2</c:v>
                </c:pt>
                <c:pt idx="349">
                  <c:v>2.3671493984021599E-2</c:v>
                </c:pt>
                <c:pt idx="350">
                  <c:v>2.3738202842215835E-2</c:v>
                </c:pt>
                <c:pt idx="351">
                  <c:v>2.3805063921242545E-2</c:v>
                </c:pt>
                <c:pt idx="352">
                  <c:v>2.3872064386075972E-2</c:v>
                </c:pt>
                <c:pt idx="353">
                  <c:v>2.3939191425065461E-2</c:v>
                </c:pt>
                <c:pt idx="354">
                  <c:v>2.4006432334039922E-2</c:v>
                </c:pt>
                <c:pt idx="355">
                  <c:v>2.4073774596618407E-2</c:v>
                </c:pt>
                <c:pt idx="356">
                  <c:v>2.4141205960147398E-2</c:v>
                </c:pt>
                <c:pt idx="357">
                  <c:v>2.4208714506732787E-2</c:v>
                </c:pt>
                <c:pt idx="358">
                  <c:v>2.4276288718886343E-2</c:v>
                </c:pt>
                <c:pt idx="359">
                  <c:v>2.4343917539361867E-2</c:v>
                </c:pt>
                <c:pt idx="360">
                  <c:v>2.4411590424815579E-2</c:v>
                </c:pt>
                <c:pt idx="361">
                  <c:v>2.4479297392986789E-2</c:v>
                </c:pt>
                <c:pt idx="362">
                  <c:v>2.4547029063158771E-2</c:v>
                </c:pt>
                <c:pt idx="363">
                  <c:v>2.4614776689725573E-2</c:v>
                </c:pt>
                <c:pt idx="364">
                  <c:v>2.4682532188756108E-2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2.35891176273984E-4</c:v>
                </c:pt>
                <c:pt idx="1">
                  <c:v>2.3458427543393434E-4</c:v>
                </c:pt>
                <c:pt idx="2">
                  <c:v>2.3307443118336088E-4</c:v>
                </c:pt>
                <c:pt idx="3">
                  <c:v>2.3137691101435132E-4</c:v>
                </c:pt>
                <c:pt idx="4">
                  <c:v>2.2950657961593612E-4</c:v>
                </c:pt>
                <c:pt idx="5">
                  <c:v>2.2747780315709448E-4</c:v>
                </c:pt>
                <c:pt idx="6">
                  <c:v>2.2530437120354998E-4</c:v>
                </c:pt>
                <c:pt idx="7">
                  <c:v>2.2299943459933708E-4</c:v>
                </c:pt>
                <c:pt idx="8">
                  <c:v>2.205450597202447E-4</c:v>
                </c:pt>
                <c:pt idx="9">
                  <c:v>2.1762911321907428E-4</c:v>
                </c:pt>
                <c:pt idx="10">
                  <c:v>2.1417084822291594E-4</c:v>
                </c:pt>
                <c:pt idx="11">
                  <c:v>2.1018731094451574E-4</c:v>
                </c:pt>
                <c:pt idx="12">
                  <c:v>2.0569570992392627E-4</c:v>
                </c:pt>
                <c:pt idx="13">
                  <c:v>2.0071333069611181E-4</c:v>
                </c:pt>
                <c:pt idx="14">
                  <c:v>1.9525745611110383E-4</c:v>
                </c:pt>
                <c:pt idx="15">
                  <c:v>1.8940986874572103E-4</c:v>
                </c:pt>
                <c:pt idx="16">
                  <c:v>1.8341868670250792E-4</c:v>
                </c:pt>
                <c:pt idx="17">
                  <c:v>1.7729253537240703E-4</c:v>
                </c:pt>
                <c:pt idx="18">
                  <c:v>1.7103974612977716E-4</c:v>
                </c:pt>
                <c:pt idx="19">
                  <c:v>1.6466926085594575E-4</c:v>
                </c:pt>
                <c:pt idx="20">
                  <c:v>1.5818995702388908E-4</c:v>
                </c:pt>
                <c:pt idx="21">
                  <c:v>1.5160951552720174E-4</c:v>
                </c:pt>
                <c:pt idx="22">
                  <c:v>1.4492160980391361E-4</c:v>
                </c:pt>
                <c:pt idx="23">
                  <c:v>1.3827420096747397E-4</c:v>
                </c:pt>
                <c:pt idx="24">
                  <c:v>1.3192982891479618E-4</c:v>
                </c:pt>
                <c:pt idx="25">
                  <c:v>1.2588877485544006E-4</c:v>
                </c:pt>
                <c:pt idx="26">
                  <c:v>1.2015003707762249E-4</c:v>
                </c:pt>
                <c:pt idx="27">
                  <c:v>1.1471150067018978E-4</c:v>
                </c:pt>
                <c:pt idx="28">
                  <c:v>1.0957009934199879E-4</c:v>
                </c:pt>
                <c:pt idx="29">
                  <c:v>1.0489000147579723E-4</c:v>
                </c:pt>
                <c:pt idx="30">
                  <c:v>1.0060587615473691E-4</c:v>
                </c:pt>
                <c:pt idx="31">
                  <c:v>9.6709401908680814E-5</c:v>
                </c:pt>
                <c:pt idx="32">
                  <c:v>9.319202079842033E-5</c:v>
                </c:pt>
                <c:pt idx="33">
                  <c:v>9.0045073604408263E-5</c:v>
                </c:pt>
                <c:pt idx="34">
                  <c:v>8.7259921291436287E-5</c:v>
                </c:pt>
                <c:pt idx="35">
                  <c:v>8.482805366690864E-5</c:v>
                </c:pt>
                <c:pt idx="36">
                  <c:v>8.2736070821908331E-5</c:v>
                </c:pt>
                <c:pt idx="37">
                  <c:v>8.1236625341655756E-5</c:v>
                </c:pt>
                <c:pt idx="38">
                  <c:v>8.0184375094192689E-5</c:v>
                </c:pt>
                <c:pt idx="39">
                  <c:v>7.9566668789048803E-5</c:v>
                </c:pt>
                <c:pt idx="40">
                  <c:v>7.9371353147239272E-5</c:v>
                </c:pt>
                <c:pt idx="41">
                  <c:v>7.9586727903759586E-5</c:v>
                </c:pt>
                <c:pt idx="42">
                  <c:v>8.0201504436019377E-5</c:v>
                </c:pt>
                <c:pt idx="43">
                  <c:v>8.1213801941187105E-5</c:v>
                </c:pt>
                <c:pt idx="44">
                  <c:v>8.2467156756433241E-5</c:v>
                </c:pt>
                <c:pt idx="45">
                  <c:v>8.3955085099751185E-5</c:v>
                </c:pt>
                <c:pt idx="46">
                  <c:v>8.5671293373479928E-5</c:v>
                </c:pt>
                <c:pt idx="47">
                  <c:v>8.7609663835251411E-5</c:v>
                </c:pt>
                <c:pt idx="48">
                  <c:v>8.9764242251649028E-5</c:v>
                </c:pt>
                <c:pt idx="49">
                  <c:v>9.2129227475379379E-5</c:v>
                </c:pt>
                <c:pt idx="50">
                  <c:v>9.4698588335058779E-5</c:v>
                </c:pt>
                <c:pt idx="51">
                  <c:v>9.6977938586702354E-5</c:v>
                </c:pt>
                <c:pt idx="52">
                  <c:v>9.8740537899843665E-5</c:v>
                </c:pt>
                <c:pt idx="53">
                  <c:v>9.9999655415781044E-5</c:v>
                </c:pt>
                <c:pt idx="54">
                  <c:v>1.0076878116292133E-4</c:v>
                </c:pt>
                <c:pt idx="55">
                  <c:v>1.0106113033704927E-4</c:v>
                </c:pt>
                <c:pt idx="56">
                  <c:v>1.0088961895177844E-4</c:v>
                </c:pt>
                <c:pt idx="57">
                  <c:v>9.997321483292715E-5</c:v>
                </c:pt>
                <c:pt idx="58">
                  <c:v>9.8321468105720049E-5</c:v>
                </c:pt>
                <c:pt idx="59">
                  <c:v>9.5952414304822958E-5</c:v>
                </c:pt>
                <c:pt idx="60">
                  <c:v>9.2883393146722722E-5</c:v>
                </c:pt>
                <c:pt idx="61">
                  <c:v>8.9131012747771518E-5</c:v>
                </c:pt>
                <c:pt idx="62">
                  <c:v>8.4711114616051509E-5</c:v>
                </c:pt>
                <c:pt idx="63">
                  <c:v>7.9638739180401471E-5</c:v>
                </c:pt>
                <c:pt idx="64">
                  <c:v>7.3926042384991089E-5</c:v>
                </c:pt>
                <c:pt idx="65">
                  <c:v>6.7837047552285468E-5</c:v>
                </c:pt>
                <c:pt idx="66">
                  <c:v>6.1813888490061498E-5</c:v>
                </c:pt>
                <c:pt idx="67">
                  <c:v>5.585450070600463E-5</c:v>
                </c:pt>
                <c:pt idx="68">
                  <c:v>4.9956649505333849E-5</c:v>
                </c:pt>
                <c:pt idx="69">
                  <c:v>4.4117927303352856E-5</c:v>
                </c:pt>
                <c:pt idx="70">
                  <c:v>3.8335750756968344E-5</c:v>
                </c:pt>
                <c:pt idx="71">
                  <c:v>3.2817473387111453E-5</c:v>
                </c:pt>
                <c:pt idx="72">
                  <c:v>2.7822062725896995E-5</c:v>
                </c:pt>
                <c:pt idx="73">
                  <c:v>2.3338313871890215E-5</c:v>
                </c:pt>
                <c:pt idx="74">
                  <c:v>1.9355399776043924E-5</c:v>
                </c:pt>
                <c:pt idx="75">
                  <c:v>1.5862894776457766E-5</c:v>
                </c:pt>
                <c:pt idx="76">
                  <c:v>1.2850797850570596E-5</c:v>
                </c:pt>
                <c:pt idx="77">
                  <c:v>1.0309555560275429E-5</c:v>
                </c:pt>
                <c:pt idx="78">
                  <c:v>8.2296223126976083E-6</c:v>
                </c:pt>
                <c:pt idx="79">
                  <c:v>6.6173276302719041E-6</c:v>
                </c:pt>
                <c:pt idx="80">
                  <c:v>5.2368316906875214E-6</c:v>
                </c:pt>
                <c:pt idx="81">
                  <c:v>4.0843786505774118E-6</c:v>
                </c:pt>
                <c:pt idx="82">
                  <c:v>3.1563260715682765E-6</c:v>
                </c:pt>
                <c:pt idx="83">
                  <c:v>2.4492013695106524E-6</c:v>
                </c:pt>
                <c:pt idx="84">
                  <c:v>1.9597549659401103E-6</c:v>
                </c:pt>
                <c:pt idx="85">
                  <c:v>1.6988684142454614E-6</c:v>
                </c:pt>
                <c:pt idx="86">
                  <c:v>1.4688082790839394E-6</c:v>
                </c:pt>
                <c:pt idx="87">
                  <c:v>1.2690476466502364E-6</c:v>
                </c:pt>
                <c:pt idx="88">
                  <c:v>1.0990943625468448E-6</c:v>
                </c:pt>
                <c:pt idx="89">
                  <c:v>9.5849701601450352E-7</c:v>
                </c:pt>
                <c:pt idx="90">
                  <c:v>8.4685060882633387E-7</c:v>
                </c:pt>
                <c:pt idx="91">
                  <c:v>7.6380196198709717E-7</c:v>
                </c:pt>
                <c:pt idx="92">
                  <c:v>7.0901784644126335E-7</c:v>
                </c:pt>
                <c:pt idx="93">
                  <c:v>7.0072331474034671E-7</c:v>
                </c:pt>
                <c:pt idx="94">
                  <c:v>7.2449951189354187E-7</c:v>
                </c:pt>
                <c:pt idx="95">
                  <c:v>7.8017797614455888E-7</c:v>
                </c:pt>
                <c:pt idx="96">
                  <c:v>8.676482919172593E-7</c:v>
                </c:pt>
                <c:pt idx="97">
                  <c:v>9.8685881847423229E-7</c:v>
                </c:pt>
                <c:pt idx="98">
                  <c:v>1.1378174475343423E-6</c:v>
                </c:pt>
                <c:pt idx="99">
                  <c:v>1.3718687654387985E-6</c:v>
                </c:pt>
                <c:pt idx="100">
                  <c:v>1.6756323433961281E-6</c:v>
                </c:pt>
                <c:pt idx="101">
                  <c:v>2.0492962881224993E-6</c:v>
                </c:pt>
                <c:pt idx="102">
                  <c:v>2.4931800132113143E-6</c:v>
                </c:pt>
                <c:pt idx="103">
                  <c:v>3.0077357459171677E-6</c:v>
                </c:pt>
                <c:pt idx="104">
                  <c:v>3.5935500658422817E-6</c:v>
                </c:pt>
                <c:pt idx="105">
                  <c:v>4.2513454716020013E-6</c:v>
                </c:pt>
                <c:pt idx="106">
                  <c:v>4.982017969967316E-6</c:v>
                </c:pt>
                <c:pt idx="107">
                  <c:v>5.8740321336216116E-6</c:v>
                </c:pt>
                <c:pt idx="108">
                  <c:v>6.9105372450046465E-6</c:v>
                </c:pt>
                <c:pt idx="109">
                  <c:v>8.0933322999183595E-6</c:v>
                </c:pt>
                <c:pt idx="110">
                  <c:v>9.4244862342606761E-6</c:v>
                </c:pt>
                <c:pt idx="111">
                  <c:v>1.0906321641881156E-5</c:v>
                </c:pt>
                <c:pt idx="112">
                  <c:v>1.2541376185457978E-5</c:v>
                </c:pt>
                <c:pt idx="113">
                  <c:v>1.4468182480368453E-5</c:v>
                </c:pt>
                <c:pt idx="114">
                  <c:v>1.663870819188852E-5</c:v>
                </c:pt>
                <c:pt idx="115">
                  <c:v>1.9057301747388676E-5</c:v>
                </c:pt>
                <c:pt idx="116">
                  <c:v>2.17286525394095E-5</c:v>
                </c:pt>
                <c:pt idx="117">
                  <c:v>2.4657776439456753E-5</c:v>
                </c:pt>
                <c:pt idx="118">
                  <c:v>2.7850000135259187E-5</c:v>
                </c:pt>
                <c:pt idx="119">
                  <c:v>3.1310944139307063E-5</c:v>
                </c:pt>
                <c:pt idx="120">
                  <c:v>3.5047092799545336E-5</c:v>
                </c:pt>
                <c:pt idx="121">
                  <c:v>3.9232849187347434E-5</c:v>
                </c:pt>
                <c:pt idx="122">
                  <c:v>4.3785602294003423E-5</c:v>
                </c:pt>
                <c:pt idx="123">
                  <c:v>4.8714570702891068E-5</c:v>
                </c:pt>
                <c:pt idx="124">
                  <c:v>5.4029437391996693E-5</c:v>
                </c:pt>
                <c:pt idx="125">
                  <c:v>5.9740332901715038E-5</c:v>
                </c:pt>
                <c:pt idx="126">
                  <c:v>6.5857816418148326E-5</c:v>
                </c:pt>
                <c:pt idx="127">
                  <c:v>7.2007057323988442E-5</c:v>
                </c:pt>
                <c:pt idx="128">
                  <c:v>7.804379280482923E-5</c:v>
                </c:pt>
                <c:pt idx="129">
                  <c:v>8.3967886740932273E-5</c:v>
                </c:pt>
                <c:pt idx="130">
                  <c:v>8.9778808241983629E-5</c:v>
                </c:pt>
                <c:pt idx="131">
                  <c:v>9.547563224254173E-5</c:v>
                </c:pt>
                <c:pt idx="132">
                  <c:v>1.0105704082145485E-4</c:v>
                </c:pt>
                <c:pt idx="133">
                  <c:v>1.0652132529037133E-4</c:v>
                </c:pt>
                <c:pt idx="134">
                  <c:v>1.1186768748893185E-4</c:v>
                </c:pt>
                <c:pt idx="135">
                  <c:v>1.1642794535592595E-4</c:v>
                </c:pt>
                <c:pt idx="136">
                  <c:v>1.1999277379983661E-4</c:v>
                </c:pt>
                <c:pt idx="137">
                  <c:v>1.225349678768613E-4</c:v>
                </c:pt>
                <c:pt idx="138">
                  <c:v>1.240258968741139E-4</c:v>
                </c:pt>
                <c:pt idx="139">
                  <c:v>1.2443560170757517E-4</c:v>
                </c:pt>
                <c:pt idx="140">
                  <c:v>1.2373290062287653E-4</c:v>
                </c:pt>
                <c:pt idx="141">
                  <c:v>1.2203901796207573E-4</c:v>
                </c:pt>
                <c:pt idx="142">
                  <c:v>1.1975826155914202E-4</c:v>
                </c:pt>
                <c:pt idx="143">
                  <c:v>1.1687111441917331E-4</c:v>
                </c:pt>
                <c:pt idx="144">
                  <c:v>1.1335844530220659E-4</c:v>
                </c:pt>
                <c:pt idx="145">
                  <c:v>1.0920083212754395E-4</c:v>
                </c:pt>
                <c:pt idx="146">
                  <c:v>1.0437863431227319E-4</c:v>
                </c:pt>
                <c:pt idx="147">
                  <c:v>9.8872068756907636E-5</c:v>
                </c:pt>
                <c:pt idx="148">
                  <c:v>9.2661731317640397E-5</c:v>
                </c:pt>
                <c:pt idx="149">
                  <c:v>8.6128742727634399E-5</c:v>
                </c:pt>
                <c:pt idx="150">
                  <c:v>8.0032182672905647E-5</c:v>
                </c:pt>
                <c:pt idx="151">
                  <c:v>7.4385442880427698E-5</c:v>
                </c:pt>
                <c:pt idx="152">
                  <c:v>6.9202220629456686E-5</c:v>
                </c:pt>
                <c:pt idx="153">
                  <c:v>6.4496486519907153E-5</c:v>
                </c:pt>
                <c:pt idx="154">
                  <c:v>6.0282451274479194E-5</c:v>
                </c:pt>
                <c:pt idx="155">
                  <c:v>5.6638261059766112E-5</c:v>
                </c:pt>
                <c:pt idx="156">
                  <c:v>5.340824966954242E-5</c:v>
                </c:pt>
                <c:pt idx="157">
                  <c:v>5.0605288840658254E-5</c:v>
                </c:pt>
                <c:pt idx="158">
                  <c:v>4.8242378905083053E-5</c:v>
                </c:pt>
                <c:pt idx="159">
                  <c:v>4.6332619206399062E-5</c:v>
                </c:pt>
                <c:pt idx="160">
                  <c:v>4.4889179388165025E-5</c:v>
                </c:pt>
                <c:pt idx="161">
                  <c:v>4.3925271936652528E-5</c:v>
                </c:pt>
                <c:pt idx="162">
                  <c:v>4.345457876212594E-5</c:v>
                </c:pt>
                <c:pt idx="163">
                  <c:v>4.3485023623076437E-5</c:v>
                </c:pt>
                <c:pt idx="164">
                  <c:v>4.3571824681454399E-5</c:v>
                </c:pt>
                <c:pt idx="165">
                  <c:v>4.3716315648815631E-5</c:v>
                </c:pt>
                <c:pt idx="166">
                  <c:v>4.3919841997345948E-5</c:v>
                </c:pt>
                <c:pt idx="167">
                  <c:v>4.4183753881055503E-5</c:v>
                </c:pt>
                <c:pt idx="168">
                  <c:v>4.4509399107499792E-5</c:v>
                </c:pt>
                <c:pt idx="169">
                  <c:v>4.4892446004547723E-5</c:v>
                </c:pt>
                <c:pt idx="170">
                  <c:v>4.5260926359599073E-5</c:v>
                </c:pt>
                <c:pt idx="171">
                  <c:v>4.5614240203278052E-5</c:v>
                </c:pt>
                <c:pt idx="172">
                  <c:v>4.5951804625346502E-5</c:v>
                </c:pt>
                <c:pt idx="173">
                  <c:v>4.6272582034947487E-5</c:v>
                </c:pt>
                <c:pt idx="174">
                  <c:v>4.6575517011335843E-5</c:v>
                </c:pt>
                <c:pt idx="175">
                  <c:v>4.6860030456562675E-5</c:v>
                </c:pt>
                <c:pt idx="176">
                  <c:v>4.7126374117703243E-5</c:v>
                </c:pt>
                <c:pt idx="177">
                  <c:v>4.7452346975382243E-5</c:v>
                </c:pt>
                <c:pt idx="178">
                  <c:v>4.7845306053864279E-5</c:v>
                </c:pt>
                <c:pt idx="179">
                  <c:v>4.8306762417003982E-5</c:v>
                </c:pt>
                <c:pt idx="180">
                  <c:v>4.883819398511555E-5</c:v>
                </c:pt>
                <c:pt idx="181">
                  <c:v>4.9441045025226619E-5</c:v>
                </c:pt>
                <c:pt idx="182">
                  <c:v>5.0116726075248623E-5</c:v>
                </c:pt>
                <c:pt idx="183">
                  <c:v>5.1389066694480443E-5</c:v>
                </c:pt>
                <c:pt idx="184">
                  <c:v>5.3273910393783041E-5</c:v>
                </c:pt>
                <c:pt idx="185">
                  <c:v>5.5780789598660949E-5</c:v>
                </c:pt>
                <c:pt idx="186">
                  <c:v>5.8918875476328972E-5</c:v>
                </c:pt>
                <c:pt idx="187">
                  <c:v>6.2696996770752266E-5</c:v>
                </c:pt>
                <c:pt idx="188">
                  <c:v>6.7123661473974513E-5</c:v>
                </c:pt>
                <c:pt idx="189">
                  <c:v>7.2207081022034007E-5</c:v>
                </c:pt>
                <c:pt idx="190">
                  <c:v>7.7955492150370636E-5</c:v>
                </c:pt>
                <c:pt idx="191">
                  <c:v>8.4585638567298977E-5</c:v>
                </c:pt>
                <c:pt idx="192">
                  <c:v>9.2022765980931604E-5</c:v>
                </c:pt>
                <c:pt idx="193">
                  <c:v>1.0027503899082363E-4</c:v>
                </c:pt>
                <c:pt idx="194">
                  <c:v>1.093504098464231E-4</c:v>
                </c:pt>
                <c:pt idx="195">
                  <c:v>1.1925664199042257E-4</c:v>
                </c:pt>
                <c:pt idx="196">
                  <c:v>1.3000133313499613E-4</c:v>
                </c:pt>
                <c:pt idx="197">
                  <c:v>1.4052907903224304E-4</c:v>
                </c:pt>
                <c:pt idx="198">
                  <c:v>1.5027442899248573E-4</c:v>
                </c:pt>
                <c:pt idx="199">
                  <c:v>1.5922553119119298E-4</c:v>
                </c:pt>
                <c:pt idx="200">
                  <c:v>1.6737093403354345E-4</c:v>
                </c:pt>
                <c:pt idx="201">
                  <c:v>1.7469955523105295E-4</c:v>
                </c:pt>
                <c:pt idx="202">
                  <c:v>1.8120065069674807E-4</c:v>
                </c:pt>
                <c:pt idx="203">
                  <c:v>1.868637837492958E-4</c:v>
                </c:pt>
                <c:pt idx="204">
                  <c:v>1.9167934769921403E-4</c:v>
                </c:pt>
                <c:pt idx="205">
                  <c:v>1.9499459244327509E-4</c:v>
                </c:pt>
                <c:pt idx="206">
                  <c:v>1.9657490196092449E-4</c:v>
                </c:pt>
                <c:pt idx="207">
                  <c:v>1.96402835906621E-4</c:v>
                </c:pt>
                <c:pt idx="208">
                  <c:v>1.9446114682694266E-4</c:v>
                </c:pt>
                <c:pt idx="209">
                  <c:v>1.907327275244089E-4</c:v>
                </c:pt>
                <c:pt idx="210">
                  <c:v>1.8520056287626828E-4</c:v>
                </c:pt>
                <c:pt idx="211">
                  <c:v>1.7816936146557467E-4</c:v>
                </c:pt>
                <c:pt idx="212">
                  <c:v>1.7074824758532683E-4</c:v>
                </c:pt>
                <c:pt idx="213">
                  <c:v>1.6293501829979439E-4</c:v>
                </c:pt>
                <c:pt idx="214">
                  <c:v>1.5472735830241059E-4</c:v>
                </c:pt>
                <c:pt idx="215">
                  <c:v>1.4612284158271077E-4</c:v>
                </c:pt>
                <c:pt idx="216">
                  <c:v>1.3711893412255962E-4</c:v>
                </c:pt>
                <c:pt idx="217">
                  <c:v>1.2771299750092454E-4</c:v>
                </c:pt>
                <c:pt idx="218">
                  <c:v>1.1790181788169344E-4</c:v>
                </c:pt>
                <c:pt idx="219">
                  <c:v>1.0794227341728712E-4</c:v>
                </c:pt>
                <c:pt idx="220">
                  <c:v>9.8509111640599056E-5</c:v>
                </c:pt>
                <c:pt idx="221">
                  <c:v>8.9608385654233103E-5</c:v>
                </c:pt>
                <c:pt idx="222">
                  <c:v>8.1246042100616885E-5</c:v>
                </c:pt>
                <c:pt idx="223">
                  <c:v>7.3427940933527423E-5</c:v>
                </c:pt>
                <c:pt idx="224">
                  <c:v>6.6159874050172085E-5</c:v>
                </c:pt>
                <c:pt idx="225">
                  <c:v>5.9621395879067555E-5</c:v>
                </c:pt>
                <c:pt idx="226">
                  <c:v>5.3481363486176086E-5</c:v>
                </c:pt>
                <c:pt idx="227">
                  <c:v>4.7743752882602853E-5</c:v>
                </c:pt>
                <c:pt idx="228">
                  <c:v>4.2412530505935025E-5</c:v>
                </c:pt>
                <c:pt idx="229">
                  <c:v>3.7491663654948898E-5</c:v>
                </c:pt>
                <c:pt idx="230">
                  <c:v>3.29851304373365E-5</c:v>
                </c:pt>
                <c:pt idx="231">
                  <c:v>2.8896929308837679E-5</c:v>
                </c:pt>
                <c:pt idx="232">
                  <c:v>2.5230118615431768E-5</c:v>
                </c:pt>
                <c:pt idx="233">
                  <c:v>2.2092734355505904E-5</c:v>
                </c:pt>
                <c:pt idx="234">
                  <c:v>1.9218171993593194E-5</c:v>
                </c:pt>
                <c:pt idx="235">
                  <c:v>1.6609539126699796E-5</c:v>
                </c:pt>
                <c:pt idx="236">
                  <c:v>1.4269761463842698E-5</c:v>
                </c:pt>
                <c:pt idx="237">
                  <c:v>1.2201607773046648E-5</c:v>
                </c:pt>
                <c:pt idx="238">
                  <c:v>1.0407744753769647E-5</c:v>
                </c:pt>
                <c:pt idx="239">
                  <c:v>8.9305900276375126E-6</c:v>
                </c:pt>
                <c:pt idx="240">
                  <c:v>7.5909365570043876E-6</c:v>
                </c:pt>
                <c:pt idx="241">
                  <c:v>6.3900184501000477E-6</c:v>
                </c:pt>
                <c:pt idx="242">
                  <c:v>5.3290592743503724E-6</c:v>
                </c:pt>
                <c:pt idx="243">
                  <c:v>4.4092949335951232E-6</c:v>
                </c:pt>
                <c:pt idx="244">
                  <c:v>3.6319973468007206E-6</c:v>
                </c:pt>
                <c:pt idx="245">
                  <c:v>2.9984990225694626E-6</c:v>
                </c:pt>
                <c:pt idx="246">
                  <c:v>2.5101606826458876E-6</c:v>
                </c:pt>
                <c:pt idx="247">
                  <c:v>2.2015873062610976E-6</c:v>
                </c:pt>
                <c:pt idx="248">
                  <c:v>1.9651409772989932E-6</c:v>
                </c:pt>
                <c:pt idx="249">
                  <c:v>1.8016479706828909E-6</c:v>
                </c:pt>
                <c:pt idx="250">
                  <c:v>1.7119903488712793E-6</c:v>
                </c:pt>
                <c:pt idx="251">
                  <c:v>1.6971013858607412E-6</c:v>
                </c:pt>
                <c:pt idx="252">
                  <c:v>1.7579606797639965E-6</c:v>
                </c:pt>
                <c:pt idx="253">
                  <c:v>1.934059027884562E-6</c:v>
                </c:pt>
                <c:pt idx="254">
                  <c:v>2.1847437572951595E-6</c:v>
                </c:pt>
                <c:pt idx="255">
                  <c:v>2.5110701467300364E-6</c:v>
                </c:pt>
                <c:pt idx="256">
                  <c:v>2.914112998600164E-6</c:v>
                </c:pt>
                <c:pt idx="257">
                  <c:v>3.3949598911836507E-6</c:v>
                </c:pt>
                <c:pt idx="258">
                  <c:v>3.954703917645097E-6</c:v>
                </c:pt>
                <c:pt idx="259">
                  <c:v>4.5944358885453378E-6</c:v>
                </c:pt>
                <c:pt idx="260">
                  <c:v>5.3155556421073803E-6</c:v>
                </c:pt>
                <c:pt idx="261">
                  <c:v>6.7465482266856943E-6</c:v>
                </c:pt>
                <c:pt idx="262">
                  <c:v>8.8628746764481977E-6</c:v>
                </c:pt>
                <c:pt idx="263">
                  <c:v>1.1675326553629172E-5</c:v>
                </c:pt>
                <c:pt idx="264">
                  <c:v>1.5194897745724438E-5</c:v>
                </c:pt>
                <c:pt idx="265">
                  <c:v>1.94327624687352E-5</c:v>
                </c:pt>
                <c:pt idx="266">
                  <c:v>2.4400078401822164E-5</c:v>
                </c:pt>
                <c:pt idx="267">
                  <c:v>3.0593343099773395E-5</c:v>
                </c:pt>
                <c:pt idx="268">
                  <c:v>3.798915860441088E-5</c:v>
                </c:pt>
                <c:pt idx="269">
                  <c:v>4.6604377138885479E-5</c:v>
                </c:pt>
                <c:pt idx="270">
                  <c:v>5.6454992381644808E-5</c:v>
                </c:pt>
                <c:pt idx="271">
                  <c:v>6.7555834640714709E-5</c:v>
                </c:pt>
                <c:pt idx="272">
                  <c:v>7.9920249854264808E-5</c:v>
                </c:pt>
                <c:pt idx="273">
                  <c:v>9.3559763262806179E-5</c:v>
                </c:pt>
                <c:pt idx="274">
                  <c:v>1.0848900453760297E-4</c:v>
                </c:pt>
                <c:pt idx="275">
                  <c:v>1.2370024532993356E-4</c:v>
                </c:pt>
                <c:pt idx="276">
                  <c:v>1.3851614083361694E-4</c:v>
                </c:pt>
                <c:pt idx="277">
                  <c:v>1.5292637204295209E-4</c:v>
                </c:pt>
                <c:pt idx="278">
                  <c:v>1.66920641391865E-4</c:v>
                </c:pt>
                <c:pt idx="279">
                  <c:v>1.804887092641704E-4</c:v>
                </c:pt>
                <c:pt idx="280">
                  <c:v>1.936204316989612E-4</c:v>
                </c:pt>
                <c:pt idx="281">
                  <c:v>2.0538323980104603E-4</c:v>
                </c:pt>
                <c:pt idx="282">
                  <c:v>2.1523636648876018E-4</c:v>
                </c:pt>
                <c:pt idx="283">
                  <c:v>2.2315357287533695E-4</c:v>
                </c:pt>
                <c:pt idx="284">
                  <c:v>2.2910953682402354E-4</c:v>
                </c:pt>
                <c:pt idx="285">
                  <c:v>2.3307990921522787E-4</c:v>
                </c:pt>
                <c:pt idx="286">
                  <c:v>2.3504135904786464E-4</c:v>
                </c:pt>
                <c:pt idx="287">
                  <c:v>2.349716059332298E-4</c:v>
                </c:pt>
                <c:pt idx="288">
                  <c:v>2.3285491826594996E-4</c:v>
                </c:pt>
                <c:pt idx="289">
                  <c:v>2.2898034490422361E-4</c:v>
                </c:pt>
                <c:pt idx="290">
                  <c:v>2.244165232005412E-4</c:v>
                </c:pt>
                <c:pt idx="291">
                  <c:v>2.1915602971212252E-4</c:v>
                </c:pt>
                <c:pt idx="292">
                  <c:v>2.1319184334171523E-4</c:v>
                </c:pt>
                <c:pt idx="293">
                  <c:v>2.0651739812789066E-4</c:v>
                </c:pt>
                <c:pt idx="294">
                  <c:v>1.9912663471482279E-4</c:v>
                </c:pt>
                <c:pt idx="295">
                  <c:v>1.9148964118974592E-4</c:v>
                </c:pt>
                <c:pt idx="296">
                  <c:v>1.8457868832833936E-4</c:v>
                </c:pt>
                <c:pt idx="297">
                  <c:v>1.7840258208658093E-4</c:v>
                </c:pt>
                <c:pt idx="298">
                  <c:v>1.7296832240117898E-4</c:v>
                </c:pt>
                <c:pt idx="299">
                  <c:v>1.6828268930944881E-4</c:v>
                </c:pt>
                <c:pt idx="300">
                  <c:v>1.6435218195038205E-4</c:v>
                </c:pt>
                <c:pt idx="301">
                  <c:v>1.6118295819684514E-4</c:v>
                </c:pt>
                <c:pt idx="302">
                  <c:v>1.5878988254134765E-4</c:v>
                </c:pt>
                <c:pt idx="303">
                  <c:v>1.5743927567843757E-4</c:v>
                </c:pt>
                <c:pt idx="304">
                  <c:v>1.568188953504593E-4</c:v>
                </c:pt>
                <c:pt idx="305">
                  <c:v>1.569332950023173E-4</c:v>
                </c:pt>
                <c:pt idx="306">
                  <c:v>1.5778698518122489E-4</c:v>
                </c:pt>
                <c:pt idx="307">
                  <c:v>1.5938440186751246E-4</c:v>
                </c:pt>
                <c:pt idx="308">
                  <c:v>1.6172987317379322E-4</c:v>
                </c:pt>
                <c:pt idx="309">
                  <c:v>1.6507569259498886E-4</c:v>
                </c:pt>
                <c:pt idx="310">
                  <c:v>1.6893452492224446E-4</c:v>
                </c:pt>
                <c:pt idx="311">
                  <c:v>1.733085793508753E-4</c:v>
                </c:pt>
                <c:pt idx="312">
                  <c:v>1.7819983892335009E-4</c:v>
                </c:pt>
                <c:pt idx="313">
                  <c:v>1.8361001824712602E-4</c:v>
                </c:pt>
                <c:pt idx="314">
                  <c:v>1.8954051625811151E-4</c:v>
                </c:pt>
                <c:pt idx="315">
                  <c:v>1.959923634237648E-4</c:v>
                </c:pt>
                <c:pt idx="316">
                  <c:v>2.0297478222770147E-4</c:v>
                </c:pt>
                <c:pt idx="317">
                  <c:v>2.1057114988477511E-4</c:v>
                </c:pt>
                <c:pt idx="318">
                  <c:v>2.1852664249763073E-4</c:v>
                </c:pt>
                <c:pt idx="319">
                  <c:v>2.2684505460901654E-4</c:v>
                </c:pt>
                <c:pt idx="320">
                  <c:v>2.3553031392666712E-4</c:v>
                </c:pt>
                <c:pt idx="321">
                  <c:v>2.4458646374441936E-4</c:v>
                </c:pt>
                <c:pt idx="322">
                  <c:v>2.5401764015624235E-4</c:v>
                </c:pt>
                <c:pt idx="323">
                  <c:v>2.634092495918385E-4</c:v>
                </c:pt>
                <c:pt idx="324">
                  <c:v>2.7250694466456602E-4</c:v>
                </c:pt>
                <c:pt idx="325">
                  <c:v>2.8131027309773529E-4</c:v>
                </c:pt>
                <c:pt idx="326">
                  <c:v>2.8981668640468041E-4</c:v>
                </c:pt>
                <c:pt idx="327">
                  <c:v>2.9802432445881792E-4</c:v>
                </c:pt>
                <c:pt idx="328">
                  <c:v>3.0593245057129287E-4</c:v>
                </c:pt>
                <c:pt idx="329">
                  <c:v>3.13540001520045E-4</c:v>
                </c:pt>
                <c:pt idx="330">
                  <c:v>3.2088684888716135E-4</c:v>
                </c:pt>
                <c:pt idx="331">
                  <c:v>3.2763273164167954E-4</c:v>
                </c:pt>
                <c:pt idx="332">
                  <c:v>3.3368669902246966E-4</c:v>
                </c:pt>
                <c:pt idx="333">
                  <c:v>3.3902812604730525E-4</c:v>
                </c:pt>
                <c:pt idx="334">
                  <c:v>3.4363350081636059E-4</c:v>
                </c:pt>
                <c:pt idx="335">
                  <c:v>3.4747673255693063E-4</c:v>
                </c:pt>
                <c:pt idx="336">
                  <c:v>3.5052951961857259E-4</c:v>
                </c:pt>
                <c:pt idx="337">
                  <c:v>3.5291652021690552E-4</c:v>
                </c:pt>
                <c:pt idx="338">
                  <c:v>3.5504505062768928E-4</c:v>
                </c:pt>
                <c:pt idx="339">
                  <c:v>3.5688850079278276E-4</c:v>
                </c:pt>
                <c:pt idx="340">
                  <c:v>3.5841929952819512E-4</c:v>
                </c:pt>
                <c:pt idx="341">
                  <c:v>3.5960921212392828E-4</c:v>
                </c:pt>
                <c:pt idx="342">
                  <c:v>3.6042969065447469E-4</c:v>
                </c:pt>
                <c:pt idx="343">
                  <c:v>3.6085227571852564E-4</c:v>
                </c:pt>
                <c:pt idx="344">
                  <c:v>3.609115661654619E-4</c:v>
                </c:pt>
                <c:pt idx="345">
                  <c:v>3.6065575047893148E-4</c:v>
                </c:pt>
                <c:pt idx="346">
                  <c:v>3.6044459690168343E-4</c:v>
                </c:pt>
                <c:pt idx="347">
                  <c:v>3.6027167700731008E-4</c:v>
                </c:pt>
                <c:pt idx="348">
                  <c:v>3.6013049319135907E-4</c:v>
                </c:pt>
                <c:pt idx="349">
                  <c:v>3.6001451532348411E-4</c:v>
                </c:pt>
                <c:pt idx="350">
                  <c:v>3.5991721907837769E-4</c:v>
                </c:pt>
                <c:pt idx="351">
                  <c:v>3.5981118736122823E-4</c:v>
                </c:pt>
                <c:pt idx="352">
                  <c:v>3.5953271579369631E-4</c:v>
                </c:pt>
                <c:pt idx="353">
                  <c:v>3.5907636078241214E-4</c:v>
                </c:pt>
                <c:pt idx="354">
                  <c:v>3.5843726284773882E-4</c:v>
                </c:pt>
                <c:pt idx="355">
                  <c:v>3.5761120755646439E-4</c:v>
                </c:pt>
                <c:pt idx="356">
                  <c:v>3.5659344560791823E-4</c:v>
                </c:pt>
                <c:pt idx="357">
                  <c:v>3.55381969124909E-4</c:v>
                </c:pt>
                <c:pt idx="358">
                  <c:v>3.5394167655713706E-4</c:v>
                </c:pt>
                <c:pt idx="359">
                  <c:v>3.5225338147979493E-4</c:v>
                </c:pt>
                <c:pt idx="360">
                  <c:v>3.5049110095918765E-4</c:v>
                </c:pt>
                <c:pt idx="361">
                  <c:v>3.4869343613512044E-4</c:v>
                </c:pt>
                <c:pt idx="362">
                  <c:v>3.4687803597458557E-4</c:v>
                </c:pt>
                <c:pt idx="363">
                  <c:v>3.4506208173186448E-4</c:v>
                </c:pt>
                <c:pt idx="364">
                  <c:v>3.4326219892773626E-4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1856"/>
        <c:axId val="335352248"/>
      </c:lineChart>
      <c:dateAx>
        <c:axId val="3353518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2248"/>
        <c:crosses val="autoZero"/>
        <c:auto val="1"/>
        <c:lblOffset val="100"/>
        <c:baseTimeUnit val="days"/>
        <c:majorUnit val="1"/>
        <c:majorTimeUnit val="months"/>
      </c:dateAx>
      <c:valAx>
        <c:axId val="3353522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1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Garderie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4656.7264910671083</c:v>
                </c:pt>
                <c:pt idx="1">
                  <c:v>12138.62332403917</c:v>
                </c:pt>
                <c:pt idx="2">
                  <c:v>11911.80531723795</c:v>
                </c:pt>
                <c:pt idx="3">
                  <c:v>11682.677758308591</c:v>
                </c:pt>
                <c:pt idx="4">
                  <c:v>11920.475349619277</c:v>
                </c:pt>
                <c:pt idx="5">
                  <c:v>11920.308173794914</c:v>
                </c:pt>
                <c:pt idx="6">
                  <c:v>11936.801885089999</c:v>
                </c:pt>
                <c:pt idx="7">
                  <c:v>11920.682988630282</c:v>
                </c:pt>
                <c:pt idx="8">
                  <c:v>11920.863003516939</c:v>
                </c:pt>
                <c:pt idx="9">
                  <c:v>11920.757798603372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4646.0010117352376</c:v>
                </c:pt>
                <c:pt idx="1">
                  <c:v>12037.717645415187</c:v>
                </c:pt>
                <c:pt idx="2">
                  <c:v>11718.732928545838</c:v>
                </c:pt>
                <c:pt idx="3">
                  <c:v>11400.852731838269</c:v>
                </c:pt>
                <c:pt idx="4">
                  <c:v>11540.386425970544</c:v>
                </c:pt>
                <c:pt idx="5">
                  <c:v>11447.921811911139</c:v>
                </c:pt>
                <c:pt idx="6">
                  <c:v>11372.760801819277</c:v>
                </c:pt>
                <c:pt idx="7">
                  <c:v>11266.48062930269</c:v>
                </c:pt>
                <c:pt idx="8">
                  <c:v>11177.305442976643</c:v>
                </c:pt>
                <c:pt idx="9">
                  <c:v>11087.847025110115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11120.094999999999</c:v>
                </c:pt>
                <c:pt idx="4">
                  <c:v>11067.523499999998</c:v>
                </c:pt>
                <c:pt idx="5">
                  <c:v>11145.978903943727</c:v>
                </c:pt>
                <c:pt idx="6">
                  <c:v>10902.683460804214</c:v>
                </c:pt>
                <c:pt idx="7">
                  <c:v>10977.687180644647</c:v>
                </c:pt>
                <c:pt idx="8">
                  <c:v>10716.929027914814</c:v>
                </c:pt>
                <c:pt idx="9">
                  <c:v>10803.832538638611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4615.3260000000028</c:v>
                </c:pt>
                <c:pt idx="1">
                  <c:v>11784.139000000005</c:v>
                </c:pt>
                <c:pt idx="2">
                  <c:v>11260.48499999999</c:v>
                </c:pt>
                <c:pt idx="3">
                  <c:v>10712.774155783294</c:v>
                </c:pt>
                <c:pt idx="4">
                  <c:v>10680.716387521483</c:v>
                </c:pt>
                <c:pt idx="5">
                  <c:v>10636.338094810231</c:v>
                </c:pt>
                <c:pt idx="6">
                  <c:v>10480.352843234796</c:v>
                </c:pt>
                <c:pt idx="7">
                  <c:v>10482.044324060316</c:v>
                </c:pt>
                <c:pt idx="8">
                  <c:v>10320.346513659309</c:v>
                </c:pt>
                <c:pt idx="9">
                  <c:v>10319.159222066852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407.63927244838794</c:v>
                </c:pt>
                <c:pt idx="4">
                  <c:v>386.73051037232443</c:v>
                </c:pt>
                <c:pt idx="5">
                  <c:v>509.8149023259366</c:v>
                </c:pt>
                <c:pt idx="6">
                  <c:v>422.26942384406073</c:v>
                </c:pt>
                <c:pt idx="7">
                  <c:v>493.87653993762865</c:v>
                </c:pt>
                <c:pt idx="8">
                  <c:v>393.69132976295896</c:v>
                </c:pt>
                <c:pt idx="9">
                  <c:v>481.46196707522375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-2.4040267854287145E-2</c:v>
                </c:pt>
                <c:pt idx="4">
                  <c:v>-3.5250962824366794E-2</c:v>
                </c:pt>
                <c:pt idx="5">
                  <c:v>-6.1513973263664923E-2</c:v>
                </c:pt>
                <c:pt idx="6">
                  <c:v>-6.9462079684137201E-2</c:v>
                </c:pt>
                <c:pt idx="7">
                  <c:v>1.7309531358197427</c:v>
                </c:pt>
                <c:pt idx="8">
                  <c:v>2.6104651102257672</c:v>
                </c:pt>
                <c:pt idx="9">
                  <c:v>3.0878914847980461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946856"/>
        <c:axId val="358946464"/>
      </c:lineChart>
      <c:catAx>
        <c:axId val="358946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6464"/>
        <c:crosses val="autoZero"/>
        <c:auto val="1"/>
        <c:lblAlgn val="ctr"/>
        <c:lblOffset val="100"/>
        <c:noMultiLvlLbl val="0"/>
      </c:catAx>
      <c:valAx>
        <c:axId val="35894646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46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2.8135955875915553E-2</c:v>
                </c:pt>
                <c:pt idx="1">
                  <c:v>2.8157242192705101E-2</c:v>
                </c:pt>
                <c:pt idx="2">
                  <c:v>2.8178528043269813E-2</c:v>
                </c:pt>
                <c:pt idx="3">
                  <c:v>2.819981342761968E-2</c:v>
                </c:pt>
                <c:pt idx="4">
                  <c:v>2.8221098345765139E-2</c:v>
                </c:pt>
                <c:pt idx="5">
                  <c:v>2.824238279771607E-2</c:v>
                </c:pt>
                <c:pt idx="6">
                  <c:v>2.8263666783483021E-2</c:v>
                </c:pt>
                <c:pt idx="7">
                  <c:v>2.8284950303075984E-2</c:v>
                </c:pt>
                <c:pt idx="8">
                  <c:v>2.8306233356505284E-2</c:v>
                </c:pt>
                <c:pt idx="9">
                  <c:v>2.8327515943781134E-2</c:v>
                </c:pt>
                <c:pt idx="10">
                  <c:v>2.8348798064913638E-2</c:v>
                </c:pt>
                <c:pt idx="11">
                  <c:v>2.8370079719913122E-2</c:v>
                </c:pt>
                <c:pt idx="12">
                  <c:v>2.8391360908789687E-2</c:v>
                </c:pt>
                <c:pt idx="13">
                  <c:v>2.8412641631553659E-2</c:v>
                </c:pt>
                <c:pt idx="14">
                  <c:v>2.8433921888215141E-2</c:v>
                </c:pt>
                <c:pt idx="15">
                  <c:v>2.8455201678784348E-2</c:v>
                </c:pt>
                <c:pt idx="16">
                  <c:v>2.8476481003271603E-2</c:v>
                </c:pt>
                <c:pt idx="17">
                  <c:v>2.8497759861687011E-2</c:v>
                </c:pt>
                <c:pt idx="18">
                  <c:v>2.8519038254040785E-2</c:v>
                </c:pt>
                <c:pt idx="19">
                  <c:v>2.854031618034325E-2</c:v>
                </c:pt>
                <c:pt idx="20">
                  <c:v>2.8561593640604399E-2</c:v>
                </c:pt>
                <c:pt idx="21">
                  <c:v>2.8582870634834667E-2</c:v>
                </c:pt>
                <c:pt idx="22">
                  <c:v>2.8604147163044047E-2</c:v>
                </c:pt>
                <c:pt idx="23">
                  <c:v>2.8625423225242974E-2</c:v>
                </c:pt>
                <c:pt idx="24">
                  <c:v>2.8646698821441441E-2</c:v>
                </c:pt>
                <c:pt idx="25">
                  <c:v>2.8667973951649772E-2</c:v>
                </c:pt>
                <c:pt idx="26">
                  <c:v>2.8689248615878182E-2</c:v>
                </c:pt>
                <c:pt idx="27">
                  <c:v>2.8710522814136885E-2</c:v>
                </c:pt>
                <c:pt idx="28">
                  <c:v>2.8731796546435984E-2</c:v>
                </c:pt>
                <c:pt idx="29">
                  <c:v>2.8753069812785692E-2</c:v>
                </c:pt>
                <c:pt idx="30">
                  <c:v>2.8774342613196335E-2</c:v>
                </c:pt>
                <c:pt idx="31">
                  <c:v>2.8795614947678017E-2</c:v>
                </c:pt>
                <c:pt idx="32">
                  <c:v>2.8816886816241061E-2</c:v>
                </c:pt>
                <c:pt idx="33">
                  <c:v>2.8838158218895571E-2</c:v>
                </c:pt>
                <c:pt idx="34">
                  <c:v>2.8859429155651761E-2</c:v>
                </c:pt>
                <c:pt idx="35">
                  <c:v>2.8880699626519735E-2</c:v>
                </c:pt>
                <c:pt idx="36">
                  <c:v>2.8901969631509927E-2</c:v>
                </c:pt>
                <c:pt idx="37">
                  <c:v>2.8923239170632442E-2</c:v>
                </c:pt>
                <c:pt idx="38">
                  <c:v>2.8944508243897382E-2</c:v>
                </c:pt>
                <c:pt idx="39">
                  <c:v>2.8965776851315073E-2</c:v>
                </c:pt>
                <c:pt idx="40">
                  <c:v>2.8987044992895616E-2</c:v>
                </c:pt>
                <c:pt idx="41">
                  <c:v>2.9008312668649339E-2</c:v>
                </c:pt>
                <c:pt idx="42">
                  <c:v>2.9029579878586453E-2</c:v>
                </c:pt>
                <c:pt idx="43">
                  <c:v>2.9050846622716953E-2</c:v>
                </c:pt>
                <c:pt idx="44">
                  <c:v>2.9072112901051272E-2</c:v>
                </c:pt>
                <c:pt idx="45">
                  <c:v>2.9093378713599405E-2</c:v>
                </c:pt>
                <c:pt idx="46">
                  <c:v>2.9114644060371786E-2</c:v>
                </c:pt>
                <c:pt idx="47">
                  <c:v>2.9135908941378408E-2</c:v>
                </c:pt>
                <c:pt idx="48">
                  <c:v>2.9157173356629595E-2</c:v>
                </c:pt>
                <c:pt idx="49">
                  <c:v>2.9178437306135563E-2</c:v>
                </c:pt>
                <c:pt idx="50">
                  <c:v>2.9199700789906413E-2</c:v>
                </c:pt>
                <c:pt idx="51">
                  <c:v>2.922096380795236E-2</c:v>
                </c:pt>
                <c:pt idx="52">
                  <c:v>2.924222636028373E-2</c:v>
                </c:pt>
                <c:pt idx="53">
                  <c:v>2.9263488446910513E-2</c:v>
                </c:pt>
                <c:pt idx="54">
                  <c:v>2.9284750067843146E-2</c:v>
                </c:pt>
                <c:pt idx="55">
                  <c:v>2.9306011223091732E-2</c:v>
                </c:pt>
                <c:pt idx="56">
                  <c:v>2.9327271912666375E-2</c:v>
                </c:pt>
                <c:pt idx="57">
                  <c:v>2.9348532136577399E-2</c:v>
                </c:pt>
                <c:pt idx="58">
                  <c:v>2.9369791894834907E-2</c:v>
                </c:pt>
                <c:pt idx="59">
                  <c:v>2.9391051187449113E-2</c:v>
                </c:pt>
                <c:pt idx="60">
                  <c:v>2.9412310014430343E-2</c:v>
                </c:pt>
                <c:pt idx="61">
                  <c:v>2.9433568375788699E-2</c:v>
                </c:pt>
                <c:pt idx="62">
                  <c:v>2.9454826271534285E-2</c:v>
                </c:pt>
                <c:pt idx="63">
                  <c:v>2.9476083701677536E-2</c:v>
                </c:pt>
                <c:pt idx="64">
                  <c:v>2.9497340666228444E-2</c:v>
                </c:pt>
                <c:pt idx="65">
                  <c:v>2.9518597165197225E-2</c:v>
                </c:pt>
                <c:pt idx="66">
                  <c:v>2.9539853198594201E-2</c:v>
                </c:pt>
                <c:pt idx="67">
                  <c:v>2.9561108766429478E-2</c:v>
                </c:pt>
                <c:pt idx="68">
                  <c:v>2.9582363868713268E-2</c:v>
                </c:pt>
                <c:pt idx="69">
                  <c:v>2.9603618505455676E-2</c:v>
                </c:pt>
                <c:pt idx="70">
                  <c:v>2.9624872676667136E-2</c:v>
                </c:pt>
                <c:pt idx="71">
                  <c:v>2.964612638235764E-2</c:v>
                </c:pt>
                <c:pt idx="72">
                  <c:v>2.9667379622537404E-2</c:v>
                </c:pt>
                <c:pt idx="73">
                  <c:v>2.9688632397216641E-2</c:v>
                </c:pt>
                <c:pt idx="74">
                  <c:v>2.9709884706405676E-2</c:v>
                </c:pt>
                <c:pt idx="75">
                  <c:v>2.9731136550114501E-2</c:v>
                </c:pt>
                <c:pt idx="76">
                  <c:v>2.9752387928353441E-2</c:v>
                </c:pt>
                <c:pt idx="77">
                  <c:v>2.977363884113271E-2</c:v>
                </c:pt>
                <c:pt idx="78">
                  <c:v>2.9794889288462412E-2</c:v>
                </c:pt>
                <c:pt idx="79">
                  <c:v>2.9816139270352759E-2</c:v>
                </c:pt>
                <c:pt idx="80">
                  <c:v>2.9837388786813968E-2</c:v>
                </c:pt>
                <c:pt idx="81">
                  <c:v>2.985863783785625E-2</c:v>
                </c:pt>
                <c:pt idx="82">
                  <c:v>2.9879886423489821E-2</c:v>
                </c:pt>
                <c:pt idx="83">
                  <c:v>2.9901134543724783E-2</c:v>
                </c:pt>
                <c:pt idx="84">
                  <c:v>2.9922382198571351E-2</c:v>
                </c:pt>
                <c:pt idx="85">
                  <c:v>2.9943629388039739E-2</c:v>
                </c:pt>
                <c:pt idx="86">
                  <c:v>2.9964876112140271E-2</c:v>
                </c:pt>
                <c:pt idx="87">
                  <c:v>2.9986122370882939E-2</c:v>
                </c:pt>
                <c:pt idx="88">
                  <c:v>3.0007368164277959E-2</c:v>
                </c:pt>
                <c:pt idx="89">
                  <c:v>3.0028613492335654E-2</c:v>
                </c:pt>
                <c:pt idx="90">
                  <c:v>3.0049858355066128E-2</c:v>
                </c:pt>
                <c:pt idx="91">
                  <c:v>3.0071102752479484E-2</c:v>
                </c:pt>
                <c:pt idx="92">
                  <c:v>3.0092346684586158E-2</c:v>
                </c:pt>
                <c:pt idx="93">
                  <c:v>3.0113590151396141E-2</c:v>
                </c:pt>
                <c:pt idx="94">
                  <c:v>3.0134833152919649E-2</c:v>
                </c:pt>
                <c:pt idx="95">
                  <c:v>3.0156075689166895E-2</c:v>
                </c:pt>
                <c:pt idx="96">
                  <c:v>3.0177317760148203E-2</c:v>
                </c:pt>
                <c:pt idx="97">
                  <c:v>3.0198559365873567E-2</c:v>
                </c:pt>
                <c:pt idx="98">
                  <c:v>3.02198005063532E-2</c:v>
                </c:pt>
                <c:pt idx="99">
                  <c:v>3.0241041181597428E-2</c:v>
                </c:pt>
                <c:pt idx="100">
                  <c:v>3.0262281391616241E-2</c:v>
                </c:pt>
                <c:pt idx="101">
                  <c:v>3.0283521136420077E-2</c:v>
                </c:pt>
                <c:pt idx="102">
                  <c:v>3.0304760416018928E-2</c:v>
                </c:pt>
                <c:pt idx="103">
                  <c:v>3.0325999230423006E-2</c:v>
                </c:pt>
                <c:pt idx="104">
                  <c:v>3.0347237579642639E-2</c:v>
                </c:pt>
                <c:pt idx="105">
                  <c:v>3.0368475463687816E-2</c:v>
                </c:pt>
                <c:pt idx="106">
                  <c:v>3.0389712882568864E-2</c:v>
                </c:pt>
                <c:pt idx="107">
                  <c:v>3.0410949836295886E-2</c:v>
                </c:pt>
                <c:pt idx="108">
                  <c:v>3.0432186324879207E-2</c:v>
                </c:pt>
                <c:pt idx="109">
                  <c:v>3.0453422348328929E-2</c:v>
                </c:pt>
                <c:pt idx="110">
                  <c:v>3.0474657906655156E-2</c:v>
                </c:pt>
                <c:pt idx="111">
                  <c:v>3.0495892999868213E-2</c:v>
                </c:pt>
                <c:pt idx="112">
                  <c:v>3.0517127627978202E-2</c:v>
                </c:pt>
                <c:pt idx="113">
                  <c:v>3.0538361790995339E-2</c:v>
                </c:pt>
                <c:pt idx="114">
                  <c:v>3.0559595488929836E-2</c:v>
                </c:pt>
                <c:pt idx="115">
                  <c:v>3.0580828721791908E-2</c:v>
                </c:pt>
                <c:pt idx="116">
                  <c:v>3.0602061489591548E-2</c:v>
                </c:pt>
                <c:pt idx="117">
                  <c:v>3.062329379233919E-2</c:v>
                </c:pt>
                <c:pt idx="118">
                  <c:v>3.0644525630044828E-2</c:v>
                </c:pt>
                <c:pt idx="119">
                  <c:v>3.0665757002718785E-2</c:v>
                </c:pt>
                <c:pt idx="120">
                  <c:v>3.0686987910371166E-2</c:v>
                </c:pt>
                <c:pt idx="121">
                  <c:v>3.0708218353012184E-2</c:v>
                </c:pt>
                <c:pt idx="122">
                  <c:v>3.0729448330652054E-2</c:v>
                </c:pt>
                <c:pt idx="123">
                  <c:v>3.0750677843300989E-2</c:v>
                </c:pt>
                <c:pt idx="124">
                  <c:v>3.0771906890968981E-2</c:v>
                </c:pt>
                <c:pt idx="125">
                  <c:v>3.0793135473666355E-2</c:v>
                </c:pt>
                <c:pt idx="126">
                  <c:v>3.0814363591403326E-2</c:v>
                </c:pt>
                <c:pt idx="127">
                  <c:v>3.0835591244190108E-2</c:v>
                </c:pt>
                <c:pt idx="128">
                  <c:v>3.0856818432036692E-2</c:v>
                </c:pt>
                <c:pt idx="129">
                  <c:v>3.0878045154953515E-2</c:v>
                </c:pt>
                <c:pt idx="130">
                  <c:v>3.0899271412950458E-2</c:v>
                </c:pt>
                <c:pt idx="131">
                  <c:v>3.0920497206038067E-2</c:v>
                </c:pt>
                <c:pt idx="132">
                  <c:v>3.0941722534226224E-2</c:v>
                </c:pt>
                <c:pt idx="133">
                  <c:v>3.0962947397525253E-2</c:v>
                </c:pt>
                <c:pt idx="134">
                  <c:v>3.0984171795945259E-2</c:v>
                </c:pt>
                <c:pt idx="135">
                  <c:v>3.1005395729496454E-2</c:v>
                </c:pt>
                <c:pt idx="136">
                  <c:v>3.1026619198189054E-2</c:v>
                </c:pt>
                <c:pt idx="137">
                  <c:v>3.1047842202033271E-2</c:v>
                </c:pt>
                <c:pt idx="138">
                  <c:v>3.106906474103921E-2</c:v>
                </c:pt>
                <c:pt idx="139">
                  <c:v>3.1090286815217083E-2</c:v>
                </c:pt>
                <c:pt idx="140">
                  <c:v>3.1111508424576995E-2</c:v>
                </c:pt>
                <c:pt idx="141">
                  <c:v>3.1132729569129269E-2</c:v>
                </c:pt>
                <c:pt idx="142">
                  <c:v>3.115395024888401E-2</c:v>
                </c:pt>
                <c:pt idx="143">
                  <c:v>3.1175170463851432E-2</c:v>
                </c:pt>
                <c:pt idx="144">
                  <c:v>3.1196390214041636E-2</c:v>
                </c:pt>
                <c:pt idx="145">
                  <c:v>3.1217609499464949E-2</c:v>
                </c:pt>
                <c:pt idx="146">
                  <c:v>3.1238828320131362E-2</c:v>
                </c:pt>
                <c:pt idx="147">
                  <c:v>3.126004667605109E-2</c:v>
                </c:pt>
                <c:pt idx="148">
                  <c:v>3.1281264567234457E-2</c:v>
                </c:pt>
                <c:pt idx="149">
                  <c:v>3.1302481993691567E-2</c:v>
                </c:pt>
                <c:pt idx="150">
                  <c:v>3.1323698955432522E-2</c:v>
                </c:pt>
                <c:pt idx="151">
                  <c:v>3.1344915452467537E-2</c:v>
                </c:pt>
                <c:pt idx="152">
                  <c:v>3.1366131484806936E-2</c:v>
                </c:pt>
                <c:pt idx="153">
                  <c:v>3.1387347052460712E-2</c:v>
                </c:pt>
                <c:pt idx="154">
                  <c:v>3.1408562155439079E-2</c:v>
                </c:pt>
                <c:pt idx="155">
                  <c:v>3.1429776793752251E-2</c:v>
                </c:pt>
                <c:pt idx="156">
                  <c:v>3.1450990967410442E-2</c:v>
                </c:pt>
                <c:pt idx="157">
                  <c:v>3.1472204676423754E-2</c:v>
                </c:pt>
                <c:pt idx="158">
                  <c:v>3.1493417920802402E-2</c:v>
                </c:pt>
                <c:pt idx="159">
                  <c:v>3.1514630700556601E-2</c:v>
                </c:pt>
                <c:pt idx="160">
                  <c:v>3.1535843015696452E-2</c:v>
                </c:pt>
                <c:pt idx="161">
                  <c:v>3.1557054866232059E-2</c:v>
                </c:pt>
                <c:pt idx="162">
                  <c:v>3.1578266252173859E-2</c:v>
                </c:pt>
                <c:pt idx="163">
                  <c:v>3.1599477173531731E-2</c:v>
                </c:pt>
                <c:pt idx="164">
                  <c:v>3.1620687630316113E-2</c:v>
                </c:pt>
                <c:pt idx="165">
                  <c:v>3.1641897622536996E-2</c:v>
                </c:pt>
                <c:pt idx="166">
                  <c:v>3.1663107150204595E-2</c:v>
                </c:pt>
                <c:pt idx="167">
                  <c:v>3.1684316213329122E-2</c:v>
                </c:pt>
                <c:pt idx="168">
                  <c:v>3.1705524811920793E-2</c:v>
                </c:pt>
                <c:pt idx="169">
                  <c:v>3.17267329459896E-2</c:v>
                </c:pt>
                <c:pt idx="170">
                  <c:v>3.1747940615545978E-2</c:v>
                </c:pt>
                <c:pt idx="171">
                  <c:v>3.1769147820599919E-2</c:v>
                </c:pt>
                <c:pt idx="172">
                  <c:v>3.1790354561161638E-2</c:v>
                </c:pt>
                <c:pt idx="173">
                  <c:v>3.1811560837241237E-2</c:v>
                </c:pt>
                <c:pt idx="174">
                  <c:v>3.1832766648849042E-2</c:v>
                </c:pt>
                <c:pt idx="175">
                  <c:v>3.1853971995995156E-2</c:v>
                </c:pt>
                <c:pt idx="176">
                  <c:v>3.1875176878689682E-2</c:v>
                </c:pt>
                <c:pt idx="177">
                  <c:v>3.1896381296942944E-2</c:v>
                </c:pt>
                <c:pt idx="178">
                  <c:v>3.1917585250764935E-2</c:v>
                </c:pt>
                <c:pt idx="179">
                  <c:v>3.193878874016598E-2</c:v>
                </c:pt>
                <c:pt idx="180">
                  <c:v>3.1959991765156182E-2</c:v>
                </c:pt>
                <c:pt idx="181">
                  <c:v>3.1981194325745754E-2</c:v>
                </c:pt>
                <c:pt idx="182">
                  <c:v>3.2002396421944801E-2</c:v>
                </c:pt>
                <c:pt idx="183">
                  <c:v>3.2023598053763536E-2</c:v>
                </c:pt>
                <c:pt idx="184">
                  <c:v>3.2044799221212061E-2</c:v>
                </c:pt>
                <c:pt idx="185">
                  <c:v>3.2065999924300703E-2</c:v>
                </c:pt>
                <c:pt idx="186">
                  <c:v>3.2087200163039453E-2</c:v>
                </c:pt>
                <c:pt idx="187">
                  <c:v>3.2108399937438525E-2</c:v>
                </c:pt>
                <c:pt idx="188">
                  <c:v>3.2129599247508245E-2</c:v>
                </c:pt>
                <c:pt idx="189">
                  <c:v>3.2150798093258603E-2</c:v>
                </c:pt>
                <c:pt idx="190">
                  <c:v>3.2171996474699927E-2</c:v>
                </c:pt>
                <c:pt idx="191">
                  <c:v>3.2193194391842206E-2</c:v>
                </c:pt>
                <c:pt idx="192">
                  <c:v>3.2214391844695656E-2</c:v>
                </c:pt>
                <c:pt idx="193">
                  <c:v>3.2235588833270601E-2</c:v>
                </c:pt>
                <c:pt idx="194">
                  <c:v>3.2256785357577034E-2</c:v>
                </c:pt>
                <c:pt idx="195">
                  <c:v>3.2277981417625168E-2</c:v>
                </c:pt>
                <c:pt idx="196">
                  <c:v>3.2299177013425218E-2</c:v>
                </c:pt>
                <c:pt idx="197">
                  <c:v>3.2320372144987286E-2</c:v>
                </c:pt>
                <c:pt idx="198">
                  <c:v>3.2341566812321698E-2</c:v>
                </c:pt>
                <c:pt idx="199">
                  <c:v>3.2362761015438335E-2</c:v>
                </c:pt>
                <c:pt idx="200">
                  <c:v>3.2383954754347632E-2</c:v>
                </c:pt>
                <c:pt idx="201">
                  <c:v>3.2405148029059694E-2</c:v>
                </c:pt>
                <c:pt idx="202">
                  <c:v>3.2426340839584511E-2</c:v>
                </c:pt>
                <c:pt idx="203">
                  <c:v>3.244753318593252E-2</c:v>
                </c:pt>
                <c:pt idx="204">
                  <c:v>3.2468725068113713E-2</c:v>
                </c:pt>
                <c:pt idx="205">
                  <c:v>3.2489916486138193E-2</c:v>
                </c:pt>
                <c:pt idx="206">
                  <c:v>3.2511107440016396E-2</c:v>
                </c:pt>
                <c:pt idx="207">
                  <c:v>3.2532297929758203E-2</c:v>
                </c:pt>
                <c:pt idx="208">
                  <c:v>3.2553487955373939E-2</c:v>
                </c:pt>
                <c:pt idx="209">
                  <c:v>3.2574677516873707E-2</c:v>
                </c:pt>
                <c:pt idx="210">
                  <c:v>3.2595866614267721E-2</c:v>
                </c:pt>
                <c:pt idx="211">
                  <c:v>3.2617055247566196E-2</c:v>
                </c:pt>
                <c:pt idx="212">
                  <c:v>3.2638243416779122E-2</c:v>
                </c:pt>
                <c:pt idx="213">
                  <c:v>3.2659431121916827E-2</c:v>
                </c:pt>
                <c:pt idx="214">
                  <c:v>3.2680618362989411E-2</c:v>
                </c:pt>
                <c:pt idx="215">
                  <c:v>3.2701805140006979E-2</c:v>
                </c:pt>
                <c:pt idx="216">
                  <c:v>3.2722991452979744E-2</c:v>
                </c:pt>
                <c:pt idx="217">
                  <c:v>3.2744177301917921E-2</c:v>
                </c:pt>
                <c:pt idx="218">
                  <c:v>3.2765362686831723E-2</c:v>
                </c:pt>
                <c:pt idx="219">
                  <c:v>3.2786547607731142E-2</c:v>
                </c:pt>
                <c:pt idx="220">
                  <c:v>3.2807732064626394E-2</c:v>
                </c:pt>
                <c:pt idx="221">
                  <c:v>3.2828916057527691E-2</c:v>
                </c:pt>
                <c:pt idx="222">
                  <c:v>3.2850099586445136E-2</c:v>
                </c:pt>
                <c:pt idx="223">
                  <c:v>3.2871282651389055E-2</c:v>
                </c:pt>
                <c:pt idx="224">
                  <c:v>3.2892465252369329E-2</c:v>
                </c:pt>
                <c:pt idx="225">
                  <c:v>3.2913647389396394E-2</c:v>
                </c:pt>
                <c:pt idx="226">
                  <c:v>3.2934829062480242E-2</c:v>
                </c:pt>
                <c:pt idx="227">
                  <c:v>3.2956010271631198E-2</c:v>
                </c:pt>
                <c:pt idx="228">
                  <c:v>3.2977191016859142E-2</c:v>
                </c:pt>
                <c:pt idx="229">
                  <c:v>3.2998371298174511E-2</c:v>
                </c:pt>
                <c:pt idx="230">
                  <c:v>3.3019551115587298E-2</c:v>
                </c:pt>
                <c:pt idx="231">
                  <c:v>3.3040730469107826E-2</c:v>
                </c:pt>
                <c:pt idx="232">
                  <c:v>3.3061909358746089E-2</c:v>
                </c:pt>
                <c:pt idx="233">
                  <c:v>3.3083087784512299E-2</c:v>
                </c:pt>
                <c:pt idx="234">
                  <c:v>3.3104265746416672E-2</c:v>
                </c:pt>
                <c:pt idx="235">
                  <c:v>3.312544324446931E-2</c:v>
                </c:pt>
                <c:pt idx="236">
                  <c:v>3.3146620278680428E-2</c:v>
                </c:pt>
                <c:pt idx="237">
                  <c:v>3.3167796849060127E-2</c:v>
                </c:pt>
                <c:pt idx="238">
                  <c:v>3.3188972955618512E-2</c:v>
                </c:pt>
                <c:pt idx="239">
                  <c:v>3.3210148598365907E-2</c:v>
                </c:pt>
                <c:pt idx="240">
                  <c:v>3.3231323777312305E-2</c:v>
                </c:pt>
                <c:pt idx="241">
                  <c:v>3.325249849246803E-2</c:v>
                </c:pt>
                <c:pt idx="242">
                  <c:v>3.3273672743843075E-2</c:v>
                </c:pt>
                <c:pt idx="243">
                  <c:v>3.3294846531447764E-2</c:v>
                </c:pt>
                <c:pt idx="244">
                  <c:v>3.3316019855292089E-2</c:v>
                </c:pt>
                <c:pt idx="245">
                  <c:v>3.3337192715386266E-2</c:v>
                </c:pt>
                <c:pt idx="246">
                  <c:v>3.3358365111740507E-2</c:v>
                </c:pt>
                <c:pt idx="247">
                  <c:v>3.3379537044364915E-2</c:v>
                </c:pt>
                <c:pt idx="248">
                  <c:v>3.3400708513269706E-2</c:v>
                </c:pt>
                <c:pt idx="249">
                  <c:v>3.342187951846487E-2</c:v>
                </c:pt>
                <c:pt idx="250">
                  <c:v>3.3443050059960844E-2</c:v>
                </c:pt>
                <c:pt idx="251">
                  <c:v>3.3464220137767509E-2</c:v>
                </c:pt>
                <c:pt idx="252">
                  <c:v>3.3485389751895189E-2</c:v>
                </c:pt>
                <c:pt idx="253">
                  <c:v>3.3506558902353989E-2</c:v>
                </c:pt>
                <c:pt idx="254">
                  <c:v>3.3527727589154011E-2</c:v>
                </c:pt>
                <c:pt idx="255">
                  <c:v>3.3548895812305579E-2</c:v>
                </c:pt>
                <c:pt idx="256">
                  <c:v>3.3570063571818687E-2</c:v>
                </c:pt>
                <c:pt idx="257">
                  <c:v>3.3591230867703437E-2</c:v>
                </c:pt>
                <c:pt idx="258">
                  <c:v>3.3612397699970153E-2</c:v>
                </c:pt>
                <c:pt idx="259">
                  <c:v>3.3633564068628941E-2</c:v>
                </c:pt>
                <c:pt idx="260">
                  <c:v>3.3654729973689901E-2</c:v>
                </c:pt>
                <c:pt idx="261">
                  <c:v>3.3675895415163248E-2</c:v>
                </c:pt>
                <c:pt idx="262">
                  <c:v>3.3697060393059086E-2</c:v>
                </c:pt>
                <c:pt idx="263">
                  <c:v>3.3718224907387628E-2</c:v>
                </c:pt>
                <c:pt idx="264">
                  <c:v>3.3739388958158978E-2</c:v>
                </c:pt>
                <c:pt idx="265">
                  <c:v>3.3760552545383238E-2</c:v>
                </c:pt>
                <c:pt idx="266">
                  <c:v>3.3781715669070733E-2</c:v>
                </c:pt>
                <c:pt idx="267">
                  <c:v>3.3802878329231345E-2</c:v>
                </c:pt>
                <c:pt idx="268">
                  <c:v>3.3824040525875509E-2</c:v>
                </c:pt>
                <c:pt idx="269">
                  <c:v>3.3845202259013218E-2</c:v>
                </c:pt>
                <c:pt idx="270">
                  <c:v>3.3866363528654686E-2</c:v>
                </c:pt>
                <c:pt idx="271">
                  <c:v>3.3887524334810015E-2</c:v>
                </c:pt>
                <c:pt idx="272">
                  <c:v>3.390868467748942E-2</c:v>
                </c:pt>
                <c:pt idx="273">
                  <c:v>3.3929844556703004E-2</c:v>
                </c:pt>
                <c:pt idx="274">
                  <c:v>3.3951003972460869E-2</c:v>
                </c:pt>
                <c:pt idx="275">
                  <c:v>3.397216292477323E-2</c:v>
                </c:pt>
                <c:pt idx="276">
                  <c:v>3.3993321413650301E-2</c:v>
                </c:pt>
                <c:pt idx="277">
                  <c:v>3.4014479439102185E-2</c:v>
                </c:pt>
                <c:pt idx="278">
                  <c:v>3.4035637001138874E-2</c:v>
                </c:pt>
                <c:pt idx="279">
                  <c:v>3.4056794099770804E-2</c:v>
                </c:pt>
                <c:pt idx="280">
                  <c:v>3.4077950735007856E-2</c:v>
                </c:pt>
                <c:pt idx="281">
                  <c:v>3.4099106906860355E-2</c:v>
                </c:pt>
                <c:pt idx="282">
                  <c:v>3.4120262615338404E-2</c:v>
                </c:pt>
                <c:pt idx="283">
                  <c:v>3.4141417860452106E-2</c:v>
                </c:pt>
                <c:pt idx="284">
                  <c:v>3.4162572642211675E-2</c:v>
                </c:pt>
                <c:pt idx="285">
                  <c:v>3.4183726960627214E-2</c:v>
                </c:pt>
                <c:pt idx="286">
                  <c:v>3.4204880815708938E-2</c:v>
                </c:pt>
                <c:pt idx="287">
                  <c:v>3.4226034207466949E-2</c:v>
                </c:pt>
                <c:pt idx="288">
                  <c:v>3.4247187135911239E-2</c:v>
                </c:pt>
                <c:pt idx="289">
                  <c:v>3.4268339601052245E-2</c:v>
                </c:pt>
                <c:pt idx="290">
                  <c:v>3.4289491602899957E-2</c:v>
                </c:pt>
                <c:pt idx="291">
                  <c:v>3.4310643141464592E-2</c:v>
                </c:pt>
                <c:pt idx="292">
                  <c:v>3.433179421675614E-2</c:v>
                </c:pt>
                <c:pt idx="293">
                  <c:v>3.4352944828784926E-2</c:v>
                </c:pt>
                <c:pt idx="294">
                  <c:v>3.4374094977561054E-2</c:v>
                </c:pt>
                <c:pt idx="295">
                  <c:v>3.4395244663094626E-2</c:v>
                </c:pt>
                <c:pt idx="296">
                  <c:v>3.4416393885395746E-2</c:v>
                </c:pt>
                <c:pt idx="297">
                  <c:v>3.4437542644474628E-2</c:v>
                </c:pt>
                <c:pt idx="298">
                  <c:v>3.4458690940341485E-2</c:v>
                </c:pt>
                <c:pt idx="299">
                  <c:v>3.4479838773006311E-2</c:v>
                </c:pt>
                <c:pt idx="300">
                  <c:v>3.4500986142479317E-2</c:v>
                </c:pt>
                <c:pt idx="301">
                  <c:v>3.452213304877072E-2</c:v>
                </c:pt>
                <c:pt idx="302">
                  <c:v>3.4543279491890622E-2</c:v>
                </c:pt>
                <c:pt idx="303">
                  <c:v>3.4564425471849125E-2</c:v>
                </c:pt>
                <c:pt idx="304">
                  <c:v>3.4585570988656333E-2</c:v>
                </c:pt>
                <c:pt idx="305">
                  <c:v>3.4606716042322461E-2</c:v>
                </c:pt>
                <c:pt idx="306">
                  <c:v>3.4627860632857721E-2</c:v>
                </c:pt>
                <c:pt idx="307">
                  <c:v>3.4649004760272106E-2</c:v>
                </c:pt>
                <c:pt idx="308">
                  <c:v>3.4670148424575942E-2</c:v>
                </c:pt>
                <c:pt idx="309">
                  <c:v>3.4691291625779219E-2</c:v>
                </c:pt>
                <c:pt idx="310">
                  <c:v>3.4712434363892042E-2</c:v>
                </c:pt>
                <c:pt idx="311">
                  <c:v>3.4733576638924735E-2</c:v>
                </c:pt>
                <c:pt idx="312">
                  <c:v>3.475471845088729E-2</c:v>
                </c:pt>
                <c:pt idx="313">
                  <c:v>3.4775859799789921E-2</c:v>
                </c:pt>
                <c:pt idx="314">
                  <c:v>3.4797000685642732E-2</c:v>
                </c:pt>
                <c:pt idx="315">
                  <c:v>3.4818141108455936E-2</c:v>
                </c:pt>
                <c:pt idx="316">
                  <c:v>3.4839281068239636E-2</c:v>
                </c:pt>
                <c:pt idx="317">
                  <c:v>3.4860420565003936E-2</c:v>
                </c:pt>
                <c:pt idx="318">
                  <c:v>3.4881559598758938E-2</c:v>
                </c:pt>
                <c:pt idx="319">
                  <c:v>3.4902698169514967E-2</c:v>
                </c:pt>
                <c:pt idx="320">
                  <c:v>3.4923836277282017E-2</c:v>
                </c:pt>
                <c:pt idx="321">
                  <c:v>3.4944973922070188E-2</c:v>
                </c:pt>
                <c:pt idx="322">
                  <c:v>3.4966111103889697E-2</c:v>
                </c:pt>
                <c:pt idx="323">
                  <c:v>3.4987247822750756E-2</c:v>
                </c:pt>
                <c:pt idx="324">
                  <c:v>3.5008384078663357E-2</c:v>
                </c:pt>
                <c:pt idx="325">
                  <c:v>3.5029519871637715E-2</c:v>
                </c:pt>
                <c:pt idx="326">
                  <c:v>3.5050655201684044E-2</c:v>
                </c:pt>
                <c:pt idx="327">
                  <c:v>3.5071790068812336E-2</c:v>
                </c:pt>
                <c:pt idx="328">
                  <c:v>3.5092924473032805E-2</c:v>
                </c:pt>
                <c:pt idx="329">
                  <c:v>3.5114058414355553E-2</c:v>
                </c:pt>
                <c:pt idx="330">
                  <c:v>3.5135191892790796E-2</c:v>
                </c:pt>
                <c:pt idx="331">
                  <c:v>3.5156324908348524E-2</c:v>
                </c:pt>
                <c:pt idx="332">
                  <c:v>3.5177457461039063E-2</c:v>
                </c:pt>
                <c:pt idx="333">
                  <c:v>3.5198589550872406E-2</c:v>
                </c:pt>
                <c:pt idx="334">
                  <c:v>3.5219721177858876E-2</c:v>
                </c:pt>
                <c:pt idx="335">
                  <c:v>3.5240852342008355E-2</c:v>
                </c:pt>
                <c:pt idx="336">
                  <c:v>3.5261983043331169E-2</c:v>
                </c:pt>
                <c:pt idx="337">
                  <c:v>3.5283113281837308E-2</c:v>
                </c:pt>
                <c:pt idx="338">
                  <c:v>3.5304243057537099E-2</c:v>
                </c:pt>
                <c:pt idx="339">
                  <c:v>3.5325372370440533E-2</c:v>
                </c:pt>
                <c:pt idx="340">
                  <c:v>3.5346501220557824E-2</c:v>
                </c:pt>
                <c:pt idx="341">
                  <c:v>3.5367629607898965E-2</c:v>
                </c:pt>
                <c:pt idx="342">
                  <c:v>3.538875753247428E-2</c:v>
                </c:pt>
                <c:pt idx="343">
                  <c:v>3.5409884994293872E-2</c:v>
                </c:pt>
                <c:pt idx="344">
                  <c:v>3.5431011993367734E-2</c:v>
                </c:pt>
                <c:pt idx="345">
                  <c:v>3.545213852970619E-2</c:v>
                </c:pt>
                <c:pt idx="346">
                  <c:v>3.5473264603319121E-2</c:v>
                </c:pt>
                <c:pt idx="347">
                  <c:v>3.5494390214216964E-2</c:v>
                </c:pt>
                <c:pt idx="348">
                  <c:v>3.5515515362409711E-2</c:v>
                </c:pt>
                <c:pt idx="349">
                  <c:v>3.5536640047907353E-2</c:v>
                </c:pt>
                <c:pt idx="350">
                  <c:v>3.5557764270720327E-2</c:v>
                </c:pt>
                <c:pt idx="351">
                  <c:v>3.5578888030858513E-2</c:v>
                </c:pt>
                <c:pt idx="352">
                  <c:v>3.5600011328332237E-2</c:v>
                </c:pt>
                <c:pt idx="353">
                  <c:v>3.5621134163151491E-2</c:v>
                </c:pt>
                <c:pt idx="354">
                  <c:v>3.5642256535326378E-2</c:v>
                </c:pt>
                <c:pt idx="355">
                  <c:v>3.5663378444867222E-2</c:v>
                </c:pt>
                <c:pt idx="356">
                  <c:v>3.5684499891783905E-2</c:v>
                </c:pt>
                <c:pt idx="357">
                  <c:v>3.5705620876086752E-2</c:v>
                </c:pt>
                <c:pt idx="358">
                  <c:v>3.5726741397785866E-2</c:v>
                </c:pt>
                <c:pt idx="359">
                  <c:v>3.574786145689135E-2</c:v>
                </c:pt>
                <c:pt idx="360">
                  <c:v>3.5768981053413307E-2</c:v>
                </c:pt>
                <c:pt idx="361">
                  <c:v>3.5790100187361951E-2</c:v>
                </c:pt>
                <c:pt idx="362">
                  <c:v>3.5811218858747274E-2</c:v>
                </c:pt>
                <c:pt idx="363">
                  <c:v>3.58323370675796E-2</c:v>
                </c:pt>
                <c:pt idx="364">
                  <c:v>3.5853454813868924E-2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2.4750288157514119E-2</c:v>
                </c:pt>
                <c:pt idx="1">
                  <c:v>2.4818037886958206E-2</c:v>
                </c:pt>
                <c:pt idx="2">
                  <c:v>2.4885775367311364E-2</c:v>
                </c:pt>
                <c:pt idx="3">
                  <c:v>2.4953495286852919E-2</c:v>
                </c:pt>
                <c:pt idx="4">
                  <c:v>2.5021193024146723E-2</c:v>
                </c:pt>
                <c:pt idx="5">
                  <c:v>2.5088864633978015E-2</c:v>
                </c:pt>
                <c:pt idx="6">
                  <c:v>2.5156506827325762E-2</c:v>
                </c:pt>
                <c:pt idx="7">
                  <c:v>2.5224116945749026E-2</c:v>
                </c:pt>
                <c:pt idx="8">
                  <c:v>2.5291692930611856E-2</c:v>
                </c:pt>
                <c:pt idx="9">
                  <c:v>2.5359233287613591E-2</c:v>
                </c:pt>
                <c:pt idx="10">
                  <c:v>2.5426737047128081E-2</c:v>
                </c:pt>
                <c:pt idx="11">
                  <c:v>2.5494203720886552E-2</c:v>
                </c:pt>
                <c:pt idx="12">
                  <c:v>2.556163325556482E-2</c:v>
                </c:pt>
                <c:pt idx="13">
                  <c:v>2.5629025983855001E-2</c:v>
                </c:pt>
                <c:pt idx="14">
                  <c:v>2.5696382573616009E-2</c:v>
                </c:pt>
                <c:pt idx="15">
                  <c:v>2.5763703975704391E-2</c:v>
                </c:pt>
                <c:pt idx="16">
                  <c:v>2.5830991371089265E-2</c:v>
                </c:pt>
                <c:pt idx="17">
                  <c:v>2.5898246117850122E-2</c:v>
                </c:pt>
                <c:pt idx="18">
                  <c:v>2.5965469698646371E-2</c:v>
                </c:pt>
                <c:pt idx="19">
                  <c:v>2.6032663669231411E-2</c:v>
                </c:pt>
                <c:pt idx="20">
                  <c:v>2.6099829608562164E-2</c:v>
                </c:pt>
                <c:pt idx="21">
                  <c:v>2.6166969071028737E-2</c:v>
                </c:pt>
                <c:pt idx="22">
                  <c:v>2.6234083541296683E-2</c:v>
                </c:pt>
                <c:pt idx="23">
                  <c:v>2.6301174392218931E-2</c:v>
                </c:pt>
                <c:pt idx="24">
                  <c:v>2.6368242846233295E-2</c:v>
                </c:pt>
                <c:pt idx="25">
                  <c:v>2.6435289940618667E-2</c:v>
                </c:pt>
                <c:pt idx="26">
                  <c:v>2.6502316496935401E-2</c:v>
                </c:pt>
                <c:pt idx="27">
                  <c:v>2.656932309492618E-2</c:v>
                </c:pt>
                <c:pt idx="28">
                  <c:v>2.6636310051102036E-2</c:v>
                </c:pt>
                <c:pt idx="29">
                  <c:v>2.6703277402185394E-2</c:v>
                </c:pt>
                <c:pt idx="30">
                  <c:v>2.6770224893527646E-2</c:v>
                </c:pt>
                <c:pt idx="31">
                  <c:v>2.6837151972565115E-2</c:v>
                </c:pt>
                <c:pt idx="32">
                  <c:v>2.6937427754712615E-2</c:v>
                </c:pt>
                <c:pt idx="33">
                  <c:v>2.7037605375031293E-2</c:v>
                </c:pt>
                <c:pt idx="34">
                  <c:v>2.7137683662859808E-2</c:v>
                </c:pt>
                <c:pt idx="35">
                  <c:v>2.7237661162438479E-2</c:v>
                </c:pt>
                <c:pt idx="36">
                  <c:v>2.733753614927293E-2</c:v>
                </c:pt>
                <c:pt idx="37">
                  <c:v>2.7437306651020569E-2</c:v>
                </c:pt>
                <c:pt idx="38">
                  <c:v>2.7536970472649729E-2</c:v>
                </c:pt>
                <c:pt idx="39">
                  <c:v>2.763652522557947E-2</c:v>
                </c:pt>
                <c:pt idx="40">
                  <c:v>2.7735968360469855E-2</c:v>
                </c:pt>
                <c:pt idx="41">
                  <c:v>2.78352972032983E-2</c:v>
                </c:pt>
                <c:pt idx="42">
                  <c:v>2.7934508994328023E-2</c:v>
                </c:pt>
                <c:pt idx="43">
                  <c:v>2.803360092954971E-2</c:v>
                </c:pt>
                <c:pt idx="44">
                  <c:v>2.8132570204157107E-2</c:v>
                </c:pt>
                <c:pt idx="45">
                  <c:v>2.8231414057602319E-2</c:v>
                </c:pt>
                <c:pt idx="46">
                  <c:v>2.8330129819766459E-2</c:v>
                </c:pt>
                <c:pt idx="47">
                  <c:v>2.8428714957776487E-2</c:v>
                </c:pt>
                <c:pt idx="48">
                  <c:v>2.8527167122999197E-2</c:v>
                </c:pt>
                <c:pt idx="49">
                  <c:v>2.862548419774831E-2</c:v>
                </c:pt>
                <c:pt idx="50">
                  <c:v>2.8723664341251332E-2</c:v>
                </c:pt>
                <c:pt idx="51">
                  <c:v>2.8821706034436824E-2</c:v>
                </c:pt>
                <c:pt idx="52">
                  <c:v>2.8919608123122338E-2</c:v>
                </c:pt>
                <c:pt idx="53">
                  <c:v>2.9017369859206749E-2</c:v>
                </c:pt>
                <c:pt idx="54">
                  <c:v>2.9114990939497262E-2</c:v>
                </c:pt>
                <c:pt idx="55">
                  <c:v>2.9212471541832537E-2</c:v>
                </c:pt>
                <c:pt idx="56">
                  <c:v>2.9309812358196515E-2</c:v>
                </c:pt>
                <c:pt idx="57">
                  <c:v>2.9407014624553675E-2</c:v>
                </c:pt>
                <c:pt idx="58">
                  <c:v>2.9504080147174983E-2</c:v>
                </c:pt>
                <c:pt idx="59">
                  <c:v>2.9601011325263063E-2</c:v>
                </c:pt>
                <c:pt idx="60">
                  <c:v>2.9697811169726737E-2</c:v>
                </c:pt>
                <c:pt idx="61">
                  <c:v>2.9794483317995949E-2</c:v>
                </c:pt>
                <c:pt idx="62">
                  <c:v>2.9891032044810379E-2</c:v>
                </c:pt>
                <c:pt idx="63">
                  <c:v>2.9987462268955829E-2</c:v>
                </c:pt>
                <c:pt idx="64">
                  <c:v>3.0083779555963253E-2</c:v>
                </c:pt>
                <c:pt idx="65">
                  <c:v>3.0179990116824141E-2</c:v>
                </c:pt>
                <c:pt idx="66">
                  <c:v>3.0276100802813229E-2</c:v>
                </c:pt>
                <c:pt idx="67">
                  <c:v>3.037211909654481E-2</c:v>
                </c:pt>
                <c:pt idx="68">
                  <c:v>3.0468053099420921E-2</c:v>
                </c:pt>
                <c:pt idx="69">
                  <c:v>3.0563911515659722E-2</c:v>
                </c:pt>
                <c:pt idx="70">
                  <c:v>3.0659703633118117E-2</c:v>
                </c:pt>
                <c:pt idx="71">
                  <c:v>3.0755439301145757E-2</c:v>
                </c:pt>
                <c:pt idx="72">
                  <c:v>3.0851128905726378E-2</c:v>
                </c:pt>
                <c:pt idx="73">
                  <c:v>3.0946783342177493E-2</c:v>
                </c:pt>
                <c:pt idx="74">
                  <c:v>3.1042413985690517E-2</c:v>
                </c:pt>
                <c:pt idx="75">
                  <c:v>3.1138032660000512E-2</c:v>
                </c:pt>
                <c:pt idx="76">
                  <c:v>3.1233651604477421E-2</c:v>
                </c:pt>
                <c:pt idx="77">
                  <c:v>3.1329283439929655E-2</c:v>
                </c:pt>
                <c:pt idx="78">
                  <c:v>3.1424941133405729E-2</c:v>
                </c:pt>
                <c:pt idx="79">
                  <c:v>3.1520637962270837E-2</c:v>
                </c:pt>
                <c:pt idx="80">
                  <c:v>3.161638747782259E-2</c:v>
                </c:pt>
                <c:pt idx="81">
                  <c:v>3.1712203468694515E-2</c:v>
                </c:pt>
                <c:pt idx="82">
                  <c:v>3.1808099924276946E-2</c:v>
                </c:pt>
                <c:pt idx="83">
                  <c:v>3.1904090998363228E-2</c:v>
                </c:pt>
                <c:pt idx="84">
                  <c:v>3.2000190973205125E-2</c:v>
                </c:pt>
                <c:pt idx="85">
                  <c:v>3.2096414224135617E-2</c:v>
                </c:pt>
                <c:pt idx="86">
                  <c:v>3.2192775184889277E-2</c:v>
                </c:pt>
                <c:pt idx="87">
                  <c:v>3.2289288313722193E-2</c:v>
                </c:pt>
                <c:pt idx="88">
                  <c:v>3.2385968060403607E-2</c:v>
                </c:pt>
                <c:pt idx="89">
                  <c:v>3.2482828834122318E-2</c:v>
                </c:pt>
                <c:pt idx="90">
                  <c:v>3.257988497232113E-2</c:v>
                </c:pt>
                <c:pt idx="91">
                  <c:v>3.2677150710444615E-2</c:v>
                </c:pt>
                <c:pt idx="92">
                  <c:v>3.2774640152557218E-2</c:v>
                </c:pt>
                <c:pt idx="93">
                  <c:v>3.2872367242763614E-2</c:v>
                </c:pt>
                <c:pt idx="94">
                  <c:v>3.297034573733916E-2</c:v>
                </c:pt>
                <c:pt idx="95">
                  <c:v>3.306858917745642E-2</c:v>
                </c:pt>
                <c:pt idx="96">
                  <c:v>3.3167110862375886E-2</c:v>
                </c:pt>
                <c:pt idx="97">
                  <c:v>3.3265923822952417E-2</c:v>
                </c:pt>
                <c:pt idx="98">
                  <c:v>3.3365040795297646E-2</c:v>
                </c:pt>
                <c:pt idx="99">
                  <c:v>3.3464474194429029E-2</c:v>
                </c:pt>
                <c:pt idx="100">
                  <c:v>3.3564236087731875E-2</c:v>
                </c:pt>
                <c:pt idx="101">
                  <c:v>3.366433816805952E-2</c:v>
                </c:pt>
                <c:pt idx="102">
                  <c:v>3.3764791726299717E-2</c:v>
                </c:pt>
                <c:pt idx="103">
                  <c:v>3.3865607623242325E-2</c:v>
                </c:pt>
                <c:pt idx="104">
                  <c:v>3.3966796260594526E-2</c:v>
                </c:pt>
                <c:pt idx="105">
                  <c:v>3.406836755100446E-2</c:v>
                </c:pt>
                <c:pt idx="106">
                  <c:v>3.4170330886972959E-2</c:v>
                </c:pt>
                <c:pt idx="107">
                  <c:v>3.4272695108555358E-2</c:v>
                </c:pt>
                <c:pt idx="108">
                  <c:v>3.4375468469780575E-2</c:v>
                </c:pt>
                <c:pt idx="109">
                  <c:v>3.4478658603743967E-2</c:v>
                </c:pt>
                <c:pt idx="110">
                  <c:v>3.4582272486360713E-2</c:v>
                </c:pt>
                <c:pt idx="111">
                  <c:v>3.4686316398801265E-2</c:v>
                </c:pt>
                <c:pt idx="112">
                  <c:v>3.4790795888664891E-2</c:v>
                </c:pt>
                <c:pt idx="113">
                  <c:v>3.4895715729984907E-2</c:v>
                </c:pt>
                <c:pt idx="114">
                  <c:v>3.5001079882196862E-2</c:v>
                </c:pt>
                <c:pt idx="115">
                  <c:v>3.5106891448239155E-2</c:v>
                </c:pt>
                <c:pt idx="116">
                  <c:v>3.5213152631994198E-2</c:v>
                </c:pt>
                <c:pt idx="117">
                  <c:v>3.5319864695315263E-2</c:v>
                </c:pt>
                <c:pt idx="118">
                  <c:v>3.5427027914921319E-2</c:v>
                </c:pt>
                <c:pt idx="119">
                  <c:v>3.5534641539476469E-2</c:v>
                </c:pt>
                <c:pt idx="120">
                  <c:v>3.5642703747203359E-2</c:v>
                </c:pt>
                <c:pt idx="121">
                  <c:v>3.5751211604409701E-2</c:v>
                </c:pt>
                <c:pt idx="122">
                  <c:v>3.5860161025333903E-2</c:v>
                </c:pt>
                <c:pt idx="123">
                  <c:v>3.5969546733738346E-2</c:v>
                </c:pt>
                <c:pt idx="124">
                  <c:v>3.6079362226698143E-2</c:v>
                </c:pt>
                <c:pt idx="125">
                  <c:v>3.6189599741047102E-2</c:v>
                </c:pt>
                <c:pt idx="126">
                  <c:v>3.6300250222952621E-2</c:v>
                </c:pt>
                <c:pt idx="127">
                  <c:v>3.6411303301095148E-2</c:v>
                </c:pt>
                <c:pt idx="128">
                  <c:v>3.6522747263927062E-2</c:v>
                </c:pt>
                <c:pt idx="129">
                  <c:v>3.6634569041479631E-2</c:v>
                </c:pt>
                <c:pt idx="130">
                  <c:v>3.6746754192173652E-2</c:v>
                </c:pt>
                <c:pt idx="131">
                  <c:v>3.6859286895072597E-2</c:v>
                </c:pt>
                <c:pt idx="132">
                  <c:v>3.6972149947992493E-2</c:v>
                </c:pt>
                <c:pt idx="133">
                  <c:v>3.708532477185416E-2</c:v>
                </c:pt>
                <c:pt idx="134">
                  <c:v>3.7198791421628546E-2</c:v>
                </c:pt>
                <c:pt idx="135">
                  <c:v>3.7312528604185886E-2</c:v>
                </c:pt>
                <c:pt idx="136">
                  <c:v>3.7426513703314464E-2</c:v>
                </c:pt>
                <c:pt idx="137">
                  <c:v>3.7540722812125345E-2</c:v>
                </c:pt>
                <c:pt idx="138">
                  <c:v>3.7655130773005425E-2</c:v>
                </c:pt>
                <c:pt idx="139">
                  <c:v>3.7769711225223386E-2</c:v>
                </c:pt>
                <c:pt idx="140">
                  <c:v>3.7884436660232758E-2</c:v>
                </c:pt>
                <c:pt idx="141">
                  <c:v>3.7999278484651962E-2</c:v>
                </c:pt>
                <c:pt idx="142">
                  <c:v>3.8114207090836044E-2</c:v>
                </c:pt>
                <c:pt idx="143">
                  <c:v>3.8229191934887004E-2</c:v>
                </c:pt>
                <c:pt idx="144">
                  <c:v>3.8344201621882269E-2</c:v>
                </c:pt>
                <c:pt idx="145">
                  <c:v>3.845920399803171E-2</c:v>
                </c:pt>
                <c:pt idx="146">
                  <c:v>3.8574166249406724E-2</c:v>
                </c:pt>
                <c:pt idx="147">
                  <c:v>3.8689055006818254E-2</c:v>
                </c:pt>
                <c:pt idx="148">
                  <c:v>3.8803836456355802E-2</c:v>
                </c:pt>
                <c:pt idx="149">
                  <c:v>3.8918476455038646E-2</c:v>
                </c:pt>
                <c:pt idx="150">
                  <c:v>3.9032940650971015E-2</c:v>
                </c:pt>
                <c:pt idx="151">
                  <c:v>3.9147194607339689E-2</c:v>
                </c:pt>
                <c:pt idx="152">
                  <c:v>3.9261203929542104E-2</c:v>
                </c:pt>
                <c:pt idx="153">
                  <c:v>3.9374934394688865E-2</c:v>
                </c:pt>
                <c:pt idx="154">
                  <c:v>3.9488352082686293E-2</c:v>
                </c:pt>
                <c:pt idx="155">
                  <c:v>3.9601423508071706E-2</c:v>
                </c:pt>
                <c:pt idx="156">
                  <c:v>3.9714115751749449E-2</c:v>
                </c:pt>
                <c:pt idx="157">
                  <c:v>3.9826396591756387E-2</c:v>
                </c:pt>
                <c:pt idx="158">
                  <c:v>3.9938234632175544E-2</c:v>
                </c:pt>
                <c:pt idx="159">
                  <c:v>4.0049599429312556E-2</c:v>
                </c:pt>
                <c:pt idx="160">
                  <c:v>4.0160461614254725E-2</c:v>
                </c:pt>
                <c:pt idx="161">
                  <c:v>4.0270793010944689E-2</c:v>
                </c:pt>
                <c:pt idx="162">
                  <c:v>4.0380566748921189E-2</c:v>
                </c:pt>
                <c:pt idx="163">
                  <c:v>4.0489757369907904E-2</c:v>
                </c:pt>
                <c:pt idx="164">
                  <c:v>4.0598340927467121E-2</c:v>
                </c:pt>
                <c:pt idx="165">
                  <c:v>4.0706295078978397E-2</c:v>
                </c:pt>
                <c:pt idx="166">
                  <c:v>4.0813599169253471E-2</c:v>
                </c:pt>
                <c:pt idx="167">
                  <c:v>4.0920234305155144E-2</c:v>
                </c:pt>
                <c:pt idx="168">
                  <c:v>4.1026183420652333E-2</c:v>
                </c:pt>
                <c:pt idx="169">
                  <c:v>4.1131431331812351E-2</c:v>
                </c:pt>
                <c:pt idx="170">
                  <c:v>4.1235964781305944E-2</c:v>
                </c:pt>
                <c:pt idx="171">
                  <c:v>4.1339772472079886E-2</c:v>
                </c:pt>
                <c:pt idx="172">
                  <c:v>4.1442845089934351E-2</c:v>
                </c:pt>
                <c:pt idx="173">
                  <c:v>4.1545175314828077E-2</c:v>
                </c:pt>
                <c:pt idx="174">
                  <c:v>4.1646757820822451E-2</c:v>
                </c:pt>
                <c:pt idx="175">
                  <c:v>4.1747589264664708E-2</c:v>
                </c:pt>
                <c:pt idx="176">
                  <c:v>4.1847668263100421E-2</c:v>
                </c:pt>
                <c:pt idx="177">
                  <c:v>4.1946995359095192E-2</c:v>
                </c:pt>
                <c:pt idx="178">
                  <c:v>4.2045572977233291E-2</c:v>
                </c:pt>
                <c:pt idx="179">
                  <c:v>4.2143405368648051E-2</c:v>
                </c:pt>
                <c:pt idx="180">
                  <c:v>4.224049854592158E-2</c:v>
                </c:pt>
                <c:pt idx="181">
                  <c:v>4.2336860208471473E-2</c:v>
                </c:pt>
                <c:pt idx="182">
                  <c:v>4.2432499659017422E-2</c:v>
                </c:pt>
                <c:pt idx="183">
                  <c:v>4.2527427711790522E-2</c:v>
                </c:pt>
                <c:pt idx="184">
                  <c:v>4.2621656593212286E-2</c:v>
                </c:pt>
                <c:pt idx="185">
                  <c:v>4.2715199835827618E-2</c:v>
                </c:pt>
                <c:pt idx="186">
                  <c:v>4.2808072166326774E-2</c:v>
                </c:pt>
                <c:pt idx="187">
                  <c:v>4.2900289388533554E-2</c:v>
                </c:pt>
                <c:pt idx="188">
                  <c:v>4.2991868262271721E-2</c:v>
                </c:pt>
                <c:pt idx="189">
                  <c:v>4.3082826379047964E-2</c:v>
                </c:pt>
                <c:pt idx="190">
                  <c:v>4.3173182035506533E-2</c:v>
                </c:pt>
                <c:pt idx="191">
                  <c:v>4.3262954105619922E-2</c:v>
                </c:pt>
                <c:pt idx="192">
                  <c:v>4.3352161912578624E-2</c:v>
                </c:pt>
                <c:pt idx="193">
                  <c:v>4.3440825101334284E-2</c:v>
                </c:pt>
                <c:pt idx="194">
                  <c:v>4.352896351273141E-2</c:v>
                </c:pt>
                <c:pt idx="195">
                  <c:v>4.3616597060136271E-2</c:v>
                </c:pt>
                <c:pt idx="196">
                  <c:v>4.3703745609435636E-2</c:v>
                </c:pt>
                <c:pt idx="197">
                  <c:v>4.3790428863234747E-2</c:v>
                </c:pt>
                <c:pt idx="198">
                  <c:v>4.3876666250032281E-2</c:v>
                </c:pt>
                <c:pt idx="199">
                  <c:v>4.3962476819092003E-2</c:v>
                </c:pt>
                <c:pt idx="200">
                  <c:v>4.4047879141665996E-2</c:v>
                </c:pt>
                <c:pt idx="201">
                  <c:v>4.4132891219153543E-2</c:v>
                </c:pt>
                <c:pt idx="202">
                  <c:v>4.4217530398704241E-2</c:v>
                </c:pt>
                <c:pt idx="203">
                  <c:v>4.4301813296693915E-2</c:v>
                </c:pt>
                <c:pt idx="204">
                  <c:v>4.4385755730418454E-2</c:v>
                </c:pt>
                <c:pt idx="205">
                  <c:v>4.4469372658264922E-2</c:v>
                </c:pt>
                <c:pt idx="206">
                  <c:v>4.4552678128531371E-2</c:v>
                </c:pt>
                <c:pt idx="207">
                  <c:v>4.4635685236978875E-2</c:v>
                </c:pt>
                <c:pt idx="208">
                  <c:v>4.4718406093110896E-2</c:v>
                </c:pt>
                <c:pt idx="209">
                  <c:v>4.4800851795088172E-2</c:v>
                </c:pt>
                <c:pt idx="210">
                  <c:v>4.488303241310259E-2</c:v>
                </c:pt>
                <c:pt idx="211">
                  <c:v>4.4964956980951334E-2</c:v>
                </c:pt>
                <c:pt idx="212">
                  <c:v>4.5046633495474699E-2</c:v>
                </c:pt>
                <c:pt idx="213">
                  <c:v>4.5128068923447451E-2</c:v>
                </c:pt>
                <c:pt idx="214">
                  <c:v>4.5209269215445727E-2</c:v>
                </c:pt>
                <c:pt idx="215">
                  <c:v>4.5290239326149603E-2</c:v>
                </c:pt>
                <c:pt idx="216">
                  <c:v>4.5370983240486717E-2</c:v>
                </c:pt>
                <c:pt idx="217">
                  <c:v>4.5451504004974747E-2</c:v>
                </c:pt>
                <c:pt idx="218">
                  <c:v>4.5531803763580764E-2</c:v>
                </c:pt>
                <c:pt idx="219">
                  <c:v>4.5611883797385087E-2</c:v>
                </c:pt>
                <c:pt idx="220">
                  <c:v>4.5691744567313439E-2</c:v>
                </c:pt>
                <c:pt idx="221">
                  <c:v>4.5771385759189417E-2</c:v>
                </c:pt>
                <c:pt idx="222">
                  <c:v>4.5850806330352926E-2</c:v>
                </c:pt>
                <c:pt idx="223">
                  <c:v>4.593000455709656E-2</c:v>
                </c:pt>
                <c:pt idx="224">
                  <c:v>4.6008978082184175E-2</c:v>
                </c:pt>
                <c:pt idx="225">
                  <c:v>4.6087723961739602E-2</c:v>
                </c:pt>
                <c:pt idx="226">
                  <c:v>4.6166238710823641E-2</c:v>
                </c:pt>
                <c:pt idx="227">
                  <c:v>4.6244518347057936E-2</c:v>
                </c:pt>
                <c:pt idx="228">
                  <c:v>4.6322558431700307E-2</c:v>
                </c:pt>
                <c:pt idx="229">
                  <c:v>4.64003541076322E-2</c:v>
                </c:pt>
                <c:pt idx="230">
                  <c:v>4.6477900133778512E-2</c:v>
                </c:pt>
                <c:pt idx="231">
                  <c:v>4.6555190915548265E-2</c:v>
                </c:pt>
                <c:pt idx="232">
                  <c:v>4.663222053095642E-2</c:v>
                </c:pt>
                <c:pt idx="233">
                  <c:v>4.6708982752163654E-2</c:v>
                </c:pt>
                <c:pt idx="234">
                  <c:v>4.6785471062251255E-2</c:v>
                </c:pt>
                <c:pt idx="235">
                  <c:v>4.6861678667130403E-2</c:v>
                </c:pt>
                <c:pt idx="236">
                  <c:v>4.6937598502569816E-2</c:v>
                </c:pt>
                <c:pt idx="237">
                  <c:v>4.7013223236409676E-2</c:v>
                </c:pt>
                <c:pt idx="238">
                  <c:v>4.7088545266114494E-2</c:v>
                </c:pt>
                <c:pt idx="239">
                  <c:v>4.7163556711899791E-2</c:v>
                </c:pt>
                <c:pt idx="240">
                  <c:v>4.723824940574859E-2</c:v>
                </c:pt>
                <c:pt idx="241">
                  <c:v>4.7312614876709201E-2</c:v>
                </c:pt>
                <c:pt idx="242">
                  <c:v>4.7386644332939661E-2</c:v>
                </c:pt>
                <c:pt idx="243">
                  <c:v>4.7460328641030426E-2</c:v>
                </c:pt>
                <c:pt idx="244">
                  <c:v>4.7533658303198147E-2</c:v>
                </c:pt>
                <c:pt idx="245">
                  <c:v>4.7606623432997708E-2</c:v>
                </c:pt>
                <c:pt idx="246">
                  <c:v>4.7679213730245862E-2</c:v>
                </c:pt>
                <c:pt idx="247">
                  <c:v>4.7751418455887859E-2</c:v>
                </c:pt>
                <c:pt idx="248">
                  <c:v>4.7823226407568184E-2</c:v>
                </c:pt>
                <c:pt idx="249">
                  <c:v>4.7894625896685923E-2</c:v>
                </c:pt>
                <c:pt idx="250">
                  <c:v>4.7965604727725937E-2</c:v>
                </c:pt>
                <c:pt idx="251">
                  <c:v>4.80361501806571E-2</c:v>
                </c:pt>
                <c:pt idx="252">
                  <c:v>4.8106248997179323E-2</c:v>
                </c:pt>
                <c:pt idx="253">
                  <c:v>4.8175887371580864E-2</c:v>
                </c:pt>
                <c:pt idx="254">
                  <c:v>4.8245050946937727E-2</c:v>
                </c:pt>
                <c:pt idx="255">
                  <c:v>4.8313724817346797E-2</c:v>
                </c:pt>
                <c:pt idx="256">
                  <c:v>4.8381893536835141E-2</c:v>
                </c:pt>
                <c:pt idx="257">
                  <c:v>4.8449541135529003E-2</c:v>
                </c:pt>
                <c:pt idx="258">
                  <c:v>4.8516651143598793E-2</c:v>
                </c:pt>
                <c:pt idx="259">
                  <c:v>4.858320662342086E-2</c:v>
                </c:pt>
                <c:pt idx="260">
                  <c:v>4.8649190210314081E-2</c:v>
                </c:pt>
                <c:pt idx="261">
                  <c:v>4.8714584162119864E-2</c:v>
                </c:pt>
                <c:pt idx="262">
                  <c:v>4.8779370417799076E-2</c:v>
                </c:pt>
                <c:pt idx="263">
                  <c:v>4.8843530665119511E-2</c:v>
                </c:pt>
                <c:pt idx="264">
                  <c:v>4.8907046417404121E-2</c:v>
                </c:pt>
                <c:pt idx="265">
                  <c:v>4.8969899099203712E-2</c:v>
                </c:pt>
                <c:pt idx="266">
                  <c:v>4.9032070140650155E-2</c:v>
                </c:pt>
                <c:pt idx="267">
                  <c:v>4.9093541080138012E-2</c:v>
                </c:pt>
                <c:pt idx="268">
                  <c:v>4.9154293674874498E-2</c:v>
                </c:pt>
                <c:pt idx="269">
                  <c:v>4.9214310018733068E-2</c:v>
                </c:pt>
                <c:pt idx="270">
                  <c:v>4.9273572666742115E-2</c:v>
                </c:pt>
                <c:pt idx="271">
                  <c:v>4.9332064765443336E-2</c:v>
                </c:pt>
                <c:pt idx="272">
                  <c:v>4.9389770188260095E-2</c:v>
                </c:pt>
                <c:pt idx="273">
                  <c:v>4.944667367493067E-2</c:v>
                </c:pt>
                <c:pt idx="274">
                  <c:v>4.9502760973981326E-2</c:v>
                </c:pt>
                <c:pt idx="275">
                  <c:v>4.9558018987144251E-2</c:v>
                </c:pt>
                <c:pt idx="276">
                  <c:v>4.9612435914562901E-2</c:v>
                </c:pt>
                <c:pt idx="277">
                  <c:v>4.9666001399577511E-2</c:v>
                </c:pt>
                <c:pt idx="278">
                  <c:v>4.9718706671841417E-2</c:v>
                </c:pt>
                <c:pt idx="279">
                  <c:v>4.9770544687490967E-2</c:v>
                </c:pt>
                <c:pt idx="280">
                  <c:v>4.9821510265073879E-2</c:v>
                </c:pt>
                <c:pt idx="281">
                  <c:v>4.9871600215936542E-2</c:v>
                </c:pt>
                <c:pt idx="282">
                  <c:v>4.9920813467777651E-2</c:v>
                </c:pt>
                <c:pt idx="283">
                  <c:v>4.996915118009685E-2</c:v>
                </c:pt>
                <c:pt idx="284">
                  <c:v>5.0016616850299331E-2</c:v>
                </c:pt>
                <c:pt idx="285">
                  <c:v>5.0063216409263318E-2</c:v>
                </c:pt>
                <c:pt idx="286">
                  <c:v>5.0108958305235249E-2</c:v>
                </c:pt>
                <c:pt idx="287">
                  <c:v>5.0153853574987375E-2</c:v>
                </c:pt>
                <c:pt idx="288">
                  <c:v>5.0197915901254067E-2</c:v>
                </c:pt>
                <c:pt idx="289">
                  <c:v>5.0241161655555013E-2</c:v>
                </c:pt>
                <c:pt idx="290">
                  <c:v>5.0283609925616368E-2</c:v>
                </c:pt>
                <c:pt idx="291">
                  <c:v>5.0325282526712346E-2</c:v>
                </c:pt>
                <c:pt idx="292">
                  <c:v>5.0366203996369541E-2</c:v>
                </c:pt>
                <c:pt idx="293">
                  <c:v>5.0406401572004315E-2</c:v>
                </c:pt>
                <c:pt idx="294">
                  <c:v>5.0445905151196541E-2</c:v>
                </c:pt>
                <c:pt idx="295">
                  <c:v>5.0484747234441657E-2</c:v>
                </c:pt>
                <c:pt idx="296">
                  <c:v>5.0522962850365657E-2</c:v>
                </c:pt>
                <c:pt idx="297">
                  <c:v>5.0560589463532403E-2</c:v>
                </c:pt>
                <c:pt idx="298">
                  <c:v>5.0597666865118032E-2</c:v>
                </c:pt>
                <c:pt idx="299">
                  <c:v>5.0634237046873955E-2</c:v>
                </c:pt>
                <c:pt idx="300">
                  <c:v>5.0670344058943342E-2</c:v>
                </c:pt>
                <c:pt idx="301">
                  <c:v>5.0706033852237396E-2</c:v>
                </c:pt>
                <c:pt idx="302">
                  <c:v>5.0741354106214873E-2</c:v>
                </c:pt>
                <c:pt idx="303">
                  <c:v>5.0776354043039207E-2</c:v>
                </c:pt>
                <c:pt idx="304">
                  <c:v>5.0811084229212412E-2</c:v>
                </c:pt>
                <c:pt idx="305">
                  <c:v>5.0845596365900754E-2</c:v>
                </c:pt>
                <c:pt idx="306">
                  <c:v>5.0879943069274791E-2</c:v>
                </c:pt>
                <c:pt idx="307">
                  <c:v>5.091417764228251E-2</c:v>
                </c:pt>
                <c:pt idx="308">
                  <c:v>5.0948353839359931E-2</c:v>
                </c:pt>
                <c:pt idx="309">
                  <c:v>5.0982525625657256E-2</c:v>
                </c:pt>
                <c:pt idx="310">
                  <c:v>5.1016746932417666E-2</c:v>
                </c:pt>
                <c:pt idx="311">
                  <c:v>5.1051071410194E-2</c:v>
                </c:pt>
                <c:pt idx="312">
                  <c:v>5.1085552181620059E-2</c:v>
                </c:pt>
                <c:pt idx="313">
                  <c:v>5.1120241595471599E-2</c:v>
                </c:pt>
                <c:pt idx="314">
                  <c:v>5.1155190983755809E-2</c:v>
                </c:pt>
                <c:pt idx="315">
                  <c:v>5.1190450423555522E-2</c:v>
                </c:pt>
                <c:pt idx="316">
                  <c:v>5.1226068505328785E-2</c:v>
                </c:pt>
                <c:pt idx="317">
                  <c:v>5.1262092109323025E-2</c:v>
                </c:pt>
                <c:pt idx="318">
                  <c:v>5.1298566191706862E-2</c:v>
                </c:pt>
                <c:pt idx="319">
                  <c:v>5.1335533581954217E-2</c:v>
                </c:pt>
                <c:pt idx="320">
                  <c:v>5.1373034792931239E-2</c:v>
                </c:pt>
                <c:pt idx="321">
                  <c:v>5.1411107845041999E-2</c:v>
                </c:pt>
                <c:pt idx="322">
                  <c:v>5.1449788105680669E-2</c:v>
                </c:pt>
                <c:pt idx="323">
                  <c:v>5.1489108145120012E-2</c:v>
                </c:pt>
                <c:pt idx="324">
                  <c:v>5.1529097609837544E-2</c:v>
                </c:pt>
                <c:pt idx="325">
                  <c:v>5.1569783114143654E-2</c:v>
                </c:pt>
                <c:pt idx="326">
                  <c:v>5.1611188150831579E-2</c:v>
                </c:pt>
                <c:pt idx="327">
                  <c:v>5.1653333021418224E-2</c:v>
                </c:pt>
                <c:pt idx="328">
                  <c:v>5.1696234786389218E-2</c:v>
                </c:pt>
                <c:pt idx="329">
                  <c:v>5.173990723570248E-2</c:v>
                </c:pt>
                <c:pt idx="330">
                  <c:v>5.1784360879643304E-2</c:v>
                </c:pt>
                <c:pt idx="331">
                  <c:v>5.1829602959962279E-2</c:v>
                </c:pt>
                <c:pt idx="332">
                  <c:v>5.1875637481066363E-2</c:v>
                </c:pt>
                <c:pt idx="333">
                  <c:v>5.1922465260875121E-2</c:v>
                </c:pt>
                <c:pt idx="334">
                  <c:v>5.1970084000798736E-2</c:v>
                </c:pt>
                <c:pt idx="335">
                  <c:v>5.2018488374145432E-2</c:v>
                </c:pt>
                <c:pt idx="336">
                  <c:v>5.2067670132122212E-2</c:v>
                </c:pt>
                <c:pt idx="337">
                  <c:v>5.2117618226457565E-2</c:v>
                </c:pt>
                <c:pt idx="338">
                  <c:v>5.2168318947548399E-2</c:v>
                </c:pt>
                <c:pt idx="339">
                  <c:v>5.2219756076917152E-2</c:v>
                </c:pt>
                <c:pt idx="340">
                  <c:v>5.2271911052659319E-2</c:v>
                </c:pt>
                <c:pt idx="341">
                  <c:v>5.2324763146469354E-2</c:v>
                </c:pt>
                <c:pt idx="342">
                  <c:v>5.2378289650751315E-2</c:v>
                </c:pt>
                <c:pt idx="343">
                  <c:v>5.2432466074255085E-2</c:v>
                </c:pt>
                <c:pt idx="344">
                  <c:v>5.248726634462484E-2</c:v>
                </c:pt>
                <c:pt idx="345">
                  <c:v>5.2542663016209218E-2</c:v>
                </c:pt>
                <c:pt idx="346">
                  <c:v>5.2598627481458396E-2</c:v>
                </c:pt>
                <c:pt idx="347">
                  <c:v>5.2655130184224561E-2</c:v>
                </c:pt>
                <c:pt idx="348">
                  <c:v>5.2712140833288783E-2</c:v>
                </c:pt>
                <c:pt idx="349">
                  <c:v>5.2769628614457713E-2</c:v>
                </c:pt>
                <c:pt idx="350">
                  <c:v>5.2827562399608993E-2</c:v>
                </c:pt>
                <c:pt idx="351">
                  <c:v>5.288591095111355E-2</c:v>
                </c:pt>
                <c:pt idx="352">
                  <c:v>5.2944643120125597E-2</c:v>
                </c:pt>
                <c:pt idx="353">
                  <c:v>5.3003728037306651E-2</c:v>
                </c:pt>
                <c:pt idx="354">
                  <c:v>5.3063135294637492E-2</c:v>
                </c:pt>
                <c:pt idx="355">
                  <c:v>5.3122835117070256E-2</c:v>
                </c:pt>
                <c:pt idx="356">
                  <c:v>5.3182798522881589E-2</c:v>
                </c:pt>
                <c:pt idx="357">
                  <c:v>5.3242997471705515E-2</c:v>
                </c:pt>
                <c:pt idx="358">
                  <c:v>5.3303404999349532E-2</c:v>
                </c:pt>
                <c:pt idx="359">
                  <c:v>5.3363995338629747E-2</c:v>
                </c:pt>
                <c:pt idx="360">
                  <c:v>5.3424744025597957E-2</c:v>
                </c:pt>
                <c:pt idx="361">
                  <c:v>5.3485627990674245E-2</c:v>
                </c:pt>
                <c:pt idx="362">
                  <c:v>5.3546625634342586E-2</c:v>
                </c:pt>
                <c:pt idx="363">
                  <c:v>5.360771688721172E-2</c:v>
                </c:pt>
                <c:pt idx="364">
                  <c:v>5.3668883254387734E-2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3.4149464402851234E-4</c:v>
                </c:pt>
                <c:pt idx="1">
                  <c:v>3.3943602120598438E-4</c:v>
                </c:pt>
                <c:pt idx="2">
                  <c:v>3.3710286857945102E-4</c:v>
                </c:pt>
                <c:pt idx="3">
                  <c:v>3.3451696414654638E-4</c:v>
                </c:pt>
                <c:pt idx="4">
                  <c:v>3.3169946458282758E-4</c:v>
                </c:pt>
                <c:pt idx="5">
                  <c:v>3.2867077639228568E-4</c:v>
                </c:pt>
                <c:pt idx="6">
                  <c:v>3.254504520045291E-4</c:v>
                </c:pt>
                <c:pt idx="7">
                  <c:v>3.2205710835860133E-4</c:v>
                </c:pt>
                <c:pt idx="8">
                  <c:v>3.1846447129529697E-4</c:v>
                </c:pt>
                <c:pt idx="9">
                  <c:v>3.1424983501068408E-4</c:v>
                </c:pt>
                <c:pt idx="10">
                  <c:v>3.0929520906511549E-4</c:v>
                </c:pt>
                <c:pt idx="11">
                  <c:v>3.0362414260471526E-4</c:v>
                </c:pt>
                <c:pt idx="12">
                  <c:v>2.9726039475264668E-4</c:v>
                </c:pt>
                <c:pt idx="13">
                  <c:v>2.9022781753024131E-4</c:v>
                </c:pt>
                <c:pt idx="14">
                  <c:v>2.8255024663300618E-4</c:v>
                </c:pt>
                <c:pt idx="15">
                  <c:v>2.7431564003699971E-4</c:v>
                </c:pt>
                <c:pt idx="16">
                  <c:v>2.6586768391890109E-4</c:v>
                </c:pt>
                <c:pt idx="17">
                  <c:v>2.5721889254343042E-4</c:v>
                </c:pt>
                <c:pt idx="18">
                  <c:v>2.4838136648041865E-4</c:v>
                </c:pt>
                <c:pt idx="19">
                  <c:v>2.3936810664485923E-4</c:v>
                </c:pt>
                <c:pt idx="20">
                  <c:v>2.3019203841240731E-4</c:v>
                </c:pt>
                <c:pt idx="21">
                  <c:v>2.2086436447470948E-4</c:v>
                </c:pt>
                <c:pt idx="22">
                  <c:v>2.1137587258694576E-4</c:v>
                </c:pt>
                <c:pt idx="23">
                  <c:v>2.0193446687238352E-4</c:v>
                </c:pt>
                <c:pt idx="24">
                  <c:v>1.9289478887449753E-4</c:v>
                </c:pt>
                <c:pt idx="25">
                  <c:v>1.8425831245468045E-4</c:v>
                </c:pt>
                <c:pt idx="26">
                  <c:v>1.7602467700879971E-4</c:v>
                </c:pt>
                <c:pt idx="27">
                  <c:v>1.6819191759855827E-4</c:v>
                </c:pt>
                <c:pt idx="28">
                  <c:v>1.6075668531526563E-4</c:v>
                </c:pt>
                <c:pt idx="29">
                  <c:v>1.5391730464140723E-4</c:v>
                </c:pt>
                <c:pt idx="30">
                  <c:v>1.4760667472956974E-4</c:v>
                </c:pt>
                <c:pt idx="31">
                  <c:v>1.4181417244371719E-4</c:v>
                </c:pt>
                <c:pt idx="32">
                  <c:v>1.3652876100632736E-4</c:v>
                </c:pt>
                <c:pt idx="33">
                  <c:v>1.3173917580407059E-4</c:v>
                </c:pt>
                <c:pt idx="34">
                  <c:v>1.2743409179121471E-4</c:v>
                </c:pt>
                <c:pt idx="35">
                  <c:v>1.2360227361569396E-4</c:v>
                </c:pt>
                <c:pt idx="36">
                  <c:v>1.2022527641778221E-4</c:v>
                </c:pt>
                <c:pt idx="37">
                  <c:v>1.176445692424985E-4</c:v>
                </c:pt>
                <c:pt idx="38">
                  <c:v>1.1565679020791483E-4</c:v>
                </c:pt>
                <c:pt idx="39">
                  <c:v>1.142476180600553E-4</c:v>
                </c:pt>
                <c:pt idx="40">
                  <c:v>1.1339815742507788E-4</c:v>
                </c:pt>
                <c:pt idx="41">
                  <c:v>1.1309284702065104E-4</c:v>
                </c:pt>
                <c:pt idx="42">
                  <c:v>1.1331669189739582E-4</c:v>
                </c:pt>
                <c:pt idx="43">
                  <c:v>1.142813378936273E-4</c:v>
                </c:pt>
                <c:pt idx="44">
                  <c:v>1.1579098093713751E-4</c:v>
                </c:pt>
                <c:pt idx="45">
                  <c:v>1.1783108874033658E-4</c:v>
                </c:pt>
                <c:pt idx="46">
                  <c:v>1.2038755149559768E-4</c:v>
                </c:pt>
                <c:pt idx="47">
                  <c:v>1.2344664579876034E-4</c:v>
                </c:pt>
                <c:pt idx="48">
                  <c:v>1.2699500289223116E-4</c:v>
                </c:pt>
                <c:pt idx="49">
                  <c:v>1.3101958112000407E-4</c:v>
                </c:pt>
                <c:pt idx="50">
                  <c:v>1.3550710652942145E-4</c:v>
                </c:pt>
                <c:pt idx="51">
                  <c:v>1.3979526783915283E-4</c:v>
                </c:pt>
                <c:pt idx="52">
                  <c:v>1.4357233590003897E-4</c:v>
                </c:pt>
                <c:pt idx="53">
                  <c:v>1.4685143090077682E-4</c:v>
                </c:pt>
                <c:pt idx="54">
                  <c:v>1.4964617160804705E-4</c:v>
                </c:pt>
                <c:pt idx="55">
                  <c:v>1.519699783378548E-4</c:v>
                </c:pt>
                <c:pt idx="56">
                  <c:v>1.538360497733015E-4</c:v>
                </c:pt>
                <c:pt idx="57">
                  <c:v>1.5454617186099544E-4</c:v>
                </c:pt>
                <c:pt idx="58">
                  <c:v>1.5392922216629846E-4</c:v>
                </c:pt>
                <c:pt idx="59">
                  <c:v>1.5201820768472193E-4</c:v>
                </c:pt>
                <c:pt idx="60">
                  <c:v>1.4884499181947949E-4</c:v>
                </c:pt>
                <c:pt idx="61">
                  <c:v>1.4444023221522192E-4</c:v>
                </c:pt>
                <c:pt idx="62">
                  <c:v>1.3883332040817326E-4</c:v>
                </c:pt>
                <c:pt idx="63">
                  <c:v>1.3205232286215066E-4</c:v>
                </c:pt>
                <c:pt idx="64">
                  <c:v>1.241204823380808E-4</c:v>
                </c:pt>
                <c:pt idx="65">
                  <c:v>1.1538549130975972E-4</c:v>
                </c:pt>
                <c:pt idx="66">
                  <c:v>1.0644163009244516E-4</c:v>
                </c:pt>
                <c:pt idx="67">
                  <c:v>9.7293053839900032E-5</c:v>
                </c:pt>
                <c:pt idx="68">
                  <c:v>8.7943435454424019E-5</c:v>
                </c:pt>
                <c:pt idx="69">
                  <c:v>7.8395947902163267E-5</c:v>
                </c:pt>
                <c:pt idx="70">
                  <c:v>6.8653246561651773E-5</c:v>
                </c:pt>
                <c:pt idx="71">
                  <c:v>5.913753359140902E-5</c:v>
                </c:pt>
                <c:pt idx="72">
                  <c:v>5.0480371485785531E-5</c:v>
                </c:pt>
                <c:pt idx="73">
                  <c:v>4.2662744893979478E-5</c:v>
                </c:pt>
                <c:pt idx="74">
                  <c:v>3.5666207579034494E-5</c:v>
                </c:pt>
                <c:pt idx="75">
                  <c:v>2.9472918216633162E-5</c:v>
                </c:pt>
                <c:pt idx="76">
                  <c:v>2.4065675524729617E-5</c:v>
                </c:pt>
                <c:pt idx="77">
                  <c:v>1.9427952668832048E-5</c:v>
                </c:pt>
                <c:pt idx="78">
                  <c:v>1.5543057653995923E-5</c:v>
                </c:pt>
                <c:pt idx="79">
                  <c:v>1.2422138185308937E-5</c:v>
                </c:pt>
                <c:pt idx="80">
                  <c:v>9.7591464782326983E-6</c:v>
                </c:pt>
                <c:pt idx="81">
                  <c:v>7.5459856796348941E-6</c:v>
                </c:pt>
                <c:pt idx="82">
                  <c:v>5.7747519890548559E-6</c:v>
                </c:pt>
                <c:pt idx="83">
                  <c:v>4.437843033048157E-6</c:v>
                </c:pt>
                <c:pt idx="84">
                  <c:v>3.528059260213361E-6</c:v>
                </c:pt>
                <c:pt idx="85">
                  <c:v>3.0614890864436143E-6</c:v>
                </c:pt>
                <c:pt idx="86">
                  <c:v>2.6460571851902791E-6</c:v>
                </c:pt>
                <c:pt idx="87">
                  <c:v>2.2810054200911734E-6</c:v>
                </c:pt>
                <c:pt idx="88">
                  <c:v>1.9656408478728191E-6</c:v>
                </c:pt>
                <c:pt idx="89">
                  <c:v>1.6993466836466785E-6</c:v>
                </c:pt>
                <c:pt idx="90">
                  <c:v>1.4815928520854866E-6</c:v>
                </c:pt>
                <c:pt idx="91">
                  <c:v>1.3119462214494056E-6</c:v>
                </c:pt>
                <c:pt idx="92">
                  <c:v>1.1900184053303928E-6</c:v>
                </c:pt>
                <c:pt idx="93">
                  <c:v>1.1422224964796455E-6</c:v>
                </c:pt>
                <c:pt idx="94">
                  <c:v>1.1430468655226983E-6</c:v>
                </c:pt>
                <c:pt idx="95">
                  <c:v>1.1924119263760243E-6</c:v>
                </c:pt>
                <c:pt idx="96">
                  <c:v>1.290340138403465E-6</c:v>
                </c:pt>
                <c:pt idx="97">
                  <c:v>1.43695838111755E-6</c:v>
                </c:pt>
                <c:pt idx="98">
                  <c:v>1.6325004561440989E-6</c:v>
                </c:pt>
                <c:pt idx="99">
                  <c:v>1.9453753044281275E-6</c:v>
                </c:pt>
                <c:pt idx="100">
                  <c:v>2.3529868066550127E-6</c:v>
                </c:pt>
                <c:pt idx="101">
                  <c:v>2.8556368254349492E-6</c:v>
                </c:pt>
                <c:pt idx="102">
                  <c:v>3.4538091864637475E-6</c:v>
                </c:pt>
                <c:pt idx="103">
                  <c:v>4.1481720359632601E-6</c:v>
                </c:pt>
                <c:pt idx="104">
                  <c:v>4.9395802593220417E-6</c:v>
                </c:pt>
                <c:pt idx="105">
                  <c:v>5.8290779559670757E-6</c:v>
                </c:pt>
                <c:pt idx="106">
                  <c:v>6.8179502296900841E-6</c:v>
                </c:pt>
                <c:pt idx="107">
                  <c:v>8.0241161235100317E-6</c:v>
                </c:pt>
                <c:pt idx="108">
                  <c:v>9.4225141199939399E-6</c:v>
                </c:pt>
                <c:pt idx="109">
                  <c:v>1.1015342453798868E-5</c:v>
                </c:pt>
                <c:pt idx="110">
                  <c:v>1.2805143539752076E-5</c:v>
                </c:pt>
                <c:pt idx="111">
                  <c:v>1.4794780611388615E-5</c:v>
                </c:pt>
                <c:pt idx="112">
                  <c:v>1.6987384304353702E-5</c:v>
                </c:pt>
                <c:pt idx="113">
                  <c:v>1.9564983204044962E-5</c:v>
                </c:pt>
                <c:pt idx="114">
                  <c:v>2.2463398905405861E-5</c:v>
                </c:pt>
                <c:pt idx="115">
                  <c:v>2.5687718599709681E-5</c:v>
                </c:pt>
                <c:pt idx="116">
                  <c:v>2.9243431053201445E-5</c:v>
                </c:pt>
                <c:pt idx="117">
                  <c:v>3.3136404554440372E-5</c:v>
                </c:pt>
                <c:pt idx="118">
                  <c:v>3.7372863354361378E-5</c:v>
                </c:pt>
                <c:pt idx="119">
                  <c:v>4.1959362425326921E-5</c:v>
                </c:pt>
                <c:pt idx="120">
                  <c:v>4.6903547935828994E-5</c:v>
                </c:pt>
                <c:pt idx="121">
                  <c:v>5.2462106495598534E-5</c:v>
                </c:pt>
                <c:pt idx="122">
                  <c:v>5.8525439259696108E-5</c:v>
                </c:pt>
                <c:pt idx="123">
                  <c:v>6.510551403502999E-5</c:v>
                </c:pt>
                <c:pt idx="124">
                  <c:v>7.221491169023269E-5</c:v>
                </c:pt>
                <c:pt idx="125">
                  <c:v>7.9866801851303818E-5</c:v>
                </c:pt>
                <c:pt idx="126">
                  <c:v>8.8074915871697598E-5</c:v>
                </c:pt>
                <c:pt idx="127">
                  <c:v>9.6364700273486606E-5</c:v>
                </c:pt>
                <c:pt idx="128">
                  <c:v>1.0455086206199107E-4</c:v>
                </c:pt>
                <c:pt idx="129">
                  <c:v>1.1263587185128502E-4</c:v>
                </c:pt>
                <c:pt idx="130">
                  <c:v>1.2062185739018113E-4</c:v>
                </c:pt>
                <c:pt idx="131">
                  <c:v>1.2851060682237807E-4</c:v>
                </c:pt>
                <c:pt idx="132">
                  <c:v>1.3630357220584919E-4</c:v>
                </c:pt>
                <c:pt idx="133">
                  <c:v>1.4400187325981745E-4</c:v>
                </c:pt>
                <c:pt idx="134">
                  <c:v>1.5160806094519693E-4</c:v>
                </c:pt>
                <c:pt idx="135">
                  <c:v>1.5818575018245633E-4</c:v>
                </c:pt>
                <c:pt idx="136">
                  <c:v>1.6343000257675622E-4</c:v>
                </c:pt>
                <c:pt idx="137">
                  <c:v>1.6730692628228356E-4</c:v>
                </c:pt>
                <c:pt idx="138">
                  <c:v>1.6978084158884285E-4</c:v>
                </c:pt>
                <c:pt idx="139">
                  <c:v>1.7081441272323423E-4</c:v>
                </c:pt>
                <c:pt idx="140">
                  <c:v>1.703687897105562E-4</c:v>
                </c:pt>
                <c:pt idx="141">
                  <c:v>1.6856763854669257E-4</c:v>
                </c:pt>
                <c:pt idx="142">
                  <c:v>1.6591150291043203E-4</c:v>
                </c:pt>
                <c:pt idx="143">
                  <c:v>1.6237147043852778E-4</c:v>
                </c:pt>
                <c:pt idx="144">
                  <c:v>1.5791904544050074E-4</c:v>
                </c:pt>
                <c:pt idx="145">
                  <c:v>1.5252522168129087E-4</c:v>
                </c:pt>
                <c:pt idx="146">
                  <c:v>1.4616058712057966E-4</c:v>
                </c:pt>
                <c:pt idx="147">
                  <c:v>1.387954344329188E-4</c:v>
                </c:pt>
                <c:pt idx="148">
                  <c:v>1.3040049911554392E-4</c:v>
                </c:pt>
                <c:pt idx="149">
                  <c:v>1.2149893221977004E-4</c:v>
                </c:pt>
                <c:pt idx="150">
                  <c:v>1.1315283770025795E-4</c:v>
                </c:pt>
                <c:pt idx="151">
                  <c:v>1.0537716779262461E-4</c:v>
                </c:pt>
                <c:pt idx="152">
                  <c:v>9.8187183760857619E-5</c:v>
                </c:pt>
                <c:pt idx="153">
                  <c:v>9.1598419350554525E-5</c:v>
                </c:pt>
                <c:pt idx="154">
                  <c:v>8.5626643588653951E-5</c:v>
                </c:pt>
                <c:pt idx="155">
                  <c:v>8.0385616760900175E-5</c:v>
                </c:pt>
                <c:pt idx="156">
                  <c:v>7.5719921701792605E-5</c:v>
                </c:pt>
                <c:pt idx="157">
                  <c:v>7.1646870776428555E-5</c:v>
                </c:pt>
                <c:pt idx="158">
                  <c:v>6.8183942932954463E-5</c:v>
                </c:pt>
                <c:pt idx="159">
                  <c:v>6.5348744308632318E-5</c:v>
                </c:pt>
                <c:pt idx="160">
                  <c:v>6.3158970115982074E-5</c:v>
                </c:pt>
                <c:pt idx="161">
                  <c:v>6.1632368320022074E-5</c:v>
                </c:pt>
                <c:pt idx="162">
                  <c:v>6.0787338468004471E-5</c:v>
                </c:pt>
                <c:pt idx="163">
                  <c:v>6.0643782589312664E-5</c:v>
                </c:pt>
                <c:pt idx="164">
                  <c:v>6.059182496036127E-5</c:v>
                </c:pt>
                <c:pt idx="165">
                  <c:v>6.0634167818528648E-5</c:v>
                </c:pt>
                <c:pt idx="166">
                  <c:v>6.0773545064313063E-5</c:v>
                </c:pt>
                <c:pt idx="167">
                  <c:v>6.1012708982074307E-5</c:v>
                </c:pt>
                <c:pt idx="168">
                  <c:v>6.135441695707322E-5</c:v>
                </c:pt>
                <c:pt idx="169">
                  <c:v>6.1804211340165372E-5</c:v>
                </c:pt>
                <c:pt idx="170">
                  <c:v>6.2252843026658721E-5</c:v>
                </c:pt>
                <c:pt idx="171">
                  <c:v>6.2700651020392508E-5</c:v>
                </c:pt>
                <c:pt idx="172">
                  <c:v>6.3147990682976108E-5</c:v>
                </c:pt>
                <c:pt idx="173">
                  <c:v>6.3594580828779036E-5</c:v>
                </c:pt>
                <c:pt idx="174">
                  <c:v>6.4040098402790423E-5</c:v>
                </c:pt>
                <c:pt idx="175">
                  <c:v>6.448485143798983E-5</c:v>
                </c:pt>
                <c:pt idx="176">
                  <c:v>6.4930264273944881E-5</c:v>
                </c:pt>
                <c:pt idx="177">
                  <c:v>6.5496836300509798E-5</c:v>
                </c:pt>
                <c:pt idx="178">
                  <c:v>6.6183730074618802E-5</c:v>
                </c:pt>
                <c:pt idx="179">
                  <c:v>6.6993761380392423E-5</c:v>
                </c:pt>
                <c:pt idx="180">
                  <c:v>6.7929673098909027E-5</c:v>
                </c:pt>
                <c:pt idx="181">
                  <c:v>6.8994134177952031E-5</c:v>
                </c:pt>
                <c:pt idx="182">
                  <c:v>7.0189739474083883E-5</c:v>
                </c:pt>
                <c:pt idx="183">
                  <c:v>7.2231273070000687E-5</c:v>
                </c:pt>
                <c:pt idx="184">
                  <c:v>7.5127185676471866E-5</c:v>
                </c:pt>
                <c:pt idx="185">
                  <c:v>7.8890034962939267E-5</c:v>
                </c:pt>
                <c:pt idx="186">
                  <c:v>8.3531892262499085E-5</c:v>
                </c:pt>
                <c:pt idx="187">
                  <c:v>8.906437060555895E-5</c:v>
                </c:pt>
                <c:pt idx="188">
                  <c:v>9.5498656470728038E-5</c:v>
                </c:pt>
                <c:pt idx="189">
                  <c:v>1.0284554481764892E-4</c:v>
                </c:pt>
                <c:pt idx="190">
                  <c:v>1.1111589809259638E-4</c:v>
                </c:pt>
                <c:pt idx="191">
                  <c:v>1.2050870015553226E-4</c:v>
                </c:pt>
                <c:pt idx="192">
                  <c:v>1.3090457115867333E-4</c:v>
                </c:pt>
                <c:pt idx="193">
                  <c:v>1.4231173779781376E-4</c:v>
                </c:pt>
                <c:pt idx="194">
                  <c:v>1.5473824501195207E-4</c:v>
                </c:pt>
                <c:pt idx="195">
                  <c:v>1.6819198598215515E-4</c:v>
                </c:pt>
                <c:pt idx="196">
                  <c:v>1.82680730933205E-4</c:v>
                </c:pt>
                <c:pt idx="197">
                  <c:v>1.9673150457517641E-4</c:v>
                </c:pt>
                <c:pt idx="198">
                  <c:v>2.0957356383384762E-4</c:v>
                </c:pt>
                <c:pt idx="199">
                  <c:v>2.2118889136806696E-4</c:v>
                </c:pt>
                <c:pt idx="200">
                  <c:v>2.3156007673861388E-4</c:v>
                </c:pt>
                <c:pt idx="201">
                  <c:v>2.4067026955791975E-4</c:v>
                </c:pt>
                <c:pt idx="202">
                  <c:v>2.4850313255124316E-4</c:v>
                </c:pt>
                <c:pt idx="203">
                  <c:v>2.5504279526511453E-4</c:v>
                </c:pt>
                <c:pt idx="204">
                  <c:v>2.6027455948412771E-4</c:v>
                </c:pt>
                <c:pt idx="205">
                  <c:v>2.6344124098527628E-4</c:v>
                </c:pt>
                <c:pt idx="206">
                  <c:v>2.6433099295374636E-4</c:v>
                </c:pt>
                <c:pt idx="207">
                  <c:v>2.6292294286342971E-4</c:v>
                </c:pt>
                <c:pt idx="208">
                  <c:v>2.5919636988131151E-4</c:v>
                </c:pt>
                <c:pt idx="209">
                  <c:v>2.5313063882528202E-4</c:v>
                </c:pt>
                <c:pt idx="210">
                  <c:v>2.4470514024748242E-4</c:v>
                </c:pt>
                <c:pt idx="211">
                  <c:v>2.3438194497764199E-4</c:v>
                </c:pt>
                <c:pt idx="212">
                  <c:v>2.2370779535397302E-4</c:v>
                </c:pt>
                <c:pt idx="213">
                  <c:v>2.1268260067144795E-4</c:v>
                </c:pt>
                <c:pt idx="214">
                  <c:v>2.0130604700549913E-4</c:v>
                </c:pt>
                <c:pt idx="215">
                  <c:v>1.8957760561435442E-4</c:v>
                </c:pt>
                <c:pt idx="216">
                  <c:v>1.7749654230814787E-4</c:v>
                </c:pt>
                <c:pt idx="217">
                  <c:v>1.6506192760648125E-4</c:v>
                </c:pt>
                <c:pt idx="218">
                  <c:v>1.5227203352179578E-4</c:v>
                </c:pt>
                <c:pt idx="219">
                  <c:v>1.394314888034667E-4</c:v>
                </c:pt>
                <c:pt idx="220">
                  <c:v>1.2731560137782915E-4</c:v>
                </c:pt>
                <c:pt idx="221">
                  <c:v>1.1593214682111462E-4</c:v>
                </c:pt>
                <c:pt idx="222">
                  <c:v>1.0528878442507565E-4</c:v>
                </c:pt>
                <c:pt idx="223">
                  <c:v>9.5393083115364878E-5</c:v>
                </c:pt>
                <c:pt idx="224">
                  <c:v>8.6252545826661105E-5</c:v>
                </c:pt>
                <c:pt idx="225">
                  <c:v>7.8089279241602162E-5</c:v>
                </c:pt>
                <c:pt idx="226">
                  <c:v>7.0404416159857401E-5</c:v>
                </c:pt>
                <c:pt idx="227">
                  <c:v>6.320222991172873E-5</c:v>
                </c:pt>
                <c:pt idx="228">
                  <c:v>5.6487006510243838E-5</c:v>
                </c:pt>
                <c:pt idx="229">
                  <c:v>5.02630560684688E-5</c:v>
                </c:pt>
                <c:pt idx="230">
                  <c:v>4.4534723627151307E-5</c:v>
                </c:pt>
                <c:pt idx="231">
                  <c:v>3.9306399491774587E-5</c:v>
                </c:pt>
                <c:pt idx="232">
                  <c:v>3.4581200122137713E-5</c:v>
                </c:pt>
                <c:pt idx="233">
                  <c:v>3.0494489935936015E-5</c:v>
                </c:pt>
                <c:pt idx="234">
                  <c:v>2.6733454095340865E-5</c:v>
                </c:pt>
                <c:pt idx="235">
                  <c:v>2.3301875249436627E-5</c:v>
                </c:pt>
                <c:pt idx="236">
                  <c:v>2.020330766901748E-5</c:v>
                </c:pt>
                <c:pt idx="237">
                  <c:v>1.744110504321196E-5</c:v>
                </c:pt>
                <c:pt idx="238">
                  <c:v>1.5018489922709109E-5</c:v>
                </c:pt>
                <c:pt idx="239">
                  <c:v>1.3012966702134491E-5</c:v>
                </c:pt>
                <c:pt idx="240">
                  <c:v>1.1203922660542169E-5</c:v>
                </c:pt>
                <c:pt idx="241">
                  <c:v>9.5931816901264817E-6</c:v>
                </c:pt>
                <c:pt idx="242">
                  <c:v>8.182557284408628E-6</c:v>
                </c:pt>
                <c:pt idx="243">
                  <c:v>6.9738855247273462E-6</c:v>
                </c:pt>
                <c:pt idx="244">
                  <c:v>5.9690592410524745E-6</c:v>
                </c:pt>
                <c:pt idx="245">
                  <c:v>5.1700634866554372E-6</c:v>
                </c:pt>
                <c:pt idx="246">
                  <c:v>4.5789067642494443E-6</c:v>
                </c:pt>
                <c:pt idx="247">
                  <c:v>4.2884301674976269E-6</c:v>
                </c:pt>
                <c:pt idx="248">
                  <c:v>4.1642679612131518E-6</c:v>
                </c:pt>
                <c:pt idx="249">
                  <c:v>4.2085578772021345E-6</c:v>
                </c:pt>
                <c:pt idx="250">
                  <c:v>4.4235459507478218E-6</c:v>
                </c:pt>
                <c:pt idx="251">
                  <c:v>4.8115761116450495E-6</c:v>
                </c:pt>
                <c:pt idx="252">
                  <c:v>5.375078959321632E-6</c:v>
                </c:pt>
                <c:pt idx="253">
                  <c:v>6.2141677694655776E-6</c:v>
                </c:pt>
                <c:pt idx="254">
                  <c:v>7.2536701961766839E-6</c:v>
                </c:pt>
                <c:pt idx="255">
                  <c:v>8.4965253701325787E-6</c:v>
                </c:pt>
                <c:pt idx="256">
                  <c:v>9.9457055847227379E-6</c:v>
                </c:pt>
                <c:pt idx="257">
                  <c:v>1.1604198020280126E-5</c:v>
                </c:pt>
                <c:pt idx="258">
                  <c:v>1.3474985038899412E-5</c:v>
                </c:pt>
                <c:pt idx="259">
                  <c:v>1.5561022995133723E-5</c:v>
                </c:pt>
                <c:pt idx="260">
                  <c:v>1.7866293950717796E-5</c:v>
                </c:pt>
                <c:pt idx="261">
                  <c:v>2.1345327543784907E-5</c:v>
                </c:pt>
                <c:pt idx="262">
                  <c:v>2.5918481129561933E-5</c:v>
                </c:pt>
                <c:pt idx="263">
                  <c:v>3.1602662858018908E-5</c:v>
                </c:pt>
                <c:pt idx="264">
                  <c:v>3.8415028614002427E-5</c:v>
                </c:pt>
                <c:pt idx="265">
                  <c:v>4.6373024731586175E-5</c:v>
                </c:pt>
                <c:pt idx="266">
                  <c:v>5.5493969591953166E-5</c:v>
                </c:pt>
                <c:pt idx="267">
                  <c:v>6.6261305639395664E-5</c:v>
                </c:pt>
                <c:pt idx="268">
                  <c:v>7.8592770297022181E-5</c:v>
                </c:pt>
                <c:pt idx="269">
                  <c:v>9.2508867528270943E-5</c:v>
                </c:pt>
                <c:pt idx="270">
                  <c:v>1.0802874715619239E-4</c:v>
                </c:pt>
                <c:pt idx="271">
                  <c:v>1.2516980122743431E-4</c:v>
                </c:pt>
                <c:pt idx="272">
                  <c:v>1.4394724022030885E-4</c:v>
                </c:pt>
                <c:pt idx="273">
                  <c:v>1.643736503962988E-4</c:v>
                </c:pt>
                <c:pt idx="274">
                  <c:v>1.8646760155297567E-4</c:v>
                </c:pt>
                <c:pt idx="275">
                  <c:v>2.0849366845654001E-4</c:v>
                </c:pt>
                <c:pt idx="276">
                  <c:v>2.2942008758963326E-4</c:v>
                </c:pt>
                <c:pt idx="277">
                  <c:v>2.4922509754348588E-4</c:v>
                </c:pt>
                <c:pt idx="278">
                  <c:v>2.6788716027560173E-4</c:v>
                </c:pt>
                <c:pt idx="279">
                  <c:v>2.8538503332461746E-4</c:v>
                </c:pt>
                <c:pt idx="280">
                  <c:v>3.0169784176257899E-4</c:v>
                </c:pt>
                <c:pt idx="281">
                  <c:v>3.1571722953362456E-4</c:v>
                </c:pt>
                <c:pt idx="282">
                  <c:v>3.2691148323562251E-4</c:v>
                </c:pt>
                <c:pt idx="283">
                  <c:v>3.3524317201404118E-4</c:v>
                </c:pt>
                <c:pt idx="284">
                  <c:v>3.4067621982924909E-4</c:v>
                </c:pt>
                <c:pt idx="285">
                  <c:v>3.4317598255393815E-4</c:v>
                </c:pt>
                <c:pt idx="286">
                  <c:v>3.4270930802461999E-4</c:v>
                </c:pt>
                <c:pt idx="287">
                  <c:v>3.3924457695798111E-4</c:v>
                </c:pt>
                <c:pt idx="288">
                  <c:v>3.3275955341252893E-4</c:v>
                </c:pt>
                <c:pt idx="289">
                  <c:v>3.2392263529407698E-4</c:v>
                </c:pt>
                <c:pt idx="290">
                  <c:v>3.1457368013510629E-4</c:v>
                </c:pt>
                <c:pt idx="291">
                  <c:v>3.0470745518239225E-4</c:v>
                </c:pt>
                <c:pt idx="292">
                  <c:v>2.9431923313637384E-4</c:v>
                </c:pt>
                <c:pt idx="293">
                  <c:v>2.8340482513742021E-4</c:v>
                </c:pt>
                <c:pt idx="294">
                  <c:v>2.7196061251003474E-4</c:v>
                </c:pt>
                <c:pt idx="295">
                  <c:v>2.6060830613802894E-4</c:v>
                </c:pt>
                <c:pt idx="296">
                  <c:v>2.504984184657501E-4</c:v>
                </c:pt>
                <c:pt idx="297">
                  <c:v>2.4164526363717486E-4</c:v>
                </c:pt>
                <c:pt idx="298">
                  <c:v>2.3406058808807131E-4</c:v>
                </c:pt>
                <c:pt idx="299">
                  <c:v>2.2775571759638135E-4</c:v>
                </c:pt>
                <c:pt idx="300">
                  <c:v>2.2274145502583522E-4</c:v>
                </c:pt>
                <c:pt idx="301">
                  <c:v>2.1902797915013586E-4</c:v>
                </c:pt>
                <c:pt idx="302">
                  <c:v>2.166371700255213E-4</c:v>
                </c:pt>
                <c:pt idx="303">
                  <c:v>2.1592129383632094E-4</c:v>
                </c:pt>
                <c:pt idx="304">
                  <c:v>2.1616938341103531E-4</c:v>
                </c:pt>
                <c:pt idx="305">
                  <c:v>2.1738736525184151E-4</c:v>
                </c:pt>
                <c:pt idx="306">
                  <c:v>2.1958109538071661E-4</c:v>
                </c:pt>
                <c:pt idx="307">
                  <c:v>2.2275631681525072E-4</c:v>
                </c:pt>
                <c:pt idx="308">
                  <c:v>2.2691861455790673E-4</c:v>
                </c:pt>
                <c:pt idx="309">
                  <c:v>2.3240354820576662E-4</c:v>
                </c:pt>
                <c:pt idx="310">
                  <c:v>2.3857087414870873E-4</c:v>
                </c:pt>
                <c:pt idx="311">
                  <c:v>2.4542336094020143E-4</c:v>
                </c:pt>
                <c:pt idx="312">
                  <c:v>2.5296345379948419E-4</c:v>
                </c:pt>
                <c:pt idx="313">
                  <c:v>2.6119321561433992E-4</c:v>
                </c:pt>
                <c:pt idx="314">
                  <c:v>2.7011426100745042E-4</c:v>
                </c:pt>
                <c:pt idx="315">
                  <c:v>2.7972768266940751E-4</c:v>
                </c:pt>
                <c:pt idx="316">
                  <c:v>2.9004628615478327E-4</c:v>
                </c:pt>
                <c:pt idx="317">
                  <c:v>3.010678087328529E-4</c:v>
                </c:pt>
                <c:pt idx="318">
                  <c:v>3.1245703901439104E-4</c:v>
                </c:pt>
                <c:pt idx="319">
                  <c:v>3.2421853467208013E-4</c:v>
                </c:pt>
                <c:pt idx="320">
                  <c:v>3.3635701036024474E-4</c:v>
                </c:pt>
                <c:pt idx="321">
                  <c:v>3.4887730595535002E-4</c:v>
                </c:pt>
                <c:pt idx="322">
                  <c:v>3.6178434850919219E-4</c:v>
                </c:pt>
                <c:pt idx="323">
                  <c:v>3.7453584686566831E-4</c:v>
                </c:pt>
                <c:pt idx="324">
                  <c:v>3.8679273049448419E-4</c:v>
                </c:pt>
                <c:pt idx="325">
                  <c:v>3.9855374629763849E-4</c:v>
                </c:pt>
                <c:pt idx="326">
                  <c:v>4.098146472292822E-4</c:v>
                </c:pt>
                <c:pt idx="327">
                  <c:v>4.2057214954308237E-4</c:v>
                </c:pt>
                <c:pt idx="328">
                  <c:v>4.308245353848589E-4</c:v>
                </c:pt>
                <c:pt idx="329">
                  <c:v>4.4056959714498036E-4</c:v>
                </c:pt>
                <c:pt idx="330">
                  <c:v>4.4986248597640819E-4</c:v>
                </c:pt>
                <c:pt idx="331">
                  <c:v>4.5832599520817676E-4</c:v>
                </c:pt>
                <c:pt idx="332">
                  <c:v>4.6595547175158663E-4</c:v>
                </c:pt>
                <c:pt idx="333">
                  <c:v>4.7272286821802467E-4</c:v>
                </c:pt>
                <c:pt idx="334">
                  <c:v>4.7859640937222288E-4</c:v>
                </c:pt>
                <c:pt idx="335">
                  <c:v>4.8354096134797515E-4</c:v>
                </c:pt>
                <c:pt idx="336">
                  <c:v>4.8751847802520036E-4</c:v>
                </c:pt>
                <c:pt idx="337">
                  <c:v>4.9066658972432228E-4</c:v>
                </c:pt>
                <c:pt idx="338">
                  <c:v>4.9351609354601007E-4</c:v>
                </c:pt>
                <c:pt idx="339">
                  <c:v>4.9603065227153144E-4</c:v>
                </c:pt>
                <c:pt idx="340">
                  <c:v>4.9817254749729952E-4</c:v>
                </c:pt>
                <c:pt idx="341">
                  <c:v>4.9990305048718258E-4</c:v>
                </c:pt>
                <c:pt idx="342">
                  <c:v>5.0118286411965666E-4</c:v>
                </c:pt>
                <c:pt idx="343">
                  <c:v>5.019726348582229E-4</c:v>
                </c:pt>
                <c:pt idx="344">
                  <c:v>5.0232054688150373E-4</c:v>
                </c:pt>
                <c:pt idx="345">
                  <c:v>5.0229366355114752E-4</c:v>
                </c:pt>
                <c:pt idx="346">
                  <c:v>5.022846844896919E-4</c:v>
                </c:pt>
                <c:pt idx="347">
                  <c:v>5.0228432300754918E-4</c:v>
                </c:pt>
                <c:pt idx="348">
                  <c:v>5.0228324882412077E-4</c:v>
                </c:pt>
                <c:pt idx="349">
                  <c:v>5.0227214839922531E-4</c:v>
                </c:pt>
                <c:pt idx="350">
                  <c:v>5.0224178749394338E-4</c:v>
                </c:pt>
                <c:pt idx="351">
                  <c:v>5.0214716225312065E-4</c:v>
                </c:pt>
                <c:pt idx="352">
                  <c:v>5.0179842038989403E-4</c:v>
                </c:pt>
                <c:pt idx="353">
                  <c:v>5.0118796610779646E-4</c:v>
                </c:pt>
                <c:pt idx="354">
                  <c:v>5.0030904710903238E-4</c:v>
                </c:pt>
                <c:pt idx="355">
                  <c:v>4.9915584166823916E-4</c:v>
                </c:pt>
                <c:pt idx="356">
                  <c:v>4.9772199715068756E-4</c:v>
                </c:pt>
                <c:pt idx="357">
                  <c:v>4.9600464416967548E-4</c:v>
                </c:pt>
                <c:pt idx="358">
                  <c:v>4.939549555202634E-4</c:v>
                </c:pt>
                <c:pt idx="359">
                  <c:v>4.9154636775701856E-4</c:v>
                </c:pt>
                <c:pt idx="360">
                  <c:v>4.8898437595692697E-4</c:v>
                </c:pt>
                <c:pt idx="361">
                  <c:v>4.8633022872776756E-4</c:v>
                </c:pt>
                <c:pt idx="362">
                  <c:v>4.836094506820587E-4</c:v>
                </c:pt>
                <c:pt idx="363">
                  <c:v>4.8084698783159072E-4</c:v>
                </c:pt>
                <c:pt idx="364">
                  <c:v>4.780670608090596E-4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3032"/>
        <c:axId val="335353424"/>
      </c:lineChart>
      <c:dateAx>
        <c:axId val="335353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3424"/>
        <c:crosses val="autoZero"/>
        <c:auto val="1"/>
        <c:lblOffset val="100"/>
        <c:baseTimeUnit val="days"/>
        <c:majorUnit val="1"/>
        <c:majorTimeUnit val="months"/>
      </c:dateAx>
      <c:valAx>
        <c:axId val="3353534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3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23.518130339752464</c:v>
                </c:pt>
                <c:pt idx="1">
                  <c:v>23.684091425940569</c:v>
                </c:pt>
                <c:pt idx="2">
                  <c:v>23.857176373026487</c:v>
                </c:pt>
                <c:pt idx="3">
                  <c:v>24.036265932102982</c:v>
                </c:pt>
                <c:pt idx="4">
                  <c:v>24.220241200471708</c:v>
                </c:pt>
                <c:pt idx="5">
                  <c:v>24.407983631439194</c:v>
                </c:pt>
                <c:pt idx="6">
                  <c:v>24.598375027888018</c:v>
                </c:pt>
                <c:pt idx="7">
                  <c:v>24.790297550393472</c:v>
                </c:pt>
                <c:pt idx="8">
                  <c:v>24.986078665148984</c:v>
                </c:pt>
                <c:pt idx="9">
                  <c:v>25.188659415211237</c:v>
                </c:pt>
                <c:pt idx="10">
                  <c:v>25.397827326380092</c:v>
                </c:pt>
                <c:pt idx="11">
                  <c:v>25.613365943149315</c:v>
                </c:pt>
                <c:pt idx="12">
                  <c:v>25.835058852689343</c:v>
                </c:pt>
                <c:pt idx="13">
                  <c:v>26.062689695969617</c:v>
                </c:pt>
                <c:pt idx="14">
                  <c:v>26.296042162362305</c:v>
                </c:pt>
                <c:pt idx="15">
                  <c:v>26.534900449235206</c:v>
                </c:pt>
                <c:pt idx="16">
                  <c:v>26.779038605277606</c:v>
                </c:pt>
                <c:pt idx="17">
                  <c:v>27.028240488924368</c:v>
                </c:pt>
                <c:pt idx="18">
                  <c:v>27.282290024487541</c:v>
                </c:pt>
                <c:pt idx="19">
                  <c:v>27.540971145146955</c:v>
                </c:pt>
                <c:pt idx="20">
                  <c:v>27.804067833946398</c:v>
                </c:pt>
                <c:pt idx="21">
                  <c:v>28.071364195046737</c:v>
                </c:pt>
                <c:pt idx="22">
                  <c:v>28.345299150218217</c:v>
                </c:pt>
                <c:pt idx="23">
                  <c:v>28.627794173986459</c:v>
                </c:pt>
                <c:pt idx="24">
                  <c:v>28.917856628755239</c:v>
                </c:pt>
                <c:pt idx="25">
                  <c:v>29.21450710782953</c:v>
                </c:pt>
                <c:pt idx="26">
                  <c:v>29.516766562904504</c:v>
                </c:pt>
                <c:pt idx="27">
                  <c:v>29.823656293674887</c:v>
                </c:pt>
                <c:pt idx="28">
                  <c:v>30.134197962317415</c:v>
                </c:pt>
                <c:pt idx="29">
                  <c:v>30.447405467246465</c:v>
                </c:pt>
                <c:pt idx="30">
                  <c:v>30.762300728612221</c:v>
                </c:pt>
                <c:pt idx="31">
                  <c:v>31.077906485910145</c:v>
                </c:pt>
                <c:pt idx="32">
                  <c:v>31.393245837518176</c:v>
                </c:pt>
                <c:pt idx="33">
                  <c:v>31.70734224372783</c:v>
                </c:pt>
                <c:pt idx="34">
                  <c:v>32.019219525523468</c:v>
                </c:pt>
                <c:pt idx="35">
                  <c:v>32.32790186518195</c:v>
                </c:pt>
                <c:pt idx="36">
                  <c:v>32.634431773743529</c:v>
                </c:pt>
                <c:pt idx="37">
                  <c:v>32.940616868909949</c:v>
                </c:pt>
                <c:pt idx="38">
                  <c:v>33.246660669320534</c:v>
                </c:pt>
                <c:pt idx="39">
                  <c:v>33.552758653083451</c:v>
                </c:pt>
                <c:pt idx="40">
                  <c:v>33.859106245926</c:v>
                </c:pt>
                <c:pt idx="41">
                  <c:v>34.165898819453275</c:v>
                </c:pt>
                <c:pt idx="42">
                  <c:v>34.473331687913372</c:v>
                </c:pt>
                <c:pt idx="43">
                  <c:v>34.781582380439708</c:v>
                </c:pt>
                <c:pt idx="44">
                  <c:v>35.090854199537446</c:v>
                </c:pt>
                <c:pt idx="45">
                  <c:v>35.401342259755253</c:v>
                </c:pt>
                <c:pt idx="46">
                  <c:v>35.713241604127234</c:v>
                </c:pt>
                <c:pt idx="47">
                  <c:v>36.026747201677168</c:v>
                </c:pt>
                <c:pt idx="48">
                  <c:v>36.342053941978463</c:v>
                </c:pt>
                <c:pt idx="49">
                  <c:v>36.659356631231816</c:v>
                </c:pt>
                <c:pt idx="50">
                  <c:v>36.978996277695948</c:v>
                </c:pt>
                <c:pt idx="51">
                  <c:v>37.301017271158642</c:v>
                </c:pt>
                <c:pt idx="52">
                  <c:v>37.62514232658669</c:v>
                </c:pt>
                <c:pt idx="53">
                  <c:v>37.951078586419662</c:v>
                </c:pt>
                <c:pt idx="54">
                  <c:v>38.2785332245546</c:v>
                </c:pt>
                <c:pt idx="55">
                  <c:v>38.60721347604489</c:v>
                </c:pt>
                <c:pt idx="56">
                  <c:v>38.936826631093425</c:v>
                </c:pt>
                <c:pt idx="57">
                  <c:v>39.267127727726951</c:v>
                </c:pt>
                <c:pt idx="58">
                  <c:v>39.597842018491804</c:v>
                </c:pt>
                <c:pt idx="59">
                  <c:v>39.928677009527767</c:v>
                </c:pt>
                <c:pt idx="60">
                  <c:v>40.259340251449203</c:v>
                </c:pt>
                <c:pt idx="61">
                  <c:v>40.589539336998129</c:v>
                </c:pt>
                <c:pt idx="62">
                  <c:v>40.918981899712378</c:v>
                </c:pt>
                <c:pt idx="63">
                  <c:v>41.247375612728824</c:v>
                </c:pt>
                <c:pt idx="64">
                  <c:v>41.575580874529031</c:v>
                </c:pt>
                <c:pt idx="65">
                  <c:v>41.904509641600761</c:v>
                </c:pt>
                <c:pt idx="66">
                  <c:v>42.233937833980974</c:v>
                </c:pt>
                <c:pt idx="67">
                  <c:v>42.563670024775853</c:v>
                </c:pt>
                <c:pt idx="68">
                  <c:v>42.893510795816297</c:v>
                </c:pt>
                <c:pt idx="69">
                  <c:v>43.223264739724335</c:v>
                </c:pt>
                <c:pt idx="70">
                  <c:v>43.552736462297823</c:v>
                </c:pt>
                <c:pt idx="71">
                  <c:v>43.881702830395824</c:v>
                </c:pt>
                <c:pt idx="72">
                  <c:v>44.20992040523997</c:v>
                </c:pt>
                <c:pt idx="73">
                  <c:v>44.537193687992414</c:v>
                </c:pt>
                <c:pt idx="74">
                  <c:v>44.863327181664573</c:v>
                </c:pt>
                <c:pt idx="75">
                  <c:v>45.188125391527436</c:v>
                </c:pt>
                <c:pt idx="76">
                  <c:v>45.511392827391504</c:v>
                </c:pt>
                <c:pt idx="77">
                  <c:v>45.832934003350999</c:v>
                </c:pt>
                <c:pt idx="78">
                  <c:v>46.155147962814503</c:v>
                </c:pt>
                <c:pt idx="79">
                  <c:v>46.479910974817557</c:v>
                </c:pt>
                <c:pt idx="80">
                  <c:v>46.806261216933585</c:v>
                </c:pt>
                <c:pt idx="81">
                  <c:v>47.133224084516016</c:v>
                </c:pt>
                <c:pt idx="82">
                  <c:v>47.459825252689896</c:v>
                </c:pt>
                <c:pt idx="83">
                  <c:v>47.785090677938385</c:v>
                </c:pt>
                <c:pt idx="84">
                  <c:v>48.108046605037693</c:v>
                </c:pt>
                <c:pt idx="85">
                  <c:v>48.427716643897966</c:v>
                </c:pt>
                <c:pt idx="86">
                  <c:v>48.743155823299197</c:v>
                </c:pt>
                <c:pt idx="87">
                  <c:v>49.053391420836228</c:v>
                </c:pt>
                <c:pt idx="88">
                  <c:v>49.357451046832232</c:v>
                </c:pt>
                <c:pt idx="89">
                  <c:v>49.654362648496459</c:v>
                </c:pt>
                <c:pt idx="90">
                  <c:v>49.94315452203012</c:v>
                </c:pt>
                <c:pt idx="91">
                  <c:v>50.222855325323479</c:v>
                </c:pt>
                <c:pt idx="92">
                  <c:v>50.495133987086803</c:v>
                </c:pt>
                <c:pt idx="93">
                  <c:v>50.762239344579612</c:v>
                </c:pt>
                <c:pt idx="94">
                  <c:v>51.024077081546785</c:v>
                </c:pt>
                <c:pt idx="95">
                  <c:v>51.280549828862803</c:v>
                </c:pt>
                <c:pt idx="96">
                  <c:v>51.531560273005816</c:v>
                </c:pt>
                <c:pt idx="97">
                  <c:v>51.777011166476342</c:v>
                </c:pt>
                <c:pt idx="98">
                  <c:v>52.016805324083457</c:v>
                </c:pt>
                <c:pt idx="99">
                  <c:v>52.250841184857272</c:v>
                </c:pt>
                <c:pt idx="100">
                  <c:v>52.479024747019629</c:v>
                </c:pt>
                <c:pt idx="101">
                  <c:v>52.701259049750007</c:v>
                </c:pt>
                <c:pt idx="102">
                  <c:v>52.917447216137894</c:v>
                </c:pt>
                <c:pt idx="103">
                  <c:v>53.127492458345138</c:v>
                </c:pt>
                <c:pt idx="104">
                  <c:v>53.331298083631474</c:v>
                </c:pt>
                <c:pt idx="105">
                  <c:v>53.528767499229751</c:v>
                </c:pt>
                <c:pt idx="106">
                  <c:v>53.719416042405115</c:v>
                </c:pt>
                <c:pt idx="107">
                  <c:v>53.903010391916531</c:v>
                </c:pt>
                <c:pt idx="108">
                  <c:v>54.079845096842973</c:v>
                </c:pt>
                <c:pt idx="109">
                  <c:v>54.250212039561362</c:v>
                </c:pt>
                <c:pt idx="110">
                  <c:v>54.414403059558829</c:v>
                </c:pt>
                <c:pt idx="111">
                  <c:v>54.572709957694329</c:v>
                </c:pt>
                <c:pt idx="112">
                  <c:v>54.725424496558269</c:v>
                </c:pt>
                <c:pt idx="113">
                  <c:v>54.872827008786153</c:v>
                </c:pt>
                <c:pt idx="114">
                  <c:v>55.01521377307963</c:v>
                </c:pt>
                <c:pt idx="115">
                  <c:v>55.152876342304289</c:v>
                </c:pt>
                <c:pt idx="116">
                  <c:v>55.286106233960616</c:v>
                </c:pt>
                <c:pt idx="117">
                  <c:v>55.415194934592712</c:v>
                </c:pt>
                <c:pt idx="118">
                  <c:v>55.540433902322619</c:v>
                </c:pt>
                <c:pt idx="119">
                  <c:v>58.999463367898635</c:v>
                </c:pt>
                <c:pt idx="120">
                  <c:v>59.123072420427278</c:v>
                </c:pt>
                <c:pt idx="121">
                  <c:v>59.241426412779525</c:v>
                </c:pt>
                <c:pt idx="122">
                  <c:v>59.354637591078713</c:v>
                </c:pt>
                <c:pt idx="123">
                  <c:v>59.462809416051613</c:v>
                </c:pt>
                <c:pt idx="124">
                  <c:v>59.56604527855422</c:v>
                </c:pt>
                <c:pt idx="125">
                  <c:v>59.664448504401491</c:v>
                </c:pt>
                <c:pt idx="126">
                  <c:v>59.758122353460813</c:v>
                </c:pt>
                <c:pt idx="127">
                  <c:v>59.84720313572533</c:v>
                </c:pt>
                <c:pt idx="128">
                  <c:v>59.931808033880756</c:v>
                </c:pt>
                <c:pt idx="129">
                  <c:v>60.012041181065058</c:v>
                </c:pt>
                <c:pt idx="130">
                  <c:v>60.088006693010996</c:v>
                </c:pt>
                <c:pt idx="131">
                  <c:v>60.159808680943947</c:v>
                </c:pt>
                <c:pt idx="132">
                  <c:v>60.227551242445138</c:v>
                </c:pt>
                <c:pt idx="133">
                  <c:v>60.291338470488917</c:v>
                </c:pt>
                <c:pt idx="134">
                  <c:v>60.350573898800562</c:v>
                </c:pt>
                <c:pt idx="135">
                  <c:v>60.404806557438121</c:v>
                </c:pt>
                <c:pt idx="136">
                  <c:v>60.454270061619376</c:v>
                </c:pt>
                <c:pt idx="137">
                  <c:v>60.499174206219514</c:v>
                </c:pt>
                <c:pt idx="138">
                  <c:v>60.539728798066861</c:v>
                </c:pt>
                <c:pt idx="139">
                  <c:v>60.576143640256674</c:v>
                </c:pt>
                <c:pt idx="140">
                  <c:v>60.608628528874505</c:v>
                </c:pt>
                <c:pt idx="141">
                  <c:v>60.637385054491325</c:v>
                </c:pt>
                <c:pt idx="142">
                  <c:v>60.662585868124182</c:v>
                </c:pt>
                <c:pt idx="143">
                  <c:v>60.684439775116715</c:v>
                </c:pt>
                <c:pt idx="144">
                  <c:v>60.703155440194834</c:v>
                </c:pt>
                <c:pt idx="145">
                  <c:v>60.718941464523027</c:v>
                </c:pt>
                <c:pt idx="146">
                  <c:v>60.732006375513407</c:v>
                </c:pt>
                <c:pt idx="147">
                  <c:v>60.742558617740805</c:v>
                </c:pt>
                <c:pt idx="148">
                  <c:v>60.75051660648181</c:v>
                </c:pt>
                <c:pt idx="149">
                  <c:v>60.755550206235604</c:v>
                </c:pt>
                <c:pt idx="150">
                  <c:v>60.757472314221928</c:v>
                </c:pt>
                <c:pt idx="151">
                  <c:v>60.756181232284717</c:v>
                </c:pt>
                <c:pt idx="152">
                  <c:v>60.75157532034752</c:v>
                </c:pt>
                <c:pt idx="153">
                  <c:v>60.743552996697019</c:v>
                </c:pt>
                <c:pt idx="154">
                  <c:v>60.732012742238823</c:v>
                </c:pt>
                <c:pt idx="155">
                  <c:v>60.71684457712319</c:v>
                </c:pt>
                <c:pt idx="156">
                  <c:v>60.69795556745197</c:v>
                </c:pt>
                <c:pt idx="157">
                  <c:v>60.675244248290738</c:v>
                </c:pt>
                <c:pt idx="158">
                  <c:v>60.648609217255405</c:v>
                </c:pt>
                <c:pt idx="159">
                  <c:v>60.617949135454325</c:v>
                </c:pt>
                <c:pt idx="160">
                  <c:v>60.583162729102035</c:v>
                </c:pt>
                <c:pt idx="161">
                  <c:v>60.544148796038975</c:v>
                </c:pt>
                <c:pt idx="162">
                  <c:v>60.500176308239283</c:v>
                </c:pt>
                <c:pt idx="163">
                  <c:v>60.450854110740003</c:v>
                </c:pt>
                <c:pt idx="164">
                  <c:v>60.396641247713291</c:v>
                </c:pt>
                <c:pt idx="165">
                  <c:v>60.337948357304761</c:v>
                </c:pt>
                <c:pt idx="166">
                  <c:v>60.275185846252235</c:v>
                </c:pt>
                <c:pt idx="167">
                  <c:v>60.208763887789218</c:v>
                </c:pt>
                <c:pt idx="168">
                  <c:v>60.139092421765</c:v>
                </c:pt>
                <c:pt idx="169">
                  <c:v>60.0665801145919</c:v>
                </c:pt>
                <c:pt idx="170">
                  <c:v>59.991645893725241</c:v>
                </c:pt>
                <c:pt idx="171">
                  <c:v>59.914699123435589</c:v>
                </c:pt>
                <c:pt idx="172">
                  <c:v>59.836148923066034</c:v>
                </c:pt>
                <c:pt idx="173">
                  <c:v>59.756404215750827</c:v>
                </c:pt>
                <c:pt idx="174">
                  <c:v>59.675873685909806</c:v>
                </c:pt>
                <c:pt idx="175">
                  <c:v>59.59496572422033</c:v>
                </c:pt>
                <c:pt idx="176">
                  <c:v>59.513068885625316</c:v>
                </c:pt>
                <c:pt idx="177">
                  <c:v>59.429290286298148</c:v>
                </c:pt>
                <c:pt idx="178">
                  <c:v>59.34363174327278</c:v>
                </c:pt>
                <c:pt idx="179">
                  <c:v>59.256093937347757</c:v>
                </c:pt>
                <c:pt idx="180">
                  <c:v>59.166677523082463</c:v>
                </c:pt>
                <c:pt idx="181">
                  <c:v>59.075383129471824</c:v>
                </c:pt>
                <c:pt idx="182">
                  <c:v>58.982211356989303</c:v>
                </c:pt>
                <c:pt idx="183">
                  <c:v>58.887109039501162</c:v>
                </c:pt>
                <c:pt idx="184">
                  <c:v>58.790077437021289</c:v>
                </c:pt>
                <c:pt idx="185">
                  <c:v>58.691116665047765</c:v>
                </c:pt>
                <c:pt idx="186">
                  <c:v>58.590226860906988</c:v>
                </c:pt>
                <c:pt idx="187">
                  <c:v>58.487408181060417</c:v>
                </c:pt>
                <c:pt idx="188">
                  <c:v>58.382660804784685</c:v>
                </c:pt>
                <c:pt idx="189">
                  <c:v>58.275984927640494</c:v>
                </c:pt>
                <c:pt idx="190">
                  <c:v>58.167160245664554</c:v>
                </c:pt>
                <c:pt idx="191">
                  <c:v>58.056025587407291</c:v>
                </c:pt>
                <c:pt idx="192">
                  <c:v>57.942693500568936</c:v>
                </c:pt>
                <c:pt idx="193">
                  <c:v>57.827266195322643</c:v>
                </c:pt>
                <c:pt idx="194">
                  <c:v>57.709845839880764</c:v>
                </c:pt>
                <c:pt idx="195">
                  <c:v>57.590534562049278</c:v>
                </c:pt>
                <c:pt idx="196">
                  <c:v>57.469434445786447</c:v>
                </c:pt>
                <c:pt idx="197">
                  <c:v>57.346757568261545</c:v>
                </c:pt>
                <c:pt idx="198">
                  <c:v>57.222661821859305</c:v>
                </c:pt>
                <c:pt idx="199">
                  <c:v>57.097249764380877</c:v>
                </c:pt>
                <c:pt idx="200">
                  <c:v>56.97062383508127</c:v>
                </c:pt>
                <c:pt idx="201">
                  <c:v>56.842886361904071</c:v>
                </c:pt>
                <c:pt idx="202">
                  <c:v>56.71413956938585</c:v>
                </c:pt>
                <c:pt idx="203">
                  <c:v>56.58448558663369</c:v>
                </c:pt>
                <c:pt idx="204">
                  <c:v>56.453772476528478</c:v>
                </c:pt>
                <c:pt idx="205">
                  <c:v>56.321827565158266</c:v>
                </c:pt>
                <c:pt idx="206">
                  <c:v>56.188660074381964</c:v>
                </c:pt>
                <c:pt idx="207">
                  <c:v>56.054270501820199</c:v>
                </c:pt>
                <c:pt idx="208">
                  <c:v>55.918659316440198</c:v>
                </c:pt>
                <c:pt idx="209">
                  <c:v>55.781826964800182</c:v>
                </c:pt>
                <c:pt idx="210">
                  <c:v>55.643773874642505</c:v>
                </c:pt>
                <c:pt idx="211">
                  <c:v>55.504464337719298</c:v>
                </c:pt>
                <c:pt idx="212">
                  <c:v>55.363787139583394</c:v>
                </c:pt>
                <c:pt idx="213">
                  <c:v>55.221742444268358</c:v>
                </c:pt>
                <c:pt idx="214">
                  <c:v>55.078330442138707</c:v>
                </c:pt>
                <c:pt idx="215">
                  <c:v>54.933551349865752</c:v>
                </c:pt>
                <c:pt idx="216">
                  <c:v>54.787405408539321</c:v>
                </c:pt>
                <c:pt idx="217">
                  <c:v>54.639892883019115</c:v>
                </c:pt>
                <c:pt idx="218">
                  <c:v>54.491233825376817</c:v>
                </c:pt>
                <c:pt idx="219">
                  <c:v>54.341561548282911</c:v>
                </c:pt>
                <c:pt idx="220">
                  <c:v>54.190727866064584</c:v>
                </c:pt>
                <c:pt idx="221">
                  <c:v>54.038631655296925</c:v>
                </c:pt>
                <c:pt idx="222">
                  <c:v>53.885171866943438</c:v>
                </c:pt>
                <c:pt idx="223">
                  <c:v>53.730247522733961</c:v>
                </c:pt>
                <c:pt idx="224">
                  <c:v>53.573757714242156</c:v>
                </c:pt>
                <c:pt idx="225">
                  <c:v>53.415587973934564</c:v>
                </c:pt>
                <c:pt idx="226">
                  <c:v>53.255673862898107</c:v>
                </c:pt>
                <c:pt idx="227">
                  <c:v>53.093914692232111</c:v>
                </c:pt>
                <c:pt idx="228">
                  <c:v>52.930209831922824</c:v>
                </c:pt>
                <c:pt idx="229">
                  <c:v>52.764458711314106</c:v>
                </c:pt>
                <c:pt idx="230">
                  <c:v>52.596560818493245</c:v>
                </c:pt>
                <c:pt idx="231">
                  <c:v>52.42641569639936</c:v>
                </c:pt>
                <c:pt idx="232">
                  <c:v>52.255931285273682</c:v>
                </c:pt>
                <c:pt idx="233">
                  <c:v>52.086533887398467</c:v>
                </c:pt>
                <c:pt idx="234">
                  <c:v>51.917432290927707</c:v>
                </c:pt>
                <c:pt idx="235">
                  <c:v>51.74781667266263</c:v>
                </c:pt>
                <c:pt idx="236">
                  <c:v>51.576877601515861</c:v>
                </c:pt>
                <c:pt idx="237">
                  <c:v>51.403806036411694</c:v>
                </c:pt>
                <c:pt idx="238">
                  <c:v>51.227793324598032</c:v>
                </c:pt>
                <c:pt idx="239">
                  <c:v>51.048025588384156</c:v>
                </c:pt>
                <c:pt idx="240">
                  <c:v>50.863708514652018</c:v>
                </c:pt>
                <c:pt idx="241">
                  <c:v>50.674034588614695</c:v>
                </c:pt>
                <c:pt idx="242">
                  <c:v>50.478196677932758</c:v>
                </c:pt>
                <c:pt idx="243">
                  <c:v>50.275388028155518</c:v>
                </c:pt>
                <c:pt idx="244">
                  <c:v>50.064802265146753</c:v>
                </c:pt>
                <c:pt idx="245">
                  <c:v>49.84563338657901</c:v>
                </c:pt>
                <c:pt idx="246">
                  <c:v>49.618221513052553</c:v>
                </c:pt>
                <c:pt idx="247">
                  <c:v>49.383707866369292</c:v>
                </c:pt>
                <c:pt idx="248">
                  <c:v>49.142507541112252</c:v>
                </c:pt>
                <c:pt idx="249">
                  <c:v>48.895027245944384</c:v>
                </c:pt>
                <c:pt idx="250">
                  <c:v>48.641673510067506</c:v>
                </c:pt>
                <c:pt idx="251">
                  <c:v>48.382852675161395</c:v>
                </c:pt>
                <c:pt idx="252">
                  <c:v>48.118970905069702</c:v>
                </c:pt>
                <c:pt idx="253">
                  <c:v>47.850426620822923</c:v>
                </c:pt>
                <c:pt idx="254">
                  <c:v>47.577631200535741</c:v>
                </c:pt>
                <c:pt idx="255">
                  <c:v>47.300990270345231</c:v>
                </c:pt>
                <c:pt idx="256">
                  <c:v>47.020909278655935</c:v>
                </c:pt>
                <c:pt idx="257">
                  <c:v>46.737793495974294</c:v>
                </c:pt>
                <c:pt idx="258">
                  <c:v>46.452048015463369</c:v>
                </c:pt>
                <c:pt idx="259">
                  <c:v>46.164077753513332</c:v>
                </c:pt>
                <c:pt idx="260">
                  <c:v>45.871528610160226</c:v>
                </c:pt>
                <c:pt idx="261">
                  <c:v>45.572258638112935</c:v>
                </c:pt>
                <c:pt idx="262">
                  <c:v>45.267085201459231</c:v>
                </c:pt>
                <c:pt idx="263">
                  <c:v>44.956818011808124</c:v>
                </c:pt>
                <c:pt idx="264">
                  <c:v>44.642266444258667</c:v>
                </c:pt>
                <c:pt idx="265">
                  <c:v>44.324239518227643</c:v>
                </c:pt>
                <c:pt idx="266">
                  <c:v>44.003545915780222</c:v>
                </c:pt>
                <c:pt idx="267">
                  <c:v>43.680974536926854</c:v>
                </c:pt>
                <c:pt idx="268">
                  <c:v>43.357340930301135</c:v>
                </c:pt>
                <c:pt idx="269">
                  <c:v>43.033452900120224</c:v>
                </c:pt>
                <c:pt idx="270">
                  <c:v>42.710117933433359</c:v>
                </c:pt>
                <c:pt idx="271">
                  <c:v>42.388143204367047</c:v>
                </c:pt>
                <c:pt idx="272">
                  <c:v>42.068335577154599</c:v>
                </c:pt>
                <c:pt idx="273">
                  <c:v>41.751501609288873</c:v>
                </c:pt>
                <c:pt idx="274">
                  <c:v>41.436431989247012</c:v>
                </c:pt>
                <c:pt idx="275">
                  <c:v>41.121483090592513</c:v>
                </c:pt>
                <c:pt idx="276">
                  <c:v>40.806710964076501</c:v>
                </c:pt>
                <c:pt idx="277">
                  <c:v>40.492115083654696</c:v>
                </c:pt>
                <c:pt idx="278">
                  <c:v>40.177694831955563</c:v>
                </c:pt>
                <c:pt idx="279">
                  <c:v>39.863449494823747</c:v>
                </c:pt>
                <c:pt idx="280">
                  <c:v>39.549378256292755</c:v>
                </c:pt>
                <c:pt idx="281">
                  <c:v>39.23552935801689</c:v>
                </c:pt>
                <c:pt idx="282">
                  <c:v>38.921919711620127</c:v>
                </c:pt>
                <c:pt idx="283">
                  <c:v>38.608547292990153</c:v>
                </c:pt>
                <c:pt idx="284">
                  <c:v>38.295409908097831</c:v>
                </c:pt>
                <c:pt idx="285">
                  <c:v>37.982505191612361</c:v>
                </c:pt>
                <c:pt idx="286">
                  <c:v>37.66983060682891</c:v>
                </c:pt>
                <c:pt idx="287">
                  <c:v>37.357383446992323</c:v>
                </c:pt>
                <c:pt idx="288">
                  <c:v>37.044288692886923</c:v>
                </c:pt>
                <c:pt idx="289">
                  <c:v>36.729900171158114</c:v>
                </c:pt>
                <c:pt idx="290">
                  <c:v>36.414521921791255</c:v>
                </c:pt>
                <c:pt idx="291">
                  <c:v>36.098555548476483</c:v>
                </c:pt>
                <c:pt idx="292">
                  <c:v>35.782402450788389</c:v>
                </c:pt>
                <c:pt idx="293">
                  <c:v>35.466463831074073</c:v>
                </c:pt>
                <c:pt idx="294">
                  <c:v>35.151140698300274</c:v>
                </c:pt>
                <c:pt idx="295">
                  <c:v>34.836806900457688</c:v>
                </c:pt>
                <c:pt idx="296">
                  <c:v>34.523817945851789</c:v>
                </c:pt>
                <c:pt idx="297">
                  <c:v>34.212575615656846</c:v>
                </c:pt>
                <c:pt idx="298">
                  <c:v>33.903481653940077</c:v>
                </c:pt>
                <c:pt idx="299">
                  <c:v>33.596937670085602</c:v>
                </c:pt>
                <c:pt idx="300">
                  <c:v>33.293345139935255</c:v>
                </c:pt>
                <c:pt idx="301">
                  <c:v>32.993105404409398</c:v>
                </c:pt>
                <c:pt idx="302">
                  <c:v>32.694743763117827</c:v>
                </c:pt>
                <c:pt idx="303">
                  <c:v>32.396772793618773</c:v>
                </c:pt>
                <c:pt idx="304">
                  <c:v>32.099630911440855</c:v>
                </c:pt>
                <c:pt idx="305">
                  <c:v>31.803719498712447</c:v>
                </c:pt>
                <c:pt idx="306">
                  <c:v>31.509439792570042</c:v>
                </c:pt>
                <c:pt idx="307">
                  <c:v>31.217192892282213</c:v>
                </c:pt>
                <c:pt idx="308">
                  <c:v>30.927379752323375</c:v>
                </c:pt>
                <c:pt idx="309">
                  <c:v>30.640388553942817</c:v>
                </c:pt>
                <c:pt idx="310">
                  <c:v>30.356644602504478</c:v>
                </c:pt>
                <c:pt idx="311">
                  <c:v>30.076548183448846</c:v>
                </c:pt>
                <c:pt idx="312">
                  <c:v>29.800499443306048</c:v>
                </c:pt>
                <c:pt idx="313">
                  <c:v>29.528898395908087</c:v>
                </c:pt>
                <c:pt idx="314">
                  <c:v>29.262144919867382</c:v>
                </c:pt>
                <c:pt idx="315">
                  <c:v>29.000638763183918</c:v>
                </c:pt>
                <c:pt idx="316">
                  <c:v>28.743558447296703</c:v>
                </c:pt>
                <c:pt idx="317">
                  <c:v>28.489885247105796</c:v>
                </c:pt>
                <c:pt idx="318">
                  <c:v>28.239730110739654</c:v>
                </c:pt>
                <c:pt idx="319">
                  <c:v>27.993191772809631</c:v>
                </c:pt>
                <c:pt idx="320">
                  <c:v>27.750368957569872</c:v>
                </c:pt>
                <c:pt idx="321">
                  <c:v>27.511360389692808</c:v>
                </c:pt>
                <c:pt idx="322">
                  <c:v>27.276264786116865</c:v>
                </c:pt>
                <c:pt idx="323">
                  <c:v>27.045199153516407</c:v>
                </c:pt>
                <c:pt idx="324">
                  <c:v>26.818273272550343</c:v>
                </c:pt>
                <c:pt idx="325">
                  <c:v>26.59558533535143</c:v>
                </c:pt>
                <c:pt idx="326">
                  <c:v>26.37723365202773</c:v>
                </c:pt>
                <c:pt idx="327">
                  <c:v>26.16331651390286</c:v>
                </c:pt>
                <c:pt idx="328">
                  <c:v>25.953932175188061</c:v>
                </c:pt>
                <c:pt idx="329">
                  <c:v>25.7491789231374</c:v>
                </c:pt>
                <c:pt idx="330">
                  <c:v>25.545864179663027</c:v>
                </c:pt>
                <c:pt idx="331">
                  <c:v>25.341677199073985</c:v>
                </c:pt>
                <c:pt idx="332">
                  <c:v>25.138017732900973</c:v>
                </c:pt>
                <c:pt idx="333">
                  <c:v>24.936287980761215</c:v>
                </c:pt>
                <c:pt idx="334">
                  <c:v>24.737889689514496</c:v>
                </c:pt>
                <c:pt idx="335">
                  <c:v>24.544224132392156</c:v>
                </c:pt>
                <c:pt idx="336">
                  <c:v>24.356692113926439</c:v>
                </c:pt>
                <c:pt idx="337">
                  <c:v>24.176689091778773</c:v>
                </c:pt>
                <c:pt idx="338">
                  <c:v>24.005598008744322</c:v>
                </c:pt>
                <c:pt idx="339">
                  <c:v>23.844818446009519</c:v>
                </c:pt>
                <c:pt idx="340">
                  <c:v>23.695749447631606</c:v>
                </c:pt>
                <c:pt idx="341">
                  <c:v>23.559789523945941</c:v>
                </c:pt>
                <c:pt idx="342">
                  <c:v>23.438336641167673</c:v>
                </c:pt>
                <c:pt idx="343">
                  <c:v>23.332788214982489</c:v>
                </c:pt>
                <c:pt idx="344">
                  <c:v>23.24051192705841</c:v>
                </c:pt>
                <c:pt idx="345">
                  <c:v>23.158104239905835</c:v>
                </c:pt>
                <c:pt idx="346">
                  <c:v>23.08579512355195</c:v>
                </c:pt>
                <c:pt idx="347">
                  <c:v>23.023824663816008</c:v>
                </c:pt>
                <c:pt idx="348">
                  <c:v>22.972432835727851</c:v>
                </c:pt>
                <c:pt idx="349">
                  <c:v>22.931859514368792</c:v>
                </c:pt>
                <c:pt idx="350">
                  <c:v>22.902344462200801</c:v>
                </c:pt>
                <c:pt idx="351">
                  <c:v>22.884128492913113</c:v>
                </c:pt>
                <c:pt idx="352">
                  <c:v>22.877455832000209</c:v>
                </c:pt>
                <c:pt idx="353">
                  <c:v>22.882565875458152</c:v>
                </c:pt>
                <c:pt idx="354">
                  <c:v>22.899697920233695</c:v>
                </c:pt>
                <c:pt idx="355">
                  <c:v>22.929091150189684</c:v>
                </c:pt>
                <c:pt idx="356">
                  <c:v>22.970984658009076</c:v>
                </c:pt>
                <c:pt idx="357">
                  <c:v>23.025617389857093</c:v>
                </c:pt>
                <c:pt idx="358">
                  <c:v>23.095284283749528</c:v>
                </c:pt>
                <c:pt idx="359">
                  <c:v>23.181357221311281</c:v>
                </c:pt>
                <c:pt idx="360">
                  <c:v>23.282686239129376</c:v>
                </c:pt>
                <c:pt idx="361">
                  <c:v>23.398125331834493</c:v>
                </c:pt>
                <c:pt idx="362">
                  <c:v>23.526530089888979</c:v>
                </c:pt>
                <c:pt idx="363">
                  <c:v>23.666756564161936</c:v>
                </c:pt>
                <c:pt idx="364">
                  <c:v>23.817661245387185</c:v>
                </c:pt>
                <c:pt idx="365">
                  <c:v>23.667895792569823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22.367832023306605</c:v>
                </c:pt>
                <c:pt idx="1">
                  <c:v>16.083258115252249</c:v>
                </c:pt>
                <c:pt idx="2">
                  <c:v>17.307576050590928</c:v>
                </c:pt>
                <c:pt idx="3">
                  <c:v>18.287446766309515</c:v>
                </c:pt>
                <c:pt idx="4">
                  <c:v>14.559975565693865</c:v>
                </c:pt>
                <c:pt idx="5">
                  <c:v>20.996014360473715</c:v>
                </c:pt>
                <c:pt idx="6">
                  <c:v>10.737240041594006</c:v>
                </c:pt>
                <c:pt idx="7">
                  <c:v>7.5322809670504807</c:v>
                </c:pt>
                <c:pt idx="8">
                  <c:v>2.223315849200707</c:v>
                </c:pt>
                <c:pt idx="9">
                  <c:v>1.7257268387092859</c:v>
                </c:pt>
                <c:pt idx="10">
                  <c:v>24.869675378846498</c:v>
                </c:pt>
                <c:pt idx="11">
                  <c:v>21.21909890876622</c:v>
                </c:pt>
                <c:pt idx="12">
                  <c:v>5.1099028720542581</c:v>
                </c:pt>
                <c:pt idx="13">
                  <c:v>25.262855644622952</c:v>
                </c:pt>
                <c:pt idx="14">
                  <c:v>26.845392920437874</c:v>
                </c:pt>
                <c:pt idx="15">
                  <c:v>26.366244776953522</c:v>
                </c:pt>
                <c:pt idx="16">
                  <c:v>13.49651738560765</c:v>
                </c:pt>
                <c:pt idx="17">
                  <c:v>3.5632911623072507</c:v>
                </c:pt>
                <c:pt idx="18">
                  <c:v>10.306862037708054</c:v>
                </c:pt>
                <c:pt idx="19">
                  <c:v>6.4837079215651743</c:v>
                </c:pt>
                <c:pt idx="20">
                  <c:v>20.710291853581971</c:v>
                </c:pt>
                <c:pt idx="21">
                  <c:v>27.944095127431609</c:v>
                </c:pt>
                <c:pt idx="22">
                  <c:v>28.008807531605935</c:v>
                </c:pt>
                <c:pt idx="23">
                  <c:v>28.638554323948405</c:v>
                </c:pt>
                <c:pt idx="24">
                  <c:v>27.274799118417846</c:v>
                </c:pt>
                <c:pt idx="25">
                  <c:v>28.2481912467331</c:v>
                </c:pt>
                <c:pt idx="26">
                  <c:v>26.319362559825784</c:v>
                </c:pt>
                <c:pt idx="27">
                  <c:v>4.2989968744126816</c:v>
                </c:pt>
                <c:pt idx="28">
                  <c:v>9.4268686072466128</c:v>
                </c:pt>
                <c:pt idx="29">
                  <c:v>4.4838844258420263</c:v>
                </c:pt>
                <c:pt idx="30">
                  <c:v>9.1709478763410814</c:v>
                </c:pt>
                <c:pt idx="31">
                  <c:v>13.314188003240968</c:v>
                </c:pt>
                <c:pt idx="32">
                  <c:v>5.3486131782283435</c:v>
                </c:pt>
                <c:pt idx="33">
                  <c:v>10.08152702817962</c:v>
                </c:pt>
                <c:pt idx="34">
                  <c:v>9.9827725880292046</c:v>
                </c:pt>
                <c:pt idx="35">
                  <c:v>9.6587146011600211</c:v>
                </c:pt>
                <c:pt idx="36">
                  <c:v>22.097890783836849</c:v>
                </c:pt>
                <c:pt idx="37">
                  <c:v>9.4823176090418997</c:v>
                </c:pt>
                <c:pt idx="38">
                  <c:v>33.236602852861438</c:v>
                </c:pt>
                <c:pt idx="39">
                  <c:v>33.455529889503325</c:v>
                </c:pt>
                <c:pt idx="40">
                  <c:v>31.101381354073322</c:v>
                </c:pt>
                <c:pt idx="41">
                  <c:v>17.362246703527248</c:v>
                </c:pt>
                <c:pt idx="42">
                  <c:v>26.378069022069958</c:v>
                </c:pt>
                <c:pt idx="43">
                  <c:v>31.182004686716791</c:v>
                </c:pt>
                <c:pt idx="44">
                  <c:v>15.272309573253578</c:v>
                </c:pt>
                <c:pt idx="45">
                  <c:v>19.201616650500512</c:v>
                </c:pt>
                <c:pt idx="46">
                  <c:v>10.058678876014262</c:v>
                </c:pt>
                <c:pt idx="47">
                  <c:v>10.882607226005602</c:v>
                </c:pt>
                <c:pt idx="48">
                  <c:v>27.714170827774833</c:v>
                </c:pt>
                <c:pt idx="49">
                  <c:v>20.084839891106196</c:v>
                </c:pt>
                <c:pt idx="50">
                  <c:v>19.157851819367384</c:v>
                </c:pt>
                <c:pt idx="51">
                  <c:v>21.178703324652503</c:v>
                </c:pt>
                <c:pt idx="52">
                  <c:v>32.73448544873542</c:v>
                </c:pt>
                <c:pt idx="53">
                  <c:v>33.870543022543096</c:v>
                </c:pt>
                <c:pt idx="54">
                  <c:v>20.823450602625055</c:v>
                </c:pt>
                <c:pt idx="55">
                  <c:v>30.329109450752458</c:v>
                </c:pt>
                <c:pt idx="56">
                  <c:v>39.058324012576534</c:v>
                </c:pt>
                <c:pt idx="57">
                  <c:v>27.219831108935374</c:v>
                </c:pt>
                <c:pt idx="58">
                  <c:v>33.63548468850535</c:v>
                </c:pt>
                <c:pt idx="59">
                  <c:v>39.045576640034177</c:v>
                </c:pt>
                <c:pt idx="60">
                  <c:v>10.752643476503371</c:v>
                </c:pt>
                <c:pt idx="61">
                  <c:v>34.654894462835287</c:v>
                </c:pt>
                <c:pt idx="62">
                  <c:v>3.9860401553880762</c:v>
                </c:pt>
                <c:pt idx="63">
                  <c:v>13.196066542328161</c:v>
                </c:pt>
                <c:pt idx="64">
                  <c:v>15.767071732017904</c:v>
                </c:pt>
                <c:pt idx="65">
                  <c:v>36.827892219210483</c:v>
                </c:pt>
                <c:pt idx="66">
                  <c:v>31.827705062658897</c:v>
                </c:pt>
                <c:pt idx="67">
                  <c:v>28.400268207195989</c:v>
                </c:pt>
                <c:pt idx="68">
                  <c:v>24.671809838296273</c:v>
                </c:pt>
                <c:pt idx="69">
                  <c:v>15.655479588819247</c:v>
                </c:pt>
                <c:pt idx="70">
                  <c:v>14.546497969285667</c:v>
                </c:pt>
                <c:pt idx="71">
                  <c:v>9.8741662984094098</c:v>
                </c:pt>
                <c:pt idx="72">
                  <c:v>14.229515230704953</c:v>
                </c:pt>
                <c:pt idx="73">
                  <c:v>14.253223220522058</c:v>
                </c:pt>
                <c:pt idx="74">
                  <c:v>12.847017071454152</c:v>
                </c:pt>
                <c:pt idx="75">
                  <c:v>10.717515976160394</c:v>
                </c:pt>
                <c:pt idx="76">
                  <c:v>14.289610523971936</c:v>
                </c:pt>
                <c:pt idx="77">
                  <c:v>28.999792692024556</c:v>
                </c:pt>
                <c:pt idx="78">
                  <c:v>29.952705587256943</c:v>
                </c:pt>
                <c:pt idx="79">
                  <c:v>43.67318233746014</c:v>
                </c:pt>
                <c:pt idx="80">
                  <c:v>41.095934465945284</c:v>
                </c:pt>
                <c:pt idx="81">
                  <c:v>47.154224039824442</c:v>
                </c:pt>
                <c:pt idx="82">
                  <c:v>46.145135859636618</c:v>
                </c:pt>
                <c:pt idx="83">
                  <c:v>40.421350355280509</c:v>
                </c:pt>
                <c:pt idx="84">
                  <c:v>45.492492683508942</c:v>
                </c:pt>
                <c:pt idx="85">
                  <c:v>44.312436207188966</c:v>
                </c:pt>
                <c:pt idx="86">
                  <c:v>34.694700248002867</c:v>
                </c:pt>
                <c:pt idx="87">
                  <c:v>27.325881844762758</c:v>
                </c:pt>
                <c:pt idx="88">
                  <c:v>7.6847266684698425</c:v>
                </c:pt>
                <c:pt idx="89">
                  <c:v>28.004934081576206</c:v>
                </c:pt>
                <c:pt idx="90">
                  <c:v>30.647346061429513</c:v>
                </c:pt>
                <c:pt idx="91">
                  <c:v>20.893391012808227</c:v>
                </c:pt>
                <c:pt idx="92">
                  <c:v>22.635550209935257</c:v>
                </c:pt>
                <c:pt idx="93">
                  <c:v>47.603593403891928</c:v>
                </c:pt>
                <c:pt idx="94">
                  <c:v>50.599083189836115</c:v>
                </c:pt>
                <c:pt idx="95">
                  <c:v>11.084839772305516</c:v>
                </c:pt>
                <c:pt idx="96">
                  <c:v>37.892038049508976</c:v>
                </c:pt>
                <c:pt idx="97">
                  <c:v>31.212722538687895</c:v>
                </c:pt>
                <c:pt idx="98">
                  <c:v>34.754196283746722</c:v>
                </c:pt>
                <c:pt idx="99">
                  <c:v>52.334009401698601</c:v>
                </c:pt>
                <c:pt idx="100">
                  <c:v>43.947306924872215</c:v>
                </c:pt>
                <c:pt idx="101">
                  <c:v>35.640212203226291</c:v>
                </c:pt>
                <c:pt idx="102">
                  <c:v>7.1465764663174109</c:v>
                </c:pt>
                <c:pt idx="103">
                  <c:v>38.631168240880797</c:v>
                </c:pt>
                <c:pt idx="104">
                  <c:v>44.271594843966575</c:v>
                </c:pt>
                <c:pt idx="105">
                  <c:v>42.719787321336639</c:v>
                </c:pt>
                <c:pt idx="106">
                  <c:v>52.17989159452538</c:v>
                </c:pt>
                <c:pt idx="107">
                  <c:v>36.093753737671094</c:v>
                </c:pt>
                <c:pt idx="108">
                  <c:v>8.6283925334837406</c:v>
                </c:pt>
                <c:pt idx="109">
                  <c:v>9.8738099776875039</c:v>
                </c:pt>
                <c:pt idx="110">
                  <c:v>9.1269053637795299</c:v>
                </c:pt>
                <c:pt idx="111">
                  <c:v>26.710461965216702</c:v>
                </c:pt>
                <c:pt idx="112">
                  <c:v>9.2422069123120778</c:v>
                </c:pt>
                <c:pt idx="113">
                  <c:v>29.325893348233482</c:v>
                </c:pt>
                <c:pt idx="114">
                  <c:v>45.128969845423207</c:v>
                </c:pt>
                <c:pt idx="115">
                  <c:v>52.5365593301281</c:v>
                </c:pt>
                <c:pt idx="116">
                  <c:v>39.573892770762129</c:v>
                </c:pt>
                <c:pt idx="117">
                  <c:v>19.698051718554179</c:v>
                </c:pt>
                <c:pt idx="118">
                  <c:v>39.639232543032549</c:v>
                </c:pt>
                <c:pt idx="119">
                  <c:v>44.661124965922667</c:v>
                </c:pt>
                <c:pt idx="120">
                  <c:v>48.403796293210355</c:v>
                </c:pt>
                <c:pt idx="121">
                  <c:v>31.115976096909897</c:v>
                </c:pt>
                <c:pt idx="122">
                  <c:v>37.074274817199296</c:v>
                </c:pt>
                <c:pt idx="123">
                  <c:v>20.56507371273409</c:v>
                </c:pt>
                <c:pt idx="124">
                  <c:v>43.104475658274396</c:v>
                </c:pt>
                <c:pt idx="125">
                  <c:v>39.431696481604639</c:v>
                </c:pt>
                <c:pt idx="126">
                  <c:v>53.616327969724757</c:v>
                </c:pt>
                <c:pt idx="127">
                  <c:v>51.024308189163037</c:v>
                </c:pt>
                <c:pt idx="128">
                  <c:v>53.392783574860864</c:v>
                </c:pt>
                <c:pt idx="129">
                  <c:v>53.050245788280954</c:v>
                </c:pt>
                <c:pt idx="130">
                  <c:v>57.264029466712273</c:v>
                </c:pt>
                <c:pt idx="131">
                  <c:v>41.753169445841394</c:v>
                </c:pt>
                <c:pt idx="132">
                  <c:v>42.469846085126889</c:v>
                </c:pt>
                <c:pt idx="133">
                  <c:v>51.38232962704074</c:v>
                </c:pt>
                <c:pt idx="134">
                  <c:v>54.359908753039242</c:v>
                </c:pt>
                <c:pt idx="135">
                  <c:v>51.815961747985867</c:v>
                </c:pt>
                <c:pt idx="136">
                  <c:v>55.177441140284294</c:v>
                </c:pt>
                <c:pt idx="137">
                  <c:v>53.078733575452389</c:v>
                </c:pt>
                <c:pt idx="138">
                  <c:v>56.021727993091957</c:v>
                </c:pt>
                <c:pt idx="139">
                  <c:v>50.753270442144583</c:v>
                </c:pt>
                <c:pt idx="140">
                  <c:v>50.667787392667215</c:v>
                </c:pt>
                <c:pt idx="141">
                  <c:v>38.347177179067117</c:v>
                </c:pt>
                <c:pt idx="142">
                  <c:v>19.992615967312894</c:v>
                </c:pt>
                <c:pt idx="143">
                  <c:v>17.334698482282622</c:v>
                </c:pt>
                <c:pt idx="144">
                  <c:v>40.657576684012795</c:v>
                </c:pt>
                <c:pt idx="145">
                  <c:v>24.652565607294221</c:v>
                </c:pt>
                <c:pt idx="146">
                  <c:v>45.856269606497804</c:v>
                </c:pt>
                <c:pt idx="147">
                  <c:v>55.252370493755166</c:v>
                </c:pt>
                <c:pt idx="148">
                  <c:v>59.551179626505892</c:v>
                </c:pt>
                <c:pt idx="149">
                  <c:v>50.711991036258318</c:v>
                </c:pt>
                <c:pt idx="150">
                  <c:v>53.85516500977586</c:v>
                </c:pt>
                <c:pt idx="151">
                  <c:v>56.263425090131932</c:v>
                </c:pt>
                <c:pt idx="152">
                  <c:v>45.197372738869014</c:v>
                </c:pt>
                <c:pt idx="153">
                  <c:v>55.081378344314544</c:v>
                </c:pt>
                <c:pt idx="154">
                  <c:v>24.873292644096725</c:v>
                </c:pt>
                <c:pt idx="155">
                  <c:v>34.311953642971055</c:v>
                </c:pt>
                <c:pt idx="156">
                  <c:v>48.32364883679864</c:v>
                </c:pt>
                <c:pt idx="157">
                  <c:v>25.192415452348595</c:v>
                </c:pt>
                <c:pt idx="158">
                  <c:v>20.596152843652021</c:v>
                </c:pt>
                <c:pt idx="159">
                  <c:v>47.065758324603834</c:v>
                </c:pt>
                <c:pt idx="160">
                  <c:v>57.437557235060723</c:v>
                </c:pt>
                <c:pt idx="161">
                  <c:v>56.160332473021271</c:v>
                </c:pt>
                <c:pt idx="162">
                  <c:v>42.971761377586276</c:v>
                </c:pt>
                <c:pt idx="163">
                  <c:v>54.409363522214981</c:v>
                </c:pt>
                <c:pt idx="164">
                  <c:v>49.623573122530559</c:v>
                </c:pt>
                <c:pt idx="165">
                  <c:v>54.130397558855712</c:v>
                </c:pt>
                <c:pt idx="166">
                  <c:v>52.021652058340017</c:v>
                </c:pt>
                <c:pt idx="167">
                  <c:v>52.092465945044395</c:v>
                </c:pt>
                <c:pt idx="168">
                  <c:v>55.504841986600759</c:v>
                </c:pt>
                <c:pt idx="169">
                  <c:v>56.637254156714917</c:v>
                </c:pt>
                <c:pt idx="170">
                  <c:v>31.5415176275148</c:v>
                </c:pt>
                <c:pt idx="171">
                  <c:v>23.555062537829368</c:v>
                </c:pt>
                <c:pt idx="172">
                  <c:v>39.399050021948767</c:v>
                </c:pt>
                <c:pt idx="173">
                  <c:v>42.080312674753728</c:v>
                </c:pt>
                <c:pt idx="174">
                  <c:v>40.217004327108533</c:v>
                </c:pt>
                <c:pt idx="175">
                  <c:v>35.391895723545687</c:v>
                </c:pt>
                <c:pt idx="176">
                  <c:v>11.874740080252661</c:v>
                </c:pt>
                <c:pt idx="177">
                  <c:v>12.961952154269087</c:v>
                </c:pt>
                <c:pt idx="178">
                  <c:v>58.842012076052534</c:v>
                </c:pt>
                <c:pt idx="179">
                  <c:v>55.86365728846917</c:v>
                </c:pt>
                <c:pt idx="180">
                  <c:v>13.889325589842535</c:v>
                </c:pt>
                <c:pt idx="181">
                  <c:v>49.999065270232819</c:v>
                </c:pt>
                <c:pt idx="182">
                  <c:v>55.696957498089283</c:v>
                </c:pt>
                <c:pt idx="183">
                  <c:v>46.4102488495259</c:v>
                </c:pt>
                <c:pt idx="184">
                  <c:v>44.042020296382212</c:v>
                </c:pt>
                <c:pt idx="185">
                  <c:v>55.18082211265375</c:v>
                </c:pt>
                <c:pt idx="186">
                  <c:v>47.386793933009145</c:v>
                </c:pt>
                <c:pt idx="187">
                  <c:v>54.424332295351874</c:v>
                </c:pt>
                <c:pt idx="188">
                  <c:v>57.235878106991031</c:v>
                </c:pt>
                <c:pt idx="189">
                  <c:v>56.497186088918205</c:v>
                </c:pt>
                <c:pt idx="190">
                  <c:v>55.776898826376801</c:v>
                </c:pt>
                <c:pt idx="191">
                  <c:v>54.300108417476402</c:v>
                </c:pt>
                <c:pt idx="192">
                  <c:v>54.397695490301906</c:v>
                </c:pt>
                <c:pt idx="193">
                  <c:v>53.755162855146885</c:v>
                </c:pt>
                <c:pt idx="194">
                  <c:v>53.179154798564085</c:v>
                </c:pt>
                <c:pt idx="195">
                  <c:v>51.399374713170999</c:v>
                </c:pt>
                <c:pt idx="196">
                  <c:v>52.816296899842676</c:v>
                </c:pt>
                <c:pt idx="197">
                  <c:v>52.395855913462682</c:v>
                </c:pt>
                <c:pt idx="198">
                  <c:v>54.298922068704279</c:v>
                </c:pt>
                <c:pt idx="199">
                  <c:v>43.561138798284269</c:v>
                </c:pt>
                <c:pt idx="200">
                  <c:v>43.997575593074593</c:v>
                </c:pt>
                <c:pt idx="201">
                  <c:v>51.742956968629564</c:v>
                </c:pt>
                <c:pt idx="202">
                  <c:v>41.246215884123025</c:v>
                </c:pt>
                <c:pt idx="203">
                  <c:v>46.092923004232503</c:v>
                </c:pt>
                <c:pt idx="204">
                  <c:v>51.694843164018714</c:v>
                </c:pt>
                <c:pt idx="205">
                  <c:v>26.417678449016307</c:v>
                </c:pt>
                <c:pt idx="206">
                  <c:v>55.530486532878456</c:v>
                </c:pt>
                <c:pt idx="207">
                  <c:v>55.538018448097411</c:v>
                </c:pt>
                <c:pt idx="208">
                  <c:v>44.569299007148068</c:v>
                </c:pt>
                <c:pt idx="209">
                  <c:v>30.14885638438243</c:v>
                </c:pt>
                <c:pt idx="210">
                  <c:v>50.738457021659215</c:v>
                </c:pt>
                <c:pt idx="211">
                  <c:v>53.473472270568877</c:v>
                </c:pt>
                <c:pt idx="212">
                  <c:v>52.539584503942827</c:v>
                </c:pt>
                <c:pt idx="213">
                  <c:v>52.747793453587079</c:v>
                </c:pt>
                <c:pt idx="214">
                  <c:v>50.539828006346092</c:v>
                </c:pt>
                <c:pt idx="215">
                  <c:v>47.425212364697977</c:v>
                </c:pt>
                <c:pt idx="216">
                  <c:v>44.123386644022204</c:v>
                </c:pt>
                <c:pt idx="217">
                  <c:v>48.349238167693969</c:v>
                </c:pt>
                <c:pt idx="218">
                  <c:v>51.38896098881645</c:v>
                </c:pt>
                <c:pt idx="219">
                  <c:v>52.213146666321691</c:v>
                </c:pt>
                <c:pt idx="220">
                  <c:v>50.465761299671364</c:v>
                </c:pt>
                <c:pt idx="221">
                  <c:v>48.386860367921962</c:v>
                </c:pt>
                <c:pt idx="222">
                  <c:v>44.526486930006726</c:v>
                </c:pt>
                <c:pt idx="223">
                  <c:v>46.728983710462217</c:v>
                </c:pt>
                <c:pt idx="224">
                  <c:v>32.550335881942274</c:v>
                </c:pt>
                <c:pt idx="225">
                  <c:v>33.841210847391515</c:v>
                </c:pt>
                <c:pt idx="226">
                  <c:v>38.802312761809461</c:v>
                </c:pt>
                <c:pt idx="227">
                  <c:v>32.594024388483554</c:v>
                </c:pt>
                <c:pt idx="228">
                  <c:v>22.404688807469206</c:v>
                </c:pt>
                <c:pt idx="229">
                  <c:v>38.984854008467558</c:v>
                </c:pt>
                <c:pt idx="230">
                  <c:v>40.364531549284457</c:v>
                </c:pt>
                <c:pt idx="231">
                  <c:v>48.070243638835677</c:v>
                </c:pt>
                <c:pt idx="232">
                  <c:v>32.405473695549219</c:v>
                </c:pt>
                <c:pt idx="233">
                  <c:v>25.247305279213762</c:v>
                </c:pt>
                <c:pt idx="234">
                  <c:v>45.160449398863221</c:v>
                </c:pt>
                <c:pt idx="235">
                  <c:v>46.658567956673515</c:v>
                </c:pt>
                <c:pt idx="236">
                  <c:v>33.292538781264405</c:v>
                </c:pt>
                <c:pt idx="237">
                  <c:v>41.824231770276988</c:v>
                </c:pt>
                <c:pt idx="238">
                  <c:v>49.276347971338843</c:v>
                </c:pt>
                <c:pt idx="239">
                  <c:v>48.358929241319323</c:v>
                </c:pt>
                <c:pt idx="240">
                  <c:v>32.603967956870882</c:v>
                </c:pt>
                <c:pt idx="241">
                  <c:v>47.340490452060479</c:v>
                </c:pt>
                <c:pt idx="242">
                  <c:v>22.280150740544496</c:v>
                </c:pt>
                <c:pt idx="243">
                  <c:v>42.948401376967034</c:v>
                </c:pt>
                <c:pt idx="244">
                  <c:v>39.394005198883178</c:v>
                </c:pt>
                <c:pt idx="245">
                  <c:v>32.891694624770921</c:v>
                </c:pt>
                <c:pt idx="246">
                  <c:v>47.704640749714862</c:v>
                </c:pt>
                <c:pt idx="247">
                  <c:v>40.327833860800631</c:v>
                </c:pt>
                <c:pt idx="248">
                  <c:v>45.734929730461239</c:v>
                </c:pt>
                <c:pt idx="249">
                  <c:v>35.583449924071019</c:v>
                </c:pt>
                <c:pt idx="250">
                  <c:v>38.96523078492865</c:v>
                </c:pt>
                <c:pt idx="251">
                  <c:v>21.69148184732386</c:v>
                </c:pt>
                <c:pt idx="252">
                  <c:v>45.823482826183621</c:v>
                </c:pt>
                <c:pt idx="253">
                  <c:v>46.361560033149573</c:v>
                </c:pt>
                <c:pt idx="254">
                  <c:v>32.468795568216947</c:v>
                </c:pt>
                <c:pt idx="255">
                  <c:v>11.512699126669794</c:v>
                </c:pt>
                <c:pt idx="256">
                  <c:v>38.203723275085551</c:v>
                </c:pt>
                <c:pt idx="257">
                  <c:v>41.963263631056698</c:v>
                </c:pt>
                <c:pt idx="258">
                  <c:v>27.93876270505557</c:v>
                </c:pt>
                <c:pt idx="259">
                  <c:v>48.314982334063636</c:v>
                </c:pt>
                <c:pt idx="260">
                  <c:v>46.712487368853132</c:v>
                </c:pt>
                <c:pt idx="261">
                  <c:v>45.507813815457574</c:v>
                </c:pt>
                <c:pt idx="262">
                  <c:v>46.878977987087985</c:v>
                </c:pt>
                <c:pt idx="263">
                  <c:v>45.735643214881563</c:v>
                </c:pt>
                <c:pt idx="264">
                  <c:v>44.543251889774979</c:v>
                </c:pt>
                <c:pt idx="265">
                  <c:v>28.142597694389671</c:v>
                </c:pt>
                <c:pt idx="266">
                  <c:v>17.641299773919251</c:v>
                </c:pt>
                <c:pt idx="267">
                  <c:v>31.227721170204589</c:v>
                </c:pt>
                <c:pt idx="268">
                  <c:v>33.676465873327068</c:v>
                </c:pt>
                <c:pt idx="269">
                  <c:v>15.220875515819898</c:v>
                </c:pt>
                <c:pt idx="270">
                  <c:v>17.488959694037632</c:v>
                </c:pt>
                <c:pt idx="271">
                  <c:v>23.985107356011149</c:v>
                </c:pt>
                <c:pt idx="272">
                  <c:v>29.30829179885782</c:v>
                </c:pt>
                <c:pt idx="273">
                  <c:v>35.147336380200613</c:v>
                </c:pt>
                <c:pt idx="274">
                  <c:v>39.177702898162089</c:v>
                </c:pt>
                <c:pt idx="275">
                  <c:v>35.632556658863393</c:v>
                </c:pt>
                <c:pt idx="276">
                  <c:v>40.092961240438889</c:v>
                </c:pt>
                <c:pt idx="277">
                  <c:v>41.349839328251839</c:v>
                </c:pt>
                <c:pt idx="278">
                  <c:v>12.070537629123347</c:v>
                </c:pt>
                <c:pt idx="279">
                  <c:v>29.501852393957183</c:v>
                </c:pt>
                <c:pt idx="280">
                  <c:v>16.079047500165945</c:v>
                </c:pt>
                <c:pt idx="281">
                  <c:v>37.815689179819088</c:v>
                </c:pt>
                <c:pt idx="282">
                  <c:v>31.165831605126666</c:v>
                </c:pt>
                <c:pt idx="283">
                  <c:v>22.662672682226159</c:v>
                </c:pt>
                <c:pt idx="284">
                  <c:v>28.304753064138836</c:v>
                </c:pt>
                <c:pt idx="285">
                  <c:v>23.358216826860474</c:v>
                </c:pt>
                <c:pt idx="286">
                  <c:v>19.8261667465237</c:v>
                </c:pt>
                <c:pt idx="287">
                  <c:v>36.71460986688038</c:v>
                </c:pt>
                <c:pt idx="288">
                  <c:v>32.971932226066755</c:v>
                </c:pt>
                <c:pt idx="289">
                  <c:v>20.007391764952022</c:v>
                </c:pt>
                <c:pt idx="290">
                  <c:v>33.961135501639887</c:v>
                </c:pt>
                <c:pt idx="291">
                  <c:v>15.642719869219736</c:v>
                </c:pt>
                <c:pt idx="292">
                  <c:v>6.4802344672712326</c:v>
                </c:pt>
                <c:pt idx="293">
                  <c:v>16.412087167044728</c:v>
                </c:pt>
                <c:pt idx="294">
                  <c:v>32.762908645166981</c:v>
                </c:pt>
                <c:pt idx="295">
                  <c:v>17.073043896766361</c:v>
                </c:pt>
                <c:pt idx="296">
                  <c:v>25.305877678941112</c:v>
                </c:pt>
                <c:pt idx="297">
                  <c:v>21.823863083460214</c:v>
                </c:pt>
                <c:pt idx="298">
                  <c:v>13.679171090577668</c:v>
                </c:pt>
                <c:pt idx="299">
                  <c:v>14.610232986580456</c:v>
                </c:pt>
                <c:pt idx="300">
                  <c:v>17.252021913405319</c:v>
                </c:pt>
                <c:pt idx="301">
                  <c:v>27.089960246450456</c:v>
                </c:pt>
                <c:pt idx="302">
                  <c:v>22.408366297191279</c:v>
                </c:pt>
                <c:pt idx="303">
                  <c:v>21.875468782699937</c:v>
                </c:pt>
                <c:pt idx="304">
                  <c:v>23.268636837704232</c:v>
                </c:pt>
                <c:pt idx="305">
                  <c:v>27.964219087749711</c:v>
                </c:pt>
                <c:pt idx="306">
                  <c:v>9.6018751572282657</c:v>
                </c:pt>
                <c:pt idx="307">
                  <c:v>16.839156778381017</c:v>
                </c:pt>
                <c:pt idx="308">
                  <c:v>29.321147115744072</c:v>
                </c:pt>
                <c:pt idx="309">
                  <c:v>30.206296488507014</c:v>
                </c:pt>
                <c:pt idx="310">
                  <c:v>27.914037856554526</c:v>
                </c:pt>
                <c:pt idx="311">
                  <c:v>21.015392037947649</c:v>
                </c:pt>
                <c:pt idx="312">
                  <c:v>9.8263459050013005</c:v>
                </c:pt>
                <c:pt idx="313">
                  <c:v>20.405360277808199</c:v>
                </c:pt>
                <c:pt idx="314">
                  <c:v>27.635217279425294</c:v>
                </c:pt>
                <c:pt idx="315">
                  <c:v>27.680117036444969</c:v>
                </c:pt>
                <c:pt idx="316">
                  <c:v>26.736916250164111</c:v>
                </c:pt>
                <c:pt idx="317">
                  <c:v>9.4141728843099166</c:v>
                </c:pt>
                <c:pt idx="318">
                  <c:v>12.241139310211917</c:v>
                </c:pt>
                <c:pt idx="319">
                  <c:v>27.175913249222418</c:v>
                </c:pt>
                <c:pt idx="320">
                  <c:v>12.719944136425507</c:v>
                </c:pt>
                <c:pt idx="321">
                  <c:v>15.097444421404324</c:v>
                </c:pt>
                <c:pt idx="322">
                  <c:v>7.7316451433528943</c:v>
                </c:pt>
                <c:pt idx="323">
                  <c:v>15.452551799352108</c:v>
                </c:pt>
                <c:pt idx="324">
                  <c:v>3.2655193454254561</c:v>
                </c:pt>
                <c:pt idx="325">
                  <c:v>8.1176081994682274</c:v>
                </c:pt>
                <c:pt idx="326">
                  <c:v>12.165303479594334</c:v>
                </c:pt>
                <c:pt idx="327">
                  <c:v>13.389368804012893</c:v>
                </c:pt>
                <c:pt idx="328">
                  <c:v>5.1843680170318001</c:v>
                </c:pt>
                <c:pt idx="329">
                  <c:v>10.39188990919701</c:v>
                </c:pt>
                <c:pt idx="330">
                  <c:v>14.781861570351671</c:v>
                </c:pt>
                <c:pt idx="331">
                  <c:v>10.714705218734611</c:v>
                </c:pt>
                <c:pt idx="332">
                  <c:v>14.907529889841101</c:v>
                </c:pt>
                <c:pt idx="333">
                  <c:v>4.1532228412727541</c:v>
                </c:pt>
                <c:pt idx="334">
                  <c:v>3.5736553913212794</c:v>
                </c:pt>
                <c:pt idx="335">
                  <c:v>5.9260131381830261</c:v>
                </c:pt>
                <c:pt idx="336">
                  <c:v>8.8515602392602961</c:v>
                </c:pt>
                <c:pt idx="337">
                  <c:v>17.574152162497015</c:v>
                </c:pt>
                <c:pt idx="338">
                  <c:v>23.919569780880117</c:v>
                </c:pt>
                <c:pt idx="339">
                  <c:v>11.077674782417143</c:v>
                </c:pt>
                <c:pt idx="340">
                  <c:v>20.099497598244536</c:v>
                </c:pt>
                <c:pt idx="341">
                  <c:v>4.1493484916875722</c:v>
                </c:pt>
                <c:pt idx="342">
                  <c:v>5.0203154465704456</c:v>
                </c:pt>
                <c:pt idx="343">
                  <c:v>11.817172480692108</c:v>
                </c:pt>
                <c:pt idx="344">
                  <c:v>16.508607787629352</c:v>
                </c:pt>
                <c:pt idx="345">
                  <c:v>5.7492342771084166</c:v>
                </c:pt>
                <c:pt idx="346">
                  <c:v>5.4574297321123222</c:v>
                </c:pt>
                <c:pt idx="347">
                  <c:v>17.316363986862118</c:v>
                </c:pt>
                <c:pt idx="348">
                  <c:v>5.7437932500380127</c:v>
                </c:pt>
                <c:pt idx="349">
                  <c:v>4.8941650342570586</c:v>
                </c:pt>
                <c:pt idx="350">
                  <c:v>3.5764773442620412</c:v>
                </c:pt>
                <c:pt idx="351">
                  <c:v>21.475805108678131</c:v>
                </c:pt>
                <c:pt idx="352">
                  <c:v>17.378985291375589</c:v>
                </c:pt>
                <c:pt idx="353">
                  <c:v>4.5685055296084762</c:v>
                </c:pt>
                <c:pt idx="354">
                  <c:v>20.603804294103323</c:v>
                </c:pt>
                <c:pt idx="355">
                  <c:v>17.027291291305495</c:v>
                </c:pt>
                <c:pt idx="356">
                  <c:v>17.583761780061749</c:v>
                </c:pt>
                <c:pt idx="357">
                  <c:v>21.130957987354723</c:v>
                </c:pt>
                <c:pt idx="358">
                  <c:v>12.572525692646098</c:v>
                </c:pt>
                <c:pt idx="359">
                  <c:v>21.423932124643738</c:v>
                </c:pt>
                <c:pt idx="360">
                  <c:v>7.7206908426366816</c:v>
                </c:pt>
                <c:pt idx="361">
                  <c:v>20.57798897101728</c:v>
                </c:pt>
                <c:pt idx="362">
                  <c:v>10.115501415012606</c:v>
                </c:pt>
                <c:pt idx="363">
                  <c:v>13.318894765048057</c:v>
                </c:pt>
                <c:pt idx="364">
                  <c:v>12.359271865060428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22.367832023306605</c:v>
                </c:pt>
                <c:pt idx="1">
                  <c:v>16.083258115252249</c:v>
                </c:pt>
                <c:pt idx="2">
                  <c:v>17.307576050590928</c:v>
                </c:pt>
                <c:pt idx="3">
                  <c:v>18.287446766309515</c:v>
                </c:pt>
                <c:pt idx="4">
                  <c:v>14.559975565693865</c:v>
                </c:pt>
                <c:pt idx="5">
                  <c:v>20.996014360473715</c:v>
                </c:pt>
                <c:pt idx="6">
                  <c:v>10.737240041594006</c:v>
                </c:pt>
                <c:pt idx="7">
                  <c:v>7.5322809670504807</c:v>
                </c:pt>
                <c:pt idx="8">
                  <c:v>2.223315849200707</c:v>
                </c:pt>
                <c:pt idx="9">
                  <c:v>1.7257268387092859</c:v>
                </c:pt>
                <c:pt idx="10">
                  <c:v>24.869675378846498</c:v>
                </c:pt>
                <c:pt idx="11">
                  <c:v>21.21909890876622</c:v>
                </c:pt>
                <c:pt idx="12">
                  <c:v>5.1099028720542581</c:v>
                </c:pt>
                <c:pt idx="13">
                  <c:v>25.262855644622952</c:v>
                </c:pt>
                <c:pt idx="14">
                  <c:v>26.845392920437874</c:v>
                </c:pt>
                <c:pt idx="15">
                  <c:v>26.366244776953522</c:v>
                </c:pt>
                <c:pt idx="16">
                  <c:v>13.49651738560765</c:v>
                </c:pt>
                <c:pt idx="17">
                  <c:v>3.5632911623072507</c:v>
                </c:pt>
                <c:pt idx="18">
                  <c:v>10.306862037708054</c:v>
                </c:pt>
                <c:pt idx="19">
                  <c:v>6.4837079215651743</c:v>
                </c:pt>
                <c:pt idx="20">
                  <c:v>20.710291853581971</c:v>
                </c:pt>
                <c:pt idx="21">
                  <c:v>27.944095127431609</c:v>
                </c:pt>
                <c:pt idx="22">
                  <c:v>28.008807531605935</c:v>
                </c:pt>
                <c:pt idx="23">
                  <c:v>28.638554323948405</c:v>
                </c:pt>
                <c:pt idx="24">
                  <c:v>27.274799118417846</c:v>
                </c:pt>
                <c:pt idx="25">
                  <c:v>28.2481912467331</c:v>
                </c:pt>
                <c:pt idx="26">
                  <c:v>26.319362559825784</c:v>
                </c:pt>
                <c:pt idx="27">
                  <c:v>4.2989968744126816</c:v>
                </c:pt>
                <c:pt idx="28">
                  <c:v>9.4268686072466128</c:v>
                </c:pt>
                <c:pt idx="29">
                  <c:v>4.4838844258420263</c:v>
                </c:pt>
                <c:pt idx="30">
                  <c:v>9.1709478763410814</c:v>
                </c:pt>
                <c:pt idx="31">
                  <c:v>13.314188003240968</c:v>
                </c:pt>
                <c:pt idx="32">
                  <c:v>5.3486131782283435</c:v>
                </c:pt>
                <c:pt idx="33">
                  <c:v>10.08152702817962</c:v>
                </c:pt>
                <c:pt idx="34">
                  <c:v>9.9827725880292046</c:v>
                </c:pt>
                <c:pt idx="35">
                  <c:v>9.6587146011600211</c:v>
                </c:pt>
                <c:pt idx="36">
                  <c:v>22.097890783836849</c:v>
                </c:pt>
                <c:pt idx="37">
                  <c:v>9.4823176090418997</c:v>
                </c:pt>
                <c:pt idx="38">
                  <c:v>33.236602852861438</c:v>
                </c:pt>
                <c:pt idx="39">
                  <c:v>33.455529889503325</c:v>
                </c:pt>
                <c:pt idx="40">
                  <c:v>31.101381354073322</c:v>
                </c:pt>
                <c:pt idx="41">
                  <c:v>17.362246703527248</c:v>
                </c:pt>
                <c:pt idx="42">
                  <c:v>26.378069022069958</c:v>
                </c:pt>
                <c:pt idx="43">
                  <c:v>31.182004686716791</c:v>
                </c:pt>
                <c:pt idx="44">
                  <c:v>15.272309573253578</c:v>
                </c:pt>
                <c:pt idx="45">
                  <c:v>19.201616650500512</c:v>
                </c:pt>
                <c:pt idx="46">
                  <c:v>10.058678876014262</c:v>
                </c:pt>
                <c:pt idx="47">
                  <c:v>10.882607226005602</c:v>
                </c:pt>
                <c:pt idx="48">
                  <c:v>27.714170827774833</c:v>
                </c:pt>
                <c:pt idx="49">
                  <c:v>20.084839891106196</c:v>
                </c:pt>
                <c:pt idx="50">
                  <c:v>19.157851819367384</c:v>
                </c:pt>
                <c:pt idx="51">
                  <c:v>21.178703324652503</c:v>
                </c:pt>
                <c:pt idx="52">
                  <c:v>32.73448544873542</c:v>
                </c:pt>
                <c:pt idx="53">
                  <c:v>33.870543022543096</c:v>
                </c:pt>
                <c:pt idx="54">
                  <c:v>20.823450602625055</c:v>
                </c:pt>
                <c:pt idx="55">
                  <c:v>30.329109450752458</c:v>
                </c:pt>
                <c:pt idx="56">
                  <c:v>39.058324012576534</c:v>
                </c:pt>
                <c:pt idx="57">
                  <c:v>27.219831108935374</c:v>
                </c:pt>
                <c:pt idx="58">
                  <c:v>33.63548468850535</c:v>
                </c:pt>
                <c:pt idx="59">
                  <c:v>39.045576640034177</c:v>
                </c:pt>
                <c:pt idx="60">
                  <c:v>10.752643476503371</c:v>
                </c:pt>
                <c:pt idx="61">
                  <c:v>34.654894462835287</c:v>
                </c:pt>
                <c:pt idx="62">
                  <c:v>3.9860401553880762</c:v>
                </c:pt>
                <c:pt idx="63">
                  <c:v>13.196066542328161</c:v>
                </c:pt>
                <c:pt idx="64">
                  <c:v>15.767071732017904</c:v>
                </c:pt>
                <c:pt idx="65">
                  <c:v>36.827892219210483</c:v>
                </c:pt>
                <c:pt idx="66">
                  <c:v>31.827705062658897</c:v>
                </c:pt>
                <c:pt idx="67">
                  <c:v>28.400268207195989</c:v>
                </c:pt>
                <c:pt idx="68">
                  <c:v>24.671809838296273</c:v>
                </c:pt>
                <c:pt idx="69">
                  <c:v>15.655479588819247</c:v>
                </c:pt>
                <c:pt idx="70">
                  <c:v>14.546497969285667</c:v>
                </c:pt>
                <c:pt idx="71">
                  <c:v>9.8741662984094098</c:v>
                </c:pt>
                <c:pt idx="72">
                  <c:v>14.229515230704953</c:v>
                </c:pt>
                <c:pt idx="73">
                  <c:v>14.253223220522058</c:v>
                </c:pt>
                <c:pt idx="74">
                  <c:v>12.847017071454152</c:v>
                </c:pt>
                <c:pt idx="75">
                  <c:v>10.717515976160394</c:v>
                </c:pt>
                <c:pt idx="76">
                  <c:v>14.289610523971936</c:v>
                </c:pt>
                <c:pt idx="77">
                  <c:v>28.999792692024556</c:v>
                </c:pt>
                <c:pt idx="78">
                  <c:v>29.952705587256943</c:v>
                </c:pt>
                <c:pt idx="79">
                  <c:v>43.67318233746014</c:v>
                </c:pt>
                <c:pt idx="80">
                  <c:v>41.095934465945284</c:v>
                </c:pt>
                <c:pt idx="81">
                  <c:v>47.154224039824442</c:v>
                </c:pt>
                <c:pt idx="82">
                  <c:v>46.145135859636618</c:v>
                </c:pt>
                <c:pt idx="83">
                  <c:v>40.421350355280509</c:v>
                </c:pt>
                <c:pt idx="84">
                  <c:v>45.492492683508942</c:v>
                </c:pt>
                <c:pt idx="85">
                  <c:v>44.312436207188966</c:v>
                </c:pt>
                <c:pt idx="86">
                  <c:v>34.694700248002867</c:v>
                </c:pt>
                <c:pt idx="87">
                  <c:v>27.325881844762758</c:v>
                </c:pt>
                <c:pt idx="88">
                  <c:v>7.6847266684698425</c:v>
                </c:pt>
                <c:pt idx="89">
                  <c:v>28.004934081576206</c:v>
                </c:pt>
                <c:pt idx="90">
                  <c:v>30.647346061429513</c:v>
                </c:pt>
                <c:pt idx="91">
                  <c:v>20.893391012808227</c:v>
                </c:pt>
                <c:pt idx="92">
                  <c:v>22.635550209935257</c:v>
                </c:pt>
                <c:pt idx="93">
                  <c:v>47.603593403891928</c:v>
                </c:pt>
                <c:pt idx="94">
                  <c:v>50.599083189836115</c:v>
                </c:pt>
                <c:pt idx="95">
                  <c:v>11.084839772305516</c:v>
                </c:pt>
                <c:pt idx="96">
                  <c:v>37.892038049508976</c:v>
                </c:pt>
                <c:pt idx="97">
                  <c:v>31.212722538687895</c:v>
                </c:pt>
                <c:pt idx="98">
                  <c:v>34.754196283746722</c:v>
                </c:pt>
                <c:pt idx="99">
                  <c:v>52.334009401698601</c:v>
                </c:pt>
                <c:pt idx="100">
                  <c:v>43.947306924872215</c:v>
                </c:pt>
                <c:pt idx="101">
                  <c:v>35.640212203226291</c:v>
                </c:pt>
                <c:pt idx="102">
                  <c:v>7.1465764663174109</c:v>
                </c:pt>
                <c:pt idx="103">
                  <c:v>38.631168240880797</c:v>
                </c:pt>
                <c:pt idx="104">
                  <c:v>44.271594843966575</c:v>
                </c:pt>
                <c:pt idx="105">
                  <c:v>42.719787321336639</c:v>
                </c:pt>
                <c:pt idx="106">
                  <c:v>52.17989159452538</c:v>
                </c:pt>
                <c:pt idx="107">
                  <c:v>36.093753737671094</c:v>
                </c:pt>
                <c:pt idx="108">
                  <c:v>8.6283925334837406</c:v>
                </c:pt>
                <c:pt idx="109">
                  <c:v>9.8738099776875039</c:v>
                </c:pt>
                <c:pt idx="110">
                  <c:v>9.1269053637795299</c:v>
                </c:pt>
                <c:pt idx="111">
                  <c:v>26.710461965216702</c:v>
                </c:pt>
                <c:pt idx="112">
                  <c:v>9.2422069123120778</c:v>
                </c:pt>
                <c:pt idx="113">
                  <c:v>29.325893348233482</c:v>
                </c:pt>
                <c:pt idx="114">
                  <c:v>45.128969845423207</c:v>
                </c:pt>
                <c:pt idx="115">
                  <c:v>52.5365593301281</c:v>
                </c:pt>
                <c:pt idx="116">
                  <c:v>39.573892770762129</c:v>
                </c:pt>
                <c:pt idx="117">
                  <c:v>19.698051718554179</c:v>
                </c:pt>
                <c:pt idx="118">
                  <c:v>39.639232543032549</c:v>
                </c:pt>
                <c:pt idx="119">
                  <c:v>44.661124965922667</c:v>
                </c:pt>
                <c:pt idx="120">
                  <c:v>48.403796293210355</c:v>
                </c:pt>
                <c:pt idx="121">
                  <c:v>31.115976096909897</c:v>
                </c:pt>
                <c:pt idx="122">
                  <c:v>37.074274817199296</c:v>
                </c:pt>
                <c:pt idx="123">
                  <c:v>20.56507371273409</c:v>
                </c:pt>
                <c:pt idx="124">
                  <c:v>43.104475658274396</c:v>
                </c:pt>
                <c:pt idx="125">
                  <c:v>39.431696481604639</c:v>
                </c:pt>
                <c:pt idx="126">
                  <c:v>53.616327969724757</c:v>
                </c:pt>
                <c:pt idx="127">
                  <c:v>51.024308189163037</c:v>
                </c:pt>
                <c:pt idx="128">
                  <c:v>53.392783574860864</c:v>
                </c:pt>
                <c:pt idx="129">
                  <c:v>53.050245788280954</c:v>
                </c:pt>
                <c:pt idx="130">
                  <c:v>57.264029466712273</c:v>
                </c:pt>
                <c:pt idx="131">
                  <c:v>41.753169445841394</c:v>
                </c:pt>
                <c:pt idx="132">
                  <c:v>42.469846085126889</c:v>
                </c:pt>
                <c:pt idx="133">
                  <c:v>51.38232962704074</c:v>
                </c:pt>
                <c:pt idx="134">
                  <c:v>54.359908753039242</c:v>
                </c:pt>
                <c:pt idx="135">
                  <c:v>51.815961747985867</c:v>
                </c:pt>
                <c:pt idx="136">
                  <c:v>55.177441140284294</c:v>
                </c:pt>
                <c:pt idx="137">
                  <c:v>53.078733575452389</c:v>
                </c:pt>
                <c:pt idx="138">
                  <c:v>56.021727993091957</c:v>
                </c:pt>
                <c:pt idx="139">
                  <c:v>50.753270442144583</c:v>
                </c:pt>
                <c:pt idx="140">
                  <c:v>50.667787392667215</c:v>
                </c:pt>
                <c:pt idx="141">
                  <c:v>38.347177179067117</c:v>
                </c:pt>
                <c:pt idx="142">
                  <c:v>19.992615967312894</c:v>
                </c:pt>
                <c:pt idx="143">
                  <c:v>17.334698482282622</c:v>
                </c:pt>
                <c:pt idx="144">
                  <c:v>40.657576684012795</c:v>
                </c:pt>
                <c:pt idx="145">
                  <c:v>24.652565607294221</c:v>
                </c:pt>
                <c:pt idx="146">
                  <c:v>45.856269606497804</c:v>
                </c:pt>
                <c:pt idx="147">
                  <c:v>55.252370493755166</c:v>
                </c:pt>
                <c:pt idx="148">
                  <c:v>59.551179626505892</c:v>
                </c:pt>
                <c:pt idx="149">
                  <c:v>50.711991036258318</c:v>
                </c:pt>
                <c:pt idx="150">
                  <c:v>53.85516500977586</c:v>
                </c:pt>
                <c:pt idx="151">
                  <c:v>56.263425090131932</c:v>
                </c:pt>
                <c:pt idx="152">
                  <c:v>45.197372738869014</c:v>
                </c:pt>
                <c:pt idx="153">
                  <c:v>55.081378344314544</c:v>
                </c:pt>
                <c:pt idx="154">
                  <c:v>24.873292644096725</c:v>
                </c:pt>
                <c:pt idx="155">
                  <c:v>34.311953642971055</c:v>
                </c:pt>
                <c:pt idx="156">
                  <c:v>48.32364883679864</c:v>
                </c:pt>
                <c:pt idx="157">
                  <c:v>25.192415452348595</c:v>
                </c:pt>
                <c:pt idx="158">
                  <c:v>20.596152843652021</c:v>
                </c:pt>
                <c:pt idx="159">
                  <c:v>47.065758324603834</c:v>
                </c:pt>
                <c:pt idx="160">
                  <c:v>57.437557235060723</c:v>
                </c:pt>
                <c:pt idx="161">
                  <c:v>56.160332473021271</c:v>
                </c:pt>
                <c:pt idx="162">
                  <c:v>42.971761377586276</c:v>
                </c:pt>
                <c:pt idx="163">
                  <c:v>54.409363522214981</c:v>
                </c:pt>
                <c:pt idx="164">
                  <c:v>49.623573122530559</c:v>
                </c:pt>
                <c:pt idx="165">
                  <c:v>54.130397558855712</c:v>
                </c:pt>
                <c:pt idx="166">
                  <c:v>52.021652058340017</c:v>
                </c:pt>
                <c:pt idx="167">
                  <c:v>52.092465945044395</c:v>
                </c:pt>
                <c:pt idx="168">
                  <c:v>55.504841986600759</c:v>
                </c:pt>
                <c:pt idx="169">
                  <c:v>56.637254156714917</c:v>
                </c:pt>
                <c:pt idx="170">
                  <c:v>31.5415176275148</c:v>
                </c:pt>
                <c:pt idx="171">
                  <c:v>23.555062537829368</c:v>
                </c:pt>
                <c:pt idx="172">
                  <c:v>39.399050021948767</c:v>
                </c:pt>
                <c:pt idx="173">
                  <c:v>42.080312674753728</c:v>
                </c:pt>
                <c:pt idx="174">
                  <c:v>40.217004327108533</c:v>
                </c:pt>
                <c:pt idx="175">
                  <c:v>35.391895723545687</c:v>
                </c:pt>
                <c:pt idx="176">
                  <c:v>11.874740080252661</c:v>
                </c:pt>
                <c:pt idx="177">
                  <c:v>12.961952154269087</c:v>
                </c:pt>
                <c:pt idx="178">
                  <c:v>58.842012076052534</c:v>
                </c:pt>
                <c:pt idx="179">
                  <c:v>55.86365728846917</c:v>
                </c:pt>
                <c:pt idx="180">
                  <c:v>13.889325589842535</c:v>
                </c:pt>
                <c:pt idx="181">
                  <c:v>49.999065270232819</c:v>
                </c:pt>
                <c:pt idx="182">
                  <c:v>55.696957498089283</c:v>
                </c:pt>
                <c:pt idx="183">
                  <c:v>46.4102488495259</c:v>
                </c:pt>
                <c:pt idx="184">
                  <c:v>44.042020296382212</c:v>
                </c:pt>
                <c:pt idx="185">
                  <c:v>55.18082211265375</c:v>
                </c:pt>
                <c:pt idx="186">
                  <c:v>47.386793933009145</c:v>
                </c:pt>
                <c:pt idx="187">
                  <c:v>54.424332295351874</c:v>
                </c:pt>
                <c:pt idx="188">
                  <c:v>57.235878106991031</c:v>
                </c:pt>
                <c:pt idx="189">
                  <c:v>56.497186088918205</c:v>
                </c:pt>
                <c:pt idx="190">
                  <c:v>55.776898826376801</c:v>
                </c:pt>
                <c:pt idx="191">
                  <c:v>54.300108417476402</c:v>
                </c:pt>
                <c:pt idx="192">
                  <c:v>54.397695490301906</c:v>
                </c:pt>
                <c:pt idx="193">
                  <c:v>53.755162855146885</c:v>
                </c:pt>
                <c:pt idx="194">
                  <c:v>53.179154798564085</c:v>
                </c:pt>
                <c:pt idx="195">
                  <c:v>51.399374713170999</c:v>
                </c:pt>
                <c:pt idx="196">
                  <c:v>52.816296899842676</c:v>
                </c:pt>
                <c:pt idx="197">
                  <c:v>52.395855913462682</c:v>
                </c:pt>
                <c:pt idx="198">
                  <c:v>54.298922068704279</c:v>
                </c:pt>
                <c:pt idx="199">
                  <c:v>43.561138798284269</c:v>
                </c:pt>
                <c:pt idx="200">
                  <c:v>43.997575593074593</c:v>
                </c:pt>
                <c:pt idx="201">
                  <c:v>51.742956968629564</c:v>
                </c:pt>
                <c:pt idx="202">
                  <c:v>41.246215884123025</c:v>
                </c:pt>
                <c:pt idx="203">
                  <c:v>46.092923004232503</c:v>
                </c:pt>
                <c:pt idx="204">
                  <c:v>51.694843164018714</c:v>
                </c:pt>
                <c:pt idx="205">
                  <c:v>26.417678449016307</c:v>
                </c:pt>
                <c:pt idx="206">
                  <c:v>55.530486532878456</c:v>
                </c:pt>
                <c:pt idx="207">
                  <c:v>55.538018448097411</c:v>
                </c:pt>
                <c:pt idx="208">
                  <c:v>44.569299007148068</c:v>
                </c:pt>
                <c:pt idx="209">
                  <c:v>30.14885638438243</c:v>
                </c:pt>
                <c:pt idx="210">
                  <c:v>50.738457021659215</c:v>
                </c:pt>
                <c:pt idx="211">
                  <c:v>53.473472270568877</c:v>
                </c:pt>
                <c:pt idx="212">
                  <c:v>52.539584503942827</c:v>
                </c:pt>
                <c:pt idx="213">
                  <c:v>52.747793453587079</c:v>
                </c:pt>
                <c:pt idx="214">
                  <c:v>50.539828006346092</c:v>
                </c:pt>
                <c:pt idx="215">
                  <c:v>47.425212364697977</c:v>
                </c:pt>
                <c:pt idx="216">
                  <c:v>44.123386644022204</c:v>
                </c:pt>
                <c:pt idx="217">
                  <c:v>48.349238167693969</c:v>
                </c:pt>
                <c:pt idx="218">
                  <c:v>51.38896098881645</c:v>
                </c:pt>
                <c:pt idx="219">
                  <c:v>52.213146666321691</c:v>
                </c:pt>
                <c:pt idx="220">
                  <c:v>50.465761299671364</c:v>
                </c:pt>
                <c:pt idx="221">
                  <c:v>48.386860367921962</c:v>
                </c:pt>
                <c:pt idx="222">
                  <c:v>44.526486930006726</c:v>
                </c:pt>
                <c:pt idx="223">
                  <c:v>46.728983710462217</c:v>
                </c:pt>
                <c:pt idx="224">
                  <c:v>32.550335881942274</c:v>
                </c:pt>
                <c:pt idx="225">
                  <c:v>33.841210847391515</c:v>
                </c:pt>
                <c:pt idx="226">
                  <c:v>38.802312761809461</c:v>
                </c:pt>
                <c:pt idx="227">
                  <c:v>32.594024388483554</c:v>
                </c:pt>
                <c:pt idx="228">
                  <c:v>22.404688807469206</c:v>
                </c:pt>
                <c:pt idx="229">
                  <c:v>38.984854008467558</c:v>
                </c:pt>
                <c:pt idx="230">
                  <c:v>40.364531549284457</c:v>
                </c:pt>
                <c:pt idx="231">
                  <c:v>48.070243638835677</c:v>
                </c:pt>
                <c:pt idx="232">
                  <c:v>32.405473695549219</c:v>
                </c:pt>
                <c:pt idx="233">
                  <c:v>25.247305279213762</c:v>
                </c:pt>
                <c:pt idx="234">
                  <c:v>45.160449398863221</c:v>
                </c:pt>
                <c:pt idx="235">
                  <c:v>46.658567956673515</c:v>
                </c:pt>
                <c:pt idx="236">
                  <c:v>33.292538781264405</c:v>
                </c:pt>
                <c:pt idx="237">
                  <c:v>41.824231770276988</c:v>
                </c:pt>
                <c:pt idx="238">
                  <c:v>49.276347971338843</c:v>
                </c:pt>
                <c:pt idx="239">
                  <c:v>48.358929241319323</c:v>
                </c:pt>
                <c:pt idx="240">
                  <c:v>32.603967956870882</c:v>
                </c:pt>
                <c:pt idx="241">
                  <c:v>47.340490452060479</c:v>
                </c:pt>
                <c:pt idx="242">
                  <c:v>22.280150740544496</c:v>
                </c:pt>
                <c:pt idx="243">
                  <c:v>42.948401376967034</c:v>
                </c:pt>
                <c:pt idx="244">
                  <c:v>39.394005198883178</c:v>
                </c:pt>
                <c:pt idx="245">
                  <c:v>32.891694624770921</c:v>
                </c:pt>
                <c:pt idx="246">
                  <c:v>47.704640749714862</c:v>
                </c:pt>
                <c:pt idx="247">
                  <c:v>40.327833860800631</c:v>
                </c:pt>
                <c:pt idx="248">
                  <c:v>45.734929730461239</c:v>
                </c:pt>
                <c:pt idx="249">
                  <c:v>35.583449924071019</c:v>
                </c:pt>
                <c:pt idx="250">
                  <c:v>38.96523078492865</c:v>
                </c:pt>
                <c:pt idx="251">
                  <c:v>21.69148184732386</c:v>
                </c:pt>
                <c:pt idx="252">
                  <c:v>45.823482826183621</c:v>
                </c:pt>
                <c:pt idx="253">
                  <c:v>46.361560033149573</c:v>
                </c:pt>
                <c:pt idx="254">
                  <c:v>32.468795568216947</c:v>
                </c:pt>
                <c:pt idx="255">
                  <c:v>11.512699126669794</c:v>
                </c:pt>
                <c:pt idx="256">
                  <c:v>38.203723275085551</c:v>
                </c:pt>
                <c:pt idx="257">
                  <c:v>41.963263631056698</c:v>
                </c:pt>
                <c:pt idx="258">
                  <c:v>27.93876270505557</c:v>
                </c:pt>
                <c:pt idx="259">
                  <c:v>48.314982334063636</c:v>
                </c:pt>
                <c:pt idx="260">
                  <c:v>46.712487368853132</c:v>
                </c:pt>
                <c:pt idx="261">
                  <c:v>45.507813815457574</c:v>
                </c:pt>
                <c:pt idx="262">
                  <c:v>46.878977987087985</c:v>
                </c:pt>
                <c:pt idx="263">
                  <c:v>45.735643214881563</c:v>
                </c:pt>
                <c:pt idx="264">
                  <c:v>44.543251889774979</c:v>
                </c:pt>
                <c:pt idx="265">
                  <c:v>28.142597694389671</c:v>
                </c:pt>
                <c:pt idx="266">
                  <c:v>17.641299773919251</c:v>
                </c:pt>
                <c:pt idx="267">
                  <c:v>31.227721170204589</c:v>
                </c:pt>
                <c:pt idx="268">
                  <c:v>33.676465873327068</c:v>
                </c:pt>
                <c:pt idx="269">
                  <c:v>15.220875515819898</c:v>
                </c:pt>
                <c:pt idx="270">
                  <c:v>17.488959694037632</c:v>
                </c:pt>
                <c:pt idx="271">
                  <c:v>23.985107356011149</c:v>
                </c:pt>
                <c:pt idx="272">
                  <c:v>29.30829179885782</c:v>
                </c:pt>
                <c:pt idx="273">
                  <c:v>35.147336380200613</c:v>
                </c:pt>
                <c:pt idx="274">
                  <c:v>39.177702898162089</c:v>
                </c:pt>
                <c:pt idx="275">
                  <c:v>35.632556658863393</c:v>
                </c:pt>
                <c:pt idx="276">
                  <c:v>40.092961240438889</c:v>
                </c:pt>
                <c:pt idx="277">
                  <c:v>41.349839328251839</c:v>
                </c:pt>
                <c:pt idx="278">
                  <c:v>12.070537629123347</c:v>
                </c:pt>
                <c:pt idx="279">
                  <c:v>29.501852393957183</c:v>
                </c:pt>
                <c:pt idx="280">
                  <c:v>16.079047500165945</c:v>
                </c:pt>
                <c:pt idx="281">
                  <c:v>37.815689179819088</c:v>
                </c:pt>
                <c:pt idx="282">
                  <c:v>31.165831605126666</c:v>
                </c:pt>
                <c:pt idx="283">
                  <c:v>22.662672682226159</c:v>
                </c:pt>
                <c:pt idx="284">
                  <c:v>28.304753064138836</c:v>
                </c:pt>
                <c:pt idx="285">
                  <c:v>23.358216826860474</c:v>
                </c:pt>
                <c:pt idx="286">
                  <c:v>19.8261667465237</c:v>
                </c:pt>
                <c:pt idx="287">
                  <c:v>36.71460986688038</c:v>
                </c:pt>
                <c:pt idx="288">
                  <c:v>32.971932226066755</c:v>
                </c:pt>
                <c:pt idx="289">
                  <c:v>20.007391764952022</c:v>
                </c:pt>
                <c:pt idx="290">
                  <c:v>33.961135501639887</c:v>
                </c:pt>
                <c:pt idx="291">
                  <c:v>15.642719869219736</c:v>
                </c:pt>
                <c:pt idx="292">
                  <c:v>6.4802344672712326</c:v>
                </c:pt>
                <c:pt idx="293">
                  <c:v>16.412087167044728</c:v>
                </c:pt>
                <c:pt idx="294">
                  <c:v>32.762908645166981</c:v>
                </c:pt>
                <c:pt idx="295">
                  <c:v>17.073043896766361</c:v>
                </c:pt>
                <c:pt idx="296">
                  <c:v>25.305877678941112</c:v>
                </c:pt>
                <c:pt idx="297">
                  <c:v>21.823863083460214</c:v>
                </c:pt>
                <c:pt idx="298">
                  <c:v>13.679171090577668</c:v>
                </c:pt>
                <c:pt idx="299">
                  <c:v>14.610232986580456</c:v>
                </c:pt>
                <c:pt idx="300">
                  <c:v>17.252021913405319</c:v>
                </c:pt>
                <c:pt idx="301">
                  <c:v>27.089960246450456</c:v>
                </c:pt>
                <c:pt idx="302">
                  <c:v>22.408366297191279</c:v>
                </c:pt>
                <c:pt idx="303">
                  <c:v>21.875468782699937</c:v>
                </c:pt>
                <c:pt idx="304">
                  <c:v>23.268636837704232</c:v>
                </c:pt>
                <c:pt idx="305">
                  <c:v>27.964219087749711</c:v>
                </c:pt>
                <c:pt idx="306">
                  <c:v>9.6018751572282657</c:v>
                </c:pt>
                <c:pt idx="307">
                  <c:v>16.839156778381017</c:v>
                </c:pt>
                <c:pt idx="308">
                  <c:v>29.321147115744072</c:v>
                </c:pt>
                <c:pt idx="309">
                  <c:v>30.206296488507014</c:v>
                </c:pt>
                <c:pt idx="310">
                  <c:v>27.914037856554526</c:v>
                </c:pt>
                <c:pt idx="311">
                  <c:v>21.015392037947649</c:v>
                </c:pt>
                <c:pt idx="312">
                  <c:v>9.8263459050013005</c:v>
                </c:pt>
                <c:pt idx="313">
                  <c:v>20.405360277808199</c:v>
                </c:pt>
                <c:pt idx="314">
                  <c:v>27.635217279425294</c:v>
                </c:pt>
                <c:pt idx="315">
                  <c:v>27.680117036444969</c:v>
                </c:pt>
                <c:pt idx="316">
                  <c:v>26.736916250164111</c:v>
                </c:pt>
                <c:pt idx="317">
                  <c:v>9.4141728843099166</c:v>
                </c:pt>
                <c:pt idx="318">
                  <c:v>12.241139310211917</c:v>
                </c:pt>
                <c:pt idx="319">
                  <c:v>27.175913249222418</c:v>
                </c:pt>
                <c:pt idx="320">
                  <c:v>12.719944136425507</c:v>
                </c:pt>
                <c:pt idx="321">
                  <c:v>15.097444421404324</c:v>
                </c:pt>
                <c:pt idx="322">
                  <c:v>7.7316451433528943</c:v>
                </c:pt>
                <c:pt idx="323">
                  <c:v>15.452551799352108</c:v>
                </c:pt>
                <c:pt idx="324">
                  <c:v>3.2655193454254561</c:v>
                </c:pt>
                <c:pt idx="325">
                  <c:v>8.1176081994682274</c:v>
                </c:pt>
                <c:pt idx="326">
                  <c:v>12.165303479594334</c:v>
                </c:pt>
                <c:pt idx="327">
                  <c:v>13.389368804012893</c:v>
                </c:pt>
                <c:pt idx="328">
                  <c:v>5.1843680170318001</c:v>
                </c:pt>
                <c:pt idx="329">
                  <c:v>10.39188990919701</c:v>
                </c:pt>
                <c:pt idx="330">
                  <c:v>14.781861570351671</c:v>
                </c:pt>
                <c:pt idx="331">
                  <c:v>10.714705218734611</c:v>
                </c:pt>
                <c:pt idx="332">
                  <c:v>14.907529889841101</c:v>
                </c:pt>
                <c:pt idx="333">
                  <c:v>4.1532228412727541</c:v>
                </c:pt>
                <c:pt idx="334">
                  <c:v>3.5736553913212794</c:v>
                </c:pt>
                <c:pt idx="335">
                  <c:v>5.9260131381830261</c:v>
                </c:pt>
                <c:pt idx="336">
                  <c:v>8.8515602392602961</c:v>
                </c:pt>
                <c:pt idx="337">
                  <c:v>17.574152162497015</c:v>
                </c:pt>
                <c:pt idx="338">
                  <c:v>23.919569780880117</c:v>
                </c:pt>
                <c:pt idx="339">
                  <c:v>11.077674782417143</c:v>
                </c:pt>
                <c:pt idx="340">
                  <c:v>20.099497598244536</c:v>
                </c:pt>
                <c:pt idx="341">
                  <c:v>4.1493484916875722</c:v>
                </c:pt>
                <c:pt idx="342">
                  <c:v>5.0203154465704456</c:v>
                </c:pt>
                <c:pt idx="343">
                  <c:v>11.817172480692108</c:v>
                </c:pt>
                <c:pt idx="344">
                  <c:v>16.508607787629352</c:v>
                </c:pt>
                <c:pt idx="345">
                  <c:v>5.7492342771084166</c:v>
                </c:pt>
                <c:pt idx="346">
                  <c:v>5.4574297321123222</c:v>
                </c:pt>
                <c:pt idx="347">
                  <c:v>17.316363986862118</c:v>
                </c:pt>
                <c:pt idx="348">
                  <c:v>5.7437932500380127</c:v>
                </c:pt>
                <c:pt idx="349">
                  <c:v>4.8941650342570586</c:v>
                </c:pt>
                <c:pt idx="350">
                  <c:v>3.5764773442620412</c:v>
                </c:pt>
                <c:pt idx="351">
                  <c:v>21.475805108678131</c:v>
                </c:pt>
                <c:pt idx="352">
                  <c:v>17.378985291375589</c:v>
                </c:pt>
                <c:pt idx="353">
                  <c:v>4.5685055296084762</c:v>
                </c:pt>
                <c:pt idx="354">
                  <c:v>20.603804294103323</c:v>
                </c:pt>
                <c:pt idx="355">
                  <c:v>17.027291291305495</c:v>
                </c:pt>
                <c:pt idx="356">
                  <c:v>17.583761780061749</c:v>
                </c:pt>
                <c:pt idx="357">
                  <c:v>21.130957987354723</c:v>
                </c:pt>
                <c:pt idx="358">
                  <c:v>12.572525692646098</c:v>
                </c:pt>
                <c:pt idx="359">
                  <c:v>21.423932124643738</c:v>
                </c:pt>
                <c:pt idx="360">
                  <c:v>7.7206908426366816</c:v>
                </c:pt>
                <c:pt idx="361">
                  <c:v>20.57798897101728</c:v>
                </c:pt>
                <c:pt idx="362">
                  <c:v>10.115501415012606</c:v>
                </c:pt>
                <c:pt idx="363">
                  <c:v>13.318894765048057</c:v>
                </c:pt>
                <c:pt idx="364">
                  <c:v>12.359271865060428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4208"/>
        <c:axId val="335354600"/>
      </c:lineChart>
      <c:dateAx>
        <c:axId val="33535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4600"/>
        <c:crosses val="autoZero"/>
        <c:auto val="1"/>
        <c:lblOffset val="100"/>
        <c:baseTimeUnit val="days"/>
        <c:majorUnit val="1"/>
        <c:majorTimeUnit val="months"/>
      </c:dateAx>
      <c:valAx>
        <c:axId val="335354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4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3.5874572097625346E-2</c:v>
                </c:pt>
                <c:pt idx="1">
                  <c:v>3.5895688918859081E-2</c:v>
                </c:pt>
                <c:pt idx="2">
                  <c:v>3.5916805277580233E-2</c:v>
                </c:pt>
                <c:pt idx="3">
                  <c:v>3.5937921173798903E-2</c:v>
                </c:pt>
                <c:pt idx="4">
                  <c:v>3.5959036607525308E-2</c:v>
                </c:pt>
                <c:pt idx="5">
                  <c:v>3.5980151578769548E-2</c:v>
                </c:pt>
                <c:pt idx="6">
                  <c:v>3.6001266087541728E-2</c:v>
                </c:pt>
                <c:pt idx="7">
                  <c:v>3.602238013385195E-2</c:v>
                </c:pt>
                <c:pt idx="8">
                  <c:v>3.6043493717710318E-2</c:v>
                </c:pt>
                <c:pt idx="9">
                  <c:v>3.6064606839127045E-2</c:v>
                </c:pt>
                <c:pt idx="10">
                  <c:v>3.6085719498112234E-2</c:v>
                </c:pt>
                <c:pt idx="11">
                  <c:v>3.61068316946761E-2</c:v>
                </c:pt>
                <c:pt idx="12">
                  <c:v>3.6127943428828524E-2</c:v>
                </c:pt>
                <c:pt idx="13">
                  <c:v>3.614905470057983E-2</c:v>
                </c:pt>
                <c:pt idx="14">
                  <c:v>3.6170165509940122E-2</c:v>
                </c:pt>
                <c:pt idx="15">
                  <c:v>3.6191275856919614E-2</c:v>
                </c:pt>
                <c:pt idx="16">
                  <c:v>3.6212385741528186E-2</c:v>
                </c:pt>
                <c:pt idx="17">
                  <c:v>3.6233495163776164E-2</c:v>
                </c:pt>
                <c:pt idx="18">
                  <c:v>3.625460412367365E-2</c:v>
                </c:pt>
                <c:pt idx="19">
                  <c:v>3.6275712621230638E-2</c:v>
                </c:pt>
                <c:pt idx="20">
                  <c:v>3.6296820656457451E-2</c:v>
                </c:pt>
                <c:pt idx="21">
                  <c:v>3.6317928229364083E-2</c:v>
                </c:pt>
                <c:pt idx="22">
                  <c:v>3.6339035339960635E-2</c:v>
                </c:pt>
                <c:pt idx="23">
                  <c:v>3.6360141988257433E-2</c:v>
                </c:pt>
                <c:pt idx="24">
                  <c:v>3.6381248174264358E-2</c:v>
                </c:pt>
                <c:pt idx="25">
                  <c:v>3.6402353897991735E-2</c:v>
                </c:pt>
                <c:pt idx="26">
                  <c:v>3.6423459159449445E-2</c:v>
                </c:pt>
                <c:pt idx="27">
                  <c:v>3.6444563958647924E-2</c:v>
                </c:pt>
                <c:pt idx="28">
                  <c:v>3.6465668295597053E-2</c:v>
                </c:pt>
                <c:pt idx="29">
                  <c:v>3.6486772170307047E-2</c:v>
                </c:pt>
                <c:pt idx="30">
                  <c:v>3.6507875582788007E-2</c:v>
                </c:pt>
                <c:pt idx="31">
                  <c:v>3.6528978533050149E-2</c:v>
                </c:pt>
                <c:pt idx="32">
                  <c:v>3.6550081021103464E-2</c:v>
                </c:pt>
                <c:pt idx="33">
                  <c:v>3.6571183046958056E-2</c:v>
                </c:pt>
                <c:pt idx="34">
                  <c:v>3.6592284610624248E-2</c:v>
                </c:pt>
                <c:pt idx="35">
                  <c:v>3.6613385712112034E-2</c:v>
                </c:pt>
                <c:pt idx="36">
                  <c:v>3.6634486351431517E-2</c:v>
                </c:pt>
                <c:pt idx="37">
                  <c:v>3.6655586528592798E-2</c:v>
                </c:pt>
                <c:pt idx="38">
                  <c:v>3.6676686243606094E-2</c:v>
                </c:pt>
                <c:pt idx="39">
                  <c:v>3.6697785496481505E-2</c:v>
                </c:pt>
                <c:pt idx="40">
                  <c:v>3.6718884287229026E-2</c:v>
                </c:pt>
                <c:pt idx="41">
                  <c:v>3.6739982615858979E-2</c:v>
                </c:pt>
                <c:pt idx="42">
                  <c:v>3.6761080482381359E-2</c:v>
                </c:pt>
                <c:pt idx="43">
                  <c:v>3.6782177886806267E-2</c:v>
                </c:pt>
                <c:pt idx="44">
                  <c:v>3.6803274829143917E-2</c:v>
                </c:pt>
                <c:pt idx="45">
                  <c:v>3.6824371309404413E-2</c:v>
                </c:pt>
                <c:pt idx="46">
                  <c:v>3.6845467327597858E-2</c:v>
                </c:pt>
                <c:pt idx="47">
                  <c:v>3.6866562883734355E-2</c:v>
                </c:pt>
                <c:pt idx="48">
                  <c:v>3.6887657977824007E-2</c:v>
                </c:pt>
                <c:pt idx="49">
                  <c:v>3.6908752609876916E-2</c:v>
                </c:pt>
                <c:pt idx="50">
                  <c:v>3.6929846779903297E-2</c:v>
                </c:pt>
                <c:pt idx="51">
                  <c:v>3.6950940487913253E-2</c:v>
                </c:pt>
                <c:pt idx="52">
                  <c:v>3.6972033733916776E-2</c:v>
                </c:pt>
                <c:pt idx="53">
                  <c:v>3.6993126517924191E-2</c:v>
                </c:pt>
                <c:pt idx="54">
                  <c:v>3.7014218839945379E-2</c:v>
                </c:pt>
                <c:pt idx="55">
                  <c:v>3.7035310699990664E-2</c:v>
                </c:pt>
                <c:pt idx="56">
                  <c:v>3.705640209807004E-2</c:v>
                </c:pt>
                <c:pt idx="57">
                  <c:v>3.707749303419372E-2</c:v>
                </c:pt>
                <c:pt idx="58">
                  <c:v>3.7098583508371696E-2</c:v>
                </c:pt>
                <c:pt idx="59">
                  <c:v>3.7119673520614183E-2</c:v>
                </c:pt>
                <c:pt idx="60">
                  <c:v>3.7140763070931393E-2</c:v>
                </c:pt>
                <c:pt idx="61">
                  <c:v>3.7161852159333209E-2</c:v>
                </c:pt>
                <c:pt idx="62">
                  <c:v>3.7182940785829843E-2</c:v>
                </c:pt>
                <c:pt idx="63">
                  <c:v>3.7204028950431511E-2</c:v>
                </c:pt>
                <c:pt idx="64">
                  <c:v>3.7225116653148205E-2</c:v>
                </c:pt>
                <c:pt idx="65">
                  <c:v>3.7246203893990137E-2</c:v>
                </c:pt>
                <c:pt idx="66">
                  <c:v>3.7267290672967301E-2</c:v>
                </c:pt>
                <c:pt idx="67">
                  <c:v>3.7288376990089911E-2</c:v>
                </c:pt>
                <c:pt idx="68">
                  <c:v>3.7309462845368069E-2</c:v>
                </c:pt>
                <c:pt idx="69">
                  <c:v>3.7330548238811878E-2</c:v>
                </c:pt>
                <c:pt idx="70">
                  <c:v>3.7351633170431553E-2</c:v>
                </c:pt>
                <c:pt idx="71">
                  <c:v>3.7372717640236974E-2</c:v>
                </c:pt>
                <c:pt idx="72">
                  <c:v>3.7393801648238467E-2</c:v>
                </c:pt>
                <c:pt idx="73">
                  <c:v>3.7414885194446024E-2</c:v>
                </c:pt>
                <c:pt idx="74">
                  <c:v>3.7435968278869858E-2</c:v>
                </c:pt>
                <c:pt idx="75">
                  <c:v>3.7457050901520073E-2</c:v>
                </c:pt>
                <c:pt idx="76">
                  <c:v>3.747813306240666E-2</c:v>
                </c:pt>
                <c:pt idx="77">
                  <c:v>3.7499214761539834E-2</c:v>
                </c:pt>
                <c:pt idx="78">
                  <c:v>3.7520295998929698E-2</c:v>
                </c:pt>
                <c:pt idx="79">
                  <c:v>3.7541376774586355E-2</c:v>
                </c:pt>
                <c:pt idx="80">
                  <c:v>3.7562457088519907E-2</c:v>
                </c:pt>
                <c:pt idx="81">
                  <c:v>3.7583536940740569E-2</c:v>
                </c:pt>
                <c:pt idx="82">
                  <c:v>3.7604616331258334E-2</c:v>
                </c:pt>
                <c:pt idx="83">
                  <c:v>3.7625695260083303E-2</c:v>
                </c:pt>
                <c:pt idx="84">
                  <c:v>3.764677372722558E-2</c:v>
                </c:pt>
                <c:pt idx="85">
                  <c:v>3.766785173269549E-2</c:v>
                </c:pt>
                <c:pt idx="86">
                  <c:v>3.7688929276502803E-2</c:v>
                </c:pt>
                <c:pt idx="87">
                  <c:v>3.7710006358657955E-2</c:v>
                </c:pt>
                <c:pt idx="88">
                  <c:v>3.7731082979170827E-2</c:v>
                </c:pt>
                <c:pt idx="89">
                  <c:v>3.7752159138051744E-2</c:v>
                </c:pt>
                <c:pt idx="90">
                  <c:v>3.7773234835310587E-2</c:v>
                </c:pt>
                <c:pt idx="91">
                  <c:v>3.7794310070957571E-2</c:v>
                </c:pt>
                <c:pt idx="92">
                  <c:v>3.7815384845002797E-2</c:v>
                </c:pt>
                <c:pt idx="93">
                  <c:v>3.783645915745637E-2</c:v>
                </c:pt>
                <c:pt idx="94">
                  <c:v>3.7857533008328503E-2</c:v>
                </c:pt>
                <c:pt idx="95">
                  <c:v>3.7878606397629189E-2</c:v>
                </c:pt>
                <c:pt idx="96">
                  <c:v>3.7899679325368529E-2</c:v>
                </c:pt>
                <c:pt idx="97">
                  <c:v>3.7920751791556739E-2</c:v>
                </c:pt>
                <c:pt idx="98">
                  <c:v>3.7941823796203811E-2</c:v>
                </c:pt>
                <c:pt idx="99">
                  <c:v>3.7962895339319846E-2</c:v>
                </c:pt>
                <c:pt idx="100">
                  <c:v>3.7983966420915061E-2</c:v>
                </c:pt>
                <c:pt idx="101">
                  <c:v>3.8005037040999556E-2</c:v>
                </c:pt>
                <c:pt idx="102">
                  <c:v>3.8026107199583326E-2</c:v>
                </c:pt>
                <c:pt idx="103">
                  <c:v>3.8047176896676582E-2</c:v>
                </c:pt>
                <c:pt idx="104">
                  <c:v>3.8068246132289318E-2</c:v>
                </c:pt>
                <c:pt idx="105">
                  <c:v>3.8089314906431859E-2</c:v>
                </c:pt>
                <c:pt idx="106">
                  <c:v>3.8110383219114086E-2</c:v>
                </c:pt>
                <c:pt idx="107">
                  <c:v>3.8131451070346212E-2</c:v>
                </c:pt>
                <c:pt idx="108">
                  <c:v>3.815251846013834E-2</c:v>
                </c:pt>
                <c:pt idx="109">
                  <c:v>3.8173585388500464E-2</c:v>
                </c:pt>
                <c:pt idx="110">
                  <c:v>3.8194651855442907E-2</c:v>
                </c:pt>
                <c:pt idx="111">
                  <c:v>3.8215717860975662E-2</c:v>
                </c:pt>
                <c:pt idx="112">
                  <c:v>3.8236783405108832E-2</c:v>
                </c:pt>
                <c:pt idx="113">
                  <c:v>3.8257848487852408E-2</c:v>
                </c:pt>
                <c:pt idx="114">
                  <c:v>3.8278913109216717E-2</c:v>
                </c:pt>
                <c:pt idx="115">
                  <c:v>3.8299977269211749E-2</c:v>
                </c:pt>
                <c:pt idx="116">
                  <c:v>3.8321040967847608E-2</c:v>
                </c:pt>
                <c:pt idx="117">
                  <c:v>3.8342104205134397E-2</c:v>
                </c:pt>
                <c:pt idx="118">
                  <c:v>3.836316698108222E-2</c:v>
                </c:pt>
                <c:pt idx="119">
                  <c:v>3.8384229295701178E-2</c:v>
                </c:pt>
                <c:pt idx="120">
                  <c:v>3.8405291149001486E-2</c:v>
                </c:pt>
                <c:pt idx="121">
                  <c:v>3.8426352540993025E-2</c:v>
                </c:pt>
                <c:pt idx="122">
                  <c:v>3.844741347168612E-2</c:v>
                </c:pt>
                <c:pt idx="123">
                  <c:v>3.8468473941090764E-2</c:v>
                </c:pt>
                <c:pt idx="124">
                  <c:v>3.8489533949217059E-2</c:v>
                </c:pt>
                <c:pt idx="125">
                  <c:v>3.8510593496075107E-2</c:v>
                </c:pt>
                <c:pt idx="126">
                  <c:v>3.8531652581675124E-2</c:v>
                </c:pt>
                <c:pt idx="127">
                  <c:v>3.8552711206026991E-2</c:v>
                </c:pt>
                <c:pt idx="128">
                  <c:v>3.8573769369141031E-2</c:v>
                </c:pt>
                <c:pt idx="129">
                  <c:v>3.8594827071027238E-2</c:v>
                </c:pt>
                <c:pt idx="130">
                  <c:v>3.8615884311695714E-2</c:v>
                </c:pt>
                <c:pt idx="131">
                  <c:v>3.8636941091156562E-2</c:v>
                </c:pt>
                <c:pt idx="132">
                  <c:v>3.8657997409419886E-2</c:v>
                </c:pt>
                <c:pt idx="133">
                  <c:v>3.8679053266495789E-2</c:v>
                </c:pt>
                <c:pt idx="134">
                  <c:v>3.8700108662394483E-2</c:v>
                </c:pt>
                <c:pt idx="135">
                  <c:v>3.8721163597125852E-2</c:v>
                </c:pt>
                <c:pt idx="136">
                  <c:v>3.8742218070700218E-2</c:v>
                </c:pt>
                <c:pt idx="137">
                  <c:v>3.8763272083127576E-2</c:v>
                </c:pt>
                <c:pt idx="138">
                  <c:v>3.8784325634417915E-2</c:v>
                </c:pt>
                <c:pt idx="139">
                  <c:v>3.8805378724581563E-2</c:v>
                </c:pt>
                <c:pt idx="140">
                  <c:v>3.882643135362851E-2</c:v>
                </c:pt>
                <c:pt idx="141">
                  <c:v>3.8847483521568749E-2</c:v>
                </c:pt>
                <c:pt idx="142">
                  <c:v>3.8868535228412493E-2</c:v>
                </c:pt>
                <c:pt idx="143">
                  <c:v>3.8889586474169957E-2</c:v>
                </c:pt>
                <c:pt idx="144">
                  <c:v>3.8910637258851022E-2</c:v>
                </c:pt>
                <c:pt idx="145">
                  <c:v>3.893168758246579E-2</c:v>
                </c:pt>
                <c:pt idx="146">
                  <c:v>3.8952737445024588E-2</c:v>
                </c:pt>
                <c:pt idx="147">
                  <c:v>3.8973786846537295E-2</c:v>
                </c:pt>
                <c:pt idx="148">
                  <c:v>3.8994835787014126E-2</c:v>
                </c:pt>
                <c:pt idx="149">
                  <c:v>3.9015884266465184E-2</c:v>
                </c:pt>
                <c:pt idx="150">
                  <c:v>3.9036932284900461E-2</c:v>
                </c:pt>
                <c:pt idx="151">
                  <c:v>3.9057979842330059E-2</c:v>
                </c:pt>
                <c:pt idx="152">
                  <c:v>3.9079026938764194E-2</c:v>
                </c:pt>
                <c:pt idx="153">
                  <c:v>3.9100073574212968E-2</c:v>
                </c:pt>
                <c:pt idx="154">
                  <c:v>3.9121119748686262E-2</c:v>
                </c:pt>
                <c:pt idx="155">
                  <c:v>3.9142165462194511E-2</c:v>
                </c:pt>
                <c:pt idx="156">
                  <c:v>3.9163210714747487E-2</c:v>
                </c:pt>
                <c:pt idx="157">
                  <c:v>3.9184255506355403E-2</c:v>
                </c:pt>
                <c:pt idx="158">
                  <c:v>3.9205299837028473E-2</c:v>
                </c:pt>
                <c:pt idx="159">
                  <c:v>3.9226343706776579E-2</c:v>
                </c:pt>
                <c:pt idx="160">
                  <c:v>3.9247387115610044E-2</c:v>
                </c:pt>
                <c:pt idx="161">
                  <c:v>3.9268430063538751E-2</c:v>
                </c:pt>
                <c:pt idx="162">
                  <c:v>3.9289472550572913E-2</c:v>
                </c:pt>
                <c:pt idx="163">
                  <c:v>3.9310514576722633E-2</c:v>
                </c:pt>
                <c:pt idx="164">
                  <c:v>3.9331556141998014E-2</c:v>
                </c:pt>
                <c:pt idx="165">
                  <c:v>3.9352597246409049E-2</c:v>
                </c:pt>
                <c:pt idx="166">
                  <c:v>3.9373637889965951E-2</c:v>
                </c:pt>
                <c:pt idx="167">
                  <c:v>3.9394678072678713E-2</c:v>
                </c:pt>
                <c:pt idx="168">
                  <c:v>3.9415717794557548E-2</c:v>
                </c:pt>
                <c:pt idx="169">
                  <c:v>3.9436757055612337E-2</c:v>
                </c:pt>
                <c:pt idx="170">
                  <c:v>3.9457795855853406E-2</c:v>
                </c:pt>
                <c:pt idx="171">
                  <c:v>3.9478834195290746E-2</c:v>
                </c:pt>
                <c:pt idx="172">
                  <c:v>3.9499872073934461E-2</c:v>
                </c:pt>
                <c:pt idx="173">
                  <c:v>3.9520909491794654E-2</c:v>
                </c:pt>
                <c:pt idx="174">
                  <c:v>3.9541946448881427E-2</c:v>
                </c:pt>
                <c:pt idx="175">
                  <c:v>3.9562982945204772E-2</c:v>
                </c:pt>
                <c:pt idx="176">
                  <c:v>3.9584018980774904E-2</c:v>
                </c:pt>
                <c:pt idx="177">
                  <c:v>3.9605054555601815E-2</c:v>
                </c:pt>
                <c:pt idx="178">
                  <c:v>3.9626089669695719E-2</c:v>
                </c:pt>
                <c:pt idx="179">
                  <c:v>3.9647124323066607E-2</c:v>
                </c:pt>
                <c:pt idx="180">
                  <c:v>3.9668158515724694E-2</c:v>
                </c:pt>
                <c:pt idx="181">
                  <c:v>3.9689192247679861E-2</c:v>
                </c:pt>
                <c:pt idx="182">
                  <c:v>3.9710225518942321E-2</c:v>
                </c:pt>
                <c:pt idx="183">
                  <c:v>3.973125832952229E-2</c:v>
                </c:pt>
                <c:pt idx="184">
                  <c:v>3.9752290679429536E-2</c:v>
                </c:pt>
                <c:pt idx="185">
                  <c:v>3.9773322568674496E-2</c:v>
                </c:pt>
                <c:pt idx="186">
                  <c:v>3.9794353997267051E-2</c:v>
                </c:pt>
                <c:pt idx="187">
                  <c:v>3.9815384965217304E-2</c:v>
                </c:pt>
                <c:pt idx="188">
                  <c:v>3.9836415472535469E-2</c:v>
                </c:pt>
                <c:pt idx="189">
                  <c:v>3.9857445519231427E-2</c:v>
                </c:pt>
                <c:pt idx="190">
                  <c:v>3.9878475105315503E-2</c:v>
                </c:pt>
                <c:pt idx="191">
                  <c:v>3.9899504230797689E-2</c:v>
                </c:pt>
                <c:pt idx="192">
                  <c:v>3.9920532895687977E-2</c:v>
                </c:pt>
                <c:pt idx="193">
                  <c:v>3.9941561099996581E-2</c:v>
                </c:pt>
                <c:pt idx="194">
                  <c:v>3.9962588843733493E-2</c:v>
                </c:pt>
                <c:pt idx="195">
                  <c:v>3.9983616126908816E-2</c:v>
                </c:pt>
                <c:pt idx="196">
                  <c:v>4.0004642949532765E-2</c:v>
                </c:pt>
                <c:pt idx="197">
                  <c:v>4.0025669311615331E-2</c:v>
                </c:pt>
                <c:pt idx="198">
                  <c:v>4.0046695213166617E-2</c:v>
                </c:pt>
                <c:pt idx="199">
                  <c:v>4.0067720654196615E-2</c:v>
                </c:pt>
                <c:pt idx="200">
                  <c:v>4.0088745634715539E-2</c:v>
                </c:pt>
                <c:pt idx="201">
                  <c:v>4.0109770154733382E-2</c:v>
                </c:pt>
                <c:pt idx="202">
                  <c:v>4.0130794214260357E-2</c:v>
                </c:pt>
                <c:pt idx="203">
                  <c:v>4.0151817813306456E-2</c:v>
                </c:pt>
                <c:pt idx="204">
                  <c:v>4.0172840951881783E-2</c:v>
                </c:pt>
                <c:pt idx="205">
                  <c:v>4.019386362999644E-2</c:v>
                </c:pt>
                <c:pt idx="206">
                  <c:v>4.021488584766042E-2</c:v>
                </c:pt>
                <c:pt idx="207">
                  <c:v>4.0235907604883936E-2</c:v>
                </c:pt>
                <c:pt idx="208">
                  <c:v>4.025692890167698E-2</c:v>
                </c:pt>
                <c:pt idx="209">
                  <c:v>4.0277949738049657E-2</c:v>
                </c:pt>
                <c:pt idx="210">
                  <c:v>4.0298970114012178E-2</c:v>
                </c:pt>
                <c:pt idx="211">
                  <c:v>4.0319990029574426E-2</c:v>
                </c:pt>
                <c:pt idx="212">
                  <c:v>4.0341009484746615E-2</c:v>
                </c:pt>
                <c:pt idx="213">
                  <c:v>4.0362028479538736E-2</c:v>
                </c:pt>
                <c:pt idx="214">
                  <c:v>4.0383047013961004E-2</c:v>
                </c:pt>
                <c:pt idx="215">
                  <c:v>4.0404065088023411E-2</c:v>
                </c:pt>
                <c:pt idx="216">
                  <c:v>4.0425082701735948E-2</c:v>
                </c:pt>
                <c:pt idx="217">
                  <c:v>4.0446099855108941E-2</c:v>
                </c:pt>
                <c:pt idx="218">
                  <c:v>4.0467116548152271E-2</c:v>
                </c:pt>
                <c:pt idx="219">
                  <c:v>4.0488132780876041E-2</c:v>
                </c:pt>
                <c:pt idx="220">
                  <c:v>4.0509148553290464E-2</c:v>
                </c:pt>
                <c:pt idx="221">
                  <c:v>4.0530163865405533E-2</c:v>
                </c:pt>
                <c:pt idx="222">
                  <c:v>4.055117871723124E-2</c:v>
                </c:pt>
                <c:pt idx="223">
                  <c:v>4.057219310877791E-2</c:v>
                </c:pt>
                <c:pt idx="224">
                  <c:v>4.0593207040055312E-2</c:v>
                </c:pt>
                <c:pt idx="225">
                  <c:v>4.0614220511073773E-2</c:v>
                </c:pt>
                <c:pt idx="226">
                  <c:v>4.0635233521843284E-2</c:v>
                </c:pt>
                <c:pt idx="227">
                  <c:v>4.0656246072373947E-2</c:v>
                </c:pt>
                <c:pt idx="228">
                  <c:v>4.0677258162675756E-2</c:v>
                </c:pt>
                <c:pt idx="229">
                  <c:v>4.0698269792758923E-2</c:v>
                </c:pt>
                <c:pt idx="230">
                  <c:v>4.0719280962633442E-2</c:v>
                </c:pt>
                <c:pt idx="231">
                  <c:v>4.0740291672309414E-2</c:v>
                </c:pt>
                <c:pt idx="232">
                  <c:v>4.0761301921796944E-2</c:v>
                </c:pt>
                <c:pt idx="233">
                  <c:v>4.0782311711106134E-2</c:v>
                </c:pt>
                <c:pt idx="234">
                  <c:v>4.0803321040246976E-2</c:v>
                </c:pt>
                <c:pt idx="235">
                  <c:v>4.0824329909229573E-2</c:v>
                </c:pt>
                <c:pt idx="236">
                  <c:v>4.0845338318064028E-2</c:v>
                </c:pt>
                <c:pt idx="237">
                  <c:v>4.0866346266760334E-2</c:v>
                </c:pt>
                <c:pt idx="238">
                  <c:v>4.0887353755328815E-2</c:v>
                </c:pt>
                <c:pt idx="239">
                  <c:v>4.0908360783779241E-2</c:v>
                </c:pt>
                <c:pt idx="240">
                  <c:v>4.0929367352121937E-2</c:v>
                </c:pt>
                <c:pt idx="241">
                  <c:v>4.0950373460366785E-2</c:v>
                </c:pt>
                <c:pt idx="242">
                  <c:v>4.0971379108523998E-2</c:v>
                </c:pt>
                <c:pt idx="243">
                  <c:v>4.0992384296603568E-2</c:v>
                </c:pt>
                <c:pt idx="244">
                  <c:v>4.1013389024615599E-2</c:v>
                </c:pt>
                <c:pt idx="245">
                  <c:v>4.1034393292570304E-2</c:v>
                </c:pt>
                <c:pt idx="246">
                  <c:v>4.1055397100477453E-2</c:v>
                </c:pt>
                <c:pt idx="247">
                  <c:v>4.1076400448347483E-2</c:v>
                </c:pt>
                <c:pt idx="248">
                  <c:v>4.1097403336190164E-2</c:v>
                </c:pt>
                <c:pt idx="249">
                  <c:v>4.1118405764015709E-2</c:v>
                </c:pt>
                <c:pt idx="250">
                  <c:v>4.1139407731834221E-2</c:v>
                </c:pt>
                <c:pt idx="251">
                  <c:v>4.1160409239655804E-2</c:v>
                </c:pt>
                <c:pt idx="252">
                  <c:v>4.1181410287490339E-2</c:v>
                </c:pt>
                <c:pt idx="253">
                  <c:v>4.120241087534815E-2</c:v>
                </c:pt>
                <c:pt idx="254">
                  <c:v>4.1223411003239119E-2</c:v>
                </c:pt>
                <c:pt idx="255">
                  <c:v>4.1244410671173348E-2</c:v>
                </c:pt>
                <c:pt idx="256">
                  <c:v>4.1265409879161052E-2</c:v>
                </c:pt>
                <c:pt idx="257">
                  <c:v>4.1286408627212112E-2</c:v>
                </c:pt>
                <c:pt idx="258">
                  <c:v>4.1307406915336742E-2</c:v>
                </c:pt>
                <c:pt idx="259">
                  <c:v>4.1328404743545044E-2</c:v>
                </c:pt>
                <c:pt idx="260">
                  <c:v>4.13494021118469E-2</c:v>
                </c:pt>
                <c:pt idx="261">
                  <c:v>4.1370399020252524E-2</c:v>
                </c:pt>
                <c:pt idx="262">
                  <c:v>4.1391395468772019E-2</c:v>
                </c:pt>
                <c:pt idx="263">
                  <c:v>4.1412391457415376E-2</c:v>
                </c:pt>
                <c:pt idx="264">
                  <c:v>4.14333869861927E-2</c:v>
                </c:pt>
                <c:pt idx="265">
                  <c:v>4.1454382055114092E-2</c:v>
                </c:pt>
                <c:pt idx="266">
                  <c:v>4.1475376664189545E-2</c:v>
                </c:pt>
                <c:pt idx="267">
                  <c:v>4.1496370813429273E-2</c:v>
                </c:pt>
                <c:pt idx="268">
                  <c:v>4.1517364502843157E-2</c:v>
                </c:pt>
                <c:pt idx="269">
                  <c:v>4.15383577324413E-2</c:v>
                </c:pt>
                <c:pt idx="270">
                  <c:v>4.1559350502234027E-2</c:v>
                </c:pt>
                <c:pt idx="271">
                  <c:v>4.1580342812231108E-2</c:v>
                </c:pt>
                <c:pt idx="272">
                  <c:v>4.1601334662442646E-2</c:v>
                </c:pt>
                <c:pt idx="273">
                  <c:v>4.1622326052878855E-2</c:v>
                </c:pt>
                <c:pt idx="274">
                  <c:v>4.1643316983549838E-2</c:v>
                </c:pt>
                <c:pt idx="275">
                  <c:v>4.1664307454465477E-2</c:v>
                </c:pt>
                <c:pt idx="276">
                  <c:v>4.1685297465635873E-2</c:v>
                </c:pt>
                <c:pt idx="277">
                  <c:v>4.1706287017071242E-2</c:v>
                </c:pt>
                <c:pt idx="278">
                  <c:v>4.1727276108781575E-2</c:v>
                </c:pt>
                <c:pt idx="279">
                  <c:v>4.1748264740776975E-2</c:v>
                </c:pt>
                <c:pt idx="280">
                  <c:v>4.1769252913067323E-2</c:v>
                </c:pt>
                <c:pt idx="281">
                  <c:v>4.1790240625662944E-2</c:v>
                </c:pt>
                <c:pt idx="282">
                  <c:v>4.181122787857372E-2</c:v>
                </c:pt>
                <c:pt idx="283">
                  <c:v>4.1832214671809864E-2</c:v>
                </c:pt>
                <c:pt idx="284">
                  <c:v>4.1853201005381369E-2</c:v>
                </c:pt>
                <c:pt idx="285">
                  <c:v>4.1874186879298336E-2</c:v>
                </c:pt>
                <c:pt idx="286">
                  <c:v>4.1895172293570648E-2</c:v>
                </c:pt>
                <c:pt idx="287">
                  <c:v>4.1916157248208741E-2</c:v>
                </c:pt>
                <c:pt idx="288">
                  <c:v>4.1937141743222273E-2</c:v>
                </c:pt>
                <c:pt idx="289">
                  <c:v>4.195812577862168E-2</c:v>
                </c:pt>
                <c:pt idx="290">
                  <c:v>4.1979109354416733E-2</c:v>
                </c:pt>
                <c:pt idx="291">
                  <c:v>4.2000092470617645E-2</c:v>
                </c:pt>
                <c:pt idx="292">
                  <c:v>4.202107512723452E-2</c:v>
                </c:pt>
                <c:pt idx="293">
                  <c:v>4.2042057324277349E-2</c:v>
                </c:pt>
                <c:pt idx="294">
                  <c:v>4.2063039061756236E-2</c:v>
                </c:pt>
                <c:pt idx="295">
                  <c:v>4.2084020339681172E-2</c:v>
                </c:pt>
                <c:pt idx="296">
                  <c:v>4.2105001158062261E-2</c:v>
                </c:pt>
                <c:pt idx="297">
                  <c:v>4.2125981516909605E-2</c:v>
                </c:pt>
                <c:pt idx="298">
                  <c:v>4.2146961416233308E-2</c:v>
                </c:pt>
                <c:pt idx="299">
                  <c:v>4.2167940856043251E-2</c:v>
                </c:pt>
                <c:pt idx="300">
                  <c:v>4.2188919836349648E-2</c:v>
                </c:pt>
                <c:pt idx="301">
                  <c:v>4.2209898357162601E-2</c:v>
                </c:pt>
                <c:pt idx="302">
                  <c:v>4.2230876418492103E-2</c:v>
                </c:pt>
                <c:pt idx="303">
                  <c:v>4.2251854020348145E-2</c:v>
                </c:pt>
                <c:pt idx="304">
                  <c:v>4.2272831162740943E-2</c:v>
                </c:pt>
                <c:pt idx="305">
                  <c:v>4.2293807845680487E-2</c:v>
                </c:pt>
                <c:pt idx="306">
                  <c:v>4.231478406917677E-2</c:v>
                </c:pt>
                <c:pt idx="307">
                  <c:v>4.2335759833240005E-2</c:v>
                </c:pt>
                <c:pt idx="308">
                  <c:v>4.2356735137880186E-2</c:v>
                </c:pt>
                <c:pt idx="309">
                  <c:v>4.2377709983107303E-2</c:v>
                </c:pt>
                <c:pt idx="310">
                  <c:v>4.2398684368931461E-2</c:v>
                </c:pt>
                <c:pt idx="311">
                  <c:v>4.2419658295362761E-2</c:v>
                </c:pt>
                <c:pt idx="312">
                  <c:v>4.2440631762411307E-2</c:v>
                </c:pt>
                <c:pt idx="313">
                  <c:v>4.246160477008698E-2</c:v>
                </c:pt>
                <c:pt idx="314">
                  <c:v>4.2482577318400105E-2</c:v>
                </c:pt>
                <c:pt idx="315">
                  <c:v>4.2503549407360453E-2</c:v>
                </c:pt>
                <c:pt idx="316">
                  <c:v>4.2524521036978347E-2</c:v>
                </c:pt>
                <c:pt idx="317">
                  <c:v>4.2545492207263669E-2</c:v>
                </c:pt>
                <c:pt idx="318">
                  <c:v>4.2566462918226522E-2</c:v>
                </c:pt>
                <c:pt idx="319">
                  <c:v>4.2587433169877009E-2</c:v>
                </c:pt>
                <c:pt idx="320">
                  <c:v>4.2608402962225123E-2</c:v>
                </c:pt>
                <c:pt idx="321">
                  <c:v>4.2629372295281076E-2</c:v>
                </c:pt>
                <c:pt idx="322">
                  <c:v>4.2650341169054751E-2</c:v>
                </c:pt>
                <c:pt idx="323">
                  <c:v>4.2671309583556249E-2</c:v>
                </c:pt>
                <c:pt idx="324">
                  <c:v>4.2692277538795675E-2</c:v>
                </c:pt>
                <c:pt idx="325">
                  <c:v>4.2713245034783132E-2</c:v>
                </c:pt>
                <c:pt idx="326">
                  <c:v>4.2734212071528499E-2</c:v>
                </c:pt>
                <c:pt idx="327">
                  <c:v>4.2755178649042103E-2</c:v>
                </c:pt>
                <c:pt idx="328">
                  <c:v>4.2776144767333713E-2</c:v>
                </c:pt>
                <c:pt idx="329">
                  <c:v>4.2797110426413543E-2</c:v>
                </c:pt>
                <c:pt idx="330">
                  <c:v>4.2818075626291696E-2</c:v>
                </c:pt>
                <c:pt idx="331">
                  <c:v>4.2839040366978165E-2</c:v>
                </c:pt>
                <c:pt idx="332">
                  <c:v>4.2860004648482941E-2</c:v>
                </c:pt>
                <c:pt idx="333">
                  <c:v>4.2880968470816239E-2</c:v>
                </c:pt>
                <c:pt idx="334">
                  <c:v>4.2901931833987939E-2</c:v>
                </c:pt>
                <c:pt idx="335">
                  <c:v>4.2922894738008144E-2</c:v>
                </c:pt>
                <c:pt idx="336">
                  <c:v>4.2943857182887069E-2</c:v>
                </c:pt>
                <c:pt idx="337">
                  <c:v>4.2964819168634594E-2</c:v>
                </c:pt>
                <c:pt idx="338">
                  <c:v>4.2985780695260822E-2</c:v>
                </c:pt>
                <c:pt idx="339">
                  <c:v>4.3006741762775857E-2</c:v>
                </c:pt>
                <c:pt idx="340">
                  <c:v>4.3027702371189691E-2</c:v>
                </c:pt>
                <c:pt idx="341">
                  <c:v>4.3048662520512426E-2</c:v>
                </c:pt>
                <c:pt idx="342">
                  <c:v>4.3069622210754166E-2</c:v>
                </c:pt>
                <c:pt idx="343">
                  <c:v>4.3090581441924791E-2</c:v>
                </c:pt>
                <c:pt idx="344">
                  <c:v>4.3111540214034516E-2</c:v>
                </c:pt>
                <c:pt idx="345">
                  <c:v>4.3132498527093333E-2</c:v>
                </c:pt>
                <c:pt idx="346">
                  <c:v>4.3153456381111233E-2</c:v>
                </c:pt>
                <c:pt idx="347">
                  <c:v>4.317441377609843E-2</c:v>
                </c:pt>
                <c:pt idx="348">
                  <c:v>4.3195370712064918E-2</c:v>
                </c:pt>
                <c:pt idx="349">
                  <c:v>4.3216327189020687E-2</c:v>
                </c:pt>
                <c:pt idx="350">
                  <c:v>4.323728320697573E-2</c:v>
                </c:pt>
                <c:pt idx="351">
                  <c:v>4.325823876594026E-2</c:v>
                </c:pt>
                <c:pt idx="352">
                  <c:v>4.3279193865924381E-2</c:v>
                </c:pt>
                <c:pt idx="353">
                  <c:v>4.3300148506937863E-2</c:v>
                </c:pt>
                <c:pt idx="354">
                  <c:v>4.3321102688991031E-2</c:v>
                </c:pt>
                <c:pt idx="355">
                  <c:v>4.3342056412093766E-2</c:v>
                </c:pt>
                <c:pt idx="356">
                  <c:v>4.3363009676256281E-2</c:v>
                </c:pt>
                <c:pt idx="357">
                  <c:v>4.3383962481488458E-2</c:v>
                </c:pt>
                <c:pt idx="358">
                  <c:v>4.3404914827800511E-2</c:v>
                </c:pt>
                <c:pt idx="359">
                  <c:v>4.3425866715202321E-2</c:v>
                </c:pt>
                <c:pt idx="360">
                  <c:v>4.3446818143704102E-2</c:v>
                </c:pt>
                <c:pt idx="361">
                  <c:v>4.3467769113315735E-2</c:v>
                </c:pt>
                <c:pt idx="362">
                  <c:v>4.3488719624047434E-2</c:v>
                </c:pt>
                <c:pt idx="363">
                  <c:v>4.3509669675909191E-2</c:v>
                </c:pt>
                <c:pt idx="364">
                  <c:v>4.3530619268910997E-2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5.3730107844248177E-2</c:v>
                </c:pt>
                <c:pt idx="1">
                  <c:v>5.3791375381847042E-2</c:v>
                </c:pt>
                <c:pt idx="2">
                  <c:v>5.3852672207316418E-2</c:v>
                </c:pt>
                <c:pt idx="3">
                  <c:v>5.3913986259760321E-2</c:v>
                </c:pt>
                <c:pt idx="4">
                  <c:v>5.3975307047260321E-2</c:v>
                </c:pt>
                <c:pt idx="5">
                  <c:v>5.4036625603728343E-2</c:v>
                </c:pt>
                <c:pt idx="6">
                  <c:v>5.4097934433449353E-2</c:v>
                </c:pt>
                <c:pt idx="7">
                  <c:v>5.4159227444253902E-2</c:v>
                </c:pt>
                <c:pt idx="8">
                  <c:v>5.4220499870347751E-2</c:v>
                </c:pt>
                <c:pt idx="9">
                  <c:v>5.4281748185901216E-2</c:v>
                </c:pt>
                <c:pt idx="10">
                  <c:v>5.4342970010565331E-2</c:v>
                </c:pt>
                <c:pt idx="11">
                  <c:v>5.4404164008132701E-2</c:v>
                </c:pt>
                <c:pt idx="12">
                  <c:v>5.4465329779601168E-2</c:v>
                </c:pt>
                <c:pt idx="13">
                  <c:v>5.4526467751923512E-2</c:v>
                </c:pt>
                <c:pt idx="14">
                  <c:v>5.458757906374035E-2</c:v>
                </c:pt>
                <c:pt idx="15">
                  <c:v>5.464866544939375E-2</c:v>
                </c:pt>
                <c:pt idx="16">
                  <c:v>5.4709729122506677E-2</c:v>
                </c:pt>
                <c:pt idx="17">
                  <c:v>5.4770772660388947E-2</c:v>
                </c:pt>
                <c:pt idx="18">
                  <c:v>5.4831798890493687E-2</c:v>
                </c:pt>
                <c:pt idx="19">
                  <c:v>5.4892810780100498E-2</c:v>
                </c:pt>
                <c:pt idx="20">
                  <c:v>5.495381133034228E-2</c:v>
                </c:pt>
                <c:pt idx="21">
                  <c:v>5.5014803475624784E-2</c:v>
                </c:pt>
                <c:pt idx="22">
                  <c:v>5.5075789989408624E-2</c:v>
                </c:pt>
                <c:pt idx="23">
                  <c:v>5.5136773397239026E-2</c:v>
                </c:pt>
                <c:pt idx="24">
                  <c:v>5.5197755897813089E-2</c:v>
                </c:pt>
                <c:pt idx="25">
                  <c:v>5.5258739292776526E-2</c:v>
                </c:pt>
                <c:pt idx="26">
                  <c:v>5.5319724925835423E-2</c:v>
                </c:pt>
                <c:pt idx="27">
                  <c:v>5.5380713631661041E-2</c:v>
                </c:pt>
                <c:pt idx="28">
                  <c:v>5.5441705694953193E-2</c:v>
                </c:pt>
                <c:pt idx="29">
                  <c:v>5.5502700819915075E-2</c:v>
                </c:pt>
                <c:pt idx="30">
                  <c:v>5.5563698110278781E-2</c:v>
                </c:pt>
                <c:pt idx="31">
                  <c:v>5.5624696059907462E-2</c:v>
                </c:pt>
                <c:pt idx="32">
                  <c:v>5.5685692553889728E-2</c:v>
                </c:pt>
                <c:pt idx="33">
                  <c:v>5.5746684879933527E-2</c:v>
                </c:pt>
                <c:pt idx="34">
                  <c:v>5.580766974976286E-2</c:v>
                </c:pt>
                <c:pt idx="35">
                  <c:v>5.5868643330122127E-2</c:v>
                </c:pt>
                <c:pt idx="36">
                  <c:v>5.5929601282899727E-2</c:v>
                </c:pt>
                <c:pt idx="37">
                  <c:v>5.5990538813797036E-2</c:v>
                </c:pt>
                <c:pt idx="38">
                  <c:v>5.6051450728890173E-2</c:v>
                </c:pt>
                <c:pt idx="39">
                  <c:v>5.6112331498362207E-2</c:v>
                </c:pt>
                <c:pt idx="40">
                  <c:v>5.6173175326622617E-2</c:v>
                </c:pt>
                <c:pt idx="41">
                  <c:v>5.6233976227978689E-2</c:v>
                </c:pt>
                <c:pt idx="42">
                  <c:v>5.6294728106982023E-2</c:v>
                </c:pt>
                <c:pt idx="43">
                  <c:v>5.6355424842541531E-2</c:v>
                </c:pt>
                <c:pt idx="44">
                  <c:v>5.6416060374872054E-2</c:v>
                </c:pt>
                <c:pt idx="45">
                  <c:v>5.6476628794337166E-2</c:v>
                </c:pt>
                <c:pt idx="46">
                  <c:v>5.6537124431242286E-2</c:v>
                </c:pt>
                <c:pt idx="47">
                  <c:v>5.659754194564396E-2</c:v>
                </c:pt>
                <c:pt idx="48">
                  <c:v>5.6657876416258475E-2</c:v>
                </c:pt>
                <c:pt idx="49">
                  <c:v>5.6718123427581112E-2</c:v>
                </c:pt>
                <c:pt idx="50">
                  <c:v>5.6778279154363412E-2</c:v>
                </c:pt>
                <c:pt idx="51">
                  <c:v>5.6838340442640328E-2</c:v>
                </c:pt>
                <c:pt idx="52">
                  <c:v>5.6898304886551197E-2</c:v>
                </c:pt>
                <c:pt idx="53">
                  <c:v>5.6958170900257565E-2</c:v>
                </c:pt>
                <c:pt idx="54">
                  <c:v>5.70179377843252E-2</c:v>
                </c:pt>
                <c:pt idx="55">
                  <c:v>5.7077605786008359E-2</c:v>
                </c:pt>
                <c:pt idx="56">
                  <c:v>5.7137176152948076E-2</c:v>
                </c:pt>
                <c:pt idx="57">
                  <c:v>5.7196651179874262E-2</c:v>
                </c:pt>
                <c:pt idx="58">
                  <c:v>5.7256034247981272E-2</c:v>
                </c:pt>
                <c:pt idx="59">
                  <c:v>5.7315329856727798E-2</c:v>
                </c:pt>
                <c:pt idx="60">
                  <c:v>5.7374543647894675E-2</c:v>
                </c:pt>
                <c:pt idx="61">
                  <c:v>5.7433682421814243E-2</c:v>
                </c:pt>
                <c:pt idx="62">
                  <c:v>5.7492754145766295E-2</c:v>
                </c:pt>
                <c:pt idx="63">
                  <c:v>5.7551767954612358E-2</c:v>
                </c:pt>
                <c:pt idx="64">
                  <c:v>5.7610734143814804E-2</c:v>
                </c:pt>
                <c:pt idx="65">
                  <c:v>5.7669664155058149E-2</c:v>
                </c:pt>
                <c:pt idx="66">
                  <c:v>5.7728570554754825E-2</c:v>
                </c:pt>
                <c:pt idx="67">
                  <c:v>5.7787467005779122E-2</c:v>
                </c:pt>
                <c:pt idx="68">
                  <c:v>5.7846368232826448E-2</c:v>
                </c:pt>
                <c:pt idx="69">
                  <c:v>5.790528998184355E-2</c:v>
                </c:pt>
                <c:pt idx="70">
                  <c:v>5.7964248974015746E-2</c:v>
                </c:pt>
                <c:pt idx="71">
                  <c:v>5.8023262854831267E-2</c:v>
                </c:pt>
                <c:pt idx="72">
                  <c:v>5.8082350138768502E-2</c:v>
                </c:pt>
                <c:pt idx="73">
                  <c:v>5.8141530150170574E-2</c:v>
                </c:pt>
                <c:pt idx="74">
                  <c:v>5.8200822960882366E-2</c:v>
                </c:pt>
                <c:pt idx="75">
                  <c:v>5.8260249325227616E-2</c:v>
                </c:pt>
                <c:pt idx="76">
                  <c:v>5.8319830612900234E-2</c:v>
                </c:pt>
                <c:pt idx="77">
                  <c:v>5.8379588740330654E-2</c:v>
                </c:pt>
                <c:pt idx="78">
                  <c:v>5.8439546101070591E-2</c:v>
                </c:pt>
                <c:pt idx="79">
                  <c:v>5.8499725495713403E-2</c:v>
                </c:pt>
                <c:pt idx="80">
                  <c:v>5.8560150061835972E-2</c:v>
                </c:pt>
                <c:pt idx="81">
                  <c:v>5.8620843204411056E-2</c:v>
                </c:pt>
                <c:pt idx="82">
                  <c:v>5.8681828527097434E-2</c:v>
                </c:pt>
                <c:pt idx="83">
                  <c:v>5.8743129764768809E-2</c:v>
                </c:pt>
                <c:pt idx="84">
                  <c:v>5.8804770717593109E-2</c:v>
                </c:pt>
                <c:pt idx="85">
                  <c:v>5.8866775186921676E-2</c:v>
                </c:pt>
                <c:pt idx="86">
                  <c:v>5.892916691319363E-2</c:v>
                </c:pt>
                <c:pt idx="87">
                  <c:v>5.8991969516005792E-2</c:v>
                </c:pt>
                <c:pt idx="88">
                  <c:v>5.9055206436442943E-2</c:v>
                </c:pt>
                <c:pt idx="89">
                  <c:v>5.9118900881708576E-2</c:v>
                </c:pt>
                <c:pt idx="90">
                  <c:v>5.9183075772042806E-2</c:v>
                </c:pt>
                <c:pt idx="91">
                  <c:v>5.9247753689863174E-2</c:v>
                </c:pt>
                <c:pt idx="92">
                  <c:v>5.9312956831015465E-2</c:v>
                </c:pt>
                <c:pt idx="93">
                  <c:v>5.9378706957977472E-2</c:v>
                </c:pt>
                <c:pt idx="94">
                  <c:v>5.9445025354818333E-2</c:v>
                </c:pt>
                <c:pt idx="95">
                  <c:v>5.9511932783680534E-2</c:v>
                </c:pt>
                <c:pt idx="96">
                  <c:v>5.9579449442522393E-2</c:v>
                </c:pt>
                <c:pt idx="97">
                  <c:v>5.9647594923834313E-2</c:v>
                </c:pt>
                <c:pt idx="98">
                  <c:v>5.9716388174025345E-2</c:v>
                </c:pt>
                <c:pt idx="99">
                  <c:v>5.9785847453165057E-2</c:v>
                </c:pt>
                <c:pt idx="100">
                  <c:v>5.9855990294761886E-2</c:v>
                </c:pt>
                <c:pt idx="101">
                  <c:v>5.9926833465262161E-2</c:v>
                </c:pt>
                <c:pt idx="102">
                  <c:v>5.9998392922963779E-2</c:v>
                </c:pt>
                <c:pt idx="103">
                  <c:v>6.0070683776054935E-2</c:v>
                </c:pt>
                <c:pt idx="104">
                  <c:v>6.0143720239512456E-2</c:v>
                </c:pt>
                <c:pt idx="105">
                  <c:v>6.0217515590623751E-2</c:v>
                </c:pt>
                <c:pt idx="106">
                  <c:v>6.029208212293246E-2</c:v>
                </c:pt>
                <c:pt idx="107">
                  <c:v>6.0367431098450226E-2</c:v>
                </c:pt>
                <c:pt idx="108">
                  <c:v>6.0443572698023106E-2</c:v>
                </c:pt>
                <c:pt idx="109">
                  <c:v>6.0520515969793534E-2</c:v>
                </c:pt>
                <c:pt idx="110">
                  <c:v>6.0598268775753437E-2</c:v>
                </c:pt>
                <c:pt idx="111">
                  <c:v>6.0676837736443223E-2</c:v>
                </c:pt>
                <c:pt idx="112">
                  <c:v>6.0756228173912193E-2</c:v>
                </c:pt>
                <c:pt idx="113">
                  <c:v>6.0836444053118353E-2</c:v>
                </c:pt>
                <c:pt idx="114">
                  <c:v>6.0917487922009503E-2</c:v>
                </c:pt>
                <c:pt idx="115">
                  <c:v>6.0999360850589851E-2</c:v>
                </c:pt>
                <c:pt idx="116">
                  <c:v>6.1082062369339545E-2</c:v>
                </c:pt>
                <c:pt idx="117">
                  <c:v>6.1165590407413699E-2</c:v>
                </c:pt>
                <c:pt idx="118">
                  <c:v>6.1249941231105838E-2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4.7529337045168534E-4</c:v>
                </c:pt>
                <c:pt idx="1">
                  <c:v>4.7217748817013773E-4</c:v>
                </c:pt>
                <c:pt idx="2">
                  <c:v>4.687419930276542E-4</c:v>
                </c:pt>
                <c:pt idx="3">
                  <c:v>4.6501595910478262E-4</c:v>
                </c:pt>
                <c:pt idx="4">
                  <c:v>4.6102752578839143E-4</c:v>
                </c:pt>
                <c:pt idx="5">
                  <c:v>4.56803748477505E-4</c:v>
                </c:pt>
                <c:pt idx="6">
                  <c:v>4.5237048193409447E-4</c:v>
                </c:pt>
                <c:pt idx="7">
                  <c:v>4.4775229280232936E-4</c:v>
                </c:pt>
                <c:pt idx="8">
                  <c:v>4.4291135106128122E-4</c:v>
                </c:pt>
                <c:pt idx="9">
                  <c:v>4.3729131536827948E-4</c:v>
                </c:pt>
                <c:pt idx="10">
                  <c:v>4.3075898427625371E-4</c:v>
                </c:pt>
                <c:pt idx="11">
                  <c:v>4.2334401016396752E-4</c:v>
                </c:pt>
                <c:pt idx="12">
                  <c:v>4.1507628184658162E-4</c:v>
                </c:pt>
                <c:pt idx="13">
                  <c:v>4.0598577837893193E-4</c:v>
                </c:pt>
                <c:pt idx="14">
                  <c:v>3.9610243284042633E-4</c:v>
                </c:pt>
                <c:pt idx="15">
                  <c:v>3.8543892415879359E-4</c:v>
                </c:pt>
                <c:pt idx="16">
                  <c:v>3.7438922608063721E-4</c:v>
                </c:pt>
                <c:pt idx="17">
                  <c:v>3.6297275644698907E-4</c:v>
                </c:pt>
                <c:pt idx="18">
                  <c:v>3.5120840366695516E-4</c:v>
                </c:pt>
                <c:pt idx="19">
                  <c:v>3.3911637763640493E-4</c:v>
                </c:pt>
                <c:pt idx="20">
                  <c:v>3.2671683197140345E-4</c:v>
                </c:pt>
                <c:pt idx="21">
                  <c:v>3.1402751571672549E-4</c:v>
                </c:pt>
                <c:pt idx="22">
                  <c:v>3.0103712642383693E-4</c:v>
                </c:pt>
                <c:pt idx="23">
                  <c:v>2.8802378738115896E-4</c:v>
                </c:pt>
                <c:pt idx="24">
                  <c:v>2.7545480294619831E-4</c:v>
                </c:pt>
                <c:pt idx="25">
                  <c:v>2.6333587166922498E-4</c:v>
                </c:pt>
                <c:pt idx="26">
                  <c:v>2.5167013307705101E-4</c:v>
                </c:pt>
                <c:pt idx="27">
                  <c:v>2.4045844307590109E-4</c:v>
                </c:pt>
                <c:pt idx="28">
                  <c:v>2.2969964113206474E-4</c:v>
                </c:pt>
                <c:pt idx="29">
                  <c:v>2.1965739538064142E-4</c:v>
                </c:pt>
                <c:pt idx="30">
                  <c:v>2.1033392374886198E-4</c:v>
                </c:pt>
                <c:pt idx="31">
                  <c:v>2.0171518214156216E-4</c:v>
                </c:pt>
                <c:pt idx="32">
                  <c:v>1.9378645137905606E-4</c:v>
                </c:pt>
                <c:pt idx="33">
                  <c:v>1.8653259594376083E-4</c:v>
                </c:pt>
                <c:pt idx="34">
                  <c:v>1.7993829750890091E-4</c:v>
                </c:pt>
                <c:pt idx="35">
                  <c:v>1.7398826467059027E-4</c:v>
                </c:pt>
                <c:pt idx="36">
                  <c:v>1.6865699274922603E-4</c:v>
                </c:pt>
                <c:pt idx="37">
                  <c:v>1.6439159900503254E-4</c:v>
                </c:pt>
                <c:pt idx="38">
                  <c:v>1.6092124958178741E-4</c:v>
                </c:pt>
                <c:pt idx="39">
                  <c:v>1.5822324773740346E-4</c:v>
                </c:pt>
                <c:pt idx="40">
                  <c:v>1.5627582099983454E-4</c:v>
                </c:pt>
                <c:pt idx="41">
                  <c:v>1.5505803988717152E-4</c:v>
                </c:pt>
                <c:pt idx="42">
                  <c:v>1.5454974301249823E-4</c:v>
                </c:pt>
                <c:pt idx="43">
                  <c:v>1.5524101161008632E-4</c:v>
                </c:pt>
                <c:pt idx="44">
                  <c:v>1.5686843653411328E-4</c:v>
                </c:pt>
                <c:pt idx="45">
                  <c:v>1.5940704174835892E-4</c:v>
                </c:pt>
                <c:pt idx="46">
                  <c:v>1.6283257111455917E-4</c:v>
                </c:pt>
                <c:pt idx="47">
                  <c:v>1.6712142370217233E-4</c:v>
                </c:pt>
                <c:pt idx="48">
                  <c:v>1.7225059640054455E-4</c:v>
                </c:pt>
                <c:pt idx="49">
                  <c:v>1.7819763366340194E-4</c:v>
                </c:pt>
                <c:pt idx="50">
                  <c:v>1.8493985274215801E-4</c:v>
                </c:pt>
                <c:pt idx="51">
                  <c:v>1.9169051849441657E-4</c:v>
                </c:pt>
                <c:pt idx="52">
                  <c:v>1.9803321096846963E-4</c:v>
                </c:pt>
                <c:pt idx="53">
                  <c:v>2.039781825595596E-4</c:v>
                </c:pt>
                <c:pt idx="54">
                  <c:v>2.0953657231076198E-4</c:v>
                </c:pt>
                <c:pt idx="55">
                  <c:v>2.1471946960343664E-4</c:v>
                </c:pt>
                <c:pt idx="56">
                  <c:v>2.1953789657084552E-4</c:v>
                </c:pt>
                <c:pt idx="57">
                  <c:v>2.2278840191661519E-4</c:v>
                </c:pt>
                <c:pt idx="58">
                  <c:v>2.2406125364175477E-4</c:v>
                </c:pt>
                <c:pt idx="59">
                  <c:v>2.2340596970046734E-4</c:v>
                </c:pt>
                <c:pt idx="60">
                  <c:v>2.2087045933322181E-4</c:v>
                </c:pt>
                <c:pt idx="61">
                  <c:v>2.1650093222176737E-4</c:v>
                </c:pt>
                <c:pt idx="62">
                  <c:v>2.1034181066062403E-4</c:v>
                </c:pt>
                <c:pt idx="63">
                  <c:v>2.0243564409673355E-4</c:v>
                </c:pt>
                <c:pt idx="64">
                  <c:v>1.9281768047713064E-4</c:v>
                </c:pt>
                <c:pt idx="65">
                  <c:v>1.818330920664132E-4</c:v>
                </c:pt>
                <c:pt idx="66">
                  <c:v>1.7019188848123651E-4</c:v>
                </c:pt>
                <c:pt idx="67">
                  <c:v>1.5790888485309065E-4</c:v>
                </c:pt>
                <c:pt idx="68">
                  <c:v>1.4499799902672469E-4</c:v>
                </c:pt>
                <c:pt idx="69">
                  <c:v>1.3147221245506593E-4</c:v>
                </c:pt>
                <c:pt idx="70">
                  <c:v>1.173435316001965E-4</c:v>
                </c:pt>
                <c:pt idx="71">
                  <c:v>1.0325537457396893E-4</c:v>
                </c:pt>
                <c:pt idx="72">
                  <c:v>9.0291054696479652E-5</c:v>
                </c:pt>
                <c:pt idx="73">
                  <c:v>7.8425582369335802E-5</c:v>
                </c:pt>
                <c:pt idx="74">
                  <c:v>6.7634654970385094E-5</c:v>
                </c:pt>
                <c:pt idx="75">
                  <c:v>5.7894702728865907E-5</c:v>
                </c:pt>
                <c:pt idx="76">
                  <c:v>4.9182933761527123E-5</c:v>
                </c:pt>
                <c:pt idx="77">
                  <c:v>4.1477378199222824E-5</c:v>
                </c:pt>
                <c:pt idx="78">
                  <c:v>3.4754978744491452E-5</c:v>
                </c:pt>
                <c:pt idx="79">
                  <c:v>2.9060448129040189E-5</c:v>
                </c:pt>
                <c:pt idx="80">
                  <c:v>2.4095724556404819E-5</c:v>
                </c:pt>
                <c:pt idx="81">
                  <c:v>1.9847616924047294E-5</c:v>
                </c:pt>
                <c:pt idx="82">
                  <c:v>1.6303135918926436E-5</c:v>
                </c:pt>
                <c:pt idx="83">
                  <c:v>1.3449666785856751E-5</c:v>
                </c:pt>
                <c:pt idx="84">
                  <c:v>1.1275130632839203E-5</c:v>
                </c:pt>
                <c:pt idx="85">
                  <c:v>9.828598133495212E-6</c:v>
                </c:pt>
                <c:pt idx="86">
                  <c:v>8.5199317374626737E-6</c:v>
                </c:pt>
                <c:pt idx="87">
                  <c:v>7.3466028826589063E-6</c:v>
                </c:pt>
                <c:pt idx="88">
                  <c:v>6.3062101889495595E-6</c:v>
                </c:pt>
                <c:pt idx="89">
                  <c:v>5.3965065204395507E-6</c:v>
                </c:pt>
                <c:pt idx="90">
                  <c:v>4.6154245006633566E-6</c:v>
                </c:pt>
                <c:pt idx="91">
                  <c:v>3.9611007054593404E-6</c:v>
                </c:pt>
                <c:pt idx="92">
                  <c:v>3.4317193493961737E-6</c:v>
                </c:pt>
                <c:pt idx="93">
                  <c:v>3.0749306992832898E-6</c:v>
                </c:pt>
                <c:pt idx="94">
                  <c:v>2.8278942305238294E-6</c:v>
                </c:pt>
                <c:pt idx="95">
                  <c:v>2.6897970697234364E-6</c:v>
                </c:pt>
                <c:pt idx="96">
                  <c:v>2.6600226449658712E-6</c:v>
                </c:pt>
                <c:pt idx="97">
                  <c:v>2.7381533442580262E-6</c:v>
                </c:pt>
                <c:pt idx="98">
                  <c:v>2.9239732927941721E-6</c:v>
                </c:pt>
                <c:pt idx="99">
                  <c:v>3.3026648700765739E-6</c:v>
                </c:pt>
                <c:pt idx="100">
                  <c:v>3.8154801948268643E-6</c:v>
                </c:pt>
                <c:pt idx="101">
                  <c:v>4.4626380971225909E-6</c:v>
                </c:pt>
                <c:pt idx="102">
                  <c:v>5.2446042401640828E-6</c:v>
                </c:pt>
                <c:pt idx="103">
                  <c:v>6.1620935946588325E-6</c:v>
                </c:pt>
                <c:pt idx="104">
                  <c:v>7.2160729546568929E-6</c:v>
                </c:pt>
                <c:pt idx="105">
                  <c:v>8.4077634872997112E-6</c:v>
                </c:pt>
                <c:pt idx="106">
                  <c:v>9.7387136778873517E-6</c:v>
                </c:pt>
                <c:pt idx="107">
                  <c:v>1.1353232189929983E-5</c:v>
                </c:pt>
                <c:pt idx="108">
                  <c:v>1.3204585123599954E-5</c:v>
                </c:pt>
                <c:pt idx="109">
                  <c:v>1.5295417603297864E-5</c:v>
                </c:pt>
                <c:pt idx="110">
                  <c:v>1.7628789924833048E-5</c:v>
                </c:pt>
                <c:pt idx="111">
                  <c:v>2.0208144344935876E-5</c:v>
                </c:pt>
                <c:pt idx="112">
                  <c:v>2.3037232452621692E-5</c:v>
                </c:pt>
                <c:pt idx="113">
                  <c:v>2.6327888357849692E-5</c:v>
                </c:pt>
                <c:pt idx="114">
                  <c:v>2.9999603899853246E-5</c:v>
                </c:pt>
                <c:pt idx="115">
                  <c:v>3.4058335256127769E-5</c:v>
                </c:pt>
                <c:pt idx="116">
                  <c:v>3.8510493528385113E-5</c:v>
                </c:pt>
                <c:pt idx="117">
                  <c:v>4.3362917612309456E-5</c:v>
                </c:pt>
                <c:pt idx="118">
                  <c:v>4.8622845276875102E-5</c:v>
                </c:pt>
                <c:pt idx="119">
                  <c:v>5.4297882257696985E-5</c:v>
                </c:pt>
                <c:pt idx="120">
                  <c:v>6.039698331134936E-5</c:v>
                </c:pt>
                <c:pt idx="121">
                  <c:v>6.7293701273821776E-5</c:v>
                </c:pt>
                <c:pt idx="122">
                  <c:v>7.4854079920611834E-5</c:v>
                </c:pt>
                <c:pt idx="123">
                  <c:v>8.3092624535359257E-5</c:v>
                </c:pt>
                <c:pt idx="124">
                  <c:v>9.2024596589476441E-5</c:v>
                </c:pt>
                <c:pt idx="125">
                  <c:v>1.0166597910284712E-4</c:v>
                </c:pt>
                <c:pt idx="126">
                  <c:v>1.1203343861636873E-4</c:v>
                </c:pt>
                <c:pt idx="127">
                  <c:v>1.2259112026610609E-4</c:v>
                </c:pt>
                <c:pt idx="128">
                  <c:v>1.3312511370423645E-4</c:v>
                </c:pt>
                <c:pt idx="129">
                  <c:v>1.4363962278251551E-4</c:v>
                </c:pt>
                <c:pt idx="130">
                  <c:v>1.5413849147368616E-4</c:v>
                </c:pt>
                <c:pt idx="131">
                  <c:v>1.6462519984195386E-4</c:v>
                </c:pt>
                <c:pt idx="132">
                  <c:v>1.7510286006743668E-4</c:v>
                </c:pt>
                <c:pt idx="133">
                  <c:v>1.8557421250214211E-4</c:v>
                </c:pt>
                <c:pt idx="134">
                  <c:v>1.9604389711942472E-4</c:v>
                </c:pt>
                <c:pt idx="135">
                  <c:v>2.0524537417630179E-4</c:v>
                </c:pt>
                <c:pt idx="136">
                  <c:v>2.1274499008849221E-4</c:v>
                </c:pt>
                <c:pt idx="137">
                  <c:v>2.1850204462769886E-4</c:v>
                </c:pt>
                <c:pt idx="138">
                  <c:v>2.2247368869653851E-4</c:v>
                </c:pt>
                <c:pt idx="139">
                  <c:v>2.246150960090091E-4</c:v>
                </c:pt>
                <c:pt idx="140">
                  <c:v>2.2487964659172169E-4</c:v>
                </c:pt>
                <c:pt idx="141">
                  <c:v>2.2335408446197958E-4</c:v>
                </c:pt>
                <c:pt idx="142">
                  <c:v>2.2059999303075903E-4</c:v>
                </c:pt>
                <c:pt idx="143">
                  <c:v>2.1658063893777461E-4</c:v>
                </c:pt>
                <c:pt idx="144">
                  <c:v>2.1125996830312856E-4</c:v>
                </c:pt>
                <c:pt idx="145">
                  <c:v>2.0460139038782556E-4</c:v>
                </c:pt>
                <c:pt idx="146">
                  <c:v>1.9656792209612529E-4</c:v>
                </c:pt>
                <c:pt idx="147">
                  <c:v>1.8712233871414139E-4</c:v>
                </c:pt>
                <c:pt idx="148">
                  <c:v>1.7622817114664076E-4</c:v>
                </c:pt>
                <c:pt idx="149">
                  <c:v>1.645728549459904E-4</c:v>
                </c:pt>
                <c:pt idx="150">
                  <c:v>1.5357824300004592E-4</c:v>
                </c:pt>
                <c:pt idx="151">
                  <c:v>1.432617537798902E-4</c:v>
                </c:pt>
                <c:pt idx="152">
                  <c:v>1.3364115434458807E-4</c:v>
                </c:pt>
                <c:pt idx="153">
                  <c:v>1.2473451624747339E-4</c:v>
                </c:pt>
                <c:pt idx="154">
                  <c:v>1.1656017076234077E-4</c:v>
                </c:pt>
                <c:pt idx="155">
                  <c:v>1.0927698878687908E-4</c:v>
                </c:pt>
                <c:pt idx="156">
                  <c:v>1.0276444441247822E-4</c:v>
                </c:pt>
                <c:pt idx="157">
                  <c:v>9.704365655563855E-5</c:v>
                </c:pt>
                <c:pt idx="158">
                  <c:v>9.2135886865668141E-5</c:v>
                </c:pt>
                <c:pt idx="159">
                  <c:v>8.8062492356938448E-5</c:v>
                </c:pt>
                <c:pt idx="160">
                  <c:v>8.484488021770679E-5</c:v>
                </c:pt>
                <c:pt idx="161">
                  <c:v>8.2504465414888318E-5</c:v>
                </c:pt>
                <c:pt idx="162">
                  <c:v>8.1063475650268175E-5</c:v>
                </c:pt>
                <c:pt idx="163">
                  <c:v>8.0559510351600077E-5</c:v>
                </c:pt>
                <c:pt idx="164">
                  <c:v>8.0200398676632612E-5</c:v>
                </c:pt>
                <c:pt idx="165">
                  <c:v>7.9989610793033999E-5</c:v>
                </c:pt>
                <c:pt idx="166">
                  <c:v>7.9930648363935134E-5</c:v>
                </c:pt>
                <c:pt idx="167">
                  <c:v>8.0027026369647539E-5</c:v>
                </c:pt>
                <c:pt idx="168">
                  <c:v>8.0282255123171044E-5</c:v>
                </c:pt>
                <c:pt idx="169">
                  <c:v>8.0717073687360311E-5</c:v>
                </c:pt>
                <c:pt idx="170">
                  <c:v>8.1177288910796314E-5</c:v>
                </c:pt>
                <c:pt idx="171">
                  <c:v>8.1663525175246844E-5</c:v>
                </c:pt>
                <c:pt idx="172">
                  <c:v>8.2176414330419767E-5</c:v>
                </c:pt>
                <c:pt idx="173">
                  <c:v>8.2715745456105966E-5</c:v>
                </c:pt>
                <c:pt idx="174">
                  <c:v>8.3281238025804312E-5</c:v>
                </c:pt>
                <c:pt idx="175">
                  <c:v>8.3873413554211155E-5</c:v>
                </c:pt>
                <c:pt idx="176">
                  <c:v>8.4494225396395078E-5</c:v>
                </c:pt>
                <c:pt idx="177">
                  <c:v>8.5311928237427254E-5</c:v>
                </c:pt>
                <c:pt idx="178">
                  <c:v>8.6311509933598447E-5</c:v>
                </c:pt>
                <c:pt idx="179">
                  <c:v>8.7496404787888908E-5</c:v>
                </c:pt>
                <c:pt idx="180">
                  <c:v>8.8869947370463171E-5</c:v>
                </c:pt>
                <c:pt idx="181">
                  <c:v>9.0435373395823928E-5</c:v>
                </c:pt>
                <c:pt idx="182">
                  <c:v>9.219582170770506E-5</c:v>
                </c:pt>
                <c:pt idx="183">
                  <c:v>9.5066878971771779E-5</c:v>
                </c:pt>
                <c:pt idx="184">
                  <c:v>9.9043953641945448E-5</c:v>
                </c:pt>
                <c:pt idx="185">
                  <c:v>1.0414158864894445E-4</c:v>
                </c:pt>
                <c:pt idx="186">
                  <c:v>1.1037375276980746E-4</c:v>
                </c:pt>
                <c:pt idx="187">
                  <c:v>1.1775388020013458E-4</c:v>
                </c:pt>
                <c:pt idx="188">
                  <c:v>1.2629491434111966E-4</c:v>
                </c:pt>
                <c:pt idx="189">
                  <c:v>1.3600935524908555E-4</c:v>
                </c:pt>
                <c:pt idx="190">
                  <c:v>1.4690986698631095E-4</c:v>
                </c:pt>
                <c:pt idx="191">
                  <c:v>1.5916096661901691E-4</c:v>
                </c:pt>
                <c:pt idx="192">
                  <c:v>1.7259546627175636E-4</c:v>
                </c:pt>
                <c:pt idx="193">
                  <c:v>1.8722260837271588E-4</c:v>
                </c:pt>
                <c:pt idx="194">
                  <c:v>2.0305146123271301E-4</c:v>
                </c:pt>
                <c:pt idx="195">
                  <c:v>2.2009095347964242E-4</c:v>
                </c:pt>
                <c:pt idx="196">
                  <c:v>2.3834990683463273E-4</c:v>
                </c:pt>
                <c:pt idx="197">
                  <c:v>2.5591878555542946E-4</c:v>
                </c:pt>
                <c:pt idx="198">
                  <c:v>2.7181738040742154E-4</c:v>
                </c:pt>
                <c:pt idx="199">
                  <c:v>2.8602464103194618E-4</c:v>
                </c:pt>
                <c:pt idx="200">
                  <c:v>2.9852018492764165E-4</c:v>
                </c:pt>
                <c:pt idx="201">
                  <c:v>3.0928423438585616E-4</c:v>
                </c:pt>
                <c:pt idx="202">
                  <c:v>3.1829755422259289E-4</c:v>
                </c:pt>
                <c:pt idx="203">
                  <c:v>3.2554139121719286E-4</c:v>
                </c:pt>
                <c:pt idx="204">
                  <c:v>3.3099837037176244E-4</c:v>
                </c:pt>
                <c:pt idx="205">
                  <c:v>3.3381866849850199E-4</c:v>
                </c:pt>
                <c:pt idx="206">
                  <c:v>3.3382445139385674E-4</c:v>
                </c:pt>
                <c:pt idx="207">
                  <c:v>3.3099159501565219E-4</c:v>
                </c:pt>
                <c:pt idx="208">
                  <c:v>3.252960581338753E-4</c:v>
                </c:pt>
                <c:pt idx="209">
                  <c:v>3.167138045526175E-4</c:v>
                </c:pt>
                <c:pt idx="210">
                  <c:v>3.0522073311240312E-4</c:v>
                </c:pt>
                <c:pt idx="211">
                  <c:v>2.9144319806942063E-4</c:v>
                </c:pt>
                <c:pt idx="212">
                  <c:v>2.7737723267958121E-4</c:v>
                </c:pt>
                <c:pt idx="213">
                  <c:v>2.630230793280877E-4</c:v>
                </c:pt>
                <c:pt idx="214">
                  <c:v>2.4838073984808799E-4</c:v>
                </c:pt>
                <c:pt idx="215">
                  <c:v>2.3344998824111933E-4</c:v>
                </c:pt>
                <c:pt idx="216">
                  <c:v>2.1823038411436862E-4</c:v>
                </c:pt>
                <c:pt idx="217">
                  <c:v>2.0272128663516141E-4</c:v>
                </c:pt>
                <c:pt idx="218">
                  <c:v>1.8692111511187879E-4</c:v>
                </c:pt>
                <c:pt idx="219">
                  <c:v>1.7117894869446505E-4</c:v>
                </c:pt>
                <c:pt idx="220">
                  <c:v>1.5636386182751234E-4</c:v>
                </c:pt>
                <c:pt idx="221">
                  <c:v>1.4248500447857807E-4</c:v>
                </c:pt>
                <c:pt idx="222">
                  <c:v>1.2955142148163707E-4</c:v>
                </c:pt>
                <c:pt idx="223">
                  <c:v>1.175720838117404E-4</c:v>
                </c:pt>
                <c:pt idx="224">
                  <c:v>1.0655591790312383E-4</c:v>
                </c:pt>
                <c:pt idx="225">
                  <c:v>9.6766961258749372E-5</c:v>
                </c:pt>
                <c:pt idx="226">
                  <c:v>8.7534246705885964E-5</c:v>
                </c:pt>
                <c:pt idx="227">
                  <c:v>7.8862550283308359E-5</c:v>
                </c:pt>
                <c:pt idx="228">
                  <c:v>7.0756669250958537E-5</c:v>
                </c:pt>
                <c:pt idx="229">
                  <c:v>6.322143512526817E-5</c:v>
                </c:pt>
                <c:pt idx="230">
                  <c:v>5.6261726010903443E-5</c:v>
                </c:pt>
                <c:pt idx="231">
                  <c:v>4.988247834669506E-5</c:v>
                </c:pt>
                <c:pt idx="232">
                  <c:v>4.4087003792275874E-5</c:v>
                </c:pt>
                <c:pt idx="233">
                  <c:v>3.9038154905649453E-5</c:v>
                </c:pt>
                <c:pt idx="234">
                  <c:v>3.4378272796917395E-5</c:v>
                </c:pt>
                <c:pt idx="235">
                  <c:v>3.0111809118932536E-5</c:v>
                </c:pt>
                <c:pt idx="236">
                  <c:v>2.624293954717462E-5</c:v>
                </c:pt>
                <c:pt idx="237">
                  <c:v>2.2775594427291994E-5</c:v>
                </c:pt>
                <c:pt idx="238">
                  <c:v>1.9713542985163718E-5</c:v>
                </c:pt>
                <c:pt idx="239">
                  <c:v>1.7170379692152045E-5</c:v>
                </c:pt>
                <c:pt idx="240">
                  <c:v>1.4884194798540884E-5</c:v>
                </c:pt>
                <c:pt idx="241">
                  <c:v>1.2857281474207837E-5</c:v>
                </c:pt>
                <c:pt idx="242">
                  <c:v>1.1091930574793942E-5</c:v>
                </c:pt>
                <c:pt idx="243">
                  <c:v>9.5904734623957435E-6</c:v>
                </c:pt>
                <c:pt idx="244">
                  <c:v>8.3553263666515407E-6</c:v>
                </c:pt>
                <c:pt idx="245">
                  <c:v>7.389036474057034E-6</c:v>
                </c:pt>
                <c:pt idx="246">
                  <c:v>6.6941753960352267E-6</c:v>
                </c:pt>
                <c:pt idx="247">
                  <c:v>6.4232478289287437E-6</c:v>
                </c:pt>
                <c:pt idx="248">
                  <c:v>6.4149357374422568E-6</c:v>
                </c:pt>
                <c:pt idx="249">
                  <c:v>6.6725000577744521E-6</c:v>
                </c:pt>
                <c:pt idx="250">
                  <c:v>7.1993771405215027E-6</c:v>
                </c:pt>
                <c:pt idx="251">
                  <c:v>7.9991614468574469E-6</c:v>
                </c:pt>
                <c:pt idx="252">
                  <c:v>9.0755869955887806E-6</c:v>
                </c:pt>
                <c:pt idx="253">
                  <c:v>1.0590414106050918E-5</c:v>
                </c:pt>
                <c:pt idx="254">
                  <c:v>1.2433084946900577E-5</c:v>
                </c:pt>
                <c:pt idx="255">
                  <c:v>1.4608270717892857E-5</c:v>
                </c:pt>
                <c:pt idx="256">
                  <c:v>1.7120701393976968E-5</c:v>
                </c:pt>
                <c:pt idx="257">
                  <c:v>1.9975135012615004E-5</c:v>
                </c:pt>
                <c:pt idx="258">
                  <c:v>2.3176324674120383E-5</c:v>
                </c:pt>
                <c:pt idx="259">
                  <c:v>2.6728983164917943E-5</c:v>
                </c:pt>
                <c:pt idx="260">
                  <c:v>3.0639587715944429E-5</c:v>
                </c:pt>
                <c:pt idx="261">
                  <c:v>3.6188712981106114E-5</c:v>
                </c:pt>
                <c:pt idx="262">
                  <c:v>4.3240537986329198E-5</c:v>
                </c:pt>
                <c:pt idx="263">
                  <c:v>5.1818084333123713E-5</c:v>
                </c:pt>
                <c:pt idx="264">
                  <c:v>6.1944667209313801E-5</c:v>
                </c:pt>
                <c:pt idx="265">
                  <c:v>7.364400438878838E-5</c:v>
                </c:pt>
                <c:pt idx="266">
                  <c:v>8.6939573869713186E-5</c:v>
                </c:pt>
                <c:pt idx="267">
                  <c:v>1.0229950353955608E-4</c:v>
                </c:pt>
                <c:pt idx="268">
                  <c:v>1.1958203797675046E-4</c:v>
                </c:pt>
                <c:pt idx="269">
                  <c:v>1.3881153196148831E-4</c:v>
                </c:pt>
                <c:pt idx="270">
                  <c:v>1.6001047592116203E-4</c:v>
                </c:pt>
                <c:pt idx="271">
                  <c:v>1.8319899472035749E-4</c:v>
                </c:pt>
                <c:pt idx="272">
                  <c:v>2.0839432223002918E-4</c:v>
                </c:pt>
                <c:pt idx="273">
                  <c:v>2.3561025343635676E-4</c:v>
                </c:pt>
                <c:pt idx="274">
                  <c:v>2.6486945640877903E-4</c:v>
                </c:pt>
                <c:pt idx="275">
                  <c:v>2.9370723729661789E-4</c:v>
                </c:pt>
                <c:pt idx="276">
                  <c:v>3.207375998181637E-4</c:v>
                </c:pt>
                <c:pt idx="277">
                  <c:v>3.4592756576810505E-4</c:v>
                </c:pt>
                <c:pt idx="278">
                  <c:v>3.6924456644009862E-4</c:v>
                </c:pt>
                <c:pt idx="279">
                  <c:v>3.9065655147653232E-4</c:v>
                </c:pt>
                <c:pt idx="280">
                  <c:v>4.1013209594186373E-4</c:v>
                </c:pt>
                <c:pt idx="281">
                  <c:v>4.2638799193014368E-4</c:v>
                </c:pt>
                <c:pt idx="282">
                  <c:v>4.3890331642049293E-4</c:v>
                </c:pt>
                <c:pt idx="283">
                  <c:v>4.4762945431688235E-4</c:v>
                </c:pt>
                <c:pt idx="284">
                  <c:v>4.5251958196208017E-4</c:v>
                </c:pt>
                <c:pt idx="285">
                  <c:v>4.5352876515692249E-4</c:v>
                </c:pt>
                <c:pt idx="286">
                  <c:v>4.5061403424479564E-4</c:v>
                </c:pt>
                <c:pt idx="287">
                  <c:v>4.437344335249341E-4</c:v>
                </c:pt>
                <c:pt idx="288">
                  <c:v>4.3286122870806387E-4</c:v>
                </c:pt>
                <c:pt idx="289">
                  <c:v>4.1904306367673947E-4</c:v>
                </c:pt>
                <c:pt idx="290">
                  <c:v>4.0489225586998548E-4</c:v>
                </c:pt>
                <c:pt idx="291">
                  <c:v>3.9040565181084296E-4</c:v>
                </c:pt>
                <c:pt idx="292">
                  <c:v>3.7558071426143692E-4</c:v>
                </c:pt>
                <c:pt idx="293">
                  <c:v>3.6041553485340917E-4</c:v>
                </c:pt>
                <c:pt idx="294">
                  <c:v>3.4490884559122687E-4</c:v>
                </c:pt>
                <c:pt idx="295">
                  <c:v>3.298341152526691E-4</c:v>
                </c:pt>
                <c:pt idx="296">
                  <c:v>3.1651942043072211E-4</c:v>
                </c:pt>
                <c:pt idx="297">
                  <c:v>3.0498452804100844E-4</c:v>
                </c:pt>
                <c:pt idx="298">
                  <c:v>2.9524587850280324E-4</c:v>
                </c:pt>
                <c:pt idx="299">
                  <c:v>2.8731929437610223E-4</c:v>
                </c:pt>
                <c:pt idx="300">
                  <c:v>2.812198365757545E-4</c:v>
                </c:pt>
                <c:pt idx="301">
                  <c:v>2.7696166213134925E-4</c:v>
                </c:pt>
                <c:pt idx="302">
                  <c:v>2.7457363191938294E-4</c:v>
                </c:pt>
                <c:pt idx="303">
                  <c:v>2.7449420312534116E-4</c:v>
                </c:pt>
                <c:pt idx="304">
                  <c:v>2.7561292284278478E-4</c:v>
                </c:pt>
                <c:pt idx="305">
                  <c:v>2.779370761254251E-4</c:v>
                </c:pt>
                <c:pt idx="306">
                  <c:v>2.8147385117897422E-4</c:v>
                </c:pt>
                <c:pt idx="307">
                  <c:v>2.8623028588331876E-4</c:v>
                </c:pt>
                <c:pt idx="308">
                  <c:v>2.92213210976909E-4</c:v>
                </c:pt>
                <c:pt idx="309">
                  <c:v>2.9984151570071332E-4</c:v>
                </c:pt>
                <c:pt idx="310">
                  <c:v>3.0832185564986251E-4</c:v>
                </c:pt>
                <c:pt idx="311">
                  <c:v>3.1765755343075646E-4</c:v>
                </c:pt>
                <c:pt idx="312">
                  <c:v>3.2785151153141514E-4</c:v>
                </c:pt>
                <c:pt idx="313">
                  <c:v>3.3890613654357829E-4</c:v>
                </c:pt>
                <c:pt idx="314">
                  <c:v>3.5082325446561622E-4</c:v>
                </c:pt>
                <c:pt idx="315">
                  <c:v>3.6360401609798412E-4</c:v>
                </c:pt>
                <c:pt idx="316">
                  <c:v>3.7726481232519326E-4</c:v>
                </c:pt>
                <c:pt idx="317">
                  <c:v>3.9171715914078711E-4</c:v>
                </c:pt>
                <c:pt idx="318">
                  <c:v>4.0654523345141062E-4</c:v>
                </c:pt>
                <c:pt idx="319">
                  <c:v>4.217543743872265E-4</c:v>
                </c:pt>
                <c:pt idx="320">
                  <c:v>4.3735010040579753E-4</c:v>
                </c:pt>
                <c:pt idx="321">
                  <c:v>4.533380633952538E-4</c:v>
                </c:pt>
                <c:pt idx="322">
                  <c:v>4.697239954088702E-4</c:v>
                </c:pt>
                <c:pt idx="323">
                  <c:v>4.8583779297177042E-4</c:v>
                </c:pt>
                <c:pt idx="324">
                  <c:v>5.012556108478733E-4</c:v>
                </c:pt>
                <c:pt idx="325">
                  <c:v>5.1597540833978224E-4</c:v>
                </c:pt>
                <c:pt idx="326">
                  <c:v>5.2999125035405796E-4</c:v>
                </c:pt>
                <c:pt idx="327">
                  <c:v>5.4329843925095842E-4</c:v>
                </c:pt>
                <c:pt idx="328">
                  <c:v>5.5589428522075644E-4</c:v>
                </c:pt>
                <c:pt idx="329">
                  <c:v>5.6777544410830457E-4</c:v>
                </c:pt>
                <c:pt idx="330">
                  <c:v>5.7901237560648467E-4</c:v>
                </c:pt>
                <c:pt idx="331">
                  <c:v>5.8919126503476722E-4</c:v>
                </c:pt>
                <c:pt idx="332">
                  <c:v>5.9839428659628937E-4</c:v>
                </c:pt>
                <c:pt idx="333">
                  <c:v>6.065859563799006E-4</c:v>
                </c:pt>
                <c:pt idx="334">
                  <c:v>6.1372622224765668E-4</c:v>
                </c:pt>
                <c:pt idx="335">
                  <c:v>6.1977089407752942E-4</c:v>
                </c:pt>
                <c:pt idx="336">
                  <c:v>6.2467216838647918E-4</c:v>
                </c:pt>
                <c:pt idx="337">
                  <c:v>6.2858049702233432E-4</c:v>
                </c:pt>
                <c:pt idx="338">
                  <c:v>6.3215026657943197E-4</c:v>
                </c:pt>
                <c:pt idx="339">
                  <c:v>6.3533539995782684E-4</c:v>
                </c:pt>
                <c:pt idx="340">
                  <c:v>6.3808801868175502E-4</c:v>
                </c:pt>
                <c:pt idx="341">
                  <c:v>6.4035888693465609E-4</c:v>
                </c:pt>
                <c:pt idx="342">
                  <c:v>6.4209794508835773E-4</c:v>
                </c:pt>
                <c:pt idx="343">
                  <c:v>6.4325493186638051E-4</c:v>
                </c:pt>
                <c:pt idx="344">
                  <c:v>6.438916309390837E-4</c:v>
                </c:pt>
                <c:pt idx="345">
                  <c:v>6.4409400035365201E-4</c:v>
                </c:pt>
                <c:pt idx="346">
                  <c:v>6.4428736211354217E-4</c:v>
                </c:pt>
                <c:pt idx="347">
                  <c:v>6.4445956852386471E-4</c:v>
                </c:pt>
                <c:pt idx="348">
                  <c:v>6.4459845403314108E-4</c:v>
                </c:pt>
                <c:pt idx="349">
                  <c:v>6.4469191929941055E-4</c:v>
                </c:pt>
                <c:pt idx="350">
                  <c:v>6.4472801803552057E-4</c:v>
                </c:pt>
                <c:pt idx="351">
                  <c:v>6.4464415984508258E-4</c:v>
                </c:pt>
                <c:pt idx="352">
                  <c:v>6.4422447519710778E-4</c:v>
                </c:pt>
                <c:pt idx="353">
                  <c:v>6.4345921327480166E-4</c:v>
                </c:pt>
                <c:pt idx="354">
                  <c:v>6.4233972638066744E-4</c:v>
                </c:pt>
                <c:pt idx="355">
                  <c:v>6.4085858317044239E-4</c:v>
                </c:pt>
                <c:pt idx="356">
                  <c:v>6.3900822845140758E-4</c:v>
                </c:pt>
                <c:pt idx="357">
                  <c:v>6.3678450782386265E-4</c:v>
                </c:pt>
                <c:pt idx="358">
                  <c:v>6.3412485262617801E-4</c:v>
                </c:pt>
                <c:pt idx="359">
                  <c:v>6.3099531354344639E-4</c:v>
                </c:pt>
                <c:pt idx="360">
                  <c:v>6.2763274439106499E-4</c:v>
                </c:pt>
                <c:pt idx="361">
                  <c:v>6.2412105005479673E-4</c:v>
                </c:pt>
                <c:pt idx="362">
                  <c:v>6.2049364192545502E-4</c:v>
                </c:pt>
                <c:pt idx="363">
                  <c:v>6.1678324208609562E-4</c:v>
                </c:pt>
                <c:pt idx="364">
                  <c:v>6.130216776351374E-4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5384"/>
        <c:axId val="335355776"/>
      </c:lineChart>
      <c:dateAx>
        <c:axId val="335355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5776"/>
        <c:crosses val="autoZero"/>
        <c:auto val="1"/>
        <c:lblOffset val="100"/>
        <c:baseTimeUnit val="days"/>
        <c:majorUnit val="1"/>
        <c:majorTimeUnit val="months"/>
      </c:dateAx>
      <c:valAx>
        <c:axId val="3353557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5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23.978101074889526</c:v>
                </c:pt>
                <c:pt idx="1">
                  <c:v>24.146943210363144</c:v>
                </c:pt>
                <c:pt idx="2">
                  <c:v>24.323045661354243</c:v>
                </c:pt>
                <c:pt idx="3">
                  <c:v>24.505266721951642</c:v>
                </c:pt>
                <c:pt idx="4">
                  <c:v>24.692465130073991</c:v>
                </c:pt>
                <c:pt idx="5">
                  <c:v>24.883500076638082</c:v>
                </c:pt>
                <c:pt idx="6">
                  <c:v>25.077231198194561</c:v>
                </c:pt>
                <c:pt idx="7">
                  <c:v>25.272518584374676</c:v>
                </c:pt>
                <c:pt idx="8">
                  <c:v>25.47173512240596</c:v>
                </c:pt>
                <c:pt idx="9">
                  <c:v>25.677882220136606</c:v>
                </c:pt>
                <c:pt idx="10">
                  <c:v>25.890743446851058</c:v>
                </c:pt>
                <c:pt idx="11">
                  <c:v>26.110097805110694</c:v>
                </c:pt>
                <c:pt idx="12">
                  <c:v>26.335724367208137</c:v>
                </c:pt>
                <c:pt idx="13">
                  <c:v>26.567402285315186</c:v>
                </c:pt>
                <c:pt idx="14">
                  <c:v>26.80491078473359</c:v>
                </c:pt>
                <c:pt idx="15">
                  <c:v>27.04803184069392</c:v>
                </c:pt>
                <c:pt idx="16">
                  <c:v>27.296533748536504</c:v>
                </c:pt>
                <c:pt idx="17">
                  <c:v>27.550195969357276</c:v>
                </c:pt>
                <c:pt idx="18">
                  <c:v>27.808798049580485</c:v>
                </c:pt>
                <c:pt idx="19">
                  <c:v>28.072119545720241</c:v>
                </c:pt>
                <c:pt idx="20">
                  <c:v>28.33994007485666</c:v>
                </c:pt>
                <c:pt idx="21">
                  <c:v>28.612039405185211</c:v>
                </c:pt>
                <c:pt idx="22">
                  <c:v>28.890903480403267</c:v>
                </c:pt>
                <c:pt idx="23">
                  <c:v>29.178488617170608</c:v>
                </c:pt>
                <c:pt idx="24">
                  <c:v>29.473779573817136</c:v>
                </c:pt>
                <c:pt idx="25">
                  <c:v>29.775777738269255</c:v>
                </c:pt>
                <c:pt idx="26">
                  <c:v>30.08348492124928</c:v>
                </c:pt>
                <c:pt idx="27">
                  <c:v>30.395903344215068</c:v>
                </c:pt>
                <c:pt idx="28">
                  <c:v>30.712035652734421</c:v>
                </c:pt>
                <c:pt idx="29">
                  <c:v>31.030874652373768</c:v>
                </c:pt>
                <c:pt idx="30">
                  <c:v>31.351421152412364</c:v>
                </c:pt>
                <c:pt idx="31">
                  <c:v>31.672679054829075</c:v>
                </c:pt>
                <c:pt idx="32">
                  <c:v>31.993652677540133</c:v>
                </c:pt>
                <c:pt idx="33">
                  <c:v>32.313346756821055</c:v>
                </c:pt>
                <c:pt idx="34">
                  <c:v>32.63076644560919</c:v>
                </c:pt>
                <c:pt idx="35">
                  <c:v>32.944917313888837</c:v>
                </c:pt>
                <c:pt idx="36">
                  <c:v>33.256861904102934</c:v>
                </c:pt>
                <c:pt idx="37">
                  <c:v>33.568438607773103</c:v>
                </c:pt>
                <c:pt idx="38">
                  <c:v>33.879856796779777</c:v>
                </c:pt>
                <c:pt idx="39">
                  <c:v>34.191315274575366</c:v>
                </c:pt>
                <c:pt idx="40">
                  <c:v>34.503013442597471</c:v>
                </c:pt>
                <c:pt idx="41">
                  <c:v>34.815150288918147</c:v>
                </c:pt>
                <c:pt idx="42">
                  <c:v>35.127924724651059</c:v>
                </c:pt>
                <c:pt idx="43">
                  <c:v>35.441507470872558</c:v>
                </c:pt>
                <c:pt idx="44">
                  <c:v>35.756107525526538</c:v>
                </c:pt>
                <c:pt idx="45">
                  <c:v>36.071923549880644</c:v>
                </c:pt>
                <c:pt idx="46">
                  <c:v>36.389154120633449</c:v>
                </c:pt>
                <c:pt idx="47">
                  <c:v>36.70799772909762</c:v>
                </c:pt>
                <c:pt idx="48">
                  <c:v>37.028652777404652</c:v>
                </c:pt>
                <c:pt idx="49">
                  <c:v>37.351317576256747</c:v>
                </c:pt>
                <c:pt idx="50">
                  <c:v>37.676339398094342</c:v>
                </c:pt>
                <c:pt idx="51">
                  <c:v>38.003767591099454</c:v>
                </c:pt>
                <c:pt idx="52">
                  <c:v>38.333323247615112</c:v>
                </c:pt>
                <c:pt idx="53">
                  <c:v>38.664707821357581</c:v>
                </c:pt>
                <c:pt idx="54">
                  <c:v>38.997622820068884</c:v>
                </c:pt>
                <c:pt idx="55">
                  <c:v>39.331769846526143</c:v>
                </c:pt>
                <c:pt idx="56">
                  <c:v>39.666850593811937</c:v>
                </c:pt>
                <c:pt idx="57">
                  <c:v>40.002635581417252</c:v>
                </c:pt>
                <c:pt idx="58">
                  <c:v>40.33885495918561</c:v>
                </c:pt>
                <c:pt idx="59">
                  <c:v>40.67521076102561</c:v>
                </c:pt>
                <c:pt idx="60">
                  <c:v>41.011405105074729</c:v>
                </c:pt>
                <c:pt idx="61">
                  <c:v>41.347140192317759</c:v>
                </c:pt>
                <c:pt idx="62">
                  <c:v>41.682118306156134</c:v>
                </c:pt>
                <c:pt idx="63">
                  <c:v>42.016041812019992</c:v>
                </c:pt>
                <c:pt idx="64">
                  <c:v>42.349787390402298</c:v>
                </c:pt>
                <c:pt idx="65">
                  <c:v>42.684285252024239</c:v>
                </c:pt>
                <c:pt idx="66">
                  <c:v>43.01930324009183</c:v>
                </c:pt>
                <c:pt idx="67">
                  <c:v>43.354642620304809</c:v>
                </c:pt>
                <c:pt idx="68">
                  <c:v>43.690104716336471</c:v>
                </c:pt>
                <c:pt idx="69">
                  <c:v>44.025490912831806</c:v>
                </c:pt>
                <c:pt idx="70">
                  <c:v>44.360602658640076</c:v>
                </c:pt>
                <c:pt idx="71">
                  <c:v>44.69520380342955</c:v>
                </c:pt>
                <c:pt idx="72">
                  <c:v>45.029026776425034</c:v>
                </c:pt>
                <c:pt idx="73">
                  <c:v>45.361873067653036</c:v>
                </c:pt>
                <c:pt idx="74">
                  <c:v>45.693544216229</c:v>
                </c:pt>
                <c:pt idx="75">
                  <c:v>46.023841809967394</c:v>
                </c:pt>
                <c:pt idx="76">
                  <c:v>46.352567486771107</c:v>
                </c:pt>
                <c:pt idx="77">
                  <c:v>46.679522933328627</c:v>
                </c:pt>
                <c:pt idx="78">
                  <c:v>47.007152357865102</c:v>
                </c:pt>
                <c:pt idx="79">
                  <c:v>47.337365171338554</c:v>
                </c:pt>
                <c:pt idx="80">
                  <c:v>47.6691808625039</c:v>
                </c:pt>
                <c:pt idx="81">
                  <c:v>48.001607418681502</c:v>
                </c:pt>
                <c:pt idx="82">
                  <c:v>48.333653178788303</c:v>
                </c:pt>
                <c:pt idx="83">
                  <c:v>48.664326831263033</c:v>
                </c:pt>
                <c:pt idx="84">
                  <c:v>48.992637417200207</c:v>
                </c:pt>
                <c:pt idx="85">
                  <c:v>49.317589339149272</c:v>
                </c:pt>
                <c:pt idx="86">
                  <c:v>49.638230405357874</c:v>
                </c:pt>
                <c:pt idx="87">
                  <c:v>49.953570834500276</c:v>
                </c:pt>
                <c:pt idx="88">
                  <c:v>50.262621225845713</c:v>
                </c:pt>
                <c:pt idx="89">
                  <c:v>50.564392558581133</c:v>
                </c:pt>
                <c:pt idx="90">
                  <c:v>50.857896199034549</c:v>
                </c:pt>
                <c:pt idx="91">
                  <c:v>51.14214390831652</c:v>
                </c:pt>
                <c:pt idx="92">
                  <c:v>51.418836044533897</c:v>
                </c:pt>
                <c:pt idx="93">
                  <c:v>51.690262097316889</c:v>
                </c:pt>
                <c:pt idx="94">
                  <c:v>51.956329429760082</c:v>
                </c:pt>
                <c:pt idx="95">
                  <c:v>52.216939677349679</c:v>
                </c:pt>
                <c:pt idx="96">
                  <c:v>52.471994514172309</c:v>
                </c:pt>
                <c:pt idx="97">
                  <c:v>52.721395661153963</c:v>
                </c:pt>
                <c:pt idx="98">
                  <c:v>52.96504487991016</c:v>
                </c:pt>
                <c:pt idx="99">
                  <c:v>53.202838507813397</c:v>
                </c:pt>
                <c:pt idx="100">
                  <c:v>53.434683698711623</c:v>
                </c:pt>
                <c:pt idx="101">
                  <c:v>53.660482405084139</c:v>
                </c:pt>
                <c:pt idx="102">
                  <c:v>53.880136636518948</c:v>
                </c:pt>
                <c:pt idx="103">
                  <c:v>54.093548462780596</c:v>
                </c:pt>
                <c:pt idx="104">
                  <c:v>54.300620017742709</c:v>
                </c:pt>
                <c:pt idx="105">
                  <c:v>54.501253502133693</c:v>
                </c:pt>
                <c:pt idx="106">
                  <c:v>54.694955960975655</c:v>
                </c:pt>
                <c:pt idx="107">
                  <c:v>54.88148892223839</c:v>
                </c:pt>
                <c:pt idx="108">
                  <c:v>55.061154140876475</c:v>
                </c:pt>
                <c:pt idx="109">
                  <c:v>55.23424921111431</c:v>
                </c:pt>
                <c:pt idx="110">
                  <c:v>55.401071629747172</c:v>
                </c:pt>
                <c:pt idx="111">
                  <c:v>55.561918800205042</c:v>
                </c:pt>
                <c:pt idx="112">
                  <c:v>55.717088033219341</c:v>
                </c:pt>
                <c:pt idx="113">
                  <c:v>55.866863378486713</c:v>
                </c:pt>
                <c:pt idx="114">
                  <c:v>56.011547646127404</c:v>
                </c:pt>
                <c:pt idx="115">
                  <c:v>56.151437772094908</c:v>
                </c:pt>
                <c:pt idx="116">
                  <c:v>56.286830600251875</c:v>
                </c:pt>
                <c:pt idx="117">
                  <c:v>56.418022886433604</c:v>
                </c:pt>
                <c:pt idx="118">
                  <c:v>56.545311300655165</c:v>
                </c:pt>
                <c:pt idx="119">
                  <c:v>56.668992428142374</c:v>
                </c:pt>
                <c:pt idx="120">
                  <c:v>56.788409143067767</c:v>
                </c:pt>
                <c:pt idx="121">
                  <c:v>56.902746397043188</c:v>
                </c:pt>
                <c:pt idx="122">
                  <c:v>57.012113475221518</c:v>
                </c:pt>
                <c:pt idx="123">
                  <c:v>57.1166098484141</c:v>
                </c:pt>
                <c:pt idx="124">
                  <c:v>57.216334999014713</c:v>
                </c:pt>
                <c:pt idx="125">
                  <c:v>57.311388426760175</c:v>
                </c:pt>
                <c:pt idx="126">
                  <c:v>57.401869648794467</c:v>
                </c:pt>
                <c:pt idx="127">
                  <c:v>57.487910623532343</c:v>
                </c:pt>
                <c:pt idx="128">
                  <c:v>57.569625764123835</c:v>
                </c:pt>
                <c:pt idx="129">
                  <c:v>57.647115364576749</c:v>
                </c:pt>
                <c:pt idx="130">
                  <c:v>57.72047976039029</c:v>
                </c:pt>
                <c:pt idx="131">
                  <c:v>57.789819339738138</c:v>
                </c:pt>
                <c:pt idx="132">
                  <c:v>57.855234533260308</c:v>
                </c:pt>
                <c:pt idx="133">
                  <c:v>57.91682582108789</c:v>
                </c:pt>
                <c:pt idx="134">
                  <c:v>57.974020732030588</c:v>
                </c:pt>
                <c:pt idx="135">
                  <c:v>58.026403960655948</c:v>
                </c:pt>
                <c:pt idx="136">
                  <c:v>58.074207036125415</c:v>
                </c:pt>
                <c:pt idx="137">
                  <c:v>58.117632359758204</c:v>
                </c:pt>
                <c:pt idx="138">
                  <c:v>58.156882378285367</c:v>
                </c:pt>
                <c:pt idx="139">
                  <c:v>58.192159563423751</c:v>
                </c:pt>
                <c:pt idx="140">
                  <c:v>58.223666403274656</c:v>
                </c:pt>
                <c:pt idx="141">
                  <c:v>58.251609494636455</c:v>
                </c:pt>
                <c:pt idx="142">
                  <c:v>58.276158185484562</c:v>
                </c:pt>
                <c:pt idx="143">
                  <c:v>58.297515750314069</c:v>
                </c:pt>
                <c:pt idx="144">
                  <c:v>58.315885378635834</c:v>
                </c:pt>
                <c:pt idx="145">
                  <c:v>58.331470262775618</c:v>
                </c:pt>
                <c:pt idx="146">
                  <c:v>58.344473579381287</c:v>
                </c:pt>
                <c:pt idx="147">
                  <c:v>58.355098471553362</c:v>
                </c:pt>
                <c:pt idx="148">
                  <c:v>58.363269468789376</c:v>
                </c:pt>
                <c:pt idx="149">
                  <c:v>58.368664401682892</c:v>
                </c:pt>
                <c:pt idx="150">
                  <c:v>58.371088452529023</c:v>
                </c:pt>
                <c:pt idx="151">
                  <c:v>58.370446801159481</c:v>
                </c:pt>
                <c:pt idx="152">
                  <c:v>58.366644695315344</c:v>
                </c:pt>
                <c:pt idx="153">
                  <c:v>58.359587439708847</c:v>
                </c:pt>
                <c:pt idx="154">
                  <c:v>58.349180388521518</c:v>
                </c:pt>
                <c:pt idx="155">
                  <c:v>58.335310554175265</c:v>
                </c:pt>
                <c:pt idx="156">
                  <c:v>58.317872389178703</c:v>
                </c:pt>
                <c:pt idx="157">
                  <c:v>58.296769082913741</c:v>
                </c:pt>
                <c:pt idx="158">
                  <c:v>58.271903804286325</c:v>
                </c:pt>
                <c:pt idx="159">
                  <c:v>58.243179698311764</c:v>
                </c:pt>
                <c:pt idx="160">
                  <c:v>58.210499883715535</c:v>
                </c:pt>
                <c:pt idx="161">
                  <c:v>58.173767455645326</c:v>
                </c:pt>
                <c:pt idx="162">
                  <c:v>58.132280220769147</c:v>
                </c:pt>
                <c:pt idx="163">
                  <c:v>58.085660890513275</c:v>
                </c:pt>
                <c:pt idx="164">
                  <c:v>58.03435816353057</c:v>
                </c:pt>
                <c:pt idx="165">
                  <c:v>57.978766412054448</c:v>
                </c:pt>
                <c:pt idx="166">
                  <c:v>57.919279701549961</c:v>
                </c:pt>
                <c:pt idx="167">
                  <c:v>57.856291791236721</c:v>
                </c:pt>
                <c:pt idx="168">
                  <c:v>57.790196137364205</c:v>
                </c:pt>
                <c:pt idx="169">
                  <c:v>57.721383223072827</c:v>
                </c:pt>
                <c:pt idx="170">
                  <c:v>57.650268626846128</c:v>
                </c:pt>
                <c:pt idx="171">
                  <c:v>57.577245657760578</c:v>
                </c:pt>
                <c:pt idx="172">
                  <c:v>57.502707316137901</c:v>
                </c:pt>
                <c:pt idx="173">
                  <c:v>57.427046358724354</c:v>
                </c:pt>
                <c:pt idx="174">
                  <c:v>57.350655248921541</c:v>
                </c:pt>
                <c:pt idx="175">
                  <c:v>57.273926093778243</c:v>
                </c:pt>
                <c:pt idx="176">
                  <c:v>57.19627078591855</c:v>
                </c:pt>
                <c:pt idx="177">
                  <c:v>57.116815396060588</c:v>
                </c:pt>
                <c:pt idx="178">
                  <c:v>57.035562211541176</c:v>
                </c:pt>
                <c:pt idx="179">
                  <c:v>56.952510585476865</c:v>
                </c:pt>
                <c:pt idx="180">
                  <c:v>56.867659797390445</c:v>
                </c:pt>
                <c:pt idx="181">
                  <c:v>56.781009059872844</c:v>
                </c:pt>
                <c:pt idx="182">
                  <c:v>56.692557521816816</c:v>
                </c:pt>
                <c:pt idx="183">
                  <c:v>56.602245689385974</c:v>
                </c:pt>
                <c:pt idx="184">
                  <c:v>56.510075347929615</c:v>
                </c:pt>
                <c:pt idx="185">
                  <c:v>56.416045273151511</c:v>
                </c:pt>
                <c:pt idx="186">
                  <c:v>56.320154246113454</c:v>
                </c:pt>
                <c:pt idx="187">
                  <c:v>56.222401055895027</c:v>
                </c:pt>
                <c:pt idx="188">
                  <c:v>56.122784508291907</c:v>
                </c:pt>
                <c:pt idx="189">
                  <c:v>56.021303424582683</c:v>
                </c:pt>
                <c:pt idx="190">
                  <c:v>55.917744643051378</c:v>
                </c:pt>
                <c:pt idx="191">
                  <c:v>55.811984992897287</c:v>
                </c:pt>
                <c:pt idx="192">
                  <c:v>55.704149980013447</c:v>
                </c:pt>
                <c:pt idx="193">
                  <c:v>55.594337771258047</c:v>
                </c:pt>
                <c:pt idx="194">
                  <c:v>55.482646447467722</c:v>
                </c:pt>
                <c:pt idx="195">
                  <c:v>55.369174011142022</c:v>
                </c:pt>
                <c:pt idx="196">
                  <c:v>55.254018389366038</c:v>
                </c:pt>
                <c:pt idx="197">
                  <c:v>55.137399766803341</c:v>
                </c:pt>
                <c:pt idx="198">
                  <c:v>55.01947585640692</c:v>
                </c:pt>
                <c:pt idx="199">
                  <c:v>54.900344721289734</c:v>
                </c:pt>
                <c:pt idx="200">
                  <c:v>54.780104310777489</c:v>
                </c:pt>
                <c:pt idx="201">
                  <c:v>54.65885247364249</c:v>
                </c:pt>
                <c:pt idx="202">
                  <c:v>54.536686971556065</c:v>
                </c:pt>
                <c:pt idx="203">
                  <c:v>54.413705492149276</c:v>
                </c:pt>
                <c:pt idx="204">
                  <c:v>54.289761402596007</c:v>
                </c:pt>
                <c:pt idx="205">
                  <c:v>54.164675399138936</c:v>
                </c:pt>
                <c:pt idx="206">
                  <c:v>54.038418879728617</c:v>
                </c:pt>
                <c:pt idx="207">
                  <c:v>53.91099104444379</c:v>
                </c:pt>
                <c:pt idx="208">
                  <c:v>53.782391144964919</c:v>
                </c:pt>
                <c:pt idx="209">
                  <c:v>53.652618489804681</c:v>
                </c:pt>
                <c:pt idx="210">
                  <c:v>53.521672446540329</c:v>
                </c:pt>
                <c:pt idx="211">
                  <c:v>53.389512445089721</c:v>
                </c:pt>
                <c:pt idx="212">
                  <c:v>53.256014871386718</c:v>
                </c:pt>
                <c:pt idx="213">
                  <c:v>53.121179221816817</c:v>
                </c:pt>
                <c:pt idx="214">
                  <c:v>52.98500507775605</c:v>
                </c:pt>
                <c:pt idx="215">
                  <c:v>52.847492102934652</c:v>
                </c:pt>
                <c:pt idx="216">
                  <c:v>52.708640038864118</c:v>
                </c:pt>
                <c:pt idx="217">
                  <c:v>52.56844870134811</c:v>
                </c:pt>
                <c:pt idx="218">
                  <c:v>52.427129424918157</c:v>
                </c:pt>
                <c:pt idx="219">
                  <c:v>52.284808478045122</c:v>
                </c:pt>
                <c:pt idx="220">
                  <c:v>52.141356852326339</c:v>
                </c:pt>
                <c:pt idx="221">
                  <c:v>51.996677166282367</c:v>
                </c:pt>
                <c:pt idx="222">
                  <c:v>51.850672121366308</c:v>
                </c:pt>
                <c:pt idx="223">
                  <c:v>51.703244496140037</c:v>
                </c:pt>
                <c:pt idx="224">
                  <c:v>51.554297143117374</c:v>
                </c:pt>
                <c:pt idx="225">
                  <c:v>51.403718319550066</c:v>
                </c:pt>
                <c:pt idx="226">
                  <c:v>51.251451011385576</c:v>
                </c:pt>
                <c:pt idx="227">
                  <c:v>51.097398261359096</c:v>
                </c:pt>
                <c:pt idx="228">
                  <c:v>50.941463169206017</c:v>
                </c:pt>
                <c:pt idx="229">
                  <c:v>50.783548890342708</c:v>
                </c:pt>
                <c:pt idx="230">
                  <c:v>50.623558633668587</c:v>
                </c:pt>
                <c:pt idx="231">
                  <c:v>50.461395656386614</c:v>
                </c:pt>
                <c:pt idx="232">
                  <c:v>50.298896420250465</c:v>
                </c:pt>
                <c:pt idx="233">
                  <c:v>50.137431975942263</c:v>
                </c:pt>
                <c:pt idx="234">
                  <c:v>49.976242576553041</c:v>
                </c:pt>
                <c:pt idx="235">
                  <c:v>49.814548823894953</c:v>
                </c:pt>
                <c:pt idx="236">
                  <c:v>49.651571606408787</c:v>
                </c:pt>
                <c:pt idx="237">
                  <c:v>49.486532096807892</c:v>
                </c:pt>
                <c:pt idx="238">
                  <c:v>49.318651749222973</c:v>
                </c:pt>
                <c:pt idx="239">
                  <c:v>49.147142124029948</c:v>
                </c:pt>
                <c:pt idx="240">
                  <c:v>48.971239812194256</c:v>
                </c:pt>
                <c:pt idx="241">
                  <c:v>48.790167075903341</c:v>
                </c:pt>
                <c:pt idx="242">
                  <c:v>48.603146452358423</c:v>
                </c:pt>
                <c:pt idx="243">
                  <c:v>48.409400748743465</c:v>
                </c:pt>
                <c:pt idx="244">
                  <c:v>48.208153043881559</c:v>
                </c:pt>
                <c:pt idx="245">
                  <c:v>47.998626679298631</c:v>
                </c:pt>
                <c:pt idx="246">
                  <c:v>47.781148596597845</c:v>
                </c:pt>
                <c:pt idx="247">
                  <c:v>47.556808473993307</c:v>
                </c:pt>
                <c:pt idx="248">
                  <c:v>47.326007634980606</c:v>
                </c:pt>
                <c:pt idx="249">
                  <c:v>47.089137371702869</c:v>
                </c:pt>
                <c:pt idx="250">
                  <c:v>46.846588860457032</c:v>
                </c:pt>
                <c:pt idx="251">
                  <c:v>46.598753154318793</c:v>
                </c:pt>
                <c:pt idx="252">
                  <c:v>46.346021192782935</c:v>
                </c:pt>
                <c:pt idx="253">
                  <c:v>46.088751911608121</c:v>
                </c:pt>
                <c:pt idx="254">
                  <c:v>45.827346179611233</c:v>
                </c:pt>
                <c:pt idx="255">
                  <c:v>45.562194633996299</c:v>
                </c:pt>
                <c:pt idx="256">
                  <c:v>45.293687809449729</c:v>
                </c:pt>
                <c:pt idx="257">
                  <c:v>45.022216138043788</c:v>
                </c:pt>
                <c:pt idx="258">
                  <c:v>44.748169949752125</c:v>
                </c:pt>
                <c:pt idx="259">
                  <c:v>44.471939472897205</c:v>
                </c:pt>
                <c:pt idx="260">
                  <c:v>44.191256891095165</c:v>
                </c:pt>
                <c:pt idx="261">
                  <c:v>43.904051858224889</c:v>
                </c:pt>
                <c:pt idx="262">
                  <c:v>43.611120382272532</c:v>
                </c:pt>
                <c:pt idx="263">
                  <c:v>43.313242506112807</c:v>
                </c:pt>
                <c:pt idx="264">
                  <c:v>43.011198059401806</c:v>
                </c:pt>
                <c:pt idx="265">
                  <c:v>42.705766613891491</c:v>
                </c:pt>
                <c:pt idx="266">
                  <c:v>42.397727530434764</c:v>
                </c:pt>
                <c:pt idx="267">
                  <c:v>42.08788999630724</c:v>
                </c:pt>
                <c:pt idx="268">
                  <c:v>41.777064117549322</c:v>
                </c:pt>
                <c:pt idx="269">
                  <c:v>41.466028312309852</c:v>
                </c:pt>
                <c:pt idx="270">
                  <c:v>41.155560757672752</c:v>
                </c:pt>
                <c:pt idx="271">
                  <c:v>40.846439392089621</c:v>
                </c:pt>
                <c:pt idx="272">
                  <c:v>40.539441916802346</c:v>
                </c:pt>
                <c:pt idx="273">
                  <c:v>40.235345797582156</c:v>
                </c:pt>
                <c:pt idx="274">
                  <c:v>39.93298542309762</c:v>
                </c:pt>
                <c:pt idx="275">
                  <c:v>39.630807179583918</c:v>
                </c:pt>
                <c:pt idx="276">
                  <c:v>39.328870750665914</c:v>
                </c:pt>
                <c:pt idx="277">
                  <c:v>39.027174782282579</c:v>
                </c:pt>
                <c:pt idx="278">
                  <c:v>38.725717727518692</c:v>
                </c:pt>
                <c:pt idx="279">
                  <c:v>38.424497838187285</c:v>
                </c:pt>
                <c:pt idx="280">
                  <c:v>38.123513157470555</c:v>
                </c:pt>
                <c:pt idx="281">
                  <c:v>37.822789434783125</c:v>
                </c:pt>
                <c:pt idx="282">
                  <c:v>37.522295038069849</c:v>
                </c:pt>
                <c:pt idx="283">
                  <c:v>37.222027303649483</c:v>
                </c:pt>
                <c:pt idx="284">
                  <c:v>36.921983348955813</c:v>
                </c:pt>
                <c:pt idx="285">
                  <c:v>36.622160072128935</c:v>
                </c:pt>
                <c:pt idx="286">
                  <c:v>36.322554153336071</c:v>
                </c:pt>
                <c:pt idx="287">
                  <c:v>36.02316205790418</c:v>
                </c:pt>
                <c:pt idx="288">
                  <c:v>35.723138876965891</c:v>
                </c:pt>
                <c:pt idx="289">
                  <c:v>35.421842625138694</c:v>
                </c:pt>
                <c:pt idx="290">
                  <c:v>35.119536586785188</c:v>
                </c:pt>
                <c:pt idx="291">
                  <c:v>34.816607656945067</c:v>
                </c:pt>
                <c:pt idx="292">
                  <c:v>34.513442600678935</c:v>
                </c:pt>
                <c:pt idx="293">
                  <c:v>34.210428063191955</c:v>
                </c:pt>
                <c:pt idx="294">
                  <c:v>33.907950576894343</c:v>
                </c:pt>
                <c:pt idx="295">
                  <c:v>33.606364678730642</c:v>
                </c:pt>
                <c:pt idx="296">
                  <c:v>33.306031333944446</c:v>
                </c:pt>
                <c:pt idx="297">
                  <c:v>33.007337805695933</c:v>
                </c:pt>
                <c:pt idx="298">
                  <c:v>32.710671425868824</c:v>
                </c:pt>
                <c:pt idx="299">
                  <c:v>32.416419474298017</c:v>
                </c:pt>
                <c:pt idx="300">
                  <c:v>32.124969182818852</c:v>
                </c:pt>
                <c:pt idx="301">
                  <c:v>31.836707736597184</c:v>
                </c:pt>
                <c:pt idx="302">
                  <c:v>31.550211857291433</c:v>
                </c:pt>
                <c:pt idx="303">
                  <c:v>31.264042704478754</c:v>
                </c:pt>
                <c:pt idx="304">
                  <c:v>30.978639118459967</c:v>
                </c:pt>
                <c:pt idx="305">
                  <c:v>30.694387909618836</c:v>
                </c:pt>
                <c:pt idx="306">
                  <c:v>30.411675842144966</c:v>
                </c:pt>
                <c:pt idx="307">
                  <c:v>30.130889643781583</c:v>
                </c:pt>
                <c:pt idx="308">
                  <c:v>29.85241600163857</c:v>
                </c:pt>
                <c:pt idx="309">
                  <c:v>29.57663465507725</c:v>
                </c:pt>
                <c:pt idx="310">
                  <c:v>29.303961194888274</c:v>
                </c:pt>
                <c:pt idx="311">
                  <c:v>29.034781750270906</c:v>
                </c:pt>
                <c:pt idx="312">
                  <c:v>28.769482425200533</c:v>
                </c:pt>
                <c:pt idx="313">
                  <c:v>28.508449305943319</c:v>
                </c:pt>
                <c:pt idx="314">
                  <c:v>28.252068459684128</c:v>
                </c:pt>
                <c:pt idx="315">
                  <c:v>28.00072593958043</c:v>
                </c:pt>
                <c:pt idx="316">
                  <c:v>27.753628567375682</c:v>
                </c:pt>
                <c:pt idx="317">
                  <c:v>27.509798727800742</c:v>
                </c:pt>
                <c:pt idx="318">
                  <c:v>27.26934617043138</c:v>
                </c:pt>
                <c:pt idx="319">
                  <c:v>27.032366134524327</c:v>
                </c:pt>
                <c:pt idx="320">
                  <c:v>26.798953924083115</c:v>
                </c:pt>
                <c:pt idx="321">
                  <c:v>26.569204918779075</c:v>
                </c:pt>
                <c:pt idx="322">
                  <c:v>26.343214566180798</c:v>
                </c:pt>
                <c:pt idx="323">
                  <c:v>26.121094723348865</c:v>
                </c:pt>
                <c:pt idx="324">
                  <c:v>25.902946924757018</c:v>
                </c:pt>
                <c:pt idx="325">
                  <c:v>25.68886644511441</c:v>
                </c:pt>
                <c:pt idx="326">
                  <c:v>25.478948764480315</c:v>
                </c:pt>
                <c:pt idx="327">
                  <c:v>25.273289389817645</c:v>
                </c:pt>
                <c:pt idx="328">
                  <c:v>25.07198383132474</c:v>
                </c:pt>
                <c:pt idx="329">
                  <c:v>24.875127689612203</c:v>
                </c:pt>
                <c:pt idx="330">
                  <c:v>24.679636819016615</c:v>
                </c:pt>
                <c:pt idx="331">
                  <c:v>24.483277013826012</c:v>
                </c:pt>
                <c:pt idx="332">
                  <c:v>24.287395479722704</c:v>
                </c:pt>
                <c:pt idx="333">
                  <c:v>24.093347729277713</c:v>
                </c:pt>
                <c:pt idx="334">
                  <c:v>23.902489061303108</c:v>
                </c:pt>
                <c:pt idx="335">
                  <c:v>23.716174530254971</c:v>
                </c:pt>
                <c:pt idx="336">
                  <c:v>23.535758940686865</c:v>
                </c:pt>
                <c:pt idx="337">
                  <c:v>23.36259270936916</c:v>
                </c:pt>
                <c:pt idx="338">
                  <c:v>23.198014984720334</c:v>
                </c:pt>
                <c:pt idx="339">
                  <c:v>23.043379918003172</c:v>
                </c:pt>
                <c:pt idx="340">
                  <c:v>22.90004130835322</c:v>
                </c:pt>
                <c:pt idx="341">
                  <c:v>22.769352597496713</c:v>
                </c:pt>
                <c:pt idx="342">
                  <c:v>22.65266685165918</c:v>
                </c:pt>
                <c:pt idx="343">
                  <c:v>22.551336747905456</c:v>
                </c:pt>
                <c:pt idx="344">
                  <c:v>22.462819550862701</c:v>
                </c:pt>
                <c:pt idx="345">
                  <c:v>22.383826629571832</c:v>
                </c:pt>
                <c:pt idx="346">
                  <c:v>22.314583540916267</c:v>
                </c:pt>
                <c:pt idx="347">
                  <c:v>22.255323739103599</c:v>
                </c:pt>
                <c:pt idx="348">
                  <c:v>22.206280578873784</c:v>
                </c:pt>
                <c:pt idx="349">
                  <c:v>22.167687324164081</c:v>
                </c:pt>
                <c:pt idx="350">
                  <c:v>22.139777134247421</c:v>
                </c:pt>
                <c:pt idx="351">
                  <c:v>22.122784403380201</c:v>
                </c:pt>
                <c:pt idx="352">
                  <c:v>22.116946044428165</c:v>
                </c:pt>
                <c:pt idx="353">
                  <c:v>22.122494869114263</c:v>
                </c:pt>
                <c:pt idx="354">
                  <c:v>22.139663592808123</c:v>
                </c:pt>
                <c:pt idx="355">
                  <c:v>22.168684820285243</c:v>
                </c:pt>
                <c:pt idx="356">
                  <c:v>22.209791072206087</c:v>
                </c:pt>
                <c:pt idx="357">
                  <c:v>22.263214719238423</c:v>
                </c:pt>
                <c:pt idx="358">
                  <c:v>22.331176451602381</c:v>
                </c:pt>
                <c:pt idx="359">
                  <c:v>22.415004473789367</c:v>
                </c:pt>
                <c:pt idx="360">
                  <c:v>22.513588713928584</c:v>
                </c:pt>
                <c:pt idx="361">
                  <c:v>22.625822008347917</c:v>
                </c:pt>
                <c:pt idx="362">
                  <c:v>22.750598810168079</c:v>
                </c:pt>
                <c:pt idx="363">
                  <c:v>22.886813879029976</c:v>
                </c:pt>
                <c:pt idx="364">
                  <c:v>23.033362262988302</c:v>
                </c:pt>
                <c:pt idx="365">
                  <c:v>23.189139317269486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22.805305070294189</c:v>
                </c:pt>
                <c:pt idx="1">
                  <c:v>16.397568872802356</c:v>
                </c:pt>
                <c:pt idx="2">
                  <c:v>17.645548491725396</c:v>
                </c:pt>
                <c:pt idx="3">
                  <c:v>18.644275360315842</c:v>
                </c:pt>
                <c:pt idx="4">
                  <c:v>14.843852543616416</c:v>
                </c:pt>
                <c:pt idx="5">
                  <c:v>21.405058805225689</c:v>
                </c:pt>
                <c:pt idx="6">
                  <c:v>10.946261720471192</c:v>
                </c:pt>
                <c:pt idx="7">
                  <c:v>7.6787989468683708</c:v>
                </c:pt>
                <c:pt idx="8">
                  <c:v>2.2665306214407455</c:v>
                </c:pt>
                <c:pt idx="9">
                  <c:v>1.7592444988058968</c:v>
                </c:pt>
                <c:pt idx="10">
                  <c:v>25.352341228471381</c:v>
                </c:pt>
                <c:pt idx="11">
                  <c:v>21.630610716058118</c:v>
                </c:pt>
                <c:pt idx="12">
                  <c:v>5.2089292441312773</c:v>
                </c:pt>
                <c:pt idx="13">
                  <c:v>25.752079183536235</c:v>
                </c:pt>
                <c:pt idx="14">
                  <c:v>27.364892319932746</c:v>
                </c:pt>
                <c:pt idx="15">
                  <c:v>26.876114708285002</c:v>
                </c:pt>
                <c:pt idx="16">
                  <c:v>13.757332656122429</c:v>
                </c:pt>
                <c:pt idx="17">
                  <c:v>3.6321036087299676</c:v>
                </c:pt>
                <c:pt idx="18">
                  <c:v>10.505769298480825</c:v>
                </c:pt>
                <c:pt idx="19">
                  <c:v>6.6087511189954338</c:v>
                </c:pt>
                <c:pt idx="20">
                  <c:v>21.109444616831048</c:v>
                </c:pt>
                <c:pt idx="21">
                  <c:v>28.482319041316764</c:v>
                </c:pt>
                <c:pt idx="22">
                  <c:v>28.547934904775541</c:v>
                </c:pt>
                <c:pt idx="23">
                  <c:v>29.189455753208946</c:v>
                </c:pt>
                <c:pt idx="24">
                  <c:v>27.799135581058891</c:v>
                </c:pt>
                <c:pt idx="25">
                  <c:v>28.790896966576877</c:v>
                </c:pt>
                <c:pt idx="26">
                  <c:v>26.824691146911974</c:v>
                </c:pt>
                <c:pt idx="27">
                  <c:v>4.381484690709903</c:v>
                </c:pt>
                <c:pt idx="28">
                  <c:v>9.6076333314542257</c:v>
                </c:pt>
                <c:pt idx="29">
                  <c:v>4.5698099210362031</c:v>
                </c:pt>
                <c:pt idx="30">
                  <c:v>9.3465781956472682</c:v>
                </c:pt>
                <c:pt idx="31">
                  <c:v>13.568996473217782</c:v>
                </c:pt>
                <c:pt idx="32">
                  <c:v>5.4509072816625919</c:v>
                </c:pt>
                <c:pt idx="33">
                  <c:v>10.274209556755684</c:v>
                </c:pt>
                <c:pt idx="34">
                  <c:v>10.173437255082035</c:v>
                </c:pt>
                <c:pt idx="35">
                  <c:v>9.8430623558772918</c:v>
                </c:pt>
                <c:pt idx="36">
                  <c:v>22.519359529994635</c:v>
                </c:pt>
                <c:pt idx="37">
                  <c:v>9.6630429777698961</c:v>
                </c:pt>
                <c:pt idx="38">
                  <c:v>33.869607425129743</c:v>
                </c:pt>
                <c:pt idx="39">
                  <c:v>34.092236109619144</c:v>
                </c:pt>
                <c:pt idx="40">
                  <c:v>31.692844198215028</c:v>
                </c:pt>
                <c:pt idx="41">
                  <c:v>17.692179899344666</c:v>
                </c:pt>
                <c:pt idx="42">
                  <c:v>26.878946061189648</c:v>
                </c:pt>
                <c:pt idx="43">
                  <c:v>31.773633527454397</c:v>
                </c:pt>
                <c:pt idx="44">
                  <c:v>15.561842415098047</c:v>
                </c:pt>
                <c:pt idx="45">
                  <c:v>19.565338589954308</c:v>
                </c:pt>
                <c:pt idx="46">
                  <c:v>10.249050476194881</c:v>
                </c:pt>
                <c:pt idx="47">
                  <c:v>11.08839271840445</c:v>
                </c:pt>
                <c:pt idx="48">
                  <c:v>28.237765819008196</c:v>
                </c:pt>
                <c:pt idx="49">
                  <c:v>20.463949784701111</c:v>
                </c:pt>
                <c:pt idx="50">
                  <c:v>19.519127070526796</c:v>
                </c:pt>
                <c:pt idx="51">
                  <c:v>21.577709615262144</c:v>
                </c:pt>
                <c:pt idx="52">
                  <c:v>33.35061436203646</c:v>
                </c:pt>
                <c:pt idx="53">
                  <c:v>34.507442172828604</c:v>
                </c:pt>
                <c:pt idx="54">
                  <c:v>21.214633999941022</c:v>
                </c:pt>
                <c:pt idx="55">
                  <c:v>30.8983074706303</c:v>
                </c:pt>
                <c:pt idx="56">
                  <c:v>39.790625921588173</c:v>
                </c:pt>
                <c:pt idx="57">
                  <c:v>27.729682496476737</c:v>
                </c:pt>
                <c:pt idx="58">
                  <c:v>34.264921247423167</c:v>
                </c:pt>
                <c:pt idx="59">
                  <c:v>39.775599345307526</c:v>
                </c:pt>
                <c:pt idx="60">
                  <c:v>10.953508299218713</c:v>
                </c:pt>
                <c:pt idx="61">
                  <c:v>35.301725595065555</c:v>
                </c:pt>
                <c:pt idx="62">
                  <c:v>4.0603795504292011</c:v>
                </c:pt>
                <c:pt idx="63">
                  <c:v>13.441982074262137</c:v>
                </c:pt>
                <c:pt idx="64">
                  <c:v>16.060680850986291</c:v>
                </c:pt>
                <c:pt idx="65">
                  <c:v>37.513200134312193</c:v>
                </c:pt>
                <c:pt idx="66">
                  <c:v>32.41956032868621</c:v>
                </c:pt>
                <c:pt idx="67">
                  <c:v>28.928038341784671</c:v>
                </c:pt>
                <c:pt idx="68">
                  <c:v>25.130000677907695</c:v>
                </c:pt>
                <c:pt idx="69">
                  <c:v>15.946046151857185</c:v>
                </c:pt>
                <c:pt idx="70">
                  <c:v>14.816323126993499</c:v>
                </c:pt>
                <c:pt idx="71">
                  <c:v>10.057218535983218</c:v>
                </c:pt>
                <c:pt idx="72">
                  <c:v>14.493154849991937</c:v>
                </c:pt>
                <c:pt idx="73">
                  <c:v>14.5171450869515</c:v>
                </c:pt>
                <c:pt idx="74">
                  <c:v>13.084757183168835</c:v>
                </c:pt>
                <c:pt idx="75">
                  <c:v>10.915727430797306</c:v>
                </c:pt>
                <c:pt idx="76">
                  <c:v>14.553721497476023</c:v>
                </c:pt>
                <c:pt idx="77">
                  <c:v>29.535453434645113</c:v>
                </c:pt>
                <c:pt idx="78">
                  <c:v>30.505619789255821</c:v>
                </c:pt>
                <c:pt idx="79">
                  <c:v>44.478858438926231</c:v>
                </c:pt>
                <c:pt idx="80">
                  <c:v>41.853578599053378</c:v>
                </c:pt>
                <c:pt idx="81">
                  <c:v>48.022994277529037</c:v>
                </c:pt>
                <c:pt idx="82">
                  <c:v>46.994757790460518</c:v>
                </c:pt>
                <c:pt idx="83">
                  <c:v>41.165095152964298</c:v>
                </c:pt>
                <c:pt idx="84">
                  <c:v>46.328989774745828</c:v>
                </c:pt>
                <c:pt idx="85">
                  <c:v>45.126689485550202</c:v>
                </c:pt>
                <c:pt idx="86">
                  <c:v>35.331801884111712</c:v>
                </c:pt>
                <c:pt idx="87">
                  <c:v>27.827339452165273</c:v>
                </c:pt>
                <c:pt idx="88">
                  <c:v>7.8256574756050901</c:v>
                </c:pt>
                <c:pt idx="89">
                  <c:v>28.518188633338248</c:v>
                </c:pt>
                <c:pt idx="90">
                  <c:v>31.208672333273256</c:v>
                </c:pt>
                <c:pt idx="91">
                  <c:v>21.275827568708294</c:v>
                </c:pt>
                <c:pt idx="92">
                  <c:v>23.049619896446263</c:v>
                </c:pt>
                <c:pt idx="93">
                  <c:v>48.473870569778683</c:v>
                </c:pt>
                <c:pt idx="94">
                  <c:v>51.523570545987127</c:v>
                </c:pt>
                <c:pt idx="95">
                  <c:v>11.287250461534288</c:v>
                </c:pt>
                <c:pt idx="96">
                  <c:v>38.58355543925137</c:v>
                </c:pt>
                <c:pt idx="97">
                  <c:v>31.782025604626487</c:v>
                </c:pt>
                <c:pt idx="98">
                  <c:v>35.387747372512948</c:v>
                </c:pt>
                <c:pt idx="99">
                  <c:v>53.287522028867876</c:v>
                </c:pt>
                <c:pt idx="100">
                  <c:v>44.74760070830223</c:v>
                </c:pt>
                <c:pt idx="101">
                  <c:v>36.288904939430687</c:v>
                </c:pt>
                <c:pt idx="102">
                  <c:v>7.2765890409597089</c:v>
                </c:pt>
                <c:pt idx="103">
                  <c:v>39.333626992660207</c:v>
                </c:pt>
                <c:pt idx="104">
                  <c:v>45.076252324327314</c:v>
                </c:pt>
                <c:pt idx="105">
                  <c:v>43.495900748899324</c:v>
                </c:pt>
                <c:pt idx="106">
                  <c:v>53.127473883151907</c:v>
                </c:pt>
                <c:pt idx="107">
                  <c:v>36.748948370665687</c:v>
                </c:pt>
                <c:pt idx="108">
                  <c:v>8.7849595431232164</c:v>
                </c:pt>
                <c:pt idx="109">
                  <c:v>10.052909665552493</c:v>
                </c:pt>
                <c:pt idx="110">
                  <c:v>9.292398875776124</c:v>
                </c:pt>
                <c:pt idx="111">
                  <c:v>27.194627497476716</c:v>
                </c:pt>
                <c:pt idx="112">
                  <c:v>9.4096822617959948</c:v>
                </c:pt>
                <c:pt idx="113">
                  <c:v>29.857139980695781</c:v>
                </c:pt>
                <c:pt idx="114">
                  <c:v>45.946262340153972</c:v>
                </c:pt>
                <c:pt idx="115">
                  <c:v>53.487751457903549</c:v>
                </c:pt>
                <c:pt idx="116">
                  <c:v>40.290213044740341</c:v>
                </c:pt>
                <c:pt idx="117">
                  <c:v>20.054519955893941</c:v>
                </c:pt>
                <c:pt idx="118">
                  <c:v>40.356413992133106</c:v>
                </c:pt>
                <c:pt idx="119">
                  <c:v>42.897016482072694</c:v>
                </c:pt>
                <c:pt idx="120">
                  <c:v>46.492417857276699</c:v>
                </c:pt>
                <c:pt idx="121">
                  <c:v>29.887607438786656</c:v>
                </c:pt>
                <c:pt idx="122">
                  <c:v>35.611080257145915</c:v>
                </c:pt>
                <c:pt idx="123">
                  <c:v>19.753646073726074</c:v>
                </c:pt>
                <c:pt idx="124">
                  <c:v>41.40412726222479</c:v>
                </c:pt>
                <c:pt idx="125">
                  <c:v>37.876580275717167</c:v>
                </c:pt>
                <c:pt idx="126">
                  <c:v>51.502245183694498</c:v>
                </c:pt>
                <c:pt idx="127">
                  <c:v>49.012831262204372</c:v>
                </c:pt>
                <c:pt idx="128">
                  <c:v>51.288333687044954</c:v>
                </c:pt>
                <c:pt idx="129">
                  <c:v>50.959667074965324</c:v>
                </c:pt>
                <c:pt idx="130">
                  <c:v>55.007770031689347</c:v>
                </c:pt>
                <c:pt idx="131">
                  <c:v>40.108307723075498</c:v>
                </c:pt>
                <c:pt idx="132">
                  <c:v>40.796991661763748</c:v>
                </c:pt>
                <c:pt idx="133">
                  <c:v>49.358689171375268</c:v>
                </c:pt>
                <c:pt idx="134">
                  <c:v>52.219262774941434</c:v>
                </c:pt>
                <c:pt idx="135">
                  <c:v>49.775739702758578</c:v>
                </c:pt>
                <c:pt idx="136">
                  <c:v>53.005124985188822</c:v>
                </c:pt>
                <c:pt idx="137">
                  <c:v>50.989296375264693</c:v>
                </c:pt>
                <c:pt idx="138">
                  <c:v>53.816710286065586</c:v>
                </c:pt>
                <c:pt idx="139">
                  <c:v>48.755867152496101</c:v>
                </c:pt>
                <c:pt idx="140">
                  <c:v>48.673999431240446</c:v>
                </c:pt>
                <c:pt idx="141">
                  <c:v>36.838408982334556</c:v>
                </c:pt>
                <c:pt idx="142">
                  <c:v>19.206119125643493</c:v>
                </c:pt>
                <c:pt idx="143">
                  <c:v>16.652866229675482</c:v>
                </c:pt>
                <c:pt idx="144">
                  <c:v>39.058638129839814</c:v>
                </c:pt>
                <c:pt idx="145">
                  <c:v>23.683225743703339</c:v>
                </c:pt>
                <c:pt idx="146">
                  <c:v>44.053540631649831</c:v>
                </c:pt>
                <c:pt idx="147">
                  <c:v>53.080699830911264</c:v>
                </c:pt>
                <c:pt idx="148">
                  <c:v>57.211061532853073</c:v>
                </c:pt>
                <c:pt idx="149">
                  <c:v>48.719683648469633</c:v>
                </c:pt>
                <c:pt idx="150">
                  <c:v>51.739884505947948</c:v>
                </c:pt>
                <c:pt idx="151">
                  <c:v>54.05410930154784</c:v>
                </c:pt>
                <c:pt idx="152">
                  <c:v>43.423054989123017</c:v>
                </c:pt>
                <c:pt idx="153">
                  <c:v>52.919632737971426</c:v>
                </c:pt>
                <c:pt idx="154">
                  <c:v>23.897384160586</c:v>
                </c:pt>
                <c:pt idx="155">
                  <c:v>32.96611484710359</c:v>
                </c:pt>
                <c:pt idx="156">
                  <c:v>46.428785943411128</c:v>
                </c:pt>
                <c:pt idx="157">
                  <c:v>24.204870445293121</c:v>
                </c:pt>
                <c:pt idx="158">
                  <c:v>19.789028186028066</c:v>
                </c:pt>
                <c:pt idx="159">
                  <c:v>45.221909662626672</c:v>
                </c:pt>
                <c:pt idx="160">
                  <c:v>55.188088045233748</c:v>
                </c:pt>
                <c:pt idx="161">
                  <c:v>53.961583183262285</c:v>
                </c:pt>
                <c:pt idx="162">
                  <c:v>41.289904036885773</c:v>
                </c:pt>
                <c:pt idx="163">
                  <c:v>52.280548973394062</c:v>
                </c:pt>
                <c:pt idx="164">
                  <c:v>47.682655135332112</c:v>
                </c:pt>
                <c:pt idx="165">
                  <c:v>52.01392757459557</c:v>
                </c:pt>
                <c:pt idx="166">
                  <c:v>49.988342197555454</c:v>
                </c:pt>
                <c:pt idx="167">
                  <c:v>50.05711320462413</c:v>
                </c:pt>
                <c:pt idx="168">
                  <c:v>53.336948992901448</c:v>
                </c:pt>
                <c:pt idx="169">
                  <c:v>54.425949432205783</c:v>
                </c:pt>
                <c:pt idx="170">
                  <c:v>30.310503021468556</c:v>
                </c:pt>
                <c:pt idx="171">
                  <c:v>22.636108368505923</c:v>
                </c:pt>
                <c:pt idx="172">
                  <c:v>37.862597822913308</c:v>
                </c:pt>
                <c:pt idx="173">
                  <c:v>40.439984608808423</c:v>
                </c:pt>
                <c:pt idx="174">
                  <c:v>38.649983784870386</c:v>
                </c:pt>
                <c:pt idx="175">
                  <c:v>34.013490826881103</c:v>
                </c:pt>
                <c:pt idx="176">
                  <c:v>11.412465561939488</c:v>
                </c:pt>
                <c:pt idx="177">
                  <c:v>12.457584884513576</c:v>
                </c:pt>
                <c:pt idx="178">
                  <c:v>56.553452187334301</c:v>
                </c:pt>
                <c:pt idx="179">
                  <c:v>53.691955065902818</c:v>
                </c:pt>
                <c:pt idx="180">
                  <c:v>13.349633197676383</c:v>
                </c:pt>
                <c:pt idx="181">
                  <c:v>48.057197900387884</c:v>
                </c:pt>
                <c:pt idx="182">
                  <c:v>53.534835234292075</c:v>
                </c:pt>
                <c:pt idx="183">
                  <c:v>44.60949689556471</c:v>
                </c:pt>
                <c:pt idx="184">
                  <c:v>42.333978690362223</c:v>
                </c:pt>
                <c:pt idx="185">
                  <c:v>53.041821921427577</c:v>
                </c:pt>
                <c:pt idx="186">
                  <c:v>45.550797232304042</c:v>
                </c:pt>
                <c:pt idx="187">
                  <c:v>52.316673497243954</c:v>
                </c:pt>
                <c:pt idx="188">
                  <c:v>55.020391480311993</c:v>
                </c:pt>
                <c:pt idx="189">
                  <c:v>54.311325813752255</c:v>
                </c:pt>
                <c:pt idx="190">
                  <c:v>53.619918393508243</c:v>
                </c:pt>
                <c:pt idx="191">
                  <c:v>52.201245356455196</c:v>
                </c:pt>
                <c:pt idx="192">
                  <c:v>52.296108535740146</c:v>
                </c:pt>
                <c:pt idx="193">
                  <c:v>51.679473669459817</c:v>
                </c:pt>
                <c:pt idx="194">
                  <c:v>51.126808625520738</c:v>
                </c:pt>
                <c:pt idx="195">
                  <c:v>49.416817263454639</c:v>
                </c:pt>
                <c:pt idx="196">
                  <c:v>50.78025681486568</c:v>
                </c:pt>
                <c:pt idx="197">
                  <c:v>50.377237983953854</c:v>
                </c:pt>
                <c:pt idx="198">
                  <c:v>52.208305882176887</c:v>
                </c:pt>
                <c:pt idx="199">
                  <c:v>41.885056571843222</c:v>
                </c:pt>
                <c:pt idx="200">
                  <c:v>42.305869554579111</c:v>
                </c:pt>
                <c:pt idx="201">
                  <c:v>49.754874048651644</c:v>
                </c:pt>
                <c:pt idx="202">
                  <c:v>39.662630545273736</c:v>
                </c:pt>
                <c:pt idx="203">
                  <c:v>44.324636189978492</c:v>
                </c:pt>
                <c:pt idx="204">
                  <c:v>49.713253481617066</c:v>
                </c:pt>
                <c:pt idx="205">
                  <c:v>25.405869089286814</c:v>
                </c:pt>
                <c:pt idx="206">
                  <c:v>53.405432482041995</c:v>
                </c:pt>
                <c:pt idx="207">
                  <c:v>53.414478297140782</c:v>
                </c:pt>
                <c:pt idx="208">
                  <c:v>42.866611996089084</c:v>
                </c:pt>
                <c:pt idx="209">
                  <c:v>28.998065813009482</c:v>
                </c:pt>
                <c:pt idx="210">
                  <c:v>48.80343096918596</c:v>
                </c:pt>
                <c:pt idx="211">
                  <c:v>51.435909657659209</c:v>
                </c:pt>
                <c:pt idx="212">
                  <c:v>50.539333348421536</c:v>
                </c:pt>
                <c:pt idx="213">
                  <c:v>50.741336031387874</c:v>
                </c:pt>
                <c:pt idx="214">
                  <c:v>48.618994476572283</c:v>
                </c:pt>
                <c:pt idx="215">
                  <c:v>45.624276500184806</c:v>
                </c:pt>
                <c:pt idx="216">
                  <c:v>42.449239685164997</c:v>
                </c:pt>
                <c:pt idx="217">
                  <c:v>46.516277984094842</c:v>
                </c:pt>
                <c:pt idx="218">
                  <c:v>49.442369343416487</c:v>
                </c:pt>
                <c:pt idx="219">
                  <c:v>50.236951160469019</c:v>
                </c:pt>
                <c:pt idx="220">
                  <c:v>48.557260113833898</c:v>
                </c:pt>
                <c:pt idx="221">
                  <c:v>46.558469016937153</c:v>
                </c:pt>
                <c:pt idx="222">
                  <c:v>42.845335637509592</c:v>
                </c:pt>
                <c:pt idx="223">
                  <c:v>44.966107197178182</c:v>
                </c:pt>
                <c:pt idx="224">
                  <c:v>31.323352323292703</c:v>
                </c:pt>
                <c:pt idx="225">
                  <c:v>32.566599675747803</c:v>
                </c:pt>
                <c:pt idx="226">
                  <c:v>37.342027382096447</c:v>
                </c:pt>
                <c:pt idx="227">
                  <c:v>31.368375354745908</c:v>
                </c:pt>
                <c:pt idx="228">
                  <c:v>21.562877482017218</c:v>
                </c:pt>
                <c:pt idx="229">
                  <c:v>37.521265030950943</c:v>
                </c:pt>
                <c:pt idx="230">
                  <c:v>38.85037724533688</c:v>
                </c:pt>
                <c:pt idx="231">
                  <c:v>46.26849940696566</c:v>
                </c:pt>
                <c:pt idx="232">
                  <c:v>31.191857551315373</c:v>
                </c:pt>
                <c:pt idx="233">
                  <c:v>24.302539572875617</c:v>
                </c:pt>
                <c:pt idx="234">
                  <c:v>43.471902874097395</c:v>
                </c:pt>
                <c:pt idx="235">
                  <c:v>44.915431432271482</c:v>
                </c:pt>
                <c:pt idx="236">
                  <c:v>32.049766293113258</c:v>
                </c:pt>
                <c:pt idx="237">
                  <c:v>40.264259546424533</c:v>
                </c:pt>
                <c:pt idx="238">
                  <c:v>47.43993225851213</c:v>
                </c:pt>
                <c:pt idx="239">
                  <c:v>46.558180086201823</c:v>
                </c:pt>
                <c:pt idx="240">
                  <c:v>31.390883210670363</c:v>
                </c:pt>
                <c:pt idx="241">
                  <c:v>45.580551407883874</c:v>
                </c:pt>
                <c:pt idx="242">
                  <c:v>21.452537940934498</c:v>
                </c:pt>
                <c:pt idx="243">
                  <c:v>41.354357575741226</c:v>
                </c:pt>
                <c:pt idx="244">
                  <c:v>37.9330816404985</c:v>
                </c:pt>
                <c:pt idx="245">
                  <c:v>31.672908214442607</c:v>
                </c:pt>
                <c:pt idx="246">
                  <c:v>45.938416551464449</c:v>
                </c:pt>
                <c:pt idx="247">
                  <c:v>38.83594719697421</c:v>
                </c:pt>
                <c:pt idx="248">
                  <c:v>44.044387271006592</c:v>
                </c:pt>
                <c:pt idx="249">
                  <c:v>34.269210101987881</c:v>
                </c:pt>
                <c:pt idx="250">
                  <c:v>37.527248030571364</c:v>
                </c:pt>
                <c:pt idx="251">
                  <c:v>20.891616601055649</c:v>
                </c:pt>
                <c:pt idx="252">
                  <c:v>44.135110669328121</c:v>
                </c:pt>
                <c:pt idx="253">
                  <c:v>44.654699853253049</c:v>
                </c:pt>
                <c:pt idx="254">
                  <c:v>31.274334114451459</c:v>
                </c:pt>
                <c:pt idx="255">
                  <c:v>11.089489572501078</c:v>
                </c:pt>
                <c:pt idx="256">
                  <c:v>36.800383951013963</c:v>
                </c:pt>
                <c:pt idx="257">
                  <c:v>40.422942200253367</c:v>
                </c:pt>
                <c:pt idx="258">
                  <c:v>26.913958697697087</c:v>
                </c:pt>
                <c:pt idx="259">
                  <c:v>46.544002925110988</c:v>
                </c:pt>
                <c:pt idx="260">
                  <c:v>45.001411373978108</c:v>
                </c:pt>
                <c:pt idx="261">
                  <c:v>43.841966086740022</c:v>
                </c:pt>
                <c:pt idx="262">
                  <c:v>45.16404675260366</c:v>
                </c:pt>
                <c:pt idx="263">
                  <c:v>44.063594652515434</c:v>
                </c:pt>
                <c:pt idx="264">
                  <c:v>42.915801141797303</c:v>
                </c:pt>
                <c:pt idx="265">
                  <c:v>27.114987693156106</c:v>
                </c:pt>
                <c:pt idx="266">
                  <c:v>16.997517030306511</c:v>
                </c:pt>
                <c:pt idx="267">
                  <c:v>30.088818012424152</c:v>
                </c:pt>
                <c:pt idx="268">
                  <c:v>32.449035015872106</c:v>
                </c:pt>
                <c:pt idx="269">
                  <c:v>14.666479507048072</c:v>
                </c:pt>
                <c:pt idx="270">
                  <c:v>16.852398871814476</c:v>
                </c:pt>
                <c:pt idx="271">
                  <c:v>23.112742381910653</c:v>
                </c:pt>
                <c:pt idx="272">
                  <c:v>28.243137665415908</c:v>
                </c:pt>
                <c:pt idx="273">
                  <c:v>33.871002924759182</c:v>
                </c:pt>
                <c:pt idx="274">
                  <c:v>37.756210263199016</c:v>
                </c:pt>
                <c:pt idx="275">
                  <c:v>34.34085728746674</c:v>
                </c:pt>
                <c:pt idx="276">
                  <c:v>38.640969913620289</c:v>
                </c:pt>
                <c:pt idx="277">
                  <c:v>39.853867928336747</c:v>
                </c:pt>
                <c:pt idx="278">
                  <c:v>11.634321854449503</c:v>
                </c:pt>
                <c:pt idx="279">
                  <c:v>28.43692349507598</c:v>
                </c:pt>
                <c:pt idx="280">
                  <c:v>15.499353111439541</c:v>
                </c:pt>
                <c:pt idx="281">
                  <c:v>36.45407294313096</c:v>
                </c:pt>
                <c:pt idx="282">
                  <c:v>30.045114353525495</c:v>
                </c:pt>
                <c:pt idx="283">
                  <c:v>21.848805005534363</c:v>
                </c:pt>
                <c:pt idx="284">
                  <c:v>27.289631416360773</c:v>
                </c:pt>
                <c:pt idx="285">
                  <c:v>22.521641248184</c:v>
                </c:pt>
                <c:pt idx="286">
                  <c:v>19.117076018205644</c:v>
                </c:pt>
                <c:pt idx="287">
                  <c:v>35.403345178176323</c:v>
                </c:pt>
                <c:pt idx="288">
                  <c:v>31.796019184459528</c:v>
                </c:pt>
                <c:pt idx="289">
                  <c:v>19.294870912666596</c:v>
                </c:pt>
                <c:pt idx="290">
                  <c:v>32.753398310163554</c:v>
                </c:pt>
                <c:pt idx="291">
                  <c:v>15.087208673564453</c:v>
                </c:pt>
                <c:pt idx="292">
                  <c:v>6.2504243708258649</c:v>
                </c:pt>
                <c:pt idx="293">
                  <c:v>15.830857287302782</c:v>
                </c:pt>
                <c:pt idx="294">
                  <c:v>31.604183108326406</c:v>
                </c:pt>
                <c:pt idx="295">
                  <c:v>16.470020946815556</c:v>
                </c:pt>
                <c:pt idx="296">
                  <c:v>24.413242945195442</c:v>
                </c:pt>
                <c:pt idx="297">
                  <c:v>21.055053823289832</c:v>
                </c:pt>
                <c:pt idx="298">
                  <c:v>13.19790325634975</c:v>
                </c:pt>
                <c:pt idx="299">
                  <c:v>14.096863403473739</c:v>
                </c:pt>
                <c:pt idx="300">
                  <c:v>16.646590181311506</c:v>
                </c:pt>
                <c:pt idx="301">
                  <c:v>26.140465906159161</c:v>
                </c:pt>
                <c:pt idx="302">
                  <c:v>21.623925520704383</c:v>
                </c:pt>
                <c:pt idx="303">
                  <c:v>21.110608595481285</c:v>
                </c:pt>
                <c:pt idx="304">
                  <c:v>22.456043353346679</c:v>
                </c:pt>
                <c:pt idx="305">
                  <c:v>26.988811428289278</c:v>
                </c:pt>
                <c:pt idx="306">
                  <c:v>9.2673534242657905</c:v>
                </c:pt>
                <c:pt idx="307">
                  <c:v>16.253183825159809</c:v>
                </c:pt>
                <c:pt idx="308">
                  <c:v>28.302012273725865</c:v>
                </c:pt>
                <c:pt idx="309">
                  <c:v>29.157613127218376</c:v>
                </c:pt>
                <c:pt idx="310">
                  <c:v>26.946057209288217</c:v>
                </c:pt>
                <c:pt idx="311">
                  <c:v>20.287478386697718</c:v>
                </c:pt>
                <c:pt idx="312">
                  <c:v>9.4863808022981821</c:v>
                </c:pt>
                <c:pt idx="313">
                  <c:v>19.700199148980648</c:v>
                </c:pt>
                <c:pt idx="314">
                  <c:v>26.681299426771741</c:v>
                </c:pt>
                <c:pt idx="315">
                  <c:v>26.725734472336644</c:v>
                </c:pt>
                <c:pt idx="316">
                  <c:v>25.816095248077204</c:v>
                </c:pt>
                <c:pt idx="317">
                  <c:v>9.0903139479087383</c:v>
                </c:pt>
                <c:pt idx="318">
                  <c:v>11.820504801626848</c:v>
                </c:pt>
                <c:pt idx="319">
                  <c:v>26.243139508893435</c:v>
                </c:pt>
                <c:pt idx="320">
                  <c:v>12.283843769795761</c:v>
                </c:pt>
                <c:pt idx="321">
                  <c:v>14.580416558842821</c:v>
                </c:pt>
                <c:pt idx="322">
                  <c:v>7.4671656312921062</c:v>
                </c:pt>
                <c:pt idx="323">
                  <c:v>14.924555259407308</c:v>
                </c:pt>
                <c:pt idx="324">
                  <c:v>3.1540648954793395</c:v>
                </c:pt>
                <c:pt idx="325">
                  <c:v>7.8408559262923792</c:v>
                </c:pt>
                <c:pt idx="326">
                  <c:v>11.7510102897811</c:v>
                </c:pt>
                <c:pt idx="327">
                  <c:v>12.933887504322948</c:v>
                </c:pt>
                <c:pt idx="328">
                  <c:v>5.0081964544440574</c:v>
                </c:pt>
                <c:pt idx="329">
                  <c:v>10.039139080873316</c:v>
                </c:pt>
                <c:pt idx="330">
                  <c:v>14.280627678106994</c:v>
                </c:pt>
                <c:pt idx="331">
                  <c:v>10.351765352032524</c:v>
                </c:pt>
                <c:pt idx="332">
                  <c:v>14.403087701958386</c:v>
                </c:pt>
                <c:pt idx="333">
                  <c:v>4.0128283002331857</c:v>
                </c:pt>
                <c:pt idx="334">
                  <c:v>3.4529727463426245</c:v>
                </c:pt>
                <c:pt idx="335">
                  <c:v>5.7260869643156624</c:v>
                </c:pt>
                <c:pt idx="336">
                  <c:v>8.5532217209857873</c:v>
                </c:pt>
                <c:pt idx="337">
                  <c:v>16.982381567065485</c:v>
                </c:pt>
                <c:pt idx="338">
                  <c:v>23.114880870820077</c:v>
                </c:pt>
                <c:pt idx="339">
                  <c:v>10.705347545308772</c:v>
                </c:pt>
                <c:pt idx="340">
                  <c:v>19.424552335606805</c:v>
                </c:pt>
                <c:pt idx="341">
                  <c:v>4.0101367951992515</c:v>
                </c:pt>
                <c:pt idx="342">
                  <c:v>4.8520308860848109</c:v>
                </c:pt>
                <c:pt idx="343">
                  <c:v>11.421396944281527</c:v>
                </c:pt>
                <c:pt idx="344">
                  <c:v>15.95618370771497</c:v>
                </c:pt>
                <c:pt idx="345">
                  <c:v>5.5570120066144852</c:v>
                </c:pt>
                <c:pt idx="346">
                  <c:v>5.275117058959836</c:v>
                </c:pt>
                <c:pt idx="347">
                  <c:v>16.73836958624134</c:v>
                </c:pt>
                <c:pt idx="348">
                  <c:v>5.5522323390588451</c:v>
                </c:pt>
                <c:pt idx="349">
                  <c:v>4.7310738199964746</c:v>
                </c:pt>
                <c:pt idx="350">
                  <c:v>3.4573932576349717</c:v>
                </c:pt>
                <c:pt idx="351">
                  <c:v>20.761315269464184</c:v>
                </c:pt>
                <c:pt idx="352">
                  <c:v>16.801259843702585</c:v>
                </c:pt>
                <c:pt idx="353">
                  <c:v>4.4167573115862426</c:v>
                </c:pt>
                <c:pt idx="354">
                  <c:v>19.919970009754952</c:v>
                </c:pt>
                <c:pt idx="355">
                  <c:v>16.462608635799182</c:v>
                </c:pt>
                <c:pt idx="356">
                  <c:v>17.001085552614789</c:v>
                </c:pt>
                <c:pt idx="357">
                  <c:v>20.431289503790548</c:v>
                </c:pt>
                <c:pt idx="358">
                  <c:v>12.156563488691686</c:v>
                </c:pt>
                <c:pt idx="359">
                  <c:v>20.715678113038674</c:v>
                </c:pt>
                <c:pt idx="360">
                  <c:v>7.4656530794282068</c:v>
                </c:pt>
                <c:pt idx="361">
                  <c:v>19.898770057211216</c:v>
                </c:pt>
                <c:pt idx="362">
                  <c:v>9.7818808628963136</c:v>
                </c:pt>
                <c:pt idx="363">
                  <c:v>12.87996793035995</c:v>
                </c:pt>
                <c:pt idx="364">
                  <c:v>11.952289657735795</c:v>
                </c:pt>
                <c:pt idx="365">
                  <c:v>15.046077808291022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22.805305070294189</c:v>
                </c:pt>
                <c:pt idx="1">
                  <c:v>16.397568872802356</c:v>
                </c:pt>
                <c:pt idx="2">
                  <c:v>17.645548491725396</c:v>
                </c:pt>
                <c:pt idx="3">
                  <c:v>18.644275360315842</c:v>
                </c:pt>
                <c:pt idx="4">
                  <c:v>14.843852543616416</c:v>
                </c:pt>
                <c:pt idx="5">
                  <c:v>21.405058805225689</c:v>
                </c:pt>
                <c:pt idx="6">
                  <c:v>10.946261720471192</c:v>
                </c:pt>
                <c:pt idx="7">
                  <c:v>7.6787989468683708</c:v>
                </c:pt>
                <c:pt idx="8">
                  <c:v>2.2665306214407455</c:v>
                </c:pt>
                <c:pt idx="9">
                  <c:v>1.7592444988058968</c:v>
                </c:pt>
                <c:pt idx="10">
                  <c:v>25.352341228471381</c:v>
                </c:pt>
                <c:pt idx="11">
                  <c:v>21.630610716058118</c:v>
                </c:pt>
                <c:pt idx="12">
                  <c:v>5.2089292441312773</c:v>
                </c:pt>
                <c:pt idx="13">
                  <c:v>25.752079183536235</c:v>
                </c:pt>
                <c:pt idx="14">
                  <c:v>27.364892319932746</c:v>
                </c:pt>
                <c:pt idx="15">
                  <c:v>26.876114708285002</c:v>
                </c:pt>
                <c:pt idx="16">
                  <c:v>13.757332656122429</c:v>
                </c:pt>
                <c:pt idx="17">
                  <c:v>3.6321036087299676</c:v>
                </c:pt>
                <c:pt idx="18">
                  <c:v>10.505769298480825</c:v>
                </c:pt>
                <c:pt idx="19">
                  <c:v>6.6087511189954338</c:v>
                </c:pt>
                <c:pt idx="20">
                  <c:v>21.109444616831048</c:v>
                </c:pt>
                <c:pt idx="21">
                  <c:v>28.482319041316764</c:v>
                </c:pt>
                <c:pt idx="22">
                  <c:v>28.547934904775541</c:v>
                </c:pt>
                <c:pt idx="23">
                  <c:v>29.189455753208946</c:v>
                </c:pt>
                <c:pt idx="24">
                  <c:v>27.799135581058891</c:v>
                </c:pt>
                <c:pt idx="25">
                  <c:v>28.790896966576877</c:v>
                </c:pt>
                <c:pt idx="26">
                  <c:v>26.824691146911974</c:v>
                </c:pt>
                <c:pt idx="27">
                  <c:v>4.381484690709903</c:v>
                </c:pt>
                <c:pt idx="28">
                  <c:v>9.6076333314542257</c:v>
                </c:pt>
                <c:pt idx="29">
                  <c:v>4.5698099210362031</c:v>
                </c:pt>
                <c:pt idx="30">
                  <c:v>9.3465781956472682</c:v>
                </c:pt>
                <c:pt idx="31">
                  <c:v>13.568996473217782</c:v>
                </c:pt>
                <c:pt idx="32">
                  <c:v>5.4509072816625919</c:v>
                </c:pt>
                <c:pt idx="33">
                  <c:v>10.274209556755684</c:v>
                </c:pt>
                <c:pt idx="34">
                  <c:v>10.173437255082035</c:v>
                </c:pt>
                <c:pt idx="35">
                  <c:v>9.8430623558772918</c:v>
                </c:pt>
                <c:pt idx="36">
                  <c:v>22.519359529994635</c:v>
                </c:pt>
                <c:pt idx="37">
                  <c:v>9.6630429777698961</c:v>
                </c:pt>
                <c:pt idx="38">
                  <c:v>33.869607425129743</c:v>
                </c:pt>
                <c:pt idx="39">
                  <c:v>34.092236109619144</c:v>
                </c:pt>
                <c:pt idx="40">
                  <c:v>31.692844198215028</c:v>
                </c:pt>
                <c:pt idx="41">
                  <c:v>17.692179899344666</c:v>
                </c:pt>
                <c:pt idx="42">
                  <c:v>26.878946061189648</c:v>
                </c:pt>
                <c:pt idx="43">
                  <c:v>31.773633527454397</c:v>
                </c:pt>
                <c:pt idx="44">
                  <c:v>15.561842415098047</c:v>
                </c:pt>
                <c:pt idx="45">
                  <c:v>19.565338589954308</c:v>
                </c:pt>
                <c:pt idx="46">
                  <c:v>10.249050476194881</c:v>
                </c:pt>
                <c:pt idx="47">
                  <c:v>11.08839271840445</c:v>
                </c:pt>
                <c:pt idx="48">
                  <c:v>28.237765819008196</c:v>
                </c:pt>
                <c:pt idx="49">
                  <c:v>20.463949784701111</c:v>
                </c:pt>
                <c:pt idx="50">
                  <c:v>19.519127070526796</c:v>
                </c:pt>
                <c:pt idx="51">
                  <c:v>21.577709615262144</c:v>
                </c:pt>
                <c:pt idx="52">
                  <c:v>33.35061436203646</c:v>
                </c:pt>
                <c:pt idx="53">
                  <c:v>34.507442172828604</c:v>
                </c:pt>
                <c:pt idx="54">
                  <c:v>21.214633999941022</c:v>
                </c:pt>
                <c:pt idx="55">
                  <c:v>30.8983074706303</c:v>
                </c:pt>
                <c:pt idx="56">
                  <c:v>39.790625921588173</c:v>
                </c:pt>
                <c:pt idx="57">
                  <c:v>27.729682496476737</c:v>
                </c:pt>
                <c:pt idx="58">
                  <c:v>34.264921247423167</c:v>
                </c:pt>
                <c:pt idx="59">
                  <c:v>39.775599345307526</c:v>
                </c:pt>
                <c:pt idx="60">
                  <c:v>10.953508299218713</c:v>
                </c:pt>
                <c:pt idx="61">
                  <c:v>35.301725595065555</c:v>
                </c:pt>
                <c:pt idx="62">
                  <c:v>4.0603795504292011</c:v>
                </c:pt>
                <c:pt idx="63">
                  <c:v>13.441982074262137</c:v>
                </c:pt>
                <c:pt idx="64">
                  <c:v>16.060680850986291</c:v>
                </c:pt>
                <c:pt idx="65">
                  <c:v>37.513200134312193</c:v>
                </c:pt>
                <c:pt idx="66">
                  <c:v>32.41956032868621</c:v>
                </c:pt>
                <c:pt idx="67">
                  <c:v>28.928038341784671</c:v>
                </c:pt>
                <c:pt idx="68">
                  <c:v>25.130000677907695</c:v>
                </c:pt>
                <c:pt idx="69">
                  <c:v>15.946046151857185</c:v>
                </c:pt>
                <c:pt idx="70">
                  <c:v>14.816323126993499</c:v>
                </c:pt>
                <c:pt idx="71">
                  <c:v>10.057218535983218</c:v>
                </c:pt>
                <c:pt idx="72">
                  <c:v>14.493154849991937</c:v>
                </c:pt>
                <c:pt idx="73">
                  <c:v>14.5171450869515</c:v>
                </c:pt>
                <c:pt idx="74">
                  <c:v>13.084757183168835</c:v>
                </c:pt>
                <c:pt idx="75">
                  <c:v>10.915727430797306</c:v>
                </c:pt>
                <c:pt idx="76">
                  <c:v>14.553721497476023</c:v>
                </c:pt>
                <c:pt idx="77">
                  <c:v>29.535453434645113</c:v>
                </c:pt>
                <c:pt idx="78">
                  <c:v>30.505619789255821</c:v>
                </c:pt>
                <c:pt idx="79">
                  <c:v>44.478858438926231</c:v>
                </c:pt>
                <c:pt idx="80">
                  <c:v>41.853578599053378</c:v>
                </c:pt>
                <c:pt idx="81">
                  <c:v>48.022994277529037</c:v>
                </c:pt>
                <c:pt idx="82">
                  <c:v>46.994757790460518</c:v>
                </c:pt>
                <c:pt idx="83">
                  <c:v>41.165095152964298</c:v>
                </c:pt>
                <c:pt idx="84">
                  <c:v>46.328989774745828</c:v>
                </c:pt>
                <c:pt idx="85">
                  <c:v>45.126689485550202</c:v>
                </c:pt>
                <c:pt idx="86">
                  <c:v>35.331801884111712</c:v>
                </c:pt>
                <c:pt idx="87">
                  <c:v>27.827339452165273</c:v>
                </c:pt>
                <c:pt idx="88">
                  <c:v>7.8256574756050901</c:v>
                </c:pt>
                <c:pt idx="89">
                  <c:v>28.518188633338248</c:v>
                </c:pt>
                <c:pt idx="90">
                  <c:v>31.208672333273256</c:v>
                </c:pt>
                <c:pt idx="91">
                  <c:v>21.275827568708294</c:v>
                </c:pt>
                <c:pt idx="92">
                  <c:v>23.049619896446263</c:v>
                </c:pt>
                <c:pt idx="93">
                  <c:v>48.473870569778683</c:v>
                </c:pt>
                <c:pt idx="94">
                  <c:v>51.523570545987127</c:v>
                </c:pt>
                <c:pt idx="95">
                  <c:v>11.287250461534288</c:v>
                </c:pt>
                <c:pt idx="96">
                  <c:v>38.58355543925137</c:v>
                </c:pt>
                <c:pt idx="97">
                  <c:v>31.782025604626487</c:v>
                </c:pt>
                <c:pt idx="98">
                  <c:v>35.387747372512948</c:v>
                </c:pt>
                <c:pt idx="99">
                  <c:v>53.287522028867876</c:v>
                </c:pt>
                <c:pt idx="100">
                  <c:v>44.74760070830223</c:v>
                </c:pt>
                <c:pt idx="101">
                  <c:v>36.288904939430687</c:v>
                </c:pt>
                <c:pt idx="102">
                  <c:v>7.2765890409597089</c:v>
                </c:pt>
                <c:pt idx="103">
                  <c:v>39.333626992660207</c:v>
                </c:pt>
                <c:pt idx="104">
                  <c:v>45.076252324327314</c:v>
                </c:pt>
                <c:pt idx="105">
                  <c:v>43.495900748899324</c:v>
                </c:pt>
                <c:pt idx="106">
                  <c:v>53.127473883151907</c:v>
                </c:pt>
                <c:pt idx="107">
                  <c:v>36.748948370665687</c:v>
                </c:pt>
                <c:pt idx="108">
                  <c:v>8.7849595431232164</c:v>
                </c:pt>
                <c:pt idx="109">
                  <c:v>10.052909665552493</c:v>
                </c:pt>
                <c:pt idx="110">
                  <c:v>9.292398875776124</c:v>
                </c:pt>
                <c:pt idx="111">
                  <c:v>27.194627497476716</c:v>
                </c:pt>
                <c:pt idx="112">
                  <c:v>9.4096822617959948</c:v>
                </c:pt>
                <c:pt idx="113">
                  <c:v>29.857139980695781</c:v>
                </c:pt>
                <c:pt idx="114">
                  <c:v>45.946262340153972</c:v>
                </c:pt>
                <c:pt idx="115">
                  <c:v>53.487751457903549</c:v>
                </c:pt>
                <c:pt idx="116">
                  <c:v>40.290213044740341</c:v>
                </c:pt>
                <c:pt idx="117">
                  <c:v>20.054519955893941</c:v>
                </c:pt>
                <c:pt idx="118">
                  <c:v>40.356413992133106</c:v>
                </c:pt>
                <c:pt idx="119">
                  <c:v>42.897016482072694</c:v>
                </c:pt>
                <c:pt idx="120">
                  <c:v>46.492417857276699</c:v>
                </c:pt>
                <c:pt idx="121">
                  <c:v>29.887607438786656</c:v>
                </c:pt>
                <c:pt idx="122">
                  <c:v>35.611080257145915</c:v>
                </c:pt>
                <c:pt idx="123">
                  <c:v>19.753646073726074</c:v>
                </c:pt>
                <c:pt idx="124">
                  <c:v>41.40412726222479</c:v>
                </c:pt>
                <c:pt idx="125">
                  <c:v>37.876580275717167</c:v>
                </c:pt>
                <c:pt idx="126">
                  <c:v>51.502245183694498</c:v>
                </c:pt>
                <c:pt idx="127">
                  <c:v>49.012831262204372</c:v>
                </c:pt>
                <c:pt idx="128">
                  <c:v>51.288333687044954</c:v>
                </c:pt>
                <c:pt idx="129">
                  <c:v>50.959667074965324</c:v>
                </c:pt>
                <c:pt idx="130">
                  <c:v>55.007770031689347</c:v>
                </c:pt>
                <c:pt idx="131">
                  <c:v>40.108307723075498</c:v>
                </c:pt>
                <c:pt idx="132">
                  <c:v>40.796991661763748</c:v>
                </c:pt>
                <c:pt idx="133">
                  <c:v>49.358689171375268</c:v>
                </c:pt>
                <c:pt idx="134">
                  <c:v>52.219262774941434</c:v>
                </c:pt>
                <c:pt idx="135">
                  <c:v>49.775739702758578</c:v>
                </c:pt>
                <c:pt idx="136">
                  <c:v>53.005124985188822</c:v>
                </c:pt>
                <c:pt idx="137">
                  <c:v>50.989296375264693</c:v>
                </c:pt>
                <c:pt idx="138">
                  <c:v>53.816710286065586</c:v>
                </c:pt>
                <c:pt idx="139">
                  <c:v>48.755867152496101</c:v>
                </c:pt>
                <c:pt idx="140">
                  <c:v>48.673999431240446</c:v>
                </c:pt>
                <c:pt idx="141">
                  <c:v>36.838408982334556</c:v>
                </c:pt>
                <c:pt idx="142">
                  <c:v>19.206119125643493</c:v>
                </c:pt>
                <c:pt idx="143">
                  <c:v>16.652866229675482</c:v>
                </c:pt>
                <c:pt idx="144">
                  <c:v>39.058638129839814</c:v>
                </c:pt>
                <c:pt idx="145">
                  <c:v>23.683225743703339</c:v>
                </c:pt>
                <c:pt idx="146">
                  <c:v>44.053540631649831</c:v>
                </c:pt>
                <c:pt idx="147">
                  <c:v>53.080699830911264</c:v>
                </c:pt>
                <c:pt idx="148">
                  <c:v>57.211061532853073</c:v>
                </c:pt>
                <c:pt idx="149">
                  <c:v>48.719683648469633</c:v>
                </c:pt>
                <c:pt idx="150">
                  <c:v>51.739884505947948</c:v>
                </c:pt>
                <c:pt idx="151">
                  <c:v>54.05410930154784</c:v>
                </c:pt>
                <c:pt idx="152">
                  <c:v>43.423054989123017</c:v>
                </c:pt>
                <c:pt idx="153">
                  <c:v>52.919632737971426</c:v>
                </c:pt>
                <c:pt idx="154">
                  <c:v>23.897384160586</c:v>
                </c:pt>
                <c:pt idx="155">
                  <c:v>32.96611484710359</c:v>
                </c:pt>
                <c:pt idx="156">
                  <c:v>46.428785943411128</c:v>
                </c:pt>
                <c:pt idx="157">
                  <c:v>24.204870445293121</c:v>
                </c:pt>
                <c:pt idx="158">
                  <c:v>19.789028186028066</c:v>
                </c:pt>
                <c:pt idx="159">
                  <c:v>45.221909662626672</c:v>
                </c:pt>
                <c:pt idx="160">
                  <c:v>55.188088045233748</c:v>
                </c:pt>
                <c:pt idx="161">
                  <c:v>53.961583183262285</c:v>
                </c:pt>
                <c:pt idx="162">
                  <c:v>41.289904036885773</c:v>
                </c:pt>
                <c:pt idx="163">
                  <c:v>52.280548973394062</c:v>
                </c:pt>
                <c:pt idx="164">
                  <c:v>47.682655135332112</c:v>
                </c:pt>
                <c:pt idx="165">
                  <c:v>52.01392757459557</c:v>
                </c:pt>
                <c:pt idx="166">
                  <c:v>49.988342197555454</c:v>
                </c:pt>
                <c:pt idx="167">
                  <c:v>50.05711320462413</c:v>
                </c:pt>
                <c:pt idx="168">
                  <c:v>53.336948992901448</c:v>
                </c:pt>
                <c:pt idx="169">
                  <c:v>54.425949432205783</c:v>
                </c:pt>
                <c:pt idx="170">
                  <c:v>30.310503021468556</c:v>
                </c:pt>
                <c:pt idx="171">
                  <c:v>22.636108368505923</c:v>
                </c:pt>
                <c:pt idx="172">
                  <c:v>37.862597822913308</c:v>
                </c:pt>
                <c:pt idx="173">
                  <c:v>40.439984608808423</c:v>
                </c:pt>
                <c:pt idx="174">
                  <c:v>38.649983784870386</c:v>
                </c:pt>
                <c:pt idx="175">
                  <c:v>34.013490826881103</c:v>
                </c:pt>
                <c:pt idx="176">
                  <c:v>11.412465561939488</c:v>
                </c:pt>
                <c:pt idx="177">
                  <c:v>12.457584884513576</c:v>
                </c:pt>
                <c:pt idx="178">
                  <c:v>56.553452187334301</c:v>
                </c:pt>
                <c:pt idx="179">
                  <c:v>53.691955065902818</c:v>
                </c:pt>
                <c:pt idx="180">
                  <c:v>13.349633197676383</c:v>
                </c:pt>
                <c:pt idx="181">
                  <c:v>48.057197900387884</c:v>
                </c:pt>
                <c:pt idx="182">
                  <c:v>53.534835234292075</c:v>
                </c:pt>
                <c:pt idx="183">
                  <c:v>44.60949689556471</c:v>
                </c:pt>
                <c:pt idx="184">
                  <c:v>42.333978690362223</c:v>
                </c:pt>
                <c:pt idx="185">
                  <c:v>53.041821921427577</c:v>
                </c:pt>
                <c:pt idx="186">
                  <c:v>45.550797232304042</c:v>
                </c:pt>
                <c:pt idx="187">
                  <c:v>52.316673497243954</c:v>
                </c:pt>
                <c:pt idx="188">
                  <c:v>55.020391480311993</c:v>
                </c:pt>
                <c:pt idx="189">
                  <c:v>54.311325813752255</c:v>
                </c:pt>
                <c:pt idx="190">
                  <c:v>53.619918393508243</c:v>
                </c:pt>
                <c:pt idx="191">
                  <c:v>52.201245356455196</c:v>
                </c:pt>
                <c:pt idx="192">
                  <c:v>52.296108535740146</c:v>
                </c:pt>
                <c:pt idx="193">
                  <c:v>51.679473669459817</c:v>
                </c:pt>
                <c:pt idx="194">
                  <c:v>51.126808625520738</c:v>
                </c:pt>
                <c:pt idx="195">
                  <c:v>49.416817263454639</c:v>
                </c:pt>
                <c:pt idx="196">
                  <c:v>50.78025681486568</c:v>
                </c:pt>
                <c:pt idx="197">
                  <c:v>50.377237983953854</c:v>
                </c:pt>
                <c:pt idx="198">
                  <c:v>52.208305882176887</c:v>
                </c:pt>
                <c:pt idx="199">
                  <c:v>41.885056571843222</c:v>
                </c:pt>
                <c:pt idx="200">
                  <c:v>42.305869554579111</c:v>
                </c:pt>
                <c:pt idx="201">
                  <c:v>49.754874048651644</c:v>
                </c:pt>
                <c:pt idx="202">
                  <c:v>39.662630545273736</c:v>
                </c:pt>
                <c:pt idx="203">
                  <c:v>44.324636189978492</c:v>
                </c:pt>
                <c:pt idx="204">
                  <c:v>49.713253481617066</c:v>
                </c:pt>
                <c:pt idx="205">
                  <c:v>25.405869089286814</c:v>
                </c:pt>
                <c:pt idx="206">
                  <c:v>53.405432482041995</c:v>
                </c:pt>
                <c:pt idx="207">
                  <c:v>53.414478297140782</c:v>
                </c:pt>
                <c:pt idx="208">
                  <c:v>42.866611996089084</c:v>
                </c:pt>
                <c:pt idx="209">
                  <c:v>28.998065813009482</c:v>
                </c:pt>
                <c:pt idx="210">
                  <c:v>48.80343096918596</c:v>
                </c:pt>
                <c:pt idx="211">
                  <c:v>51.435909657659209</c:v>
                </c:pt>
                <c:pt idx="212">
                  <c:v>50.539333348421536</c:v>
                </c:pt>
                <c:pt idx="213">
                  <c:v>50.741336031387874</c:v>
                </c:pt>
                <c:pt idx="214">
                  <c:v>48.618994476572283</c:v>
                </c:pt>
                <c:pt idx="215">
                  <c:v>45.624276500184806</c:v>
                </c:pt>
                <c:pt idx="216">
                  <c:v>42.449239685164997</c:v>
                </c:pt>
                <c:pt idx="217">
                  <c:v>46.516277984094842</c:v>
                </c:pt>
                <c:pt idx="218">
                  <c:v>49.442369343416487</c:v>
                </c:pt>
                <c:pt idx="219">
                  <c:v>50.236951160469019</c:v>
                </c:pt>
                <c:pt idx="220">
                  <c:v>48.557260113833898</c:v>
                </c:pt>
                <c:pt idx="221">
                  <c:v>46.558469016937153</c:v>
                </c:pt>
                <c:pt idx="222">
                  <c:v>42.845335637509592</c:v>
                </c:pt>
                <c:pt idx="223">
                  <c:v>44.966107197178182</c:v>
                </c:pt>
                <c:pt idx="224">
                  <c:v>31.323352323292703</c:v>
                </c:pt>
                <c:pt idx="225">
                  <c:v>32.566599675747803</c:v>
                </c:pt>
                <c:pt idx="226">
                  <c:v>37.342027382096447</c:v>
                </c:pt>
                <c:pt idx="227">
                  <c:v>31.368375354745908</c:v>
                </c:pt>
                <c:pt idx="228">
                  <c:v>21.562877482017218</c:v>
                </c:pt>
                <c:pt idx="229">
                  <c:v>37.521265030950943</c:v>
                </c:pt>
                <c:pt idx="230">
                  <c:v>38.85037724533688</c:v>
                </c:pt>
                <c:pt idx="231">
                  <c:v>46.26849940696566</c:v>
                </c:pt>
                <c:pt idx="232">
                  <c:v>31.191857551315373</c:v>
                </c:pt>
                <c:pt idx="233">
                  <c:v>24.302539572875617</c:v>
                </c:pt>
                <c:pt idx="234">
                  <c:v>43.471902874097395</c:v>
                </c:pt>
                <c:pt idx="235">
                  <c:v>44.915431432271482</c:v>
                </c:pt>
                <c:pt idx="236">
                  <c:v>32.049766293113258</c:v>
                </c:pt>
                <c:pt idx="237">
                  <c:v>40.264259546424533</c:v>
                </c:pt>
                <c:pt idx="238">
                  <c:v>47.43993225851213</c:v>
                </c:pt>
                <c:pt idx="239">
                  <c:v>46.558180086201823</c:v>
                </c:pt>
                <c:pt idx="240">
                  <c:v>31.390883210670363</c:v>
                </c:pt>
                <c:pt idx="241">
                  <c:v>45.580551407883874</c:v>
                </c:pt>
                <c:pt idx="242">
                  <c:v>21.452537940934498</c:v>
                </c:pt>
                <c:pt idx="243">
                  <c:v>41.354357575741226</c:v>
                </c:pt>
                <c:pt idx="244">
                  <c:v>37.9330816404985</c:v>
                </c:pt>
                <c:pt idx="245">
                  <c:v>31.672908214442607</c:v>
                </c:pt>
                <c:pt idx="246">
                  <c:v>45.938416551464449</c:v>
                </c:pt>
                <c:pt idx="247">
                  <c:v>38.83594719697421</c:v>
                </c:pt>
                <c:pt idx="248">
                  <c:v>44.044387271006592</c:v>
                </c:pt>
                <c:pt idx="249">
                  <c:v>34.269210101987881</c:v>
                </c:pt>
                <c:pt idx="250">
                  <c:v>37.527248030571364</c:v>
                </c:pt>
                <c:pt idx="251">
                  <c:v>20.891616601055649</c:v>
                </c:pt>
                <c:pt idx="252">
                  <c:v>44.135110669328121</c:v>
                </c:pt>
                <c:pt idx="253">
                  <c:v>44.654699853253049</c:v>
                </c:pt>
                <c:pt idx="254">
                  <c:v>31.274334114451459</c:v>
                </c:pt>
                <c:pt idx="255">
                  <c:v>11.089489572501078</c:v>
                </c:pt>
                <c:pt idx="256">
                  <c:v>36.800383951013963</c:v>
                </c:pt>
                <c:pt idx="257">
                  <c:v>40.422942200253367</c:v>
                </c:pt>
                <c:pt idx="258">
                  <c:v>26.913958697697087</c:v>
                </c:pt>
                <c:pt idx="259">
                  <c:v>46.544002925110988</c:v>
                </c:pt>
                <c:pt idx="260">
                  <c:v>45.001411373978108</c:v>
                </c:pt>
                <c:pt idx="261">
                  <c:v>43.841966086740022</c:v>
                </c:pt>
                <c:pt idx="262">
                  <c:v>45.16404675260366</c:v>
                </c:pt>
                <c:pt idx="263">
                  <c:v>44.063594652515434</c:v>
                </c:pt>
                <c:pt idx="264">
                  <c:v>42.915801141797303</c:v>
                </c:pt>
                <c:pt idx="265">
                  <c:v>27.114987693156106</c:v>
                </c:pt>
                <c:pt idx="266">
                  <c:v>16.997517030306511</c:v>
                </c:pt>
                <c:pt idx="267">
                  <c:v>30.088818012424152</c:v>
                </c:pt>
                <c:pt idx="268">
                  <c:v>32.449035015872106</c:v>
                </c:pt>
                <c:pt idx="269">
                  <c:v>14.666479507048072</c:v>
                </c:pt>
                <c:pt idx="270">
                  <c:v>16.852398871814476</c:v>
                </c:pt>
                <c:pt idx="271">
                  <c:v>23.112742381910653</c:v>
                </c:pt>
                <c:pt idx="272">
                  <c:v>28.243137665415908</c:v>
                </c:pt>
                <c:pt idx="273">
                  <c:v>33.871002924759182</c:v>
                </c:pt>
                <c:pt idx="274">
                  <c:v>37.756210263199016</c:v>
                </c:pt>
                <c:pt idx="275">
                  <c:v>34.34085728746674</c:v>
                </c:pt>
                <c:pt idx="276">
                  <c:v>38.640969913620289</c:v>
                </c:pt>
                <c:pt idx="277">
                  <c:v>39.853867928336747</c:v>
                </c:pt>
                <c:pt idx="278">
                  <c:v>11.634321854449503</c:v>
                </c:pt>
                <c:pt idx="279">
                  <c:v>28.43692349507598</c:v>
                </c:pt>
                <c:pt idx="280">
                  <c:v>15.499353111439541</c:v>
                </c:pt>
                <c:pt idx="281">
                  <c:v>36.45407294313096</c:v>
                </c:pt>
                <c:pt idx="282">
                  <c:v>30.045114353525495</c:v>
                </c:pt>
                <c:pt idx="283">
                  <c:v>21.848805005534363</c:v>
                </c:pt>
                <c:pt idx="284">
                  <c:v>27.289631416360773</c:v>
                </c:pt>
                <c:pt idx="285">
                  <c:v>22.521641248184</c:v>
                </c:pt>
                <c:pt idx="286">
                  <c:v>19.117076018205644</c:v>
                </c:pt>
                <c:pt idx="287">
                  <c:v>35.403345178176323</c:v>
                </c:pt>
                <c:pt idx="288">
                  <c:v>31.796019184459528</c:v>
                </c:pt>
                <c:pt idx="289">
                  <c:v>19.294870912666596</c:v>
                </c:pt>
                <c:pt idx="290">
                  <c:v>32.753398310163554</c:v>
                </c:pt>
                <c:pt idx="291">
                  <c:v>15.087208673564453</c:v>
                </c:pt>
                <c:pt idx="292">
                  <c:v>6.2504243708258649</c:v>
                </c:pt>
                <c:pt idx="293">
                  <c:v>15.830857287302782</c:v>
                </c:pt>
                <c:pt idx="294">
                  <c:v>31.604183108326406</c:v>
                </c:pt>
                <c:pt idx="295">
                  <c:v>16.470020946815556</c:v>
                </c:pt>
                <c:pt idx="296">
                  <c:v>24.413242945195442</c:v>
                </c:pt>
                <c:pt idx="297">
                  <c:v>21.055053823289832</c:v>
                </c:pt>
                <c:pt idx="298">
                  <c:v>13.19790325634975</c:v>
                </c:pt>
                <c:pt idx="299">
                  <c:v>14.096863403473739</c:v>
                </c:pt>
                <c:pt idx="300">
                  <c:v>16.646590181311506</c:v>
                </c:pt>
                <c:pt idx="301">
                  <c:v>26.140465906159161</c:v>
                </c:pt>
                <c:pt idx="302">
                  <c:v>21.623925520704383</c:v>
                </c:pt>
                <c:pt idx="303">
                  <c:v>21.110608595481285</c:v>
                </c:pt>
                <c:pt idx="304">
                  <c:v>22.456043353346679</c:v>
                </c:pt>
                <c:pt idx="305">
                  <c:v>26.988811428289278</c:v>
                </c:pt>
                <c:pt idx="306">
                  <c:v>9.2673534242657905</c:v>
                </c:pt>
                <c:pt idx="307">
                  <c:v>16.253183825159809</c:v>
                </c:pt>
                <c:pt idx="308">
                  <c:v>28.302012273725865</c:v>
                </c:pt>
                <c:pt idx="309">
                  <c:v>29.157613127218376</c:v>
                </c:pt>
                <c:pt idx="310">
                  <c:v>26.946057209288217</c:v>
                </c:pt>
                <c:pt idx="311">
                  <c:v>20.287478386697718</c:v>
                </c:pt>
                <c:pt idx="312">
                  <c:v>9.4863808022981821</c:v>
                </c:pt>
                <c:pt idx="313">
                  <c:v>19.700199148980648</c:v>
                </c:pt>
                <c:pt idx="314">
                  <c:v>26.681299426771741</c:v>
                </c:pt>
                <c:pt idx="315">
                  <c:v>26.725734472336644</c:v>
                </c:pt>
                <c:pt idx="316">
                  <c:v>25.816095248077204</c:v>
                </c:pt>
                <c:pt idx="317">
                  <c:v>9.0903139479087383</c:v>
                </c:pt>
                <c:pt idx="318">
                  <c:v>11.820504801626848</c:v>
                </c:pt>
                <c:pt idx="319">
                  <c:v>26.243139508893435</c:v>
                </c:pt>
                <c:pt idx="320">
                  <c:v>12.283843769795761</c:v>
                </c:pt>
                <c:pt idx="321">
                  <c:v>14.580416558842821</c:v>
                </c:pt>
                <c:pt idx="322">
                  <c:v>7.4671656312921062</c:v>
                </c:pt>
                <c:pt idx="323">
                  <c:v>14.924555259407308</c:v>
                </c:pt>
                <c:pt idx="324">
                  <c:v>3.1540648954793395</c:v>
                </c:pt>
                <c:pt idx="325">
                  <c:v>7.8408559262923792</c:v>
                </c:pt>
                <c:pt idx="326">
                  <c:v>11.7510102897811</c:v>
                </c:pt>
                <c:pt idx="327">
                  <c:v>12.933887504322948</c:v>
                </c:pt>
                <c:pt idx="328">
                  <c:v>5.0081964544440574</c:v>
                </c:pt>
                <c:pt idx="329">
                  <c:v>10.039139080873316</c:v>
                </c:pt>
                <c:pt idx="330">
                  <c:v>14.280627678106994</c:v>
                </c:pt>
                <c:pt idx="331">
                  <c:v>10.351765352032524</c:v>
                </c:pt>
                <c:pt idx="332">
                  <c:v>14.403087701958386</c:v>
                </c:pt>
                <c:pt idx="333">
                  <c:v>4.0128283002331857</c:v>
                </c:pt>
                <c:pt idx="334">
                  <c:v>3.4529727463426245</c:v>
                </c:pt>
                <c:pt idx="335">
                  <c:v>5.7260869643156624</c:v>
                </c:pt>
                <c:pt idx="336">
                  <c:v>8.5532217209857873</c:v>
                </c:pt>
                <c:pt idx="337">
                  <c:v>16.982381567065485</c:v>
                </c:pt>
                <c:pt idx="338">
                  <c:v>23.114880870820077</c:v>
                </c:pt>
                <c:pt idx="339">
                  <c:v>10.705347545308772</c:v>
                </c:pt>
                <c:pt idx="340">
                  <c:v>19.424552335606805</c:v>
                </c:pt>
                <c:pt idx="341">
                  <c:v>4.0101367951992515</c:v>
                </c:pt>
                <c:pt idx="342">
                  <c:v>4.8520308860848109</c:v>
                </c:pt>
                <c:pt idx="343">
                  <c:v>11.421396944281527</c:v>
                </c:pt>
                <c:pt idx="344">
                  <c:v>15.95618370771497</c:v>
                </c:pt>
                <c:pt idx="345">
                  <c:v>5.5570120066144852</c:v>
                </c:pt>
                <c:pt idx="346">
                  <c:v>5.275117058959836</c:v>
                </c:pt>
                <c:pt idx="347">
                  <c:v>16.73836958624134</c:v>
                </c:pt>
                <c:pt idx="348">
                  <c:v>5.5522323390588451</c:v>
                </c:pt>
                <c:pt idx="349">
                  <c:v>4.7310738199964746</c:v>
                </c:pt>
                <c:pt idx="350">
                  <c:v>3.4573932576349717</c:v>
                </c:pt>
                <c:pt idx="351">
                  <c:v>20.761315269464184</c:v>
                </c:pt>
                <c:pt idx="352">
                  <c:v>16.801259843702585</c:v>
                </c:pt>
                <c:pt idx="353">
                  <c:v>4.4167573115862426</c:v>
                </c:pt>
                <c:pt idx="354">
                  <c:v>19.919970009754952</c:v>
                </c:pt>
                <c:pt idx="355">
                  <c:v>16.462608635799182</c:v>
                </c:pt>
                <c:pt idx="356">
                  <c:v>17.001085552614789</c:v>
                </c:pt>
                <c:pt idx="357">
                  <c:v>20.431289503790548</c:v>
                </c:pt>
                <c:pt idx="358">
                  <c:v>12.156563488691686</c:v>
                </c:pt>
                <c:pt idx="359">
                  <c:v>20.715678113038674</c:v>
                </c:pt>
                <c:pt idx="360">
                  <c:v>7.4656530794282068</c:v>
                </c:pt>
                <c:pt idx="361">
                  <c:v>19.898770057211216</c:v>
                </c:pt>
                <c:pt idx="362">
                  <c:v>9.7818808628963136</c:v>
                </c:pt>
                <c:pt idx="363">
                  <c:v>12.87996793035995</c:v>
                </c:pt>
                <c:pt idx="364">
                  <c:v>11.952289657735795</c:v>
                </c:pt>
                <c:pt idx="365">
                  <c:v>15.046077808291022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6560"/>
        <c:axId val="335356952"/>
      </c:lineChart>
      <c:dateAx>
        <c:axId val="33535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6952"/>
        <c:crosses val="autoZero"/>
        <c:auto val="1"/>
        <c:lblOffset val="100"/>
        <c:baseTimeUnit val="days"/>
        <c:majorUnit val="1"/>
        <c:majorTimeUnit val="months"/>
      </c:dateAx>
      <c:valAx>
        <c:axId val="33535695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65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4.3551568403062957E-2</c:v>
                </c:pt>
                <c:pt idx="1">
                  <c:v>4.3572517078375061E-2</c:v>
                </c:pt>
                <c:pt idx="2">
                  <c:v>4.3593465294857525E-2</c:v>
                </c:pt>
                <c:pt idx="3">
                  <c:v>4.3614413052520229E-2</c:v>
                </c:pt>
                <c:pt idx="4">
                  <c:v>4.3635360351373276E-2</c:v>
                </c:pt>
                <c:pt idx="5">
                  <c:v>4.3656307191426769E-2</c:v>
                </c:pt>
                <c:pt idx="6">
                  <c:v>4.3677253572690589E-2</c:v>
                </c:pt>
                <c:pt idx="7">
                  <c:v>4.3698199495175061E-2</c:v>
                </c:pt>
                <c:pt idx="8">
                  <c:v>4.3719144958889955E-2</c:v>
                </c:pt>
                <c:pt idx="9">
                  <c:v>4.3740089963845485E-2</c:v>
                </c:pt>
                <c:pt idx="10">
                  <c:v>4.3761034510051644E-2</c:v>
                </c:pt>
                <c:pt idx="11">
                  <c:v>4.3781978597518423E-2</c:v>
                </c:pt>
                <c:pt idx="12">
                  <c:v>4.3802922226256036E-2</c:v>
                </c:pt>
                <c:pt idx="13">
                  <c:v>4.3823865396274364E-2</c:v>
                </c:pt>
                <c:pt idx="14">
                  <c:v>4.3844808107583622E-2</c:v>
                </c:pt>
                <c:pt idx="15">
                  <c:v>4.3865750360193578E-2</c:v>
                </c:pt>
                <c:pt idx="16">
                  <c:v>4.3886692154114559E-2</c:v>
                </c:pt>
                <c:pt idx="17">
                  <c:v>4.3907633489356557E-2</c:v>
                </c:pt>
                <c:pt idx="18">
                  <c:v>4.3928574365929451E-2</c:v>
                </c:pt>
                <c:pt idx="19">
                  <c:v>4.3949514783843568E-2</c:v>
                </c:pt>
                <c:pt idx="20">
                  <c:v>4.3970454743108678E-2</c:v>
                </c:pt>
                <c:pt idx="21">
                  <c:v>4.3991394243734883E-2</c:v>
                </c:pt>
                <c:pt idx="22">
                  <c:v>4.4012333285732397E-2</c:v>
                </c:pt>
                <c:pt idx="23">
                  <c:v>4.4033271869111101E-2</c:v>
                </c:pt>
                <c:pt idx="24">
                  <c:v>4.4054209993881099E-2</c:v>
                </c:pt>
                <c:pt idx="25">
                  <c:v>4.4075147660052383E-2</c:v>
                </c:pt>
                <c:pt idx="26">
                  <c:v>4.4096084867635166E-2</c:v>
                </c:pt>
                <c:pt idx="27">
                  <c:v>4.4117021616639218E-2</c:v>
                </c:pt>
                <c:pt idx="28">
                  <c:v>4.4137957907074865E-2</c:v>
                </c:pt>
                <c:pt idx="29">
                  <c:v>4.4158893738951988E-2</c:v>
                </c:pt>
                <c:pt idx="30">
                  <c:v>4.4179829112280578E-2</c:v>
                </c:pt>
                <c:pt idx="31">
                  <c:v>4.4200764027070849E-2</c:v>
                </c:pt>
                <c:pt idx="32">
                  <c:v>4.4221698483332683E-2</c:v>
                </c:pt>
                <c:pt idx="33">
                  <c:v>4.4242632481076294E-2</c:v>
                </c:pt>
                <c:pt idx="34">
                  <c:v>4.4263566020311562E-2</c:v>
                </c:pt>
                <c:pt idx="35">
                  <c:v>4.4284499101048591E-2</c:v>
                </c:pt>
                <c:pt idx="36">
                  <c:v>4.4305431723297484E-2</c:v>
                </c:pt>
                <c:pt idx="37">
                  <c:v>4.4326363887068232E-2</c:v>
                </c:pt>
                <c:pt idx="38">
                  <c:v>4.4347295592370828E-2</c:v>
                </c:pt>
                <c:pt idx="39">
                  <c:v>4.4368226839215374E-2</c:v>
                </c:pt>
                <c:pt idx="40">
                  <c:v>4.4389157627611864E-2</c:v>
                </c:pt>
                <c:pt idx="41">
                  <c:v>4.4410087957570399E-2</c:v>
                </c:pt>
                <c:pt idx="42">
                  <c:v>4.4431017829100972E-2</c:v>
                </c:pt>
                <c:pt idx="43">
                  <c:v>4.4451947242213685E-2</c:v>
                </c:pt>
                <c:pt idx="44">
                  <c:v>4.4472876196918532E-2</c:v>
                </c:pt>
                <c:pt idx="45">
                  <c:v>4.4493804693225503E-2</c:v>
                </c:pt>
                <c:pt idx="46">
                  <c:v>4.4514732731144702E-2</c:v>
                </c:pt>
                <c:pt idx="47">
                  <c:v>4.4535660310686231E-2</c:v>
                </c:pt>
                <c:pt idx="48">
                  <c:v>4.4556587431859973E-2</c:v>
                </c:pt>
                <c:pt idx="49">
                  <c:v>4.4577514094676141E-2</c:v>
                </c:pt>
                <c:pt idx="50">
                  <c:v>4.4598440299144615E-2</c:v>
                </c:pt>
                <c:pt idx="51">
                  <c:v>4.4619366045275499E-2</c:v>
                </c:pt>
                <c:pt idx="52">
                  <c:v>4.4640291333078896E-2</c:v>
                </c:pt>
                <c:pt idx="53">
                  <c:v>4.4661216162564799E-2</c:v>
                </c:pt>
                <c:pt idx="54">
                  <c:v>4.4682140533743198E-2</c:v>
                </c:pt>
                <c:pt idx="55">
                  <c:v>4.4703064446624086E-2</c:v>
                </c:pt>
                <c:pt idx="56">
                  <c:v>4.4723987901217677E-2</c:v>
                </c:pt>
                <c:pt idx="57">
                  <c:v>4.4744910897533963E-2</c:v>
                </c:pt>
                <c:pt idx="58">
                  <c:v>4.4765833435582825E-2</c:v>
                </c:pt>
                <c:pt idx="59">
                  <c:v>4.4786755515374477E-2</c:v>
                </c:pt>
                <c:pt idx="60">
                  <c:v>4.48076771369188E-2</c:v>
                </c:pt>
                <c:pt idx="61">
                  <c:v>4.4828598300226008E-2</c:v>
                </c:pt>
                <c:pt idx="62">
                  <c:v>4.4849519005305982E-2</c:v>
                </c:pt>
                <c:pt idx="63">
                  <c:v>4.4870439252168937E-2</c:v>
                </c:pt>
                <c:pt idx="64">
                  <c:v>4.4891359040824641E-2</c:v>
                </c:pt>
                <c:pt idx="65">
                  <c:v>4.4912278371283421E-2</c:v>
                </c:pt>
                <c:pt idx="66">
                  <c:v>4.4933197243555045E-2</c:v>
                </c:pt>
                <c:pt idx="67">
                  <c:v>4.4954115657649729E-2</c:v>
                </c:pt>
                <c:pt idx="68">
                  <c:v>4.4975033613577575E-2</c:v>
                </c:pt>
                <c:pt idx="69">
                  <c:v>4.4995951111348353E-2</c:v>
                </c:pt>
                <c:pt idx="70">
                  <c:v>4.5016868150972278E-2</c:v>
                </c:pt>
                <c:pt idx="71">
                  <c:v>4.5037784732459341E-2</c:v>
                </c:pt>
                <c:pt idx="72">
                  <c:v>4.5058700855819644E-2</c:v>
                </c:pt>
                <c:pt idx="73">
                  <c:v>4.5079616521063182E-2</c:v>
                </c:pt>
                <c:pt idx="74">
                  <c:v>4.5100531728199944E-2</c:v>
                </c:pt>
                <c:pt idx="75">
                  <c:v>4.5121446477239924E-2</c:v>
                </c:pt>
                <c:pt idx="76">
                  <c:v>4.5142360768193335E-2</c:v>
                </c:pt>
                <c:pt idx="77">
                  <c:v>4.5163274601070058E-2</c:v>
                </c:pt>
                <c:pt idx="78">
                  <c:v>4.5184187975880086E-2</c:v>
                </c:pt>
                <c:pt idx="79">
                  <c:v>4.5205100892633632E-2</c:v>
                </c:pt>
                <c:pt idx="80">
                  <c:v>4.5226013351340577E-2</c:v>
                </c:pt>
                <c:pt idx="81">
                  <c:v>4.5246925352011025E-2</c:v>
                </c:pt>
                <c:pt idx="82">
                  <c:v>4.5267836894654967E-2</c:v>
                </c:pt>
                <c:pt idx="83">
                  <c:v>4.5288747979282507E-2</c:v>
                </c:pt>
                <c:pt idx="84">
                  <c:v>4.5309658605903635E-2</c:v>
                </c:pt>
                <c:pt idx="85">
                  <c:v>4.5330568774528346E-2</c:v>
                </c:pt>
                <c:pt idx="86">
                  <c:v>4.535147848516663E-2</c:v>
                </c:pt>
                <c:pt idx="87">
                  <c:v>4.5372387737828701E-2</c:v>
                </c:pt>
                <c:pt idx="88">
                  <c:v>4.5393296532524441E-2</c:v>
                </c:pt>
                <c:pt idx="89">
                  <c:v>4.5414204869263841E-2</c:v>
                </c:pt>
                <c:pt idx="90">
                  <c:v>4.5435112748057116E-2</c:v>
                </c:pt>
                <c:pt idx="91">
                  <c:v>4.5456020168914146E-2</c:v>
                </c:pt>
                <c:pt idx="92">
                  <c:v>4.5476927131844924E-2</c:v>
                </c:pt>
                <c:pt idx="93">
                  <c:v>4.5497833636859664E-2</c:v>
                </c:pt>
                <c:pt idx="94">
                  <c:v>4.5518739683968246E-2</c:v>
                </c:pt>
                <c:pt idx="95">
                  <c:v>4.5539645273180773E-2</c:v>
                </c:pt>
                <c:pt idx="96">
                  <c:v>4.5560550404507238E-2</c:v>
                </c:pt>
                <c:pt idx="97">
                  <c:v>4.5581455077957633E-2</c:v>
                </c:pt>
                <c:pt idx="98">
                  <c:v>4.5602359293542061E-2</c:v>
                </c:pt>
                <c:pt idx="99">
                  <c:v>4.5623263051270513E-2</c:v>
                </c:pt>
                <c:pt idx="100">
                  <c:v>4.5644166351152982E-2</c:v>
                </c:pt>
                <c:pt idx="101">
                  <c:v>4.566506919319957E-2</c:v>
                </c:pt>
                <c:pt idx="102">
                  <c:v>4.568597157742027E-2</c:v>
                </c:pt>
                <c:pt idx="103">
                  <c:v>4.5706873503825074E-2</c:v>
                </c:pt>
                <c:pt idx="104">
                  <c:v>4.5727774972424085E-2</c:v>
                </c:pt>
                <c:pt idx="105">
                  <c:v>4.5748675983227294E-2</c:v>
                </c:pt>
                <c:pt idx="106">
                  <c:v>4.5769576536244805E-2</c:v>
                </c:pt>
                <c:pt idx="107">
                  <c:v>4.5790476631486499E-2</c:v>
                </c:pt>
                <c:pt idx="108">
                  <c:v>4.5811376268962367E-2</c:v>
                </c:pt>
                <c:pt idx="109">
                  <c:v>4.5832275448682624E-2</c:v>
                </c:pt>
                <c:pt idx="110">
                  <c:v>4.5853174170657263E-2</c:v>
                </c:pt>
                <c:pt idx="111">
                  <c:v>4.5874072434896163E-2</c:v>
                </c:pt>
                <c:pt idx="112">
                  <c:v>4.5894970241409538E-2</c:v>
                </c:pt>
                <c:pt idx="113">
                  <c:v>4.5915867590207271E-2</c:v>
                </c:pt>
                <c:pt idx="114">
                  <c:v>4.5936764481299353E-2</c:v>
                </c:pt>
                <c:pt idx="115">
                  <c:v>4.5957660914695997E-2</c:v>
                </c:pt>
                <c:pt idx="116">
                  <c:v>4.5978556890407085E-2</c:v>
                </c:pt>
                <c:pt idx="117">
                  <c:v>4.599945240844272E-2</c:v>
                </c:pt>
                <c:pt idx="118">
                  <c:v>4.6020347468812783E-2</c:v>
                </c:pt>
                <c:pt idx="119">
                  <c:v>4.6041242071527488E-2</c:v>
                </c:pt>
                <c:pt idx="120">
                  <c:v>4.6062136216596716E-2</c:v>
                </c:pt>
                <c:pt idx="121">
                  <c:v>4.608302990403057E-2</c:v>
                </c:pt>
                <c:pt idx="122">
                  <c:v>4.6103923133839042E-2</c:v>
                </c:pt>
                <c:pt idx="123">
                  <c:v>4.6124815906032124E-2</c:v>
                </c:pt>
                <c:pt idx="124">
                  <c:v>4.6145708220619919E-2</c:v>
                </c:pt>
                <c:pt idx="125">
                  <c:v>4.6166600077612419E-2</c:v>
                </c:pt>
                <c:pt idx="126">
                  <c:v>4.6187491477019615E-2</c:v>
                </c:pt>
                <c:pt idx="127">
                  <c:v>4.6208382418851501E-2</c:v>
                </c:pt>
                <c:pt idx="128">
                  <c:v>4.6229272903118179E-2</c:v>
                </c:pt>
                <c:pt idx="129">
                  <c:v>4.6250162929829641E-2</c:v>
                </c:pt>
                <c:pt idx="130">
                  <c:v>4.627105249899599E-2</c:v>
                </c:pt>
                <c:pt idx="131">
                  <c:v>4.6291941610626997E-2</c:v>
                </c:pt>
                <c:pt idx="132">
                  <c:v>4.6312830264732985E-2</c:v>
                </c:pt>
                <c:pt idx="133">
                  <c:v>4.6333718461323725E-2</c:v>
                </c:pt>
                <c:pt idx="134">
                  <c:v>4.6354606200409432E-2</c:v>
                </c:pt>
                <c:pt idx="135">
                  <c:v>4.6375493482000096E-2</c:v>
                </c:pt>
                <c:pt idx="136">
                  <c:v>4.63963803061056E-2</c:v>
                </c:pt>
                <c:pt idx="137">
                  <c:v>4.6417266672736046E-2</c:v>
                </c:pt>
                <c:pt idx="138">
                  <c:v>4.6438152581901537E-2</c:v>
                </c:pt>
                <c:pt idx="139">
                  <c:v>4.6459038033611955E-2</c:v>
                </c:pt>
                <c:pt idx="140">
                  <c:v>4.6479923027877401E-2</c:v>
                </c:pt>
                <c:pt idx="141">
                  <c:v>4.6500807564707758E-2</c:v>
                </c:pt>
                <c:pt idx="142">
                  <c:v>4.652169164411335E-2</c:v>
                </c:pt>
                <c:pt idx="143">
                  <c:v>4.6542575266103836E-2</c:v>
                </c:pt>
                <c:pt idx="144">
                  <c:v>4.6563458430689542E-2</c:v>
                </c:pt>
                <c:pt idx="145">
                  <c:v>4.6584341137880236E-2</c:v>
                </c:pt>
                <c:pt idx="146">
                  <c:v>4.6605223387686134E-2</c:v>
                </c:pt>
                <c:pt idx="147">
                  <c:v>4.6626105180117117E-2</c:v>
                </c:pt>
                <c:pt idx="148">
                  <c:v>4.6646986515183286E-2</c:v>
                </c:pt>
                <c:pt idx="149">
                  <c:v>4.6667867392894635E-2</c:v>
                </c:pt>
                <c:pt idx="150">
                  <c:v>4.6688747813261156E-2</c:v>
                </c:pt>
                <c:pt idx="151">
                  <c:v>4.6709627776292839E-2</c:v>
                </c:pt>
                <c:pt idx="152">
                  <c:v>4.6730507281999789E-2</c:v>
                </c:pt>
                <c:pt idx="153">
                  <c:v>4.6751386330391997E-2</c:v>
                </c:pt>
                <c:pt idx="154">
                  <c:v>4.6772264921479456E-2</c:v>
                </c:pt>
                <c:pt idx="155">
                  <c:v>4.6793143055272157E-2</c:v>
                </c:pt>
                <c:pt idx="156">
                  <c:v>4.6814020731780204E-2</c:v>
                </c:pt>
                <c:pt idx="157">
                  <c:v>4.6834897951013477E-2</c:v>
                </c:pt>
                <c:pt idx="158">
                  <c:v>4.6855774712982079E-2</c:v>
                </c:pt>
                <c:pt idx="159">
                  <c:v>4.6876651017696003E-2</c:v>
                </c:pt>
                <c:pt idx="160">
                  <c:v>4.6897526865165351E-2</c:v>
                </c:pt>
                <c:pt idx="161">
                  <c:v>4.6918402255400005E-2</c:v>
                </c:pt>
                <c:pt idx="162">
                  <c:v>4.6939277188410067E-2</c:v>
                </c:pt>
                <c:pt idx="163">
                  <c:v>4.6960151664205529E-2</c:v>
                </c:pt>
                <c:pt idx="164">
                  <c:v>4.6981025682796385E-2</c:v>
                </c:pt>
                <c:pt idx="165">
                  <c:v>4.7001899244192624E-2</c:v>
                </c:pt>
                <c:pt idx="166">
                  <c:v>4.7022772348404351E-2</c:v>
                </c:pt>
                <c:pt idx="167">
                  <c:v>4.7043644995441447E-2</c:v>
                </c:pt>
                <c:pt idx="168">
                  <c:v>4.7064517185314125E-2</c:v>
                </c:pt>
                <c:pt idx="169">
                  <c:v>4.7085388918032156E-2</c:v>
                </c:pt>
                <c:pt idx="170">
                  <c:v>4.7106260193605753E-2</c:v>
                </c:pt>
                <c:pt idx="171">
                  <c:v>4.7127131012044798E-2</c:v>
                </c:pt>
                <c:pt idx="172">
                  <c:v>4.7148001373359394E-2</c:v>
                </c:pt>
                <c:pt idx="173">
                  <c:v>4.7168871277559532E-2</c:v>
                </c:pt>
                <c:pt idx="174">
                  <c:v>4.7189740724655205E-2</c:v>
                </c:pt>
                <c:pt idx="175">
                  <c:v>4.7210609714656404E-2</c:v>
                </c:pt>
                <c:pt idx="176">
                  <c:v>4.7231478247573122E-2</c:v>
                </c:pt>
                <c:pt idx="177">
                  <c:v>4.7252346323415462E-2</c:v>
                </c:pt>
                <c:pt idx="178">
                  <c:v>4.7273213942193415E-2</c:v>
                </c:pt>
                <c:pt idx="179">
                  <c:v>4.7294081103916863E-2</c:v>
                </c:pt>
                <c:pt idx="180">
                  <c:v>4.731494780859602E-2</c:v>
                </c:pt>
                <c:pt idx="181">
                  <c:v>4.7335814056240766E-2</c:v>
                </c:pt>
                <c:pt idx="182">
                  <c:v>4.7356679846861094E-2</c:v>
                </c:pt>
                <c:pt idx="183">
                  <c:v>4.7377545180467107E-2</c:v>
                </c:pt>
                <c:pt idx="184">
                  <c:v>4.7398410057068685E-2</c:v>
                </c:pt>
                <c:pt idx="185">
                  <c:v>4.7419274476675932E-2</c:v>
                </c:pt>
                <c:pt idx="186">
                  <c:v>4.7440138439298951E-2</c:v>
                </c:pt>
                <c:pt idx="187">
                  <c:v>4.7461001944947512E-2</c:v>
                </c:pt>
                <c:pt idx="188">
                  <c:v>4.7481864993631828E-2</c:v>
                </c:pt>
                <c:pt idx="189">
                  <c:v>4.7502727585361781E-2</c:v>
                </c:pt>
                <c:pt idx="190">
                  <c:v>4.7523589720147474E-2</c:v>
                </c:pt>
                <c:pt idx="191">
                  <c:v>4.7544451397998899E-2</c:v>
                </c:pt>
                <c:pt idx="192">
                  <c:v>4.7565312618926048E-2</c:v>
                </c:pt>
                <c:pt idx="193">
                  <c:v>4.7586173382938912E-2</c:v>
                </c:pt>
                <c:pt idx="194">
                  <c:v>4.7607033690047484E-2</c:v>
                </c:pt>
                <c:pt idx="195">
                  <c:v>4.7627893540261756E-2</c:v>
                </c:pt>
                <c:pt idx="196">
                  <c:v>4.7648752933591831E-2</c:v>
                </c:pt>
                <c:pt idx="197">
                  <c:v>4.766961187004759E-2</c:v>
                </c:pt>
                <c:pt idx="198">
                  <c:v>4.7690470349639136E-2</c:v>
                </c:pt>
                <c:pt idx="199">
                  <c:v>4.771132837237646E-2</c:v>
                </c:pt>
                <c:pt idx="200">
                  <c:v>4.7732185938269556E-2</c:v>
                </c:pt>
                <c:pt idx="201">
                  <c:v>4.7753043047328414E-2</c:v>
                </c:pt>
                <c:pt idx="202">
                  <c:v>4.7773899699563138E-2</c:v>
                </c:pt>
                <c:pt idx="203">
                  <c:v>4.7794755894983498E-2</c:v>
                </c:pt>
                <c:pt idx="204">
                  <c:v>4.7815611633599708E-2</c:v>
                </c:pt>
                <c:pt idx="205">
                  <c:v>4.783646691542176E-2</c:v>
                </c:pt>
                <c:pt idx="206">
                  <c:v>4.7857321740459646E-2</c:v>
                </c:pt>
                <c:pt idx="207">
                  <c:v>4.7878176108723247E-2</c:v>
                </c:pt>
                <c:pt idx="208">
                  <c:v>4.7899030020222777E-2</c:v>
                </c:pt>
                <c:pt idx="209">
                  <c:v>4.7919883474968006E-2</c:v>
                </c:pt>
                <c:pt idx="210">
                  <c:v>4.7940736472969148E-2</c:v>
                </c:pt>
                <c:pt idx="211">
                  <c:v>4.7961589014236083E-2</c:v>
                </c:pt>
                <c:pt idx="212">
                  <c:v>4.7982441098778805E-2</c:v>
                </c:pt>
                <c:pt idx="213">
                  <c:v>4.8003292726607416E-2</c:v>
                </c:pt>
                <c:pt idx="214">
                  <c:v>4.8024143897731908E-2</c:v>
                </c:pt>
                <c:pt idx="215">
                  <c:v>4.8044994612162162E-2</c:v>
                </c:pt>
                <c:pt idx="216">
                  <c:v>4.8065844869908281E-2</c:v>
                </c:pt>
                <c:pt idx="217">
                  <c:v>4.8086694670980257E-2</c:v>
                </c:pt>
                <c:pt idx="218">
                  <c:v>4.8107544015387971E-2</c:v>
                </c:pt>
                <c:pt idx="219">
                  <c:v>4.8128392903141637E-2</c:v>
                </c:pt>
                <c:pt idx="220">
                  <c:v>4.8149241334251136E-2</c:v>
                </c:pt>
                <c:pt idx="221">
                  <c:v>4.8170089308726571E-2</c:v>
                </c:pt>
                <c:pt idx="222">
                  <c:v>4.8190936826577713E-2</c:v>
                </c:pt>
                <c:pt idx="223">
                  <c:v>4.8211783887814774E-2</c:v>
                </c:pt>
                <c:pt idx="224">
                  <c:v>4.8232630492447748E-2</c:v>
                </c:pt>
                <c:pt idx="225">
                  <c:v>4.8253476640486515E-2</c:v>
                </c:pt>
                <c:pt idx="226">
                  <c:v>4.8274322331941177E-2</c:v>
                </c:pt>
                <c:pt idx="227">
                  <c:v>4.8295167566821617E-2</c:v>
                </c:pt>
                <c:pt idx="228">
                  <c:v>4.8316012345137938E-2</c:v>
                </c:pt>
                <c:pt idx="229">
                  <c:v>4.8336856666900241E-2</c:v>
                </c:pt>
                <c:pt idx="230">
                  <c:v>4.8357700532118297E-2</c:v>
                </c:pt>
                <c:pt idx="231">
                  <c:v>4.837854394080221E-2</c:v>
                </c:pt>
                <c:pt idx="232">
                  <c:v>4.8399386892961971E-2</c:v>
                </c:pt>
                <c:pt idx="233">
                  <c:v>4.8420229388607572E-2</c:v>
                </c:pt>
                <c:pt idx="234">
                  <c:v>4.8441071427749116E-2</c:v>
                </c:pt>
                <c:pt idx="235">
                  <c:v>4.8461913010396485E-2</c:v>
                </c:pt>
                <c:pt idx="236">
                  <c:v>4.8482754136559669E-2</c:v>
                </c:pt>
                <c:pt idx="237">
                  <c:v>4.8503594806248662E-2</c:v>
                </c:pt>
                <c:pt idx="238">
                  <c:v>4.8524435019473566E-2</c:v>
                </c:pt>
                <c:pt idx="239">
                  <c:v>4.8545274776244374E-2</c:v>
                </c:pt>
                <c:pt idx="240">
                  <c:v>4.8566114076570854E-2</c:v>
                </c:pt>
                <c:pt idx="241">
                  <c:v>4.8586952920463333E-2</c:v>
                </c:pt>
                <c:pt idx="242">
                  <c:v>4.860779130793158E-2</c:v>
                </c:pt>
                <c:pt idx="243">
                  <c:v>4.8628629238985699E-2</c:v>
                </c:pt>
                <c:pt idx="244">
                  <c:v>4.864946671363557E-2</c:v>
                </c:pt>
                <c:pt idx="245">
                  <c:v>4.8670303731891407E-2</c:v>
                </c:pt>
                <c:pt idx="246">
                  <c:v>4.869114029376298E-2</c:v>
                </c:pt>
                <c:pt idx="247">
                  <c:v>4.8711976399260282E-2</c:v>
                </c:pt>
                <c:pt idx="248">
                  <c:v>4.8732812048393526E-2</c:v>
                </c:pt>
                <c:pt idx="249">
                  <c:v>4.8753647241172593E-2</c:v>
                </c:pt>
                <c:pt idx="250">
                  <c:v>4.8774481977607365E-2</c:v>
                </c:pt>
                <c:pt idx="251">
                  <c:v>4.8795316257708055E-2</c:v>
                </c:pt>
                <c:pt idx="252">
                  <c:v>4.8816150081484433E-2</c:v>
                </c:pt>
                <c:pt idx="253">
                  <c:v>4.8836983448946714E-2</c:v>
                </c:pt>
                <c:pt idx="254">
                  <c:v>4.8857816360104667E-2</c:v>
                </c:pt>
                <c:pt idx="255">
                  <c:v>4.8878648814968395E-2</c:v>
                </c:pt>
                <c:pt idx="256">
                  <c:v>4.8899480813548002E-2</c:v>
                </c:pt>
                <c:pt idx="257">
                  <c:v>4.8920312355853368E-2</c:v>
                </c:pt>
                <c:pt idx="258">
                  <c:v>4.8941143441894375E-2</c:v>
                </c:pt>
                <c:pt idx="259">
                  <c:v>4.8961974071681236E-2</c:v>
                </c:pt>
                <c:pt idx="260">
                  <c:v>4.8982804245223832E-2</c:v>
                </c:pt>
                <c:pt idx="261">
                  <c:v>4.9003633962532156E-2</c:v>
                </c:pt>
                <c:pt idx="262">
                  <c:v>4.9024463223616199E-2</c:v>
                </c:pt>
                <c:pt idx="263">
                  <c:v>4.9045292028485954E-2</c:v>
                </c:pt>
                <c:pt idx="264">
                  <c:v>4.9066120377151412E-2</c:v>
                </c:pt>
                <c:pt idx="265">
                  <c:v>4.9086948269622677E-2</c:v>
                </c:pt>
                <c:pt idx="266">
                  <c:v>4.9107775705909629E-2</c:v>
                </c:pt>
                <c:pt idx="267">
                  <c:v>4.9128602686022149E-2</c:v>
                </c:pt>
                <c:pt idx="268">
                  <c:v>4.9149429209970452E-2</c:v>
                </c:pt>
                <c:pt idx="269">
                  <c:v>4.9170255277764419E-2</c:v>
                </c:pt>
                <c:pt idx="270">
                  <c:v>4.9191080889414041E-2</c:v>
                </c:pt>
                <c:pt idx="271">
                  <c:v>4.921190604492931E-2</c:v>
                </c:pt>
                <c:pt idx="272">
                  <c:v>4.923273074432033E-2</c:v>
                </c:pt>
                <c:pt idx="273">
                  <c:v>4.925355498759687E-2</c:v>
                </c:pt>
                <c:pt idx="274">
                  <c:v>4.9274378774769034E-2</c:v>
                </c:pt>
                <c:pt idx="275">
                  <c:v>4.9295202105846925E-2</c:v>
                </c:pt>
                <c:pt idx="276">
                  <c:v>4.9316024980840312E-2</c:v>
                </c:pt>
                <c:pt idx="277">
                  <c:v>4.9336847399759298E-2</c:v>
                </c:pt>
                <c:pt idx="278">
                  <c:v>4.9357669362613987E-2</c:v>
                </c:pt>
                <c:pt idx="279">
                  <c:v>4.9378490869414149E-2</c:v>
                </c:pt>
                <c:pt idx="280">
                  <c:v>4.9399311920169886E-2</c:v>
                </c:pt>
                <c:pt idx="281">
                  <c:v>4.9420132514891191E-2</c:v>
                </c:pt>
                <c:pt idx="282">
                  <c:v>4.9440952653588055E-2</c:v>
                </c:pt>
                <c:pt idx="283">
                  <c:v>4.946177233627036E-2</c:v>
                </c:pt>
                <c:pt idx="284">
                  <c:v>4.9482591562948319E-2</c:v>
                </c:pt>
                <c:pt idx="285">
                  <c:v>4.9503410333631703E-2</c:v>
                </c:pt>
                <c:pt idx="286">
                  <c:v>4.9524228648330615E-2</c:v>
                </c:pt>
                <c:pt idx="287">
                  <c:v>4.9545046507054935E-2</c:v>
                </c:pt>
                <c:pt idx="288">
                  <c:v>4.9565863909814767E-2</c:v>
                </c:pt>
                <c:pt idx="289">
                  <c:v>4.9586680856620102E-2</c:v>
                </c:pt>
                <c:pt idx="290">
                  <c:v>4.9607497347480822E-2</c:v>
                </c:pt>
                <c:pt idx="291">
                  <c:v>4.9628313382406919E-2</c:v>
                </c:pt>
                <c:pt idx="292">
                  <c:v>4.9649128961408495E-2</c:v>
                </c:pt>
                <c:pt idx="293">
                  <c:v>4.9669944084495432E-2</c:v>
                </c:pt>
                <c:pt idx="294">
                  <c:v>4.9690758751677833E-2</c:v>
                </c:pt>
                <c:pt idx="295">
                  <c:v>4.9711572962965467E-2</c:v>
                </c:pt>
                <c:pt idx="296">
                  <c:v>4.9732386718368549E-2</c:v>
                </c:pt>
                <c:pt idx="297">
                  <c:v>4.9753200017896959E-2</c:v>
                </c:pt>
                <c:pt idx="298">
                  <c:v>4.977401286156069E-2</c:v>
                </c:pt>
                <c:pt idx="299">
                  <c:v>4.9794825249369734E-2</c:v>
                </c:pt>
                <c:pt idx="300">
                  <c:v>4.9815637181334083E-2</c:v>
                </c:pt>
                <c:pt idx="301">
                  <c:v>4.9836448657463728E-2</c:v>
                </c:pt>
                <c:pt idx="302">
                  <c:v>4.9857259677768551E-2</c:v>
                </c:pt>
                <c:pt idx="303">
                  <c:v>4.9878070242258654E-2</c:v>
                </c:pt>
                <c:pt idx="304">
                  <c:v>4.989888035094403E-2</c:v>
                </c:pt>
                <c:pt idx="305">
                  <c:v>4.991969000383456E-2</c:v>
                </c:pt>
                <c:pt idx="306">
                  <c:v>4.9940499200940347E-2</c:v>
                </c:pt>
                <c:pt idx="307">
                  <c:v>4.9961307942271271E-2</c:v>
                </c:pt>
                <c:pt idx="308">
                  <c:v>4.9982116227837436E-2</c:v>
                </c:pt>
                <c:pt idx="309">
                  <c:v>5.0002924057648612E-2</c:v>
                </c:pt>
                <c:pt idx="310">
                  <c:v>5.0023731431715013E-2</c:v>
                </c:pt>
                <c:pt idx="311">
                  <c:v>5.0044538350046408E-2</c:v>
                </c:pt>
                <c:pt idx="312">
                  <c:v>5.0065344812653012E-2</c:v>
                </c:pt>
                <c:pt idx="313">
                  <c:v>5.0086150819544595E-2</c:v>
                </c:pt>
                <c:pt idx="314">
                  <c:v>5.010695637073137E-2</c:v>
                </c:pt>
                <c:pt idx="315">
                  <c:v>5.0127761466222998E-2</c:v>
                </c:pt>
                <c:pt idx="316">
                  <c:v>5.0148566106029802E-2</c:v>
                </c:pt>
                <c:pt idx="317">
                  <c:v>5.0169370290161441E-2</c:v>
                </c:pt>
                <c:pt idx="318">
                  <c:v>5.0190174018628131E-2</c:v>
                </c:pt>
                <c:pt idx="319">
                  <c:v>5.0210977291439862E-2</c:v>
                </c:pt>
                <c:pt idx="320">
                  <c:v>5.0231780108606405E-2</c:v>
                </c:pt>
                <c:pt idx="321">
                  <c:v>5.0252582470137974E-2</c:v>
                </c:pt>
                <c:pt idx="322">
                  <c:v>5.0273384376044339E-2</c:v>
                </c:pt>
                <c:pt idx="323">
                  <c:v>5.0294185826335602E-2</c:v>
                </c:pt>
                <c:pt idx="324">
                  <c:v>5.0314986821021757E-2</c:v>
                </c:pt>
                <c:pt idx="325">
                  <c:v>5.0335787360112683E-2</c:v>
                </c:pt>
                <c:pt idx="326">
                  <c:v>5.0356587443618483E-2</c:v>
                </c:pt>
                <c:pt idx="327">
                  <c:v>5.037738707154904E-2</c:v>
                </c:pt>
                <c:pt idx="328">
                  <c:v>5.0398186243914345E-2</c:v>
                </c:pt>
                <c:pt idx="329">
                  <c:v>5.0418984960724389E-2</c:v>
                </c:pt>
                <c:pt idx="330">
                  <c:v>5.0439783221989165E-2</c:v>
                </c:pt>
                <c:pt idx="331">
                  <c:v>5.0460581027718665E-2</c:v>
                </c:pt>
                <c:pt idx="332">
                  <c:v>5.0481378377922881E-2</c:v>
                </c:pt>
                <c:pt idx="333">
                  <c:v>5.0502175272611693E-2</c:v>
                </c:pt>
                <c:pt idx="334">
                  <c:v>5.0522971711795095E-2</c:v>
                </c:pt>
                <c:pt idx="335">
                  <c:v>5.0543767695483188E-2</c:v>
                </c:pt>
                <c:pt idx="336">
                  <c:v>5.0564563223685854E-2</c:v>
                </c:pt>
                <c:pt idx="337">
                  <c:v>5.0585358296413085E-2</c:v>
                </c:pt>
                <c:pt idx="338">
                  <c:v>5.0606152913674873E-2</c:v>
                </c:pt>
                <c:pt idx="339">
                  <c:v>5.0626947075481099E-2</c:v>
                </c:pt>
                <c:pt idx="340">
                  <c:v>5.0647740781841866E-2</c:v>
                </c:pt>
                <c:pt idx="341">
                  <c:v>5.0668534032767054E-2</c:v>
                </c:pt>
                <c:pt idx="342">
                  <c:v>5.0689326828266767E-2</c:v>
                </c:pt>
                <c:pt idx="343">
                  <c:v>5.0710119168350776E-2</c:v>
                </c:pt>
                <c:pt idx="344">
                  <c:v>5.0730911053029293E-2</c:v>
                </c:pt>
                <c:pt idx="345">
                  <c:v>5.0751702482312089E-2</c:v>
                </c:pt>
                <c:pt idx="346">
                  <c:v>5.0772493456209267E-2</c:v>
                </c:pt>
                <c:pt idx="347">
                  <c:v>5.0793283974730818E-2</c:v>
                </c:pt>
                <c:pt idx="348">
                  <c:v>5.0814074037886514E-2</c:v>
                </c:pt>
                <c:pt idx="349">
                  <c:v>5.0834863645686568E-2</c:v>
                </c:pt>
                <c:pt idx="350">
                  <c:v>5.085565279814086E-2</c:v>
                </c:pt>
                <c:pt idx="351">
                  <c:v>5.0876441495259384E-2</c:v>
                </c:pt>
                <c:pt idx="352">
                  <c:v>5.0897229737052019E-2</c:v>
                </c:pt>
                <c:pt idx="353">
                  <c:v>5.0918017523528758E-2</c:v>
                </c:pt>
                <c:pt idx="354">
                  <c:v>5.0938804854699704E-2</c:v>
                </c:pt>
                <c:pt idx="355">
                  <c:v>5.0959591730574738E-2</c:v>
                </c:pt>
                <c:pt idx="356">
                  <c:v>5.0980378151163852E-2</c:v>
                </c:pt>
                <c:pt idx="357">
                  <c:v>5.1001164116477038E-2</c:v>
                </c:pt>
                <c:pt idx="358">
                  <c:v>5.1021949626524177E-2</c:v>
                </c:pt>
                <c:pt idx="359">
                  <c:v>5.104273468131526E-2</c:v>
                </c:pt>
                <c:pt idx="360">
                  <c:v>5.1063519280860392E-2</c:v>
                </c:pt>
                <c:pt idx="361">
                  <c:v>5.1084303425169453E-2</c:v>
                </c:pt>
                <c:pt idx="362">
                  <c:v>5.1105087114252323E-2</c:v>
                </c:pt>
                <c:pt idx="363">
                  <c:v>5.1125870348119107E-2</c:v>
                </c:pt>
                <c:pt idx="364">
                  <c:v>5.1146653126779795E-2</c:v>
                </c:pt>
                <c:pt idx="365">
                  <c:v>5.116743545024427E-2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2.7348642081524471E-2</c:v>
                </c:pt>
                <c:pt idx="1">
                  <c:v>2.7427344940031517E-2</c:v>
                </c:pt>
                <c:pt idx="2">
                  <c:v>2.7506021368024696E-2</c:v>
                </c:pt>
                <c:pt idx="3">
                  <c:v>2.7584665541571973E-2</c:v>
                </c:pt>
                <c:pt idx="4">
                  <c:v>2.7663272396194233E-2</c:v>
                </c:pt>
                <c:pt idx="5">
                  <c:v>2.7741837611908897E-2</c:v>
                </c:pt>
                <c:pt idx="6">
                  <c:v>2.7820357591650136E-2</c:v>
                </c:pt>
                <c:pt idx="7">
                  <c:v>2.7898829433478396E-2</c:v>
                </c:pt>
                <c:pt idx="8">
                  <c:v>2.7977250897044604E-2</c:v>
                </c:pt>
                <c:pt idx="9">
                  <c:v>2.805562036482076E-2</c:v>
                </c:pt>
                <c:pt idx="10">
                  <c:v>2.8133936798650876E-2</c:v>
                </c:pt>
                <c:pt idx="11">
                  <c:v>2.8212199692210851E-2</c:v>
                </c:pt>
                <c:pt idx="12">
                  <c:v>2.8290409019995542E-2</c:v>
                </c:pt>
                <c:pt idx="13">
                  <c:v>2.8368565183473533E-2</c:v>
                </c:pt>
                <c:pt idx="14">
                  <c:v>2.8446668955066298E-2</c:v>
                </c:pt>
                <c:pt idx="15">
                  <c:v>2.8524721420617811E-2</c:v>
                </c:pt>
                <c:pt idx="16">
                  <c:v>2.8602723921022612E-2</c:v>
                </c:pt>
                <c:pt idx="17">
                  <c:v>2.8680677993676771E-2</c:v>
                </c:pt>
                <c:pt idx="18">
                  <c:v>2.8758585314405106E-2</c:v>
                </c:pt>
                <c:pt idx="19">
                  <c:v>2.8836447640500636E-2</c:v>
                </c:pt>
                <c:pt idx="20">
                  <c:v>2.8914266755489422E-2</c:v>
                </c:pt>
                <c:pt idx="21">
                  <c:v>2.899204441620434E-2</c:v>
                </c:pt>
                <c:pt idx="22">
                  <c:v>2.9069782302716993E-2</c:v>
                </c:pt>
                <c:pt idx="23">
                  <c:v>2.9147481971637322E-2</c:v>
                </c:pt>
                <c:pt idx="24">
                  <c:v>2.9225144813246166E-2</c:v>
                </c:pt>
                <c:pt idx="25">
                  <c:v>2.9302772012877922E-2</c:v>
                </c:pt>
                <c:pt idx="26">
                  <c:v>2.9380364516918424E-2</c:v>
                </c:pt>
                <c:pt idx="27">
                  <c:v>2.9457923003728965E-2</c:v>
                </c:pt>
                <c:pt idx="28">
                  <c:v>2.9535447859749774E-2</c:v>
                </c:pt>
                <c:pt idx="29">
                  <c:v>2.9612939160977944E-2</c:v>
                </c:pt>
                <c:pt idx="30">
                  <c:v>2.9690396659955043E-2</c:v>
                </c:pt>
                <c:pt idx="31">
                  <c:v>2.9767819778339054E-2</c:v>
                </c:pt>
                <c:pt idx="32">
                  <c:v>2.9845207605075731E-2</c:v>
                </c:pt>
                <c:pt idx="33">
                  <c:v>2.9922558900124806E-2</c:v>
                </c:pt>
                <c:pt idx="34">
                  <c:v>2.9999872103639167E-2</c:v>
                </c:pt>
                <c:pt idx="35">
                  <c:v>3.0077145350438827E-2</c:v>
                </c:pt>
                <c:pt idx="36">
                  <c:v>3.0154376489568945E-2</c:v>
                </c:pt>
                <c:pt idx="37">
                  <c:v>3.0231563108680373E-2</c:v>
                </c:pt>
                <c:pt idx="38">
                  <c:v>3.0308702562925324E-2</c:v>
                </c:pt>
                <c:pt idx="39">
                  <c:v>3.0385792008017675E-2</c:v>
                </c:pt>
                <c:pt idx="40">
                  <c:v>3.0462828437069871E-2</c:v>
                </c:pt>
                <c:pt idx="41">
                  <c:v>3.0539808720784354E-2</c:v>
                </c:pt>
                <c:pt idx="42">
                  <c:v>3.06167296505498E-2</c:v>
                </c:pt>
                <c:pt idx="43">
                  <c:v>3.0693587983968842E-2</c:v>
                </c:pt>
                <c:pt idx="44">
                  <c:v>3.0770380492326155E-2</c:v>
                </c:pt>
                <c:pt idx="45">
                  <c:v>3.0847104009494364E-2</c:v>
                </c:pt>
                <c:pt idx="46">
                  <c:v>3.0923755481767283E-2</c:v>
                </c:pt>
                <c:pt idx="47">
                  <c:v>3.1000332018110095E-2</c:v>
                </c:pt>
                <c:pt idx="48">
                  <c:v>3.1076830940319575E-2</c:v>
                </c:pt>
                <c:pt idx="49">
                  <c:v>3.1153249832597259E-2</c:v>
                </c:pt>
                <c:pt idx="50">
                  <c:v>3.122958659005318E-2</c:v>
                </c:pt>
                <c:pt idx="51">
                  <c:v>3.1305839465677159E-2</c:v>
                </c:pt>
                <c:pt idx="52">
                  <c:v>3.1382007115338707E-2</c:v>
                </c:pt>
                <c:pt idx="53">
                  <c:v>3.1458088640404884E-2</c:v>
                </c:pt>
                <c:pt idx="54">
                  <c:v>3.1534083627597145E-2</c:v>
                </c:pt>
                <c:pt idx="55">
                  <c:v>3.1609992185743903E-2</c:v>
                </c:pt>
                <c:pt idx="56">
                  <c:v>3.1685814979123303E-2</c:v>
                </c:pt>
                <c:pt idx="57">
                  <c:v>3.1761553257131828E-2</c:v>
                </c:pt>
                <c:pt idx="58">
                  <c:v>3.1837208880056089E-2</c:v>
                </c:pt>
                <c:pt idx="59">
                  <c:v>3.1912784340769794E-2</c:v>
                </c:pt>
                <c:pt idx="60">
                  <c:v>3.1988282782221905E-2</c:v>
                </c:pt>
                <c:pt idx="61">
                  <c:v>3.2063708010627051E-2</c:v>
                </c:pt>
                <c:pt idx="62">
                  <c:v>3.2139064504314287E-2</c:v>
                </c:pt>
                <c:pt idx="63">
                  <c:v>3.2214357418233565E-2</c:v>
                </c:pt>
                <c:pt idx="64">
                  <c:v>3.2289592584162509E-2</c:v>
                </c:pt>
                <c:pt idx="65">
                  <c:v>3.2364776506696447E-2</c:v>
                </c:pt>
                <c:pt idx="66">
                  <c:v>3.2439916355143782E-2</c:v>
                </c:pt>
                <c:pt idx="67">
                  <c:v>3.25150199514843E-2</c:v>
                </c:pt>
                <c:pt idx="68">
                  <c:v>3.2590095754581536E-2</c:v>
                </c:pt>
                <c:pt idx="69">
                  <c:v>3.2665152840869432E-2</c:v>
                </c:pt>
                <c:pt idx="70">
                  <c:v>3.2740200881760155E-2</c:v>
                </c:pt>
                <c:pt idx="71">
                  <c:v>3.2815250118041275E-2</c:v>
                </c:pt>
                <c:pt idx="72">
                  <c:v>3.2890311331549418E-2</c:v>
                </c:pt>
                <c:pt idx="73">
                  <c:v>3.2965395814420463E-2</c:v>
                </c:pt>
                <c:pt idx="74">
                  <c:v>3.304051533622647E-2</c:v>
                </c:pt>
                <c:pt idx="75">
                  <c:v>3.3115682109314142E-2</c:v>
                </c:pt>
                <c:pt idx="76">
                  <c:v>3.3190908752661251E-2</c:v>
                </c:pt>
                <c:pt idx="77">
                  <c:v>3.3266208254562821E-2</c:v>
                </c:pt>
                <c:pt idx="78">
                  <c:v>3.3341593934452719E-2</c:v>
                </c:pt>
                <c:pt idx="79">
                  <c:v>3.341707940415399E-2</c:v>
                </c:pt>
                <c:pt idx="80">
                  <c:v>3.3492678528836486E-2</c:v>
                </c:pt>
                <c:pt idx="81">
                  <c:v>3.3568405387941924E-2</c:v>
                </c:pt>
                <c:pt idx="82">
                  <c:v>3.3644274236315067E-2</c:v>
                </c:pt>
                <c:pt idx="83">
                  <c:v>3.37202994657552E-2</c:v>
                </c:pt>
                <c:pt idx="84">
                  <c:v>3.3796495567175823E-2</c:v>
                </c:pt>
                <c:pt idx="85">
                  <c:v>3.3872877093532081E-2</c:v>
                </c:pt>
                <c:pt idx="86">
                  <c:v>3.3949458623645519E-2</c:v>
                </c:pt>
                <c:pt idx="87">
                  <c:v>3.4026254727024821E-2</c:v>
                </c:pt>
                <c:pt idx="88">
                  <c:v>3.4103279929750388E-2</c:v>
                </c:pt>
                <c:pt idx="89">
                  <c:v>3.4180548681458811E-2</c:v>
                </c:pt>
                <c:pt idx="90">
                  <c:v>3.4258075323432738E-2</c:v>
                </c:pt>
                <c:pt idx="91">
                  <c:v>3.4335874057771706E-2</c:v>
                </c:pt>
                <c:pt idx="92">
                  <c:v>3.4413958917591067E-2</c:v>
                </c:pt>
                <c:pt idx="93">
                  <c:v>3.4492343738169513E-2</c:v>
                </c:pt>
                <c:pt idx="94">
                  <c:v>3.4571042128941257E-2</c:v>
                </c:pt>
                <c:pt idx="95">
                  <c:v>3.4650067446207355E-2</c:v>
                </c:pt>
                <c:pt idx="96">
                  <c:v>3.4729432766421743E-2</c:v>
                </c:pt>
                <c:pt idx="97">
                  <c:v>3.4809150859892363E-2</c:v>
                </c:pt>
                <c:pt idx="98">
                  <c:v>3.488923416472578E-2</c:v>
                </c:pt>
                <c:pt idx="99">
                  <c:v>3.4969694760835515E-2</c:v>
                </c:pt>
                <c:pt idx="100">
                  <c:v>3.5050544343830467E-2</c:v>
                </c:pt>
                <c:pt idx="101">
                  <c:v>3.5131794198599756E-2</c:v>
                </c:pt>
                <c:pt idx="102">
                  <c:v>3.5213455172413852E-2</c:v>
                </c:pt>
                <c:pt idx="103">
                  <c:v>3.529553764737127E-2</c:v>
                </c:pt>
                <c:pt idx="104">
                  <c:v>3.5378051512030974E-2</c:v>
                </c:pt>
                <c:pt idx="105">
                  <c:v>3.5461006132088031E-2</c:v>
                </c:pt>
                <c:pt idx="106">
                  <c:v>3.554441031996973E-2</c:v>
                </c:pt>
                <c:pt idx="107">
                  <c:v>3.5628272303252891E-2</c:v>
                </c:pt>
                <c:pt idx="108">
                  <c:v>3.5712599691830244E-2</c:v>
                </c:pt>
                <c:pt idx="109">
                  <c:v>3.5797399443783927E-2</c:v>
                </c:pt>
                <c:pt idx="110">
                  <c:v>3.5882677829956154E-2</c:v>
                </c:pt>
                <c:pt idx="111">
                  <c:v>3.59684403972425E-2</c:v>
                </c:pt>
                <c:pt idx="112">
                  <c:v>3.6054691930669513E-2</c:v>
                </c:pt>
                <c:pt idx="113">
                  <c:v>3.6141436414356222E-2</c:v>
                </c:pt>
                <c:pt idx="114">
                  <c:v>3.622867699149776E-2</c:v>
                </c:pt>
                <c:pt idx="115">
                  <c:v>3.6316415923548534E-2</c:v>
                </c:pt>
                <c:pt idx="116">
                  <c:v>3.6404654548820387E-2</c:v>
                </c:pt>
                <c:pt idx="117">
                  <c:v>3.6493393240749822E-2</c:v>
                </c:pt>
                <c:pt idx="118">
                  <c:v>3.6582631366124024E-2</c:v>
                </c:pt>
                <c:pt idx="119">
                  <c:v>3.6672367243590624E-2</c:v>
                </c:pt>
                <c:pt idx="120">
                  <c:v>3.6762598102808033E-2</c:v>
                </c:pt>
                <c:pt idx="121">
                  <c:v>3.6853320044622224E-2</c:v>
                </c:pt>
                <c:pt idx="122">
                  <c:v>3.6944528002681901E-2</c:v>
                </c:pt>
                <c:pt idx="123">
                  <c:v>3.7036215706925731E-2</c:v>
                </c:pt>
                <c:pt idx="124">
                  <c:v>3.7128375649393135E-2</c:v>
                </c:pt>
                <c:pt idx="125">
                  <c:v>3.7220999052822612E-2</c:v>
                </c:pt>
                <c:pt idx="126">
                  <c:v>3.7314075842510251E-2</c:v>
                </c:pt>
                <c:pt idx="127">
                  <c:v>3.7407594621903281E-2</c:v>
                </c:pt>
                <c:pt idx="128">
                  <c:v>3.7501542652400764E-2</c:v>
                </c:pt>
                <c:pt idx="129">
                  <c:v>3.7595905837825683E-2</c:v>
                </c:pt>
                <c:pt idx="130">
                  <c:v>3.7690668714017862E-2</c:v>
                </c:pt>
                <c:pt idx="131">
                  <c:v>3.7785814443978029E-2</c:v>
                </c:pt>
                <c:pt idx="132">
                  <c:v>3.7881324818967117E-2</c:v>
                </c:pt>
                <c:pt idx="133">
                  <c:v>3.7977180265934649E-2</c:v>
                </c:pt>
                <c:pt idx="134">
                  <c:v>3.8073359861612407E-2</c:v>
                </c:pt>
                <c:pt idx="135">
                  <c:v>3.8169841353569059E-2</c:v>
                </c:pt>
                <c:pt idx="136">
                  <c:v>3.8266601188473685E-2</c:v>
                </c:pt>
                <c:pt idx="137">
                  <c:v>3.8363614547766114E-2</c:v>
                </c:pt>
                <c:pt idx="138">
                  <c:v>3.8460855390875771E-2</c:v>
                </c:pt>
                <c:pt idx="139">
                  <c:v>3.8558296506072821E-2</c:v>
                </c:pt>
                <c:pt idx="140">
                  <c:v>3.8655909568972843E-2</c:v>
                </c:pt>
                <c:pt idx="141">
                  <c:v>3.875366520865229E-2</c:v>
                </c:pt>
                <c:pt idx="142">
                  <c:v>3.8851533081265634E-2</c:v>
                </c:pt>
                <c:pt idx="143">
                  <c:v>3.8949481950987373E-2</c:v>
                </c:pt>
                <c:pt idx="144">
                  <c:v>3.90474797780343E-2</c:v>
                </c:pt>
                <c:pt idx="145">
                  <c:v>3.9145493813455244E-2</c:v>
                </c:pt>
                <c:pt idx="146">
                  <c:v>3.9243490700308581E-2</c:v>
                </c:pt>
                <c:pt idx="147">
                  <c:v>3.934143658078184E-2</c:v>
                </c:pt>
                <c:pt idx="148">
                  <c:v>3.9439297208744818E-2</c:v>
                </c:pt>
                <c:pt idx="149">
                  <c:v>3.9537038067166991E-2</c:v>
                </c:pt>
                <c:pt idx="150">
                  <c:v>3.9634624489773111E-2</c:v>
                </c:pt>
                <c:pt idx="151">
                  <c:v>3.9732021786258565E-2</c:v>
                </c:pt>
                <c:pt idx="152">
                  <c:v>3.9829195370338362E-2</c:v>
                </c:pt>
                <c:pt idx="153">
                  <c:v>3.9926110889861269E-2</c:v>
                </c:pt>
                <c:pt idx="154">
                  <c:v>4.0022734358184736E-2</c:v>
                </c:pt>
                <c:pt idx="155">
                  <c:v>4.0119032285976179E-2</c:v>
                </c:pt>
                <c:pt idx="156">
                  <c:v>4.0214971812583634E-2</c:v>
                </c:pt>
                <c:pt idx="157">
                  <c:v>4.0310520836102905E-2</c:v>
                </c:pt>
                <c:pt idx="158">
                  <c:v>4.0405648141260492E-2</c:v>
                </c:pt>
                <c:pt idx="159">
                  <c:v>4.0500323524230886E-2</c:v>
                </c:pt>
                <c:pt idx="160">
                  <c:v>4.0594517913514587E-2</c:v>
                </c:pt>
                <c:pt idx="161">
                  <c:v>4.0688203486018266E-2</c:v>
                </c:pt>
                <c:pt idx="162">
                  <c:v>4.0781353777501889E-2</c:v>
                </c:pt>
                <c:pt idx="163">
                  <c:v>4.0873943786588582E-2</c:v>
                </c:pt>
                <c:pt idx="164">
                  <c:v>4.0965950071571597E-2</c:v>
                </c:pt>
                <c:pt idx="165">
                  <c:v>4.1057350839298339E-2</c:v>
                </c:pt>
                <c:pt idx="166">
                  <c:v>4.1148126025464887E-2</c:v>
                </c:pt>
                <c:pt idx="167">
                  <c:v>4.1238257365713064E-2</c:v>
                </c:pt>
                <c:pt idx="168">
                  <c:v>4.1327728456987969E-2</c:v>
                </c:pt>
                <c:pt idx="169">
                  <c:v>4.1416524808684858E-2</c:v>
                </c:pt>
                <c:pt idx="170">
                  <c:v>4.1504633883189528E-2</c:v>
                </c:pt>
                <c:pt idx="171">
                  <c:v>4.1592045125497225E-2</c:v>
                </c:pt>
                <c:pt idx="172">
                  <c:v>4.1678749981677372E-2</c:v>
                </c:pt>
                <c:pt idx="173">
                  <c:v>4.1764741906038801E-2</c:v>
                </c:pt>
                <c:pt idx="174">
                  <c:v>4.1850016356937213E-2</c:v>
                </c:pt>
                <c:pt idx="175">
                  <c:v>4.1934570781256328E-2</c:v>
                </c:pt>
                <c:pt idx="176">
                  <c:v>4.2018404587683356E-2</c:v>
                </c:pt>
                <c:pt idx="177">
                  <c:v>4.210151910898819E-2</c:v>
                </c:pt>
                <c:pt idx="178">
                  <c:v>4.2183917553602873E-2</c:v>
                </c:pt>
                <c:pt idx="179">
                  <c:v>4.2265604946883237E-2</c:v>
                </c:pt>
                <c:pt idx="180">
                  <c:v>4.234658806251583E-2</c:v>
                </c:pt>
                <c:pt idx="181">
                  <c:v>4.2426875344611759E-2</c:v>
                </c:pt>
                <c:pt idx="182">
                  <c:v>4.2506476821101584E-2</c:v>
                </c:pt>
                <c:pt idx="183">
                  <c:v>4.2585404009113766E-2</c:v>
                </c:pt>
                <c:pt idx="184">
                  <c:v>4.2663669813080264E-2</c:v>
                </c:pt>
                <c:pt idx="185">
                  <c:v>4.2741288416367797E-2</c:v>
                </c:pt>
                <c:pt idx="186">
                  <c:v>4.2818275167281379E-2</c:v>
                </c:pt>
                <c:pt idx="187">
                  <c:v>4.2894646460325946E-2</c:v>
                </c:pt>
                <c:pt idx="188">
                  <c:v>4.2970419613643888E-2</c:v>
                </c:pt>
                <c:pt idx="189">
                  <c:v>4.3045612743569592E-2</c:v>
                </c:pt>
                <c:pt idx="190">
                  <c:v>4.3120244637256409E-2</c:v>
                </c:pt>
                <c:pt idx="191">
                  <c:v>4.3194334624337201E-2</c:v>
                </c:pt>
                <c:pt idx="192">
                  <c:v>4.3267902448576277E-2</c:v>
                </c:pt>
                <c:pt idx="193">
                  <c:v>4.3340968140458451E-2</c:v>
                </c:pt>
                <c:pt idx="194">
                  <c:v>4.3413551891639895E-2</c:v>
                </c:pt>
                <c:pt idx="195">
                  <c:v>4.348567393215607E-2</c:v>
                </c:pt>
                <c:pt idx="196">
                  <c:v>4.3557354411244267E-2</c:v>
                </c:pt>
                <c:pt idx="197">
                  <c:v>4.3628613282592675E-2</c:v>
                </c:pt>
                <c:pt idx="198">
                  <c:v>4.3699470194774929E-2</c:v>
                </c:pt>
                <c:pt idx="199">
                  <c:v>4.3769944387569384E-2</c:v>
                </c:pt>
                <c:pt idx="200">
                  <c:v>4.3840054594796049E-2</c:v>
                </c:pt>
                <c:pt idx="201">
                  <c:v>4.3909818954233008E-2</c:v>
                </c:pt>
                <c:pt idx="202">
                  <c:v>4.397925492509748E-2</c:v>
                </c:pt>
                <c:pt idx="203">
                  <c:v>4.4048379213496247E-2</c:v>
                </c:pt>
                <c:pt idx="204">
                  <c:v>4.4117207706167179E-2</c:v>
                </c:pt>
                <c:pt idx="205">
                  <c:v>4.4185755412747489E-2</c:v>
                </c:pt>
                <c:pt idx="206">
                  <c:v>4.4254036416717081E-2</c:v>
                </c:pt>
                <c:pt idx="207">
                  <c:v>4.4322063835078272E-2</c:v>
                </c:pt>
                <c:pt idx="208">
                  <c:v>4.4389849786745671E-2</c:v>
                </c:pt>
                <c:pt idx="209">
                  <c:v>4.4457405369534395E-2</c:v>
                </c:pt>
                <c:pt idx="210">
                  <c:v>4.4524740645551238E-2</c:v>
                </c:pt>
                <c:pt idx="211">
                  <c:v>4.4591864634713416E-2</c:v>
                </c:pt>
                <c:pt idx="212">
                  <c:v>4.4658785316043004E-2</c:v>
                </c:pt>
                <c:pt idx="213">
                  <c:v>4.4725509636313686E-2</c:v>
                </c:pt>
                <c:pt idx="214">
                  <c:v>4.4792043525560855E-2</c:v>
                </c:pt>
                <c:pt idx="215">
                  <c:v>4.4858391918906303E-2</c:v>
                </c:pt>
                <c:pt idx="216">
                  <c:v>4.4924558784096048E-2</c:v>
                </c:pt>
                <c:pt idx="217">
                  <c:v>4.4990547154104818E-2</c:v>
                </c:pt>
                <c:pt idx="218">
                  <c:v>4.5056359164123053E-2</c:v>
                </c:pt>
                <c:pt idx="219">
                  <c:v>4.5121996092213956E-2</c:v>
                </c:pt>
                <c:pt idx="220">
                  <c:v>4.5187458402906951E-2</c:v>
                </c:pt>
                <c:pt idx="221">
                  <c:v>4.5252745792983273E-2</c:v>
                </c:pt>
                <c:pt idx="222">
                  <c:v>4.531785723870612E-2</c:v>
                </c:pt>
                <c:pt idx="223">
                  <c:v>4.5382791043754922E-2</c:v>
                </c:pt>
                <c:pt idx="224">
                  <c:v>4.5447544887137661E-2</c:v>
                </c:pt>
                <c:pt idx="225">
                  <c:v>4.5512115870380308E-2</c:v>
                </c:pt>
                <c:pt idx="226">
                  <c:v>4.5576500563323449E-2</c:v>
                </c:pt>
                <c:pt idx="227">
                  <c:v>4.5640695047897965E-2</c:v>
                </c:pt>
                <c:pt idx="228">
                  <c:v>4.5704694959298221E-2</c:v>
                </c:pt>
                <c:pt idx="229">
                  <c:v>4.5768495524027515E-2</c:v>
                </c:pt>
                <c:pt idx="230">
                  <c:v>4.5832091594350567E-2</c:v>
                </c:pt>
                <c:pt idx="231">
                  <c:v>4.5895477678756069E-2</c:v>
                </c:pt>
                <c:pt idx="232">
                  <c:v>4.5958647968103235E-2</c:v>
                </c:pt>
                <c:pt idx="233">
                  <c:v>4.6021596357202994E-2</c:v>
                </c:pt>
                <c:pt idx="234">
                  <c:v>4.608431646166302E-2</c:v>
                </c:pt>
                <c:pt idx="235">
                  <c:v>4.6146801629907842E-2</c:v>
                </c:pt>
                <c:pt idx="236">
                  <c:v>4.6209044950367588E-2</c:v>
                </c:pt>
                <c:pt idx="237">
                  <c:v>4.6271039253912023E-2</c:v>
                </c:pt>
                <c:pt idx="238">
                  <c:v>4.6332777111689281E-2</c:v>
                </c:pt>
                <c:pt idx="239">
                  <c:v>4.6394250828609193E-2</c:v>
                </c:pt>
                <c:pt idx="240">
                  <c:v>4.6455452432789583E-2</c:v>
                </c:pt>
                <c:pt idx="241">
                  <c:v>4.6516373661358246E-2</c:v>
                </c:pt>
                <c:pt idx="242">
                  <c:v>4.6577005943073985E-2</c:v>
                </c:pt>
                <c:pt idx="243">
                  <c:v>4.6637340378294666E-2</c:v>
                </c:pt>
                <c:pt idx="244">
                  <c:v>4.6697367716878935E-2</c:v>
                </c:pt>
                <c:pt idx="245">
                  <c:v>4.6757078334660356E-2</c:v>
                </c:pt>
                <c:pt idx="246">
                  <c:v>4.6816462209176554E-2</c:v>
                </c:pt>
                <c:pt idx="247">
                  <c:v>4.6875508895372398E-2</c:v>
                </c:pt>
                <c:pt idx="248">
                  <c:v>4.6934207502023019E-2</c:v>
                </c:pt>
                <c:pt idx="249">
                  <c:v>4.6992546669640971E-2</c:v>
                </c:pt>
                <c:pt idx="250">
                  <c:v>4.705051455064016E-2</c:v>
                </c:pt>
                <c:pt idx="251">
                  <c:v>4.7108098792528377E-2</c:v>
                </c:pt>
                <c:pt idx="252">
                  <c:v>4.7165286524888647E-2</c:v>
                </c:pt>
                <c:pt idx="253">
                  <c:v>4.7222064350889534E-2</c:v>
                </c:pt>
                <c:pt idx="254">
                  <c:v>4.7278418344033173E-2</c:v>
                </c:pt>
                <c:pt idx="255">
                  <c:v>4.733433405080998E-2</c:v>
                </c:pt>
                <c:pt idx="256">
                  <c:v>4.7389796499879309E-2</c:v>
                </c:pt>
                <c:pt idx="257">
                  <c:v>4.7444790218336926E-2</c:v>
                </c:pt>
                <c:pt idx="258">
                  <c:v>4.7499299255563364E-2</c:v>
                </c:pt>
                <c:pt idx="259">
                  <c:v>4.7553307215072949E-2</c:v>
                </c:pt>
                <c:pt idx="260">
                  <c:v>4.7606797294701499E-2</c:v>
                </c:pt>
                <c:pt idx="261">
                  <c:v>4.7659752335382902E-2</c:v>
                </c:pt>
                <c:pt idx="262">
                  <c:v>4.7712154878672121E-2</c:v>
                </c:pt>
                <c:pt idx="263">
                  <c:v>4.7763987233073589E-2</c:v>
                </c:pt>
                <c:pt idx="264">
                  <c:v>4.7815231549134037E-2</c:v>
                </c:pt>
                <c:pt idx="265">
                  <c:v>4.7865869903154404E-2</c:v>
                </c:pt>
                <c:pt idx="266">
                  <c:v>4.7915884389271253E-2</c:v>
                </c:pt>
                <c:pt idx="267">
                  <c:v>4.7965257219552568E-2</c:v>
                </c:pt>
                <c:pt idx="268">
                  <c:v>4.8013970831649481E-2</c:v>
                </c:pt>
                <c:pt idx="269">
                  <c:v>4.8062008003442673E-2</c:v>
                </c:pt>
                <c:pt idx="270">
                  <c:v>4.8109351974023593E-2</c:v>
                </c:pt>
                <c:pt idx="271">
                  <c:v>4.8155986570256396E-2</c:v>
                </c:pt>
                <c:pt idx="272">
                  <c:v>4.8201896338076623E-2</c:v>
                </c:pt>
                <c:pt idx="273">
                  <c:v>4.8247066677600314E-2</c:v>
                </c:pt>
                <c:pt idx="274">
                  <c:v>4.82914839810418E-2</c:v>
                </c:pt>
                <c:pt idx="275">
                  <c:v>4.8335135772370731E-2</c:v>
                </c:pt>
                <c:pt idx="276">
                  <c:v>4.8378010847581435E-2</c:v>
                </c:pt>
                <c:pt idx="277">
                  <c:v>4.8420099414399648E-2</c:v>
                </c:pt>
                <c:pt idx="278">
                  <c:v>4.8461393230213153E-2</c:v>
                </c:pt>
                <c:pt idx="279">
                  <c:v>4.8501885736987958E-2</c:v>
                </c:pt>
                <c:pt idx="280">
                  <c:v>4.8541572191915364E-2</c:v>
                </c:pt>
                <c:pt idx="281">
                  <c:v>4.8580449792533231E-2</c:v>
                </c:pt>
                <c:pt idx="282">
                  <c:v>4.8618517795073854E-2</c:v>
                </c:pt>
                <c:pt idx="283">
                  <c:v>4.8655777624812498E-2</c:v>
                </c:pt>
                <c:pt idx="284">
                  <c:v>4.8692232977224172E-2</c:v>
                </c:pt>
                <c:pt idx="285">
                  <c:v>4.8727889908802571E-2</c:v>
                </c:pt>
                <c:pt idx="286">
                  <c:v>4.8762756916453084E-2</c:v>
                </c:pt>
                <c:pt idx="287">
                  <c:v>4.8796845004440564E-2</c:v>
                </c:pt>
                <c:pt idx="288">
                  <c:v>4.8830167737953588E-2</c:v>
                </c:pt>
                <c:pt idx="289">
                  <c:v>4.8862741282437339E-2</c:v>
                </c:pt>
                <c:pt idx="290">
                  <c:v>4.8894584427947613E-2</c:v>
                </c:pt>
                <c:pt idx="291">
                  <c:v>4.8925718597888045E-2</c:v>
                </c:pt>
                <c:pt idx="292">
                  <c:v>4.8956167841609437E-2</c:v>
                </c:pt>
                <c:pt idx="293">
                  <c:v>4.8985958810474253E-2</c:v>
                </c:pt>
                <c:pt idx="294">
                  <c:v>4.9015120717119436E-2</c:v>
                </c:pt>
                <c:pt idx="295">
                  <c:v>4.9043685277784743E-2</c:v>
                </c:pt>
                <c:pt idx="296">
                  <c:v>4.9071686637712254E-2</c:v>
                </c:pt>
                <c:pt idx="297">
                  <c:v>4.9099161279762472E-2</c:v>
                </c:pt>
                <c:pt idx="298">
                  <c:v>4.9126147916533407E-2</c:v>
                </c:pt>
                <c:pt idx="299">
                  <c:v>4.9152687366410056E-2</c:v>
                </c:pt>
                <c:pt idx="300">
                  <c:v>4.9178822414110056E-2</c:v>
                </c:pt>
                <c:pt idx="301">
                  <c:v>4.9204597656426916E-2</c:v>
                </c:pt>
                <c:pt idx="302">
                  <c:v>4.9230059334004532E-2</c:v>
                </c:pt>
                <c:pt idx="303">
                  <c:v>4.9255255150101124E-2</c:v>
                </c:pt>
                <c:pt idx="304">
                  <c:v>4.9280234077420972E-2</c:v>
                </c:pt>
                <c:pt idx="305">
                  <c:v>4.9305046154202219E-2</c:v>
                </c:pt>
                <c:pt idx="306">
                  <c:v>4.9329742270851608E-2</c:v>
                </c:pt>
                <c:pt idx="307">
                  <c:v>4.9354373948508043E-2</c:v>
                </c:pt>
                <c:pt idx="308">
                  <c:v>4.9378993110998054E-2</c:v>
                </c:pt>
                <c:pt idx="309">
                  <c:v>4.9403651851714733E-2</c:v>
                </c:pt>
                <c:pt idx="310">
                  <c:v>4.9428402197008073E-2</c:v>
                </c:pt>
                <c:pt idx="311">
                  <c:v>4.945329586771717E-2</c:v>
                </c:pt>
                <c:pt idx="312">
                  <c:v>4.9478384040504954E-2</c:v>
                </c:pt>
                <c:pt idx="313">
                  <c:v>4.9503717110670239E-2</c:v>
                </c:pt>
                <c:pt idx="314">
                  <c:v>4.9529344458114001E-2</c:v>
                </c:pt>
                <c:pt idx="315">
                  <c:v>4.955531421812253E-2</c:v>
                </c:pt>
                <c:pt idx="316">
                  <c:v>4.9581673058603171E-2</c:v>
                </c:pt>
                <c:pt idx="317">
                  <c:v>4.9608465965366041E-2</c:v>
                </c:pt>
                <c:pt idx="318">
                  <c:v>4.9635736036989883E-2</c:v>
                </c:pt>
                <c:pt idx="319">
                  <c:v>4.9663524290741272E-2</c:v>
                </c:pt>
                <c:pt idx="320">
                  <c:v>4.9691869480934167E-2</c:v>
                </c:pt>
                <c:pt idx="321">
                  <c:v>4.9720807931023674E-2</c:v>
                </c:pt>
                <c:pt idx="322">
                  <c:v>4.9750373380622097E-2</c:v>
                </c:pt>
                <c:pt idx="323">
                  <c:v>4.9780596848510168E-2</c:v>
                </c:pt>
                <c:pt idx="324">
                  <c:v>4.9811506512591426E-2</c:v>
                </c:pt>
                <c:pt idx="325">
                  <c:v>4.9843127607604627E-2</c:v>
                </c:pt>
                <c:pt idx="326">
                  <c:v>4.987548234126838E-2</c:v>
                </c:pt>
                <c:pt idx="327">
                  <c:v>4.9908589829387263E-2</c:v>
                </c:pt>
                <c:pt idx="328">
                  <c:v>4.9942466050296966E-2</c:v>
                </c:pt>
                <c:pt idx="329">
                  <c:v>4.99771238188731E-2</c:v>
                </c:pt>
                <c:pt idx="330">
                  <c:v>5.0012572780172876E-2</c:v>
                </c:pt>
                <c:pt idx="331">
                  <c:v>5.0048819422622459E-2</c:v>
                </c:pt>
                <c:pt idx="332">
                  <c:v>5.0085867110509073E-2</c:v>
                </c:pt>
                <c:pt idx="333">
                  <c:v>5.0123716135383634E-2</c:v>
                </c:pt>
                <c:pt idx="334">
                  <c:v>5.0162363785831748E-2</c:v>
                </c:pt>
                <c:pt idx="335">
                  <c:v>5.0201804434927604E-2</c:v>
                </c:pt>
                <c:pt idx="336">
                  <c:v>5.0242029644547888E-2</c:v>
                </c:pt>
                <c:pt idx="337">
                  <c:v>5.028302828559409E-2</c:v>
                </c:pt>
                <c:pt idx="338">
                  <c:v>5.032478667305073E-2</c:v>
                </c:pt>
                <c:pt idx="339">
                  <c:v>5.0367288714696395E-2</c:v>
                </c:pt>
                <c:pt idx="340">
                  <c:v>5.0410516072184844E-2</c:v>
                </c:pt>
                <c:pt idx="341">
                  <c:v>5.0454448333125193E-2</c:v>
                </c:pt>
                <c:pt idx="342">
                  <c:v>5.0499063192714189E-2</c:v>
                </c:pt>
                <c:pt idx="343">
                  <c:v>5.0544336643411653E-2</c:v>
                </c:pt>
                <c:pt idx="344">
                  <c:v>5.0590243171100169E-2</c:v>
                </c:pt>
                <c:pt idx="345">
                  <c:v>5.0636755956135843E-2</c:v>
                </c:pt>
                <c:pt idx="346">
                  <c:v>5.0683847077675426E-2</c:v>
                </c:pt>
                <c:pt idx="347">
                  <c:v>5.0731487719658706E-2</c:v>
                </c:pt>
                <c:pt idx="348">
                  <c:v>5.077964837683293E-2</c:v>
                </c:pt>
                <c:pt idx="349">
                  <c:v>5.08282990592272E-2</c:v>
                </c:pt>
                <c:pt idx="350">
                  <c:v>5.087740949352109E-2</c:v>
                </c:pt>
                <c:pt idx="351">
                  <c:v>5.0926949319800199E-2</c:v>
                </c:pt>
                <c:pt idx="352">
                  <c:v>5.0976888282253434E-2</c:v>
                </c:pt>
                <c:pt idx="353">
                  <c:v>5.1027196412440544E-2</c:v>
                </c:pt>
                <c:pt idx="354">
                  <c:v>5.1077844203844501E-2</c:v>
                </c:pt>
                <c:pt idx="355">
                  <c:v>5.1128802776518226E-2</c:v>
                </c:pt>
                <c:pt idx="356">
                  <c:v>5.1180044030741577E-2</c:v>
                </c:pt>
                <c:pt idx="357">
                  <c:v>5.1231540788717882E-2</c:v>
                </c:pt>
                <c:pt idx="358">
                  <c:v>5.1283266923460767E-2</c:v>
                </c:pt>
                <c:pt idx="359">
                  <c:v>5.1335197474149212E-2</c:v>
                </c:pt>
                <c:pt idx="360">
                  <c:v>5.1387308747361568E-2</c:v>
                </c:pt>
                <c:pt idx="361">
                  <c:v>5.1439578403734559E-2</c:v>
                </c:pt>
                <c:pt idx="362">
                  <c:v>5.1491985529731506E-2</c:v>
                </c:pt>
                <c:pt idx="363">
                  <c:v>5.1544510694343897E-2</c:v>
                </c:pt>
                <c:pt idx="364">
                  <c:v>5.1597135990688082E-2</c:v>
                </c:pt>
                <c:pt idx="365">
                  <c:v>5.1649845062596851E-2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6.0924003727881896E-4</c:v>
                </c:pt>
                <c:pt idx="1">
                  <c:v>6.0506364576036725E-4</c:v>
                </c:pt>
                <c:pt idx="2">
                  <c:v>6.0052266235375825E-4</c:v>
                </c:pt>
                <c:pt idx="3">
                  <c:v>5.956534555787772E-4</c:v>
                </c:pt>
                <c:pt idx="4">
                  <c:v>5.9049114479384072E-4</c:v>
                </c:pt>
                <c:pt idx="5">
                  <c:v>5.850694305034272E-4</c:v>
                </c:pt>
                <c:pt idx="6">
                  <c:v>5.7942046500576976E-4</c:v>
                </c:pt>
                <c:pt idx="7">
                  <c:v>5.735747588859392E-4</c:v>
                </c:pt>
                <c:pt idx="8">
                  <c:v>5.6748290237726656E-4</c:v>
                </c:pt>
                <c:pt idx="9">
                  <c:v>5.6045480348106309E-4</c:v>
                </c:pt>
                <c:pt idx="10">
                  <c:v>5.5234214628483097E-4</c:v>
                </c:pt>
                <c:pt idx="11">
                  <c:v>5.4318067527656328E-4</c:v>
                </c:pt>
                <c:pt idx="12">
                  <c:v>5.3300639724532055E-4</c:v>
                </c:pt>
                <c:pt idx="13">
                  <c:v>5.2185540596212806E-4</c:v>
                </c:pt>
                <c:pt idx="14">
                  <c:v>5.097637189674716E-4</c:v>
                </c:pt>
                <c:pt idx="15">
                  <c:v>4.9666839459655348E-4</c:v>
                </c:pt>
                <c:pt idx="16">
                  <c:v>4.8301352987221372E-4</c:v>
                </c:pt>
                <c:pt idx="17">
                  <c:v>4.688254886975789E-4</c:v>
                </c:pt>
                <c:pt idx="18">
                  <c:v>4.5412999114900234E-4</c:v>
                </c:pt>
                <c:pt idx="19">
                  <c:v>4.3895450177325849E-4</c:v>
                </c:pt>
                <c:pt idx="20">
                  <c:v>4.2332644955067194E-4</c:v>
                </c:pt>
                <c:pt idx="21">
                  <c:v>4.072701778547362E-4</c:v>
                </c:pt>
                <c:pt idx="22">
                  <c:v>3.9077233639577344E-4</c:v>
                </c:pt>
                <c:pt idx="23">
                  <c:v>3.7418134165335417E-4</c:v>
                </c:pt>
                <c:pt idx="24">
                  <c:v>3.5807726184955126E-4</c:v>
                </c:pt>
                <c:pt idx="25">
                  <c:v>3.4247006376075979E-4</c:v>
                </c:pt>
                <c:pt idx="26">
                  <c:v>3.2736643089915934E-4</c:v>
                </c:pt>
                <c:pt idx="27">
                  <c:v>3.1277008427137046E-4</c:v>
                </c:pt>
                <c:pt idx="28">
                  <c:v>2.9868209649565254E-4</c:v>
                </c:pt>
                <c:pt idx="29">
                  <c:v>2.8543158382462753E-4</c:v>
                </c:pt>
                <c:pt idx="30">
                  <c:v>2.7309024022848259E-4</c:v>
                </c:pt>
                <c:pt idx="31">
                  <c:v>2.6164058377448648E-4</c:v>
                </c:pt>
                <c:pt idx="32">
                  <c:v>2.5106419510900313E-4</c:v>
                </c:pt>
                <c:pt idx="33">
                  <c:v>2.4134204922674477E-4</c:v>
                </c:pt>
                <c:pt idx="34">
                  <c:v>2.3245481518462734E-4</c:v>
                </c:pt>
                <c:pt idx="35">
                  <c:v>2.2438312547824507E-4</c:v>
                </c:pt>
                <c:pt idx="36">
                  <c:v>2.1709439451179043E-4</c:v>
                </c:pt>
                <c:pt idx="37">
                  <c:v>2.1114137165108358E-4</c:v>
                </c:pt>
                <c:pt idx="38">
                  <c:v>2.0618571502970426E-4</c:v>
                </c:pt>
                <c:pt idx="39">
                  <c:v>2.0220853805321551E-4</c:v>
                </c:pt>
                <c:pt idx="40">
                  <c:v>1.991723292364492E-4</c:v>
                </c:pt>
                <c:pt idx="41">
                  <c:v>1.970507618679817E-4</c:v>
                </c:pt>
                <c:pt idx="42">
                  <c:v>1.9581851929709423E-4</c:v>
                </c:pt>
                <c:pt idx="43">
                  <c:v>1.9624425021302355E-4</c:v>
                </c:pt>
                <c:pt idx="44">
                  <c:v>1.979970065787894E-4</c:v>
                </c:pt>
                <c:pt idx="45">
                  <c:v>2.010414492224515E-4</c:v>
                </c:pt>
                <c:pt idx="46">
                  <c:v>2.0534325998186782E-4</c:v>
                </c:pt>
                <c:pt idx="47">
                  <c:v>2.1086904869718778E-4</c:v>
                </c:pt>
                <c:pt idx="48">
                  <c:v>2.1758627049146899E-4</c:v>
                </c:pt>
                <c:pt idx="49">
                  <c:v>2.2546315310752006E-4</c:v>
                </c:pt>
                <c:pt idx="50">
                  <c:v>2.3446770670358574E-4</c:v>
                </c:pt>
                <c:pt idx="51">
                  <c:v>2.4369110961184668E-4</c:v>
                </c:pt>
                <c:pt idx="52">
                  <c:v>2.5261289093563732E-4</c:v>
                </c:pt>
                <c:pt idx="53">
                  <c:v>2.6124117758390559E-4</c:v>
                </c:pt>
                <c:pt idx="54">
                  <c:v>2.6958541203214715E-4</c:v>
                </c:pt>
                <c:pt idx="55">
                  <c:v>2.7765517887893036E-4</c:v>
                </c:pt>
                <c:pt idx="56">
                  <c:v>2.8546019568792883E-4</c:v>
                </c:pt>
                <c:pt idx="57">
                  <c:v>2.9129245748888604E-4</c:v>
                </c:pt>
                <c:pt idx="58">
                  <c:v>2.9450395674484166E-4</c:v>
                </c:pt>
                <c:pt idx="59">
                  <c:v>2.951615842117236E-4</c:v>
                </c:pt>
                <c:pt idx="60">
                  <c:v>2.9333020668459453E-4</c:v>
                </c:pt>
                <c:pt idx="61">
                  <c:v>2.8907255095221573E-4</c:v>
                </c:pt>
                <c:pt idx="62">
                  <c:v>2.8244909224340686E-4</c:v>
                </c:pt>
                <c:pt idx="63">
                  <c:v>2.7351794632062628E-4</c:v>
                </c:pt>
                <c:pt idx="64">
                  <c:v>2.6232749265000073E-4</c:v>
                </c:pt>
                <c:pt idx="65">
                  <c:v>2.492113951982257E-4</c:v>
                </c:pt>
                <c:pt idx="66">
                  <c:v>2.3498904887631002E-4</c:v>
                </c:pt>
                <c:pt idx="67">
                  <c:v>2.1968459666838418E-4</c:v>
                </c:pt>
                <c:pt idx="68">
                  <c:v>2.0332078370042866E-4</c:v>
                </c:pt>
                <c:pt idx="69">
                  <c:v>1.85918890756067E-4</c:v>
                </c:pt>
                <c:pt idx="70">
                  <c:v>1.674986682828885E-4</c:v>
                </c:pt>
                <c:pt idx="71">
                  <c:v>1.4892089293098006E-4</c:v>
                </c:pt>
                <c:pt idx="72">
                  <c:v>1.3171903334815185E-4</c:v>
                </c:pt>
                <c:pt idx="73">
                  <c:v>1.1585992863226694E-4</c:v>
                </c:pt>
                <c:pt idx="74">
                  <c:v>1.0131107689258821E-4</c:v>
                </c:pt>
                <c:pt idx="75">
                  <c:v>8.8040680529651502E-5</c:v>
                </c:pt>
                <c:pt idx="76">
                  <c:v>7.6017689674063424E-5</c:v>
                </c:pt>
                <c:pt idx="77">
                  <c:v>6.5211843643750707E-5</c:v>
                </c:pt>
                <c:pt idx="78">
                  <c:v>5.5590587111891115E-5</c:v>
                </c:pt>
                <c:pt idx="79">
                  <c:v>4.7237701874928683E-5</c:v>
                </c:pt>
                <c:pt idx="80">
                  <c:v>3.988129922894334E-5</c:v>
                </c:pt>
                <c:pt idx="81">
                  <c:v>3.3503312817047731E-5</c:v>
                </c:pt>
                <c:pt idx="82">
                  <c:v>2.8085898375104803E-5</c:v>
                </c:pt>
                <c:pt idx="83">
                  <c:v>2.3611671919634296E-5</c:v>
                </c:pt>
                <c:pt idx="84">
                  <c:v>2.0063932261318342E-5</c:v>
                </c:pt>
                <c:pt idx="85">
                  <c:v>1.7528090528002906E-5</c:v>
                </c:pt>
                <c:pt idx="86">
                  <c:v>1.5220723011216698E-5</c:v>
                </c:pt>
                <c:pt idx="87">
                  <c:v>1.3138764044808787E-5</c:v>
                </c:pt>
                <c:pt idx="88">
                  <c:v>1.1279430672535635E-5</c:v>
                </c:pt>
                <c:pt idx="89">
                  <c:v>9.6402757287417043E-6</c:v>
                </c:pt>
                <c:pt idx="90">
                  <c:v>8.2192393122555561E-6</c:v>
                </c:pt>
                <c:pt idx="91">
                  <c:v>7.0146990983816653E-6</c:v>
                </c:pt>
                <c:pt idx="92">
                  <c:v>6.0252049476165085E-6</c:v>
                </c:pt>
                <c:pt idx="93">
                  <c:v>5.3237639522463064E-6</c:v>
                </c:pt>
                <c:pt idx="94">
                  <c:v>4.7963626269216838E-6</c:v>
                </c:pt>
                <c:pt idx="95">
                  <c:v>4.4420583282033072E-6</c:v>
                </c:pt>
                <c:pt idx="96">
                  <c:v>4.2602511667759141E-6</c:v>
                </c:pt>
                <c:pt idx="97">
                  <c:v>4.2506911306536033E-6</c:v>
                </c:pt>
                <c:pt idx="98">
                  <c:v>4.4134855917082967E-6</c:v>
                </c:pt>
                <c:pt idx="99">
                  <c:v>4.8520367673902666E-6</c:v>
                </c:pt>
                <c:pt idx="100">
                  <c:v>5.4667816119321515E-6</c:v>
                </c:pt>
                <c:pt idx="101">
                  <c:v>6.2582294131338883E-6</c:v>
                </c:pt>
                <c:pt idx="102">
                  <c:v>7.2272327004358599E-6</c:v>
                </c:pt>
                <c:pt idx="103">
                  <c:v>8.374992187611191E-6</c:v>
                </c:pt>
                <c:pt idx="104">
                  <c:v>9.7030618688882441E-6</c:v>
                </c:pt>
                <c:pt idx="105">
                  <c:v>1.1213354260752045E-5</c:v>
                </c:pt>
                <c:pt idx="106">
                  <c:v>1.290823905223076E-5</c:v>
                </c:pt>
                <c:pt idx="107">
                  <c:v>1.4958336355944558E-5</c:v>
                </c:pt>
                <c:pt idx="108">
                  <c:v>1.7291849757288963E-5</c:v>
                </c:pt>
                <c:pt idx="109">
                  <c:v>1.9911992658726928E-5</c:v>
                </c:pt>
                <c:pt idx="110">
                  <c:v>2.2822471621047374E-5</c:v>
                </c:pt>
                <c:pt idx="111">
                  <c:v>2.6027442803252673E-5</c:v>
                </c:pt>
                <c:pt idx="112">
                  <c:v>2.9531419020524091E-5</c:v>
                </c:pt>
                <c:pt idx="113">
                  <c:v>3.3575133708644095E-5</c:v>
                </c:pt>
                <c:pt idx="114">
                  <c:v>3.8060664007967532E-5</c:v>
                </c:pt>
                <c:pt idx="115">
                  <c:v>4.2994719531570077E-5</c:v>
                </c:pt>
                <c:pt idx="116">
                  <c:v>4.8384503174864814E-5</c:v>
                </c:pt>
                <c:pt idx="117">
                  <c:v>5.4237677830207411E-5</c:v>
                </c:pt>
                <c:pt idx="118">
                  <c:v>6.0562331006830378E-5</c:v>
                </c:pt>
                <c:pt idx="119">
                  <c:v>6.7366937145744597E-5</c:v>
                </c:pt>
                <c:pt idx="120">
                  <c:v>7.4661571083391604E-5</c:v>
                </c:pt>
                <c:pt idx="121">
                  <c:v>8.2927738680235754E-5</c:v>
                </c:pt>
                <c:pt idx="122">
                  <c:v>9.20070767956545E-5</c:v>
                </c:pt>
                <c:pt idx="123">
                  <c:v>1.0191538953259161E-4</c:v>
                </c:pt>
                <c:pt idx="124">
                  <c:v>1.1266928614691655E-4</c:v>
                </c:pt>
                <c:pt idx="125">
                  <c:v>1.2428613223965874E-4</c:v>
                </c:pt>
                <c:pt idx="126">
                  <c:v>1.3678399709238952E-4</c:v>
                </c:pt>
                <c:pt idx="127">
                  <c:v>1.4961779466644606E-4</c:v>
                </c:pt>
                <c:pt idx="128">
                  <c:v>1.6255148785199576E-4</c:v>
                </c:pt>
                <c:pt idx="129">
                  <c:v>1.7559614751506825E-4</c:v>
                </c:pt>
                <c:pt idx="130">
                  <c:v>1.8876281372256674E-4</c:v>
                </c:pt>
                <c:pt idx="131">
                  <c:v>2.0206249268549977E-4</c:v>
                </c:pt>
                <c:pt idx="132">
                  <c:v>2.1550615211220528E-4</c:v>
                </c:pt>
                <c:pt idx="133">
                  <c:v>2.291047147594532E-4</c:v>
                </c:pt>
                <c:pt idx="134">
                  <c:v>2.428718688621947E-4</c:v>
                </c:pt>
                <c:pt idx="135">
                  <c:v>2.5525138830632293E-4</c:v>
                </c:pt>
                <c:pt idx="136">
                  <c:v>2.6570778657398537E-4</c:v>
                </c:pt>
                <c:pt idx="137">
                  <c:v>2.7420729325856668E-4</c:v>
                </c:pt>
                <c:pt idx="138">
                  <c:v>2.8071431180310471E-4</c:v>
                </c:pt>
                <c:pt idx="139">
                  <c:v>2.8519161993642052E-4</c:v>
                </c:pt>
                <c:pt idx="140">
                  <c:v>2.8760057829780358E-4</c:v>
                </c:pt>
                <c:pt idx="141">
                  <c:v>2.8783080730065356E-4</c:v>
                </c:pt>
                <c:pt idx="142">
                  <c:v>2.8640977196484979E-4</c:v>
                </c:pt>
                <c:pt idx="143">
                  <c:v>2.8328099225351092E-4</c:v>
                </c:pt>
                <c:pt idx="144">
                  <c:v>2.7838822122279851E-4</c:v>
                </c:pt>
                <c:pt idx="145">
                  <c:v>2.7167389834955295E-4</c:v>
                </c:pt>
                <c:pt idx="146">
                  <c:v>2.6307934767621182E-4</c:v>
                </c:pt>
                <c:pt idx="147">
                  <c:v>2.5254498853462617E-4</c:v>
                </c:pt>
                <c:pt idx="148">
                  <c:v>2.4001170342117105E-4</c:v>
                </c:pt>
                <c:pt idx="149">
                  <c:v>2.2627951686880594E-4</c:v>
                </c:pt>
                <c:pt idx="150">
                  <c:v>2.1305462703400914E-4</c:v>
                </c:pt>
                <c:pt idx="151">
                  <c:v>2.0033095619045733E-4</c:v>
                </c:pt>
                <c:pt idx="152">
                  <c:v>1.8810201680548866E-4</c:v>
                </c:pt>
                <c:pt idx="153">
                  <c:v>1.7636092315536487E-4</c:v>
                </c:pt>
                <c:pt idx="154">
                  <c:v>1.6510040748983129E-4</c:v>
                </c:pt>
                <c:pt idx="155">
                  <c:v>1.5462781685197143E-4</c:v>
                </c:pt>
                <c:pt idx="156">
                  <c:v>1.4512345467616511E-4</c:v>
                </c:pt>
                <c:pt idx="157">
                  <c:v>1.3661815032691969E-4</c:v>
                </c:pt>
                <c:pt idx="158">
                  <c:v>1.2914314252748717E-4</c:v>
                </c:pt>
                <c:pt idx="159">
                  <c:v>1.2273000871029994E-4</c:v>
                </c:pt>
                <c:pt idx="160">
                  <c:v>1.1741059575520033E-4</c:v>
                </c:pt>
                <c:pt idx="161">
                  <c:v>1.1321695301820501E-4</c:v>
                </c:pt>
                <c:pt idx="162">
                  <c:v>1.1018241566177447E-4</c:v>
                </c:pt>
                <c:pt idx="163">
                  <c:v>1.0838234605040039E-4</c:v>
                </c:pt>
                <c:pt idx="164">
                  <c:v>1.0690478781513419E-4</c:v>
                </c:pt>
                <c:pt idx="165">
                  <c:v>1.0576648095736827E-4</c:v>
                </c:pt>
                <c:pt idx="166">
                  <c:v>1.0498437592578338E-4</c:v>
                </c:pt>
                <c:pt idx="167">
                  <c:v>1.0457556287838832E-4</c:v>
                </c:pt>
                <c:pt idx="168">
                  <c:v>1.0455719999606437E-4</c:v>
                </c:pt>
                <c:pt idx="169">
                  <c:v>1.0499269794630859E-4</c:v>
                </c:pt>
                <c:pt idx="170">
                  <c:v>1.0550518518100879E-4</c:v>
                </c:pt>
                <c:pt idx="171">
                  <c:v>1.0609732312667335E-4</c:v>
                </c:pt>
                <c:pt idx="172">
                  <c:v>1.0677176395222761E-4</c:v>
                </c:pt>
                <c:pt idx="173">
                  <c:v>1.0753003789458726E-4</c:v>
                </c:pt>
                <c:pt idx="174">
                  <c:v>1.0837354667876649E-4</c:v>
                </c:pt>
                <c:pt idx="175">
                  <c:v>1.0930468665049395E-4</c:v>
                </c:pt>
                <c:pt idx="176">
                  <c:v>1.1032766895849337E-4</c:v>
                </c:pt>
                <c:pt idx="177">
                  <c:v>1.1187922278964244E-4</c:v>
                </c:pt>
                <c:pt idx="178">
                  <c:v>1.1392577774749506E-4</c:v>
                </c:pt>
                <c:pt idx="179">
                  <c:v>1.1648310435189779E-4</c:v>
                </c:pt>
                <c:pt idx="180">
                  <c:v>1.1956653319979719E-4</c:v>
                </c:pt>
                <c:pt idx="181">
                  <c:v>1.2319093883222254E-4</c:v>
                </c:pt>
                <c:pt idx="182">
                  <c:v>1.273707287612012E-4</c:v>
                </c:pt>
                <c:pt idx="183">
                  <c:v>1.3315479897168882E-4</c:v>
                </c:pt>
                <c:pt idx="184">
                  <c:v>1.4051320631934037E-4</c:v>
                </c:pt>
                <c:pt idx="185">
                  <c:v>1.4946806164875653E-4</c:v>
                </c:pt>
                <c:pt idx="186">
                  <c:v>1.600405777475298E-4</c:v>
                </c:pt>
                <c:pt idx="187">
                  <c:v>1.7225112539892337E-4</c:v>
                </c:pt>
                <c:pt idx="188">
                  <c:v>1.8611929601048107E-4</c:v>
                </c:pt>
                <c:pt idx="189">
                  <c:v>2.0166396998654056E-4</c:v>
                </c:pt>
                <c:pt idx="190">
                  <c:v>2.1890421966338754E-4</c:v>
                </c:pt>
                <c:pt idx="191">
                  <c:v>2.3741691351580757E-4</c:v>
                </c:pt>
                <c:pt idx="192">
                  <c:v>2.5670218953864128E-4</c:v>
                </c:pt>
                <c:pt idx="193">
                  <c:v>2.7674705326242397E-4</c:v>
                </c:pt>
                <c:pt idx="194">
                  <c:v>2.9753915338560737E-4</c:v>
                </c:pt>
                <c:pt idx="195">
                  <c:v>3.1906681455454432E-4</c:v>
                </c:pt>
                <c:pt idx="196">
                  <c:v>3.4131906310738659E-4</c:v>
                </c:pt>
                <c:pt idx="197">
                  <c:v>3.6206789761981738E-4</c:v>
                </c:pt>
                <c:pt idx="198">
                  <c:v>3.8020107112957563E-4</c:v>
                </c:pt>
                <c:pt idx="199">
                  <c:v>3.9568229950927107E-4</c:v>
                </c:pt>
                <c:pt idx="200">
                  <c:v>4.0847650174978247E-4</c:v>
                </c:pt>
                <c:pt idx="201">
                  <c:v>4.1854970244816679E-4</c:v>
                </c:pt>
                <c:pt idx="202">
                  <c:v>4.2586893525458795E-4</c:v>
                </c:pt>
                <c:pt idx="203">
                  <c:v>4.3040214874549756E-4</c:v>
                </c:pt>
                <c:pt idx="204">
                  <c:v>4.3211936188249875E-4</c:v>
                </c:pt>
                <c:pt idx="205">
                  <c:v>4.3039338581650992E-4</c:v>
                </c:pt>
                <c:pt idx="206">
                  <c:v>4.257196033166278E-4</c:v>
                </c:pt>
                <c:pt idx="207">
                  <c:v>4.1808320358403752E-4</c:v>
                </c:pt>
                <c:pt idx="208">
                  <c:v>4.0746895376249305E-4</c:v>
                </c:pt>
                <c:pt idx="209">
                  <c:v>3.9386113118332599E-4</c:v>
                </c:pt>
                <c:pt idx="210">
                  <c:v>3.7724346525253033E-4</c:v>
                </c:pt>
                <c:pt idx="211">
                  <c:v>3.583480037763078E-4</c:v>
                </c:pt>
                <c:pt idx="212">
                  <c:v>3.3947368080694063E-4</c:v>
                </c:pt>
                <c:pt idx="213">
                  <c:v>3.2062694917096217E-4</c:v>
                </c:pt>
                <c:pt idx="214">
                  <c:v>3.0181382244179355E-4</c:v>
                </c:pt>
                <c:pt idx="215">
                  <c:v>2.8303990317301751E-4</c:v>
                </c:pt>
                <c:pt idx="216">
                  <c:v>2.6431041113636971E-4</c:v>
                </c:pt>
                <c:pt idx="217">
                  <c:v>2.4563021128518454E-4</c:v>
                </c:pt>
                <c:pt idx="218">
                  <c:v>2.270029258751635E-4</c:v>
                </c:pt>
                <c:pt idx="219">
                  <c:v>2.0881486319952597E-4</c:v>
                </c:pt>
                <c:pt idx="220">
                  <c:v>1.9167500375623858E-4</c:v>
                </c:pt>
                <c:pt idx="221">
                  <c:v>1.7559237207390941E-4</c:v>
                </c:pt>
                <c:pt idx="222">
                  <c:v>1.6057593986538882E-4</c:v>
                </c:pt>
                <c:pt idx="223">
                  <c:v>1.466346588018658E-4</c:v>
                </c:pt>
                <c:pt idx="224">
                  <c:v>1.3377749102853043E-4</c:v>
                </c:pt>
                <c:pt idx="225">
                  <c:v>1.222987364300569E-4</c:v>
                </c:pt>
                <c:pt idx="226">
                  <c:v>1.11429719063795E-4</c:v>
                </c:pt>
                <c:pt idx="227">
                  <c:v>1.0117540834360625E-4</c:v>
                </c:pt>
                <c:pt idx="228">
                  <c:v>9.1540807033934263E-5</c:v>
                </c:pt>
                <c:pt idx="229">
                  <c:v>8.2530965092289976E-5</c:v>
                </c:pt>
                <c:pt idx="230">
                  <c:v>7.4150992708270783E-5</c:v>
                </c:pt>
                <c:pt idx="231">
                  <c:v>6.6406072672851434E-5</c:v>
                </c:pt>
                <c:pt idx="232">
                  <c:v>5.9299193173147924E-5</c:v>
                </c:pt>
                <c:pt idx="233">
                  <c:v>5.303346973468113E-5</c:v>
                </c:pt>
                <c:pt idx="234">
                  <c:v>4.7219518082013864E-5</c:v>
                </c:pt>
                <c:pt idx="235">
                  <c:v>4.1862636787811371E-5</c:v>
                </c:pt>
                <c:pt idx="236">
                  <c:v>3.6967784715575431E-5</c:v>
                </c:pt>
                <c:pt idx="237">
                  <c:v>3.2539609701765998E-5</c:v>
                </c:pt>
                <c:pt idx="238">
                  <c:v>2.8582550972316428E-5</c:v>
                </c:pt>
                <c:pt idx="239">
                  <c:v>2.5307891828854134E-5</c:v>
                </c:pt>
                <c:pt idx="240">
                  <c:v>2.2424373916115648E-5</c:v>
                </c:pt>
                <c:pt idx="241">
                  <c:v>1.9935795991082016E-5</c:v>
                </c:pt>
                <c:pt idx="242">
                  <c:v>1.7845979119296751E-5</c:v>
                </c:pt>
                <c:pt idx="243">
                  <c:v>1.6158833489360287E-5</c:v>
                </c:pt>
                <c:pt idx="244">
                  <c:v>1.4878427723393244E-5</c:v>
                </c:pt>
                <c:pt idx="245">
                  <c:v>1.4009060994517806E-5</c:v>
                </c:pt>
                <c:pt idx="246">
                  <c:v>1.3555025321701834E-5</c:v>
                </c:pt>
                <c:pt idx="247">
                  <c:v>1.3855123060097926E-5</c:v>
                </c:pt>
                <c:pt idx="248">
                  <c:v>1.4710035239865655E-5</c:v>
                </c:pt>
                <c:pt idx="249">
                  <c:v>1.612712162256775E-5</c:v>
                </c:pt>
                <c:pt idx="250">
                  <c:v>1.8114069211032999E-5</c:v>
                </c:pt>
                <c:pt idx="251">
                  <c:v>2.0678856016611857E-5</c:v>
                </c:pt>
                <c:pt idx="252">
                  <c:v>2.3829711982443016E-5</c:v>
                </c:pt>
                <c:pt idx="253">
                  <c:v>2.8266803349493519E-5</c:v>
                </c:pt>
                <c:pt idx="254">
                  <c:v>3.3788798775461691E-5</c:v>
                </c:pt>
                <c:pt idx="255">
                  <c:v>4.041191992307589E-5</c:v>
                </c:pt>
                <c:pt idx="256">
                  <c:v>4.8152558746013503E-5</c:v>
                </c:pt>
                <c:pt idx="257">
                  <c:v>5.702717961173327E-5</c:v>
                </c:pt>
                <c:pt idx="258">
                  <c:v>6.7052213588767544E-5</c:v>
                </c:pt>
                <c:pt idx="259">
                  <c:v>7.8243944603011075E-5</c:v>
                </c:pt>
                <c:pt idx="260">
                  <c:v>9.0623837106346334E-5</c:v>
                </c:pt>
                <c:pt idx="261">
                  <c:v>1.0564012808169999E-4</c:v>
                </c:pt>
                <c:pt idx="262">
                  <c:v>1.2297398351445433E-4</c:v>
                </c:pt>
                <c:pt idx="263">
                  <c:v>1.4266092385209874E-4</c:v>
                </c:pt>
                <c:pt idx="264">
                  <c:v>1.6473642191872534E-4</c:v>
                </c:pt>
                <c:pt idx="265">
                  <c:v>1.8923645910406327E-4</c:v>
                </c:pt>
                <c:pt idx="266">
                  <c:v>2.1619603588744283E-4</c:v>
                </c:pt>
                <c:pt idx="267">
                  <c:v>2.4493525835001385E-4</c:v>
                </c:pt>
                <c:pt idx="268">
                  <c:v>2.747241112668891E-4</c:v>
                </c:pt>
                <c:pt idx="269">
                  <c:v>3.055662526644124E-4</c:v>
                </c:pt>
                <c:pt idx="270">
                  <c:v>3.3746249093809537E-4</c:v>
                </c:pt>
                <c:pt idx="271">
                  <c:v>3.7041046006744784E-4</c:v>
                </c:pt>
                <c:pt idx="272">
                  <c:v>4.0440428768671698E-4</c:v>
                </c:pt>
                <c:pt idx="273">
                  <c:v>4.3943425849867233E-4</c:v>
                </c:pt>
                <c:pt idx="274">
                  <c:v>4.755095986858917E-4</c:v>
                </c:pt>
                <c:pt idx="275">
                  <c:v>5.0937714139462061E-4</c:v>
                </c:pt>
                <c:pt idx="276">
                  <c:v>5.3946267908192187E-4</c:v>
                </c:pt>
                <c:pt idx="277">
                  <c:v>5.6570477214305326E-4</c:v>
                </c:pt>
                <c:pt idx="278">
                  <c:v>5.8804315015316465E-4</c:v>
                </c:pt>
                <c:pt idx="279">
                  <c:v>6.0641889937203741E-4</c:v>
                </c:pt>
                <c:pt idx="280">
                  <c:v>6.207746420618665E-4</c:v>
                </c:pt>
                <c:pt idx="281">
                  <c:v>6.3031696377141447E-4</c:v>
                </c:pt>
                <c:pt idx="282">
                  <c:v>6.3575313408572155E-4</c:v>
                </c:pt>
                <c:pt idx="283">
                  <c:v>6.3703323038679217E-4</c:v>
                </c:pt>
                <c:pt idx="284">
                  <c:v>6.3410934265193178E-4</c:v>
                </c:pt>
                <c:pt idx="285">
                  <c:v>6.2693566890299052E-4</c:v>
                </c:pt>
                <c:pt idx="286">
                  <c:v>6.1546858408849305E-4</c:v>
                </c:pt>
                <c:pt idx="287">
                  <c:v>5.9966667947928382E-4</c:v>
                </c:pt>
                <c:pt idx="288">
                  <c:v>5.795044070290937E-4</c:v>
                </c:pt>
                <c:pt idx="289">
                  <c:v>5.5652882395873797E-4</c:v>
                </c:pt>
                <c:pt idx="290">
                  <c:v>5.3418016171592829E-4</c:v>
                </c:pt>
                <c:pt idx="291">
                  <c:v>5.1246607022312359E-4</c:v>
                </c:pt>
                <c:pt idx="292">
                  <c:v>4.9139475204726672E-4</c:v>
                </c:pt>
                <c:pt idx="293">
                  <c:v>4.7097488704706539E-4</c:v>
                </c:pt>
                <c:pt idx="294">
                  <c:v>4.5121555689231198E-4</c:v>
                </c:pt>
                <c:pt idx="295">
                  <c:v>4.3307479170099408E-4</c:v>
                </c:pt>
                <c:pt idx="296">
                  <c:v>4.173494062836117E-4</c:v>
                </c:pt>
                <c:pt idx="297">
                  <c:v>4.040657023010848E-4</c:v>
                </c:pt>
                <c:pt idx="298">
                  <c:v>3.932455319010252E-4</c:v>
                </c:pt>
                <c:pt idx="299">
                  <c:v>3.8490983398549152E-4</c:v>
                </c:pt>
                <c:pt idx="300">
                  <c:v>3.7907843888322184E-4</c:v>
                </c:pt>
                <c:pt idx="301">
                  <c:v>3.7576987498718392E-4</c:v>
                </c:pt>
                <c:pt idx="302">
                  <c:v>3.7502268710007223E-4</c:v>
                </c:pt>
                <c:pt idx="303">
                  <c:v>3.7738234474106181E-4</c:v>
                </c:pt>
                <c:pt idx="304">
                  <c:v>3.8122555037370799E-4</c:v>
                </c:pt>
                <c:pt idx="305">
                  <c:v>3.865610581539471E-4</c:v>
                </c:pt>
                <c:pt idx="306">
                  <c:v>3.933974708730461E-4</c:v>
                </c:pt>
                <c:pt idx="307">
                  <c:v>4.017431711274664E-4</c:v>
                </c:pt>
                <c:pt idx="308">
                  <c:v>4.1160624755284342E-4</c:v>
                </c:pt>
                <c:pt idx="309">
                  <c:v>4.2322822039326071E-4</c:v>
                </c:pt>
                <c:pt idx="310">
                  <c:v>4.3563470504681001E-4</c:v>
                </c:pt>
                <c:pt idx="311">
                  <c:v>4.4882759247039735E-4</c:v>
                </c:pt>
                <c:pt idx="312">
                  <c:v>4.6280826009756793E-4</c:v>
                </c:pt>
                <c:pt idx="313">
                  <c:v>4.7757748423227973E-4</c:v>
                </c:pt>
                <c:pt idx="314">
                  <c:v>4.9313534274479643E-4</c:v>
                </c:pt>
                <c:pt idx="315">
                  <c:v>5.0948110722018954E-4</c:v>
                </c:pt>
                <c:pt idx="316">
                  <c:v>5.2663548760771279E-4</c:v>
                </c:pt>
                <c:pt idx="317">
                  <c:v>5.4429275221141245E-4</c:v>
                </c:pt>
                <c:pt idx="318">
                  <c:v>5.6193620653580416E-4</c:v>
                </c:pt>
                <c:pt idx="319">
                  <c:v>5.7956983550290454E-4</c:v>
                </c:pt>
                <c:pt idx="320">
                  <c:v>5.9719769439500129E-4</c:v>
                </c:pt>
                <c:pt idx="321">
                  <c:v>6.1482382845756331E-4</c:v>
                </c:pt>
                <c:pt idx="322">
                  <c:v>6.3245218760768778E-4</c:v>
                </c:pt>
                <c:pt idx="323">
                  <c:v>6.49461689968528E-4</c:v>
                </c:pt>
                <c:pt idx="324">
                  <c:v>6.6561091176125413E-4</c:v>
                </c:pt>
                <c:pt idx="325">
                  <c:v>6.808969959551924E-4</c:v>
                </c:pt>
                <c:pt idx="326">
                  <c:v>6.953119734987573E-4</c:v>
                </c:pt>
                <c:pt idx="327">
                  <c:v>7.08849593939693E-4</c:v>
                </c:pt>
                <c:pt idx="328">
                  <c:v>7.2150626203224932E-4</c:v>
                </c:pt>
                <c:pt idx="329">
                  <c:v>7.3327752293055872E-4</c:v>
                </c:pt>
                <c:pt idx="330">
                  <c:v>7.4425378622549666E-4</c:v>
                </c:pt>
                <c:pt idx="331">
                  <c:v>7.5410720713454601E-4</c:v>
                </c:pt>
                <c:pt idx="332">
                  <c:v>7.631420487442909E-4</c:v>
                </c:pt>
                <c:pt idx="333">
                  <c:v>7.7131545543521044E-4</c:v>
                </c:pt>
                <c:pt idx="334">
                  <c:v>7.7857973333898497E-4</c:v>
                </c:pt>
                <c:pt idx="335">
                  <c:v>7.8488270321226032E-4</c:v>
                </c:pt>
                <c:pt idx="336">
                  <c:v>7.9016815256867856E-4</c:v>
                </c:pt>
                <c:pt idx="337">
                  <c:v>7.945525364709495E-4</c:v>
                </c:pt>
                <c:pt idx="338">
                  <c:v>7.9862721001058888E-4</c:v>
                </c:pt>
                <c:pt idx="339">
                  <c:v>8.023353311883614E-4</c:v>
                </c:pt>
                <c:pt idx="340">
                  <c:v>8.0561775424538241E-4</c:v>
                </c:pt>
                <c:pt idx="341">
                  <c:v>8.0841350903756916E-4</c:v>
                </c:pt>
                <c:pt idx="342">
                  <c:v>8.1066038853586987E-4</c:v>
                </c:pt>
                <c:pt idx="343">
                  <c:v>8.1229564457326389E-4</c:v>
                </c:pt>
                <c:pt idx="344">
                  <c:v>8.1339769133675975E-4</c:v>
                </c:pt>
                <c:pt idx="345">
                  <c:v>8.1407531760355634E-4</c:v>
                </c:pt>
                <c:pt idx="346">
                  <c:v>8.1466634219650076E-4</c:v>
                </c:pt>
                <c:pt idx="347">
                  <c:v>8.1515495647615946E-4</c:v>
                </c:pt>
                <c:pt idx="348">
                  <c:v>8.1552542902571501E-4</c:v>
                </c:pt>
                <c:pt idx="349">
                  <c:v>8.1576222729594816E-4</c:v>
                </c:pt>
                <c:pt idx="350">
                  <c:v>8.1585014243207863E-4</c:v>
                </c:pt>
                <c:pt idx="351">
                  <c:v>8.1571378563774727E-4</c:v>
                </c:pt>
                <c:pt idx="352">
                  <c:v>8.1516005512810412E-4</c:v>
                </c:pt>
                <c:pt idx="353">
                  <c:v>8.1417661301308908E-4</c:v>
                </c:pt>
                <c:pt idx="354">
                  <c:v>8.1275250125268294E-4</c:v>
                </c:pt>
                <c:pt idx="355">
                  <c:v>8.1087828379578224E-4</c:v>
                </c:pt>
                <c:pt idx="356">
                  <c:v>8.085444710215872E-4</c:v>
                </c:pt>
                <c:pt idx="357">
                  <c:v>8.057456085664498E-4</c:v>
                </c:pt>
                <c:pt idx="358">
                  <c:v>8.0240243408309891E-4</c:v>
                </c:pt>
                <c:pt idx="359">
                  <c:v>7.9847186956839389E-4</c:v>
                </c:pt>
                <c:pt idx="360">
                  <c:v>7.9417555532861517E-4</c:v>
                </c:pt>
                <c:pt idx="361">
                  <c:v>7.8961711081522348E-4</c:v>
                </c:pt>
                <c:pt idx="362">
                  <c:v>7.8484015713367139E-4</c:v>
                </c:pt>
                <c:pt idx="363">
                  <c:v>7.7988759748828969E-4</c:v>
                </c:pt>
                <c:pt idx="364">
                  <c:v>7.7480131598705476E-4</c:v>
                </c:pt>
                <c:pt idx="365">
                  <c:v>7.6962193118437262E-4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7736"/>
        <c:axId val="335358128"/>
      </c:lineChart>
      <c:dateAx>
        <c:axId val="335357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8128"/>
        <c:crosses val="autoZero"/>
        <c:auto val="1"/>
        <c:lblOffset val="100"/>
        <c:baseTimeUnit val="days"/>
        <c:majorUnit val="1"/>
        <c:majorTimeUnit val="months"/>
      </c:dateAx>
      <c:valAx>
        <c:axId val="335358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7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23.187290353234566</c:v>
                </c:pt>
                <c:pt idx="1">
                  <c:v>23.351187579116267</c:v>
                </c:pt>
                <c:pt idx="2">
                  <c:v>23.522112292561001</c:v>
                </c:pt>
                <c:pt idx="3">
                  <c:v>23.698960842059556</c:v>
                </c:pt>
                <c:pt idx="4">
                  <c:v>23.880629874498265</c:v>
                </c:pt>
                <c:pt idx="5">
                  <c:v>24.0660163452795</c:v>
                </c:pt>
                <c:pt idx="6">
                  <c:v>24.254017512452243</c:v>
                </c:pt>
                <c:pt idx="7">
                  <c:v>24.443530945196812</c:v>
                </c:pt>
                <c:pt idx="8">
                  <c:v>24.636852257233937</c:v>
                </c:pt>
                <c:pt idx="9">
                  <c:v>24.836884110526775</c:v>
                </c:pt>
                <c:pt idx="10">
                  <c:v>25.043417077069936</c:v>
                </c:pt>
                <c:pt idx="11">
                  <c:v>25.256237836264663</c:v>
                </c:pt>
                <c:pt idx="12">
                  <c:v>25.475133100130829</c:v>
                </c:pt>
                <c:pt idx="13">
                  <c:v>25.699889624431723</c:v>
                </c:pt>
                <c:pt idx="14">
                  <c:v>25.930294203503848</c:v>
                </c:pt>
                <c:pt idx="15">
                  <c:v>26.166141516329571</c:v>
                </c:pt>
                <c:pt idx="16">
                  <c:v>26.407209353974913</c:v>
                </c:pt>
                <c:pt idx="17">
                  <c:v>26.653284651023668</c:v>
                </c:pt>
                <c:pt idx="18">
                  <c:v>26.904154397673654</c:v>
                </c:pt>
                <c:pt idx="19">
                  <c:v>27.159605547069109</c:v>
                </c:pt>
                <c:pt idx="20">
                  <c:v>27.419425077321431</c:v>
                </c:pt>
                <c:pt idx="21">
                  <c:v>27.683400106848939</c:v>
                </c:pt>
                <c:pt idx="22">
                  <c:v>27.953936498947446</c:v>
                </c:pt>
                <c:pt idx="23">
                  <c:v>28.232932101652455</c:v>
                </c:pt>
                <c:pt idx="24">
                  <c:v>28.519406144841362</c:v>
                </c:pt>
                <c:pt idx="25">
                  <c:v>28.812392665075777</c:v>
                </c:pt>
                <c:pt idx="26">
                  <c:v>29.110926019902379</c:v>
                </c:pt>
                <c:pt idx="27">
                  <c:v>29.414040877937044</c:v>
                </c:pt>
                <c:pt idx="28">
                  <c:v>29.720772233449114</c:v>
                </c:pt>
                <c:pt idx="29">
                  <c:v>30.030143125466342</c:v>
                </c:pt>
                <c:pt idx="30">
                  <c:v>30.341181350661831</c:v>
                </c:pt>
                <c:pt idx="31">
                  <c:v>30.652922871875905</c:v>
                </c:pt>
                <c:pt idx="32">
                  <c:v>30.964403974170025</c:v>
                </c:pt>
                <c:pt idx="33">
                  <c:v>31.274661267923019</c:v>
                </c:pt>
                <c:pt idx="34">
                  <c:v>31.582731687746602</c:v>
                </c:pt>
                <c:pt idx="35">
                  <c:v>31.887652493214549</c:v>
                </c:pt>
                <c:pt idx="36">
                  <c:v>32.190452056103659</c:v>
                </c:pt>
                <c:pt idx="37">
                  <c:v>32.492905603420809</c:v>
                </c:pt>
                <c:pt idx="38">
                  <c:v>32.795211545943964</c:v>
                </c:pt>
                <c:pt idx="39">
                  <c:v>33.097562704105975</c:v>
                </c:pt>
                <c:pt idx="40">
                  <c:v>33.400151851639734</c:v>
                </c:pt>
                <c:pt idx="41">
                  <c:v>33.703171713821312</c:v>
                </c:pt>
                <c:pt idx="42">
                  <c:v>34.006814964267477</c:v>
                </c:pt>
                <c:pt idx="43">
                  <c:v>34.311234501277575</c:v>
                </c:pt>
                <c:pt idx="44">
                  <c:v>34.616635148591179</c:v>
                </c:pt>
                <c:pt idx="45">
                  <c:v>34.923209391398288</c:v>
                </c:pt>
                <c:pt idx="46">
                  <c:v>35.231149648319814</c:v>
                </c:pt>
                <c:pt idx="47">
                  <c:v>35.540648268981585</c:v>
                </c:pt>
                <c:pt idx="48">
                  <c:v>35.851897528648031</c:v>
                </c:pt>
                <c:pt idx="49">
                  <c:v>36.165089624304422</c:v>
                </c:pt>
                <c:pt idx="50">
                  <c:v>36.480561005793888</c:v>
                </c:pt>
                <c:pt idx="51">
                  <c:v>36.798346126710584</c:v>
                </c:pt>
                <c:pt idx="52">
                  <c:v>37.1181793980194</c:v>
                </c:pt>
                <c:pt idx="53">
                  <c:v>37.439771871561469</c:v>
                </c:pt>
                <c:pt idx="54">
                  <c:v>37.762834597855615</c:v>
                </c:pt>
                <c:pt idx="55">
                  <c:v>38.087078677343243</c:v>
                </c:pt>
                <c:pt idx="56">
                  <c:v>38.412215254249894</c:v>
                </c:pt>
                <c:pt idx="57">
                  <c:v>38.738042778740045</c:v>
                </c:pt>
                <c:pt idx="58">
                  <c:v>39.064312393916815</c:v>
                </c:pt>
                <c:pt idx="59">
                  <c:v>39.390735449856322</c:v>
                </c:pt>
                <c:pt idx="60">
                  <c:v>39.717023328361201</c:v>
                </c:pt>
                <c:pt idx="61">
                  <c:v>40.042887440544952</c:v>
                </c:pt>
                <c:pt idx="62">
                  <c:v>40.368039225521557</c:v>
                </c:pt>
                <c:pt idx="63">
                  <c:v>40.692190149333662</c:v>
                </c:pt>
                <c:pt idx="64">
                  <c:v>41.016189113530338</c:v>
                </c:pt>
                <c:pt idx="65">
                  <c:v>41.340969417643763</c:v>
                </c:pt>
                <c:pt idx="66">
                  <c:v>41.666319506993212</c:v>
                </c:pt>
                <c:pt idx="67">
                  <c:v>41.992046622020418</c:v>
                </c:pt>
                <c:pt idx="68">
                  <c:v>42.317958019171144</c:v>
                </c:pt>
                <c:pt idx="69">
                  <c:v>42.643860975681477</c:v>
                </c:pt>
                <c:pt idx="70">
                  <c:v>42.969562794929601</c:v>
                </c:pt>
                <c:pt idx="71">
                  <c:v>43.294830126760665</c:v>
                </c:pt>
                <c:pt idx="72">
                  <c:v>43.619382598990491</c:v>
                </c:pt>
                <c:pt idx="73">
                  <c:v>43.943027433796345</c:v>
                </c:pt>
                <c:pt idx="74">
                  <c:v>44.265571871017237</c:v>
                </c:pt>
                <c:pt idx="75">
                  <c:v>44.586823170341901</c:v>
                </c:pt>
                <c:pt idx="76">
                  <c:v>44.906588615375753</c:v>
                </c:pt>
                <c:pt idx="77">
                  <c:v>45.224675515234637</c:v>
                </c:pt>
                <c:pt idx="78">
                  <c:v>45.543451604220138</c:v>
                </c:pt>
                <c:pt idx="79">
                  <c:v>45.864750432747741</c:v>
                </c:pt>
                <c:pt idx="80">
                  <c:v>46.187588925315524</c:v>
                </c:pt>
                <c:pt idx="81">
                  <c:v>46.511005375106301</c:v>
                </c:pt>
                <c:pt idx="82">
                  <c:v>46.834038319048659</c:v>
                </c:pt>
                <c:pt idx="83">
                  <c:v>47.155726537834511</c:v>
                </c:pt>
                <c:pt idx="84">
                  <c:v>47.475109061133949</c:v>
                </c:pt>
                <c:pt idx="85">
                  <c:v>47.791214579674943</c:v>
                </c:pt>
                <c:pt idx="86">
                  <c:v>48.103123728151111</c:v>
                </c:pt>
                <c:pt idx="87">
                  <c:v>48.409876407909408</c:v>
                </c:pt>
                <c:pt idx="88">
                  <c:v>48.710512805413593</c:v>
                </c:pt>
                <c:pt idx="89">
                  <c:v>49.005325534457121</c:v>
                </c:pt>
                <c:pt idx="90">
                  <c:v>49.290653598347674</c:v>
                </c:pt>
                <c:pt idx="91">
                  <c:v>49.567019405595424</c:v>
                </c:pt>
                <c:pt idx="92">
                  <c:v>49.836070007136236</c:v>
                </c:pt>
                <c:pt idx="93">
                  <c:v>50.100027313791237</c:v>
                </c:pt>
                <c:pt idx="94">
                  <c:v>50.358795178017729</c:v>
                </c:pt>
                <c:pt idx="95">
                  <c:v>50.612277502471301</c:v>
                </c:pt>
                <c:pt idx="96">
                  <c:v>50.860378247154067</c:v>
                </c:pt>
                <c:pt idx="97">
                  <c:v>51.103001439764299</c:v>
                </c:pt>
                <c:pt idx="98">
                  <c:v>51.34005117208936</c:v>
                </c:pt>
                <c:pt idx="99">
                  <c:v>51.571431591173472</c:v>
                </c:pt>
                <c:pt idx="100">
                  <c:v>51.797046936406659</c:v>
                </c:pt>
                <c:pt idx="101">
                  <c:v>52.016801527978991</c:v>
                </c:pt>
                <c:pt idx="102">
                  <c:v>52.230599771616696</c:v>
                </c:pt>
                <c:pt idx="103">
                  <c:v>52.438346163609033</c:v>
                </c:pt>
                <c:pt idx="104">
                  <c:v>52.639945296661324</c:v>
                </c:pt>
                <c:pt idx="105">
                  <c:v>52.835301864585617</c:v>
                </c:pt>
                <c:pt idx="106">
                  <c:v>53.023937521355357</c:v>
                </c:pt>
                <c:pt idx="107">
                  <c:v>53.205629509054134</c:v>
                </c:pt>
                <c:pt idx="108">
                  <c:v>53.3806660696292</c:v>
                </c:pt>
                <c:pt idx="109">
                  <c:v>53.549335406244467</c:v>
                </c:pt>
                <c:pt idx="110">
                  <c:v>53.71192569881476</c:v>
                </c:pt>
                <c:pt idx="111">
                  <c:v>53.868725106914503</c:v>
                </c:pt>
                <c:pt idx="112">
                  <c:v>54.020021766683477</c:v>
                </c:pt>
                <c:pt idx="113">
                  <c:v>54.166103631305113</c:v>
                </c:pt>
                <c:pt idx="114">
                  <c:v>54.30725884221242</c:v>
                </c:pt>
                <c:pt idx="115">
                  <c:v>54.443775467103698</c:v>
                </c:pt>
                <c:pt idx="116">
                  <c:v>54.575941558397126</c:v>
                </c:pt>
                <c:pt idx="117">
                  <c:v>54.704045156783685</c:v>
                </c:pt>
                <c:pt idx="118">
                  <c:v>54.828374292827277</c:v>
                </c:pt>
                <c:pt idx="119">
                  <c:v>58.065441475268941</c:v>
                </c:pt>
                <c:pt idx="120">
                  <c:v>58.187438168230081</c:v>
                </c:pt>
                <c:pt idx="121">
                  <c:v>58.304309235389709</c:v>
                </c:pt>
                <c:pt idx="122">
                  <c:v>58.416157519608397</c:v>
                </c:pt>
                <c:pt idx="123">
                  <c:v>58.5230856482112</c:v>
                </c:pt>
                <c:pt idx="124">
                  <c:v>58.625196204593792</c:v>
                </c:pt>
                <c:pt idx="125">
                  <c:v>58.722591731105908</c:v>
                </c:pt>
                <c:pt idx="126">
                  <c:v>58.815374726082254</c:v>
                </c:pt>
                <c:pt idx="127">
                  <c:v>58.903648778127504</c:v>
                </c:pt>
                <c:pt idx="128">
                  <c:v>58.987516903571901</c:v>
                </c:pt>
                <c:pt idx="129">
                  <c:v>59.067081735142338</c:v>
                </c:pt>
                <c:pt idx="130">
                  <c:v>59.142445880246399</c:v>
                </c:pt>
                <c:pt idx="131">
                  <c:v>59.21371193354841</c:v>
                </c:pt>
                <c:pt idx="132">
                  <c:v>59.280982467881429</c:v>
                </c:pt>
                <c:pt idx="133">
                  <c:v>59.344360043063588</c:v>
                </c:pt>
                <c:pt idx="134">
                  <c:v>59.403257778425797</c:v>
                </c:pt>
                <c:pt idx="135">
                  <c:v>59.45715857174303</c:v>
                </c:pt>
                <c:pt idx="136">
                  <c:v>59.506267165434863</c:v>
                </c:pt>
                <c:pt idx="137">
                  <c:v>59.550787778144411</c:v>
                </c:pt>
                <c:pt idx="138">
                  <c:v>59.590924589263217</c:v>
                </c:pt>
                <c:pt idx="139">
                  <c:v>59.626881731617189</c:v>
                </c:pt>
                <c:pt idx="140">
                  <c:v>59.658863296864148</c:v>
                </c:pt>
                <c:pt idx="141">
                  <c:v>59.687072411432823</c:v>
                </c:pt>
                <c:pt idx="142">
                  <c:v>59.711710756589596</c:v>
                </c:pt>
                <c:pt idx="143">
                  <c:v>59.7329819064852</c:v>
                </c:pt>
                <c:pt idx="144">
                  <c:v>59.751089365001889</c:v>
                </c:pt>
                <c:pt idx="145">
                  <c:v>59.766236569945868</c:v>
                </c:pt>
                <c:pt idx="146">
                  <c:v>59.778626889307581</c:v>
                </c:pt>
                <c:pt idx="147">
                  <c:v>59.78846361876721</c:v>
                </c:pt>
                <c:pt idx="148">
                  <c:v>59.795664647142345</c:v>
                </c:pt>
                <c:pt idx="149">
                  <c:v>59.799944485826842</c:v>
                </c:pt>
                <c:pt idx="150">
                  <c:v>59.801200291839514</c:v>
                </c:pt>
                <c:pt idx="151">
                  <c:v>59.799332831289824</c:v>
                </c:pt>
                <c:pt idx="152">
                  <c:v>59.794242926091499</c:v>
                </c:pt>
                <c:pt idx="153">
                  <c:v>59.785831451049596</c:v>
                </c:pt>
                <c:pt idx="154">
                  <c:v>59.773999334878553</c:v>
                </c:pt>
                <c:pt idx="155">
                  <c:v>59.758647269858777</c:v>
                </c:pt>
                <c:pt idx="156">
                  <c:v>59.739677815104976</c:v>
                </c:pt>
                <c:pt idx="157">
                  <c:v>59.71699215958121</c:v>
                </c:pt>
                <c:pt idx="158">
                  <c:v>59.690491538920028</c:v>
                </c:pt>
                <c:pt idx="159">
                  <c:v>59.66007723275127</c:v>
                </c:pt>
                <c:pt idx="160">
                  <c:v>59.625650562831787</c:v>
                </c:pt>
                <c:pt idx="161">
                  <c:v>59.587112896174602</c:v>
                </c:pt>
                <c:pt idx="162">
                  <c:v>59.543745749422762</c:v>
                </c:pt>
                <c:pt idx="163">
                  <c:v>59.49516610571181</c:v>
                </c:pt>
                <c:pt idx="164">
                  <c:v>59.441781519927602</c:v>
                </c:pt>
                <c:pt idx="165">
                  <c:v>59.383996315727977</c:v>
                </c:pt>
                <c:pt idx="166">
                  <c:v>59.322214585640587</c:v>
                </c:pt>
                <c:pt idx="167">
                  <c:v>59.256840188411452</c:v>
                </c:pt>
                <c:pt idx="168">
                  <c:v>59.188276748579355</c:v>
                </c:pt>
                <c:pt idx="169">
                  <c:v>59.116927740526499</c:v>
                </c:pt>
                <c:pt idx="170">
                  <c:v>59.043196739138111</c:v>
                </c:pt>
                <c:pt idx="171">
                  <c:v>58.967486687285756</c:v>
                </c:pt>
                <c:pt idx="172">
                  <c:v>58.890200287003339</c:v>
                </c:pt>
                <c:pt idx="173">
                  <c:v>58.811740001439773</c:v>
                </c:pt>
                <c:pt idx="174">
                  <c:v>58.732508055319187</c:v>
                </c:pt>
                <c:pt idx="175">
                  <c:v>58.652906427724666</c:v>
                </c:pt>
                <c:pt idx="176">
                  <c:v>58.572333459528686</c:v>
                </c:pt>
                <c:pt idx="177">
                  <c:v>58.489919742318648</c:v>
                </c:pt>
                <c:pt idx="178">
                  <c:v>58.405666020794676</c:v>
                </c:pt>
                <c:pt idx="179">
                  <c:v>58.319573100050953</c:v>
                </c:pt>
                <c:pt idx="180">
                  <c:v>58.231641750514122</c:v>
                </c:pt>
                <c:pt idx="181">
                  <c:v>58.141872708675955</c:v>
                </c:pt>
                <c:pt idx="182">
                  <c:v>58.050266674314891</c:v>
                </c:pt>
                <c:pt idx="183">
                  <c:v>57.956819650127315</c:v>
                </c:pt>
                <c:pt idx="184">
                  <c:v>57.861531966020422</c:v>
                </c:pt>
                <c:pt idx="185">
                  <c:v>57.76440404003155</c:v>
                </c:pt>
                <c:pt idx="186">
                  <c:v>57.665436270339193</c:v>
                </c:pt>
                <c:pt idx="187">
                  <c:v>57.564629035047055</c:v>
                </c:pt>
                <c:pt idx="188">
                  <c:v>57.461982698398216</c:v>
                </c:pt>
                <c:pt idx="189">
                  <c:v>57.357497607064694</c:v>
                </c:pt>
                <c:pt idx="190">
                  <c:v>57.250957079700683</c:v>
                </c:pt>
                <c:pt idx="191">
                  <c:v>57.142208235972198</c:v>
                </c:pt>
                <c:pt idx="192">
                  <c:v>57.031352163303005</c:v>
                </c:pt>
                <c:pt idx="193">
                  <c:v>56.918489326325172</c:v>
                </c:pt>
                <c:pt idx="194">
                  <c:v>56.803720138840305</c:v>
                </c:pt>
                <c:pt idx="195">
                  <c:v>56.687144967994271</c:v>
                </c:pt>
                <c:pt idx="196">
                  <c:v>56.568864133389575</c:v>
                </c:pt>
                <c:pt idx="197">
                  <c:v>56.448987928902447</c:v>
                </c:pt>
                <c:pt idx="198">
                  <c:v>56.327622277950127</c:v>
                </c:pt>
                <c:pt idx="199">
                  <c:v>56.204867716312933</c:v>
                </c:pt>
                <c:pt idx="200">
                  <c:v>56.080824718205584</c:v>
                </c:pt>
                <c:pt idx="201">
                  <c:v>55.955593698346526</c:v>
                </c:pt>
                <c:pt idx="202">
                  <c:v>55.829275014776236</c:v>
                </c:pt>
                <c:pt idx="203">
                  <c:v>55.701968971882671</c:v>
                </c:pt>
                <c:pt idx="204">
                  <c:v>55.573525852348901</c:v>
                </c:pt>
                <c:pt idx="205">
                  <c:v>55.443737256044109</c:v>
                </c:pt>
                <c:pt idx="206">
                  <c:v>55.312607142405753</c:v>
                </c:pt>
                <c:pt idx="207">
                  <c:v>55.180136091579229</c:v>
                </c:pt>
                <c:pt idx="208">
                  <c:v>55.04632467359793</c:v>
                </c:pt>
                <c:pt idx="209">
                  <c:v>54.911173451519865</c:v>
                </c:pt>
                <c:pt idx="210">
                  <c:v>54.774682982419442</c:v>
                </c:pt>
                <c:pt idx="211">
                  <c:v>54.636851138278743</c:v>
                </c:pt>
                <c:pt idx="212">
                  <c:v>54.497667481806268</c:v>
                </c:pt>
                <c:pt idx="213">
                  <c:v>54.357132390336858</c:v>
                </c:pt>
                <c:pt idx="214">
                  <c:v>54.215246252527237</c:v>
                </c:pt>
                <c:pt idx="215">
                  <c:v>54.072009469380028</c:v>
                </c:pt>
                <c:pt idx="216">
                  <c:v>53.927422453444521</c:v>
                </c:pt>
                <c:pt idx="217">
                  <c:v>53.781485629237835</c:v>
                </c:pt>
                <c:pt idx="218">
                  <c:v>53.634415707134153</c:v>
                </c:pt>
                <c:pt idx="219">
                  <c:v>53.486359757823955</c:v>
                </c:pt>
                <c:pt idx="220">
                  <c:v>53.337209874666854</c:v>
                </c:pt>
                <c:pt idx="221">
                  <c:v>53.186866546877496</c:v>
                </c:pt>
                <c:pt idx="222">
                  <c:v>53.035230330838033</c:v>
                </c:pt>
                <c:pt idx="223">
                  <c:v>52.882201846961301</c:v>
                </c:pt>
                <c:pt idx="224">
                  <c:v>52.727681779079475</c:v>
                </c:pt>
                <c:pt idx="225">
                  <c:v>52.571568882000072</c:v>
                </c:pt>
                <c:pt idx="226">
                  <c:v>52.413766764456909</c:v>
                </c:pt>
                <c:pt idx="227">
                  <c:v>52.254176301012535</c:v>
                </c:pt>
                <c:pt idx="228">
                  <c:v>52.092698423912324</c:v>
                </c:pt>
                <c:pt idx="229">
                  <c:v>51.929234123412698</c:v>
                </c:pt>
                <c:pt idx="230">
                  <c:v>51.76368444699488</c:v>
                </c:pt>
                <c:pt idx="231">
                  <c:v>51.595950495311477</c:v>
                </c:pt>
                <c:pt idx="232">
                  <c:v>51.427909864955382</c:v>
                </c:pt>
                <c:pt idx="233">
                  <c:v>51.260973062120279</c:v>
                </c:pt>
                <c:pt idx="234">
                  <c:v>51.094345818112117</c:v>
                </c:pt>
                <c:pt idx="235">
                  <c:v>50.927231152518047</c:v>
                </c:pt>
                <c:pt idx="236">
                  <c:v>50.758832469058966</c:v>
                </c:pt>
                <c:pt idx="237">
                  <c:v>50.588353552204559</c:v>
                </c:pt>
                <c:pt idx="238">
                  <c:v>50.414998566492628</c:v>
                </c:pt>
                <c:pt idx="239">
                  <c:v>50.23797166639293</c:v>
                </c:pt>
                <c:pt idx="240">
                  <c:v>50.05647980890695</c:v>
                </c:pt>
                <c:pt idx="241">
                  <c:v>49.869728292090834</c:v>
                </c:pt>
                <c:pt idx="242">
                  <c:v>49.676922788187255</c:v>
                </c:pt>
                <c:pt idx="243">
                  <c:v>49.47726933903747</c:v>
                </c:pt>
                <c:pt idx="244">
                  <c:v>49.269974358357473</c:v>
                </c:pt>
                <c:pt idx="245">
                  <c:v>49.054244623246284</c:v>
                </c:pt>
                <c:pt idx="246">
                  <c:v>48.830414826683658</c:v>
                </c:pt>
                <c:pt idx="247">
                  <c:v>48.59961511318383</c:v>
                </c:pt>
                <c:pt idx="248">
                  <c:v>48.362247125539653</c:v>
                </c:pt>
                <c:pt idx="249">
                  <c:v>48.118711084230235</c:v>
                </c:pt>
                <c:pt idx="250">
                  <c:v>47.869407029059218</c:v>
                </c:pt>
                <c:pt idx="251">
                  <c:v>47.614734811049509</c:v>
                </c:pt>
                <c:pt idx="252">
                  <c:v>47.355094101784211</c:v>
                </c:pt>
                <c:pt idx="253">
                  <c:v>47.090884244988352</c:v>
                </c:pt>
                <c:pt idx="254">
                  <c:v>46.822504934903463</c:v>
                </c:pt>
                <c:pt idx="255">
                  <c:v>46.550355291732835</c:v>
                </c:pt>
                <c:pt idx="256">
                  <c:v>46.27483425431695</c:v>
                </c:pt>
                <c:pt idx="257">
                  <c:v>45.996340579646997</c:v>
                </c:pt>
                <c:pt idx="258">
                  <c:v>45.715272843069243</c:v>
                </c:pt>
                <c:pt idx="259">
                  <c:v>45.432029438489579</c:v>
                </c:pt>
                <c:pt idx="260">
                  <c:v>45.144293558333956</c:v>
                </c:pt>
                <c:pt idx="261">
                  <c:v>44.8500143967726</c:v>
                </c:pt>
                <c:pt idx="262">
                  <c:v>44.549988964882708</c:v>
                </c:pt>
                <c:pt idx="263">
                  <c:v>44.245013699902465</c:v>
                </c:pt>
                <c:pt idx="264">
                  <c:v>43.935884672577451</c:v>
                </c:pt>
                <c:pt idx="265">
                  <c:v>43.623397583590801</c:v>
                </c:pt>
                <c:pt idx="266">
                  <c:v>43.308347764883955</c:v>
                </c:pt>
                <c:pt idx="267">
                  <c:v>42.991524844621644</c:v>
                </c:pt>
                <c:pt idx="268">
                  <c:v>42.673723588110114</c:v>
                </c:pt>
                <c:pt idx="269">
                  <c:v>42.355738261099155</c:v>
                </c:pt>
                <c:pt idx="270">
                  <c:v>42.038362767473977</c:v>
                </c:pt>
                <c:pt idx="271">
                  <c:v>41.722390651196527</c:v>
                </c:pt>
                <c:pt idx="272">
                  <c:v>41.40861509729519</c:v>
                </c:pt>
                <c:pt idx="273">
                  <c:v>41.097828933259088</c:v>
                </c:pt>
                <c:pt idx="274">
                  <c:v>40.788841079475155</c:v>
                </c:pt>
                <c:pt idx="275">
                  <c:v>40.479928547743171</c:v>
                </c:pt>
                <c:pt idx="276">
                  <c:v>40.171091198005861</c:v>
                </c:pt>
                <c:pt idx="277">
                  <c:v>39.862328980783872</c:v>
                </c:pt>
                <c:pt idx="278">
                  <c:v>39.553641820274891</c:v>
                </c:pt>
                <c:pt idx="279">
                  <c:v>39.24502961264065</c:v>
                </c:pt>
                <c:pt idx="280">
                  <c:v>38.9364922243957</c:v>
                </c:pt>
                <c:pt idx="281">
                  <c:v>38.628037953772449</c:v>
                </c:pt>
                <c:pt idx="282">
                  <c:v>38.319671625241838</c:v>
                </c:pt>
                <c:pt idx="283">
                  <c:v>38.011392842609247</c:v>
                </c:pt>
                <c:pt idx="284">
                  <c:v>37.70320116325891</c:v>
                </c:pt>
                <c:pt idx="285">
                  <c:v>37.395096097491944</c:v>
                </c:pt>
                <c:pt idx="286">
                  <c:v>37.087077108156628</c:v>
                </c:pt>
                <c:pt idx="287">
                  <c:v>36.779143610605523</c:v>
                </c:pt>
                <c:pt idx="288">
                  <c:v>36.470436680492391</c:v>
                </c:pt>
                <c:pt idx="289">
                  <c:v>36.16036660724847</c:v>
                </c:pt>
                <c:pt idx="290">
                  <c:v>35.849332386568072</c:v>
                </c:pt>
                <c:pt idx="291">
                  <c:v>35.537729446381178</c:v>
                </c:pt>
                <c:pt idx="292">
                  <c:v>35.22595300624679</c:v>
                </c:pt>
                <c:pt idx="293">
                  <c:v>34.914398082828058</c:v>
                </c:pt>
                <c:pt idx="294">
                  <c:v>34.603459492396674</c:v>
                </c:pt>
                <c:pt idx="295">
                  <c:v>34.293528170114186</c:v>
                </c:pt>
                <c:pt idx="296">
                  <c:v>33.984990745068124</c:v>
                </c:pt>
                <c:pt idx="297">
                  <c:v>33.67824167343727</c:v>
                </c:pt>
                <c:pt idx="298">
                  <c:v>33.373675249434939</c:v>
                </c:pt>
                <c:pt idx="299">
                  <c:v>33.071685600794048</c:v>
                </c:pt>
                <c:pt idx="300">
                  <c:v>32.772666693781119</c:v>
                </c:pt>
                <c:pt idx="301">
                  <c:v>32.477012336132802</c:v>
                </c:pt>
                <c:pt idx="302">
                  <c:v>32.183270071206422</c:v>
                </c:pt>
                <c:pt idx="303">
                  <c:v>31.889985496014017</c:v>
                </c:pt>
                <c:pt idx="304">
                  <c:v>31.597548641698182</c:v>
                </c:pt>
                <c:pt idx="305">
                  <c:v>31.306353916013457</c:v>
                </c:pt>
                <c:pt idx="306">
                  <c:v>31.016795585506241</c:v>
                </c:pt>
                <c:pt idx="307">
                  <c:v>30.729267785349482</c:v>
                </c:pt>
                <c:pt idx="308">
                  <c:v>30.444164515374656</c:v>
                </c:pt>
                <c:pt idx="309">
                  <c:v>30.161878155397304</c:v>
                </c:pt>
                <c:pt idx="310">
                  <c:v>29.882805819522392</c:v>
                </c:pt>
                <c:pt idx="311">
                  <c:v>29.607341098834159</c:v>
                </c:pt>
                <c:pt idx="312">
                  <c:v>29.335877462719107</c:v>
                </c:pt>
                <c:pt idx="313">
                  <c:v>29.06880826648743</c:v>
                </c:pt>
                <c:pt idx="314">
                  <c:v>28.806526750269292</c:v>
                </c:pt>
                <c:pt idx="315">
                  <c:v>28.549426044778734</c:v>
                </c:pt>
                <c:pt idx="316">
                  <c:v>28.296697471656554</c:v>
                </c:pt>
                <c:pt idx="317">
                  <c:v>28.047334221351161</c:v>
                </c:pt>
                <c:pt idx="318">
                  <c:v>27.801435834263977</c:v>
                </c:pt>
                <c:pt idx="319">
                  <c:v>27.559099566663956</c:v>
                </c:pt>
                <c:pt idx="320">
                  <c:v>27.320422675704854</c:v>
                </c:pt>
                <c:pt idx="321">
                  <c:v>27.085502429116129</c:v>
                </c:pt>
                <c:pt idx="322">
                  <c:v>26.85443609617159</c:v>
                </c:pt>
                <c:pt idx="323">
                  <c:v>26.627323521969522</c:v>
                </c:pt>
                <c:pt idx="324">
                  <c:v>26.404263293052392</c:v>
                </c:pt>
                <c:pt idx="325">
                  <c:v>26.185352631889796</c:v>
                </c:pt>
                <c:pt idx="326">
                  <c:v>25.970688776438784</c:v>
                </c:pt>
                <c:pt idx="327">
                  <c:v>25.760368968023553</c:v>
                </c:pt>
                <c:pt idx="328">
                  <c:v>25.554490448886447</c:v>
                </c:pt>
                <c:pt idx="329">
                  <c:v>25.353150467637221</c:v>
                </c:pt>
                <c:pt idx="330">
                  <c:v>25.153207649783447</c:v>
                </c:pt>
                <c:pt idx="331">
                  <c:v>24.952378636044973</c:v>
                </c:pt>
                <c:pt idx="332">
                  <c:v>24.752045216342363</c:v>
                </c:pt>
                <c:pt idx="333">
                  <c:v>24.553587801018061</c:v>
                </c:pt>
                <c:pt idx="334">
                  <c:v>24.358386314635439</c:v>
                </c:pt>
                <c:pt idx="335">
                  <c:v>24.167820175126693</c:v>
                </c:pt>
                <c:pt idx="336">
                  <c:v>23.983268298689676</c:v>
                </c:pt>
                <c:pt idx="337">
                  <c:v>23.806108423164662</c:v>
                </c:pt>
                <c:pt idx="338">
                  <c:v>23.637716057437824</c:v>
                </c:pt>
                <c:pt idx="339">
                  <c:v>23.479468598477911</c:v>
                </c:pt>
                <c:pt idx="340">
                  <c:v>23.332742899904151</c:v>
                </c:pt>
                <c:pt idx="341">
                  <c:v>23.198915276123667</c:v>
                </c:pt>
                <c:pt idx="342">
                  <c:v>23.079361492957009</c:v>
                </c:pt>
                <c:pt idx="343">
                  <c:v>22.975456762252506</c:v>
                </c:pt>
                <c:pt idx="344">
                  <c:v>22.884610556735819</c:v>
                </c:pt>
                <c:pt idx="345">
                  <c:v>22.803473369400322</c:v>
                </c:pt>
                <c:pt idx="346">
                  <c:v>22.732279477845278</c:v>
                </c:pt>
                <c:pt idx="347">
                  <c:v>22.671265055457489</c:v>
                </c:pt>
                <c:pt idx="348">
                  <c:v>22.620666167547874</c:v>
                </c:pt>
                <c:pt idx="349">
                  <c:v>22.580718782575662</c:v>
                </c:pt>
                <c:pt idx="350">
                  <c:v>22.551658760211616</c:v>
                </c:pt>
                <c:pt idx="351">
                  <c:v>22.533721746713841</c:v>
                </c:pt>
                <c:pt idx="352">
                  <c:v>22.52714403641361</c:v>
                </c:pt>
                <c:pt idx="353">
                  <c:v>22.532161156973842</c:v>
                </c:pt>
                <c:pt idx="354">
                  <c:v>22.549008538414427</c:v>
                </c:pt>
                <c:pt idx="355">
                  <c:v>22.577921499993842</c:v>
                </c:pt>
                <c:pt idx="356">
                  <c:v>22.619135259100247</c:v>
                </c:pt>
                <c:pt idx="357">
                  <c:v>22.672884898293251</c:v>
                </c:pt>
                <c:pt idx="358">
                  <c:v>22.741428783653976</c:v>
                </c:pt>
                <c:pt idx="359">
                  <c:v>22.826116889393546</c:v>
                </c:pt>
                <c:pt idx="360">
                  <c:v>22.92582134473048</c:v>
                </c:pt>
                <c:pt idx="361">
                  <c:v>23.039415471785471</c:v>
                </c:pt>
                <c:pt idx="362">
                  <c:v>23.165772928408096</c:v>
                </c:pt>
                <c:pt idx="363">
                  <c:v>23.303767832124397</c:v>
                </c:pt>
                <c:pt idx="364">
                  <c:v>23.452274739796444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22.053173794182118</c:v>
                </c:pt>
                <c:pt idx="1">
                  <c:v>15.85719166415878</c:v>
                </c:pt>
                <c:pt idx="2">
                  <c:v>17.064498371832837</c:v>
                </c:pt>
                <c:pt idx="3">
                  <c:v>18.030815853022116</c:v>
                </c:pt>
                <c:pt idx="4">
                  <c:v>14.355818531621475</c:v>
                </c:pt>
                <c:pt idx="5">
                  <c:v>20.701850362355785</c:v>
                </c:pt>
                <c:pt idx="6">
                  <c:v>10.586927295358986</c:v>
                </c:pt>
                <c:pt idx="7">
                  <c:v>7.4269194442602853</c:v>
                </c:pt>
                <c:pt idx="8">
                  <c:v>2.1922409207142315</c:v>
                </c:pt>
                <c:pt idx="9">
                  <c:v>1.7016259894150789</c:v>
                </c:pt>
                <c:pt idx="10">
                  <c:v>24.522635148278244</c:v>
                </c:pt>
                <c:pt idx="11">
                  <c:v>20.923240229360101</c:v>
                </c:pt>
                <c:pt idx="12">
                  <c:v>5.0387133443968208</c:v>
                </c:pt>
                <c:pt idx="13">
                  <c:v>24.91118949112775</c:v>
                </c:pt>
                <c:pt idx="14">
                  <c:v>26.472004119006119</c:v>
                </c:pt>
                <c:pt idx="15">
                  <c:v>25.999829673671748</c:v>
                </c:pt>
                <c:pt idx="16">
                  <c:v>13.309117082383349</c:v>
                </c:pt>
                <c:pt idx="17">
                  <c:v>3.513858539270077</c:v>
                </c:pt>
                <c:pt idx="18">
                  <c:v>10.164007763612485</c:v>
                </c:pt>
                <c:pt idx="19">
                  <c:v>6.3939266594506945</c:v>
                </c:pt>
                <c:pt idx="20">
                  <c:v>20.423784721005369</c:v>
                </c:pt>
                <c:pt idx="21">
                  <c:v>27.557889978608117</c:v>
                </c:pt>
                <c:pt idx="22">
                  <c:v>27.622090809499383</c:v>
                </c:pt>
                <c:pt idx="23">
                  <c:v>28.243543837276686</c:v>
                </c:pt>
                <c:pt idx="24">
                  <c:v>26.898987831747974</c:v>
                </c:pt>
                <c:pt idx="25">
                  <c:v>27.859377372856812</c:v>
                </c:pt>
                <c:pt idx="26">
                  <c:v>25.95748469729007</c:v>
                </c:pt>
                <c:pt idx="27">
                  <c:v>4.2399519546809019</c:v>
                </c:pt>
                <c:pt idx="28">
                  <c:v>9.2975368085450114</c:v>
                </c:pt>
                <c:pt idx="29">
                  <c:v>4.4224356394155135</c:v>
                </c:pt>
                <c:pt idx="30">
                  <c:v>9.04540252461425</c:v>
                </c:pt>
                <c:pt idx="31">
                  <c:v>13.132119377154009</c:v>
                </c:pt>
                <c:pt idx="32">
                  <c:v>5.2755493971350642</c:v>
                </c:pt>
                <c:pt idx="33">
                  <c:v>9.9439536888998745</c:v>
                </c:pt>
                <c:pt idx="34">
                  <c:v>9.8466868593157475</c:v>
                </c:pt>
                <c:pt idx="35">
                  <c:v>9.527179834230008</c:v>
                </c:pt>
                <c:pt idx="36">
                  <c:v>21.797256920233373</c:v>
                </c:pt>
                <c:pt idx="37">
                  <c:v>9.3534390141628538</c:v>
                </c:pt>
                <c:pt idx="38">
                  <c:v>32.785290302371656</c:v>
                </c:pt>
                <c:pt idx="39">
                  <c:v>33.001653001642801</c:v>
                </c:pt>
                <c:pt idx="40">
                  <c:v>30.679807449046148</c:v>
                </c:pt>
                <c:pt idx="41">
                  <c:v>17.127100477553622</c:v>
                </c:pt>
                <c:pt idx="42">
                  <c:v>26.021102934553795</c:v>
                </c:pt>
                <c:pt idx="43">
                  <c:v>30.760333538693665</c:v>
                </c:pt>
                <c:pt idx="44">
                  <c:v>15.065919038831039</c:v>
                </c:pt>
                <c:pt idx="45">
                  <c:v>18.942278346917835</c:v>
                </c:pt>
                <c:pt idx="46">
                  <c:v>9.9228970776009788</c:v>
                </c:pt>
                <c:pt idx="47">
                  <c:v>10.735771217528535</c:v>
                </c:pt>
                <c:pt idx="48">
                  <c:v>27.340381316784153</c:v>
                </c:pt>
                <c:pt idx="49">
                  <c:v>19.814042075491084</c:v>
                </c:pt>
                <c:pt idx="50">
                  <c:v>18.899625527638495</c:v>
                </c:pt>
                <c:pt idx="51">
                  <c:v>20.893297622155472</c:v>
                </c:pt>
                <c:pt idx="52">
                  <c:v>32.293419459823326</c:v>
                </c:pt>
                <c:pt idx="53">
                  <c:v>33.414212485220325</c:v>
                </c:pt>
                <c:pt idx="54">
                  <c:v>20.542911512584393</c:v>
                </c:pt>
                <c:pt idx="55">
                  <c:v>29.920501218802343</c:v>
                </c:pt>
                <c:pt idx="56">
                  <c:v>38.532075653110191</c:v>
                </c:pt>
                <c:pt idx="57">
                  <c:v>26.853071333339816</c:v>
                </c:pt>
                <c:pt idx="58">
                  <c:v>33.18229010507639</c:v>
                </c:pt>
                <c:pt idx="59">
                  <c:v>38.519532704468801</c:v>
                </c:pt>
                <c:pt idx="60">
                  <c:v>10.607799063037612</c:v>
                </c:pt>
                <c:pt idx="61">
                  <c:v>34.188169191030447</c:v>
                </c:pt>
                <c:pt idx="62">
                  <c:v>3.9323711851281646</c:v>
                </c:pt>
                <c:pt idx="63">
                  <c:v>13.018448834305181</c:v>
                </c:pt>
                <c:pt idx="64">
                  <c:v>15.554928694291405</c:v>
                </c:pt>
                <c:pt idx="65">
                  <c:v>36.332623361357662</c:v>
                </c:pt>
                <c:pt idx="66">
                  <c:v>31.399945075642236</c:v>
                </c:pt>
                <c:pt idx="67">
                  <c:v>28.018857066138025</c:v>
                </c:pt>
                <c:pt idx="68">
                  <c:v>24.340759094399655</c:v>
                </c:pt>
                <c:pt idx="69">
                  <c:v>15.445619369877445</c:v>
                </c:pt>
                <c:pt idx="70">
                  <c:v>14.351719517753551</c:v>
                </c:pt>
                <c:pt idx="71">
                  <c:v>9.7421094661098948</c:v>
                </c:pt>
                <c:pt idx="72">
                  <c:v>14.039443259724022</c:v>
                </c:pt>
                <c:pt idx="73">
                  <c:v>14.063072392643532</c:v>
                </c:pt>
                <c:pt idx="74">
                  <c:v>12.675844464274514</c:v>
                </c:pt>
                <c:pt idx="75">
                  <c:v>10.574901824627899</c:v>
                </c:pt>
                <c:pt idx="76">
                  <c:v>14.099714849591228</c:v>
                </c:pt>
                <c:pt idx="77">
                  <c:v>28.614930355756726</c:v>
                </c:pt>
                <c:pt idx="78">
                  <c:v>29.555740963667493</c:v>
                </c:pt>
                <c:pt idx="79">
                  <c:v>43.095168783708246</c:v>
                </c:pt>
                <c:pt idx="80">
                  <c:v>40.55273970329602</c:v>
                </c:pt>
                <c:pt idx="81">
                  <c:v>46.531728104204475</c:v>
                </c:pt>
                <c:pt idx="82">
                  <c:v>45.536683912788718</c:v>
                </c:pt>
                <c:pt idx="83">
                  <c:v>39.888971991082208</c:v>
                </c:pt>
                <c:pt idx="84">
                  <c:v>44.893966893809889</c:v>
                </c:pt>
                <c:pt idx="85">
                  <c:v>43.730022683048951</c:v>
                </c:pt>
                <c:pt idx="86">
                  <c:v>34.239134306175821</c:v>
                </c:pt>
                <c:pt idx="87">
                  <c:v>26.967402752915504</c:v>
                </c:pt>
                <c:pt idx="88">
                  <c:v>7.5840013787468052</c:v>
                </c:pt>
                <c:pt idx="89">
                  <c:v>27.638878802126989</c:v>
                </c:pt>
                <c:pt idx="90">
                  <c:v>30.246942406416544</c:v>
                </c:pt>
                <c:pt idx="91">
                  <c:v>20.620554348656761</c:v>
                </c:pt>
                <c:pt idx="92">
                  <c:v>22.340110340154023</c:v>
                </c:pt>
                <c:pt idx="93">
                  <c:v>46.982587067925749</c:v>
                </c:pt>
                <c:pt idx="94">
                  <c:v>49.939342606433506</c:v>
                </c:pt>
                <c:pt idx="95">
                  <c:v>10.940385555511096</c:v>
                </c:pt>
                <c:pt idx="96">
                  <c:v>37.398506420988824</c:v>
                </c:pt>
                <c:pt idx="97">
                  <c:v>30.806409425700391</c:v>
                </c:pt>
                <c:pt idx="98">
                  <c:v>34.302033824178032</c:v>
                </c:pt>
                <c:pt idx="99">
                  <c:v>51.653518384574909</c:v>
                </c:pt>
                <c:pt idx="100">
                  <c:v>43.376200881963854</c:v>
                </c:pt>
                <c:pt idx="101">
                  <c:v>35.177335001431445</c:v>
                </c:pt>
                <c:pt idx="102">
                  <c:v>7.0538167426119838</c:v>
                </c:pt>
                <c:pt idx="103">
                  <c:v>38.130061841488732</c:v>
                </c:pt>
                <c:pt idx="104">
                  <c:v>43.697686246598607</c:v>
                </c:pt>
                <c:pt idx="105">
                  <c:v>42.166352116106495</c:v>
                </c:pt>
                <c:pt idx="106">
                  <c:v>51.504344529641976</c:v>
                </c:pt>
                <c:pt idx="107">
                  <c:v>35.626783643340893</c:v>
                </c:pt>
                <c:pt idx="108">
                  <c:v>8.5168391241280634</c:v>
                </c:pt>
                <c:pt idx="109">
                  <c:v>9.7462469242910341</c:v>
                </c:pt>
                <c:pt idx="110">
                  <c:v>9.0090791260334111</c:v>
                </c:pt>
                <c:pt idx="111">
                  <c:v>26.365898526908062</c:v>
                </c:pt>
                <c:pt idx="112">
                  <c:v>9.1230762149079379</c:v>
                </c:pt>
                <c:pt idx="113">
                  <c:v>28.948196489433155</c:v>
                </c:pt>
                <c:pt idx="114">
                  <c:v>44.548234544478895</c:v>
                </c:pt>
                <c:pt idx="115">
                  <c:v>51.86109645907478</c:v>
                </c:pt>
                <c:pt idx="116">
                  <c:v>39.065555638076354</c:v>
                </c:pt>
                <c:pt idx="117">
                  <c:v>19.445264281472081</c:v>
                </c:pt>
                <c:pt idx="118">
                  <c:v>39.131035280927499</c:v>
                </c:pt>
                <c:pt idx="119">
                  <c:v>43.954093645865967</c:v>
                </c:pt>
                <c:pt idx="120">
                  <c:v>47.637796694504523</c:v>
                </c:pt>
                <c:pt idx="121">
                  <c:v>30.623764523736586</c:v>
                </c:pt>
                <c:pt idx="122">
                  <c:v>36.48807853174872</c:v>
                </c:pt>
                <c:pt idx="123">
                  <c:v>20.240072443116489</c:v>
                </c:pt>
                <c:pt idx="124">
                  <c:v>42.423638012985251</c:v>
                </c:pt>
                <c:pt idx="125">
                  <c:v>38.809231825604428</c:v>
                </c:pt>
                <c:pt idx="126">
                  <c:v>52.77047364914835</c:v>
                </c:pt>
                <c:pt idx="127">
                  <c:v>50.219856087598416</c:v>
                </c:pt>
                <c:pt idx="128">
                  <c:v>52.551521920886749</c:v>
                </c:pt>
                <c:pt idx="129">
                  <c:v>52.214907914754754</c:v>
                </c:pt>
                <c:pt idx="130">
                  <c:v>56.362907508692352</c:v>
                </c:pt>
                <c:pt idx="131">
                  <c:v>41.096542726569957</c:v>
                </c:pt>
                <c:pt idx="132">
                  <c:v>41.802367010593692</c:v>
                </c:pt>
                <c:pt idx="133">
                  <c:v>50.575282397006497</c:v>
                </c:pt>
                <c:pt idx="134">
                  <c:v>53.506627424675962</c:v>
                </c:pt>
                <c:pt idx="135">
                  <c:v>51.003058030950683</c:v>
                </c:pt>
                <c:pt idx="136">
                  <c:v>54.312185899393548</c:v>
                </c:pt>
                <c:pt idx="137">
                  <c:v>52.246670143135347</c:v>
                </c:pt>
                <c:pt idx="138">
                  <c:v>55.143731801837198</c:v>
                </c:pt>
                <c:pt idx="139">
                  <c:v>49.957938427354712</c:v>
                </c:pt>
                <c:pt idx="140">
                  <c:v>49.873799737501542</c:v>
                </c:pt>
                <c:pt idx="141">
                  <c:v>37.746197976779229</c:v>
                </c:pt>
                <c:pt idx="142">
                  <c:v>19.67923531158031</c:v>
                </c:pt>
                <c:pt idx="143">
                  <c:v>17.062911590413094</c:v>
                </c:pt>
                <c:pt idx="144">
                  <c:v>40.019904734676651</c:v>
                </c:pt>
                <c:pt idx="145">
                  <c:v>24.265756823223494</c:v>
                </c:pt>
                <c:pt idx="146">
                  <c:v>45.136411505870562</c:v>
                </c:pt>
                <c:pt idx="147">
                  <c:v>54.384510930886314</c:v>
                </c:pt>
                <c:pt idx="148">
                  <c:v>58.615178358966403</c:v>
                </c:pt>
                <c:pt idx="149">
                  <c:v>49.914357428084813</c:v>
                </c:pt>
                <c:pt idx="150">
                  <c:v>53.007529556916801</c:v>
                </c:pt>
                <c:pt idx="151">
                  <c:v>55.377333054061346</c:v>
                </c:pt>
                <c:pt idx="152">
                  <c:v>44.485145791172208</c:v>
                </c:pt>
                <c:pt idx="153">
                  <c:v>54.212930250618477</c:v>
                </c:pt>
                <c:pt idx="154">
                  <c:v>24.480930415968771</c:v>
                </c:pt>
                <c:pt idx="155">
                  <c:v>33.770462697309107</c:v>
                </c:pt>
                <c:pt idx="156">
                  <c:v>47.560732241674238</c:v>
                </c:pt>
                <c:pt idx="157">
                  <c:v>24.794548331648354</c:v>
                </c:pt>
                <c:pt idx="158">
                  <c:v>20.270777894417638</c:v>
                </c:pt>
                <c:pt idx="159">
                  <c:v>46.322035250472609</c:v>
                </c:pt>
                <c:pt idx="160">
                  <c:v>56.529761118517015</c:v>
                </c:pt>
                <c:pt idx="161">
                  <c:v>55.272592610560494</c:v>
                </c:pt>
                <c:pt idx="162">
                  <c:v>42.292432683760673</c:v>
                </c:pt>
                <c:pt idx="163">
                  <c:v>53.549187485923689</c:v>
                </c:pt>
                <c:pt idx="164">
                  <c:v>48.839033609328297</c:v>
                </c:pt>
                <c:pt idx="165">
                  <c:v>53.27458782934935</c:v>
                </c:pt>
                <c:pt idx="166">
                  <c:v>51.19917198390953</c:v>
                </c:pt>
                <c:pt idx="167">
                  <c:v>51.268864035785235</c:v>
                </c:pt>
                <c:pt idx="168">
                  <c:v>54.627295093667392</c:v>
                </c:pt>
                <c:pt idx="169">
                  <c:v>55.741819411339698</c:v>
                </c:pt>
                <c:pt idx="170">
                  <c:v>31.042856100854795</c:v>
                </c:pt>
                <c:pt idx="171">
                  <c:v>23.182672314786558</c:v>
                </c:pt>
                <c:pt idx="172">
                  <c:v>38.776191126428145</c:v>
                </c:pt>
                <c:pt idx="173">
                  <c:v>41.415082461648268</c:v>
                </c:pt>
                <c:pt idx="174">
                  <c:v>39.581247574770174</c:v>
                </c:pt>
                <c:pt idx="175">
                  <c:v>34.832431279161909</c:v>
                </c:pt>
                <c:pt idx="176">
                  <c:v>11.687033600342305</c:v>
                </c:pt>
                <c:pt idx="177">
                  <c:v>12.75706873756439</c:v>
                </c:pt>
                <c:pt idx="178">
                  <c:v>57.911974787338117</c:v>
                </c:pt>
                <c:pt idx="179">
                  <c:v>54.98075266850595</c:v>
                </c:pt>
                <c:pt idx="180">
                  <c:v>13.669826763357221</c:v>
                </c:pt>
                <c:pt idx="181">
                  <c:v>49.208979011164111</c:v>
                </c:pt>
                <c:pt idx="182">
                  <c:v>54.816921260259484</c:v>
                </c:pt>
                <c:pt idx="183">
                  <c:v>45.677066956797013</c:v>
                </c:pt>
                <c:pt idx="184">
                  <c:v>43.346409399734853</c:v>
                </c:pt>
                <c:pt idx="185">
                  <c:v>54.30953583601994</c:v>
                </c:pt>
                <c:pt idx="186">
                  <c:v>46.638838796217179</c:v>
                </c:pt>
                <c:pt idx="187">
                  <c:v>53.565657916716724</c:v>
                </c:pt>
                <c:pt idx="188">
                  <c:v>56.333284440540794</c:v>
                </c:pt>
                <c:pt idx="189">
                  <c:v>55.606734402253181</c:v>
                </c:pt>
                <c:pt idx="190">
                  <c:v>54.898345170387003</c:v>
                </c:pt>
                <c:pt idx="191">
                  <c:v>53.445410205626033</c:v>
                </c:pt>
                <c:pt idx="192">
                  <c:v>53.542111023006989</c:v>
                </c:pt>
                <c:pt idx="193">
                  <c:v>52.910380595737557</c:v>
                </c:pt>
                <c:pt idx="194">
                  <c:v>52.344167315556675</c:v>
                </c:pt>
                <c:pt idx="195">
                  <c:v>50.593102282989193</c:v>
                </c:pt>
                <c:pt idx="196">
                  <c:v>51.988643218238984</c:v>
                </c:pt>
                <c:pt idx="197">
                  <c:v>51.575593170423581</c:v>
                </c:pt>
                <c:pt idx="198">
                  <c:v>53.449613754553681</c:v>
                </c:pt>
                <c:pt idx="199">
                  <c:v>42.880314793320807</c:v>
                </c:pt>
                <c:pt idx="200">
                  <c:v>43.310396810888221</c:v>
                </c:pt>
                <c:pt idx="201">
                  <c:v>50.935271978519566</c:v>
                </c:pt>
                <c:pt idx="202">
                  <c:v>40.602684751944174</c:v>
                </c:pt>
                <c:pt idx="203">
                  <c:v>45.374037430705556</c:v>
                </c:pt>
                <c:pt idx="204">
                  <c:v>50.88879940137133</c:v>
                </c:pt>
                <c:pt idx="205">
                  <c:v>26.005811355241011</c:v>
                </c:pt>
                <c:pt idx="206">
                  <c:v>54.664695366532889</c:v>
                </c:pt>
                <c:pt idx="207">
                  <c:v>54.67193469448754</c:v>
                </c:pt>
                <c:pt idx="208">
                  <c:v>43.874015107169086</c:v>
                </c:pt>
                <c:pt idx="209">
                  <c:v>29.678287219464075</c:v>
                </c:pt>
                <c:pt idx="210">
                  <c:v>49.94598146127904</c:v>
                </c:pt>
                <c:pt idx="211">
                  <c:v>52.637606346711365</c:v>
                </c:pt>
                <c:pt idx="212">
                  <c:v>51.717647109458255</c:v>
                </c:pt>
                <c:pt idx="213">
                  <c:v>51.921918163818731</c:v>
                </c:pt>
                <c:pt idx="214">
                  <c:v>49.747862706239829</c:v>
                </c:pt>
                <c:pt idx="215">
                  <c:v>46.681426360714887</c:v>
                </c:pt>
                <c:pt idx="216">
                  <c:v>43.430793882018506</c:v>
                </c:pt>
                <c:pt idx="217">
                  <c:v>47.589658773078327</c:v>
                </c:pt>
                <c:pt idx="218">
                  <c:v>50.58092289237721</c:v>
                </c:pt>
                <c:pt idx="219">
                  <c:v>51.391440862470986</c:v>
                </c:pt>
                <c:pt idx="220">
                  <c:v>49.670912495918238</c:v>
                </c:pt>
                <c:pt idx="221">
                  <c:v>47.624179335762278</c:v>
                </c:pt>
                <c:pt idx="222">
                  <c:v>43.824161793286066</c:v>
                </c:pt>
                <c:pt idx="223">
                  <c:v>45.991441741161928</c:v>
                </c:pt>
                <c:pt idx="224">
                  <c:v>32.036277188914426</c:v>
                </c:pt>
                <c:pt idx="225">
                  <c:v>33.306486263561851</c:v>
                </c:pt>
                <c:pt idx="226">
                  <c:v>38.188895633069272</c:v>
                </c:pt>
                <c:pt idx="227">
                  <c:v>32.078514206911628</c:v>
                </c:pt>
                <c:pt idx="228">
                  <c:v>22.050180814231219</c:v>
                </c:pt>
                <c:pt idx="229">
                  <c:v>38.367750954274051</c:v>
                </c:pt>
                <c:pt idx="230">
                  <c:v>39.725351647579195</c:v>
                </c:pt>
                <c:pt idx="231">
                  <c:v>47.308782760391324</c:v>
                </c:pt>
                <c:pt idx="232">
                  <c:v>31.891992724193194</c:v>
                </c:pt>
                <c:pt idx="233">
                  <c:v>24.847140694881521</c:v>
                </c:pt>
                <c:pt idx="234">
                  <c:v>44.444486506126466</c:v>
                </c:pt>
                <c:pt idx="235">
                  <c:v>45.918684658830834</c:v>
                </c:pt>
                <c:pt idx="236">
                  <c:v>32.764495972865603</c:v>
                </c:pt>
                <c:pt idx="237">
                  <c:v>41.16074639191865</c:v>
                </c:pt>
                <c:pt idx="238">
                  <c:v>48.494515400962435</c:v>
                </c:pt>
                <c:pt idx="239">
                  <c:v>47.591547156631194</c:v>
                </c:pt>
                <c:pt idx="240">
                  <c:v>32.086529106567681</c:v>
                </c:pt>
                <c:pt idx="241">
                  <c:v>46.589094695629534</c:v>
                </c:pt>
                <c:pt idx="242">
                  <c:v>21.92648313308425</c:v>
                </c:pt>
                <c:pt idx="243">
                  <c:v>42.266598149759631</c:v>
                </c:pt>
                <c:pt idx="244">
                  <c:v>38.76858667577693</c:v>
                </c:pt>
                <c:pt idx="245">
                  <c:v>32.369480024123</c:v>
                </c:pt>
                <c:pt idx="246">
                  <c:v>46.947216686388352</c:v>
                </c:pt>
                <c:pt idx="247">
                  <c:v>39.687526284717322</c:v>
                </c:pt>
                <c:pt idx="248">
                  <c:v>45.008773149057255</c:v>
                </c:pt>
                <c:pt idx="249">
                  <c:v>35.018484347374383</c:v>
                </c:pt>
                <c:pt idx="250">
                  <c:v>38.346593729735133</c:v>
                </c:pt>
                <c:pt idx="251">
                  <c:v>21.347111604877576</c:v>
                </c:pt>
                <c:pt idx="252">
                  <c:v>45.096046330383906</c:v>
                </c:pt>
                <c:pt idx="253">
                  <c:v>45.625650827281561</c:v>
                </c:pt>
                <c:pt idx="254">
                  <c:v>31.953468517913329</c:v>
                </c:pt>
                <c:pt idx="255">
                  <c:v>11.330000316067164</c:v>
                </c:pt>
                <c:pt idx="256">
                  <c:v>37.597549464124448</c:v>
                </c:pt>
                <c:pt idx="257">
                  <c:v>41.29755432236761</c:v>
                </c:pt>
                <c:pt idx="258">
                  <c:v>27.495626447604799</c:v>
                </c:pt>
                <c:pt idx="259">
                  <c:v>47.548825981999137</c:v>
                </c:pt>
                <c:pt idx="260">
                  <c:v>45.971919979845353</c:v>
                </c:pt>
                <c:pt idx="261">
                  <c:v>44.78659091700078</c:v>
                </c:pt>
                <c:pt idx="262">
                  <c:v>46.136347032621075</c:v>
                </c:pt>
                <c:pt idx="263">
                  <c:v>45.011507711350575</c:v>
                </c:pt>
                <c:pt idx="264">
                  <c:v>43.83843684133587</c:v>
                </c:pt>
                <c:pt idx="265">
                  <c:v>27.697615155981282</c:v>
                </c:pt>
                <c:pt idx="266">
                  <c:v>17.362590439773584</c:v>
                </c:pt>
                <c:pt idx="267">
                  <c:v>30.734830547217467</c:v>
                </c:pt>
                <c:pt idx="268">
                  <c:v>33.145487367709784</c:v>
                </c:pt>
                <c:pt idx="269">
                  <c:v>14.981168742121529</c:v>
                </c:pt>
                <c:pt idx="270">
                  <c:v>17.213889064636987</c:v>
                </c:pt>
                <c:pt idx="271">
                  <c:v>23.608394783739563</c:v>
                </c:pt>
                <c:pt idx="272">
                  <c:v>28.8486757939902</c:v>
                </c:pt>
                <c:pt idx="273">
                  <c:v>34.597060281344007</c:v>
                </c:pt>
                <c:pt idx="274">
                  <c:v>38.565412624975046</c:v>
                </c:pt>
                <c:pt idx="275">
                  <c:v>35.076637297991411</c:v>
                </c:pt>
                <c:pt idx="276">
                  <c:v>39.46845909256519</c:v>
                </c:pt>
                <c:pt idx="277">
                  <c:v>40.706712780995069</c:v>
                </c:pt>
                <c:pt idx="278">
                  <c:v>11.883054116404042</c:v>
                </c:pt>
                <c:pt idx="279">
                  <c:v>29.044176695720804</c:v>
                </c:pt>
                <c:pt idx="280">
                  <c:v>15.829874844272346</c:v>
                </c:pt>
                <c:pt idx="281">
                  <c:v>37.230181439813897</c:v>
                </c:pt>
                <c:pt idx="282">
                  <c:v>30.683595307851437</c:v>
                </c:pt>
                <c:pt idx="283">
                  <c:v>22.312151442796509</c:v>
                </c:pt>
                <c:pt idx="284">
                  <c:v>27.867042061036486</c:v>
                </c:pt>
                <c:pt idx="285">
                  <c:v>22.996976068323981</c:v>
                </c:pt>
                <c:pt idx="286">
                  <c:v>19.51945530528079</c:v>
                </c:pt>
                <c:pt idx="287">
                  <c:v>36.146319262894316</c:v>
                </c:pt>
                <c:pt idx="288">
                  <c:v>32.461164970759796</c:v>
                </c:pt>
                <c:pt idx="289">
                  <c:v>19.697157294307388</c:v>
                </c:pt>
                <c:pt idx="290">
                  <c:v>33.434024959558684</c:v>
                </c:pt>
                <c:pt idx="291">
                  <c:v>15.399695031324427</c:v>
                </c:pt>
                <c:pt idx="292">
                  <c:v>6.3794608293140929</c:v>
                </c:pt>
                <c:pt idx="293">
                  <c:v>16.156619037340324</c:v>
                </c:pt>
                <c:pt idx="294">
                  <c:v>32.252437890612995</c:v>
                </c:pt>
                <c:pt idx="295">
                  <c:v>16.806790401208126</c:v>
                </c:pt>
                <c:pt idx="296">
                  <c:v>24.910918603021294</c:v>
                </c:pt>
                <c:pt idx="297">
                  <c:v>21.483016754705329</c:v>
                </c:pt>
                <c:pt idx="298">
                  <c:v>13.465408016741051</c:v>
                </c:pt>
                <c:pt idx="299">
                  <c:v>14.381817671339805</c:v>
                </c:pt>
                <c:pt idx="300">
                  <c:v>16.982215562462404</c:v>
                </c:pt>
                <c:pt idx="301">
                  <c:v>26.666206843073848</c:v>
                </c:pt>
                <c:pt idx="302">
                  <c:v>22.05781178840639</c:v>
                </c:pt>
                <c:pt idx="303">
                  <c:v>21.53326773141481</c:v>
                </c:pt>
                <c:pt idx="304">
                  <c:v>22.904683431837235</c:v>
                </c:pt>
                <c:pt idx="305">
                  <c:v>27.526897908324017</c:v>
                </c:pt>
                <c:pt idx="306">
                  <c:v>9.4517516322053385</c:v>
                </c:pt>
                <c:pt idx="307">
                  <c:v>16.575960551862522</c:v>
                </c:pt>
                <c:pt idx="308">
                  <c:v>28.863027961628593</c:v>
                </c:pt>
                <c:pt idx="309">
                  <c:v>29.734565297962451</c:v>
                </c:pt>
                <c:pt idx="310">
                  <c:v>27.478325876549512</c:v>
                </c:pt>
                <c:pt idx="311">
                  <c:v>20.687542885511121</c:v>
                </c:pt>
                <c:pt idx="312">
                  <c:v>9.6731425566815936</c:v>
                </c:pt>
                <c:pt idx="313">
                  <c:v>20.087424108120512</c:v>
                </c:pt>
                <c:pt idx="314">
                  <c:v>27.204930738647874</c:v>
                </c:pt>
                <c:pt idx="315">
                  <c:v>27.249449941289686</c:v>
                </c:pt>
                <c:pt idx="316">
                  <c:v>26.321251484680595</c:v>
                </c:pt>
                <c:pt idx="317">
                  <c:v>9.2679367085427273</c:v>
                </c:pt>
                <c:pt idx="318">
                  <c:v>12.051150904651097</c:v>
                </c:pt>
                <c:pt idx="319">
                  <c:v>26.754494633148884</c:v>
                </c:pt>
                <c:pt idx="320">
                  <c:v>12.522869542738166</c:v>
                </c:pt>
                <c:pt idx="321">
                  <c:v>14.863745803809691</c:v>
                </c:pt>
                <c:pt idx="322">
                  <c:v>7.612074895464616</c:v>
                </c:pt>
                <c:pt idx="323">
                  <c:v>15.213794273274669</c:v>
                </c:pt>
                <c:pt idx="324">
                  <c:v>3.2151075391353938</c:v>
                </c:pt>
                <c:pt idx="325">
                  <c:v>7.9923953750344019</c:v>
                </c:pt>
                <c:pt idx="326">
                  <c:v>11.977803082287384</c:v>
                </c:pt>
                <c:pt idx="327">
                  <c:v>13.183155906745721</c:v>
                </c:pt>
                <c:pt idx="328">
                  <c:v>5.1045784538732049</c:v>
                </c:pt>
                <c:pt idx="329">
                  <c:v>10.232060187140545</c:v>
                </c:pt>
                <c:pt idx="330">
                  <c:v>14.554654754071979</c:v>
                </c:pt>
                <c:pt idx="331">
                  <c:v>10.550106036440344</c:v>
                </c:pt>
                <c:pt idx="332">
                  <c:v>14.678637664193415</c:v>
                </c:pt>
                <c:pt idx="333">
                  <c:v>4.0894828359802764</c:v>
                </c:pt>
                <c:pt idx="334">
                  <c:v>3.5188320293173647</c:v>
                </c:pt>
                <c:pt idx="335">
                  <c:v>5.8351333130971961</c:v>
                </c:pt>
                <c:pt idx="336">
                  <c:v>8.7158528377838564</c:v>
                </c:pt>
                <c:pt idx="337">
                  <c:v>17.304775283223712</c:v>
                </c:pt>
                <c:pt idx="338">
                  <c:v>23.553006198410866</c:v>
                </c:pt>
                <c:pt idx="339">
                  <c:v>10.907942863429177</c:v>
                </c:pt>
                <c:pt idx="340">
                  <c:v>19.791583756974397</c:v>
                </c:pt>
                <c:pt idx="341">
                  <c:v>4.0857913442704303</c:v>
                </c:pt>
                <c:pt idx="342">
                  <c:v>4.9434256694037693</c:v>
                </c:pt>
                <c:pt idx="343">
                  <c:v>11.636197649446906</c:v>
                </c:pt>
                <c:pt idx="344">
                  <c:v>16.255797688085252</c:v>
                </c:pt>
                <c:pt idx="345">
                  <c:v>5.6611935663788335</c:v>
                </c:pt>
                <c:pt idx="346">
                  <c:v>5.3738594333497627</c:v>
                </c:pt>
                <c:pt idx="347">
                  <c:v>17.051201678056131</c:v>
                </c:pt>
                <c:pt idx="348">
                  <c:v>5.6558410932626026</c:v>
                </c:pt>
                <c:pt idx="349">
                  <c:v>4.8192238507665284</c:v>
                </c:pt>
                <c:pt idx="350">
                  <c:v>3.5217135417967094</c:v>
                </c:pt>
                <c:pt idx="351">
                  <c:v>21.146962916043528</c:v>
                </c:pt>
                <c:pt idx="352">
                  <c:v>17.112869006959947</c:v>
                </c:pt>
                <c:pt idx="353">
                  <c:v>4.4985472083822113</c:v>
                </c:pt>
                <c:pt idx="354">
                  <c:v>20.288274568943066</c:v>
                </c:pt>
                <c:pt idx="355">
                  <c:v>16.766510439269808</c:v>
                </c:pt>
                <c:pt idx="356">
                  <c:v>17.314429136947833</c:v>
                </c:pt>
                <c:pt idx="357">
                  <c:v>20.807250034868122</c:v>
                </c:pt>
                <c:pt idx="358">
                  <c:v>12.379895140375051</c:v>
                </c:pt>
                <c:pt idx="359">
                  <c:v>21.095623273428384</c:v>
                </c:pt>
                <c:pt idx="360">
                  <c:v>7.6023521125629347</c:v>
                </c:pt>
                <c:pt idx="361">
                  <c:v>20.262513801994189</c:v>
                </c:pt>
                <c:pt idx="362">
                  <c:v>9.9603897362612983</c:v>
                </c:pt>
                <c:pt idx="363">
                  <c:v>13.114616299183952</c:v>
                </c:pt>
                <c:pt idx="364">
                  <c:v>12.169668397621113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22.053173794182118</c:v>
                </c:pt>
                <c:pt idx="1">
                  <c:v>15.85719166415878</c:v>
                </c:pt>
                <c:pt idx="2">
                  <c:v>17.064498371832837</c:v>
                </c:pt>
                <c:pt idx="3">
                  <c:v>18.030815853022116</c:v>
                </c:pt>
                <c:pt idx="4">
                  <c:v>14.355818531621475</c:v>
                </c:pt>
                <c:pt idx="5">
                  <c:v>20.701850362355785</c:v>
                </c:pt>
                <c:pt idx="6">
                  <c:v>10.586927295358986</c:v>
                </c:pt>
                <c:pt idx="7">
                  <c:v>7.4269194442602853</c:v>
                </c:pt>
                <c:pt idx="8">
                  <c:v>2.1922409207142315</c:v>
                </c:pt>
                <c:pt idx="9">
                  <c:v>1.7016259894150789</c:v>
                </c:pt>
                <c:pt idx="10">
                  <c:v>24.522635148278244</c:v>
                </c:pt>
                <c:pt idx="11">
                  <c:v>20.923240229360101</c:v>
                </c:pt>
                <c:pt idx="12">
                  <c:v>5.0387133443968208</c:v>
                </c:pt>
                <c:pt idx="13">
                  <c:v>24.91118949112775</c:v>
                </c:pt>
                <c:pt idx="14">
                  <c:v>26.472004119006119</c:v>
                </c:pt>
                <c:pt idx="15">
                  <c:v>25.999829673671748</c:v>
                </c:pt>
                <c:pt idx="16">
                  <c:v>13.309117082383349</c:v>
                </c:pt>
                <c:pt idx="17">
                  <c:v>3.513858539270077</c:v>
                </c:pt>
                <c:pt idx="18">
                  <c:v>10.164007763612485</c:v>
                </c:pt>
                <c:pt idx="19">
                  <c:v>6.3939266594506945</c:v>
                </c:pt>
                <c:pt idx="20">
                  <c:v>20.423784721005369</c:v>
                </c:pt>
                <c:pt idx="21">
                  <c:v>27.557889978608117</c:v>
                </c:pt>
                <c:pt idx="22">
                  <c:v>27.622090809499383</c:v>
                </c:pt>
                <c:pt idx="23">
                  <c:v>28.243543837276686</c:v>
                </c:pt>
                <c:pt idx="24">
                  <c:v>26.898987831747974</c:v>
                </c:pt>
                <c:pt idx="25">
                  <c:v>27.859377372856812</c:v>
                </c:pt>
                <c:pt idx="26">
                  <c:v>25.95748469729007</c:v>
                </c:pt>
                <c:pt idx="27">
                  <c:v>4.2399519546809019</c:v>
                </c:pt>
                <c:pt idx="28">
                  <c:v>9.2975368085450114</c:v>
                </c:pt>
                <c:pt idx="29">
                  <c:v>4.4224356394155135</c:v>
                </c:pt>
                <c:pt idx="30">
                  <c:v>9.04540252461425</c:v>
                </c:pt>
                <c:pt idx="31">
                  <c:v>13.132119377154009</c:v>
                </c:pt>
                <c:pt idx="32">
                  <c:v>5.2755493971350642</c:v>
                </c:pt>
                <c:pt idx="33">
                  <c:v>9.9439536888998745</c:v>
                </c:pt>
                <c:pt idx="34">
                  <c:v>9.8466868593157475</c:v>
                </c:pt>
                <c:pt idx="35">
                  <c:v>9.527179834230008</c:v>
                </c:pt>
                <c:pt idx="36">
                  <c:v>21.797256920233373</c:v>
                </c:pt>
                <c:pt idx="37">
                  <c:v>9.3534390141628538</c:v>
                </c:pt>
                <c:pt idx="38">
                  <c:v>32.785290302371656</c:v>
                </c:pt>
                <c:pt idx="39">
                  <c:v>33.001653001642801</c:v>
                </c:pt>
                <c:pt idx="40">
                  <c:v>30.679807449046148</c:v>
                </c:pt>
                <c:pt idx="41">
                  <c:v>17.127100477553622</c:v>
                </c:pt>
                <c:pt idx="42">
                  <c:v>26.021102934553795</c:v>
                </c:pt>
                <c:pt idx="43">
                  <c:v>30.760333538693665</c:v>
                </c:pt>
                <c:pt idx="44">
                  <c:v>15.065919038831039</c:v>
                </c:pt>
                <c:pt idx="45">
                  <c:v>18.942278346917835</c:v>
                </c:pt>
                <c:pt idx="46">
                  <c:v>9.9228970776009788</c:v>
                </c:pt>
                <c:pt idx="47">
                  <c:v>10.735771217528535</c:v>
                </c:pt>
                <c:pt idx="48">
                  <c:v>27.340381316784153</c:v>
                </c:pt>
                <c:pt idx="49">
                  <c:v>19.814042075491084</c:v>
                </c:pt>
                <c:pt idx="50">
                  <c:v>18.899625527638495</c:v>
                </c:pt>
                <c:pt idx="51">
                  <c:v>20.893297622155472</c:v>
                </c:pt>
                <c:pt idx="52">
                  <c:v>32.293419459823326</c:v>
                </c:pt>
                <c:pt idx="53">
                  <c:v>33.414212485220325</c:v>
                </c:pt>
                <c:pt idx="54">
                  <c:v>20.542911512584393</c:v>
                </c:pt>
                <c:pt idx="55">
                  <c:v>29.920501218802343</c:v>
                </c:pt>
                <c:pt idx="56">
                  <c:v>38.532075653110191</c:v>
                </c:pt>
                <c:pt idx="57">
                  <c:v>26.853071333339816</c:v>
                </c:pt>
                <c:pt idx="58">
                  <c:v>33.18229010507639</c:v>
                </c:pt>
                <c:pt idx="59">
                  <c:v>38.519532704468801</c:v>
                </c:pt>
                <c:pt idx="60">
                  <c:v>10.607799063037612</c:v>
                </c:pt>
                <c:pt idx="61">
                  <c:v>34.188169191030447</c:v>
                </c:pt>
                <c:pt idx="62">
                  <c:v>3.9323711851281646</c:v>
                </c:pt>
                <c:pt idx="63">
                  <c:v>13.018448834305181</c:v>
                </c:pt>
                <c:pt idx="64">
                  <c:v>15.554928694291405</c:v>
                </c:pt>
                <c:pt idx="65">
                  <c:v>36.332623361357662</c:v>
                </c:pt>
                <c:pt idx="66">
                  <c:v>31.399945075642236</c:v>
                </c:pt>
                <c:pt idx="67">
                  <c:v>28.018857066138025</c:v>
                </c:pt>
                <c:pt idx="68">
                  <c:v>24.340759094399655</c:v>
                </c:pt>
                <c:pt idx="69">
                  <c:v>15.445619369877445</c:v>
                </c:pt>
                <c:pt idx="70">
                  <c:v>14.351719517753551</c:v>
                </c:pt>
                <c:pt idx="71">
                  <c:v>9.7421094661098948</c:v>
                </c:pt>
                <c:pt idx="72">
                  <c:v>14.039443259724022</c:v>
                </c:pt>
                <c:pt idx="73">
                  <c:v>14.063072392643532</c:v>
                </c:pt>
                <c:pt idx="74">
                  <c:v>12.675844464274514</c:v>
                </c:pt>
                <c:pt idx="75">
                  <c:v>10.574901824627899</c:v>
                </c:pt>
                <c:pt idx="76">
                  <c:v>14.099714849591228</c:v>
                </c:pt>
                <c:pt idx="77">
                  <c:v>28.614930355756726</c:v>
                </c:pt>
                <c:pt idx="78">
                  <c:v>29.555740963667493</c:v>
                </c:pt>
                <c:pt idx="79">
                  <c:v>43.095168783708246</c:v>
                </c:pt>
                <c:pt idx="80">
                  <c:v>40.55273970329602</c:v>
                </c:pt>
                <c:pt idx="81">
                  <c:v>46.531728104204475</c:v>
                </c:pt>
                <c:pt idx="82">
                  <c:v>45.536683912788718</c:v>
                </c:pt>
                <c:pt idx="83">
                  <c:v>39.888971991082208</c:v>
                </c:pt>
                <c:pt idx="84">
                  <c:v>44.893966893809889</c:v>
                </c:pt>
                <c:pt idx="85">
                  <c:v>43.730022683048951</c:v>
                </c:pt>
                <c:pt idx="86">
                  <c:v>34.239134306175821</c:v>
                </c:pt>
                <c:pt idx="87">
                  <c:v>26.967402752915504</c:v>
                </c:pt>
                <c:pt idx="88">
                  <c:v>7.5840013787468052</c:v>
                </c:pt>
                <c:pt idx="89">
                  <c:v>27.638878802126989</c:v>
                </c:pt>
                <c:pt idx="90">
                  <c:v>30.246942406416544</c:v>
                </c:pt>
                <c:pt idx="91">
                  <c:v>20.620554348656761</c:v>
                </c:pt>
                <c:pt idx="92">
                  <c:v>22.340110340154023</c:v>
                </c:pt>
                <c:pt idx="93">
                  <c:v>46.982587067925749</c:v>
                </c:pt>
                <c:pt idx="94">
                  <c:v>49.939342606433506</c:v>
                </c:pt>
                <c:pt idx="95">
                  <c:v>10.940385555511096</c:v>
                </c:pt>
                <c:pt idx="96">
                  <c:v>37.398506420988824</c:v>
                </c:pt>
                <c:pt idx="97">
                  <c:v>30.806409425700391</c:v>
                </c:pt>
                <c:pt idx="98">
                  <c:v>34.302033824178032</c:v>
                </c:pt>
                <c:pt idx="99">
                  <c:v>51.653518384574909</c:v>
                </c:pt>
                <c:pt idx="100">
                  <c:v>43.376200881963854</c:v>
                </c:pt>
                <c:pt idx="101">
                  <c:v>35.177335001431445</c:v>
                </c:pt>
                <c:pt idx="102">
                  <c:v>7.0538167426119838</c:v>
                </c:pt>
                <c:pt idx="103">
                  <c:v>38.130061841488732</c:v>
                </c:pt>
                <c:pt idx="104">
                  <c:v>43.697686246598607</c:v>
                </c:pt>
                <c:pt idx="105">
                  <c:v>42.166352116106495</c:v>
                </c:pt>
                <c:pt idx="106">
                  <c:v>51.504344529641976</c:v>
                </c:pt>
                <c:pt idx="107">
                  <c:v>35.626783643340893</c:v>
                </c:pt>
                <c:pt idx="108">
                  <c:v>8.5168391241280634</c:v>
                </c:pt>
                <c:pt idx="109">
                  <c:v>9.7462469242910341</c:v>
                </c:pt>
                <c:pt idx="110">
                  <c:v>9.0090791260334111</c:v>
                </c:pt>
                <c:pt idx="111">
                  <c:v>26.365898526908062</c:v>
                </c:pt>
                <c:pt idx="112">
                  <c:v>9.1230762149079379</c:v>
                </c:pt>
                <c:pt idx="113">
                  <c:v>28.948196489433155</c:v>
                </c:pt>
                <c:pt idx="114">
                  <c:v>44.548234544478895</c:v>
                </c:pt>
                <c:pt idx="115">
                  <c:v>51.86109645907478</c:v>
                </c:pt>
                <c:pt idx="116">
                  <c:v>39.065555638076354</c:v>
                </c:pt>
                <c:pt idx="117">
                  <c:v>19.445264281472081</c:v>
                </c:pt>
                <c:pt idx="118">
                  <c:v>39.131035280927499</c:v>
                </c:pt>
                <c:pt idx="119">
                  <c:v>43.954093645865967</c:v>
                </c:pt>
                <c:pt idx="120">
                  <c:v>47.637796694504523</c:v>
                </c:pt>
                <c:pt idx="121">
                  <c:v>30.623764523736586</c:v>
                </c:pt>
                <c:pt idx="122">
                  <c:v>36.48807853174872</c:v>
                </c:pt>
                <c:pt idx="123">
                  <c:v>20.240072443116489</c:v>
                </c:pt>
                <c:pt idx="124">
                  <c:v>42.423638012985251</c:v>
                </c:pt>
                <c:pt idx="125">
                  <c:v>38.809231825604428</c:v>
                </c:pt>
                <c:pt idx="126">
                  <c:v>52.77047364914835</c:v>
                </c:pt>
                <c:pt idx="127">
                  <c:v>50.219856087598416</c:v>
                </c:pt>
                <c:pt idx="128">
                  <c:v>52.551521920886749</c:v>
                </c:pt>
                <c:pt idx="129">
                  <c:v>52.214907914754754</c:v>
                </c:pt>
                <c:pt idx="130">
                  <c:v>56.362907508692352</c:v>
                </c:pt>
                <c:pt idx="131">
                  <c:v>41.096542726569957</c:v>
                </c:pt>
                <c:pt idx="132">
                  <c:v>41.802367010593692</c:v>
                </c:pt>
                <c:pt idx="133">
                  <c:v>50.575282397006497</c:v>
                </c:pt>
                <c:pt idx="134">
                  <c:v>53.506627424675962</c:v>
                </c:pt>
                <c:pt idx="135">
                  <c:v>51.003058030950683</c:v>
                </c:pt>
                <c:pt idx="136">
                  <c:v>54.312185899393548</c:v>
                </c:pt>
                <c:pt idx="137">
                  <c:v>52.246670143135347</c:v>
                </c:pt>
                <c:pt idx="138">
                  <c:v>55.143731801837198</c:v>
                </c:pt>
                <c:pt idx="139">
                  <c:v>49.957938427354712</c:v>
                </c:pt>
                <c:pt idx="140">
                  <c:v>49.873799737501542</c:v>
                </c:pt>
                <c:pt idx="141">
                  <c:v>37.746197976779229</c:v>
                </c:pt>
                <c:pt idx="142">
                  <c:v>19.67923531158031</c:v>
                </c:pt>
                <c:pt idx="143">
                  <c:v>17.062911590413094</c:v>
                </c:pt>
                <c:pt idx="144">
                  <c:v>40.019904734676651</c:v>
                </c:pt>
                <c:pt idx="145">
                  <c:v>24.265756823223494</c:v>
                </c:pt>
                <c:pt idx="146">
                  <c:v>45.136411505870562</c:v>
                </c:pt>
                <c:pt idx="147">
                  <c:v>54.384510930886314</c:v>
                </c:pt>
                <c:pt idx="148">
                  <c:v>58.615178358966403</c:v>
                </c:pt>
                <c:pt idx="149">
                  <c:v>49.914357428084813</c:v>
                </c:pt>
                <c:pt idx="150">
                  <c:v>53.007529556916801</c:v>
                </c:pt>
                <c:pt idx="151">
                  <c:v>55.377333054061346</c:v>
                </c:pt>
                <c:pt idx="152">
                  <c:v>44.485145791172208</c:v>
                </c:pt>
                <c:pt idx="153">
                  <c:v>54.212930250618477</c:v>
                </c:pt>
                <c:pt idx="154">
                  <c:v>24.480930415968771</c:v>
                </c:pt>
                <c:pt idx="155">
                  <c:v>33.770462697309107</c:v>
                </c:pt>
                <c:pt idx="156">
                  <c:v>47.560732241674238</c:v>
                </c:pt>
                <c:pt idx="157">
                  <c:v>24.794548331648354</c:v>
                </c:pt>
                <c:pt idx="158">
                  <c:v>20.270777894417638</c:v>
                </c:pt>
                <c:pt idx="159">
                  <c:v>46.322035250472609</c:v>
                </c:pt>
                <c:pt idx="160">
                  <c:v>56.529761118517015</c:v>
                </c:pt>
                <c:pt idx="161">
                  <c:v>55.272592610560494</c:v>
                </c:pt>
                <c:pt idx="162">
                  <c:v>42.292432683760673</c:v>
                </c:pt>
                <c:pt idx="163">
                  <c:v>53.549187485923689</c:v>
                </c:pt>
                <c:pt idx="164">
                  <c:v>48.839033609328297</c:v>
                </c:pt>
                <c:pt idx="165">
                  <c:v>53.27458782934935</c:v>
                </c:pt>
                <c:pt idx="166">
                  <c:v>51.19917198390953</c:v>
                </c:pt>
                <c:pt idx="167">
                  <c:v>51.268864035785235</c:v>
                </c:pt>
                <c:pt idx="168">
                  <c:v>54.627295093667392</c:v>
                </c:pt>
                <c:pt idx="169">
                  <c:v>55.741819411339698</c:v>
                </c:pt>
                <c:pt idx="170">
                  <c:v>31.042856100854795</c:v>
                </c:pt>
                <c:pt idx="171">
                  <c:v>23.182672314786558</c:v>
                </c:pt>
                <c:pt idx="172">
                  <c:v>38.776191126428145</c:v>
                </c:pt>
                <c:pt idx="173">
                  <c:v>41.415082461648268</c:v>
                </c:pt>
                <c:pt idx="174">
                  <c:v>39.581247574770174</c:v>
                </c:pt>
                <c:pt idx="175">
                  <c:v>34.832431279161909</c:v>
                </c:pt>
                <c:pt idx="176">
                  <c:v>11.687033600342305</c:v>
                </c:pt>
                <c:pt idx="177">
                  <c:v>12.75706873756439</c:v>
                </c:pt>
                <c:pt idx="178">
                  <c:v>57.911974787338117</c:v>
                </c:pt>
                <c:pt idx="179">
                  <c:v>54.98075266850595</c:v>
                </c:pt>
                <c:pt idx="180">
                  <c:v>13.669826763357221</c:v>
                </c:pt>
                <c:pt idx="181">
                  <c:v>49.208979011164111</c:v>
                </c:pt>
                <c:pt idx="182">
                  <c:v>54.816921260259484</c:v>
                </c:pt>
                <c:pt idx="183">
                  <c:v>45.677066956797013</c:v>
                </c:pt>
                <c:pt idx="184">
                  <c:v>43.346409399734853</c:v>
                </c:pt>
                <c:pt idx="185">
                  <c:v>54.30953583601994</c:v>
                </c:pt>
                <c:pt idx="186">
                  <c:v>46.638838796217179</c:v>
                </c:pt>
                <c:pt idx="187">
                  <c:v>53.565657916716724</c:v>
                </c:pt>
                <c:pt idx="188">
                  <c:v>56.333284440540794</c:v>
                </c:pt>
                <c:pt idx="189">
                  <c:v>55.606734402253181</c:v>
                </c:pt>
                <c:pt idx="190">
                  <c:v>54.898345170387003</c:v>
                </c:pt>
                <c:pt idx="191">
                  <c:v>53.445410205626033</c:v>
                </c:pt>
                <c:pt idx="192">
                  <c:v>53.542111023006989</c:v>
                </c:pt>
                <c:pt idx="193">
                  <c:v>52.910380595737557</c:v>
                </c:pt>
                <c:pt idx="194">
                  <c:v>52.344167315556675</c:v>
                </c:pt>
                <c:pt idx="195">
                  <c:v>50.593102282989193</c:v>
                </c:pt>
                <c:pt idx="196">
                  <c:v>51.988643218238984</c:v>
                </c:pt>
                <c:pt idx="197">
                  <c:v>51.575593170423581</c:v>
                </c:pt>
                <c:pt idx="198">
                  <c:v>53.449613754553681</c:v>
                </c:pt>
                <c:pt idx="199">
                  <c:v>42.880314793320807</c:v>
                </c:pt>
                <c:pt idx="200">
                  <c:v>43.310396810888221</c:v>
                </c:pt>
                <c:pt idx="201">
                  <c:v>50.935271978519566</c:v>
                </c:pt>
                <c:pt idx="202">
                  <c:v>40.602684751944174</c:v>
                </c:pt>
                <c:pt idx="203">
                  <c:v>45.374037430705556</c:v>
                </c:pt>
                <c:pt idx="204">
                  <c:v>50.88879940137133</c:v>
                </c:pt>
                <c:pt idx="205">
                  <c:v>26.005811355241011</c:v>
                </c:pt>
                <c:pt idx="206">
                  <c:v>54.664695366532889</c:v>
                </c:pt>
                <c:pt idx="207">
                  <c:v>54.67193469448754</c:v>
                </c:pt>
                <c:pt idx="208">
                  <c:v>43.874015107169086</c:v>
                </c:pt>
                <c:pt idx="209">
                  <c:v>29.678287219464075</c:v>
                </c:pt>
                <c:pt idx="210">
                  <c:v>49.94598146127904</c:v>
                </c:pt>
                <c:pt idx="211">
                  <c:v>52.637606346711365</c:v>
                </c:pt>
                <c:pt idx="212">
                  <c:v>51.717647109458255</c:v>
                </c:pt>
                <c:pt idx="213">
                  <c:v>51.921918163818731</c:v>
                </c:pt>
                <c:pt idx="214">
                  <c:v>49.747862706239829</c:v>
                </c:pt>
                <c:pt idx="215">
                  <c:v>46.681426360714887</c:v>
                </c:pt>
                <c:pt idx="216">
                  <c:v>43.430793882018506</c:v>
                </c:pt>
                <c:pt idx="217">
                  <c:v>47.589658773078327</c:v>
                </c:pt>
                <c:pt idx="218">
                  <c:v>50.58092289237721</c:v>
                </c:pt>
                <c:pt idx="219">
                  <c:v>51.391440862470986</c:v>
                </c:pt>
                <c:pt idx="220">
                  <c:v>49.670912495918238</c:v>
                </c:pt>
                <c:pt idx="221">
                  <c:v>47.624179335762278</c:v>
                </c:pt>
                <c:pt idx="222">
                  <c:v>43.824161793286066</c:v>
                </c:pt>
                <c:pt idx="223">
                  <c:v>45.991441741161928</c:v>
                </c:pt>
                <c:pt idx="224">
                  <c:v>32.036277188914426</c:v>
                </c:pt>
                <c:pt idx="225">
                  <c:v>33.306486263561851</c:v>
                </c:pt>
                <c:pt idx="226">
                  <c:v>38.188895633069272</c:v>
                </c:pt>
                <c:pt idx="227">
                  <c:v>32.078514206911628</c:v>
                </c:pt>
                <c:pt idx="228">
                  <c:v>22.050180814231219</c:v>
                </c:pt>
                <c:pt idx="229">
                  <c:v>38.367750954274051</c:v>
                </c:pt>
                <c:pt idx="230">
                  <c:v>39.725351647579195</c:v>
                </c:pt>
                <c:pt idx="231">
                  <c:v>47.308782760391324</c:v>
                </c:pt>
                <c:pt idx="232">
                  <c:v>31.891992724193194</c:v>
                </c:pt>
                <c:pt idx="233">
                  <c:v>24.847140694881521</c:v>
                </c:pt>
                <c:pt idx="234">
                  <c:v>44.444486506126466</c:v>
                </c:pt>
                <c:pt idx="235">
                  <c:v>45.918684658830834</c:v>
                </c:pt>
                <c:pt idx="236">
                  <c:v>32.764495972865603</c:v>
                </c:pt>
                <c:pt idx="237">
                  <c:v>41.16074639191865</c:v>
                </c:pt>
                <c:pt idx="238">
                  <c:v>48.494515400962435</c:v>
                </c:pt>
                <c:pt idx="239">
                  <c:v>47.591547156631194</c:v>
                </c:pt>
                <c:pt idx="240">
                  <c:v>32.086529106567681</c:v>
                </c:pt>
                <c:pt idx="241">
                  <c:v>46.589094695629534</c:v>
                </c:pt>
                <c:pt idx="242">
                  <c:v>21.92648313308425</c:v>
                </c:pt>
                <c:pt idx="243">
                  <c:v>42.266598149759631</c:v>
                </c:pt>
                <c:pt idx="244">
                  <c:v>38.76858667577693</c:v>
                </c:pt>
                <c:pt idx="245">
                  <c:v>32.369480024123</c:v>
                </c:pt>
                <c:pt idx="246">
                  <c:v>46.947216686388352</c:v>
                </c:pt>
                <c:pt idx="247">
                  <c:v>39.687526284717322</c:v>
                </c:pt>
                <c:pt idx="248">
                  <c:v>45.008773149057255</c:v>
                </c:pt>
                <c:pt idx="249">
                  <c:v>35.018484347374383</c:v>
                </c:pt>
                <c:pt idx="250">
                  <c:v>38.346593729735133</c:v>
                </c:pt>
                <c:pt idx="251">
                  <c:v>21.347111604877576</c:v>
                </c:pt>
                <c:pt idx="252">
                  <c:v>45.096046330383906</c:v>
                </c:pt>
                <c:pt idx="253">
                  <c:v>45.625650827281561</c:v>
                </c:pt>
                <c:pt idx="254">
                  <c:v>31.953468517913329</c:v>
                </c:pt>
                <c:pt idx="255">
                  <c:v>11.330000316067164</c:v>
                </c:pt>
                <c:pt idx="256">
                  <c:v>37.597549464124448</c:v>
                </c:pt>
                <c:pt idx="257">
                  <c:v>41.29755432236761</c:v>
                </c:pt>
                <c:pt idx="258">
                  <c:v>27.495626447604799</c:v>
                </c:pt>
                <c:pt idx="259">
                  <c:v>47.548825981999137</c:v>
                </c:pt>
                <c:pt idx="260">
                  <c:v>45.971919979845353</c:v>
                </c:pt>
                <c:pt idx="261">
                  <c:v>44.78659091700078</c:v>
                </c:pt>
                <c:pt idx="262">
                  <c:v>46.136347032621075</c:v>
                </c:pt>
                <c:pt idx="263">
                  <c:v>45.011507711350575</c:v>
                </c:pt>
                <c:pt idx="264">
                  <c:v>43.83843684133587</c:v>
                </c:pt>
                <c:pt idx="265">
                  <c:v>27.697615155981282</c:v>
                </c:pt>
                <c:pt idx="266">
                  <c:v>17.362590439773584</c:v>
                </c:pt>
                <c:pt idx="267">
                  <c:v>30.734830547217467</c:v>
                </c:pt>
                <c:pt idx="268">
                  <c:v>33.145487367709784</c:v>
                </c:pt>
                <c:pt idx="269">
                  <c:v>14.981168742121529</c:v>
                </c:pt>
                <c:pt idx="270">
                  <c:v>17.213889064636987</c:v>
                </c:pt>
                <c:pt idx="271">
                  <c:v>23.608394783739563</c:v>
                </c:pt>
                <c:pt idx="272">
                  <c:v>28.8486757939902</c:v>
                </c:pt>
                <c:pt idx="273">
                  <c:v>34.597060281344007</c:v>
                </c:pt>
                <c:pt idx="274">
                  <c:v>38.565412624975046</c:v>
                </c:pt>
                <c:pt idx="275">
                  <c:v>35.076637297991411</c:v>
                </c:pt>
                <c:pt idx="276">
                  <c:v>39.46845909256519</c:v>
                </c:pt>
                <c:pt idx="277">
                  <c:v>40.706712780995069</c:v>
                </c:pt>
                <c:pt idx="278">
                  <c:v>11.883054116404042</c:v>
                </c:pt>
                <c:pt idx="279">
                  <c:v>29.044176695720804</c:v>
                </c:pt>
                <c:pt idx="280">
                  <c:v>15.829874844272346</c:v>
                </c:pt>
                <c:pt idx="281">
                  <c:v>37.230181439813897</c:v>
                </c:pt>
                <c:pt idx="282">
                  <c:v>30.683595307851437</c:v>
                </c:pt>
                <c:pt idx="283">
                  <c:v>22.312151442796509</c:v>
                </c:pt>
                <c:pt idx="284">
                  <c:v>27.867042061036486</c:v>
                </c:pt>
                <c:pt idx="285">
                  <c:v>22.996976068323981</c:v>
                </c:pt>
                <c:pt idx="286">
                  <c:v>19.51945530528079</c:v>
                </c:pt>
                <c:pt idx="287">
                  <c:v>36.146319262894316</c:v>
                </c:pt>
                <c:pt idx="288">
                  <c:v>32.461164970759796</c:v>
                </c:pt>
                <c:pt idx="289">
                  <c:v>19.697157294307388</c:v>
                </c:pt>
                <c:pt idx="290">
                  <c:v>33.434024959558684</c:v>
                </c:pt>
                <c:pt idx="291">
                  <c:v>15.399695031324427</c:v>
                </c:pt>
                <c:pt idx="292">
                  <c:v>6.3794608293140929</c:v>
                </c:pt>
                <c:pt idx="293">
                  <c:v>16.156619037340324</c:v>
                </c:pt>
                <c:pt idx="294">
                  <c:v>32.252437890612995</c:v>
                </c:pt>
                <c:pt idx="295">
                  <c:v>16.806790401208126</c:v>
                </c:pt>
                <c:pt idx="296">
                  <c:v>24.910918603021294</c:v>
                </c:pt>
                <c:pt idx="297">
                  <c:v>21.483016754705329</c:v>
                </c:pt>
                <c:pt idx="298">
                  <c:v>13.465408016741051</c:v>
                </c:pt>
                <c:pt idx="299">
                  <c:v>14.381817671339805</c:v>
                </c:pt>
                <c:pt idx="300">
                  <c:v>16.982215562462404</c:v>
                </c:pt>
                <c:pt idx="301">
                  <c:v>26.666206843073848</c:v>
                </c:pt>
                <c:pt idx="302">
                  <c:v>22.05781178840639</c:v>
                </c:pt>
                <c:pt idx="303">
                  <c:v>21.53326773141481</c:v>
                </c:pt>
                <c:pt idx="304">
                  <c:v>22.904683431837235</c:v>
                </c:pt>
                <c:pt idx="305">
                  <c:v>27.526897908324017</c:v>
                </c:pt>
                <c:pt idx="306">
                  <c:v>9.4517516322053385</c:v>
                </c:pt>
                <c:pt idx="307">
                  <c:v>16.575960551862522</c:v>
                </c:pt>
                <c:pt idx="308">
                  <c:v>28.863027961628593</c:v>
                </c:pt>
                <c:pt idx="309">
                  <c:v>29.734565297962451</c:v>
                </c:pt>
                <c:pt idx="310">
                  <c:v>27.478325876549512</c:v>
                </c:pt>
                <c:pt idx="311">
                  <c:v>20.687542885511121</c:v>
                </c:pt>
                <c:pt idx="312">
                  <c:v>9.6731425566815936</c:v>
                </c:pt>
                <c:pt idx="313">
                  <c:v>20.087424108120512</c:v>
                </c:pt>
                <c:pt idx="314">
                  <c:v>27.204930738647874</c:v>
                </c:pt>
                <c:pt idx="315">
                  <c:v>27.249449941289686</c:v>
                </c:pt>
                <c:pt idx="316">
                  <c:v>26.321251484680595</c:v>
                </c:pt>
                <c:pt idx="317">
                  <c:v>9.2679367085427273</c:v>
                </c:pt>
                <c:pt idx="318">
                  <c:v>12.051150904651097</c:v>
                </c:pt>
                <c:pt idx="319">
                  <c:v>26.754494633148884</c:v>
                </c:pt>
                <c:pt idx="320">
                  <c:v>12.522869542738166</c:v>
                </c:pt>
                <c:pt idx="321">
                  <c:v>14.863745803809691</c:v>
                </c:pt>
                <c:pt idx="322">
                  <c:v>7.612074895464616</c:v>
                </c:pt>
                <c:pt idx="323">
                  <c:v>15.213794273274669</c:v>
                </c:pt>
                <c:pt idx="324">
                  <c:v>3.2151075391353938</c:v>
                </c:pt>
                <c:pt idx="325">
                  <c:v>7.9923953750344019</c:v>
                </c:pt>
                <c:pt idx="326">
                  <c:v>11.977803082287384</c:v>
                </c:pt>
                <c:pt idx="327">
                  <c:v>13.183155906745721</c:v>
                </c:pt>
                <c:pt idx="328">
                  <c:v>5.1045784538732049</c:v>
                </c:pt>
                <c:pt idx="329">
                  <c:v>10.232060187140545</c:v>
                </c:pt>
                <c:pt idx="330">
                  <c:v>14.554654754071979</c:v>
                </c:pt>
                <c:pt idx="331">
                  <c:v>10.550106036440344</c:v>
                </c:pt>
                <c:pt idx="332">
                  <c:v>14.678637664193415</c:v>
                </c:pt>
                <c:pt idx="333">
                  <c:v>4.0894828359802764</c:v>
                </c:pt>
                <c:pt idx="334">
                  <c:v>3.5188320293173647</c:v>
                </c:pt>
                <c:pt idx="335">
                  <c:v>5.8351333130971961</c:v>
                </c:pt>
                <c:pt idx="336">
                  <c:v>8.7158528377838564</c:v>
                </c:pt>
                <c:pt idx="337">
                  <c:v>17.304775283223712</c:v>
                </c:pt>
                <c:pt idx="338">
                  <c:v>23.553006198410866</c:v>
                </c:pt>
                <c:pt idx="339">
                  <c:v>10.907942863429177</c:v>
                </c:pt>
                <c:pt idx="340">
                  <c:v>19.791583756974397</c:v>
                </c:pt>
                <c:pt idx="341">
                  <c:v>4.0857913442704303</c:v>
                </c:pt>
                <c:pt idx="342">
                  <c:v>4.9434256694037693</c:v>
                </c:pt>
                <c:pt idx="343">
                  <c:v>11.636197649446906</c:v>
                </c:pt>
                <c:pt idx="344">
                  <c:v>16.255797688085252</c:v>
                </c:pt>
                <c:pt idx="345">
                  <c:v>5.6611935663788335</c:v>
                </c:pt>
                <c:pt idx="346">
                  <c:v>5.3738594333497627</c:v>
                </c:pt>
                <c:pt idx="347">
                  <c:v>17.051201678056131</c:v>
                </c:pt>
                <c:pt idx="348">
                  <c:v>5.6558410932626026</c:v>
                </c:pt>
                <c:pt idx="349">
                  <c:v>4.8192238507665284</c:v>
                </c:pt>
                <c:pt idx="350">
                  <c:v>3.5217135417967094</c:v>
                </c:pt>
                <c:pt idx="351">
                  <c:v>21.146962916043528</c:v>
                </c:pt>
                <c:pt idx="352">
                  <c:v>17.112869006959947</c:v>
                </c:pt>
                <c:pt idx="353">
                  <c:v>4.4985472083822113</c:v>
                </c:pt>
                <c:pt idx="354">
                  <c:v>20.288274568943066</c:v>
                </c:pt>
                <c:pt idx="355">
                  <c:v>16.766510439269808</c:v>
                </c:pt>
                <c:pt idx="356">
                  <c:v>17.314429136947833</c:v>
                </c:pt>
                <c:pt idx="357">
                  <c:v>20.807250034868122</c:v>
                </c:pt>
                <c:pt idx="358">
                  <c:v>12.379895140375051</c:v>
                </c:pt>
                <c:pt idx="359">
                  <c:v>21.095623273428384</c:v>
                </c:pt>
                <c:pt idx="360">
                  <c:v>7.6023521125629347</c:v>
                </c:pt>
                <c:pt idx="361">
                  <c:v>20.262513801994189</c:v>
                </c:pt>
                <c:pt idx="362">
                  <c:v>9.9603897362612983</c:v>
                </c:pt>
                <c:pt idx="363">
                  <c:v>13.114616299183952</c:v>
                </c:pt>
                <c:pt idx="364">
                  <c:v>12.169668397621113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58912"/>
        <c:axId val="335359304"/>
      </c:lineChart>
      <c:dateAx>
        <c:axId val="335358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9304"/>
        <c:crosses val="autoZero"/>
        <c:auto val="1"/>
        <c:lblOffset val="100"/>
        <c:baseTimeUnit val="days"/>
        <c:majorUnit val="1"/>
        <c:majorTimeUnit val="months"/>
      </c:dateAx>
      <c:valAx>
        <c:axId val="3353593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589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5.1188217318522411E-2</c:v>
                </c:pt>
                <c:pt idx="1">
                  <c:v>5.1208998731624433E-2</c:v>
                </c:pt>
                <c:pt idx="2">
                  <c:v>5.1229779689560107E-2</c:v>
                </c:pt>
                <c:pt idx="3">
                  <c:v>5.1250560192339534E-2</c:v>
                </c:pt>
                <c:pt idx="4">
                  <c:v>5.1271340239972596E-2</c:v>
                </c:pt>
                <c:pt idx="5">
                  <c:v>5.1292119832469174E-2</c:v>
                </c:pt>
                <c:pt idx="6">
                  <c:v>5.1312898969839482E-2</c:v>
                </c:pt>
                <c:pt idx="7">
                  <c:v>5.133367765209329E-2</c:v>
                </c:pt>
                <c:pt idx="8">
                  <c:v>5.1354455879240701E-2</c:v>
                </c:pt>
                <c:pt idx="9">
                  <c:v>5.1375233651291485E-2</c:v>
                </c:pt>
                <c:pt idx="10">
                  <c:v>5.1396010968255856E-2</c:v>
                </c:pt>
                <c:pt idx="11">
                  <c:v>5.1416787830143584E-2</c:v>
                </c:pt>
                <c:pt idx="12">
                  <c:v>5.1437564236964772E-2</c:v>
                </c:pt>
                <c:pt idx="13">
                  <c:v>5.1458340188729301E-2</c:v>
                </c:pt>
                <c:pt idx="14">
                  <c:v>5.1479115685447163E-2</c:v>
                </c:pt>
                <c:pt idx="15">
                  <c:v>5.149989072712835E-2</c:v>
                </c:pt>
                <c:pt idx="16">
                  <c:v>5.1520665313782743E-2</c:v>
                </c:pt>
                <c:pt idx="17">
                  <c:v>5.1541439445420445E-2</c:v>
                </c:pt>
                <c:pt idx="18">
                  <c:v>5.1562213122051337E-2</c:v>
                </c:pt>
                <c:pt idx="19">
                  <c:v>5.15829863436853E-2</c:v>
                </c:pt>
                <c:pt idx="20">
                  <c:v>5.1603759110332548E-2</c:v>
                </c:pt>
                <c:pt idx="21">
                  <c:v>5.162453142200274E-2</c:v>
                </c:pt>
                <c:pt idx="22">
                  <c:v>5.164530327870609E-2</c:v>
                </c:pt>
                <c:pt idx="23">
                  <c:v>5.1666074680452478E-2</c:v>
                </c:pt>
                <c:pt idx="24">
                  <c:v>5.1686845627251787E-2</c:v>
                </c:pt>
                <c:pt idx="25">
                  <c:v>5.1707616119114119E-2</c:v>
                </c:pt>
                <c:pt idx="26">
                  <c:v>5.1728386156049355E-2</c:v>
                </c:pt>
                <c:pt idx="27">
                  <c:v>5.1749155738067487E-2</c:v>
                </c:pt>
                <c:pt idx="28">
                  <c:v>5.1769924865178507E-2</c:v>
                </c:pt>
                <c:pt idx="29">
                  <c:v>5.1790693537392296E-2</c:v>
                </c:pt>
                <c:pt idx="30">
                  <c:v>5.1811461754718846E-2</c:v>
                </c:pt>
                <c:pt idx="31">
                  <c:v>5.1832229517168149E-2</c:v>
                </c:pt>
                <c:pt idx="32">
                  <c:v>5.1852996824750197E-2</c:v>
                </c:pt>
                <c:pt idx="33">
                  <c:v>5.1873763677474871E-2</c:v>
                </c:pt>
                <c:pt idx="34">
                  <c:v>5.1894530075352163E-2</c:v>
                </c:pt>
                <c:pt idx="35">
                  <c:v>5.1915296018392065E-2</c:v>
                </c:pt>
                <c:pt idx="36">
                  <c:v>5.1936061506604458E-2</c:v>
                </c:pt>
                <c:pt idx="37">
                  <c:v>5.1956826539999446E-2</c:v>
                </c:pt>
                <c:pt idx="38">
                  <c:v>5.1977591118586908E-2</c:v>
                </c:pt>
                <c:pt idx="39">
                  <c:v>5.1998355242376726E-2</c:v>
                </c:pt>
                <c:pt idx="40">
                  <c:v>5.2019118911379003E-2</c:v>
                </c:pt>
                <c:pt idx="41">
                  <c:v>5.2039882125603731E-2</c:v>
                </c:pt>
                <c:pt idx="42">
                  <c:v>5.2060644885060681E-2</c:v>
                </c:pt>
                <c:pt idx="43">
                  <c:v>5.2081407189759843E-2</c:v>
                </c:pt>
                <c:pt idx="44">
                  <c:v>5.2102169039711321E-2</c:v>
                </c:pt>
                <c:pt idx="45">
                  <c:v>5.2122930434925108E-2</c:v>
                </c:pt>
                <c:pt idx="46">
                  <c:v>5.2143691375410861E-2</c:v>
                </c:pt>
                <c:pt idx="47">
                  <c:v>5.2164451861178907E-2</c:v>
                </c:pt>
                <c:pt idx="48">
                  <c:v>5.2185211892238903E-2</c:v>
                </c:pt>
                <c:pt idx="49">
                  <c:v>5.2205971468600954E-2</c:v>
                </c:pt>
                <c:pt idx="50">
                  <c:v>5.222673059027505E-2</c:v>
                </c:pt>
                <c:pt idx="51">
                  <c:v>5.2247489257271185E-2</c:v>
                </c:pt>
                <c:pt idx="52">
                  <c:v>5.2268247469599127E-2</c:v>
                </c:pt>
                <c:pt idx="53">
                  <c:v>5.2289005227268981E-2</c:v>
                </c:pt>
                <c:pt idx="54">
                  <c:v>5.2309762530290627E-2</c:v>
                </c:pt>
                <c:pt idx="55">
                  <c:v>5.2330519378674056E-2</c:v>
                </c:pt>
                <c:pt idx="56">
                  <c:v>5.2351275772429262E-2</c:v>
                </c:pt>
                <c:pt idx="57">
                  <c:v>5.2372031711566236E-2</c:v>
                </c:pt>
                <c:pt idx="58">
                  <c:v>5.2392787196094859E-2</c:v>
                </c:pt>
                <c:pt idx="59">
                  <c:v>5.2413542226025012E-2</c:v>
                </c:pt>
                <c:pt idx="60">
                  <c:v>5.2434296801366798E-2</c:v>
                </c:pt>
                <c:pt idx="61">
                  <c:v>5.2455050922130098E-2</c:v>
                </c:pt>
                <c:pt idx="62">
                  <c:v>5.2475804588324904E-2</c:v>
                </c:pt>
                <c:pt idx="63">
                  <c:v>5.2496557799961208E-2</c:v>
                </c:pt>
                <c:pt idx="64">
                  <c:v>5.2517310557048891E-2</c:v>
                </c:pt>
                <c:pt idx="65">
                  <c:v>5.2538062859597945E-2</c:v>
                </c:pt>
                <c:pt idx="66">
                  <c:v>5.2558814707618251E-2</c:v>
                </c:pt>
                <c:pt idx="67">
                  <c:v>5.2579566101119801E-2</c:v>
                </c:pt>
                <c:pt idx="68">
                  <c:v>5.2600317040112698E-2</c:v>
                </c:pt>
                <c:pt idx="69">
                  <c:v>5.2621067524606713E-2</c:v>
                </c:pt>
                <c:pt idx="70">
                  <c:v>5.2641817554611836E-2</c:v>
                </c:pt>
                <c:pt idx="71">
                  <c:v>5.266256713013806E-2</c:v>
                </c:pt>
                <c:pt idx="72">
                  <c:v>5.2683316251195378E-2</c:v>
                </c:pt>
                <c:pt idx="73">
                  <c:v>5.2704064917793669E-2</c:v>
                </c:pt>
                <c:pt idx="74">
                  <c:v>5.2724813129942816E-2</c:v>
                </c:pt>
                <c:pt idx="75">
                  <c:v>5.2745560887653031E-2</c:v>
                </c:pt>
                <c:pt idx="76">
                  <c:v>5.2766308190933975E-2</c:v>
                </c:pt>
                <c:pt idx="77">
                  <c:v>5.2787055039795749E-2</c:v>
                </c:pt>
                <c:pt idx="78">
                  <c:v>5.2807801434248347E-2</c:v>
                </c:pt>
                <c:pt idx="79">
                  <c:v>5.2828547374301649E-2</c:v>
                </c:pt>
                <c:pt idx="80">
                  <c:v>5.2849292859965646E-2</c:v>
                </c:pt>
                <c:pt idx="81">
                  <c:v>5.2870037891250221E-2</c:v>
                </c:pt>
                <c:pt idx="82">
                  <c:v>5.2890782468165365E-2</c:v>
                </c:pt>
                <c:pt idx="83">
                  <c:v>5.2911526590720959E-2</c:v>
                </c:pt>
                <c:pt idx="84">
                  <c:v>5.2932270258927216E-2</c:v>
                </c:pt>
                <c:pt idx="85">
                  <c:v>5.2953013472793797E-2</c:v>
                </c:pt>
                <c:pt idx="86">
                  <c:v>5.2973756232330693E-2</c:v>
                </c:pt>
                <c:pt idx="87">
                  <c:v>5.2994498537548007E-2</c:v>
                </c:pt>
                <c:pt idx="88">
                  <c:v>5.301524038845562E-2</c:v>
                </c:pt>
                <c:pt idx="89">
                  <c:v>5.3035981785063413E-2</c:v>
                </c:pt>
                <c:pt idx="90">
                  <c:v>5.3056722727381378E-2</c:v>
                </c:pt>
                <c:pt idx="91">
                  <c:v>5.3077463215419507E-2</c:v>
                </c:pt>
                <c:pt idx="92">
                  <c:v>5.3098203249187681E-2</c:v>
                </c:pt>
                <c:pt idx="93">
                  <c:v>5.3118942828696003E-2</c:v>
                </c:pt>
                <c:pt idx="94">
                  <c:v>5.3139681953954243E-2</c:v>
                </c:pt>
                <c:pt idx="95">
                  <c:v>5.3160420624972393E-2</c:v>
                </c:pt>
                <c:pt idx="96">
                  <c:v>5.3181158841760445E-2</c:v>
                </c:pt>
                <c:pt idx="97">
                  <c:v>5.320189660432828E-2</c:v>
                </c:pt>
                <c:pt idx="98">
                  <c:v>5.3222633912685891E-2</c:v>
                </c:pt>
                <c:pt idx="99">
                  <c:v>5.3243370766843268E-2</c:v>
                </c:pt>
                <c:pt idx="100">
                  <c:v>5.3264107166810293E-2</c:v>
                </c:pt>
                <c:pt idx="101">
                  <c:v>5.3284843112596958E-2</c:v>
                </c:pt>
                <c:pt idx="102">
                  <c:v>5.3305578604213255E-2</c:v>
                </c:pt>
                <c:pt idx="103">
                  <c:v>5.3326313641668954E-2</c:v>
                </c:pt>
                <c:pt idx="104">
                  <c:v>5.3347048224974158E-2</c:v>
                </c:pt>
                <c:pt idx="105">
                  <c:v>5.336778235413886E-2</c:v>
                </c:pt>
                <c:pt idx="106">
                  <c:v>5.3388516029172828E-2</c:v>
                </c:pt>
                <c:pt idx="107">
                  <c:v>5.3409249250086055E-2</c:v>
                </c:pt>
                <c:pt idx="108">
                  <c:v>5.3429982016888644E-2</c:v>
                </c:pt>
                <c:pt idx="109">
                  <c:v>5.3450714329590365E-2</c:v>
                </c:pt>
                <c:pt idx="110">
                  <c:v>5.347144618820121E-2</c:v>
                </c:pt>
                <c:pt idx="111">
                  <c:v>5.3492177592731283E-2</c:v>
                </c:pt>
                <c:pt idx="112">
                  <c:v>5.3512908543190241E-2</c:v>
                </c:pt>
                <c:pt idx="113">
                  <c:v>5.3533639039588299E-2</c:v>
                </c:pt>
                <c:pt idx="114">
                  <c:v>5.3554369081935116E-2</c:v>
                </c:pt>
                <c:pt idx="115">
                  <c:v>5.3575098670240906E-2</c:v>
                </c:pt>
                <c:pt idx="116">
                  <c:v>5.359582780451555E-2</c:v>
                </c:pt>
                <c:pt idx="117">
                  <c:v>5.3616556484768929E-2</c:v>
                </c:pt>
                <c:pt idx="118">
                  <c:v>5.3637284711010924E-2</c:v>
                </c:pt>
                <c:pt idx="119">
                  <c:v>5.3658012483251638E-2</c:v>
                </c:pt>
                <c:pt idx="120">
                  <c:v>5.3678739801500952E-2</c:v>
                </c:pt>
                <c:pt idx="121">
                  <c:v>5.3699466665768858E-2</c:v>
                </c:pt>
                <c:pt idx="122">
                  <c:v>5.3720193076065126E-2</c:v>
                </c:pt>
                <c:pt idx="123">
                  <c:v>5.3740919032399859E-2</c:v>
                </c:pt>
                <c:pt idx="124">
                  <c:v>5.3761644534782937E-2</c:v>
                </c:pt>
                <c:pt idx="125">
                  <c:v>5.3782369583224354E-2</c:v>
                </c:pt>
                <c:pt idx="126">
                  <c:v>5.3803094177734101E-2</c:v>
                </c:pt>
                <c:pt idx="127">
                  <c:v>5.3823818318321948E-2</c:v>
                </c:pt>
                <c:pt idx="128">
                  <c:v>5.3844542004997886E-2</c:v>
                </c:pt>
                <c:pt idx="129">
                  <c:v>5.386526523777202E-2</c:v>
                </c:pt>
                <c:pt idx="130">
                  <c:v>5.3885988016654007E-2</c:v>
                </c:pt>
                <c:pt idx="131">
                  <c:v>5.3906710341654063E-2</c:v>
                </c:pt>
                <c:pt idx="132">
                  <c:v>5.3927432212782067E-2</c:v>
                </c:pt>
                <c:pt idx="133">
                  <c:v>5.394815363004779E-2</c:v>
                </c:pt>
                <c:pt idx="134">
                  <c:v>5.3968874593461336E-2</c:v>
                </c:pt>
                <c:pt idx="135">
                  <c:v>5.3989595103032695E-2</c:v>
                </c:pt>
                <c:pt idx="136">
                  <c:v>5.4010315158771638E-2</c:v>
                </c:pt>
                <c:pt idx="137">
                  <c:v>5.4031034760688157E-2</c:v>
                </c:pt>
                <c:pt idx="138">
                  <c:v>5.4051753908792244E-2</c:v>
                </c:pt>
                <c:pt idx="139">
                  <c:v>5.407247260309378E-2</c:v>
                </c:pt>
                <c:pt idx="140">
                  <c:v>5.4093190843602756E-2</c:v>
                </c:pt>
                <c:pt idx="141">
                  <c:v>5.4113908630329166E-2</c:v>
                </c:pt>
                <c:pt idx="142">
                  <c:v>5.4134625963282779E-2</c:v>
                </c:pt>
                <c:pt idx="143">
                  <c:v>5.4155342842473697E-2</c:v>
                </c:pt>
                <c:pt idx="144">
                  <c:v>5.4176059267911802E-2</c:v>
                </c:pt>
                <c:pt idx="145">
                  <c:v>5.4196775239606976E-2</c:v>
                </c:pt>
                <c:pt idx="146">
                  <c:v>5.4217490757569209E-2</c:v>
                </c:pt>
                <c:pt idx="147">
                  <c:v>5.4238205821808494E-2</c:v>
                </c:pt>
                <c:pt idx="148">
                  <c:v>5.4258920432334601E-2</c:v>
                </c:pt>
                <c:pt idx="149">
                  <c:v>5.4279634589157633E-2</c:v>
                </c:pt>
                <c:pt idx="150">
                  <c:v>5.430034829228747E-2</c:v>
                </c:pt>
                <c:pt idx="151">
                  <c:v>5.4321061541733995E-2</c:v>
                </c:pt>
                <c:pt idx="152">
                  <c:v>5.4341774337507309E-2</c:v>
                </c:pt>
                <c:pt idx="153">
                  <c:v>5.4362486679617184E-2</c:v>
                </c:pt>
                <c:pt idx="154">
                  <c:v>5.438319856807361E-2</c:v>
                </c:pt>
                <c:pt idx="155">
                  <c:v>5.4403910002886469E-2</c:v>
                </c:pt>
                <c:pt idx="156">
                  <c:v>5.4424620984065863E-2</c:v>
                </c:pt>
                <c:pt idx="157">
                  <c:v>5.4445331511621453E-2</c:v>
                </c:pt>
                <c:pt idx="158">
                  <c:v>5.4466041585563452E-2</c:v>
                </c:pt>
                <c:pt idx="159">
                  <c:v>5.448675120590174E-2</c:v>
                </c:pt>
                <c:pt idx="160">
                  <c:v>5.4507460372646088E-2</c:v>
                </c:pt>
                <c:pt idx="161">
                  <c:v>5.4528169085806599E-2</c:v>
                </c:pt>
                <c:pt idx="162">
                  <c:v>5.4548877345393043E-2</c:v>
                </c:pt>
                <c:pt idx="163">
                  <c:v>5.4569585151415523E-2</c:v>
                </c:pt>
                <c:pt idx="164">
                  <c:v>5.4590292503883919E-2</c:v>
                </c:pt>
                <c:pt idx="165">
                  <c:v>5.4610999402808114E-2</c:v>
                </c:pt>
                <c:pt idx="166">
                  <c:v>5.4631705848198098E-2</c:v>
                </c:pt>
                <c:pt idx="167">
                  <c:v>5.4652411840063864E-2</c:v>
                </c:pt>
                <c:pt idx="168">
                  <c:v>5.4673117378415181E-2</c:v>
                </c:pt>
                <c:pt idx="169">
                  <c:v>5.4693822463262043E-2</c:v>
                </c:pt>
                <c:pt idx="170">
                  <c:v>5.471452709461444E-2</c:v>
                </c:pt>
                <c:pt idx="171">
                  <c:v>5.4735231272482254E-2</c:v>
                </c:pt>
                <c:pt idx="172">
                  <c:v>5.4755934996875477E-2</c:v>
                </c:pt>
                <c:pt idx="173">
                  <c:v>5.477663826780399E-2</c:v>
                </c:pt>
                <c:pt idx="174">
                  <c:v>5.4797341085277784E-2</c:v>
                </c:pt>
                <c:pt idx="175">
                  <c:v>5.481804344930663E-2</c:v>
                </c:pt>
                <c:pt idx="176">
                  <c:v>5.4838745359900742E-2</c:v>
                </c:pt>
                <c:pt idx="177">
                  <c:v>5.4859446817069779E-2</c:v>
                </c:pt>
                <c:pt idx="178">
                  <c:v>5.4880147820823733E-2</c:v>
                </c:pt>
                <c:pt idx="179">
                  <c:v>5.4900848371172595E-2</c:v>
                </c:pt>
                <c:pt idx="180">
                  <c:v>5.4921548468126358E-2</c:v>
                </c:pt>
                <c:pt idx="181">
                  <c:v>5.4942248111694791E-2</c:v>
                </c:pt>
                <c:pt idx="182">
                  <c:v>5.4962947301887888E-2</c:v>
                </c:pt>
                <c:pt idx="183">
                  <c:v>5.4983646038715639E-2</c:v>
                </c:pt>
                <c:pt idx="184">
                  <c:v>5.5004344322187926E-2</c:v>
                </c:pt>
                <c:pt idx="185">
                  <c:v>5.502504215231474E-2</c:v>
                </c:pt>
                <c:pt idx="186">
                  <c:v>5.5045739529105853E-2</c:v>
                </c:pt>
                <c:pt idx="187">
                  <c:v>5.5066436452571366E-2</c:v>
                </c:pt>
                <c:pt idx="188">
                  <c:v>5.508713292272116E-2</c:v>
                </c:pt>
                <c:pt idx="189">
                  <c:v>5.5107828939565007E-2</c:v>
                </c:pt>
                <c:pt idx="190">
                  <c:v>5.5128524503113119E-2</c:v>
                </c:pt>
                <c:pt idx="191">
                  <c:v>5.5149219613375156E-2</c:v>
                </c:pt>
                <c:pt idx="192">
                  <c:v>5.5169914270361331E-2</c:v>
                </c:pt>
                <c:pt idx="193">
                  <c:v>5.5190608474081193E-2</c:v>
                </c:pt>
                <c:pt idx="194">
                  <c:v>5.5211302224545067E-2</c:v>
                </c:pt>
                <c:pt idx="195">
                  <c:v>5.5231995521762611E-2</c:v>
                </c:pt>
                <c:pt idx="196">
                  <c:v>5.5252688365743818E-2</c:v>
                </c:pt>
                <c:pt idx="197">
                  <c:v>5.527338075649868E-2</c:v>
                </c:pt>
                <c:pt idx="198">
                  <c:v>5.5294072694037077E-2</c:v>
                </c:pt>
                <c:pt idx="199">
                  <c:v>5.5314764178368891E-2</c:v>
                </c:pt>
                <c:pt idx="200">
                  <c:v>5.5335455209504225E-2</c:v>
                </c:pt>
                <c:pt idx="201">
                  <c:v>5.5356145787452737E-2</c:v>
                </c:pt>
                <c:pt idx="202">
                  <c:v>5.5376835912224531E-2</c:v>
                </c:pt>
                <c:pt idx="203">
                  <c:v>5.5397525583829488E-2</c:v>
                </c:pt>
                <c:pt idx="204">
                  <c:v>5.5418214802277599E-2</c:v>
                </c:pt>
                <c:pt idx="205">
                  <c:v>5.5438903567578635E-2</c:v>
                </c:pt>
                <c:pt idx="206">
                  <c:v>5.5459591879742698E-2</c:v>
                </c:pt>
                <c:pt idx="207">
                  <c:v>5.5480279738779559E-2</c:v>
                </c:pt>
                <c:pt idx="208">
                  <c:v>5.5500967144699209E-2</c:v>
                </c:pt>
                <c:pt idx="209">
                  <c:v>5.5521654097511641E-2</c:v>
                </c:pt>
                <c:pt idx="210">
                  <c:v>5.5542340597226625E-2</c:v>
                </c:pt>
                <c:pt idx="211">
                  <c:v>5.5563026643854263E-2</c:v>
                </c:pt>
                <c:pt idx="212">
                  <c:v>5.5583712237404326E-2</c:v>
                </c:pt>
                <c:pt idx="213">
                  <c:v>5.5604397377886916E-2</c:v>
                </c:pt>
                <c:pt idx="214">
                  <c:v>5.5625082065311693E-2</c:v>
                </c:pt>
                <c:pt idx="215">
                  <c:v>5.564576629968887E-2</c:v>
                </c:pt>
                <c:pt idx="216">
                  <c:v>5.5666450081028107E-2</c:v>
                </c:pt>
                <c:pt idx="217">
                  <c:v>5.5687133409339507E-2</c:v>
                </c:pt>
                <c:pt idx="218">
                  <c:v>5.5707816284632949E-2</c:v>
                </c:pt>
                <c:pt idx="219">
                  <c:v>5.5728498706918317E-2</c:v>
                </c:pt>
                <c:pt idx="220">
                  <c:v>5.5749180676205601E-2</c:v>
                </c:pt>
                <c:pt idx="221">
                  <c:v>5.5769862192504571E-2</c:v>
                </c:pt>
                <c:pt idx="222">
                  <c:v>5.5790543255825331E-2</c:v>
                </c:pt>
                <c:pt idx="223">
                  <c:v>5.5811223866177762E-2</c:v>
                </c:pt>
                <c:pt idx="224">
                  <c:v>5.5831904023571632E-2</c:v>
                </c:pt>
                <c:pt idx="225">
                  <c:v>5.5852583728017047E-2</c:v>
                </c:pt>
                <c:pt idx="226">
                  <c:v>5.5873262979523886E-2</c:v>
                </c:pt>
                <c:pt idx="227">
                  <c:v>5.589394177810203E-2</c:v>
                </c:pt>
                <c:pt idx="228">
                  <c:v>5.5914620123761472E-2</c:v>
                </c:pt>
                <c:pt idx="229">
                  <c:v>5.5935298016511981E-2</c:v>
                </c:pt>
                <c:pt idx="230">
                  <c:v>5.595597545636366E-2</c:v>
                </c:pt>
                <c:pt idx="231">
                  <c:v>5.597665244332628E-2</c:v>
                </c:pt>
                <c:pt idx="232">
                  <c:v>5.5997328977409833E-2</c:v>
                </c:pt>
                <c:pt idx="233">
                  <c:v>5.6018005058624198E-2</c:v>
                </c:pt>
                <c:pt idx="234">
                  <c:v>5.603868068697937E-2</c:v>
                </c:pt>
                <c:pt idx="235">
                  <c:v>5.6059355862485116E-2</c:v>
                </c:pt>
                <c:pt idx="236">
                  <c:v>5.6080030585151541E-2</c:v>
                </c:pt>
                <c:pt idx="237">
                  <c:v>5.6100704854988526E-2</c:v>
                </c:pt>
                <c:pt idx="238">
                  <c:v>5.6121378672005839E-2</c:v>
                </c:pt>
                <c:pt idx="239">
                  <c:v>5.6142052036213586E-2</c:v>
                </c:pt>
                <c:pt idx="240">
                  <c:v>5.6162724947621534E-2</c:v>
                </c:pt>
                <c:pt idx="241">
                  <c:v>5.6183397406239677E-2</c:v>
                </c:pt>
                <c:pt idx="242">
                  <c:v>5.6204069412077895E-2</c:v>
                </c:pt>
                <c:pt idx="243">
                  <c:v>5.622474096514618E-2</c:v>
                </c:pt>
                <c:pt idx="244">
                  <c:v>5.6245412065454414E-2</c:v>
                </c:pt>
                <c:pt idx="245">
                  <c:v>5.6266082713012477E-2</c:v>
                </c:pt>
                <c:pt idx="246">
                  <c:v>5.6286752907830362E-2</c:v>
                </c:pt>
                <c:pt idx="247">
                  <c:v>5.6307422649917838E-2</c:v>
                </c:pt>
                <c:pt idx="248">
                  <c:v>5.6328091939285008E-2</c:v>
                </c:pt>
                <c:pt idx="249">
                  <c:v>5.6348760775941642E-2</c:v>
                </c:pt>
                <c:pt idx="250">
                  <c:v>5.6369429159897733E-2</c:v>
                </c:pt>
                <c:pt idx="251">
                  <c:v>5.639009709116316E-2</c:v>
                </c:pt>
                <c:pt idx="252">
                  <c:v>5.6410764569747807E-2</c:v>
                </c:pt>
                <c:pt idx="253">
                  <c:v>5.6431431595661663E-2</c:v>
                </c:pt>
                <c:pt idx="254">
                  <c:v>5.6452098168914611E-2</c:v>
                </c:pt>
                <c:pt idx="255">
                  <c:v>5.647276428951653E-2</c:v>
                </c:pt>
                <c:pt idx="256">
                  <c:v>5.6493429957477415E-2</c:v>
                </c:pt>
                <c:pt idx="257">
                  <c:v>5.6514095172807144E-2</c:v>
                </c:pt>
                <c:pt idx="258">
                  <c:v>5.6534759935515599E-2</c:v>
                </c:pt>
                <c:pt idx="259">
                  <c:v>5.6555424245612773E-2</c:v>
                </c:pt>
                <c:pt idx="260">
                  <c:v>5.6576088103108435E-2</c:v>
                </c:pt>
                <c:pt idx="261">
                  <c:v>5.6596751508012577E-2</c:v>
                </c:pt>
                <c:pt idx="262">
                  <c:v>5.6617414460335191E-2</c:v>
                </c:pt>
                <c:pt idx="263">
                  <c:v>5.6638076960086048E-2</c:v>
                </c:pt>
                <c:pt idx="264">
                  <c:v>5.6658739007275249E-2</c:v>
                </c:pt>
                <c:pt idx="265">
                  <c:v>5.6679400601912455E-2</c:v>
                </c:pt>
                <c:pt idx="266">
                  <c:v>5.6700061744007768E-2</c:v>
                </c:pt>
                <c:pt idx="267">
                  <c:v>5.6720722433571069E-2</c:v>
                </c:pt>
                <c:pt idx="268">
                  <c:v>5.6741382670612239E-2</c:v>
                </c:pt>
                <c:pt idx="269">
                  <c:v>5.676204245514116E-2</c:v>
                </c:pt>
                <c:pt idx="270">
                  <c:v>5.6782701787167822E-2</c:v>
                </c:pt>
                <c:pt idx="271">
                  <c:v>5.6803360666702107E-2</c:v>
                </c:pt>
                <c:pt idx="272">
                  <c:v>5.6824019093753786E-2</c:v>
                </c:pt>
                <c:pt idx="273">
                  <c:v>5.6844677068333072E-2</c:v>
                </c:pt>
                <c:pt idx="274">
                  <c:v>5.6865334590449512E-2</c:v>
                </c:pt>
                <c:pt idx="275">
                  <c:v>5.6885991660113322E-2</c:v>
                </c:pt>
                <c:pt idx="276">
                  <c:v>5.6906648277334271E-2</c:v>
                </c:pt>
                <c:pt idx="277">
                  <c:v>5.692730444212224E-2</c:v>
                </c:pt>
                <c:pt idx="278">
                  <c:v>5.6947960154487332E-2</c:v>
                </c:pt>
                <c:pt idx="279">
                  <c:v>5.6968615414439094E-2</c:v>
                </c:pt>
                <c:pt idx="280">
                  <c:v>5.6989270221987853E-2</c:v>
                </c:pt>
                <c:pt idx="281">
                  <c:v>5.7009924577143156E-2</c:v>
                </c:pt>
                <c:pt idx="282">
                  <c:v>5.7030578479915217E-2</c:v>
                </c:pt>
                <c:pt idx="283">
                  <c:v>5.7051231930313695E-2</c:v>
                </c:pt>
                <c:pt idx="284">
                  <c:v>5.7071884928348693E-2</c:v>
                </c:pt>
                <c:pt idx="285">
                  <c:v>5.7092537474029981E-2</c:v>
                </c:pt>
                <c:pt idx="286">
                  <c:v>5.7113189567367439E-2</c:v>
                </c:pt>
                <c:pt idx="287">
                  <c:v>5.7133841208371172E-2</c:v>
                </c:pt>
                <c:pt idx="288">
                  <c:v>5.7154492397050949E-2</c:v>
                </c:pt>
                <c:pt idx="289">
                  <c:v>5.717514313341665E-2</c:v>
                </c:pt>
                <c:pt idx="290">
                  <c:v>5.7195793417478158E-2</c:v>
                </c:pt>
                <c:pt idx="291">
                  <c:v>5.7216443249245574E-2</c:v>
                </c:pt>
                <c:pt idx="292">
                  <c:v>5.723709262872867E-2</c:v>
                </c:pt>
                <c:pt idx="293">
                  <c:v>5.7257741555937325E-2</c:v>
                </c:pt>
                <c:pt idx="294">
                  <c:v>5.7278390030881421E-2</c:v>
                </c:pt>
                <c:pt idx="295">
                  <c:v>5.729903805357095E-2</c:v>
                </c:pt>
                <c:pt idx="296">
                  <c:v>5.7319685624015904E-2</c:v>
                </c:pt>
                <c:pt idx="297">
                  <c:v>5.7340332742225941E-2</c:v>
                </c:pt>
                <c:pt idx="298">
                  <c:v>5.7360979408211166E-2</c:v>
                </c:pt>
                <c:pt idx="299">
                  <c:v>5.7381625621981347E-2</c:v>
                </c:pt>
                <c:pt idx="300">
                  <c:v>5.7402271383546588E-2</c:v>
                </c:pt>
                <c:pt idx="301">
                  <c:v>5.7422916692916548E-2</c:v>
                </c:pt>
                <c:pt idx="302">
                  <c:v>5.744356155010133E-2</c:v>
                </c:pt>
                <c:pt idx="303">
                  <c:v>5.7464205955110703E-2</c:v>
                </c:pt>
                <c:pt idx="304">
                  <c:v>5.7484849907954549E-2</c:v>
                </c:pt>
                <c:pt idx="305">
                  <c:v>5.7505493408642971E-2</c:v>
                </c:pt>
                <c:pt idx="306">
                  <c:v>5.7526136457185739E-2</c:v>
                </c:pt>
                <c:pt idx="307">
                  <c:v>5.7546779053592734E-2</c:v>
                </c:pt>
                <c:pt idx="308">
                  <c:v>5.7567421197873836E-2</c:v>
                </c:pt>
                <c:pt idx="309">
                  <c:v>5.7588062890039149E-2</c:v>
                </c:pt>
                <c:pt idx="310">
                  <c:v>5.7608704130098332E-2</c:v>
                </c:pt>
                <c:pt idx="311">
                  <c:v>5.7629344918061376E-2</c:v>
                </c:pt>
                <c:pt idx="312">
                  <c:v>5.7649985253938163E-2</c:v>
                </c:pt>
                <c:pt idx="313">
                  <c:v>5.7670625137738685E-2</c:v>
                </c:pt>
                <c:pt idx="314">
                  <c:v>5.7691264569472711E-2</c:v>
                </c:pt>
                <c:pt idx="315">
                  <c:v>5.7711903549150234E-2</c:v>
                </c:pt>
                <c:pt idx="316">
                  <c:v>5.7732542076781246E-2</c:v>
                </c:pt>
                <c:pt idx="317">
                  <c:v>5.7753180152375405E-2</c:v>
                </c:pt>
                <c:pt idx="318">
                  <c:v>5.7773817775942815E-2</c:v>
                </c:pt>
                <c:pt idx="319">
                  <c:v>5.7794454947493246E-2</c:v>
                </c:pt>
                <c:pt idx="320">
                  <c:v>5.7815091667036689E-2</c:v>
                </c:pt>
                <c:pt idx="321">
                  <c:v>5.7835727934583026E-2</c:v>
                </c:pt>
                <c:pt idx="322">
                  <c:v>5.7856363750142137E-2</c:v>
                </c:pt>
                <c:pt idx="323">
                  <c:v>5.7876999113723904E-2</c:v>
                </c:pt>
                <c:pt idx="324">
                  <c:v>5.7897634025338207E-2</c:v>
                </c:pt>
                <c:pt idx="325">
                  <c:v>5.7918268484995039E-2</c:v>
                </c:pt>
                <c:pt idx="326">
                  <c:v>5.7938902492704281E-2</c:v>
                </c:pt>
                <c:pt idx="327">
                  <c:v>5.7959536048475702E-2</c:v>
                </c:pt>
                <c:pt idx="328">
                  <c:v>5.7980169152319405E-2</c:v>
                </c:pt>
                <c:pt idx="329">
                  <c:v>5.8000801804245161E-2</c:v>
                </c:pt>
                <c:pt idx="330">
                  <c:v>5.8021434004262851E-2</c:v>
                </c:pt>
                <c:pt idx="331">
                  <c:v>5.8042065752382355E-2</c:v>
                </c:pt>
                <c:pt idx="332">
                  <c:v>5.8062697048613776E-2</c:v>
                </c:pt>
                <c:pt idx="333">
                  <c:v>5.8083327892966774E-2</c:v>
                </c:pt>
                <c:pt idx="334">
                  <c:v>5.8103958285451229E-2</c:v>
                </c:pt>
                <c:pt idx="335">
                  <c:v>5.8124588226077356E-2</c:v>
                </c:pt>
                <c:pt idx="336">
                  <c:v>5.8145217714854702E-2</c:v>
                </c:pt>
                <c:pt idx="337">
                  <c:v>5.816584675179326E-2</c:v>
                </c:pt>
                <c:pt idx="338">
                  <c:v>5.8186475336903021E-2</c:v>
                </c:pt>
                <c:pt idx="339">
                  <c:v>5.8207103470193866E-2</c:v>
                </c:pt>
                <c:pt idx="340">
                  <c:v>5.8227731151675677E-2</c:v>
                </c:pt>
                <c:pt idx="341">
                  <c:v>5.8248358381358223E-2</c:v>
                </c:pt>
                <c:pt idx="342">
                  <c:v>5.8268985159251607E-2</c:v>
                </c:pt>
                <c:pt idx="343">
                  <c:v>5.8289611485365489E-2</c:v>
                </c:pt>
                <c:pt idx="344">
                  <c:v>5.8310237359709971E-2</c:v>
                </c:pt>
                <c:pt idx="345">
                  <c:v>5.8330862782294823E-2</c:v>
                </c:pt>
                <c:pt idx="346">
                  <c:v>5.8351487753130038E-2</c:v>
                </c:pt>
                <c:pt idx="347">
                  <c:v>5.8372112272225496E-2</c:v>
                </c:pt>
                <c:pt idx="348">
                  <c:v>5.8392736339590967E-2</c:v>
                </c:pt>
                <c:pt idx="349">
                  <c:v>5.8413359955236444E-2</c:v>
                </c:pt>
                <c:pt idx="350">
                  <c:v>5.8433983119171917E-2</c:v>
                </c:pt>
                <c:pt idx="351">
                  <c:v>5.8454605831407047E-2</c:v>
                </c:pt>
                <c:pt idx="352">
                  <c:v>5.8475228091951936E-2</c:v>
                </c:pt>
                <c:pt idx="353">
                  <c:v>5.8495849900816355E-2</c:v>
                </c:pt>
                <c:pt idx="354">
                  <c:v>5.8516471258010183E-2</c:v>
                </c:pt>
                <c:pt idx="355">
                  <c:v>5.8537092163543414E-2</c:v>
                </c:pt>
                <c:pt idx="356">
                  <c:v>5.8557712617425928E-2</c:v>
                </c:pt>
                <c:pt idx="357">
                  <c:v>5.8578332619667495E-2</c:v>
                </c:pt>
                <c:pt idx="358">
                  <c:v>5.8598952170278107E-2</c:v>
                </c:pt>
                <c:pt idx="359">
                  <c:v>5.8619571269267756E-2</c:v>
                </c:pt>
                <c:pt idx="360">
                  <c:v>5.8640189916646102E-2</c:v>
                </c:pt>
                <c:pt idx="361">
                  <c:v>5.8660808112423246E-2</c:v>
                </c:pt>
                <c:pt idx="362">
                  <c:v>5.8681425856608849E-2</c:v>
                </c:pt>
                <c:pt idx="363">
                  <c:v>5.8702043149213123E-2</c:v>
                </c:pt>
                <c:pt idx="364">
                  <c:v>5.8722659990245618E-2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5.170469042329006E-2</c:v>
                </c:pt>
                <c:pt idx="1">
                  <c:v>5.1757409967466861E-2</c:v>
                </c:pt>
                <c:pt idx="2">
                  <c:v>5.181018544536397E-2</c:v>
                </c:pt>
                <c:pt idx="3">
                  <c:v>5.186300515349937E-2</c:v>
                </c:pt>
                <c:pt idx="4">
                  <c:v>5.191585890371176E-2</c:v>
                </c:pt>
                <c:pt idx="5">
                  <c:v>5.1968737980680024E-2</c:v>
                </c:pt>
                <c:pt idx="6">
                  <c:v>5.2021635087653166E-2</c:v>
                </c:pt>
                <c:pt idx="7">
                  <c:v>5.2074544281303183E-2</c:v>
                </c:pt>
                <c:pt idx="8">
                  <c:v>5.2127460896695871E-2</c:v>
                </c:pt>
                <c:pt idx="9">
                  <c:v>5.2180381463446578E-2</c:v>
                </c:pt>
                <c:pt idx="10">
                  <c:v>5.2233303614188001E-2</c:v>
                </c:pt>
                <c:pt idx="11">
                  <c:v>5.2286225986525346E-2</c:v>
                </c:pt>
                <c:pt idx="12">
                  <c:v>5.2339148119691092E-2</c:v>
                </c:pt>
                <c:pt idx="13">
                  <c:v>5.2392070347135097E-2</c:v>
                </c:pt>
                <c:pt idx="14">
                  <c:v>5.2444993686297459E-2</c:v>
                </c:pt>
                <c:pt idx="15">
                  <c:v>5.2497919726811233E-2</c:v>
                </c:pt>
                <c:pt idx="16">
                  <c:v>5.2550850518368608E-2</c:v>
                </c:pt>
                <c:pt idx="17">
                  <c:v>5.2603788459459878E-2</c:v>
                </c:pt>
                <c:pt idx="18">
                  <c:v>5.2656736188158401E-2</c:v>
                </c:pt>
                <c:pt idx="19">
                  <c:v>5.2709696476077303E-2</c:v>
                </c:pt>
                <c:pt idx="20">
                  <c:v>5.2762672126566885E-2</c:v>
                </c:pt>
                <c:pt idx="21">
                  <c:v>5.2815665878154561E-2</c:v>
                </c:pt>
                <c:pt idx="22">
                  <c:v>5.2868680314153212E-2</c:v>
                </c:pt>
                <c:pt idx="23">
                  <c:v>5.2921717779281612E-2</c:v>
                </c:pt>
                <c:pt idx="24">
                  <c:v>5.2974780304048598E-2</c:v>
                </c:pt>
                <c:pt idx="25">
                  <c:v>5.3027869537558017E-2</c:v>
                </c:pt>
                <c:pt idx="26">
                  <c:v>5.3080986689289615E-2</c:v>
                </c:pt>
                <c:pt idx="27">
                  <c:v>5.313413248030685E-2</c:v>
                </c:pt>
                <c:pt idx="28">
                  <c:v>5.3187307104235013E-2</c:v>
                </c:pt>
                <c:pt idx="29">
                  <c:v>5.3240510198244925E-2</c:v>
                </c:pt>
                <c:pt idx="30">
                  <c:v>5.3293740824167962E-2</c:v>
                </c:pt>
                <c:pt idx="31">
                  <c:v>5.3346997459760279E-2</c:v>
                </c:pt>
                <c:pt idx="32">
                  <c:v>5.3400278000028126E-2</c:v>
                </c:pt>
                <c:pt idx="33">
                  <c:v>5.345357976842232E-2</c:v>
                </c:pt>
                <c:pt idx="34">
                  <c:v>5.3506899537611091E-2</c:v>
                </c:pt>
                <c:pt idx="35">
                  <c:v>5.3560233559446176E-2</c:v>
                </c:pt>
                <c:pt idx="36">
                  <c:v>5.361357760364819E-2</c:v>
                </c:pt>
                <c:pt idx="37">
                  <c:v>5.3666927004656043E-2</c:v>
                </c:pt>
                <c:pt idx="38">
                  <c:v>5.3720276716009985E-2</c:v>
                </c:pt>
                <c:pt idx="39">
                  <c:v>5.3773621371572086E-2</c:v>
                </c:pt>
                <c:pt idx="40">
                  <c:v>5.3826955352829726E-2</c:v>
                </c:pt>
                <c:pt idx="41">
                  <c:v>5.3880272861479013E-2</c:v>
                </c:pt>
                <c:pt idx="42">
                  <c:v>5.3933567996445393E-2</c:v>
                </c:pt>
                <c:pt idx="43">
                  <c:v>5.3986834834469297E-2</c:v>
                </c:pt>
                <c:pt idx="44">
                  <c:v>5.404006751336405E-2</c:v>
                </c:pt>
                <c:pt idx="45">
                  <c:v>5.4093260317043479E-2</c:v>
                </c:pt>
                <c:pt idx="46">
                  <c:v>5.4146407761415653E-2</c:v>
                </c:pt>
                <c:pt idx="47">
                  <c:v>5.4199504680248194E-2</c:v>
                </c:pt>
                <c:pt idx="48">
                  <c:v>5.4252546310129039E-2</c:v>
                </c:pt>
                <c:pt idx="49">
                  <c:v>5.4305528373672821E-2</c:v>
                </c:pt>
                <c:pt idx="50">
                  <c:v>5.4358447160158925E-2</c:v>
                </c:pt>
                <c:pt idx="51">
                  <c:v>5.4411299602830268E-2</c:v>
                </c:pt>
                <c:pt idx="52">
                  <c:v>5.446408335213182E-2</c:v>
                </c:pt>
                <c:pt idx="53">
                  <c:v>5.4516796844225182E-2</c:v>
                </c:pt>
                <c:pt idx="54">
                  <c:v>5.4569439364177408E-2</c:v>
                </c:pt>
                <c:pt idx="55">
                  <c:v>5.4622011103290097E-2</c:v>
                </c:pt>
                <c:pt idx="56">
                  <c:v>5.4674513210105635E-2</c:v>
                </c:pt>
                <c:pt idx="57">
                  <c:v>5.4726947834702562E-2</c:v>
                </c:pt>
                <c:pt idx="58">
                  <c:v>5.4779318165967907E-2</c:v>
                </c:pt>
                <c:pt idx="59">
                  <c:v>5.4831628461613179E-2</c:v>
                </c:pt>
                <c:pt idx="60">
                  <c:v>5.4883884070778655E-2</c:v>
                </c:pt>
                <c:pt idx="61">
                  <c:v>5.4936091449148093E-2</c:v>
                </c:pt>
                <c:pt idx="62">
                  <c:v>5.4988258166573441E-2</c:v>
                </c:pt>
                <c:pt idx="63">
                  <c:v>5.5040392907282049E-2</c:v>
                </c:pt>
                <c:pt idx="64">
                  <c:v>5.509250546281088E-2</c:v>
                </c:pt>
                <c:pt idx="65">
                  <c:v>5.514460671787895E-2</c:v>
                </c:pt>
                <c:pt idx="66">
                  <c:v>5.5196708629472152E-2</c:v>
                </c:pt>
                <c:pt idx="67">
                  <c:v>5.5248824199471504E-2</c:v>
                </c:pt>
                <c:pt idx="68">
                  <c:v>5.5300967441208444E-2</c:v>
                </c:pt>
                <c:pt idx="69">
                  <c:v>5.5353153340375334E-2</c:v>
                </c:pt>
                <c:pt idx="70">
                  <c:v>5.5405397810758546E-2</c:v>
                </c:pt>
                <c:pt idx="71">
                  <c:v>5.54577176452931E-2</c:v>
                </c:pt>
                <c:pt idx="72">
                  <c:v>5.5510130462962735E-2</c:v>
                </c:pt>
                <c:pt idx="73">
                  <c:v>5.5562654652085555E-2</c:v>
                </c:pt>
                <c:pt idx="74">
                  <c:v>5.5615309310536716E-2</c:v>
                </c:pt>
                <c:pt idx="75">
                  <c:v>5.5668114183460411E-2</c:v>
                </c:pt>
                <c:pt idx="76">
                  <c:v>5.5721089599020432E-2</c:v>
                </c:pt>
                <c:pt idx="77">
                  <c:v>5.5774256402725167E-2</c:v>
                </c:pt>
                <c:pt idx="78">
                  <c:v>5.5827635890846279E-2</c:v>
                </c:pt>
                <c:pt idx="79">
                  <c:v>5.5881249743424448E-2</c:v>
                </c:pt>
                <c:pt idx="80">
                  <c:v>5.5935119957326057E-2</c:v>
                </c:pt>
                <c:pt idx="81">
                  <c:v>5.5989268779778618E-2</c:v>
                </c:pt>
                <c:pt idx="82">
                  <c:v>5.604371864277307E-2</c:v>
                </c:pt>
                <c:pt idx="83">
                  <c:v>5.6098492098676317E-2</c:v>
                </c:pt>
                <c:pt idx="84">
                  <c:v>5.6153611757350709E-2</c:v>
                </c:pt>
                <c:pt idx="85">
                  <c:v>5.620910022502628E-2</c:v>
                </c:pt>
                <c:pt idx="86">
                  <c:v>5.626498004512083E-2</c:v>
                </c:pt>
                <c:pt idx="87">
                  <c:v>5.6321273641149409E-2</c:v>
                </c:pt>
                <c:pt idx="88">
                  <c:v>5.6378003261812464E-2</c:v>
                </c:pt>
                <c:pt idx="89">
                  <c:v>5.6435190928299142E-2</c:v>
                </c:pt>
                <c:pt idx="90">
                  <c:v>5.6492858383791783E-2</c:v>
                </c:pt>
                <c:pt idx="91">
                  <c:v>5.6551027045108379E-2</c:v>
                </c:pt>
                <c:pt idx="92">
                  <c:v>5.6609717956374102E-2</c:v>
                </c:pt>
                <c:pt idx="93">
                  <c:v>5.6668951744570671E-2</c:v>
                </c:pt>
                <c:pt idx="94">
                  <c:v>5.672874857677359E-2</c:v>
                </c:pt>
                <c:pt idx="95">
                  <c:v>5.6789128118854379E-2</c:v>
                </c:pt>
                <c:pt idx="96">
                  <c:v>5.6850109495396185E-2</c:v>
                </c:pt>
                <c:pt idx="97">
                  <c:v>5.6911711250548482E-2</c:v>
                </c:pt>
                <c:pt idx="98">
                  <c:v>5.697395130953066E-2</c:v>
                </c:pt>
                <c:pt idx="99">
                  <c:v>5.7036846940483187E-2</c:v>
                </c:pt>
                <c:pt idx="100">
                  <c:v>5.7100414716361778E-2</c:v>
                </c:pt>
                <c:pt idx="101">
                  <c:v>5.7164670476573309E-2</c:v>
                </c:pt>
                <c:pt idx="102">
                  <c:v>5.7229629288060579E-2</c:v>
                </c:pt>
                <c:pt idx="103">
                  <c:v>5.7295305405560472E-2</c:v>
                </c:pt>
                <c:pt idx="104">
                  <c:v>5.7361712230781799E-2</c:v>
                </c:pt>
                <c:pt idx="105">
                  <c:v>5.7428862270277985E-2</c:v>
                </c:pt>
                <c:pt idx="106">
                  <c:v>5.7496767091824261E-2</c:v>
                </c:pt>
                <c:pt idx="107">
                  <c:v>5.7565437279149166E-2</c:v>
                </c:pt>
                <c:pt idx="108">
                  <c:v>5.7634882384914397E-2</c:v>
                </c:pt>
                <c:pt idx="109">
                  <c:v>5.7705110881887088E-2</c:v>
                </c:pt>
                <c:pt idx="110">
                  <c:v>5.7776130112300261E-2</c:v>
                </c:pt>
                <c:pt idx="111">
                  <c:v>5.7847946235454507E-2</c:v>
                </c:pt>
                <c:pt idx="112">
                  <c:v>5.7920564173670669E-2</c:v>
                </c:pt>
                <c:pt idx="113">
                  <c:v>5.7993987556763868E-2</c:v>
                </c:pt>
                <c:pt idx="114">
                  <c:v>5.8068218665269206E-2</c:v>
                </c:pt>
                <c:pt idx="115">
                  <c:v>5.8143258372709491E-2</c:v>
                </c:pt>
                <c:pt idx="116">
                  <c:v>5.8219106087254675E-2</c:v>
                </c:pt>
                <c:pt idx="117">
                  <c:v>5.8295759693179856E-2</c:v>
                </c:pt>
                <c:pt idx="118">
                  <c:v>5.837321549258289E-2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7.6962231496880795E-4</c:v>
                </c:pt>
                <c:pt idx="1">
                  <c:v>7.6406572768105373E-4</c:v>
                </c:pt>
                <c:pt idx="2">
                  <c:v>7.5816777740587006E-4</c:v>
                </c:pt>
                <c:pt idx="3">
                  <c:v>7.519719146627257E-4</c:v>
                </c:pt>
                <c:pt idx="4">
                  <c:v>7.455199152352637E-4</c:v>
                </c:pt>
                <c:pt idx="5">
                  <c:v>7.3885172211689298E-4</c:v>
                </c:pt>
                <c:pt idx="6">
                  <c:v>7.3200533431952983E-4</c:v>
                </c:pt>
                <c:pt idx="7">
                  <c:v>7.2501673682820922E-4</c:v>
                </c:pt>
                <c:pt idx="8">
                  <c:v>7.1782092846354409E-4</c:v>
                </c:pt>
                <c:pt idx="9">
                  <c:v>7.0975747975297399E-4</c:v>
                </c:pt>
                <c:pt idx="10">
                  <c:v>7.0070052547087608E-4</c:v>
                </c:pt>
                <c:pt idx="11">
                  <c:v>6.9068520688047804E-4</c:v>
                </c:pt>
                <c:pt idx="12">
                  <c:v>6.7974681884201888E-4</c:v>
                </c:pt>
                <c:pt idx="13">
                  <c:v>6.6792064190063347E-4</c:v>
                </c:pt>
                <c:pt idx="14">
                  <c:v>6.5524178661623697E-4</c:v>
                </c:pt>
                <c:pt idx="15">
                  <c:v>6.4144562363529557E-4</c:v>
                </c:pt>
                <c:pt idx="16">
                  <c:v>6.2691890153941058E-4</c:v>
                </c:pt>
                <c:pt idx="17">
                  <c:v>6.1169403383844754E-4</c:v>
                </c:pt>
                <c:pt idx="18">
                  <c:v>5.958027468868038E-4</c:v>
                </c:pt>
                <c:pt idx="19">
                  <c:v>5.7927922860473349E-4</c:v>
                </c:pt>
                <c:pt idx="20">
                  <c:v>5.6215786222512428E-4</c:v>
                </c:pt>
                <c:pt idx="21">
                  <c:v>5.4446919218374083E-4</c:v>
                </c:pt>
                <c:pt idx="22">
                  <c:v>5.2619323297840002E-4</c:v>
                </c:pt>
                <c:pt idx="23">
                  <c:v>5.0752348406525594E-4</c:v>
                </c:pt>
                <c:pt idx="24">
                  <c:v>4.8901344268682627E-4</c:v>
                </c:pt>
                <c:pt idx="25">
                  <c:v>4.7068919313846745E-4</c:v>
                </c:pt>
                <c:pt idx="26">
                  <c:v>4.5257293902759081E-4</c:v>
                </c:pt>
                <c:pt idx="27">
                  <c:v>4.3468321634078367E-4</c:v>
                </c:pt>
                <c:pt idx="28">
                  <c:v>4.170351189868062E-4</c:v>
                </c:pt>
                <c:pt idx="29">
                  <c:v>4.0004908204692099E-4</c:v>
                </c:pt>
                <c:pt idx="30">
                  <c:v>3.8397974204636452E-4</c:v>
                </c:pt>
                <c:pt idx="31">
                  <c:v>3.688133199311919E-4</c:v>
                </c:pt>
                <c:pt idx="32">
                  <c:v>3.5453445006261748E-4</c:v>
                </c:pt>
                <c:pt idx="33">
                  <c:v>3.41126549266721E-4</c:v>
                </c:pt>
                <c:pt idx="34">
                  <c:v>3.2857215351068703E-4</c:v>
                </c:pt>
                <c:pt idx="35">
                  <c:v>3.1685322325048003E-4</c:v>
                </c:pt>
                <c:pt idx="36">
                  <c:v>3.0593250358057023E-4</c:v>
                </c:pt>
                <c:pt idx="37">
                  <c:v>2.9648915174136235E-4</c:v>
                </c:pt>
                <c:pt idx="38">
                  <c:v>2.8831115646375913E-4</c:v>
                </c:pt>
                <c:pt idx="39">
                  <c:v>2.8136205121274732E-4</c:v>
                </c:pt>
                <c:pt idx="40">
                  <c:v>2.7560690552519028E-4</c:v>
                </c:pt>
                <c:pt idx="41">
                  <c:v>2.710121935646186E-4</c:v>
                </c:pt>
                <c:pt idx="42">
                  <c:v>2.6754567273936704E-4</c:v>
                </c:pt>
                <c:pt idx="43">
                  <c:v>2.6633364321079317E-4</c:v>
                </c:pt>
                <c:pt idx="44">
                  <c:v>2.6696135811802587E-4</c:v>
                </c:pt>
                <c:pt idx="45">
                  <c:v>2.6937979323633272E-4</c:v>
                </c:pt>
                <c:pt idx="46">
                  <c:v>2.7354136353427124E-4</c:v>
                </c:pt>
                <c:pt idx="47">
                  <c:v>2.7939979130863418E-4</c:v>
                </c:pt>
                <c:pt idx="48">
                  <c:v>2.8690998839580087E-4</c:v>
                </c:pt>
                <c:pt idx="49">
                  <c:v>2.9602795214036642E-4</c:v>
                </c:pt>
                <c:pt idx="50">
                  <c:v>3.0670946171089289E-4</c:v>
                </c:pt>
                <c:pt idx="51">
                  <c:v>3.1840164000518232E-4</c:v>
                </c:pt>
                <c:pt idx="52">
                  <c:v>3.3044769184399999E-4</c:v>
                </c:pt>
                <c:pt idx="53">
                  <c:v>3.428388499959401E-4</c:v>
                </c:pt>
                <c:pt idx="54">
                  <c:v>3.5556850850508906E-4</c:v>
                </c:pt>
                <c:pt idx="55">
                  <c:v>3.6863072724960906E-4</c:v>
                </c:pt>
                <c:pt idx="56">
                  <c:v>3.8202025677805195E-4</c:v>
                </c:pt>
                <c:pt idx="57">
                  <c:v>3.9348072802143386E-4</c:v>
                </c:pt>
                <c:pt idx="58">
                  <c:v>4.020432538614517E-4</c:v>
                </c:pt>
                <c:pt idx="59">
                  <c:v>4.0778229696735672E-4</c:v>
                </c:pt>
                <c:pt idx="60">
                  <c:v>4.1077024756683576E-4</c:v>
                </c:pt>
                <c:pt idx="61">
                  <c:v>4.110772966239784E-4</c:v>
                </c:pt>
                <c:pt idx="62">
                  <c:v>4.0877131425732101E-4</c:v>
                </c:pt>
                <c:pt idx="63">
                  <c:v>4.039177324260772E-4</c:v>
                </c:pt>
                <c:pt idx="64">
                  <c:v>3.9656843797160991E-4</c:v>
                </c:pt>
                <c:pt idx="65">
                  <c:v>3.8627426844850462E-4</c:v>
                </c:pt>
                <c:pt idx="66">
                  <c:v>3.7355413704676002E-4</c:v>
                </c:pt>
                <c:pt idx="67">
                  <c:v>3.584633524599783E-4</c:v>
                </c:pt>
                <c:pt idx="68">
                  <c:v>3.4105488293804319E-4</c:v>
                </c:pt>
                <c:pt idx="69">
                  <c:v>3.213792305410022E-4</c:v>
                </c:pt>
                <c:pt idx="70">
                  <c:v>2.9948430701487498E-4</c:v>
                </c:pt>
                <c:pt idx="71">
                  <c:v>2.7635478278598911E-4</c:v>
                </c:pt>
                <c:pt idx="72">
                  <c:v>2.5402324062746091E-4</c:v>
                </c:pt>
                <c:pt idx="73">
                  <c:v>2.3246912327997714E-4</c:v>
                </c:pt>
                <c:pt idx="74">
                  <c:v>2.1167181872334043E-4</c:v>
                </c:pt>
                <c:pt idx="75">
                  <c:v>1.9161067893140379E-4</c:v>
                </c:pt>
                <c:pt idx="76">
                  <c:v>1.722650378192086E-4</c:v>
                </c:pt>
                <c:pt idx="77">
                  <c:v>1.5361422831662653E-4</c:v>
                </c:pt>
                <c:pt idx="78">
                  <c:v>1.3562997860209038E-4</c:v>
                </c:pt>
                <c:pt idx="79">
                  <c:v>1.1875535020971503E-4</c:v>
                </c:pt>
                <c:pt idx="80">
                  <c:v>1.0342997178772267E-4</c:v>
                </c:pt>
                <c:pt idx="81">
                  <c:v>8.9625817908284188E-5</c:v>
                </c:pt>
                <c:pt idx="82">
                  <c:v>7.731474645305571E-5</c:v>
                </c:pt>
                <c:pt idx="83">
                  <c:v>6.6468877368378918E-5</c:v>
                </c:pt>
                <c:pt idx="84">
                  <c:v>5.70609464346135E-5</c:v>
                </c:pt>
                <c:pt idx="85">
                  <c:v>4.9286236555349929E-5</c:v>
                </c:pt>
                <c:pt idx="86">
                  <c:v>4.2261035864538662E-5</c:v>
                </c:pt>
                <c:pt idx="87">
                  <c:v>3.5971831618811105E-5</c:v>
                </c:pt>
                <c:pt idx="88">
                  <c:v>3.0405829339485956E-5</c:v>
                </c:pt>
                <c:pt idx="89">
                  <c:v>0</c:v>
                </c:pt>
                <c:pt idx="90">
                  <c:v>1.2684384336102926E-10</c:v>
                </c:pt>
                <c:pt idx="91">
                  <c:v>3.0015241489622197E-10</c:v>
                </c:pt>
                <c:pt idx="92">
                  <c:v>6.1085916374901878E-10</c:v>
                </c:pt>
                <c:pt idx="93">
                  <c:v>1.0974193549863354E-9</c:v>
                </c:pt>
                <c:pt idx="94">
                  <c:v>1.7344575826704904E-9</c:v>
                </c:pt>
                <c:pt idx="95">
                  <c:v>2.5835594585258945E-9</c:v>
                </c:pt>
                <c:pt idx="96">
                  <c:v>3.7103544532901558E-9</c:v>
                </c:pt>
                <c:pt idx="97">
                  <c:v>5.1848541315835231E-9</c:v>
                </c:pt>
                <c:pt idx="98">
                  <c:v>7.0818106942391471E-9</c:v>
                </c:pt>
                <c:pt idx="99">
                  <c:v>9.9091001231197081E-9</c:v>
                </c:pt>
                <c:pt idx="100">
                  <c:v>1.3827099017348277E-8</c:v>
                </c:pt>
                <c:pt idx="101">
                  <c:v>1.905644825288514E-8</c:v>
                </c:pt>
                <c:pt idx="102">
                  <c:v>2.5833512788707415E-8</c:v>
                </c:pt>
                <c:pt idx="103">
                  <c:v>3.4411583100903707E-8</c:v>
                </c:pt>
                <c:pt idx="104">
                  <c:v>4.5062138877446679E-8</c:v>
                </c:pt>
                <c:pt idx="105">
                  <c:v>5.80761755899769E-8</c:v>
                </c:pt>
                <c:pt idx="106">
                  <c:v>7.3766127214871636E-8</c:v>
                </c:pt>
                <c:pt idx="107">
                  <c:v>9.3823467361631551E-8</c:v>
                </c:pt>
                <c:pt idx="108">
                  <c:v>1.1863542179206203E-7</c:v>
                </c:pt>
                <c:pt idx="109">
                  <c:v>1.4886622075807734E-7</c:v>
                </c:pt>
                <c:pt idx="110">
                  <c:v>1.8522819951307827E-7</c:v>
                </c:pt>
                <c:pt idx="111">
                  <c:v>2.2848454165680745E-7</c:v>
                </c:pt>
                <c:pt idx="112">
                  <c:v>2.7945148044222801E-7</c:v>
                </c:pt>
                <c:pt idx="113">
                  <c:v>3.4213012541606188E-7</c:v>
                </c:pt>
                <c:pt idx="114">
                  <c:v>4.1670111756104921E-7</c:v>
                </c:pt>
                <c:pt idx="115">
                  <c:v>5.0457054612976385E-7</c:v>
                </c:pt>
                <c:pt idx="116">
                  <c:v>6.0723954555815921E-7</c:v>
                </c:pt>
                <c:pt idx="117">
                  <c:v>7.2630845911814354E-7</c:v>
                </c:pt>
                <c:pt idx="118">
                  <c:v>8.6348082585344528E-7</c:v>
                </c:pt>
                <c:pt idx="119">
                  <c:v>1.0205671367972622E-6</c:v>
                </c:pt>
                <c:pt idx="120">
                  <c:v>1.199508442459714E-6</c:v>
                </c:pt>
                <c:pt idx="121">
                  <c:v>1.4067437400861588E-6</c:v>
                </c:pt>
                <c:pt idx="122">
                  <c:v>1.6417536587244706E-6</c:v>
                </c:pt>
                <c:pt idx="123">
                  <c:v>1.9071077210697128E-6</c:v>
                </c:pt>
                <c:pt idx="124">
                  <c:v>2.2055247084051936E-6</c:v>
                </c:pt>
                <c:pt idx="125">
                  <c:v>2.5398764227964941E-6</c:v>
                </c:pt>
                <c:pt idx="126">
                  <c:v>2.9131909095985819E-6</c:v>
                </c:pt>
                <c:pt idx="127">
                  <c:v>3.309472267197338E-6</c:v>
                </c:pt>
                <c:pt idx="128">
                  <c:v>3.722061473875579E-6</c:v>
                </c:pt>
                <c:pt idx="129">
                  <c:v>4.1503697094017124E-6</c:v>
                </c:pt>
                <c:pt idx="130">
                  <c:v>4.5936986694221281E-6</c:v>
                </c:pt>
                <c:pt idx="131">
                  <c:v>5.0512329974863335E-6</c:v>
                </c:pt>
                <c:pt idx="132">
                  <c:v>5.5220328212248646E-6</c:v>
                </c:pt>
                <c:pt idx="133">
                  <c:v>6.0050264652852094E-6</c:v>
                </c:pt>
                <c:pt idx="134">
                  <c:v>6.4990788501831246E-6</c:v>
                </c:pt>
                <c:pt idx="135">
                  <c:v>6.9663470698165915E-6</c:v>
                </c:pt>
                <c:pt idx="136">
                  <c:v>7.3911522234168754E-6</c:v>
                </c:pt>
                <c:pt idx="137">
                  <c:v>7.7653801041985869E-6</c:v>
                </c:pt>
                <c:pt idx="138">
                  <c:v>8.0803880769946125E-6</c:v>
                </c:pt>
                <c:pt idx="139">
                  <c:v>8.327001773752408E-6</c:v>
                </c:pt>
                <c:pt idx="140">
                  <c:v>8.4955152755205778E-6</c:v>
                </c:pt>
                <c:pt idx="141">
                  <c:v>8.5911158685994928E-6</c:v>
                </c:pt>
                <c:pt idx="142">
                  <c:v>8.6418859286339821E-6</c:v>
                </c:pt>
                <c:pt idx="143">
                  <c:v>8.642891375059474E-6</c:v>
                </c:pt>
                <c:pt idx="144">
                  <c:v>8.58905318532468E-6</c:v>
                </c:pt>
                <c:pt idx="145">
                  <c:v>8.4751063144884113E-6</c:v>
                </c:pt>
                <c:pt idx="146">
                  <c:v>8.295611654627947E-6</c:v>
                </c:pt>
                <c:pt idx="147">
                  <c:v>8.0449698875077342E-6</c:v>
                </c:pt>
                <c:pt idx="148">
                  <c:v>7.717474040888951E-6</c:v>
                </c:pt>
                <c:pt idx="149">
                  <c:v>7.3418099179424919E-6</c:v>
                </c:pt>
                <c:pt idx="150">
                  <c:v>6.981798581305438E-6</c:v>
                </c:pt>
                <c:pt idx="151">
                  <c:v>6.6420887579807787E-6</c:v>
                </c:pt>
                <c:pt idx="152">
                  <c:v>6.3275623496184737E-6</c:v>
                </c:pt>
                <c:pt idx="153">
                  <c:v>6.0433258253768231E-6</c:v>
                </c:pt>
                <c:pt idx="154">
                  <c:v>5.7947001054622678E-6</c:v>
                </c:pt>
                <c:pt idx="155">
                  <c:v>5.5919764791454228E-6</c:v>
                </c:pt>
                <c:pt idx="156">
                  <c:v>5.4152188771976772E-6</c:v>
                </c:pt>
                <c:pt idx="157">
                  <c:v>5.268381951798922E-6</c:v>
                </c:pt>
                <c:pt idx="158">
                  <c:v>5.1555434579456111E-6</c:v>
                </c:pt>
                <c:pt idx="159">
                  <c:v>5.0808935673434829E-6</c:v>
                </c:pt>
                <c:pt idx="160">
                  <c:v>5.0487235689487197E-6</c:v>
                </c:pt>
                <c:pt idx="161">
                  <c:v>5.0634140824580777E-6</c:v>
                </c:pt>
                <c:pt idx="162">
                  <c:v>5.1294763234634604E-6</c:v>
                </c:pt>
                <c:pt idx="163">
                  <c:v>5.2501789527706958E-6</c:v>
                </c:pt>
                <c:pt idx="164">
                  <c:v>5.3754149498592473E-6</c:v>
                </c:pt>
                <c:pt idx="165">
                  <c:v>5.5054004459030325E-6</c:v>
                </c:pt>
                <c:pt idx="166">
                  <c:v>5.6403527598123398E-6</c:v>
                </c:pt>
                <c:pt idx="167">
                  <c:v>5.7804895799094046E-6</c:v>
                </c:pt>
                <c:pt idx="168">
                  <c:v>5.9260281211675672E-6</c:v>
                </c:pt>
                <c:pt idx="169">
                  <c:v>6.0756916765218824E-6</c:v>
                </c:pt>
                <c:pt idx="170">
                  <c:v>6.2224478539263497E-6</c:v>
                </c:pt>
                <c:pt idx="171">
                  <c:v>6.3659224850906389E-6</c:v>
                </c:pt>
                <c:pt idx="172">
                  <c:v>6.505743189233976E-6</c:v>
                </c:pt>
                <c:pt idx="173">
                  <c:v>6.6414728458395091E-6</c:v>
                </c:pt>
                <c:pt idx="174">
                  <c:v>6.7726698267583164E-6</c:v>
                </c:pt>
                <c:pt idx="175">
                  <c:v>6.8989618816942083E-6</c:v>
                </c:pt>
                <c:pt idx="176">
                  <c:v>7.0201044001963056E-6</c:v>
                </c:pt>
                <c:pt idx="177">
                  <c:v>7.1441420428905651E-6</c:v>
                </c:pt>
                <c:pt idx="178">
                  <c:v>7.2730429275145903E-6</c:v>
                </c:pt>
                <c:pt idx="179">
                  <c:v>7.4070762682284809E-6</c:v>
                </c:pt>
                <c:pt idx="180">
                  <c:v>7.5465107900820081E-6</c:v>
                </c:pt>
                <c:pt idx="181">
                  <c:v>7.6916142130982575E-6</c:v>
                </c:pt>
                <c:pt idx="182">
                  <c:v>7.8426527879447867E-6</c:v>
                </c:pt>
                <c:pt idx="183">
                  <c:v>8.0803718831620606E-6</c:v>
                </c:pt>
                <c:pt idx="184">
                  <c:v>8.4106987414369887E-6</c:v>
                </c:pt>
                <c:pt idx="185">
                  <c:v>8.8375463986537109E-6</c:v>
                </c:pt>
                <c:pt idx="186">
                  <c:v>9.3647043452849049E-6</c:v>
                </c:pt>
                <c:pt idx="187">
                  <c:v>9.9958364564939127E-6</c:v>
                </c:pt>
                <c:pt idx="188">
                  <c:v>1.073448016268308E-5</c:v>
                </c:pt>
                <c:pt idx="189">
                  <c:v>1.1584046801832191E-5</c:v>
                </c:pt>
                <c:pt idx="190">
                  <c:v>1.2547870642056104E-5</c:v>
                </c:pt>
                <c:pt idx="191">
                  <c:v>1.3682732002702334E-5</c:v>
                </c:pt>
                <c:pt idx="192">
                  <c:v>1.4983291823021613E-5</c:v>
                </c:pt>
                <c:pt idx="193">
                  <c:v>1.6453955373468504E-5</c:v>
                </c:pt>
                <c:pt idx="194">
                  <c:v>1.8098957310668066E-5</c:v>
                </c:pt>
                <c:pt idx="195">
                  <c:v>1.9922365959529167E-5</c:v>
                </c:pt>
                <c:pt idx="196">
                  <c:v>2.1928088278728427E-5</c:v>
                </c:pt>
                <c:pt idx="197">
                  <c:v>2.394241293369885E-5</c:v>
                </c:pt>
                <c:pt idx="198">
                  <c:v>2.5866779172790608E-5</c:v>
                </c:pt>
                <c:pt idx="199">
                  <c:v>2.769670375949419E-5</c:v>
                </c:pt>
                <c:pt idx="200">
                  <c:v>2.9427865237153475E-5</c:v>
                </c:pt>
                <c:pt idx="201">
                  <c:v>3.1056100636612571E-5</c:v>
                </c:pt>
                <c:pt idx="202">
                  <c:v>3.2577401461217416E-5</c:v>
                </c:pt>
                <c:pt idx="203">
                  <c:v>3.3987909077928906E-5</c:v>
                </c:pt>
                <c:pt idx="204">
                  <c:v>3.5284011364818127E-5</c:v>
                </c:pt>
                <c:pt idx="205">
                  <c:v>3.631989143452448E-5</c:v>
                </c:pt>
                <c:pt idx="206">
                  <c:v>3.7026794216507069E-5</c:v>
                </c:pt>
                <c:pt idx="207">
                  <c:v>3.7396724790446287E-5</c:v>
                </c:pt>
                <c:pt idx="208">
                  <c:v>3.7421967729870582E-5</c:v>
                </c:pt>
                <c:pt idx="209">
                  <c:v>3.709507040642726E-5</c:v>
                </c:pt>
                <c:pt idx="210">
                  <c:v>3.6408826563197276E-5</c:v>
                </c:pt>
                <c:pt idx="211">
                  <c:v>3.5405319775844615E-5</c:v>
                </c:pt>
                <c:pt idx="212">
                  <c:v>3.4279746685678784E-5</c:v>
                </c:pt>
                <c:pt idx="213">
                  <c:v>3.3030627810979751E-5</c:v>
                </c:pt>
                <c:pt idx="214">
                  <c:v>3.1656518925975659E-5</c:v>
                </c:pt>
                <c:pt idx="215">
                  <c:v>3.0156007597157855E-5</c:v>
                </c:pt>
                <c:pt idx="216">
                  <c:v>2.8527710069307805E-5</c:v>
                </c:pt>
                <c:pt idx="217">
                  <c:v>2.6770268491383568E-5</c:v>
                </c:pt>
                <c:pt idx="218">
                  <c:v>2.4882248138130591E-5</c:v>
                </c:pt>
                <c:pt idx="219">
                  <c:v>2.2918550479823322E-5</c:v>
                </c:pt>
                <c:pt idx="220">
                  <c:v>2.103661840915996E-5</c:v>
                </c:pt>
                <c:pt idx="221">
                  <c:v>1.9238928441072407E-5</c:v>
                </c:pt>
                <c:pt idx="222">
                  <c:v>1.7527869740088794E-5</c:v>
                </c:pt>
                <c:pt idx="223">
                  <c:v>1.5905749857505293E-5</c:v>
                </c:pt>
                <c:pt idx="224">
                  <c:v>1.4374800331461121E-5</c:v>
                </c:pt>
                <c:pt idx="225">
                  <c:v>1.2975088080256502E-5</c:v>
                </c:pt>
                <c:pt idx="226">
                  <c:v>1.1655602746795813E-5</c:v>
                </c:pt>
                <c:pt idx="227">
                  <c:v>1.0418127071532986E-5</c:v>
                </c:pt>
                <c:pt idx="228">
                  <c:v>9.2643937023464178E-6</c:v>
                </c:pt>
                <c:pt idx="229">
                  <c:v>8.1960894480130096E-6</c:v>
                </c:pt>
                <c:pt idx="230">
                  <c:v>7.2148594185109583E-6</c:v>
                </c:pt>
                <c:pt idx="231">
                  <c:v>6.3223110606029438E-6</c:v>
                </c:pt>
                <c:pt idx="232">
                  <c:v>5.5198059562948201E-6</c:v>
                </c:pt>
                <c:pt idx="233">
                  <c:v>4.8325707939089878E-6</c:v>
                </c:pt>
                <c:pt idx="234">
                  <c:v>4.201783705137408E-6</c:v>
                </c:pt>
                <c:pt idx="235">
                  <c:v>3.6285360844050627E-6</c:v>
                </c:pt>
                <c:pt idx="236">
                  <c:v>3.1138569554214575E-6</c:v>
                </c:pt>
                <c:pt idx="237">
                  <c:v>2.6587194011892301E-6</c:v>
                </c:pt>
                <c:pt idx="238">
                  <c:v>2.2640536210445767E-6</c:v>
                </c:pt>
                <c:pt idx="239">
                  <c:v>1.9384866148318712E-6</c:v>
                </c:pt>
                <c:pt idx="240">
                  <c:v>1.6422797373244049E-6</c:v>
                </c:pt>
                <c:pt idx="241">
                  <c:v>1.3758585775645994E-6</c:v>
                </c:pt>
                <c:pt idx="242">
                  <c:v>1.1396370006107684E-6</c:v>
                </c:pt>
                <c:pt idx="243">
                  <c:v>9.3402263924836895E-7</c:v>
                </c:pt>
                <c:pt idx="244">
                  <c:v>7.5942257778481503E-7</c:v>
                </c:pt>
                <c:pt idx="245">
                  <c:v>6.1624924561950141E-7</c:v>
                </c:pt>
                <c:pt idx="246">
                  <c:v>5.0491488443018487E-7</c:v>
                </c:pt>
                <c:pt idx="247">
                  <c:v>4.2999382297632405E-7</c:v>
                </c:pt>
                <c:pt idx="248">
                  <c:v>3.6657403985124844E-7</c:v>
                </c:pt>
                <c:pt idx="249">
                  <c:v>3.1481746558980966E-7</c:v>
                </c:pt>
                <c:pt idx="250">
                  <c:v>2.7489369423837111E-7</c:v>
                </c:pt>
                <c:pt idx="251">
                  <c:v>2.4697941333762341E-7</c:v>
                </c:pt>
                <c:pt idx="252">
                  <c:v>2.3125777483780131E-7</c:v>
                </c:pt>
                <c:pt idx="253">
                  <c:v>2.3087700397275315E-7</c:v>
                </c:pt>
                <c:pt idx="254">
                  <c:v>2.3776372621618941E-7</c:v>
                </c:pt>
                <c:pt idx="255">
                  <c:v>2.5203166246333465E-7</c:v>
                </c:pt>
                <c:pt idx="256">
                  <c:v>2.7379631948698287E-7</c:v>
                </c:pt>
                <c:pt idx="257">
                  <c:v>3.031744014147661E-7</c:v>
                </c:pt>
                <c:pt idx="258">
                  <c:v>3.4028316770053E-7</c:v>
                </c:pt>
                <c:pt idx="259">
                  <c:v>3.8523973523701053E-7</c:v>
                </c:pt>
                <c:pt idx="260">
                  <c:v>4.381866740169669E-7</c:v>
                </c:pt>
                <c:pt idx="261">
                  <c:v>4.9665459282328677E-7</c:v>
                </c:pt>
                <c:pt idx="262">
                  <c:v>5.562505465551826E-7</c:v>
                </c:pt>
                <c:pt idx="263">
                  <c:v>6.1698916806561855E-7</c:v>
                </c:pt>
                <c:pt idx="264">
                  <c:v>6.7888117836275519E-7</c:v>
                </c:pt>
                <c:pt idx="265">
                  <c:v>7.4193699305565746E-7</c:v>
                </c:pt>
                <c:pt idx="266">
                  <c:v>8.0616163692328875E-7</c:v>
                </c:pt>
                <c:pt idx="267">
                  <c:v>9.9571693160694629E-7</c:v>
                </c:pt>
                <c:pt idx="268">
                  <c:v>1.3094558705311402E-6</c:v>
                </c:pt>
                <c:pt idx="269">
                  <c:v>1.7493630794118271E-6</c:v>
                </c:pt>
                <c:pt idx="270">
                  <c:v>2.3173694233306899E-6</c:v>
                </c:pt>
                <c:pt idx="271">
                  <c:v>3.0153218822631902E-6</c:v>
                </c:pt>
                <c:pt idx="272">
                  <c:v>3.8449515997025265E-6</c:v>
                </c:pt>
                <c:pt idx="273">
                  <c:v>4.8078401615425833E-6</c:v>
                </c:pt>
                <c:pt idx="274">
                  <c:v>5.9056713803950858E-6</c:v>
                </c:pt>
                <c:pt idx="275">
                  <c:v>7.2269704407383357E-6</c:v>
                </c:pt>
                <c:pt idx="276">
                  <c:v>8.7773998709983662E-6</c:v>
                </c:pt>
                <c:pt idx="277">
                  <c:v>1.0559720293548219E-5</c:v>
                </c:pt>
                <c:pt idx="278">
                  <c:v>1.2576583995968615E-5</c:v>
                </c:pt>
                <c:pt idx="279">
                  <c:v>1.483052947276614E-5</c:v>
                </c:pt>
                <c:pt idx="280">
                  <c:v>1.7323977027629431E-5</c:v>
                </c:pt>
                <c:pt idx="281">
                  <c:v>1.9840144405636842E-5</c:v>
                </c:pt>
                <c:pt idx="282">
                  <c:v>2.2244879652566611E-5</c:v>
                </c:pt>
                <c:pt idx="283">
                  <c:v>2.4535945783389446E-5</c:v>
                </c:pt>
                <c:pt idx="284">
                  <c:v>2.6711161436238904E-5</c:v>
                </c:pt>
                <c:pt idx="285">
                  <c:v>2.8768408025044331E-5</c:v>
                </c:pt>
                <c:pt idx="286">
                  <c:v>3.0705636505798743E-5</c:v>
                </c:pt>
                <c:pt idx="287">
                  <c:v>3.2520873647210436E-5</c:v>
                </c:pt>
                <c:pt idx="288">
                  <c:v>3.4213032817321024E-5</c:v>
                </c:pt>
                <c:pt idx="289">
                  <c:v>3.5646818547610841E-5</c:v>
                </c:pt>
                <c:pt idx="290">
                  <c:v>3.6726685098502126E-5</c:v>
                </c:pt>
                <c:pt idx="291">
                  <c:v>3.7448391901530377E-5</c:v>
                </c:pt>
                <c:pt idx="292">
                  <c:v>3.7807801266073049E-5</c:v>
                </c:pt>
                <c:pt idx="293">
                  <c:v>3.7800908385172459E-5</c:v>
                </c:pt>
                <c:pt idx="294">
                  <c:v>3.7423870863630237E-5</c:v>
                </c:pt>
                <c:pt idx="295">
                  <c:v>3.6780556415735695E-5</c:v>
                </c:pt>
                <c:pt idx="296">
                  <c:v>3.6100073993029379E-5</c:v>
                </c:pt>
                <c:pt idx="297">
                  <c:v>3.5382391206178069E-5</c:v>
                </c:pt>
                <c:pt idx="298">
                  <c:v>3.4627206454746059E-5</c:v>
                </c:pt>
                <c:pt idx="299">
                  <c:v>3.3834260226594601E-5</c:v>
                </c:pt>
                <c:pt idx="300">
                  <c:v>3.3003336653858012E-5</c:v>
                </c:pt>
                <c:pt idx="301">
                  <c:v>3.2134265038857927E-5</c:v>
                </c:pt>
                <c:pt idx="302">
                  <c:v>3.1228712563677103E-5</c:v>
                </c:pt>
                <c:pt idx="303">
                  <c:v>3.0366512592487411E-5</c:v>
                </c:pt>
                <c:pt idx="304">
                  <c:v>2.9688097133141019E-5</c:v>
                </c:pt>
                <c:pt idx="305">
                  <c:v>2.919473709754914E-5</c:v>
                </c:pt>
                <c:pt idx="306">
                  <c:v>2.8887695181778991E-5</c:v>
                </c:pt>
                <c:pt idx="307">
                  <c:v>2.8768218750315059E-5</c:v>
                </c:pt>
                <c:pt idx="308">
                  <c:v>2.8837532466475614E-5</c:v>
                </c:pt>
                <c:pt idx="309">
                  <c:v>2.9146447868647905E-5</c:v>
                </c:pt>
                <c:pt idx="310">
                  <c:v>2.9584851166137118E-5</c:v>
                </c:pt>
                <c:pt idx="311">
                  <c:v>3.0153440395945966E-5</c:v>
                </c:pt>
                <c:pt idx="312">
                  <c:v>3.0852868151000472E-5</c:v>
                </c:pt>
                <c:pt idx="313">
                  <c:v>3.1683732797789783E-5</c:v>
                </c:pt>
                <c:pt idx="314">
                  <c:v>3.2646568611645059E-5</c:v>
                </c:pt>
                <c:pt idx="315">
                  <c:v>3.3741834670774704E-5</c:v>
                </c:pt>
                <c:pt idx="316">
                  <c:v>3.4971387431250799E-5</c:v>
                </c:pt>
                <c:pt idx="317">
                  <c:v>3.6371726361472619E-5</c:v>
                </c:pt>
                <c:pt idx="318">
                  <c:v>3.7863292247639689E-5</c:v>
                </c:pt>
                <c:pt idx="319">
                  <c:v>3.944692957411701E-5</c:v>
                </c:pt>
                <c:pt idx="320">
                  <c:v>4.1123514269212812E-5</c:v>
                </c:pt>
                <c:pt idx="321">
                  <c:v>4.2893951723266247E-5</c:v>
                </c:pt>
                <c:pt idx="322">
                  <c:v>4.4759173629987595E-5</c:v>
                </c:pt>
                <c:pt idx="323">
                  <c:v>4.6623787088039151E-5</c:v>
                </c:pt>
                <c:pt idx="324">
                  <c:v>4.8436916090406748E-5</c:v>
                </c:pt>
                <c:pt idx="325">
                  <c:v>5.0198500587018787E-5</c:v>
                </c:pt>
                <c:pt idx="326">
                  <c:v>5.1908107104403503E-5</c:v>
                </c:pt>
                <c:pt idx="327">
                  <c:v>5.3565422813162648E-5</c:v>
                </c:pt>
                <c:pt idx="328">
                  <c:v>5.5170336810717766E-5</c:v>
                </c:pt>
                <c:pt idx="329">
                  <c:v>5.6722681462863871E-5</c:v>
                </c:pt>
                <c:pt idx="330">
                  <c:v>5.8229719096996333E-5</c:v>
                </c:pt>
                <c:pt idx="331">
                  <c:v>5.9618470097576511E-5</c:v>
                </c:pt>
                <c:pt idx="332">
                  <c:v>6.0850461458163831E-5</c:v>
                </c:pt>
                <c:pt idx="333">
                  <c:v>6.1921707010025793E-5</c:v>
                </c:pt>
                <c:pt idx="334">
                  <c:v>6.2827637989750846E-5</c:v>
                </c:pt>
                <c:pt idx="335">
                  <c:v>6.3563174089106427E-5</c:v>
                </c:pt>
                <c:pt idx="336">
                  <c:v>6.4122806987622634E-5</c:v>
                </c:pt>
                <c:pt idx="337">
                  <c:v>6.4528727701867897E-5</c:v>
                </c:pt>
                <c:pt idx="338">
                  <c:v>6.4875768830141063E-5</c:v>
                </c:pt>
                <c:pt idx="339">
                  <c:v>6.5158971574483994E-5</c:v>
                </c:pt>
                <c:pt idx="340">
                  <c:v>6.5373227219512017E-5</c:v>
                </c:pt>
                <c:pt idx="341">
                  <c:v>6.5513340201532629E-5</c:v>
                </c:pt>
                <c:pt idx="342">
                  <c:v>6.5574101027292264E-5</c:v>
                </c:pt>
                <c:pt idx="343">
                  <c:v>6.5550368622939282E-5</c:v>
                </c:pt>
                <c:pt idx="344">
                  <c:v>6.5448498774452134E-5</c:v>
                </c:pt>
                <c:pt idx="345">
                  <c:v>6.5277291463018236E-5</c:v>
                </c:pt>
                <c:pt idx="346">
                  <c:v>6.5122318026820296E-5</c:v>
                </c:pt>
                <c:pt idx="347">
                  <c:v>6.4982531032111793E-5</c:v>
                </c:pt>
                <c:pt idx="348">
                  <c:v>6.4856865458950942E-5</c:v>
                </c:pt>
                <c:pt idx="349">
                  <c:v>6.4744243452067454E-5</c:v>
                </c:pt>
                <c:pt idx="350">
                  <c:v>6.4643579326499978E-5</c:v>
                </c:pt>
                <c:pt idx="351">
                  <c:v>6.4558390532669287E-5</c:v>
                </c:pt>
                <c:pt idx="352">
                  <c:v>6.4459060173641542E-5</c:v>
                </c:pt>
                <c:pt idx="353">
                  <c:v>6.4344612051008433E-5</c:v>
                </c:pt>
                <c:pt idx="354">
                  <c:v>6.4214139231880547E-5</c:v>
                </c:pt>
                <c:pt idx="355">
                  <c:v>6.406681244418519E-5</c:v>
                </c:pt>
                <c:pt idx="356">
                  <c:v>6.3901033428806202E-5</c:v>
                </c:pt>
                <c:pt idx="357">
                  <c:v>6.3716948039416527E-5</c:v>
                </c:pt>
                <c:pt idx="358">
                  <c:v>6.3508058109306228E-5</c:v>
                </c:pt>
                <c:pt idx="359">
                  <c:v>6.327065504437418E-5</c:v>
                </c:pt>
                <c:pt idx="360">
                  <c:v>6.3035913653930475E-5</c:v>
                </c:pt>
                <c:pt idx="361">
                  <c:v>6.2802291903698681E-5</c:v>
                </c:pt>
                <c:pt idx="362">
                  <c:v>6.2572710117030604E-5</c:v>
                </c:pt>
                <c:pt idx="363">
                  <c:v>6.2350004521322862E-5</c:v>
                </c:pt>
                <c:pt idx="364">
                  <c:v>6.2136915708607332E-5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69832"/>
        <c:axId val="357270224"/>
      </c:lineChart>
      <c:dateAx>
        <c:axId val="3572698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0224"/>
        <c:crosses val="autoZero"/>
        <c:auto val="1"/>
        <c:lblOffset val="100"/>
        <c:baseTimeUnit val="days"/>
        <c:majorUnit val="1"/>
        <c:majorTimeUnit val="months"/>
      </c:dateAx>
      <c:valAx>
        <c:axId val="3572702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69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23.610168661900317</c:v>
                </c:pt>
                <c:pt idx="1">
                  <c:v>23.776326907095036</c:v>
                </c:pt>
                <c:pt idx="2">
                  <c:v>23.949625461002842</c:v>
                </c:pt>
                <c:pt idx="3">
                  <c:v>24.128940681011812</c:v>
                </c:pt>
                <c:pt idx="4">
                  <c:v>24.313149365734876</c:v>
                </c:pt>
                <c:pt idx="5">
                  <c:v>24.501128764115109</c:v>
                </c:pt>
                <c:pt idx="6">
                  <c:v>24.691756568196091</c:v>
                </c:pt>
                <c:pt idx="7">
                  <c:v>24.883910920407541</c:v>
                </c:pt>
                <c:pt idx="8">
                  <c:v>25.079926969808575</c:v>
                </c:pt>
                <c:pt idx="9">
                  <c:v>25.282744720497661</c:v>
                </c:pt>
                <c:pt idx="10">
                  <c:v>25.49214720749119</c:v>
                </c:pt>
                <c:pt idx="11">
                  <c:v>25.707916907963227</c:v>
                </c:pt>
                <c:pt idx="12">
                  <c:v>25.929836371952167</c:v>
                </c:pt>
                <c:pt idx="13">
                  <c:v>26.157688232493324</c:v>
                </c:pt>
                <c:pt idx="14">
                  <c:v>26.391255199064055</c:v>
                </c:pt>
                <c:pt idx="15">
                  <c:v>26.630319242890909</c:v>
                </c:pt>
                <c:pt idx="16">
                  <c:v>26.874661401413096</c:v>
                </c:pt>
                <c:pt idx="17">
                  <c:v>27.124064627289584</c:v>
                </c:pt>
                <c:pt idx="18">
                  <c:v>27.378311961068587</c:v>
                </c:pt>
                <c:pt idx="19">
                  <c:v>27.637186518165812</c:v>
                </c:pt>
                <c:pt idx="20">
                  <c:v>27.900471498049953</c:v>
                </c:pt>
                <c:pt idx="21">
                  <c:v>28.167950197777426</c:v>
                </c:pt>
                <c:pt idx="22">
                  <c:v>28.442069104315777</c:v>
                </c:pt>
                <c:pt idx="23">
                  <c:v>28.724762290799219</c:v>
                </c:pt>
                <c:pt idx="24">
                  <c:v>29.015044333224569</c:v>
                </c:pt>
                <c:pt idx="25">
                  <c:v>29.311932492549374</c:v>
                </c:pt>
                <c:pt idx="26">
                  <c:v>29.614444442714657</c:v>
                </c:pt>
                <c:pt idx="27">
                  <c:v>29.92159825893043</c:v>
                </c:pt>
                <c:pt idx="28">
                  <c:v>30.232412431023786</c:v>
                </c:pt>
                <c:pt idx="29">
                  <c:v>30.545903920333835</c:v>
                </c:pt>
                <c:pt idx="30">
                  <c:v>30.861092851906257</c:v>
                </c:pt>
                <c:pt idx="31">
                  <c:v>31.176998943665311</c:v>
                </c:pt>
                <c:pt idx="32">
                  <c:v>31.49264232180958</c:v>
                </c:pt>
                <c:pt idx="33">
                  <c:v>31.807043523511386</c:v>
                </c:pt>
                <c:pt idx="34">
                  <c:v>32.119223495536886</c:v>
                </c:pt>
                <c:pt idx="35">
                  <c:v>32.428203594887606</c:v>
                </c:pt>
                <c:pt idx="36">
                  <c:v>32.735029479235394</c:v>
                </c:pt>
                <c:pt idx="37">
                  <c:v>33.041527037467688</c:v>
                </c:pt>
                <c:pt idx="38">
                  <c:v>33.347893514135933</c:v>
                </c:pt>
                <c:pt idx="39">
                  <c:v>33.654324873622414</c:v>
                </c:pt>
                <c:pt idx="40">
                  <c:v>33.961017009429206</c:v>
                </c:pt>
                <c:pt idx="41">
                  <c:v>34.268165743673727</c:v>
                </c:pt>
                <c:pt idx="42">
                  <c:v>34.57596682520245</c:v>
                </c:pt>
                <c:pt idx="43">
                  <c:v>34.884619395219097</c:v>
                </c:pt>
                <c:pt idx="44">
                  <c:v>35.194320997517401</c:v>
                </c:pt>
                <c:pt idx="45">
                  <c:v>35.505267159953469</c:v>
                </c:pt>
                <c:pt idx="46">
                  <c:v>35.817653331334469</c:v>
                </c:pt>
                <c:pt idx="47">
                  <c:v>36.131674880846546</c:v>
                </c:pt>
                <c:pt idx="48">
                  <c:v>36.447527094636584</c:v>
                </c:pt>
                <c:pt idx="49">
                  <c:v>36.765405174020408</c:v>
                </c:pt>
                <c:pt idx="50">
                  <c:v>37.085650921713047</c:v>
                </c:pt>
                <c:pt idx="51">
                  <c:v>37.408285910578329</c:v>
                </c:pt>
                <c:pt idx="52">
                  <c:v>37.733018974791058</c:v>
                </c:pt>
                <c:pt idx="53">
                  <c:v>38.059556325220754</c:v>
                </c:pt>
                <c:pt idx="54">
                  <c:v>38.387604269643539</c:v>
                </c:pt>
                <c:pt idx="55">
                  <c:v>38.716869215564422</c:v>
                </c:pt>
                <c:pt idx="56">
                  <c:v>39.04705766644571</c:v>
                </c:pt>
                <c:pt idx="57">
                  <c:v>39.37787382924698</c:v>
                </c:pt>
                <c:pt idx="58">
                  <c:v>39.709020895314488</c:v>
                </c:pt>
                <c:pt idx="59">
                  <c:v>40.040205632097248</c:v>
                </c:pt>
                <c:pt idx="60">
                  <c:v>40.371134894608474</c:v>
                </c:pt>
                <c:pt idx="61">
                  <c:v>40.701515623447769</c:v>
                </c:pt>
                <c:pt idx="62">
                  <c:v>41.031054843362604</c:v>
                </c:pt>
                <c:pt idx="63">
                  <c:v>41.359459661453755</c:v>
                </c:pt>
                <c:pt idx="64">
                  <c:v>41.687592847521636</c:v>
                </c:pt>
                <c:pt idx="65">
                  <c:v>42.016378296202809</c:v>
                </c:pt>
                <c:pt idx="66">
                  <c:v>42.345614350199433</c:v>
                </c:pt>
                <c:pt idx="67">
                  <c:v>42.675105296765018</c:v>
                </c:pt>
                <c:pt idx="68">
                  <c:v>43.004655460880024</c:v>
                </c:pt>
                <c:pt idx="69">
                  <c:v>43.334069204971492</c:v>
                </c:pt>
                <c:pt idx="70">
                  <c:v>43.663150928638288</c:v>
                </c:pt>
                <c:pt idx="71">
                  <c:v>43.991705147289096</c:v>
                </c:pt>
                <c:pt idx="72">
                  <c:v>44.319538759695057</c:v>
                </c:pt>
                <c:pt idx="73">
                  <c:v>44.646456287296765</c:v>
                </c:pt>
                <c:pt idx="74">
                  <c:v>44.97226229055736</c:v>
                </c:pt>
                <c:pt idx="75">
                  <c:v>45.296761369262306</c:v>
                </c:pt>
                <c:pt idx="76">
                  <c:v>45.619758164676703</c:v>
                </c:pt>
                <c:pt idx="77">
                  <c:v>45.941057359143471</c:v>
                </c:pt>
                <c:pt idx="78">
                  <c:v>46.263064178268515</c:v>
                </c:pt>
                <c:pt idx="79">
                  <c:v>46.587662708534957</c:v>
                </c:pt>
                <c:pt idx="80">
                  <c:v>46.91388003659354</c:v>
                </c:pt>
                <c:pt idx="81">
                  <c:v>47.240739960094302</c:v>
                </c:pt>
                <c:pt idx="82">
                  <c:v>47.567266640335106</c:v>
                </c:pt>
                <c:pt idx="83">
                  <c:v>47.892484602489461</c:v>
                </c:pt>
                <c:pt idx="84">
                  <c:v>48.215418741016357</c:v>
                </c:pt>
                <c:pt idx="85">
                  <c:v>48.535094184959945</c:v>
                </c:pt>
                <c:pt idx="86">
                  <c:v>48.85053649363666</c:v>
                </c:pt>
                <c:pt idx="87">
                  <c:v>49.160771687421011</c:v>
                </c:pt>
                <c:pt idx="88">
                  <c:v>49.464826172694607</c:v>
                </c:pt>
                <c:pt idx="89">
                  <c:v>49.761726742214435</c:v>
                </c:pt>
                <c:pt idx="90">
                  <c:v>50.050500583293875</c:v>
                </c:pt>
                <c:pt idx="91">
                  <c:v>50.330175286432365</c:v>
                </c:pt>
                <c:pt idx="92">
                  <c:v>50.602424350730097</c:v>
                </c:pt>
                <c:pt idx="93">
                  <c:v>50.869504546582881</c:v>
                </c:pt>
                <c:pt idx="94">
                  <c:v>51.131319211835198</c:v>
                </c:pt>
                <c:pt idx="95">
                  <c:v>51.387771634232671</c:v>
                </c:pt>
                <c:pt idx="96">
                  <c:v>51.638765150218219</c:v>
                </c:pt>
                <c:pt idx="97">
                  <c:v>51.884203153682122</c:v>
                </c:pt>
                <c:pt idx="98">
                  <c:v>52.123989090554716</c:v>
                </c:pt>
                <c:pt idx="99">
                  <c:v>52.358025577816278</c:v>
                </c:pt>
                <c:pt idx="100">
                  <c:v>52.586216315899065</c:v>
                </c:pt>
                <c:pt idx="101">
                  <c:v>52.808464926115462</c:v>
                </c:pt>
                <c:pt idx="102">
                  <c:v>53.02467509599478</c:v>
                </c:pt>
                <c:pt idx="103">
                  <c:v>53.234750582638156</c:v>
                </c:pt>
                <c:pt idx="104">
                  <c:v>53.438595216906876</c:v>
                </c:pt>
                <c:pt idx="105">
                  <c:v>53.636112906423399</c:v>
                </c:pt>
                <c:pt idx="106">
                  <c:v>53.826818690788691</c:v>
                </c:pt>
                <c:pt idx="107">
                  <c:v>54.010485566025451</c:v>
                </c:pt>
                <c:pt idx="108">
                  <c:v>54.187406984617112</c:v>
                </c:pt>
                <c:pt idx="109">
                  <c:v>54.357876022194873</c:v>
                </c:pt>
                <c:pt idx="110">
                  <c:v>54.522185673775176</c:v>
                </c:pt>
                <c:pt idx="111">
                  <c:v>54.680628856410692</c:v>
                </c:pt>
                <c:pt idx="112">
                  <c:v>54.833498406146106</c:v>
                </c:pt>
                <c:pt idx="113">
                  <c:v>54.981084563601222</c:v>
                </c:pt>
                <c:pt idx="114">
                  <c:v>55.123680941893163</c:v>
                </c:pt>
                <c:pt idx="115">
                  <c:v>55.261580109613327</c:v>
                </c:pt>
                <c:pt idx="116">
                  <c:v>55.395074559400406</c:v>
                </c:pt>
                <c:pt idx="117">
                  <c:v>55.524456711263838</c:v>
                </c:pt>
                <c:pt idx="118">
                  <c:v>55.650018913974826</c:v>
                </c:pt>
                <c:pt idx="119">
                  <c:v>55.772053445191325</c:v>
                </c:pt>
                <c:pt idx="120">
                  <c:v>55.889914031075669</c:v>
                </c:pt>
                <c:pt idx="121">
                  <c:v>56.002822823902079</c:v>
                </c:pt>
                <c:pt idx="122">
                  <c:v>56.110880196119169</c:v>
                </c:pt>
                <c:pt idx="123">
                  <c:v>56.214184807166262</c:v>
                </c:pt>
                <c:pt idx="124">
                  <c:v>56.312835348803411</c:v>
                </c:pt>
                <c:pt idx="125">
                  <c:v>56.406930548628075</c:v>
                </c:pt>
                <c:pt idx="126">
                  <c:v>56.4965691677804</c:v>
                </c:pt>
                <c:pt idx="127">
                  <c:v>56.581858170714341</c:v>
                </c:pt>
                <c:pt idx="128">
                  <c:v>56.662899667123938</c:v>
                </c:pt>
                <c:pt idx="129">
                  <c:v>56.739792966280305</c:v>
                </c:pt>
                <c:pt idx="130">
                  <c:v>56.812637434478425</c:v>
                </c:pt>
                <c:pt idx="131">
                  <c:v>56.881532505830123</c:v>
                </c:pt>
                <c:pt idx="132">
                  <c:v>56.946577671895739</c:v>
                </c:pt>
                <c:pt idx="133">
                  <c:v>57.007872488153474</c:v>
                </c:pt>
                <c:pt idx="134">
                  <c:v>57.064854262190856</c:v>
                </c:pt>
                <c:pt idx="135">
                  <c:v>57.117037433993893</c:v>
                </c:pt>
                <c:pt idx="136">
                  <c:v>57.16462260933212</c:v>
                </c:pt>
                <c:pt idx="137">
                  <c:v>57.207807513884489</c:v>
                </c:pt>
                <c:pt idx="138">
                  <c:v>57.246789902872905</c:v>
                </c:pt>
                <c:pt idx="139">
                  <c:v>57.281767548304408</c:v>
                </c:pt>
                <c:pt idx="140">
                  <c:v>57.312938238062429</c:v>
                </c:pt>
                <c:pt idx="141">
                  <c:v>57.340495535056455</c:v>
                </c:pt>
                <c:pt idx="142">
                  <c:v>57.364627129938086</c:v>
                </c:pt>
                <c:pt idx="143">
                  <c:v>57.385530227284427</c:v>
                </c:pt>
                <c:pt idx="144">
                  <c:v>57.403401981389237</c:v>
                </c:pt>
                <c:pt idx="145">
                  <c:v>57.418439505569964</c:v>
                </c:pt>
                <c:pt idx="146">
                  <c:v>57.430839862076688</c:v>
                </c:pt>
                <c:pt idx="147">
                  <c:v>57.440800053090605</c:v>
                </c:pt>
                <c:pt idx="148">
                  <c:v>57.448242874493431</c:v>
                </c:pt>
                <c:pt idx="149">
                  <c:v>57.452889768645363</c:v>
                </c:pt>
                <c:pt idx="150">
                  <c:v>57.45463240532321</c:v>
                </c:pt>
                <c:pt idx="151">
                  <c:v>57.453376768829401</c:v>
                </c:pt>
                <c:pt idx="152">
                  <c:v>57.449028870669039</c:v>
                </c:pt>
                <c:pt idx="153">
                  <c:v>57.441494740536179</c:v>
                </c:pt>
                <c:pt idx="154">
                  <c:v>57.430680421073333</c:v>
                </c:pt>
                <c:pt idx="155">
                  <c:v>57.416490985140186</c:v>
                </c:pt>
                <c:pt idx="156">
                  <c:v>57.398837595216612</c:v>
                </c:pt>
                <c:pt idx="157">
                  <c:v>57.377626436246381</c:v>
                </c:pt>
                <c:pt idx="158">
                  <c:v>57.352763673138639</c:v>
                </c:pt>
                <c:pt idx="159">
                  <c:v>57.324155442447719</c:v>
                </c:pt>
                <c:pt idx="160">
                  <c:v>57.291707845084751</c:v>
                </c:pt>
                <c:pt idx="161">
                  <c:v>57.255326944136044</c:v>
                </c:pt>
                <c:pt idx="162">
                  <c:v>57.214323108932433</c:v>
                </c:pt>
                <c:pt idx="163">
                  <c:v>57.16832909716566</c:v>
                </c:pt>
                <c:pt idx="164">
                  <c:v>57.117743481491964</c:v>
                </c:pt>
                <c:pt idx="165">
                  <c:v>57.062955319770758</c:v>
                </c:pt>
                <c:pt idx="166">
                  <c:v>57.004353365893451</c:v>
                </c:pt>
                <c:pt idx="167">
                  <c:v>56.942326066931678</c:v>
                </c:pt>
                <c:pt idx="168">
                  <c:v>56.877261563084033</c:v>
                </c:pt>
                <c:pt idx="169">
                  <c:v>56.809547930553066</c:v>
                </c:pt>
                <c:pt idx="170">
                  <c:v>56.739573846690774</c:v>
                </c:pt>
                <c:pt idx="171">
                  <c:v>56.667726568067422</c:v>
                </c:pt>
                <c:pt idx="172">
                  <c:v>56.594393045045379</c:v>
                </c:pt>
                <c:pt idx="173">
                  <c:v>56.519959933712052</c:v>
                </c:pt>
                <c:pt idx="174">
                  <c:v>56.444813594049215</c:v>
                </c:pt>
                <c:pt idx="175">
                  <c:v>56.369340080584443</c:v>
                </c:pt>
                <c:pt idx="176">
                  <c:v>56.292960797544026</c:v>
                </c:pt>
                <c:pt idx="177">
                  <c:v>56.214838927269547</c:v>
                </c:pt>
                <c:pt idx="178">
                  <c:v>56.13497442567288</c:v>
                </c:pt>
                <c:pt idx="179">
                  <c:v>56.053367392299521</c:v>
                </c:pt>
                <c:pt idx="180">
                  <c:v>55.970017819643701</c:v>
                </c:pt>
                <c:pt idx="181">
                  <c:v>55.884925598743237</c:v>
                </c:pt>
                <c:pt idx="182">
                  <c:v>55.798090521702377</c:v>
                </c:pt>
                <c:pt idx="183">
                  <c:v>55.709501069893527</c:v>
                </c:pt>
                <c:pt idx="184">
                  <c:v>55.619156377662762</c:v>
                </c:pt>
                <c:pt idx="185">
                  <c:v>55.527055787983102</c:v>
                </c:pt>
                <c:pt idx="186">
                  <c:v>55.433198588531404</c:v>
                </c:pt>
                <c:pt idx="187">
                  <c:v>55.337584017227506</c:v>
                </c:pt>
                <c:pt idx="188">
                  <c:v>55.240211273982183</c:v>
                </c:pt>
                <c:pt idx="189">
                  <c:v>55.141079522891005</c:v>
                </c:pt>
                <c:pt idx="190">
                  <c:v>55.039979264606401</c:v>
                </c:pt>
                <c:pt idx="191">
                  <c:v>54.93675829188512</c:v>
                </c:pt>
                <c:pt idx="192">
                  <c:v>54.831513339981356</c:v>
                </c:pt>
                <c:pt idx="193">
                  <c:v>54.724339790507997</c:v>
                </c:pt>
                <c:pt idx="194">
                  <c:v>54.615332995606828</c:v>
                </c:pt>
                <c:pt idx="195">
                  <c:v>54.504588286984344</c:v>
                </c:pt>
                <c:pt idx="196">
                  <c:v>54.392200979786637</c:v>
                </c:pt>
                <c:pt idx="197">
                  <c:v>54.27828859072136</c:v>
                </c:pt>
                <c:pt idx="198">
                  <c:v>54.162958691104286</c:v>
                </c:pt>
                <c:pt idx="199">
                  <c:v>54.046306915743983</c:v>
                </c:pt>
                <c:pt idx="200">
                  <c:v>53.928428880287932</c:v>
                </c:pt>
                <c:pt idx="201">
                  <c:v>53.809420187007341</c:v>
                </c:pt>
                <c:pt idx="202">
                  <c:v>53.689376430865735</c:v>
                </c:pt>
                <c:pt idx="203">
                  <c:v>53.568393205341778</c:v>
                </c:pt>
                <c:pt idx="204">
                  <c:v>53.446325698184829</c:v>
                </c:pt>
                <c:pt idx="205">
                  <c:v>53.322982017258589</c:v>
                </c:pt>
                <c:pt idx="206">
                  <c:v>53.198369223612154</c:v>
                </c:pt>
                <c:pt idx="207">
                  <c:v>53.072487149130367</c:v>
                </c:pt>
                <c:pt idx="208">
                  <c:v>52.94533566098108</c:v>
                </c:pt>
                <c:pt idx="209">
                  <c:v>52.816914665094139</c:v>
                </c:pt>
                <c:pt idx="210">
                  <c:v>52.687224107160404</c:v>
                </c:pt>
                <c:pt idx="211">
                  <c:v>52.556258295347043</c:v>
                </c:pt>
                <c:pt idx="212">
                  <c:v>52.423994148244461</c:v>
                </c:pt>
                <c:pt idx="213">
                  <c:v>52.290431586387307</c:v>
                </c:pt>
                <c:pt idx="214">
                  <c:v>52.155570584162781</c:v>
                </c:pt>
                <c:pt idx="215">
                  <c:v>52.019411169031819</c:v>
                </c:pt>
                <c:pt idx="216">
                  <c:v>51.881953418792833</c:v>
                </c:pt>
                <c:pt idx="217">
                  <c:v>51.743197459849135</c:v>
                </c:pt>
                <c:pt idx="218">
                  <c:v>51.603351554803595</c:v>
                </c:pt>
                <c:pt idx="219">
                  <c:v>51.46255367622333</c:v>
                </c:pt>
                <c:pt idx="220">
                  <c:v>51.320690558920923</c:v>
                </c:pt>
                <c:pt idx="221">
                  <c:v>51.177666329518722</c:v>
                </c:pt>
                <c:pt idx="222">
                  <c:v>51.03338519359621</c:v>
                </c:pt>
                <c:pt idx="223">
                  <c:v>50.887751430234069</c:v>
                </c:pt>
                <c:pt idx="224">
                  <c:v>50.740669389058475</c:v>
                </c:pt>
                <c:pt idx="225">
                  <c:v>50.592039401436644</c:v>
                </c:pt>
                <c:pt idx="226">
                  <c:v>50.441771728460246</c:v>
                </c:pt>
                <c:pt idx="227">
                  <c:v>50.289770917489555</c:v>
                </c:pt>
                <c:pt idx="228">
                  <c:v>50.1359415724733</c:v>
                </c:pt>
                <c:pt idx="229">
                  <c:v>49.980188352521218</c:v>
                </c:pt>
                <c:pt idx="230">
                  <c:v>49.822415969569441</c:v>
                </c:pt>
                <c:pt idx="231">
                  <c:v>49.662529183074412</c:v>
                </c:pt>
                <c:pt idx="232">
                  <c:v>49.502335250813921</c:v>
                </c:pt>
                <c:pt idx="233">
                  <c:v>49.343190743165842</c:v>
                </c:pt>
                <c:pt idx="234">
                  <c:v>49.184334650258066</c:v>
                </c:pt>
                <c:pt idx="235">
                  <c:v>49.024999941428781</c:v>
                </c:pt>
                <c:pt idx="236">
                  <c:v>48.864419866366411</c:v>
                </c:pt>
                <c:pt idx="237">
                  <c:v>48.70182795117266</c:v>
                </c:pt>
                <c:pt idx="238">
                  <c:v>48.536457996782971</c:v>
                </c:pt>
                <c:pt idx="239">
                  <c:v>48.367543293571678</c:v>
                </c:pt>
                <c:pt idx="240">
                  <c:v>48.194322297361637</c:v>
                </c:pt>
                <c:pt idx="241">
                  <c:v>48.016029619296447</c:v>
                </c:pt>
                <c:pt idx="242">
                  <c:v>47.831900136902604</c:v>
                </c:pt>
                <c:pt idx="243">
                  <c:v>47.641168989051877</c:v>
                </c:pt>
                <c:pt idx="244">
                  <c:v>47.443071577488325</c:v>
                </c:pt>
                <c:pt idx="245">
                  <c:v>47.23684355791373</c:v>
                </c:pt>
                <c:pt idx="246">
                  <c:v>47.022806652411134</c:v>
                </c:pt>
                <c:pt idx="247">
                  <c:v>46.802048443662493</c:v>
                </c:pt>
                <c:pt idx="248">
                  <c:v>46.574956565527621</c:v>
                </c:pt>
                <c:pt idx="249">
                  <c:v>46.34191604869342</c:v>
                </c:pt>
                <c:pt idx="250">
                  <c:v>46.103311800279165</c:v>
                </c:pt>
                <c:pt idx="251">
                  <c:v>45.85952859628118</c:v>
                </c:pt>
                <c:pt idx="252">
                  <c:v>45.610951090721251</c:v>
                </c:pt>
                <c:pt idx="253">
                  <c:v>45.357963527535446</c:v>
                </c:pt>
                <c:pt idx="254">
                  <c:v>45.100951087757593</c:v>
                </c:pt>
                <c:pt idx="255">
                  <c:v>44.84029804563972</c:v>
                </c:pt>
                <c:pt idx="256">
                  <c:v>44.576388550935661</c:v>
                </c:pt>
                <c:pt idx="257">
                  <c:v>44.309606627951851</c:v>
                </c:pt>
                <c:pt idx="258">
                  <c:v>44.040336175130975</c:v>
                </c:pt>
                <c:pt idx="259">
                  <c:v>43.768960964507038</c:v>
                </c:pt>
                <c:pt idx="260">
                  <c:v>43.493248914939137</c:v>
                </c:pt>
                <c:pt idx="261">
                  <c:v>43.211224034155478</c:v>
                </c:pt>
                <c:pt idx="262">
                  <c:v>42.923653982825115</c:v>
                </c:pt>
                <c:pt idx="263">
                  <c:v>42.631305751654345</c:v>
                </c:pt>
                <c:pt idx="264">
                  <c:v>42.33494606771378</c:v>
                </c:pt>
                <c:pt idx="265">
                  <c:v>42.035341390160283</c:v>
                </c:pt>
                <c:pt idx="266">
                  <c:v>41.733257911114833</c:v>
                </c:pt>
                <c:pt idx="267">
                  <c:v>41.429450928450969</c:v>
                </c:pt>
                <c:pt idx="268">
                  <c:v>41.124686442834395</c:v>
                </c:pt>
                <c:pt idx="269">
                  <c:v>40.819729921080999</c:v>
                </c:pt>
                <c:pt idx="270">
                  <c:v>40.515346571149848</c:v>
                </c:pt>
                <c:pt idx="271">
                  <c:v>40.212301344190287</c:v>
                </c:pt>
                <c:pt idx="272">
                  <c:v>39.911358935835302</c:v>
                </c:pt>
                <c:pt idx="273">
                  <c:v>39.613283788059192</c:v>
                </c:pt>
                <c:pt idx="274">
                  <c:v>39.316928106998667</c:v>
                </c:pt>
                <c:pt idx="275">
                  <c:v>39.02062756085413</c:v>
                </c:pt>
                <c:pt idx="276">
                  <c:v>38.724381856785968</c:v>
                </c:pt>
                <c:pt idx="277">
                  <c:v>38.428190874579876</c:v>
                </c:pt>
                <c:pt idx="278">
                  <c:v>38.132054434154306</c:v>
                </c:pt>
                <c:pt idx="279">
                  <c:v>37.835972292741658</c:v>
                </c:pt>
                <c:pt idx="280">
                  <c:v>37.539944142373749</c:v>
                </c:pt>
                <c:pt idx="281">
                  <c:v>37.243986421159114</c:v>
                </c:pt>
                <c:pt idx="282">
                  <c:v>36.948108653883239</c:v>
                </c:pt>
                <c:pt idx="283">
                  <c:v>36.652309988868083</c:v>
                </c:pt>
                <c:pt idx="284">
                  <c:v>36.356589480583949</c:v>
                </c:pt>
                <c:pt idx="285">
                  <c:v>36.060946089328816</c:v>
                </c:pt>
                <c:pt idx="286">
                  <c:v>35.765378681554914</c:v>
                </c:pt>
                <c:pt idx="287">
                  <c:v>35.469886030880808</c:v>
                </c:pt>
                <c:pt idx="288">
                  <c:v>35.173639016056782</c:v>
                </c:pt>
                <c:pt idx="289">
                  <c:v>34.876072941376442</c:v>
                </c:pt>
                <c:pt idx="290">
                  <c:v>34.577574978815022</c:v>
                </c:pt>
                <c:pt idx="291">
                  <c:v>34.278525453603663</c:v>
                </c:pt>
                <c:pt idx="292">
                  <c:v>33.979304514763996</c:v>
                </c:pt>
                <c:pt idx="293">
                  <c:v>33.68029214510004</c:v>
                </c:pt>
                <c:pt idx="294">
                  <c:v>33.381868168573959</c:v>
                </c:pt>
                <c:pt idx="295">
                  <c:v>33.084404943599431</c:v>
                </c:pt>
                <c:pt idx="296">
                  <c:v>32.7882665223092</c:v>
                </c:pt>
                <c:pt idx="297">
                  <c:v>32.493832729030856</c:v>
                </c:pt>
                <c:pt idx="298">
                  <c:v>32.201483304982638</c:v>
                </c:pt>
                <c:pt idx="299">
                  <c:v>31.911597897604146</c:v>
                </c:pt>
                <c:pt idx="300">
                  <c:v>31.624556069903942</c:v>
                </c:pt>
                <c:pt idx="301">
                  <c:v>31.340737307650844</c:v>
                </c:pt>
                <c:pt idx="302">
                  <c:v>31.058739364567447</c:v>
                </c:pt>
                <c:pt idx="303">
                  <c:v>30.777155324970916</c:v>
                </c:pt>
                <c:pt idx="304">
                  <c:v>30.496356326885973</c:v>
                </c:pt>
                <c:pt idx="305">
                  <c:v>30.216722430257725</c:v>
                </c:pt>
                <c:pt idx="306">
                  <c:v>29.938633655042945</c:v>
                </c:pt>
                <c:pt idx="307">
                  <c:v>29.662469993720624</c:v>
                </c:pt>
                <c:pt idx="308">
                  <c:v>29.388611410085044</c:v>
                </c:pt>
                <c:pt idx="309">
                  <c:v>29.117434878077585</c:v>
                </c:pt>
                <c:pt idx="310">
                  <c:v>28.849327008076365</c:v>
                </c:pt>
                <c:pt idx="311">
                  <c:v>28.584667646671853</c:v>
                </c:pt>
                <c:pt idx="312">
                  <c:v>28.323836631754016</c:v>
                </c:pt>
                <c:pt idx="313">
                  <c:v>28.067213800493356</c:v>
                </c:pt>
                <c:pt idx="314">
                  <c:v>27.815178988444739</c:v>
                </c:pt>
                <c:pt idx="315">
                  <c:v>27.56811203483468</c:v>
                </c:pt>
                <c:pt idx="316">
                  <c:v>27.325232295389831</c:v>
                </c:pt>
                <c:pt idx="317">
                  <c:v>27.085566709761704</c:v>
                </c:pt>
                <c:pt idx="318">
                  <c:v>26.849213880312643</c:v>
                </c:pt>
                <c:pt idx="319">
                  <c:v>26.616267928393185</c:v>
                </c:pt>
                <c:pt idx="320">
                  <c:v>26.386823038490238</c:v>
                </c:pt>
                <c:pt idx="321">
                  <c:v>26.160973466875088</c:v>
                </c:pt>
                <c:pt idx="322">
                  <c:v>25.938813531889114</c:v>
                </c:pt>
                <c:pt idx="323">
                  <c:v>25.72044271866681</c:v>
                </c:pt>
                <c:pt idx="324">
                  <c:v>25.505958068619933</c:v>
                </c:pt>
                <c:pt idx="325">
                  <c:v>25.295453958026464</c:v>
                </c:pt>
                <c:pt idx="326">
                  <c:v>25.089024845133419</c:v>
                </c:pt>
                <c:pt idx="327">
                  <c:v>24.886765242847392</c:v>
                </c:pt>
                <c:pt idx="328">
                  <c:v>24.688769711969222</c:v>
                </c:pt>
                <c:pt idx="329">
                  <c:v>24.495132870764504</c:v>
                </c:pt>
                <c:pt idx="330">
                  <c:v>24.302820063292646</c:v>
                </c:pt>
                <c:pt idx="331">
                  <c:v>24.109627321923515</c:v>
                </c:pt>
                <c:pt idx="332">
                  <c:v>23.916890964283606</c:v>
                </c:pt>
                <c:pt idx="333">
                  <c:v>23.725945304904027</c:v>
                </c:pt>
                <c:pt idx="334">
                  <c:v>23.5381244162478</c:v>
                </c:pt>
                <c:pt idx="335">
                  <c:v>23.354762098569967</c:v>
                </c:pt>
                <c:pt idx="336">
                  <c:v>23.177191874693413</c:v>
                </c:pt>
                <c:pt idx="337">
                  <c:v>23.006745645017617</c:v>
                </c:pt>
                <c:pt idx="338">
                  <c:v>22.844751604502054</c:v>
                </c:pt>
                <c:pt idx="339">
                  <c:v>22.692542404844698</c:v>
                </c:pt>
                <c:pt idx="340">
                  <c:v>22.551450338624548</c:v>
                </c:pt>
                <c:pt idx="341">
                  <c:v>22.42280733490075</c:v>
                </c:pt>
                <c:pt idx="342">
                  <c:v>22.307944942263202</c:v>
                </c:pt>
                <c:pt idx="343">
                  <c:v>22.208194316292118</c:v>
                </c:pt>
                <c:pt idx="344">
                  <c:v>22.121053063658767</c:v>
                </c:pt>
                <c:pt idx="345">
                  <c:v>22.043284734729752</c:v>
                </c:pt>
                <c:pt idx="346">
                  <c:v>21.975115116931082</c:v>
                </c:pt>
                <c:pt idx="347">
                  <c:v>21.916773864457699</c:v>
                </c:pt>
                <c:pt idx="348">
                  <c:v>21.868490532362301</c:v>
                </c:pt>
                <c:pt idx="349">
                  <c:v>21.830494585830134</c:v>
                </c:pt>
                <c:pt idx="350">
                  <c:v>21.803015387264725</c:v>
                </c:pt>
                <c:pt idx="351">
                  <c:v>21.786281988756702</c:v>
                </c:pt>
                <c:pt idx="352">
                  <c:v>21.780524830750462</c:v>
                </c:pt>
                <c:pt idx="353">
                  <c:v>21.785972953433063</c:v>
                </c:pt>
                <c:pt idx="354">
                  <c:v>21.802855301781808</c:v>
                </c:pt>
                <c:pt idx="355">
                  <c:v>21.8314007123507</c:v>
                </c:pt>
                <c:pt idx="356">
                  <c:v>21.871837920462553</c:v>
                </c:pt>
                <c:pt idx="357">
                  <c:v>21.924395533401498</c:v>
                </c:pt>
                <c:pt idx="358">
                  <c:v>21.991258832523805</c:v>
                </c:pt>
                <c:pt idx="359">
                  <c:v>22.073734792720657</c:v>
                </c:pt>
                <c:pt idx="360">
                  <c:v>22.170733451899995</c:v>
                </c:pt>
                <c:pt idx="361">
                  <c:v>22.28116661789543</c:v>
                </c:pt>
                <c:pt idx="362">
                  <c:v>22.403946180617059</c:v>
                </c:pt>
                <c:pt idx="363">
                  <c:v>22.537984338448606</c:v>
                </c:pt>
                <c:pt idx="364">
                  <c:v>22.682193580426123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22.455368647169532</c:v>
                </c:pt>
                <c:pt idx="1">
                  <c:v>16.14589286125593</c:v>
                </c:pt>
                <c:pt idx="2">
                  <c:v>17.374644742876225</c:v>
                </c:pt>
                <c:pt idx="3">
                  <c:v>18.357956243199091</c:v>
                </c:pt>
                <c:pt idx="4">
                  <c:v>14.615827223193413</c:v>
                </c:pt>
                <c:pt idx="5">
                  <c:v>21.076138821912334</c:v>
                </c:pt>
                <c:pt idx="6">
                  <c:v>10.778001271252666</c:v>
                </c:pt>
                <c:pt idx="7">
                  <c:v>7.560724441913381</c:v>
                </c:pt>
                <c:pt idx="8">
                  <c:v>2.2316666763139397</c:v>
                </c:pt>
                <c:pt idx="9">
                  <c:v>1.7321728163925161</c:v>
                </c:pt>
                <c:pt idx="10">
                  <c:v>24.962033862698696</c:v>
                </c:pt>
                <c:pt idx="11">
                  <c:v>21.297428569879827</c:v>
                </c:pt>
                <c:pt idx="12">
                  <c:v>5.128648868362947</c:v>
                </c:pt>
                <c:pt idx="13">
                  <c:v>25.354938785029603</c:v>
                </c:pt>
                <c:pt idx="14">
                  <c:v>26.942595053200844</c:v>
                </c:pt>
                <c:pt idx="15">
                  <c:v>26.461057089314032</c:v>
                </c:pt>
                <c:pt idx="16">
                  <c:v>13.544710853249491</c:v>
                </c:pt>
                <c:pt idx="17">
                  <c:v>3.5759242194058953</c:v>
                </c:pt>
                <c:pt idx="18">
                  <c:v>10.34313776280467</c:v>
                </c:pt>
                <c:pt idx="19">
                  <c:v>6.5063589883315203</c:v>
                </c:pt>
                <c:pt idx="20">
                  <c:v>20.78209962039017</c:v>
                </c:pt>
                <c:pt idx="21">
                  <c:v>28.040243231582565</c:v>
                </c:pt>
                <c:pt idx="22">
                  <c:v>28.104428713968375</c:v>
                </c:pt>
                <c:pt idx="23">
                  <c:v>28.735558887560806</c:v>
                </c:pt>
                <c:pt idx="24">
                  <c:v>27.366464802711516</c:v>
                </c:pt>
                <c:pt idx="25">
                  <c:v>28.342394133322795</c:v>
                </c:pt>
                <c:pt idx="26">
                  <c:v>26.406459482428051</c:v>
                </c:pt>
                <c:pt idx="27">
                  <c:v>4.3131149355370901</c:v>
                </c:pt>
                <c:pt idx="28">
                  <c:v>9.4575929986169509</c:v>
                </c:pt>
                <c:pt idx="29">
                  <c:v>4.4983899534227945</c:v>
                </c:pt>
                <c:pt idx="30">
                  <c:v>9.200400075684545</c:v>
                </c:pt>
                <c:pt idx="31">
                  <c:v>13.356640528569649</c:v>
                </c:pt>
                <c:pt idx="32">
                  <c:v>5.3655478191540427</c:v>
                </c:pt>
                <c:pt idx="33">
                  <c:v>10.113227608416073</c:v>
                </c:pt>
                <c:pt idx="34">
                  <c:v>10.013951264628373</c:v>
                </c:pt>
                <c:pt idx="35">
                  <c:v>9.6886820820460304</c:v>
                </c:pt>
                <c:pt idx="36">
                  <c:v>22.166008933540695</c:v>
                </c:pt>
                <c:pt idx="37">
                  <c:v>9.5113657070800866</c:v>
                </c:pt>
                <c:pt idx="38">
                  <c:v>33.337805072604958</c:v>
                </c:pt>
                <c:pt idx="39">
                  <c:v>33.556801792721124</c:v>
                </c:pt>
                <c:pt idx="40">
                  <c:v>31.194991784802848</c:v>
                </c:pt>
                <c:pt idx="41">
                  <c:v>17.414216171016143</c:v>
                </c:pt>
                <c:pt idx="42">
                  <c:v>26.456602677012572</c:v>
                </c:pt>
                <c:pt idx="43">
                  <c:v>31.274378306830265</c:v>
                </c:pt>
                <c:pt idx="44">
                  <c:v>15.317340593596308</c:v>
                </c:pt>
                <c:pt idx="45">
                  <c:v>19.257985306790591</c:v>
                </c:pt>
                <c:pt idx="46">
                  <c:v>10.088086568726935</c:v>
                </c:pt>
                <c:pt idx="47">
                  <c:v>10.914302752474988</c:v>
                </c:pt>
                <c:pt idx="48">
                  <c:v>27.794603842793137</c:v>
                </c:pt>
                <c:pt idx="49">
                  <c:v>20.142941510946937</c:v>
                </c:pt>
                <c:pt idx="50">
                  <c:v>19.213106803861361</c:v>
                </c:pt>
                <c:pt idx="51">
                  <c:v>21.239608116438578</c:v>
                </c:pt>
                <c:pt idx="52">
                  <c:v>32.828339886288177</c:v>
                </c:pt>
                <c:pt idx="53">
                  <c:v>33.967357133127173</c:v>
                </c:pt>
                <c:pt idx="54">
                  <c:v>20.882785047502093</c:v>
                </c:pt>
                <c:pt idx="55">
                  <c:v>30.415252961934758</c:v>
                </c:pt>
                <c:pt idx="56">
                  <c:v>39.168899009759109</c:v>
                </c:pt>
                <c:pt idx="57">
                  <c:v>27.296599906496791</c:v>
                </c:pt>
                <c:pt idx="58">
                  <c:v>33.729923052275481</c:v>
                </c:pt>
                <c:pt idx="59">
                  <c:v>39.154638590147258</c:v>
                </c:pt>
                <c:pt idx="60">
                  <c:v>10.782502086529433</c:v>
                </c:pt>
                <c:pt idx="61">
                  <c:v>34.750498563119201</c:v>
                </c:pt>
                <c:pt idx="62">
                  <c:v>3.9969575153267276</c:v>
                </c:pt>
                <c:pt idx="63">
                  <c:v>13.231925031343188</c:v>
                </c:pt>
                <c:pt idx="64">
                  <c:v>15.809551013746981</c:v>
                </c:pt>
                <c:pt idx="65">
                  <c:v>36.926208290431184</c:v>
                </c:pt>
                <c:pt idx="66">
                  <c:v>31.911865039277671</c:v>
                </c:pt>
                <c:pt idx="67">
                  <c:v>28.474622500667202</c:v>
                </c:pt>
                <c:pt idx="68">
                  <c:v>24.735738856698301</c:v>
                </c:pt>
                <c:pt idx="69">
                  <c:v>15.695612999714344</c:v>
                </c:pt>
                <c:pt idx="70">
                  <c:v>14.583376106938205</c:v>
                </c:pt>
                <c:pt idx="71">
                  <c:v>9.8989187829338263</c:v>
                </c:pt>
                <c:pt idx="72">
                  <c:v>14.26479726763209</c:v>
                </c:pt>
                <c:pt idx="73">
                  <c:v>14.288190493683663</c:v>
                </c:pt>
                <c:pt idx="74">
                  <c:v>12.878211619240576</c:v>
                </c:pt>
                <c:pt idx="75">
                  <c:v>10.743281767878269</c:v>
                </c:pt>
                <c:pt idx="76">
                  <c:v>14.323634937814361</c:v>
                </c:pt>
                <c:pt idx="77">
                  <c:v>29.068205395058545</c:v>
                </c:pt>
                <c:pt idx="78">
                  <c:v>30.022738568890741</c:v>
                </c:pt>
                <c:pt idx="79">
                  <c:v>43.774427391831416</c:v>
                </c:pt>
                <c:pt idx="80">
                  <c:v>41.190423874948713</c:v>
                </c:pt>
                <c:pt idx="81">
                  <c:v>47.261787818524695</c:v>
                </c:pt>
                <c:pt idx="82">
                  <c:v>46.249601002595718</c:v>
                </c:pt>
                <c:pt idx="83">
                  <c:v>40.512194746045935</c:v>
                </c:pt>
                <c:pt idx="84">
                  <c:v>45.594027176283603</c:v>
                </c:pt>
                <c:pt idx="85">
                  <c:v>44.41068904189067</c:v>
                </c:pt>
                <c:pt idx="86">
                  <c:v>34.771132315374416</c:v>
                </c:pt>
                <c:pt idx="87">
                  <c:v>27.385699533044114</c:v>
                </c:pt>
                <c:pt idx="88">
                  <c:v>7.7014444785622231</c:v>
                </c:pt>
                <c:pt idx="89">
                  <c:v>28.065487157014605</c:v>
                </c:pt>
                <c:pt idx="90">
                  <c:v>30.713218390067276</c:v>
                </c:pt>
                <c:pt idx="91">
                  <c:v>20.938037576537088</c:v>
                </c:pt>
                <c:pt idx="92">
                  <c:v>22.683645466280371</c:v>
                </c:pt>
                <c:pt idx="93">
                  <c:v>47.704184101396194</c:v>
                </c:pt>
                <c:pt idx="94">
                  <c:v>50.705432070252826</c:v>
                </c:pt>
                <c:pt idx="95">
                  <c:v>11.108016913279799</c:v>
                </c:pt>
                <c:pt idx="96">
                  <c:v>37.970867630156334</c:v>
                </c:pt>
                <c:pt idx="97">
                  <c:v>31.277341057208925</c:v>
                </c:pt>
                <c:pt idx="98">
                  <c:v>34.825809402529487</c:v>
                </c:pt>
                <c:pt idx="99">
                  <c:v>52.441364401190128</c:v>
                </c:pt>
                <c:pt idx="100">
                  <c:v>44.037071946230981</c:v>
                </c:pt>
                <c:pt idx="101">
                  <c:v>35.712712182391698</c:v>
                </c:pt>
                <c:pt idx="102">
                  <c:v>7.1610577439117051</c:v>
                </c:pt>
                <c:pt idx="103">
                  <c:v>38.709160000947641</c:v>
                </c:pt>
                <c:pt idx="104">
                  <c:v>44.360664778188656</c:v>
                </c:pt>
                <c:pt idx="105">
                  <c:v>42.805456638593029</c:v>
                </c:pt>
                <c:pt idx="106">
                  <c:v>52.284216230988221</c:v>
                </c:pt>
                <c:pt idx="107">
                  <c:v>36.165719708383968</c:v>
                </c:pt>
                <c:pt idx="108">
                  <c:v>8.6455539396914673</c:v>
                </c:pt>
                <c:pt idx="109">
                  <c:v>9.893405361115482</c:v>
                </c:pt>
                <c:pt idx="110">
                  <c:v>9.1449836971710887</c:v>
                </c:pt>
                <c:pt idx="111">
                  <c:v>26.763282571738277</c:v>
                </c:pt>
                <c:pt idx="112">
                  <c:v>9.2604587841508454</c:v>
                </c:pt>
                <c:pt idx="113">
                  <c:v>29.383749844421274</c:v>
                </c:pt>
                <c:pt idx="114">
                  <c:v>45.217945444260188</c:v>
                </c:pt>
                <c:pt idx="115">
                  <c:v>52.640106457664935</c:v>
                </c:pt>
                <c:pt idx="116">
                  <c:v>39.651892491127946</c:v>
                </c:pt>
                <c:pt idx="117">
                  <c:v>19.736890238030096</c:v>
                </c:pt>
                <c:pt idx="118">
                  <c:v>39.717443414912886</c:v>
                </c:pt>
                <c:pt idx="119">
                  <c:v>42.218056001456191</c:v>
                </c:pt>
                <c:pt idx="120">
                  <c:v>45.756823907387776</c:v>
                </c:pt>
                <c:pt idx="121">
                  <c:v>29.414931440140144</c:v>
                </c:pt>
                <c:pt idx="122">
                  <c:v>35.048149176780456</c:v>
                </c:pt>
                <c:pt idx="123">
                  <c:v>19.441544481558971</c:v>
                </c:pt>
                <c:pt idx="124">
                  <c:v>40.750317218303444</c:v>
                </c:pt>
                <c:pt idx="125">
                  <c:v>37.278832212592604</c:v>
                </c:pt>
                <c:pt idx="126">
                  <c:v>50.689989282913359</c:v>
                </c:pt>
                <c:pt idx="127">
                  <c:v>48.240352396595767</c:v>
                </c:pt>
                <c:pt idx="128">
                  <c:v>50.480538430285385</c:v>
                </c:pt>
                <c:pt idx="129">
                  <c:v>50.157600101545569</c:v>
                </c:pt>
                <c:pt idx="130">
                  <c:v>54.142593891503083</c:v>
                </c:pt>
                <c:pt idx="131">
                  <c:v>39.47792250555068</c:v>
                </c:pt>
                <c:pt idx="132">
                  <c:v>40.156246417265891</c:v>
                </c:pt>
                <c:pt idx="133">
                  <c:v>48.584048220398635</c:v>
                </c:pt>
                <c:pt idx="134">
                  <c:v>51.400344193907152</c:v>
                </c:pt>
                <c:pt idx="135">
                  <c:v>48.995674276746257</c:v>
                </c:pt>
                <c:pt idx="136">
                  <c:v>52.174934808045826</c:v>
                </c:pt>
                <c:pt idx="137">
                  <c:v>50.191064808832941</c:v>
                </c:pt>
                <c:pt idx="138">
                  <c:v>52.974536822154313</c:v>
                </c:pt>
                <c:pt idx="139">
                  <c:v>47.993101988273686</c:v>
                </c:pt>
                <c:pt idx="140">
                  <c:v>47.912646103050498</c:v>
                </c:pt>
                <c:pt idx="141">
                  <c:v>36.262219088807029</c:v>
                </c:pt>
                <c:pt idx="142">
                  <c:v>18.905705121277816</c:v>
                </c:pt>
                <c:pt idx="143">
                  <c:v>16.392354735781652</c:v>
                </c:pt>
                <c:pt idx="144">
                  <c:v>38.447477747361965</c:v>
                </c:pt>
                <c:pt idx="145">
                  <c:v>23.312525100698203</c:v>
                </c:pt>
                <c:pt idx="146">
                  <c:v>43.363692945682409</c:v>
                </c:pt>
                <c:pt idx="147">
                  <c:v>52.249039852992517</c:v>
                </c:pt>
                <c:pt idx="148">
                  <c:v>56.314099397816115</c:v>
                </c:pt>
                <c:pt idx="149">
                  <c:v>47.955296611825446</c:v>
                </c:pt>
                <c:pt idx="150">
                  <c:v>50.927541764116626</c:v>
                </c:pt>
                <c:pt idx="151">
                  <c:v>53.204854130800037</c:v>
                </c:pt>
                <c:pt idx="152">
                  <c:v>42.740375992917087</c:v>
                </c:pt>
                <c:pt idx="153">
                  <c:v>52.087119511077496</c:v>
                </c:pt>
                <c:pt idx="154">
                  <c:v>23.521204985018471</c:v>
                </c:pt>
                <c:pt idx="155">
                  <c:v>32.44687682216076</c:v>
                </c:pt>
                <c:pt idx="156">
                  <c:v>45.697111964657907</c:v>
                </c:pt>
                <c:pt idx="157">
                  <c:v>23.823241599761648</c:v>
                </c:pt>
                <c:pt idx="158">
                  <c:v>19.476889938009247</c:v>
                </c:pt>
                <c:pt idx="159">
                  <c:v>44.508349172081353</c:v>
                </c:pt>
                <c:pt idx="160">
                  <c:v>54.317001625695873</c:v>
                </c:pt>
                <c:pt idx="161">
                  <c:v>53.109644135331898</c:v>
                </c:pt>
                <c:pt idx="162">
                  <c:v>40.63790206975542</c:v>
                </c:pt>
                <c:pt idx="163">
                  <c:v>51.454895808538808</c:v>
                </c:pt>
                <c:pt idx="164">
                  <c:v>46.929538823569494</c:v>
                </c:pt>
                <c:pt idx="165">
                  <c:v>51.192334864472791</c:v>
                </c:pt>
                <c:pt idx="166">
                  <c:v>49.198697523311871</c:v>
                </c:pt>
                <c:pt idx="167">
                  <c:v>49.26635243668958</c:v>
                </c:pt>
                <c:pt idx="168">
                  <c:v>52.494364124241429</c:v>
                </c:pt>
                <c:pt idx="169">
                  <c:v>53.566172712556011</c:v>
                </c:pt>
                <c:pt idx="170">
                  <c:v>29.831691429727243</c:v>
                </c:pt>
                <c:pt idx="171">
                  <c:v>22.278537032080866</c:v>
                </c:pt>
                <c:pt idx="172">
                  <c:v>37.264519235863247</c:v>
                </c:pt>
                <c:pt idx="173">
                  <c:v>39.801216582376853</c:v>
                </c:pt>
                <c:pt idx="174">
                  <c:v>38.0395153408654</c:v>
                </c:pt>
                <c:pt idx="175">
                  <c:v>33.476280788031779</c:v>
                </c:pt>
                <c:pt idx="176">
                  <c:v>11.232226640897485</c:v>
                </c:pt>
                <c:pt idx="177">
                  <c:v>12.260857382360625</c:v>
                </c:pt>
                <c:pt idx="178">
                  <c:v>55.660476887122499</c:v>
                </c:pt>
                <c:pt idx="179">
                  <c:v>52.844288203992768</c:v>
                </c:pt>
                <c:pt idx="180">
                  <c:v>13.13891253168714</c:v>
                </c:pt>
                <c:pt idx="181">
                  <c:v>47.298788338110434</c:v>
                </c:pt>
                <c:pt idx="182">
                  <c:v>52.690189207250334</c:v>
                </c:pt>
                <c:pt idx="183">
                  <c:v>43.905904876436601</c:v>
                </c:pt>
                <c:pt idx="184">
                  <c:v>41.666555324353595</c:v>
                </c:pt>
                <c:pt idx="185">
                  <c:v>52.206002577231814</c:v>
                </c:pt>
                <c:pt idx="186">
                  <c:v>44.833442355468762</c:v>
                </c:pt>
                <c:pt idx="187">
                  <c:v>51.493324027150251</c:v>
                </c:pt>
                <c:pt idx="188">
                  <c:v>54.155154210151387</c:v>
                </c:pt>
                <c:pt idx="189">
                  <c:v>53.457969604748889</c:v>
                </c:pt>
                <c:pt idx="190">
                  <c:v>52.778223002156025</c:v>
                </c:pt>
                <c:pt idx="191">
                  <c:v>51.382641184468284</c:v>
                </c:pt>
                <c:pt idx="192">
                  <c:v>51.476860769536806</c:v>
                </c:pt>
                <c:pt idx="193">
                  <c:v>50.870739551182396</c:v>
                </c:pt>
                <c:pt idx="194">
                  <c:v>50.327586315286908</c:v>
                </c:pt>
                <c:pt idx="195">
                  <c:v>48.645177167637179</c:v>
                </c:pt>
                <c:pt idx="196">
                  <c:v>49.988218323156872</c:v>
                </c:pt>
                <c:pt idx="197">
                  <c:v>49.592296213844961</c:v>
                </c:pt>
                <c:pt idx="198">
                  <c:v>51.395551680807166</c:v>
                </c:pt>
                <c:pt idx="199">
                  <c:v>41.233486495528112</c:v>
                </c:pt>
                <c:pt idx="200">
                  <c:v>41.648133135153522</c:v>
                </c:pt>
                <c:pt idx="201">
                  <c:v>48.981652612018479</c:v>
                </c:pt>
                <c:pt idx="202">
                  <c:v>39.046411137775735</c:v>
                </c:pt>
                <c:pt idx="203">
                  <c:v>43.636056736681255</c:v>
                </c:pt>
                <c:pt idx="204">
                  <c:v>48.940917558865451</c:v>
                </c:pt>
                <c:pt idx="205">
                  <c:v>25.011073925911553</c:v>
                </c:pt>
                <c:pt idx="206">
                  <c:v>52.575222862268689</c:v>
                </c:pt>
                <c:pt idx="207">
                  <c:v>52.583696906359748</c:v>
                </c:pt>
                <c:pt idx="208">
                  <c:v>42.199446927983089</c:v>
                </c:pt>
                <c:pt idx="209">
                  <c:v>28.546386189698179</c:v>
                </c:pt>
                <c:pt idx="210">
                  <c:v>48.042544022520445</c:v>
                </c:pt>
                <c:pt idx="211">
                  <c:v>50.633145534047593</c:v>
                </c:pt>
                <c:pt idx="212">
                  <c:v>49.749755442879191</c:v>
                </c:pt>
                <c:pt idx="213">
                  <c:v>49.947806114617933</c:v>
                </c:pt>
                <c:pt idx="214">
                  <c:v>47.857906108202585</c:v>
                </c:pt>
                <c:pt idx="215">
                  <c:v>44.909377987700502</c:v>
                </c:pt>
                <c:pt idx="216">
                  <c:v>41.783462339097071</c:v>
                </c:pt>
                <c:pt idx="217">
                  <c:v>45.786037372005005</c:v>
                </c:pt>
                <c:pt idx="218">
                  <c:v>48.665490461091515</c:v>
                </c:pt>
                <c:pt idx="219">
                  <c:v>49.446901899067825</c:v>
                </c:pt>
                <c:pt idx="220">
                  <c:v>47.793004845441033</c:v>
                </c:pt>
                <c:pt idx="221">
                  <c:v>45.825116565470836</c:v>
                </c:pt>
                <c:pt idx="222">
                  <c:v>42.169993712326921</c:v>
                </c:pt>
                <c:pt idx="223">
                  <c:v>44.256876103898897</c:v>
                </c:pt>
                <c:pt idx="224">
                  <c:v>30.829008491397424</c:v>
                </c:pt>
                <c:pt idx="225">
                  <c:v>32.052364066815393</c:v>
                </c:pt>
                <c:pt idx="226">
                  <c:v>36.752091578191163</c:v>
                </c:pt>
                <c:pt idx="227">
                  <c:v>30.872577945655234</c:v>
                </c:pt>
                <c:pt idx="228">
                  <c:v>21.221910371556081</c:v>
                </c:pt>
                <c:pt idx="229">
                  <c:v>36.927704629725433</c:v>
                </c:pt>
                <c:pt idx="230">
                  <c:v>38.235550955608488</c:v>
                </c:pt>
                <c:pt idx="231">
                  <c:v>45.536011681132969</c:v>
                </c:pt>
                <c:pt idx="232">
                  <c:v>30.697886027161402</c:v>
                </c:pt>
                <c:pt idx="233">
                  <c:v>23.917556173661623</c:v>
                </c:pt>
                <c:pt idx="234">
                  <c:v>42.783060682642329</c:v>
                </c:pt>
                <c:pt idx="235">
                  <c:v>44.203532408189083</c:v>
                </c:pt>
                <c:pt idx="236">
                  <c:v>31.541664968434961</c:v>
                </c:pt>
                <c:pt idx="237">
                  <c:v>39.625792269606599</c:v>
                </c:pt>
                <c:pt idx="238">
                  <c:v>46.687534994745292</c:v>
                </c:pt>
                <c:pt idx="239">
                  <c:v>45.819648786622523</c:v>
                </c:pt>
                <c:pt idx="240">
                  <c:v>30.892874030874957</c:v>
                </c:pt>
                <c:pt idx="241">
                  <c:v>44.857339862353712</c:v>
                </c:pt>
                <c:pt idx="242">
                  <c:v>21.11212395435567</c:v>
                </c:pt>
                <c:pt idx="243">
                  <c:v>40.698085645084205</c:v>
                </c:pt>
                <c:pt idx="244">
                  <c:v>37.331069410328439</c:v>
                </c:pt>
                <c:pt idx="245">
                  <c:v>31.170229522317822</c:v>
                </c:pt>
                <c:pt idx="246">
                  <c:v>45.209320890440992</c:v>
                </c:pt>
                <c:pt idx="247">
                  <c:v>38.219593374569499</c:v>
                </c:pt>
                <c:pt idx="248">
                  <c:v>43.345414638063843</c:v>
                </c:pt>
                <c:pt idx="249">
                  <c:v>33.725418350001277</c:v>
                </c:pt>
                <c:pt idx="250">
                  <c:v>36.931833438575886</c:v>
                </c:pt>
                <c:pt idx="251">
                  <c:v>20.560200093033153</c:v>
                </c:pt>
                <c:pt idx="252">
                  <c:v>43.435106667490338</c:v>
                </c:pt>
                <c:pt idx="253">
                  <c:v>43.946649958354726</c:v>
                </c:pt>
                <c:pt idx="254">
                  <c:v>30.778614316218075</c:v>
                </c:pt>
                <c:pt idx="255">
                  <c:v>10.913785466206097</c:v>
                </c:pt>
                <c:pt idx="256">
                  <c:v>36.217589981307924</c:v>
                </c:pt>
                <c:pt idx="257">
                  <c:v>39.783129780769727</c:v>
                </c:pt>
                <c:pt idx="258">
                  <c:v>26.488229355103172</c:v>
                </c:pt>
                <c:pt idx="259">
                  <c:v>45.808270817660571</c:v>
                </c:pt>
                <c:pt idx="260">
                  <c:v>44.29060687808596</c:v>
                </c:pt>
                <c:pt idx="261">
                  <c:v>43.150118007093802</c:v>
                </c:pt>
                <c:pt idx="262">
                  <c:v>44.452100709178737</c:v>
                </c:pt>
                <c:pt idx="263">
                  <c:v>43.369844127537561</c:v>
                </c:pt>
                <c:pt idx="264">
                  <c:v>42.241049046844118</c:v>
                </c:pt>
                <c:pt idx="265">
                  <c:v>26.689317505450358</c:v>
                </c:pt>
                <c:pt idx="266">
                  <c:v>16.731126958753634</c:v>
                </c:pt>
                <c:pt idx="267">
                  <c:v>29.61809702149931</c:v>
                </c:pt>
                <c:pt idx="268">
                  <c:v>31.942320950210771</c:v>
                </c:pt>
                <c:pt idx="269">
                  <c:v>14.437884618745684</c:v>
                </c:pt>
                <c:pt idx="270">
                  <c:v>16.59024365788833</c:v>
                </c:pt>
                <c:pt idx="271">
                  <c:v>22.753918710770705</c:v>
                </c:pt>
                <c:pt idx="272">
                  <c:v>27.805562966357094</c:v>
                </c:pt>
                <c:pt idx="273">
                  <c:v>33.347337383274009</c:v>
                </c:pt>
                <c:pt idx="274">
                  <c:v>37.173734665284911</c:v>
                </c:pt>
                <c:pt idx="275">
                  <c:v>33.812124902290513</c:v>
                </c:pt>
                <c:pt idx="276">
                  <c:v>38.047054128201069</c:v>
                </c:pt>
                <c:pt idx="277">
                  <c:v>39.24219604376006</c:v>
                </c:pt>
                <c:pt idx="278">
                  <c:v>11.455968289080573</c:v>
                </c:pt>
                <c:pt idx="279">
                  <c:v>28.001371780614729</c:v>
                </c:pt>
                <c:pt idx="280">
                  <c:v>15.262099472392165</c:v>
                </c:pt>
                <c:pt idx="281">
                  <c:v>35.896215429349873</c:v>
                </c:pt>
                <c:pt idx="282">
                  <c:v>29.585347818572856</c:v>
                </c:pt>
                <c:pt idx="283">
                  <c:v>21.514388977697131</c:v>
                </c:pt>
                <c:pt idx="284">
                  <c:v>26.871739719506007</c:v>
                </c:pt>
                <c:pt idx="285">
                  <c:v>22.176509776987466</c:v>
                </c:pt>
                <c:pt idx="286">
                  <c:v>18.823826655714385</c:v>
                </c:pt>
                <c:pt idx="287">
                  <c:v>34.85958885461892</c:v>
                </c:pt>
                <c:pt idx="288">
                  <c:v>31.30692699747398</c:v>
                </c:pt>
                <c:pt idx="289">
                  <c:v>18.99758102552882</c:v>
                </c:pt>
                <c:pt idx="290">
                  <c:v>32.247950740523848</c:v>
                </c:pt>
                <c:pt idx="291">
                  <c:v>14.854039532982668</c:v>
                </c:pt>
                <c:pt idx="292">
                  <c:v>6.1536913457197766</c:v>
                </c:pt>
                <c:pt idx="293">
                  <c:v>15.58553717477206</c:v>
                </c:pt>
                <c:pt idx="294">
                  <c:v>31.113843689996695</c:v>
                </c:pt>
                <c:pt idx="295">
                  <c:v>16.214215600025216</c:v>
                </c:pt>
                <c:pt idx="296">
                  <c:v>24.033722551180741</c:v>
                </c:pt>
                <c:pt idx="297">
                  <c:v>20.727494021546292</c:v>
                </c:pt>
                <c:pt idx="298">
                  <c:v>12.992459122499787</c:v>
                </c:pt>
                <c:pt idx="299">
                  <c:v>13.877332655624732</c:v>
                </c:pt>
                <c:pt idx="300">
                  <c:v>16.387284967207083</c:v>
                </c:pt>
                <c:pt idx="301">
                  <c:v>25.73323478805484</c:v>
                </c:pt>
                <c:pt idx="302">
                  <c:v>21.287079460012009</c:v>
                </c:pt>
                <c:pt idx="303">
                  <c:v>20.781844686218932</c:v>
                </c:pt>
                <c:pt idx="304">
                  <c:v>22.10644235135479</c:v>
                </c:pt>
                <c:pt idx="305">
                  <c:v>26.568812059471746</c:v>
                </c:pt>
                <c:pt idx="306">
                  <c:v>9.1232032250062396</c:v>
                </c:pt>
                <c:pt idx="307">
                  <c:v>16.000509218808482</c:v>
                </c:pt>
                <c:pt idx="308">
                  <c:v>27.862295661106042</c:v>
                </c:pt>
                <c:pt idx="309">
                  <c:v>28.704918978543056</c:v>
                </c:pt>
                <c:pt idx="310">
                  <c:v>26.528004553346637</c:v>
                </c:pt>
                <c:pt idx="311">
                  <c:v>19.972970076394045</c:v>
                </c:pt>
                <c:pt idx="312">
                  <c:v>9.3394346168543727</c:v>
                </c:pt>
                <c:pt idx="313">
                  <c:v>19.395292093683423</c:v>
                </c:pt>
                <c:pt idx="314">
                  <c:v>26.268700299200731</c:v>
                </c:pt>
                <c:pt idx="315">
                  <c:v>26.312819308200403</c:v>
                </c:pt>
                <c:pt idx="316">
                  <c:v>25.417606130351228</c:v>
                </c:pt>
                <c:pt idx="317">
                  <c:v>8.9501310891067742</c:v>
                </c:pt>
                <c:pt idx="318">
                  <c:v>11.638389113130733</c:v>
                </c:pt>
                <c:pt idx="319">
                  <c:v>25.83918954689015</c:v>
                </c:pt>
                <c:pt idx="320">
                  <c:v>12.094935224123724</c:v>
                </c:pt>
                <c:pt idx="321">
                  <c:v>14.356390862952525</c:v>
                </c:pt>
                <c:pt idx="322">
                  <c:v>7.3525353724474414</c:v>
                </c:pt>
                <c:pt idx="323">
                  <c:v>14.695638629112915</c:v>
                </c:pt>
                <c:pt idx="324">
                  <c:v>3.1057256613884978</c:v>
                </c:pt>
                <c:pt idx="325">
                  <c:v>7.7207770338487771</c:v>
                </c:pt>
                <c:pt idx="326">
                  <c:v>11.571175555199552</c:v>
                </c:pt>
                <c:pt idx="327">
                  <c:v>12.736079464478646</c:v>
                </c:pt>
                <c:pt idx="328">
                  <c:v>4.9316483995808698</c:v>
                </c:pt>
                <c:pt idx="329">
                  <c:v>9.8857802364877099</c:v>
                </c:pt>
                <c:pt idx="330">
                  <c:v>14.062586390432136</c:v>
                </c:pt>
                <c:pt idx="331">
                  <c:v>10.193782663185374</c:v>
                </c:pt>
                <c:pt idx="332">
                  <c:v>14.183368422701117</c:v>
                </c:pt>
                <c:pt idx="333">
                  <c:v>3.9516361876771771</c:v>
                </c:pt>
                <c:pt idx="334">
                  <c:v>3.4003363373945854</c:v>
                </c:pt>
                <c:pt idx="335">
                  <c:v>5.638826727165144</c:v>
                </c:pt>
                <c:pt idx="336">
                  <c:v>8.4229134685510836</c:v>
                </c:pt>
                <c:pt idx="337">
                  <c:v>16.723714615947749</c:v>
                </c:pt>
                <c:pt idx="338">
                  <c:v>22.762883471251747</c:v>
                </c:pt>
                <c:pt idx="339">
                  <c:v>10.542357674740394</c:v>
                </c:pt>
                <c:pt idx="340">
                  <c:v>19.128866251724304</c:v>
                </c:pt>
                <c:pt idx="341">
                  <c:v>3.9491032676631699</c:v>
                </c:pt>
                <c:pt idx="342">
                  <c:v>4.7781940454844332</c:v>
                </c:pt>
                <c:pt idx="343">
                  <c:v>11.247608314201941</c:v>
                </c:pt>
                <c:pt idx="344">
                  <c:v>15.713414146101456</c:v>
                </c:pt>
                <c:pt idx="345">
                  <c:v>5.4724690270020275</c:v>
                </c:pt>
                <c:pt idx="346">
                  <c:v>5.1948674916282771</c:v>
                </c:pt>
                <c:pt idx="347">
                  <c:v>16.48374408666966</c:v>
                </c:pt>
                <c:pt idx="348">
                  <c:v>5.4677747544853386</c:v>
                </c:pt>
                <c:pt idx="349">
                  <c:v>4.6591094462078884</c:v>
                </c:pt>
                <c:pt idx="350">
                  <c:v>3.4048038486997618</c:v>
                </c:pt>
                <c:pt idx="351">
                  <c:v>20.445521715110921</c:v>
                </c:pt>
                <c:pt idx="352">
                  <c:v>16.54569561631881</c:v>
                </c:pt>
                <c:pt idx="353">
                  <c:v>4.3495706926995519</c:v>
                </c:pt>
                <c:pt idx="354">
                  <c:v>19.616929675462771</c:v>
                </c:pt>
                <c:pt idx="355">
                  <c:v>16.212139277196538</c:v>
                </c:pt>
                <c:pt idx="356">
                  <c:v>16.74239016791314</c:v>
                </c:pt>
                <c:pt idx="357">
                  <c:v>20.120350002798769</c:v>
                </c:pt>
                <c:pt idx="358">
                  <c:v>11.971520388691591</c:v>
                </c:pt>
                <c:pt idx="359">
                  <c:v>20.40028076966426</c:v>
                </c:pt>
                <c:pt idx="360">
                  <c:v>7.3519600349613192</c:v>
                </c:pt>
                <c:pt idx="361">
                  <c:v>19.595655396401899</c:v>
                </c:pt>
                <c:pt idx="362">
                  <c:v>9.6328335893993948</c:v>
                </c:pt>
                <c:pt idx="363">
                  <c:v>12.683657805254818</c:v>
                </c:pt>
                <c:pt idx="364">
                  <c:v>11.770063990254625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22.455368647169532</c:v>
                </c:pt>
                <c:pt idx="1">
                  <c:v>16.14589286125593</c:v>
                </c:pt>
                <c:pt idx="2">
                  <c:v>17.374644742876225</c:v>
                </c:pt>
                <c:pt idx="3">
                  <c:v>18.357956243199091</c:v>
                </c:pt>
                <c:pt idx="4">
                  <c:v>14.615827223193413</c:v>
                </c:pt>
                <c:pt idx="5">
                  <c:v>21.076138821912334</c:v>
                </c:pt>
                <c:pt idx="6">
                  <c:v>10.778001271252666</c:v>
                </c:pt>
                <c:pt idx="7">
                  <c:v>7.560724441913381</c:v>
                </c:pt>
                <c:pt idx="8">
                  <c:v>2.2316666763139397</c:v>
                </c:pt>
                <c:pt idx="9">
                  <c:v>1.7321728163925161</c:v>
                </c:pt>
                <c:pt idx="10">
                  <c:v>24.962033862698696</c:v>
                </c:pt>
                <c:pt idx="11">
                  <c:v>21.297428569879827</c:v>
                </c:pt>
                <c:pt idx="12">
                  <c:v>5.128648868362947</c:v>
                </c:pt>
                <c:pt idx="13">
                  <c:v>25.354938785029603</c:v>
                </c:pt>
                <c:pt idx="14">
                  <c:v>26.942595053200844</c:v>
                </c:pt>
                <c:pt idx="15">
                  <c:v>26.461057089314032</c:v>
                </c:pt>
                <c:pt idx="16">
                  <c:v>13.544710853249491</c:v>
                </c:pt>
                <c:pt idx="17">
                  <c:v>3.5759242194058953</c:v>
                </c:pt>
                <c:pt idx="18">
                  <c:v>10.34313776280467</c:v>
                </c:pt>
                <c:pt idx="19">
                  <c:v>6.5063589883315203</c:v>
                </c:pt>
                <c:pt idx="20">
                  <c:v>20.78209962039017</c:v>
                </c:pt>
                <c:pt idx="21">
                  <c:v>28.040243231582565</c:v>
                </c:pt>
                <c:pt idx="22">
                  <c:v>28.104428713968375</c:v>
                </c:pt>
                <c:pt idx="23">
                  <c:v>28.735558887560806</c:v>
                </c:pt>
                <c:pt idx="24">
                  <c:v>27.366464802711516</c:v>
                </c:pt>
                <c:pt idx="25">
                  <c:v>28.342394133322795</c:v>
                </c:pt>
                <c:pt idx="26">
                  <c:v>26.406459482428051</c:v>
                </c:pt>
                <c:pt idx="27">
                  <c:v>4.3131149355370901</c:v>
                </c:pt>
                <c:pt idx="28">
                  <c:v>9.4575929986169509</c:v>
                </c:pt>
                <c:pt idx="29">
                  <c:v>4.4983899534227945</c:v>
                </c:pt>
                <c:pt idx="30">
                  <c:v>9.200400075684545</c:v>
                </c:pt>
                <c:pt idx="31">
                  <c:v>13.356640528569649</c:v>
                </c:pt>
                <c:pt idx="32">
                  <c:v>5.3655478191540427</c:v>
                </c:pt>
                <c:pt idx="33">
                  <c:v>10.113227608416073</c:v>
                </c:pt>
                <c:pt idx="34">
                  <c:v>10.013951264628373</c:v>
                </c:pt>
                <c:pt idx="35">
                  <c:v>9.6886820820460304</c:v>
                </c:pt>
                <c:pt idx="36">
                  <c:v>22.166008933540695</c:v>
                </c:pt>
                <c:pt idx="37">
                  <c:v>9.5113657070800866</c:v>
                </c:pt>
                <c:pt idx="38">
                  <c:v>33.337805072604958</c:v>
                </c:pt>
                <c:pt idx="39">
                  <c:v>33.556801792721124</c:v>
                </c:pt>
                <c:pt idx="40">
                  <c:v>31.194991784802848</c:v>
                </c:pt>
                <c:pt idx="41">
                  <c:v>17.414216171016143</c:v>
                </c:pt>
                <c:pt idx="42">
                  <c:v>26.456602677012572</c:v>
                </c:pt>
                <c:pt idx="43">
                  <c:v>31.274378306830265</c:v>
                </c:pt>
                <c:pt idx="44">
                  <c:v>15.317340593596308</c:v>
                </c:pt>
                <c:pt idx="45">
                  <c:v>19.257985306790591</c:v>
                </c:pt>
                <c:pt idx="46">
                  <c:v>10.088086568726935</c:v>
                </c:pt>
                <c:pt idx="47">
                  <c:v>10.914302752474988</c:v>
                </c:pt>
                <c:pt idx="48">
                  <c:v>27.794603842793137</c:v>
                </c:pt>
                <c:pt idx="49">
                  <c:v>20.142941510946937</c:v>
                </c:pt>
                <c:pt idx="50">
                  <c:v>19.213106803861361</c:v>
                </c:pt>
                <c:pt idx="51">
                  <c:v>21.239608116438578</c:v>
                </c:pt>
                <c:pt idx="52">
                  <c:v>32.828339886288177</c:v>
                </c:pt>
                <c:pt idx="53">
                  <c:v>33.967357133127173</c:v>
                </c:pt>
                <c:pt idx="54">
                  <c:v>20.882785047502093</c:v>
                </c:pt>
                <c:pt idx="55">
                  <c:v>30.415252961934758</c:v>
                </c:pt>
                <c:pt idx="56">
                  <c:v>39.168899009759109</c:v>
                </c:pt>
                <c:pt idx="57">
                  <c:v>27.296599906496791</c:v>
                </c:pt>
                <c:pt idx="58">
                  <c:v>33.729923052275481</c:v>
                </c:pt>
                <c:pt idx="59">
                  <c:v>39.154638590147258</c:v>
                </c:pt>
                <c:pt idx="60">
                  <c:v>10.782502086529433</c:v>
                </c:pt>
                <c:pt idx="61">
                  <c:v>34.750498563119201</c:v>
                </c:pt>
                <c:pt idx="62">
                  <c:v>3.9969575153267276</c:v>
                </c:pt>
                <c:pt idx="63">
                  <c:v>13.231925031343188</c:v>
                </c:pt>
                <c:pt idx="64">
                  <c:v>15.809551013746981</c:v>
                </c:pt>
                <c:pt idx="65">
                  <c:v>36.926208290431184</c:v>
                </c:pt>
                <c:pt idx="66">
                  <c:v>31.911865039277671</c:v>
                </c:pt>
                <c:pt idx="67">
                  <c:v>28.474622500667202</c:v>
                </c:pt>
                <c:pt idx="68">
                  <c:v>24.735738856698301</c:v>
                </c:pt>
                <c:pt idx="69">
                  <c:v>15.695612999714344</c:v>
                </c:pt>
                <c:pt idx="70">
                  <c:v>14.583376106938205</c:v>
                </c:pt>
                <c:pt idx="71">
                  <c:v>9.8989187829338263</c:v>
                </c:pt>
                <c:pt idx="72">
                  <c:v>14.26479726763209</c:v>
                </c:pt>
                <c:pt idx="73">
                  <c:v>14.288190493683663</c:v>
                </c:pt>
                <c:pt idx="74">
                  <c:v>12.878211619240576</c:v>
                </c:pt>
                <c:pt idx="75">
                  <c:v>10.743281767878269</c:v>
                </c:pt>
                <c:pt idx="76">
                  <c:v>14.323634937814361</c:v>
                </c:pt>
                <c:pt idx="77">
                  <c:v>29.068205395058545</c:v>
                </c:pt>
                <c:pt idx="78">
                  <c:v>30.022738568890741</c:v>
                </c:pt>
                <c:pt idx="79">
                  <c:v>43.774427391831416</c:v>
                </c:pt>
                <c:pt idx="80">
                  <c:v>41.190423874948713</c:v>
                </c:pt>
                <c:pt idx="81">
                  <c:v>47.261787818524695</c:v>
                </c:pt>
                <c:pt idx="82">
                  <c:v>46.249601002595718</c:v>
                </c:pt>
                <c:pt idx="83">
                  <c:v>40.512194746045935</c:v>
                </c:pt>
                <c:pt idx="84">
                  <c:v>45.594027176283603</c:v>
                </c:pt>
                <c:pt idx="85">
                  <c:v>44.41068904189067</c:v>
                </c:pt>
                <c:pt idx="86">
                  <c:v>34.771132315374416</c:v>
                </c:pt>
                <c:pt idx="87">
                  <c:v>27.385699533044114</c:v>
                </c:pt>
                <c:pt idx="88">
                  <c:v>7.7014444785622231</c:v>
                </c:pt>
                <c:pt idx="89">
                  <c:v>28.065487157014605</c:v>
                </c:pt>
                <c:pt idx="90">
                  <c:v>30.713218390067276</c:v>
                </c:pt>
                <c:pt idx="91">
                  <c:v>20.938037576537088</c:v>
                </c:pt>
                <c:pt idx="92">
                  <c:v>22.683645466280371</c:v>
                </c:pt>
                <c:pt idx="93">
                  <c:v>47.704184101396194</c:v>
                </c:pt>
                <c:pt idx="94">
                  <c:v>50.705432070252826</c:v>
                </c:pt>
                <c:pt idx="95">
                  <c:v>11.108016913279799</c:v>
                </c:pt>
                <c:pt idx="96">
                  <c:v>37.970867630156334</c:v>
                </c:pt>
                <c:pt idx="97">
                  <c:v>31.277341057208925</c:v>
                </c:pt>
                <c:pt idx="98">
                  <c:v>34.825809402529487</c:v>
                </c:pt>
                <c:pt idx="99">
                  <c:v>52.441364401190128</c:v>
                </c:pt>
                <c:pt idx="100">
                  <c:v>44.037071946230981</c:v>
                </c:pt>
                <c:pt idx="101">
                  <c:v>35.712712182391698</c:v>
                </c:pt>
                <c:pt idx="102">
                  <c:v>7.1610577439117051</c:v>
                </c:pt>
                <c:pt idx="103">
                  <c:v>38.709160000947641</c:v>
                </c:pt>
                <c:pt idx="104">
                  <c:v>44.360664778188656</c:v>
                </c:pt>
                <c:pt idx="105">
                  <c:v>42.805456638593029</c:v>
                </c:pt>
                <c:pt idx="106">
                  <c:v>52.284216230988221</c:v>
                </c:pt>
                <c:pt idx="107">
                  <c:v>36.165719708383968</c:v>
                </c:pt>
                <c:pt idx="108">
                  <c:v>8.6455539396914673</c:v>
                </c:pt>
                <c:pt idx="109">
                  <c:v>9.893405361115482</c:v>
                </c:pt>
                <c:pt idx="110">
                  <c:v>9.1449836971710887</c:v>
                </c:pt>
                <c:pt idx="111">
                  <c:v>26.763282571738277</c:v>
                </c:pt>
                <c:pt idx="112">
                  <c:v>9.2604587841508454</c:v>
                </c:pt>
                <c:pt idx="113">
                  <c:v>29.383749844421274</c:v>
                </c:pt>
                <c:pt idx="114">
                  <c:v>45.217945444260188</c:v>
                </c:pt>
                <c:pt idx="115">
                  <c:v>52.640106457664935</c:v>
                </c:pt>
                <c:pt idx="116">
                  <c:v>39.651892491127946</c:v>
                </c:pt>
                <c:pt idx="117">
                  <c:v>19.736890238030096</c:v>
                </c:pt>
                <c:pt idx="118">
                  <c:v>39.717443414912886</c:v>
                </c:pt>
                <c:pt idx="119">
                  <c:v>42.218056001456191</c:v>
                </c:pt>
                <c:pt idx="120">
                  <c:v>45.756823907387776</c:v>
                </c:pt>
                <c:pt idx="121">
                  <c:v>29.414931440140144</c:v>
                </c:pt>
                <c:pt idx="122">
                  <c:v>35.048149176780456</c:v>
                </c:pt>
                <c:pt idx="123">
                  <c:v>19.441544481558971</c:v>
                </c:pt>
                <c:pt idx="124">
                  <c:v>40.750317218303444</c:v>
                </c:pt>
                <c:pt idx="125">
                  <c:v>37.278832212592604</c:v>
                </c:pt>
                <c:pt idx="126">
                  <c:v>50.689989282913359</c:v>
                </c:pt>
                <c:pt idx="127">
                  <c:v>48.240352396595767</c:v>
                </c:pt>
                <c:pt idx="128">
                  <c:v>50.480538430285385</c:v>
                </c:pt>
                <c:pt idx="129">
                  <c:v>50.157600101545569</c:v>
                </c:pt>
                <c:pt idx="130">
                  <c:v>54.142593891503083</c:v>
                </c:pt>
                <c:pt idx="131">
                  <c:v>39.47792250555068</c:v>
                </c:pt>
                <c:pt idx="132">
                  <c:v>40.156246417265891</c:v>
                </c:pt>
                <c:pt idx="133">
                  <c:v>48.584048220398635</c:v>
                </c:pt>
                <c:pt idx="134">
                  <c:v>51.400344193907152</c:v>
                </c:pt>
                <c:pt idx="135">
                  <c:v>48.995674276746257</c:v>
                </c:pt>
                <c:pt idx="136">
                  <c:v>52.174934808045826</c:v>
                </c:pt>
                <c:pt idx="137">
                  <c:v>50.191064808832941</c:v>
                </c:pt>
                <c:pt idx="138">
                  <c:v>52.974536822154313</c:v>
                </c:pt>
                <c:pt idx="139">
                  <c:v>47.993101988273686</c:v>
                </c:pt>
                <c:pt idx="140">
                  <c:v>47.912646103050498</c:v>
                </c:pt>
                <c:pt idx="141">
                  <c:v>36.262219088807029</c:v>
                </c:pt>
                <c:pt idx="142">
                  <c:v>18.905705121277816</c:v>
                </c:pt>
                <c:pt idx="143">
                  <c:v>16.392354735781652</c:v>
                </c:pt>
                <c:pt idx="144">
                  <c:v>38.447477747361965</c:v>
                </c:pt>
                <c:pt idx="145">
                  <c:v>23.312525100698203</c:v>
                </c:pt>
                <c:pt idx="146">
                  <c:v>43.363692945682409</c:v>
                </c:pt>
                <c:pt idx="147">
                  <c:v>52.249039852992517</c:v>
                </c:pt>
                <c:pt idx="148">
                  <c:v>56.314099397816115</c:v>
                </c:pt>
                <c:pt idx="149">
                  <c:v>47.955296611825446</c:v>
                </c:pt>
                <c:pt idx="150">
                  <c:v>50.927541764116626</c:v>
                </c:pt>
                <c:pt idx="151">
                  <c:v>53.204854130800037</c:v>
                </c:pt>
                <c:pt idx="152">
                  <c:v>42.740375992917087</c:v>
                </c:pt>
                <c:pt idx="153">
                  <c:v>52.087119511077496</c:v>
                </c:pt>
                <c:pt idx="154">
                  <c:v>23.521204985018471</c:v>
                </c:pt>
                <c:pt idx="155">
                  <c:v>32.44687682216076</c:v>
                </c:pt>
                <c:pt idx="156">
                  <c:v>45.697111964657907</c:v>
                </c:pt>
                <c:pt idx="157">
                  <c:v>23.823241599761648</c:v>
                </c:pt>
                <c:pt idx="158">
                  <c:v>19.476889938009247</c:v>
                </c:pt>
                <c:pt idx="159">
                  <c:v>44.508349172081353</c:v>
                </c:pt>
                <c:pt idx="160">
                  <c:v>54.317001625695873</c:v>
                </c:pt>
                <c:pt idx="161">
                  <c:v>53.109644135331898</c:v>
                </c:pt>
                <c:pt idx="162">
                  <c:v>40.63790206975542</c:v>
                </c:pt>
                <c:pt idx="163">
                  <c:v>51.454895808538808</c:v>
                </c:pt>
                <c:pt idx="164">
                  <c:v>46.929538823569494</c:v>
                </c:pt>
                <c:pt idx="165">
                  <c:v>51.192334864472791</c:v>
                </c:pt>
                <c:pt idx="166">
                  <c:v>49.198697523311871</c:v>
                </c:pt>
                <c:pt idx="167">
                  <c:v>49.26635243668958</c:v>
                </c:pt>
                <c:pt idx="168">
                  <c:v>52.494364124241429</c:v>
                </c:pt>
                <c:pt idx="169">
                  <c:v>53.566172712556011</c:v>
                </c:pt>
                <c:pt idx="170">
                  <c:v>29.831691429727243</c:v>
                </c:pt>
                <c:pt idx="171">
                  <c:v>22.278537032080866</c:v>
                </c:pt>
                <c:pt idx="172">
                  <c:v>37.264519235863247</c:v>
                </c:pt>
                <c:pt idx="173">
                  <c:v>39.801216582376853</c:v>
                </c:pt>
                <c:pt idx="174">
                  <c:v>38.0395153408654</c:v>
                </c:pt>
                <c:pt idx="175">
                  <c:v>33.476280788031779</c:v>
                </c:pt>
                <c:pt idx="176">
                  <c:v>11.232226640897485</c:v>
                </c:pt>
                <c:pt idx="177">
                  <c:v>12.260857382360625</c:v>
                </c:pt>
                <c:pt idx="178">
                  <c:v>55.660476887122499</c:v>
                </c:pt>
                <c:pt idx="179">
                  <c:v>52.844288203992768</c:v>
                </c:pt>
                <c:pt idx="180">
                  <c:v>13.13891253168714</c:v>
                </c:pt>
                <c:pt idx="181">
                  <c:v>47.298788338110434</c:v>
                </c:pt>
                <c:pt idx="182">
                  <c:v>52.690189207250334</c:v>
                </c:pt>
                <c:pt idx="183">
                  <c:v>43.905904876436601</c:v>
                </c:pt>
                <c:pt idx="184">
                  <c:v>41.666555324353595</c:v>
                </c:pt>
                <c:pt idx="185">
                  <c:v>52.206002577231814</c:v>
                </c:pt>
                <c:pt idx="186">
                  <c:v>44.833442355468762</c:v>
                </c:pt>
                <c:pt idx="187">
                  <c:v>51.493324027150251</c:v>
                </c:pt>
                <c:pt idx="188">
                  <c:v>54.155154210151387</c:v>
                </c:pt>
                <c:pt idx="189">
                  <c:v>53.457969604748889</c:v>
                </c:pt>
                <c:pt idx="190">
                  <c:v>52.778223002156025</c:v>
                </c:pt>
                <c:pt idx="191">
                  <c:v>51.382641184468284</c:v>
                </c:pt>
                <c:pt idx="192">
                  <c:v>51.476860769536806</c:v>
                </c:pt>
                <c:pt idx="193">
                  <c:v>50.870739551182396</c:v>
                </c:pt>
                <c:pt idx="194">
                  <c:v>50.327586315286908</c:v>
                </c:pt>
                <c:pt idx="195">
                  <c:v>48.645177167637179</c:v>
                </c:pt>
                <c:pt idx="196">
                  <c:v>49.988218323156872</c:v>
                </c:pt>
                <c:pt idx="197">
                  <c:v>49.592296213844961</c:v>
                </c:pt>
                <c:pt idx="198">
                  <c:v>51.395551680807166</c:v>
                </c:pt>
                <c:pt idx="199">
                  <c:v>41.233486495528112</c:v>
                </c:pt>
                <c:pt idx="200">
                  <c:v>41.648133135153522</c:v>
                </c:pt>
                <c:pt idx="201">
                  <c:v>48.981652612018479</c:v>
                </c:pt>
                <c:pt idx="202">
                  <c:v>39.046411137775735</c:v>
                </c:pt>
                <c:pt idx="203">
                  <c:v>43.636056736681255</c:v>
                </c:pt>
                <c:pt idx="204">
                  <c:v>48.940917558865451</c:v>
                </c:pt>
                <c:pt idx="205">
                  <c:v>25.011073925911553</c:v>
                </c:pt>
                <c:pt idx="206">
                  <c:v>52.575222862268689</c:v>
                </c:pt>
                <c:pt idx="207">
                  <c:v>52.583696906359748</c:v>
                </c:pt>
                <c:pt idx="208">
                  <c:v>42.199446927983089</c:v>
                </c:pt>
                <c:pt idx="209">
                  <c:v>28.546386189698179</c:v>
                </c:pt>
                <c:pt idx="210">
                  <c:v>48.042544022520445</c:v>
                </c:pt>
                <c:pt idx="211">
                  <c:v>50.633145534047593</c:v>
                </c:pt>
                <c:pt idx="212">
                  <c:v>49.749755442879191</c:v>
                </c:pt>
                <c:pt idx="213">
                  <c:v>49.947806114617933</c:v>
                </c:pt>
                <c:pt idx="214">
                  <c:v>47.857906108202585</c:v>
                </c:pt>
                <c:pt idx="215">
                  <c:v>44.909377987700502</c:v>
                </c:pt>
                <c:pt idx="216">
                  <c:v>41.783462339097071</c:v>
                </c:pt>
                <c:pt idx="217">
                  <c:v>45.786037372005005</c:v>
                </c:pt>
                <c:pt idx="218">
                  <c:v>48.665490461091515</c:v>
                </c:pt>
                <c:pt idx="219">
                  <c:v>49.446901899067825</c:v>
                </c:pt>
                <c:pt idx="220">
                  <c:v>47.793004845441033</c:v>
                </c:pt>
                <c:pt idx="221">
                  <c:v>45.825116565470836</c:v>
                </c:pt>
                <c:pt idx="222">
                  <c:v>42.169993712326921</c:v>
                </c:pt>
                <c:pt idx="223">
                  <c:v>44.256876103898897</c:v>
                </c:pt>
                <c:pt idx="224">
                  <c:v>30.829008491397424</c:v>
                </c:pt>
                <c:pt idx="225">
                  <c:v>32.052364066815393</c:v>
                </c:pt>
                <c:pt idx="226">
                  <c:v>36.752091578191163</c:v>
                </c:pt>
                <c:pt idx="227">
                  <c:v>30.872577945655234</c:v>
                </c:pt>
                <c:pt idx="228">
                  <c:v>21.221910371556081</c:v>
                </c:pt>
                <c:pt idx="229">
                  <c:v>36.927704629725433</c:v>
                </c:pt>
                <c:pt idx="230">
                  <c:v>38.235550955608488</c:v>
                </c:pt>
                <c:pt idx="231">
                  <c:v>45.536011681132969</c:v>
                </c:pt>
                <c:pt idx="232">
                  <c:v>30.697886027161402</c:v>
                </c:pt>
                <c:pt idx="233">
                  <c:v>23.917556173661623</c:v>
                </c:pt>
                <c:pt idx="234">
                  <c:v>42.783060682642329</c:v>
                </c:pt>
                <c:pt idx="235">
                  <c:v>44.203532408189083</c:v>
                </c:pt>
                <c:pt idx="236">
                  <c:v>31.541664968434961</c:v>
                </c:pt>
                <c:pt idx="237">
                  <c:v>39.625792269606599</c:v>
                </c:pt>
                <c:pt idx="238">
                  <c:v>46.687534994745292</c:v>
                </c:pt>
                <c:pt idx="239">
                  <c:v>45.819648786622523</c:v>
                </c:pt>
                <c:pt idx="240">
                  <c:v>30.892874030874957</c:v>
                </c:pt>
                <c:pt idx="241">
                  <c:v>44.857339862353712</c:v>
                </c:pt>
                <c:pt idx="242">
                  <c:v>21.11212395435567</c:v>
                </c:pt>
                <c:pt idx="243">
                  <c:v>40.698085645084205</c:v>
                </c:pt>
                <c:pt idx="244">
                  <c:v>37.331069410328439</c:v>
                </c:pt>
                <c:pt idx="245">
                  <c:v>31.170229522317822</c:v>
                </c:pt>
                <c:pt idx="246">
                  <c:v>45.209320890440992</c:v>
                </c:pt>
                <c:pt idx="247">
                  <c:v>38.219593374569499</c:v>
                </c:pt>
                <c:pt idx="248">
                  <c:v>43.345414638063843</c:v>
                </c:pt>
                <c:pt idx="249">
                  <c:v>33.725418350001277</c:v>
                </c:pt>
                <c:pt idx="250">
                  <c:v>36.931833438575886</c:v>
                </c:pt>
                <c:pt idx="251">
                  <c:v>20.560200093033153</c:v>
                </c:pt>
                <c:pt idx="252">
                  <c:v>43.435106667490338</c:v>
                </c:pt>
                <c:pt idx="253">
                  <c:v>43.946649958354726</c:v>
                </c:pt>
                <c:pt idx="254">
                  <c:v>30.778614316218075</c:v>
                </c:pt>
                <c:pt idx="255">
                  <c:v>10.913785466206097</c:v>
                </c:pt>
                <c:pt idx="256">
                  <c:v>36.217589981307924</c:v>
                </c:pt>
                <c:pt idx="257">
                  <c:v>39.783129780769727</c:v>
                </c:pt>
                <c:pt idx="258">
                  <c:v>26.488229355103172</c:v>
                </c:pt>
                <c:pt idx="259">
                  <c:v>45.808270817660571</c:v>
                </c:pt>
                <c:pt idx="260">
                  <c:v>44.29060687808596</c:v>
                </c:pt>
                <c:pt idx="261">
                  <c:v>43.150118007093802</c:v>
                </c:pt>
                <c:pt idx="262">
                  <c:v>44.452100709178737</c:v>
                </c:pt>
                <c:pt idx="263">
                  <c:v>43.369844127537561</c:v>
                </c:pt>
                <c:pt idx="264">
                  <c:v>42.241049046844118</c:v>
                </c:pt>
                <c:pt idx="265">
                  <c:v>26.689317505450358</c:v>
                </c:pt>
                <c:pt idx="266">
                  <c:v>16.731126958753634</c:v>
                </c:pt>
                <c:pt idx="267">
                  <c:v>29.61809702149931</c:v>
                </c:pt>
                <c:pt idx="268">
                  <c:v>31.942320950210771</c:v>
                </c:pt>
                <c:pt idx="269">
                  <c:v>14.437884618745684</c:v>
                </c:pt>
                <c:pt idx="270">
                  <c:v>16.59024365788833</c:v>
                </c:pt>
                <c:pt idx="271">
                  <c:v>22.753918710770705</c:v>
                </c:pt>
                <c:pt idx="272">
                  <c:v>27.805562966357094</c:v>
                </c:pt>
                <c:pt idx="273">
                  <c:v>33.347337383274009</c:v>
                </c:pt>
                <c:pt idx="274">
                  <c:v>37.173734665284911</c:v>
                </c:pt>
                <c:pt idx="275">
                  <c:v>33.812124902290513</c:v>
                </c:pt>
                <c:pt idx="276">
                  <c:v>38.047054128201069</c:v>
                </c:pt>
                <c:pt idx="277">
                  <c:v>39.24219604376006</c:v>
                </c:pt>
                <c:pt idx="278">
                  <c:v>11.455968289080573</c:v>
                </c:pt>
                <c:pt idx="279">
                  <c:v>28.001371780614729</c:v>
                </c:pt>
                <c:pt idx="280">
                  <c:v>15.262099472392165</c:v>
                </c:pt>
                <c:pt idx="281">
                  <c:v>35.896215429349873</c:v>
                </c:pt>
                <c:pt idx="282">
                  <c:v>29.585347818572856</c:v>
                </c:pt>
                <c:pt idx="283">
                  <c:v>21.514388977697131</c:v>
                </c:pt>
                <c:pt idx="284">
                  <c:v>26.871739719506007</c:v>
                </c:pt>
                <c:pt idx="285">
                  <c:v>22.176509776987466</c:v>
                </c:pt>
                <c:pt idx="286">
                  <c:v>18.823826655714385</c:v>
                </c:pt>
                <c:pt idx="287">
                  <c:v>34.85958885461892</c:v>
                </c:pt>
                <c:pt idx="288">
                  <c:v>31.30692699747398</c:v>
                </c:pt>
                <c:pt idx="289">
                  <c:v>18.99758102552882</c:v>
                </c:pt>
                <c:pt idx="290">
                  <c:v>32.247950740523848</c:v>
                </c:pt>
                <c:pt idx="291">
                  <c:v>14.854039532982668</c:v>
                </c:pt>
                <c:pt idx="292">
                  <c:v>6.1536913457197766</c:v>
                </c:pt>
                <c:pt idx="293">
                  <c:v>15.58553717477206</c:v>
                </c:pt>
                <c:pt idx="294">
                  <c:v>31.113843689996695</c:v>
                </c:pt>
                <c:pt idx="295">
                  <c:v>16.214215600025216</c:v>
                </c:pt>
                <c:pt idx="296">
                  <c:v>24.033722551180741</c:v>
                </c:pt>
                <c:pt idx="297">
                  <c:v>20.727494021546292</c:v>
                </c:pt>
                <c:pt idx="298">
                  <c:v>12.992459122499787</c:v>
                </c:pt>
                <c:pt idx="299">
                  <c:v>13.877332655624732</c:v>
                </c:pt>
                <c:pt idx="300">
                  <c:v>16.387284967207083</c:v>
                </c:pt>
                <c:pt idx="301">
                  <c:v>25.73323478805484</c:v>
                </c:pt>
                <c:pt idx="302">
                  <c:v>21.287079460012009</c:v>
                </c:pt>
                <c:pt idx="303">
                  <c:v>20.781844686218932</c:v>
                </c:pt>
                <c:pt idx="304">
                  <c:v>22.10644235135479</c:v>
                </c:pt>
                <c:pt idx="305">
                  <c:v>26.568812059471746</c:v>
                </c:pt>
                <c:pt idx="306">
                  <c:v>9.1232032250062396</c:v>
                </c:pt>
                <c:pt idx="307">
                  <c:v>16.000509218808482</c:v>
                </c:pt>
                <c:pt idx="308">
                  <c:v>27.862295661106042</c:v>
                </c:pt>
                <c:pt idx="309">
                  <c:v>28.704918978543056</c:v>
                </c:pt>
                <c:pt idx="310">
                  <c:v>26.528004553346637</c:v>
                </c:pt>
                <c:pt idx="311">
                  <c:v>19.972970076394045</c:v>
                </c:pt>
                <c:pt idx="312">
                  <c:v>9.3394346168543727</c:v>
                </c:pt>
                <c:pt idx="313">
                  <c:v>19.395292093683423</c:v>
                </c:pt>
                <c:pt idx="314">
                  <c:v>26.268700299200731</c:v>
                </c:pt>
                <c:pt idx="315">
                  <c:v>26.312819308200403</c:v>
                </c:pt>
                <c:pt idx="316">
                  <c:v>25.417606130351228</c:v>
                </c:pt>
                <c:pt idx="317">
                  <c:v>8.9501310891067742</c:v>
                </c:pt>
                <c:pt idx="318">
                  <c:v>11.638389113130733</c:v>
                </c:pt>
                <c:pt idx="319">
                  <c:v>25.83918954689015</c:v>
                </c:pt>
                <c:pt idx="320">
                  <c:v>12.094935224123724</c:v>
                </c:pt>
                <c:pt idx="321">
                  <c:v>14.356390862952525</c:v>
                </c:pt>
                <c:pt idx="322">
                  <c:v>7.3525353724474414</c:v>
                </c:pt>
                <c:pt idx="323">
                  <c:v>14.695638629112915</c:v>
                </c:pt>
                <c:pt idx="324">
                  <c:v>3.1057256613884978</c:v>
                </c:pt>
                <c:pt idx="325">
                  <c:v>7.7207770338487771</c:v>
                </c:pt>
                <c:pt idx="326">
                  <c:v>11.571175555199552</c:v>
                </c:pt>
                <c:pt idx="327">
                  <c:v>12.736079464478646</c:v>
                </c:pt>
                <c:pt idx="328">
                  <c:v>4.9316483995808698</c:v>
                </c:pt>
                <c:pt idx="329">
                  <c:v>9.8857802364877099</c:v>
                </c:pt>
                <c:pt idx="330">
                  <c:v>14.062586390432136</c:v>
                </c:pt>
                <c:pt idx="331">
                  <c:v>10.193782663185374</c:v>
                </c:pt>
                <c:pt idx="332">
                  <c:v>14.183368422701117</c:v>
                </c:pt>
                <c:pt idx="333">
                  <c:v>3.9516361876771771</c:v>
                </c:pt>
                <c:pt idx="334">
                  <c:v>3.4003363373945854</c:v>
                </c:pt>
                <c:pt idx="335">
                  <c:v>5.638826727165144</c:v>
                </c:pt>
                <c:pt idx="336">
                  <c:v>8.4229134685510836</c:v>
                </c:pt>
                <c:pt idx="337">
                  <c:v>16.723714615947749</c:v>
                </c:pt>
                <c:pt idx="338">
                  <c:v>22.762883471251747</c:v>
                </c:pt>
                <c:pt idx="339">
                  <c:v>10.542357674740394</c:v>
                </c:pt>
                <c:pt idx="340">
                  <c:v>19.128866251724304</c:v>
                </c:pt>
                <c:pt idx="341">
                  <c:v>3.9491032676631699</c:v>
                </c:pt>
                <c:pt idx="342">
                  <c:v>4.7781940454844332</c:v>
                </c:pt>
                <c:pt idx="343">
                  <c:v>11.247608314201941</c:v>
                </c:pt>
                <c:pt idx="344">
                  <c:v>15.713414146101456</c:v>
                </c:pt>
                <c:pt idx="345">
                  <c:v>5.4724690270020275</c:v>
                </c:pt>
                <c:pt idx="346">
                  <c:v>5.1948674916282771</c:v>
                </c:pt>
                <c:pt idx="347">
                  <c:v>16.48374408666966</c:v>
                </c:pt>
                <c:pt idx="348">
                  <c:v>5.4677747544853386</c:v>
                </c:pt>
                <c:pt idx="349">
                  <c:v>4.6591094462078884</c:v>
                </c:pt>
                <c:pt idx="350">
                  <c:v>3.4048038486997618</c:v>
                </c:pt>
                <c:pt idx="351">
                  <c:v>20.445521715110921</c:v>
                </c:pt>
                <c:pt idx="352">
                  <c:v>16.54569561631881</c:v>
                </c:pt>
                <c:pt idx="353">
                  <c:v>4.3495706926995519</c:v>
                </c:pt>
                <c:pt idx="354">
                  <c:v>19.616929675462771</c:v>
                </c:pt>
                <c:pt idx="355">
                  <c:v>16.212139277196538</c:v>
                </c:pt>
                <c:pt idx="356">
                  <c:v>16.74239016791314</c:v>
                </c:pt>
                <c:pt idx="357">
                  <c:v>20.120350002798769</c:v>
                </c:pt>
                <c:pt idx="358">
                  <c:v>11.971520388691591</c:v>
                </c:pt>
                <c:pt idx="359">
                  <c:v>20.40028076966426</c:v>
                </c:pt>
                <c:pt idx="360">
                  <c:v>7.3519600349613192</c:v>
                </c:pt>
                <c:pt idx="361">
                  <c:v>19.595655396401899</c:v>
                </c:pt>
                <c:pt idx="362">
                  <c:v>9.6328335893993948</c:v>
                </c:pt>
                <c:pt idx="363">
                  <c:v>12.683657805254818</c:v>
                </c:pt>
                <c:pt idx="364">
                  <c:v>11.770063990254625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71008"/>
        <c:axId val="357271400"/>
      </c:lineChart>
      <c:dateAx>
        <c:axId val="35727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1400"/>
        <c:crosses val="autoZero"/>
        <c:auto val="1"/>
        <c:lblOffset val="100"/>
        <c:baseTimeUnit val="days"/>
        <c:majorUnit val="1"/>
        <c:majorTimeUnit val="months"/>
      </c:dateAx>
      <c:valAx>
        <c:axId val="3572714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10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5.8743276379716436E-2</c:v>
                </c:pt>
                <c:pt idx="1">
                  <c:v>5.8763892317635458E-2</c:v>
                </c:pt>
                <c:pt idx="2">
                  <c:v>5.8784507804012454E-2</c:v>
                </c:pt>
                <c:pt idx="3">
                  <c:v>5.8805122838857415E-2</c:v>
                </c:pt>
                <c:pt idx="4">
                  <c:v>5.8825737422180224E-2</c:v>
                </c:pt>
                <c:pt idx="5">
                  <c:v>5.8846351553990761E-2</c:v>
                </c:pt>
                <c:pt idx="6">
                  <c:v>5.8866965234298907E-2</c:v>
                </c:pt>
                <c:pt idx="7">
                  <c:v>5.8887578463114543E-2</c:v>
                </c:pt>
                <c:pt idx="8">
                  <c:v>5.8908191240447549E-2</c:v>
                </c:pt>
                <c:pt idx="9">
                  <c:v>5.8928803566307808E-2</c:v>
                </c:pt>
                <c:pt idx="10">
                  <c:v>5.8949415440705311E-2</c:v>
                </c:pt>
                <c:pt idx="11">
                  <c:v>5.8970026863649827E-2</c:v>
                </c:pt>
                <c:pt idx="12">
                  <c:v>5.8990637835151238E-2</c:v>
                </c:pt>
                <c:pt idx="13">
                  <c:v>5.9011248355219537E-2</c:v>
                </c:pt>
                <c:pt idx="14">
                  <c:v>5.9031858423864492E-2</c:v>
                </c:pt>
                <c:pt idx="15">
                  <c:v>5.9052468041096096E-2</c:v>
                </c:pt>
                <c:pt idx="16">
                  <c:v>5.9073077206924229E-2</c:v>
                </c:pt>
                <c:pt idx="17">
                  <c:v>5.9093685921358663E-2</c:v>
                </c:pt>
                <c:pt idx="18">
                  <c:v>5.9114294184409388E-2</c:v>
                </c:pt>
                <c:pt idx="19">
                  <c:v>5.9134901996086287E-2</c:v>
                </c:pt>
                <c:pt idx="20">
                  <c:v>5.9155509356399127E-2</c:v>
                </c:pt>
                <c:pt idx="21">
                  <c:v>5.9176116265358014E-2</c:v>
                </c:pt>
                <c:pt idx="22">
                  <c:v>5.9196722722972606E-2</c:v>
                </c:pt>
                <c:pt idx="23">
                  <c:v>5.9217328729253005E-2</c:v>
                </c:pt>
                <c:pt idx="24">
                  <c:v>5.9237934284208871E-2</c:v>
                </c:pt>
                <c:pt idx="25">
                  <c:v>5.9258539387850195E-2</c:v>
                </c:pt>
                <c:pt idx="26">
                  <c:v>5.9279144040186971E-2</c:v>
                </c:pt>
                <c:pt idx="27">
                  <c:v>5.9299748241228967E-2</c:v>
                </c:pt>
                <c:pt idx="28">
                  <c:v>5.9320351990985953E-2</c:v>
                </c:pt>
                <c:pt idx="29">
                  <c:v>5.9340955289468034E-2</c:v>
                </c:pt>
                <c:pt idx="30">
                  <c:v>5.9361558136684978E-2</c:v>
                </c:pt>
                <c:pt idx="31">
                  <c:v>5.9382160532646777E-2</c:v>
                </c:pt>
                <c:pt idx="32">
                  <c:v>5.9402762477363091E-2</c:v>
                </c:pt>
                <c:pt idx="33">
                  <c:v>5.9423363970844023E-2</c:v>
                </c:pt>
                <c:pt idx="34">
                  <c:v>5.9443965013099342E-2</c:v>
                </c:pt>
                <c:pt idx="35">
                  <c:v>5.9464565604139041E-2</c:v>
                </c:pt>
                <c:pt idx="36">
                  <c:v>5.948516574397289E-2</c:v>
                </c:pt>
                <c:pt idx="37">
                  <c:v>5.9505765432610769E-2</c:v>
                </c:pt>
                <c:pt idx="38">
                  <c:v>5.952636467006267E-2</c:v>
                </c:pt>
                <c:pt idx="39">
                  <c:v>5.9546963456338253E-2</c:v>
                </c:pt>
                <c:pt idx="40">
                  <c:v>5.9567561791447732E-2</c:v>
                </c:pt>
                <c:pt idx="41">
                  <c:v>5.9588159675400654E-2</c:v>
                </c:pt>
                <c:pt idx="42">
                  <c:v>5.9608757108207122E-2</c:v>
                </c:pt>
                <c:pt idx="43">
                  <c:v>5.9629354089877018E-2</c:v>
                </c:pt>
                <c:pt idx="44">
                  <c:v>5.9649950620420111E-2</c:v>
                </c:pt>
                <c:pt idx="45">
                  <c:v>5.9670546699846283E-2</c:v>
                </c:pt>
                <c:pt idx="46">
                  <c:v>5.9691142328165525E-2</c:v>
                </c:pt>
                <c:pt idx="47">
                  <c:v>5.9711737505387608E-2</c:v>
                </c:pt>
                <c:pt idx="48">
                  <c:v>5.9732332231522411E-2</c:v>
                </c:pt>
                <c:pt idx="49">
                  <c:v>5.9752926506579929E-2</c:v>
                </c:pt>
                <c:pt idx="50">
                  <c:v>5.9773520330569929E-2</c:v>
                </c:pt>
                <c:pt idx="51">
                  <c:v>5.9794113703502294E-2</c:v>
                </c:pt>
                <c:pt idx="52">
                  <c:v>5.9814706625387015E-2</c:v>
                </c:pt>
                <c:pt idx="53">
                  <c:v>5.9835299096233863E-2</c:v>
                </c:pt>
                <c:pt idx="54">
                  <c:v>5.9855891116052717E-2</c:v>
                </c:pt>
                <c:pt idx="55">
                  <c:v>5.9876482684853571E-2</c:v>
                </c:pt>
                <c:pt idx="56">
                  <c:v>5.9897073802646195E-2</c:v>
                </c:pt>
                <c:pt idx="57">
                  <c:v>5.9917664469440468E-2</c:v>
                </c:pt>
                <c:pt idx="58">
                  <c:v>5.9938254685246273E-2</c:v>
                </c:pt>
                <c:pt idx="59">
                  <c:v>5.995884445007349E-2</c:v>
                </c:pt>
                <c:pt idx="60">
                  <c:v>5.9979433763932111E-2</c:v>
                </c:pt>
                <c:pt idx="61">
                  <c:v>6.0000022626831906E-2</c:v>
                </c:pt>
                <c:pt idx="62">
                  <c:v>6.0020611038782645E-2</c:v>
                </c:pt>
                <c:pt idx="63">
                  <c:v>6.0041198999794432E-2</c:v>
                </c:pt>
                <c:pt idx="64">
                  <c:v>6.0061786509877035E-2</c:v>
                </c:pt>
                <c:pt idx="65">
                  <c:v>6.0082373569040337E-2</c:v>
                </c:pt>
                <c:pt idx="66">
                  <c:v>6.0102960177294107E-2</c:v>
                </c:pt>
                <c:pt idx="67">
                  <c:v>6.0123546334648448E-2</c:v>
                </c:pt>
                <c:pt idx="68">
                  <c:v>6.0144132041113019E-2</c:v>
                </c:pt>
                <c:pt idx="69">
                  <c:v>6.0164717296697812E-2</c:v>
                </c:pt>
                <c:pt idx="70">
                  <c:v>6.0185302101412708E-2</c:v>
                </c:pt>
                <c:pt idx="71">
                  <c:v>6.0205886455267477E-2</c:v>
                </c:pt>
                <c:pt idx="72">
                  <c:v>6.0226470358272111E-2</c:v>
                </c:pt>
                <c:pt idx="73">
                  <c:v>6.0247053810436491E-2</c:v>
                </c:pt>
                <c:pt idx="74">
                  <c:v>6.0267636811770386E-2</c:v>
                </c:pt>
                <c:pt idx="75">
                  <c:v>6.028821936228379E-2</c:v>
                </c:pt>
                <c:pt idx="76">
                  <c:v>6.0308801461986472E-2</c:v>
                </c:pt>
                <c:pt idx="77">
                  <c:v>6.0329383110888313E-2</c:v>
                </c:pt>
                <c:pt idx="78">
                  <c:v>6.0349964308999193E-2</c:v>
                </c:pt>
                <c:pt idx="79">
                  <c:v>6.0370545056329106E-2</c:v>
                </c:pt>
                <c:pt idx="80">
                  <c:v>6.039112535288782E-2</c:v>
                </c:pt>
                <c:pt idx="81">
                  <c:v>6.0411705198685217E-2</c:v>
                </c:pt>
                <c:pt idx="82">
                  <c:v>6.0432284593731178E-2</c:v>
                </c:pt>
                <c:pt idx="83">
                  <c:v>6.0452863538035473E-2</c:v>
                </c:pt>
                <c:pt idx="84">
                  <c:v>6.0473442031608204E-2</c:v>
                </c:pt>
                <c:pt idx="85">
                  <c:v>6.0494020074459032E-2</c:v>
                </c:pt>
                <c:pt idx="86">
                  <c:v>6.0514597666597947E-2</c:v>
                </c:pt>
                <c:pt idx="87">
                  <c:v>6.053517480803472E-2</c:v>
                </c:pt>
                <c:pt idx="88">
                  <c:v>6.0555751498779342E-2</c:v>
                </c:pt>
                <c:pt idx="89">
                  <c:v>6.0576327738841695E-2</c:v>
                </c:pt>
                <c:pt idx="90">
                  <c:v>6.0596903528231438E-2</c:v>
                </c:pt>
                <c:pt idx="91">
                  <c:v>6.0617478866958674E-2</c:v>
                </c:pt>
                <c:pt idx="92">
                  <c:v>6.0638053755033172E-2</c:v>
                </c:pt>
                <c:pt idx="93">
                  <c:v>6.0658628192464814E-2</c:v>
                </c:pt>
                <c:pt idx="94">
                  <c:v>6.0679202179263481E-2</c:v>
                </c:pt>
                <c:pt idx="95">
                  <c:v>6.0699775715439053E-2</c:v>
                </c:pt>
                <c:pt idx="96">
                  <c:v>6.0720348801001411E-2</c:v>
                </c:pt>
                <c:pt idx="97">
                  <c:v>6.0740921435960327E-2</c:v>
                </c:pt>
                <c:pt idx="98">
                  <c:v>6.076149362032579E-2</c:v>
                </c:pt>
                <c:pt idx="99">
                  <c:v>6.0782065354107573E-2</c:v>
                </c:pt>
                <c:pt idx="100">
                  <c:v>6.0802636637315555E-2</c:v>
                </c:pt>
                <c:pt idx="101">
                  <c:v>6.0823207469959728E-2</c:v>
                </c:pt>
                <c:pt idx="102">
                  <c:v>6.0843777852049863E-2</c:v>
                </c:pt>
                <c:pt idx="103">
                  <c:v>6.0864347783595729E-2</c:v>
                </c:pt>
                <c:pt idx="104">
                  <c:v>6.088491726460743E-2</c:v>
                </c:pt>
                <c:pt idx="105">
                  <c:v>6.0905486295094624E-2</c:v>
                </c:pt>
                <c:pt idx="106">
                  <c:v>6.0926054875067304E-2</c:v>
                </c:pt>
                <c:pt idx="107">
                  <c:v>6.094662300453535E-2</c:v>
                </c:pt>
                <c:pt idx="108">
                  <c:v>6.0967190683508532E-2</c:v>
                </c:pt>
                <c:pt idx="109">
                  <c:v>6.0987757911996732E-2</c:v>
                </c:pt>
                <c:pt idx="110">
                  <c:v>6.100832469000983E-2</c:v>
                </c:pt>
                <c:pt idx="111">
                  <c:v>6.1028891017557707E-2</c:v>
                </c:pt>
                <c:pt idx="112">
                  <c:v>6.1049456894650245E-2</c:v>
                </c:pt>
                <c:pt idx="113">
                  <c:v>6.1070022321297324E-2</c:v>
                </c:pt>
                <c:pt idx="114">
                  <c:v>6.1090587297508714E-2</c:v>
                </c:pt>
                <c:pt idx="115">
                  <c:v>6.1111151823294407E-2</c:v>
                </c:pt>
                <c:pt idx="116">
                  <c:v>6.1131715898664174E-2</c:v>
                </c:pt>
                <c:pt idx="117">
                  <c:v>6.1152279523627895E-2</c:v>
                </c:pt>
                <c:pt idx="118">
                  <c:v>6.1172842698195562E-2</c:v>
                </c:pt>
                <c:pt idx="119">
                  <c:v>6.1193405422376834E-2</c:v>
                </c:pt>
                <c:pt idx="120">
                  <c:v>6.1213967696181704E-2</c:v>
                </c:pt>
                <c:pt idx="121">
                  <c:v>6.123452951961994E-2</c:v>
                </c:pt>
                <c:pt idx="122">
                  <c:v>6.1255090892701536E-2</c:v>
                </c:pt>
                <c:pt idx="123">
                  <c:v>6.1275651815436261E-2</c:v>
                </c:pt>
                <c:pt idx="124">
                  <c:v>6.1296212287834106E-2</c:v>
                </c:pt>
                <c:pt idx="125">
                  <c:v>6.1316772309904732E-2</c:v>
                </c:pt>
                <c:pt idx="126">
                  <c:v>6.133733188165813E-2</c:v>
                </c:pt>
                <c:pt idx="127">
                  <c:v>6.1357891003104181E-2</c:v>
                </c:pt>
                <c:pt idx="128">
                  <c:v>6.1378449674252655E-2</c:v>
                </c:pt>
                <c:pt idx="129">
                  <c:v>6.1399007895113544E-2</c:v>
                </c:pt>
                <c:pt idx="130">
                  <c:v>6.1419565665696618E-2</c:v>
                </c:pt>
                <c:pt idx="131">
                  <c:v>6.1440122986011647E-2</c:v>
                </c:pt>
                <c:pt idx="132">
                  <c:v>6.1460679856068734E-2</c:v>
                </c:pt>
                <c:pt idx="133">
                  <c:v>6.1481236275877538E-2</c:v>
                </c:pt>
                <c:pt idx="134">
                  <c:v>6.150179224544805E-2</c:v>
                </c:pt>
                <c:pt idx="135">
                  <c:v>6.1522347764789931E-2</c:v>
                </c:pt>
                <c:pt idx="136">
                  <c:v>6.1542902833913393E-2</c:v>
                </c:pt>
                <c:pt idx="137">
                  <c:v>6.1563457452827985E-2</c:v>
                </c:pt>
                <c:pt idx="138">
                  <c:v>6.1584011621543588E-2</c:v>
                </c:pt>
                <c:pt idx="139">
                  <c:v>6.1604565340070194E-2</c:v>
                </c:pt>
                <c:pt idx="140">
                  <c:v>6.1625118608417684E-2</c:v>
                </c:pt>
                <c:pt idx="141">
                  <c:v>6.1645671426595827E-2</c:v>
                </c:pt>
                <c:pt idx="142">
                  <c:v>6.1666223794614505E-2</c:v>
                </c:pt>
                <c:pt idx="143">
                  <c:v>6.1686775712483488E-2</c:v>
                </c:pt>
                <c:pt idx="144">
                  <c:v>6.1707327180212879E-2</c:v>
                </c:pt>
                <c:pt idx="145">
                  <c:v>6.1727878197812225E-2</c:v>
                </c:pt>
                <c:pt idx="146">
                  <c:v>6.174842876529163E-2</c:v>
                </c:pt>
                <c:pt idx="147">
                  <c:v>6.1768978882660863E-2</c:v>
                </c:pt>
                <c:pt idx="148">
                  <c:v>6.1789528549929806E-2</c:v>
                </c:pt>
                <c:pt idx="149">
                  <c:v>6.1810077767108229E-2</c:v>
                </c:pt>
                <c:pt idx="150">
                  <c:v>6.1830626534206123E-2</c:v>
                </c:pt>
                <c:pt idx="151">
                  <c:v>6.1851174851233259E-2</c:v>
                </c:pt>
                <c:pt idx="152">
                  <c:v>6.1871722718199518E-2</c:v>
                </c:pt>
                <c:pt idx="153">
                  <c:v>6.1892270135114669E-2</c:v>
                </c:pt>
                <c:pt idx="154">
                  <c:v>6.1912817101988815E-2</c:v>
                </c:pt>
                <c:pt idx="155">
                  <c:v>6.1933363618831505E-2</c:v>
                </c:pt>
                <c:pt idx="156">
                  <c:v>6.1953909685652842E-2</c:v>
                </c:pt>
                <c:pt idx="157">
                  <c:v>6.1974455302462594E-2</c:v>
                </c:pt>
                <c:pt idx="158">
                  <c:v>6.1995000469270534E-2</c:v>
                </c:pt>
                <c:pt idx="159">
                  <c:v>6.2015545186086651E-2</c:v>
                </c:pt>
                <c:pt idx="160">
                  <c:v>6.2036089452920717E-2</c:v>
                </c:pt>
                <c:pt idx="161">
                  <c:v>6.2056633269782613E-2</c:v>
                </c:pt>
                <c:pt idx="162">
                  <c:v>6.2077176636682219E-2</c:v>
                </c:pt>
                <c:pt idx="163">
                  <c:v>6.2097719553629305E-2</c:v>
                </c:pt>
                <c:pt idx="164">
                  <c:v>6.2118262020633863E-2</c:v>
                </c:pt>
                <c:pt idx="165">
                  <c:v>6.2138804037705553E-2</c:v>
                </c:pt>
                <c:pt idx="166">
                  <c:v>6.2159345604854477E-2</c:v>
                </c:pt>
                <c:pt idx="167">
                  <c:v>6.2179886722090294E-2</c:v>
                </c:pt>
                <c:pt idx="168">
                  <c:v>6.2200427389422996E-2</c:v>
                </c:pt>
                <c:pt idx="169">
                  <c:v>6.2220967606862354E-2</c:v>
                </c:pt>
                <c:pt idx="170">
                  <c:v>6.2241507374418137E-2</c:v>
                </c:pt>
                <c:pt idx="171">
                  <c:v>6.2262046692100448E-2</c:v>
                </c:pt>
                <c:pt idx="172">
                  <c:v>6.2282585559918835E-2</c:v>
                </c:pt>
                <c:pt idx="173">
                  <c:v>6.2303123977883401E-2</c:v>
                </c:pt>
                <c:pt idx="174">
                  <c:v>6.2323661946003917E-2</c:v>
                </c:pt>
                <c:pt idx="175">
                  <c:v>6.2344199464290151E-2</c:v>
                </c:pt>
                <c:pt idx="176">
                  <c:v>6.2364736532752096E-2</c:v>
                </c:pt>
                <c:pt idx="177">
                  <c:v>6.2385273151399412E-2</c:v>
                </c:pt>
                <c:pt idx="178">
                  <c:v>6.24058093202422E-2</c:v>
                </c:pt>
                <c:pt idx="179">
                  <c:v>6.2426345039290121E-2</c:v>
                </c:pt>
                <c:pt idx="180">
                  <c:v>6.2446880308553165E-2</c:v>
                </c:pt>
                <c:pt idx="181">
                  <c:v>6.2467415128040993E-2</c:v>
                </c:pt>
                <c:pt idx="182">
                  <c:v>6.2487949497763706E-2</c:v>
                </c:pt>
                <c:pt idx="183">
                  <c:v>6.2508483417730965E-2</c:v>
                </c:pt>
                <c:pt idx="184">
                  <c:v>6.2529016887952649E-2</c:v>
                </c:pt>
                <c:pt idx="185">
                  <c:v>6.254954990843864E-2</c:v>
                </c:pt>
                <c:pt idx="186">
                  <c:v>6.2570082479198819E-2</c:v>
                </c:pt>
                <c:pt idx="187">
                  <c:v>6.2590614600242955E-2</c:v>
                </c:pt>
                <c:pt idx="188">
                  <c:v>6.2611146271581042E-2</c:v>
                </c:pt>
                <c:pt idx="189">
                  <c:v>6.2631677493222737E-2</c:v>
                </c:pt>
                <c:pt idx="190">
                  <c:v>6.2652208265178033E-2</c:v>
                </c:pt>
                <c:pt idx="191">
                  <c:v>6.26727385874567E-2</c:v>
                </c:pt>
                <c:pt idx="192">
                  <c:v>6.2693268460068619E-2</c:v>
                </c:pt>
                <c:pt idx="193">
                  <c:v>6.271379788302367E-2</c:v>
                </c:pt>
                <c:pt idx="194">
                  <c:v>6.2734326856331624E-2</c:v>
                </c:pt>
                <c:pt idx="195">
                  <c:v>6.2754855380002472E-2</c:v>
                </c:pt>
                <c:pt idx="196">
                  <c:v>6.2775383454045874E-2</c:v>
                </c:pt>
                <c:pt idx="197">
                  <c:v>6.2795911078471822E-2</c:v>
                </c:pt>
                <c:pt idx="198">
                  <c:v>6.2816438253290086E-2</c:v>
                </c:pt>
                <c:pt idx="199">
                  <c:v>6.2836964978510546E-2</c:v>
                </c:pt>
                <c:pt idx="200">
                  <c:v>6.2857491254143083E-2</c:v>
                </c:pt>
                <c:pt idx="201">
                  <c:v>6.2878017080197468E-2</c:v>
                </c:pt>
                <c:pt idx="202">
                  <c:v>6.2898542456683582E-2</c:v>
                </c:pt>
                <c:pt idx="203">
                  <c:v>6.2919067383611194E-2</c:v>
                </c:pt>
                <c:pt idx="204">
                  <c:v>6.2939591860990296E-2</c:v>
                </c:pt>
                <c:pt idx="205">
                  <c:v>6.296011588883077E-2</c:v>
                </c:pt>
                <c:pt idx="206">
                  <c:v>6.2980639467142274E-2</c:v>
                </c:pt>
                <c:pt idx="207">
                  <c:v>6.300116259593469E-2</c:v>
                </c:pt>
                <c:pt idx="208">
                  <c:v>6.3021685275218009E-2</c:v>
                </c:pt>
                <c:pt idx="209">
                  <c:v>6.304220750500189E-2</c:v>
                </c:pt>
                <c:pt idx="210">
                  <c:v>6.3062729285296326E-2</c:v>
                </c:pt>
                <c:pt idx="211">
                  <c:v>6.3083250616111086E-2</c:v>
                </c:pt>
                <c:pt idx="212">
                  <c:v>6.3103771497456052E-2</c:v>
                </c:pt>
                <c:pt idx="213">
                  <c:v>6.3124291929340992E-2</c:v>
                </c:pt>
                <c:pt idx="214">
                  <c:v>6.31448119117759E-2</c:v>
                </c:pt>
                <c:pt idx="215">
                  <c:v>6.3165331444770545E-2</c:v>
                </c:pt>
                <c:pt idx="216">
                  <c:v>6.3185850528334697E-2</c:v>
                </c:pt>
                <c:pt idx="217">
                  <c:v>6.3206369162478238E-2</c:v>
                </c:pt>
                <c:pt idx="218">
                  <c:v>6.3226887347211047E-2</c:v>
                </c:pt>
                <c:pt idx="219">
                  <c:v>6.3247405082542896E-2</c:v>
                </c:pt>
                <c:pt idx="220">
                  <c:v>6.3267922368483775E-2</c:v>
                </c:pt>
                <c:pt idx="221">
                  <c:v>6.3288439205043456E-2</c:v>
                </c:pt>
                <c:pt idx="222">
                  <c:v>6.3308955592231708E-2</c:v>
                </c:pt>
                <c:pt idx="223">
                  <c:v>6.3329471530058412E-2</c:v>
                </c:pt>
                <c:pt idx="224">
                  <c:v>6.3349987018533449E-2</c:v>
                </c:pt>
                <c:pt idx="225">
                  <c:v>6.3370502057666589E-2</c:v>
                </c:pt>
                <c:pt idx="226">
                  <c:v>6.3391016647467824E-2</c:v>
                </c:pt>
                <c:pt idx="227">
                  <c:v>6.3411530787946813E-2</c:v>
                </c:pt>
                <c:pt idx="228">
                  <c:v>6.3432044479113547E-2</c:v>
                </c:pt>
                <c:pt idx="229">
                  <c:v>6.3452557720977687E-2</c:v>
                </c:pt>
                <c:pt idx="230">
                  <c:v>6.3473070513549223E-2</c:v>
                </c:pt>
                <c:pt idx="231">
                  <c:v>6.3493582856838038E-2</c:v>
                </c:pt>
                <c:pt idx="232">
                  <c:v>6.3514094750853789E-2</c:v>
                </c:pt>
                <c:pt idx="233">
                  <c:v>6.3534606195606469E-2</c:v>
                </c:pt>
                <c:pt idx="234">
                  <c:v>6.3555117191105848E-2</c:v>
                </c:pt>
                <c:pt idx="235">
                  <c:v>6.3575627737361806E-2</c:v>
                </c:pt>
                <c:pt idx="236">
                  <c:v>6.3596137834384225E-2</c:v>
                </c:pt>
                <c:pt idx="237">
                  <c:v>6.3616647482182764E-2</c:v>
                </c:pt>
                <c:pt idx="238">
                  <c:v>6.3637156680767415E-2</c:v>
                </c:pt>
                <c:pt idx="239">
                  <c:v>6.3657665430148058E-2</c:v>
                </c:pt>
                <c:pt idx="240">
                  <c:v>6.3678173730334353E-2</c:v>
                </c:pt>
                <c:pt idx="241">
                  <c:v>6.3698681581336292E-2</c:v>
                </c:pt>
                <c:pt idx="242">
                  <c:v>6.3719188983163644E-2</c:v>
                </c:pt>
                <c:pt idx="243">
                  <c:v>6.373969593582629E-2</c:v>
                </c:pt>
                <c:pt idx="244">
                  <c:v>6.3760202439334002E-2</c:v>
                </c:pt>
                <c:pt idx="245">
                  <c:v>6.3780708493696658E-2</c:v>
                </c:pt>
                <c:pt idx="246">
                  <c:v>6.3801214098924142E-2</c:v>
                </c:pt>
                <c:pt idx="247">
                  <c:v>6.3821719255026221E-2</c:v>
                </c:pt>
                <c:pt idx="248">
                  <c:v>6.3842223962012778E-2</c:v>
                </c:pt>
                <c:pt idx="249">
                  <c:v>6.3862728219893583E-2</c:v>
                </c:pt>
                <c:pt idx="250">
                  <c:v>6.3883232028678516E-2</c:v>
                </c:pt>
                <c:pt idx="251">
                  <c:v>6.3903735388377458E-2</c:v>
                </c:pt>
                <c:pt idx="252">
                  <c:v>6.392423829900018E-2</c:v>
                </c:pt>
                <c:pt idx="253">
                  <c:v>6.3944740760556562E-2</c:v>
                </c:pt>
                <c:pt idx="254">
                  <c:v>6.3965242773056374E-2</c:v>
                </c:pt>
                <c:pt idx="255">
                  <c:v>6.3985744336509609E-2</c:v>
                </c:pt>
                <c:pt idx="256">
                  <c:v>6.4006245450925814E-2</c:v>
                </c:pt>
                <c:pt idx="257">
                  <c:v>6.4026746116315092E-2</c:v>
                </c:pt>
                <c:pt idx="258">
                  <c:v>6.4047246332687213E-2</c:v>
                </c:pt>
                <c:pt idx="259">
                  <c:v>6.4067746100051948E-2</c:v>
                </c:pt>
                <c:pt idx="260">
                  <c:v>6.4088245418419176E-2</c:v>
                </c:pt>
                <c:pt idx="261">
                  <c:v>6.4108744287798669E-2</c:v>
                </c:pt>
                <c:pt idx="262">
                  <c:v>6.4129242708200418E-2</c:v>
                </c:pt>
                <c:pt idx="263">
                  <c:v>6.4149740679634082E-2</c:v>
                </c:pt>
                <c:pt idx="264">
                  <c:v>6.4170238202109542E-2</c:v>
                </c:pt>
                <c:pt idx="265">
                  <c:v>6.4190735275636679E-2</c:v>
                </c:pt>
                <c:pt idx="266">
                  <c:v>6.4211231900225374E-2</c:v>
                </c:pt>
                <c:pt idx="267">
                  <c:v>6.4231728075885286E-2</c:v>
                </c:pt>
                <c:pt idx="268">
                  <c:v>6.4252223802626407E-2</c:v>
                </c:pt>
                <c:pt idx="269">
                  <c:v>6.4272719080458507E-2</c:v>
                </c:pt>
                <c:pt idx="270">
                  <c:v>6.4293213909391356E-2</c:v>
                </c:pt>
                <c:pt idx="271">
                  <c:v>6.4313708289434945E-2</c:v>
                </c:pt>
                <c:pt idx="272">
                  <c:v>6.4334202220598935E-2</c:v>
                </c:pt>
                <c:pt idx="273">
                  <c:v>6.4354695702893316E-2</c:v>
                </c:pt>
                <c:pt idx="274">
                  <c:v>6.4375188736327749E-2</c:v>
                </c:pt>
                <c:pt idx="275">
                  <c:v>6.4395681320912224E-2</c:v>
                </c:pt>
                <c:pt idx="276">
                  <c:v>6.4416173456656511E-2</c:v>
                </c:pt>
                <c:pt idx="277">
                  <c:v>6.4436665143570382E-2</c:v>
                </c:pt>
                <c:pt idx="278">
                  <c:v>6.4457156381663716E-2</c:v>
                </c:pt>
                <c:pt idx="279">
                  <c:v>6.4477647170946395E-2</c:v>
                </c:pt>
                <c:pt idx="280">
                  <c:v>6.4498137511428189E-2</c:v>
                </c:pt>
                <c:pt idx="281">
                  <c:v>6.4518627403118867E-2</c:v>
                </c:pt>
                <c:pt idx="282">
                  <c:v>6.4539116846028421E-2</c:v>
                </c:pt>
                <c:pt idx="283">
                  <c:v>6.4559605840166623E-2</c:v>
                </c:pt>
                <c:pt idx="284">
                  <c:v>6.458009438554313E-2</c:v>
                </c:pt>
                <c:pt idx="285">
                  <c:v>6.4600582482168045E-2</c:v>
                </c:pt>
                <c:pt idx="286">
                  <c:v>6.4621070130051028E-2</c:v>
                </c:pt>
                <c:pt idx="287">
                  <c:v>6.4641557329201849E-2</c:v>
                </c:pt>
                <c:pt idx="288">
                  <c:v>6.4662044079630498E-2</c:v>
                </c:pt>
                <c:pt idx="289">
                  <c:v>6.4682530381346748E-2</c:v>
                </c:pt>
                <c:pt idx="290">
                  <c:v>6.4703016234360478E-2</c:v>
                </c:pt>
                <c:pt idx="291">
                  <c:v>6.4723501638681347E-2</c:v>
                </c:pt>
                <c:pt idx="292">
                  <c:v>6.4743986594319347E-2</c:v>
                </c:pt>
                <c:pt idx="293">
                  <c:v>6.4764471101284138E-2</c:v>
                </c:pt>
                <c:pt idx="294">
                  <c:v>6.4784955159585711E-2</c:v>
                </c:pt>
                <c:pt idx="295">
                  <c:v>6.4805438769233947E-2</c:v>
                </c:pt>
                <c:pt idx="296">
                  <c:v>6.4825921930238395E-2</c:v>
                </c:pt>
                <c:pt idx="297">
                  <c:v>6.4846404642609157E-2</c:v>
                </c:pt>
                <c:pt idx="298">
                  <c:v>6.4866886906355892E-2</c:v>
                </c:pt>
                <c:pt idx="299">
                  <c:v>6.4887368721488592E-2</c:v>
                </c:pt>
                <c:pt idx="300">
                  <c:v>6.4907850088016805E-2</c:v>
                </c:pt>
                <c:pt idx="301">
                  <c:v>6.4928331005950635E-2</c:v>
                </c:pt>
                <c:pt idx="302">
                  <c:v>6.494881147529985E-2</c:v>
                </c:pt>
                <c:pt idx="303">
                  <c:v>6.4969291496074111E-2</c:v>
                </c:pt>
                <c:pt idx="304">
                  <c:v>6.4989771068283408E-2</c:v>
                </c:pt>
                <c:pt idx="305">
                  <c:v>6.5010250191937513E-2</c:v>
                </c:pt>
                <c:pt idx="306">
                  <c:v>6.5030728867046195E-2</c:v>
                </c:pt>
                <c:pt idx="307">
                  <c:v>6.5051207093619445E-2</c:v>
                </c:pt>
                <c:pt idx="308">
                  <c:v>6.5071684871666924E-2</c:v>
                </c:pt>
                <c:pt idx="309">
                  <c:v>6.5092162201198511E-2</c:v>
                </c:pt>
                <c:pt idx="310">
                  <c:v>6.5112639082223978E-2</c:v>
                </c:pt>
                <c:pt idx="311">
                  <c:v>6.5133115514753315E-2</c:v>
                </c:pt>
                <c:pt idx="312">
                  <c:v>6.5153591498796071E-2</c:v>
                </c:pt>
                <c:pt idx="313">
                  <c:v>6.5174067034362348E-2</c:v>
                </c:pt>
                <c:pt idx="314">
                  <c:v>6.5194542121461807E-2</c:v>
                </c:pt>
                <c:pt idx="315">
                  <c:v>6.5215016760104327E-2</c:v>
                </c:pt>
                <c:pt idx="316">
                  <c:v>6.5235490950299679E-2</c:v>
                </c:pt>
                <c:pt idx="317">
                  <c:v>6.5255964692057744E-2</c:v>
                </c:pt>
                <c:pt idx="318">
                  <c:v>6.5276437985388291E-2</c:v>
                </c:pt>
                <c:pt idx="319">
                  <c:v>6.5296910830301202E-2</c:v>
                </c:pt>
                <c:pt idx="320">
                  <c:v>6.5317383226806247E-2</c:v>
                </c:pt>
                <c:pt idx="321">
                  <c:v>6.5337855174913306E-2</c:v>
                </c:pt>
                <c:pt idx="322">
                  <c:v>6.535832667463215E-2</c:v>
                </c:pt>
                <c:pt idx="323">
                  <c:v>6.5378797725972548E-2</c:v>
                </c:pt>
                <c:pt idx="324">
                  <c:v>6.5399268328944493E-2</c:v>
                </c:pt>
                <c:pt idx="325">
                  <c:v>6.5419738483557643E-2</c:v>
                </c:pt>
                <c:pt idx="326">
                  <c:v>6.544020818982188E-2</c:v>
                </c:pt>
                <c:pt idx="327">
                  <c:v>6.5460677447746973E-2</c:v>
                </c:pt>
                <c:pt idx="328">
                  <c:v>6.5481146257342804E-2</c:v>
                </c:pt>
                <c:pt idx="329">
                  <c:v>6.5501614618619142E-2</c:v>
                </c:pt>
                <c:pt idx="330">
                  <c:v>6.5522082531585868E-2</c:v>
                </c:pt>
                <c:pt idx="331">
                  <c:v>6.5542549996252863E-2</c:v>
                </c:pt>
                <c:pt idx="332">
                  <c:v>6.5563017012629787E-2</c:v>
                </c:pt>
                <c:pt idx="333">
                  <c:v>6.5583483580726409E-2</c:v>
                </c:pt>
                <c:pt idx="334">
                  <c:v>6.5603949700552833E-2</c:v>
                </c:pt>
                <c:pt idx="335">
                  <c:v>6.5624415372118605E-2</c:v>
                </c:pt>
                <c:pt idx="336">
                  <c:v>6.5644880595433719E-2</c:v>
                </c:pt>
                <c:pt idx="337">
                  <c:v>6.5665345370507833E-2</c:v>
                </c:pt>
                <c:pt idx="338">
                  <c:v>6.5685809697350939E-2</c:v>
                </c:pt>
                <c:pt idx="339">
                  <c:v>6.5706273575972696E-2</c:v>
                </c:pt>
                <c:pt idx="340">
                  <c:v>6.5726737006382985E-2</c:v>
                </c:pt>
                <c:pt idx="341">
                  <c:v>6.5747199988591687E-2</c:v>
                </c:pt>
                <c:pt idx="342">
                  <c:v>6.5767662522608572E-2</c:v>
                </c:pt>
                <c:pt idx="343">
                  <c:v>6.578812460844341E-2</c:v>
                </c:pt>
                <c:pt idx="344">
                  <c:v>6.5808586246106082E-2</c:v>
                </c:pt>
                <c:pt idx="345">
                  <c:v>6.5829047435606358E-2</c:v>
                </c:pt>
                <c:pt idx="346">
                  <c:v>6.5849508176954008E-2</c:v>
                </c:pt>
                <c:pt idx="347">
                  <c:v>6.5869968470159024E-2</c:v>
                </c:pt>
                <c:pt idx="348">
                  <c:v>6.5890428315231064E-2</c:v>
                </c:pt>
                <c:pt idx="349">
                  <c:v>6.59108877121799E-2</c:v>
                </c:pt>
                <c:pt idx="350">
                  <c:v>6.5931346661015522E-2</c:v>
                </c:pt>
                <c:pt idx="351">
                  <c:v>6.5951805161747701E-2</c:v>
                </c:pt>
                <c:pt idx="352">
                  <c:v>6.5972263214386206E-2</c:v>
                </c:pt>
                <c:pt idx="353">
                  <c:v>6.5992720818940809E-2</c:v>
                </c:pt>
                <c:pt idx="354">
                  <c:v>6.6013177975421278E-2</c:v>
                </c:pt>
                <c:pt idx="355">
                  <c:v>6.6033634683837605E-2</c:v>
                </c:pt>
                <c:pt idx="356">
                  <c:v>6.6054090944199562E-2</c:v>
                </c:pt>
                <c:pt idx="357">
                  <c:v>6.6074546756516916E-2</c:v>
                </c:pt>
                <c:pt idx="358">
                  <c:v>6.609500212079944E-2</c:v>
                </c:pt>
                <c:pt idx="359">
                  <c:v>6.6115457037056902E-2</c:v>
                </c:pt>
                <c:pt idx="360">
                  <c:v>6.6135911505299294E-2</c:v>
                </c:pt>
                <c:pt idx="361">
                  <c:v>6.6156365525536387E-2</c:v>
                </c:pt>
                <c:pt idx="362">
                  <c:v>6.6176819097777839E-2</c:v>
                </c:pt>
                <c:pt idx="363">
                  <c:v>6.6197272222033643E-2</c:v>
                </c:pt>
                <c:pt idx="364">
                  <c:v>6.6217724898313568E-2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2.7348642081524471E-2</c:v>
                </c:pt>
                <c:pt idx="1">
                  <c:v>2.7427344940031517E-2</c:v>
                </c:pt>
                <c:pt idx="2">
                  <c:v>2.7506021368024696E-2</c:v>
                </c:pt>
                <c:pt idx="3">
                  <c:v>2.7584665541571973E-2</c:v>
                </c:pt>
                <c:pt idx="4">
                  <c:v>2.7663272396194233E-2</c:v>
                </c:pt>
                <c:pt idx="5">
                  <c:v>2.7741837611908897E-2</c:v>
                </c:pt>
                <c:pt idx="6">
                  <c:v>2.7820357591650136E-2</c:v>
                </c:pt>
                <c:pt idx="7">
                  <c:v>2.7898829433478396E-2</c:v>
                </c:pt>
                <c:pt idx="8">
                  <c:v>2.7977250897044604E-2</c:v>
                </c:pt>
                <c:pt idx="9">
                  <c:v>2.805562036482076E-2</c:v>
                </c:pt>
                <c:pt idx="10">
                  <c:v>2.8133936798650876E-2</c:v>
                </c:pt>
                <c:pt idx="11">
                  <c:v>2.8212199692210851E-2</c:v>
                </c:pt>
                <c:pt idx="12">
                  <c:v>2.8290409019995542E-2</c:v>
                </c:pt>
                <c:pt idx="13">
                  <c:v>2.8368565183473533E-2</c:v>
                </c:pt>
                <c:pt idx="14">
                  <c:v>2.8446668955066298E-2</c:v>
                </c:pt>
                <c:pt idx="15">
                  <c:v>2.8524721420617811E-2</c:v>
                </c:pt>
                <c:pt idx="16">
                  <c:v>2.8602723921022612E-2</c:v>
                </c:pt>
                <c:pt idx="17">
                  <c:v>2.8680677993676771E-2</c:v>
                </c:pt>
                <c:pt idx="18">
                  <c:v>2.8758585314405106E-2</c:v>
                </c:pt>
                <c:pt idx="19">
                  <c:v>2.8836447640500636E-2</c:v>
                </c:pt>
                <c:pt idx="20">
                  <c:v>2.8914266755489422E-2</c:v>
                </c:pt>
                <c:pt idx="21">
                  <c:v>2.899204441620434E-2</c:v>
                </c:pt>
                <c:pt idx="22">
                  <c:v>2.9069782302716993E-2</c:v>
                </c:pt>
                <c:pt idx="23">
                  <c:v>2.9147481971637322E-2</c:v>
                </c:pt>
                <c:pt idx="24">
                  <c:v>2.9225144813246166E-2</c:v>
                </c:pt>
                <c:pt idx="25">
                  <c:v>2.9302772012877922E-2</c:v>
                </c:pt>
                <c:pt idx="26">
                  <c:v>2.9380364516918424E-2</c:v>
                </c:pt>
                <c:pt idx="27">
                  <c:v>2.9457923003728965E-2</c:v>
                </c:pt>
                <c:pt idx="28">
                  <c:v>2.9535447859749774E-2</c:v>
                </c:pt>
                <c:pt idx="29">
                  <c:v>2.9612939160977944E-2</c:v>
                </c:pt>
                <c:pt idx="30">
                  <c:v>2.9690396659955043E-2</c:v>
                </c:pt>
                <c:pt idx="31">
                  <c:v>2.9767819778339054E-2</c:v>
                </c:pt>
                <c:pt idx="32">
                  <c:v>2.9845207605075731E-2</c:v>
                </c:pt>
                <c:pt idx="33">
                  <c:v>2.9922558900124806E-2</c:v>
                </c:pt>
                <c:pt idx="34">
                  <c:v>2.9999872103639167E-2</c:v>
                </c:pt>
                <c:pt idx="35">
                  <c:v>3.0077145350438827E-2</c:v>
                </c:pt>
                <c:pt idx="36">
                  <c:v>3.0154376489568945E-2</c:v>
                </c:pt>
                <c:pt idx="37">
                  <c:v>3.0231563108680373E-2</c:v>
                </c:pt>
                <c:pt idx="38">
                  <c:v>3.0308702562925324E-2</c:v>
                </c:pt>
                <c:pt idx="39">
                  <c:v>3.0385792008017675E-2</c:v>
                </c:pt>
                <c:pt idx="40">
                  <c:v>3.0462828437069871E-2</c:v>
                </c:pt>
                <c:pt idx="41">
                  <c:v>3.0539808720784354E-2</c:v>
                </c:pt>
                <c:pt idx="42">
                  <c:v>3.06167296505498E-2</c:v>
                </c:pt>
                <c:pt idx="43">
                  <c:v>3.0693587983968842E-2</c:v>
                </c:pt>
                <c:pt idx="44">
                  <c:v>3.0770380492326155E-2</c:v>
                </c:pt>
                <c:pt idx="45">
                  <c:v>3.0847104009494364E-2</c:v>
                </c:pt>
                <c:pt idx="46">
                  <c:v>3.0923755481767283E-2</c:v>
                </c:pt>
                <c:pt idx="47">
                  <c:v>3.1000332018110095E-2</c:v>
                </c:pt>
                <c:pt idx="48">
                  <c:v>3.1076830940319575E-2</c:v>
                </c:pt>
                <c:pt idx="49">
                  <c:v>3.1153249832597259E-2</c:v>
                </c:pt>
                <c:pt idx="50">
                  <c:v>3.122958659005318E-2</c:v>
                </c:pt>
                <c:pt idx="51">
                  <c:v>3.1305839465677159E-2</c:v>
                </c:pt>
                <c:pt idx="52">
                  <c:v>3.1382007115338707E-2</c:v>
                </c:pt>
                <c:pt idx="53">
                  <c:v>3.1458088640404884E-2</c:v>
                </c:pt>
                <c:pt idx="54">
                  <c:v>3.1534083627597145E-2</c:v>
                </c:pt>
                <c:pt idx="55">
                  <c:v>3.1609992185743903E-2</c:v>
                </c:pt>
                <c:pt idx="56">
                  <c:v>3.1685814979123303E-2</c:v>
                </c:pt>
                <c:pt idx="57">
                  <c:v>3.1761553257131828E-2</c:v>
                </c:pt>
                <c:pt idx="58">
                  <c:v>3.1837208880056089E-2</c:v>
                </c:pt>
                <c:pt idx="59">
                  <c:v>3.1912784340769794E-2</c:v>
                </c:pt>
                <c:pt idx="60">
                  <c:v>3.1988282782221905E-2</c:v>
                </c:pt>
                <c:pt idx="61">
                  <c:v>3.2063708010627051E-2</c:v>
                </c:pt>
                <c:pt idx="62">
                  <c:v>3.2139064504314287E-2</c:v>
                </c:pt>
                <c:pt idx="63">
                  <c:v>3.2214357418233565E-2</c:v>
                </c:pt>
                <c:pt idx="64">
                  <c:v>3.2289592584162509E-2</c:v>
                </c:pt>
                <c:pt idx="65">
                  <c:v>3.2364776506696447E-2</c:v>
                </c:pt>
                <c:pt idx="66">
                  <c:v>3.2439916355143782E-2</c:v>
                </c:pt>
                <c:pt idx="67">
                  <c:v>3.25150199514843E-2</c:v>
                </c:pt>
                <c:pt idx="68">
                  <c:v>3.2590095754581536E-2</c:v>
                </c:pt>
                <c:pt idx="69">
                  <c:v>3.2665152840869432E-2</c:v>
                </c:pt>
                <c:pt idx="70">
                  <c:v>3.2740200881760155E-2</c:v>
                </c:pt>
                <c:pt idx="71">
                  <c:v>3.2815250118041275E-2</c:v>
                </c:pt>
                <c:pt idx="72">
                  <c:v>3.2890311331549418E-2</c:v>
                </c:pt>
                <c:pt idx="73">
                  <c:v>3.2965395814420463E-2</c:v>
                </c:pt>
                <c:pt idx="74">
                  <c:v>3.304051533622647E-2</c:v>
                </c:pt>
                <c:pt idx="75">
                  <c:v>3.3115682109314142E-2</c:v>
                </c:pt>
                <c:pt idx="76">
                  <c:v>3.3190908752661251E-2</c:v>
                </c:pt>
                <c:pt idx="77">
                  <c:v>3.3266208254562821E-2</c:v>
                </c:pt>
                <c:pt idx="78">
                  <c:v>3.3341593934452719E-2</c:v>
                </c:pt>
                <c:pt idx="79">
                  <c:v>3.341707940415399E-2</c:v>
                </c:pt>
                <c:pt idx="80">
                  <c:v>3.3492678528836486E-2</c:v>
                </c:pt>
                <c:pt idx="81">
                  <c:v>3.3568405387941924E-2</c:v>
                </c:pt>
                <c:pt idx="82">
                  <c:v>3.3644274236315067E-2</c:v>
                </c:pt>
                <c:pt idx="83">
                  <c:v>3.37202994657552E-2</c:v>
                </c:pt>
                <c:pt idx="84">
                  <c:v>3.3796495567175823E-2</c:v>
                </c:pt>
                <c:pt idx="85">
                  <c:v>3.3872877093532081E-2</c:v>
                </c:pt>
                <c:pt idx="86">
                  <c:v>3.3949458623645519E-2</c:v>
                </c:pt>
                <c:pt idx="87">
                  <c:v>3.4026254727024821E-2</c:v>
                </c:pt>
                <c:pt idx="88">
                  <c:v>3.4103279929750388E-2</c:v>
                </c:pt>
                <c:pt idx="89">
                  <c:v>3.4180548681458811E-2</c:v>
                </c:pt>
                <c:pt idx="90">
                  <c:v>3.4258075323432738E-2</c:v>
                </c:pt>
                <c:pt idx="91">
                  <c:v>3.4335874057771706E-2</c:v>
                </c:pt>
                <c:pt idx="92">
                  <c:v>3.4413958917591067E-2</c:v>
                </c:pt>
                <c:pt idx="93">
                  <c:v>3.4492343738169513E-2</c:v>
                </c:pt>
                <c:pt idx="94">
                  <c:v>3.4571042128941257E-2</c:v>
                </c:pt>
                <c:pt idx="95">
                  <c:v>3.4650067446207355E-2</c:v>
                </c:pt>
                <c:pt idx="96">
                  <c:v>3.4729432766421743E-2</c:v>
                </c:pt>
                <c:pt idx="97">
                  <c:v>3.4809150859892363E-2</c:v>
                </c:pt>
                <c:pt idx="98">
                  <c:v>3.488923416472578E-2</c:v>
                </c:pt>
                <c:pt idx="99">
                  <c:v>3.4969694760835515E-2</c:v>
                </c:pt>
                <c:pt idx="100">
                  <c:v>3.5050544343830467E-2</c:v>
                </c:pt>
                <c:pt idx="101">
                  <c:v>3.5131794198599756E-2</c:v>
                </c:pt>
                <c:pt idx="102">
                  <c:v>3.5213455172413852E-2</c:v>
                </c:pt>
                <c:pt idx="103">
                  <c:v>3.529553764737127E-2</c:v>
                </c:pt>
                <c:pt idx="104">
                  <c:v>3.5378051512030974E-2</c:v>
                </c:pt>
                <c:pt idx="105">
                  <c:v>3.5461006132088031E-2</c:v>
                </c:pt>
                <c:pt idx="106">
                  <c:v>3.554441031996973E-2</c:v>
                </c:pt>
                <c:pt idx="107">
                  <c:v>3.5628272303252891E-2</c:v>
                </c:pt>
                <c:pt idx="108">
                  <c:v>3.5712599691830244E-2</c:v>
                </c:pt>
                <c:pt idx="109">
                  <c:v>3.5797399443783927E-2</c:v>
                </c:pt>
                <c:pt idx="110">
                  <c:v>3.5882677829956154E-2</c:v>
                </c:pt>
                <c:pt idx="111">
                  <c:v>3.59684403972425E-2</c:v>
                </c:pt>
                <c:pt idx="112">
                  <c:v>3.6054691930669513E-2</c:v>
                </c:pt>
                <c:pt idx="113">
                  <c:v>3.6141436414356222E-2</c:v>
                </c:pt>
                <c:pt idx="114">
                  <c:v>3.622867699149776E-2</c:v>
                </c:pt>
                <c:pt idx="115">
                  <c:v>3.6316415923548534E-2</c:v>
                </c:pt>
                <c:pt idx="116">
                  <c:v>3.6404654548820387E-2</c:v>
                </c:pt>
                <c:pt idx="117">
                  <c:v>3.6493393240749822E-2</c:v>
                </c:pt>
                <c:pt idx="118">
                  <c:v>3.6582631366124024E-2</c:v>
                </c:pt>
                <c:pt idx="119">
                  <c:v>3.6672367243590624E-2</c:v>
                </c:pt>
                <c:pt idx="120">
                  <c:v>3.6762598102808033E-2</c:v>
                </c:pt>
                <c:pt idx="121">
                  <c:v>3.6853320044622224E-2</c:v>
                </c:pt>
                <c:pt idx="122">
                  <c:v>3.6944528002681901E-2</c:v>
                </c:pt>
                <c:pt idx="123">
                  <c:v>3.7036215706925731E-2</c:v>
                </c:pt>
                <c:pt idx="124">
                  <c:v>3.7128375649393135E-2</c:v>
                </c:pt>
                <c:pt idx="125">
                  <c:v>3.7220999052822612E-2</c:v>
                </c:pt>
                <c:pt idx="126">
                  <c:v>3.7314075842510251E-2</c:v>
                </c:pt>
                <c:pt idx="127">
                  <c:v>3.7407594621903281E-2</c:v>
                </c:pt>
                <c:pt idx="128">
                  <c:v>3.7501542652400764E-2</c:v>
                </c:pt>
                <c:pt idx="129">
                  <c:v>3.7595905837825683E-2</c:v>
                </c:pt>
                <c:pt idx="130">
                  <c:v>3.7690668714017862E-2</c:v>
                </c:pt>
                <c:pt idx="131">
                  <c:v>3.7785814443978029E-2</c:v>
                </c:pt>
                <c:pt idx="132">
                  <c:v>3.7881324818967117E-2</c:v>
                </c:pt>
                <c:pt idx="133">
                  <c:v>3.7977180265934649E-2</c:v>
                </c:pt>
                <c:pt idx="134">
                  <c:v>3.8073359861612407E-2</c:v>
                </c:pt>
                <c:pt idx="135">
                  <c:v>3.8169841353569059E-2</c:v>
                </c:pt>
                <c:pt idx="136">
                  <c:v>3.8266601188473685E-2</c:v>
                </c:pt>
                <c:pt idx="137">
                  <c:v>3.8363614547766114E-2</c:v>
                </c:pt>
                <c:pt idx="138">
                  <c:v>3.8460855390875771E-2</c:v>
                </c:pt>
                <c:pt idx="139">
                  <c:v>3.8558296506072821E-2</c:v>
                </c:pt>
                <c:pt idx="140">
                  <c:v>3.8655909568972843E-2</c:v>
                </c:pt>
                <c:pt idx="141">
                  <c:v>3.875366520865229E-2</c:v>
                </c:pt>
                <c:pt idx="142">
                  <c:v>3.8851533081265634E-2</c:v>
                </c:pt>
                <c:pt idx="143">
                  <c:v>3.8949481950987373E-2</c:v>
                </c:pt>
                <c:pt idx="144">
                  <c:v>3.90474797780343E-2</c:v>
                </c:pt>
                <c:pt idx="145">
                  <c:v>3.9145493813455244E-2</c:v>
                </c:pt>
                <c:pt idx="146">
                  <c:v>3.9243490700308581E-2</c:v>
                </c:pt>
                <c:pt idx="147">
                  <c:v>3.934143658078184E-2</c:v>
                </c:pt>
                <c:pt idx="148">
                  <c:v>3.9439297208744818E-2</c:v>
                </c:pt>
                <c:pt idx="149">
                  <c:v>3.9537038067166991E-2</c:v>
                </c:pt>
                <c:pt idx="150">
                  <c:v>3.9634624489773111E-2</c:v>
                </c:pt>
                <c:pt idx="151">
                  <c:v>3.9732021786258565E-2</c:v>
                </c:pt>
                <c:pt idx="152">
                  <c:v>3.9829195370338362E-2</c:v>
                </c:pt>
                <c:pt idx="153">
                  <c:v>3.9926110889861269E-2</c:v>
                </c:pt>
                <c:pt idx="154">
                  <c:v>4.0022734358184736E-2</c:v>
                </c:pt>
                <c:pt idx="155">
                  <c:v>4.0119032285976179E-2</c:v>
                </c:pt>
                <c:pt idx="156">
                  <c:v>4.0214971812583634E-2</c:v>
                </c:pt>
                <c:pt idx="157">
                  <c:v>4.0310520836102905E-2</c:v>
                </c:pt>
                <c:pt idx="158">
                  <c:v>4.0405648141260492E-2</c:v>
                </c:pt>
                <c:pt idx="159">
                  <c:v>4.0500323524230886E-2</c:v>
                </c:pt>
                <c:pt idx="160">
                  <c:v>4.0594517913514587E-2</c:v>
                </c:pt>
                <c:pt idx="161">
                  <c:v>4.0688203486018266E-2</c:v>
                </c:pt>
                <c:pt idx="162">
                  <c:v>4.0781353777501889E-2</c:v>
                </c:pt>
                <c:pt idx="163">
                  <c:v>4.0873943786588582E-2</c:v>
                </c:pt>
                <c:pt idx="164">
                  <c:v>4.0965950071571597E-2</c:v>
                </c:pt>
                <c:pt idx="165">
                  <c:v>4.1057350839298339E-2</c:v>
                </c:pt>
                <c:pt idx="166">
                  <c:v>4.1148126025464887E-2</c:v>
                </c:pt>
                <c:pt idx="167">
                  <c:v>4.1238257365713064E-2</c:v>
                </c:pt>
                <c:pt idx="168">
                  <c:v>4.1327728456987969E-2</c:v>
                </c:pt>
                <c:pt idx="169">
                  <c:v>4.1416524808684858E-2</c:v>
                </c:pt>
                <c:pt idx="170">
                  <c:v>4.1504633883189528E-2</c:v>
                </c:pt>
                <c:pt idx="171">
                  <c:v>4.1592045125497225E-2</c:v>
                </c:pt>
                <c:pt idx="172">
                  <c:v>4.1678749981677372E-2</c:v>
                </c:pt>
                <c:pt idx="173">
                  <c:v>4.1764741906038801E-2</c:v>
                </c:pt>
                <c:pt idx="174">
                  <c:v>4.1850016356937213E-2</c:v>
                </c:pt>
                <c:pt idx="175">
                  <c:v>4.1934570781256328E-2</c:v>
                </c:pt>
                <c:pt idx="176">
                  <c:v>4.2018404587683356E-2</c:v>
                </c:pt>
                <c:pt idx="177">
                  <c:v>4.210151910898819E-2</c:v>
                </c:pt>
                <c:pt idx="178">
                  <c:v>4.2183917553602873E-2</c:v>
                </c:pt>
                <c:pt idx="179">
                  <c:v>4.2265604946883237E-2</c:v>
                </c:pt>
                <c:pt idx="180">
                  <c:v>4.234658806251583E-2</c:v>
                </c:pt>
                <c:pt idx="181">
                  <c:v>4.2426875344611759E-2</c:v>
                </c:pt>
                <c:pt idx="182">
                  <c:v>4.2506476821101584E-2</c:v>
                </c:pt>
                <c:pt idx="183">
                  <c:v>4.2585404009113766E-2</c:v>
                </c:pt>
                <c:pt idx="184">
                  <c:v>4.2663669813080264E-2</c:v>
                </c:pt>
                <c:pt idx="185">
                  <c:v>4.2741288416367797E-2</c:v>
                </c:pt>
                <c:pt idx="186">
                  <c:v>4.2818275167281379E-2</c:v>
                </c:pt>
                <c:pt idx="187">
                  <c:v>4.2894646460325946E-2</c:v>
                </c:pt>
                <c:pt idx="188">
                  <c:v>4.2970419613643888E-2</c:v>
                </c:pt>
                <c:pt idx="189">
                  <c:v>4.3045612743569592E-2</c:v>
                </c:pt>
                <c:pt idx="190">
                  <c:v>4.3120244637256409E-2</c:v>
                </c:pt>
                <c:pt idx="191">
                  <c:v>4.3194334624337201E-2</c:v>
                </c:pt>
                <c:pt idx="192">
                  <c:v>4.3267902448576277E-2</c:v>
                </c:pt>
                <c:pt idx="193">
                  <c:v>4.3340968140458451E-2</c:v>
                </c:pt>
                <c:pt idx="194">
                  <c:v>4.3413551891639895E-2</c:v>
                </c:pt>
                <c:pt idx="195">
                  <c:v>4.348567393215607E-2</c:v>
                </c:pt>
                <c:pt idx="196">
                  <c:v>4.3557354411244267E-2</c:v>
                </c:pt>
                <c:pt idx="197">
                  <c:v>4.3628613282592675E-2</c:v>
                </c:pt>
                <c:pt idx="198">
                  <c:v>4.3699470194774929E-2</c:v>
                </c:pt>
                <c:pt idx="199">
                  <c:v>4.3769944387569384E-2</c:v>
                </c:pt>
                <c:pt idx="200">
                  <c:v>4.3840054594796049E-2</c:v>
                </c:pt>
                <c:pt idx="201">
                  <c:v>4.3909818954233008E-2</c:v>
                </c:pt>
                <c:pt idx="202">
                  <c:v>4.397925492509748E-2</c:v>
                </c:pt>
                <c:pt idx="203">
                  <c:v>4.4048379213496247E-2</c:v>
                </c:pt>
                <c:pt idx="204">
                  <c:v>4.4117207706167179E-2</c:v>
                </c:pt>
                <c:pt idx="205">
                  <c:v>4.4185755412747489E-2</c:v>
                </c:pt>
                <c:pt idx="206">
                  <c:v>4.4254036416717081E-2</c:v>
                </c:pt>
                <c:pt idx="207">
                  <c:v>4.4322063835078272E-2</c:v>
                </c:pt>
                <c:pt idx="208">
                  <c:v>4.4389849786745671E-2</c:v>
                </c:pt>
                <c:pt idx="209">
                  <c:v>4.4457405369534395E-2</c:v>
                </c:pt>
                <c:pt idx="210">
                  <c:v>4.4524740645551238E-2</c:v>
                </c:pt>
                <c:pt idx="211">
                  <c:v>4.4591864634713416E-2</c:v>
                </c:pt>
                <c:pt idx="212">
                  <c:v>4.4658785316043004E-2</c:v>
                </c:pt>
                <c:pt idx="213">
                  <c:v>4.4725509636313686E-2</c:v>
                </c:pt>
                <c:pt idx="214">
                  <c:v>4.4792043525560855E-2</c:v>
                </c:pt>
                <c:pt idx="215">
                  <c:v>4.4858391918906303E-2</c:v>
                </c:pt>
                <c:pt idx="216">
                  <c:v>4.4924558784096048E-2</c:v>
                </c:pt>
                <c:pt idx="217">
                  <c:v>4.4990547154104818E-2</c:v>
                </c:pt>
                <c:pt idx="218">
                  <c:v>4.5056359164123053E-2</c:v>
                </c:pt>
                <c:pt idx="219">
                  <c:v>4.5121996092213956E-2</c:v>
                </c:pt>
                <c:pt idx="220">
                  <c:v>4.5187458402906951E-2</c:v>
                </c:pt>
                <c:pt idx="221">
                  <c:v>4.5252745792983273E-2</c:v>
                </c:pt>
                <c:pt idx="222">
                  <c:v>4.531785723870612E-2</c:v>
                </c:pt>
                <c:pt idx="223">
                  <c:v>4.5382791043754922E-2</c:v>
                </c:pt>
                <c:pt idx="224">
                  <c:v>4.5447544887137661E-2</c:v>
                </c:pt>
                <c:pt idx="225">
                  <c:v>4.5512115870380308E-2</c:v>
                </c:pt>
                <c:pt idx="226">
                  <c:v>4.5576500563323449E-2</c:v>
                </c:pt>
                <c:pt idx="227">
                  <c:v>4.5640695047897965E-2</c:v>
                </c:pt>
                <c:pt idx="228">
                  <c:v>4.5704694959298221E-2</c:v>
                </c:pt>
                <c:pt idx="229">
                  <c:v>4.5768495524027515E-2</c:v>
                </c:pt>
                <c:pt idx="230">
                  <c:v>4.5832091594350567E-2</c:v>
                </c:pt>
                <c:pt idx="231">
                  <c:v>4.5895477678756069E-2</c:v>
                </c:pt>
                <c:pt idx="232">
                  <c:v>4.5958647968103235E-2</c:v>
                </c:pt>
                <c:pt idx="233">
                  <c:v>4.6021596357202994E-2</c:v>
                </c:pt>
                <c:pt idx="234">
                  <c:v>4.608431646166302E-2</c:v>
                </c:pt>
                <c:pt idx="235">
                  <c:v>4.6146801629907842E-2</c:v>
                </c:pt>
                <c:pt idx="236">
                  <c:v>4.6209044950367588E-2</c:v>
                </c:pt>
                <c:pt idx="237">
                  <c:v>4.6271039253912023E-2</c:v>
                </c:pt>
                <c:pt idx="238">
                  <c:v>4.6332777111689281E-2</c:v>
                </c:pt>
                <c:pt idx="239">
                  <c:v>4.6394250828609193E-2</c:v>
                </c:pt>
                <c:pt idx="240">
                  <c:v>4.6455452432789583E-2</c:v>
                </c:pt>
                <c:pt idx="241">
                  <c:v>4.6516373661358246E-2</c:v>
                </c:pt>
                <c:pt idx="242">
                  <c:v>4.6577005943073985E-2</c:v>
                </c:pt>
                <c:pt idx="243">
                  <c:v>4.6637340378294666E-2</c:v>
                </c:pt>
                <c:pt idx="244">
                  <c:v>4.6697367716878935E-2</c:v>
                </c:pt>
                <c:pt idx="245">
                  <c:v>4.6757078334660356E-2</c:v>
                </c:pt>
                <c:pt idx="246">
                  <c:v>4.6816462209176554E-2</c:v>
                </c:pt>
                <c:pt idx="247">
                  <c:v>4.6875508895372398E-2</c:v>
                </c:pt>
                <c:pt idx="248">
                  <c:v>4.6934207502023019E-2</c:v>
                </c:pt>
                <c:pt idx="249">
                  <c:v>4.6992546669640971E-2</c:v>
                </c:pt>
                <c:pt idx="250">
                  <c:v>4.705051455064016E-2</c:v>
                </c:pt>
                <c:pt idx="251">
                  <c:v>4.7108098792528377E-2</c:v>
                </c:pt>
                <c:pt idx="252">
                  <c:v>4.7165286524888647E-2</c:v>
                </c:pt>
                <c:pt idx="253">
                  <c:v>4.7222064350889534E-2</c:v>
                </c:pt>
                <c:pt idx="254">
                  <c:v>4.7278418344033173E-2</c:v>
                </c:pt>
                <c:pt idx="255">
                  <c:v>4.733433405080998E-2</c:v>
                </c:pt>
                <c:pt idx="256">
                  <c:v>4.7389796499879309E-2</c:v>
                </c:pt>
                <c:pt idx="257">
                  <c:v>4.7444790218336926E-2</c:v>
                </c:pt>
                <c:pt idx="258">
                  <c:v>4.7499299255563364E-2</c:v>
                </c:pt>
                <c:pt idx="259">
                  <c:v>4.7553307215072949E-2</c:v>
                </c:pt>
                <c:pt idx="260">
                  <c:v>4.7606797294701499E-2</c:v>
                </c:pt>
                <c:pt idx="261">
                  <c:v>4.7659752335382902E-2</c:v>
                </c:pt>
                <c:pt idx="262">
                  <c:v>4.7712154878672121E-2</c:v>
                </c:pt>
                <c:pt idx="263">
                  <c:v>4.7763987233073589E-2</c:v>
                </c:pt>
                <c:pt idx="264">
                  <c:v>4.7815231549134037E-2</c:v>
                </c:pt>
                <c:pt idx="265">
                  <c:v>4.7865869903154404E-2</c:v>
                </c:pt>
                <c:pt idx="266">
                  <c:v>4.7915884389271253E-2</c:v>
                </c:pt>
                <c:pt idx="267">
                  <c:v>4.7965257219552568E-2</c:v>
                </c:pt>
                <c:pt idx="268">
                  <c:v>4.8013970831649481E-2</c:v>
                </c:pt>
                <c:pt idx="269">
                  <c:v>4.8062008003442673E-2</c:v>
                </c:pt>
                <c:pt idx="270">
                  <c:v>4.8109351974023593E-2</c:v>
                </c:pt>
                <c:pt idx="271">
                  <c:v>4.8155986570256396E-2</c:v>
                </c:pt>
                <c:pt idx="272">
                  <c:v>4.8201896338076623E-2</c:v>
                </c:pt>
                <c:pt idx="273">
                  <c:v>4.8247066677600314E-2</c:v>
                </c:pt>
                <c:pt idx="274">
                  <c:v>4.82914839810418E-2</c:v>
                </c:pt>
                <c:pt idx="275">
                  <c:v>4.8335135772370731E-2</c:v>
                </c:pt>
                <c:pt idx="276">
                  <c:v>4.8378010847581435E-2</c:v>
                </c:pt>
                <c:pt idx="277">
                  <c:v>4.8420099414399648E-2</c:v>
                </c:pt>
                <c:pt idx="278">
                  <c:v>4.8461393230213153E-2</c:v>
                </c:pt>
                <c:pt idx="279">
                  <c:v>4.8501885736987958E-2</c:v>
                </c:pt>
                <c:pt idx="280">
                  <c:v>4.8541572191915364E-2</c:v>
                </c:pt>
                <c:pt idx="281">
                  <c:v>4.8580449792533231E-2</c:v>
                </c:pt>
                <c:pt idx="282">
                  <c:v>4.8618517795073854E-2</c:v>
                </c:pt>
                <c:pt idx="283">
                  <c:v>4.8655777624812498E-2</c:v>
                </c:pt>
                <c:pt idx="284">
                  <c:v>4.8692232977224172E-2</c:v>
                </c:pt>
                <c:pt idx="285">
                  <c:v>4.8727889908802571E-2</c:v>
                </c:pt>
                <c:pt idx="286">
                  <c:v>4.8762756916453084E-2</c:v>
                </c:pt>
                <c:pt idx="287">
                  <c:v>4.8796845004440564E-2</c:v>
                </c:pt>
                <c:pt idx="288">
                  <c:v>4.8830167737953588E-2</c:v>
                </c:pt>
                <c:pt idx="289">
                  <c:v>4.8862741282437339E-2</c:v>
                </c:pt>
                <c:pt idx="290">
                  <c:v>4.8894584427947613E-2</c:v>
                </c:pt>
                <c:pt idx="291">
                  <c:v>4.8925718597888045E-2</c:v>
                </c:pt>
                <c:pt idx="292">
                  <c:v>4.8956167841609437E-2</c:v>
                </c:pt>
                <c:pt idx="293">
                  <c:v>4.8985958810474253E-2</c:v>
                </c:pt>
                <c:pt idx="294">
                  <c:v>4.9015120717119436E-2</c:v>
                </c:pt>
                <c:pt idx="295">
                  <c:v>4.9043685277784743E-2</c:v>
                </c:pt>
                <c:pt idx="296">
                  <c:v>4.9071686637712254E-2</c:v>
                </c:pt>
                <c:pt idx="297">
                  <c:v>4.9099161279762472E-2</c:v>
                </c:pt>
                <c:pt idx="298">
                  <c:v>4.9126147916533407E-2</c:v>
                </c:pt>
                <c:pt idx="299">
                  <c:v>4.9152687366410056E-2</c:v>
                </c:pt>
                <c:pt idx="300">
                  <c:v>4.9178822414110056E-2</c:v>
                </c:pt>
                <c:pt idx="301">
                  <c:v>4.9204597656426916E-2</c:v>
                </c:pt>
                <c:pt idx="302">
                  <c:v>4.9230059334004532E-2</c:v>
                </c:pt>
                <c:pt idx="303">
                  <c:v>4.9255255150101124E-2</c:v>
                </c:pt>
                <c:pt idx="304">
                  <c:v>4.9280234077420972E-2</c:v>
                </c:pt>
                <c:pt idx="305">
                  <c:v>4.9305046154202219E-2</c:v>
                </c:pt>
                <c:pt idx="306">
                  <c:v>4.9329742270851608E-2</c:v>
                </c:pt>
                <c:pt idx="307">
                  <c:v>4.9354373948508043E-2</c:v>
                </c:pt>
                <c:pt idx="308">
                  <c:v>4.9378993110998054E-2</c:v>
                </c:pt>
                <c:pt idx="309">
                  <c:v>4.9403651851714733E-2</c:v>
                </c:pt>
                <c:pt idx="310">
                  <c:v>4.9428402197008073E-2</c:v>
                </c:pt>
                <c:pt idx="311">
                  <c:v>4.945329586771717E-2</c:v>
                </c:pt>
                <c:pt idx="312">
                  <c:v>4.9478384040504954E-2</c:v>
                </c:pt>
                <c:pt idx="313">
                  <c:v>4.9503717110670239E-2</c:v>
                </c:pt>
                <c:pt idx="314">
                  <c:v>4.9529344458114001E-2</c:v>
                </c:pt>
                <c:pt idx="315">
                  <c:v>4.955531421812253E-2</c:v>
                </c:pt>
                <c:pt idx="316">
                  <c:v>4.9581673058603171E-2</c:v>
                </c:pt>
                <c:pt idx="317">
                  <c:v>4.9608465965366041E-2</c:v>
                </c:pt>
                <c:pt idx="318">
                  <c:v>4.9635736036989883E-2</c:v>
                </c:pt>
                <c:pt idx="319">
                  <c:v>4.9663524290741272E-2</c:v>
                </c:pt>
                <c:pt idx="320">
                  <c:v>4.9691869480934167E-2</c:v>
                </c:pt>
                <c:pt idx="321">
                  <c:v>4.9720807931023674E-2</c:v>
                </c:pt>
                <c:pt idx="322">
                  <c:v>4.9750373380622097E-2</c:v>
                </c:pt>
                <c:pt idx="323">
                  <c:v>4.9780596848510168E-2</c:v>
                </c:pt>
                <c:pt idx="324">
                  <c:v>4.9811506512591426E-2</c:v>
                </c:pt>
                <c:pt idx="325">
                  <c:v>4.9843127607604627E-2</c:v>
                </c:pt>
                <c:pt idx="326">
                  <c:v>4.987548234126838E-2</c:v>
                </c:pt>
                <c:pt idx="327">
                  <c:v>4.9908589829387263E-2</c:v>
                </c:pt>
                <c:pt idx="328">
                  <c:v>4.9942466050296966E-2</c:v>
                </c:pt>
                <c:pt idx="329">
                  <c:v>4.99771238188731E-2</c:v>
                </c:pt>
                <c:pt idx="330">
                  <c:v>5.0012572780172876E-2</c:v>
                </c:pt>
                <c:pt idx="331">
                  <c:v>5.0048819422622459E-2</c:v>
                </c:pt>
                <c:pt idx="332">
                  <c:v>5.0085867110509073E-2</c:v>
                </c:pt>
                <c:pt idx="333">
                  <c:v>5.0123716135383634E-2</c:v>
                </c:pt>
                <c:pt idx="334">
                  <c:v>5.0162363785831748E-2</c:v>
                </c:pt>
                <c:pt idx="335">
                  <c:v>5.0201804434927604E-2</c:v>
                </c:pt>
                <c:pt idx="336">
                  <c:v>5.0242029644547888E-2</c:v>
                </c:pt>
                <c:pt idx="337">
                  <c:v>5.028302828559409E-2</c:v>
                </c:pt>
                <c:pt idx="338">
                  <c:v>5.032478667305073E-2</c:v>
                </c:pt>
                <c:pt idx="339">
                  <c:v>5.0367288714696395E-2</c:v>
                </c:pt>
                <c:pt idx="340">
                  <c:v>5.0410516072184844E-2</c:v>
                </c:pt>
                <c:pt idx="341">
                  <c:v>5.0454448333125193E-2</c:v>
                </c:pt>
                <c:pt idx="342">
                  <c:v>5.0499063192714189E-2</c:v>
                </c:pt>
                <c:pt idx="343">
                  <c:v>5.0544336643411653E-2</c:v>
                </c:pt>
                <c:pt idx="344">
                  <c:v>5.0590243171100169E-2</c:v>
                </c:pt>
                <c:pt idx="345">
                  <c:v>5.0636755956135843E-2</c:v>
                </c:pt>
                <c:pt idx="346">
                  <c:v>5.0683847077675426E-2</c:v>
                </c:pt>
                <c:pt idx="347">
                  <c:v>5.0731487719658706E-2</c:v>
                </c:pt>
                <c:pt idx="348">
                  <c:v>5.077964837683293E-2</c:v>
                </c:pt>
                <c:pt idx="349">
                  <c:v>5.08282990592272E-2</c:v>
                </c:pt>
                <c:pt idx="350">
                  <c:v>5.087740949352109E-2</c:v>
                </c:pt>
                <c:pt idx="351">
                  <c:v>5.0926949319800199E-2</c:v>
                </c:pt>
                <c:pt idx="352">
                  <c:v>5.0976888282253434E-2</c:v>
                </c:pt>
                <c:pt idx="353">
                  <c:v>5.1027196412440544E-2</c:v>
                </c:pt>
                <c:pt idx="354">
                  <c:v>5.1077844203844501E-2</c:v>
                </c:pt>
                <c:pt idx="355">
                  <c:v>5.1128802776518226E-2</c:v>
                </c:pt>
                <c:pt idx="356">
                  <c:v>5.1180044030741577E-2</c:v>
                </c:pt>
                <c:pt idx="357">
                  <c:v>5.1231540788717882E-2</c:v>
                </c:pt>
                <c:pt idx="358">
                  <c:v>5.1283266923460767E-2</c:v>
                </c:pt>
                <c:pt idx="359">
                  <c:v>5.1335197474149212E-2</c:v>
                </c:pt>
                <c:pt idx="360">
                  <c:v>5.1387308747361568E-2</c:v>
                </c:pt>
                <c:pt idx="361">
                  <c:v>5.1439578403734559E-2</c:v>
                </c:pt>
                <c:pt idx="362">
                  <c:v>5.1491985529731506E-2</c:v>
                </c:pt>
                <c:pt idx="363">
                  <c:v>5.1544510694343897E-2</c:v>
                </c:pt>
                <c:pt idx="364">
                  <c:v>5.1597135990688082E-2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6.1936236854216075E-5</c:v>
                </c:pt>
                <c:pt idx="1">
                  <c:v>6.167251464071641E-5</c:v>
                </c:pt>
                <c:pt idx="2">
                  <c:v>6.1346443178307073E-5</c:v>
                </c:pt>
                <c:pt idx="3">
                  <c:v>6.096218093359992E-5</c:v>
                </c:pt>
                <c:pt idx="4">
                  <c:v>6.0523798555209998E-5</c:v>
                </c:pt>
                <c:pt idx="5">
                  <c:v>6.0035249153966065E-5</c:v>
                </c:pt>
                <c:pt idx="6">
                  <c:v>5.950034348345893E-5</c:v>
                </c:pt>
                <c:pt idx="7">
                  <c:v>5.8922729603372499E-5</c:v>
                </c:pt>
                <c:pt idx="8">
                  <c:v>5.8297841351726706E-5</c:v>
                </c:pt>
                <c:pt idx="9">
                  <c:v>5.7530027230697331E-5</c:v>
                </c:pt>
                <c:pt idx="10">
                  <c:v>5.6598598558088411E-5</c:v>
                </c:pt>
                <c:pt idx="11">
                  <c:v>5.5508541852021942E-5</c:v>
                </c:pt>
                <c:pt idx="12">
                  <c:v>5.4264897068923106E-5</c:v>
                </c:pt>
                <c:pt idx="13">
                  <c:v>5.2872732134902662E-5</c:v>
                </c:pt>
                <c:pt idx="14">
                  <c:v>5.1337119110797519E-5</c:v>
                </c:pt>
                <c:pt idx="15">
                  <c:v>4.9693888313298862E-5</c:v>
                </c:pt>
                <c:pt idx="16">
                  <c:v>4.80155228832378E-5</c:v>
                </c:pt>
                <c:pt idx="17">
                  <c:v>4.6304265952858412E-5</c:v>
                </c:pt>
                <c:pt idx="18">
                  <c:v>4.4562277573273737E-5</c:v>
                </c:pt>
                <c:pt idx="19">
                  <c:v>4.2791870137673588E-5</c:v>
                </c:pt>
                <c:pt idx="20">
                  <c:v>4.0995330571778409E-5</c:v>
                </c:pt>
                <c:pt idx="21">
                  <c:v>3.9174626757258548E-5</c:v>
                </c:pt>
                <c:pt idx="22">
                  <c:v>3.7328110978122822E-5</c:v>
                </c:pt>
                <c:pt idx="23">
                  <c:v>3.5497564390142114E-5</c:v>
                </c:pt>
                <c:pt idx="24">
                  <c:v>3.3763928430795082E-5</c:v>
                </c:pt>
                <c:pt idx="25">
                  <c:v>3.2126790102164626E-5</c:v>
                </c:pt>
                <c:pt idx="26">
                  <c:v>3.0585389599536273E-5</c:v>
                </c:pt>
                <c:pt idx="27">
                  <c:v>2.9138672213840867E-5</c:v>
                </c:pt>
                <c:pt idx="28">
                  <c:v>2.7785337386065719E-5</c:v>
                </c:pt>
                <c:pt idx="29">
                  <c:v>2.6587214053595363E-5</c:v>
                </c:pt>
                <c:pt idx="30">
                  <c:v>2.5514148437028348E-5</c:v>
                </c:pt>
                <c:pt idx="31">
                  <c:v>2.4563316534652082E-5</c:v>
                </c:pt>
                <c:pt idx="32">
                  <c:v>2.3731867578948051E-5</c:v>
                </c:pt>
                <c:pt idx="33">
                  <c:v>2.3016964368757347E-5</c:v>
                </c:pt>
                <c:pt idx="34">
                  <c:v>2.241581933108022E-5</c:v>
                </c:pt>
                <c:pt idx="35">
                  <c:v>2.1925726650510624E-5</c:v>
                </c:pt>
                <c:pt idx="36">
                  <c:v>2.1542758878532525E-5</c:v>
                </c:pt>
                <c:pt idx="37">
                  <c:v>2.1344983715023255E-5</c:v>
                </c:pt>
                <c:pt idx="38">
                  <c:v>2.1290969544612226E-5</c:v>
                </c:pt>
                <c:pt idx="39">
                  <c:v>2.1376782755959883E-5</c:v>
                </c:pt>
                <c:pt idx="40">
                  <c:v>2.1598646523110129E-5</c:v>
                </c:pt>
                <c:pt idx="41">
                  <c:v>2.1952926844126021E-5</c:v>
                </c:pt>
                <c:pt idx="42">
                  <c:v>2.2436119754348707E-5</c:v>
                </c:pt>
                <c:pt idx="43">
                  <c:v>2.2945472987219637E-5</c:v>
                </c:pt>
                <c:pt idx="44">
                  <c:v>2.3425066158064002E-5</c:v>
                </c:pt>
                <c:pt idx="45">
                  <c:v>2.3875535011230506E-5</c:v>
                </c:pt>
                <c:pt idx="46">
                  <c:v>2.4297489507791145E-5</c:v>
                </c:pt>
                <c:pt idx="47">
                  <c:v>2.4691516981274428E-5</c:v>
                </c:pt>
                <c:pt idx="48">
                  <c:v>2.505818512080584E-5</c:v>
                </c:pt>
                <c:pt idx="49">
                  <c:v>2.5398044775774708E-5</c:v>
                </c:pt>
                <c:pt idx="50">
                  <c:v>2.5711530881813863E-5</c:v>
                </c:pt>
                <c:pt idx="51">
                  <c:v>2.5842722420835166E-5</c:v>
                </c:pt>
                <c:pt idx="52">
                  <c:v>2.5723648856624904E-5</c:v>
                </c:pt>
                <c:pt idx="53">
                  <c:v>2.536039065436427E-5</c:v>
                </c:pt>
                <c:pt idx="54">
                  <c:v>2.4758984658983567E-5</c:v>
                </c:pt>
                <c:pt idx="55">
                  <c:v>2.3925282551382521E-5</c:v>
                </c:pt>
                <c:pt idx="56">
                  <c:v>2.2864937506723007E-5</c:v>
                </c:pt>
                <c:pt idx="57">
                  <c:v>2.1644110695099251E-5</c:v>
                </c:pt>
                <c:pt idx="58">
                  <c:v>2.0354631146778292E-5</c:v>
                </c:pt>
                <c:pt idx="59">
                  <c:v>1.8998146800487765E-5</c:v>
                </c:pt>
                <c:pt idx="60">
                  <c:v>1.7576198688978121E-5</c:v>
                </c:pt>
                <c:pt idx="61">
                  <c:v>1.6090217261919515E-5</c:v>
                </c:pt>
                <c:pt idx="62">
                  <c:v>1.4541518649718496E-5</c:v>
                </c:pt>
                <c:pt idx="63">
                  <c:v>1.2931300853370584E-5</c:v>
                </c:pt>
                <c:pt idx="64">
                  <c:v>1.1260327705916706E-5</c:v>
                </c:pt>
                <c:pt idx="65">
                  <c:v>9.6149131825764413E-6</c:v>
                </c:pt>
                <c:pt idx="66">
                  <c:v>8.1342702076846629E-6</c:v>
                </c:pt>
                <c:pt idx="67">
                  <c:v>6.8149089851634024E-6</c:v>
                </c:pt>
                <c:pt idx="68">
                  <c:v>5.6534355650065714E-6</c:v>
                </c:pt>
                <c:pt idx="69">
                  <c:v>4.6465596442752699E-6</c:v>
                </c:pt>
                <c:pt idx="70">
                  <c:v>3.7911023316041235E-6</c:v>
                </c:pt>
                <c:pt idx="71">
                  <c:v>3.0822087060910085E-6</c:v>
                </c:pt>
                <c:pt idx="72">
                  <c:v>2.4622624862819389E-6</c:v>
                </c:pt>
                <c:pt idx="73">
                  <c:v>1.9294745397399802E-6</c:v>
                </c:pt>
                <c:pt idx="74">
                  <c:v>1.4821326915685623E-6</c:v>
                </c:pt>
                <c:pt idx="75">
                  <c:v>1.1186061986928994E-6</c:v>
                </c:pt>
                <c:pt idx="76">
                  <c:v>8.3735019975220136E-7</c:v>
                </c:pt>
                <c:pt idx="77">
                  <c:v>6.3691013827385584E-7</c:v>
                </c:pt>
                <c:pt idx="78">
                  <c:v>5.1589717320242142E-7</c:v>
                </c:pt>
                <c:pt idx="79">
                  <c:v>4.750605045057748E-7</c:v>
                </c:pt>
                <c:pt idx="80">
                  <c:v>4.349839652000636E-7</c:v>
                </c:pt>
                <c:pt idx="81">
                  <c:v>3.9565453993418795E-7</c:v>
                </c:pt>
                <c:pt idx="82">
                  <c:v>3.5705549519034213E-7</c:v>
                </c:pt>
                <c:pt idx="83">
                  <c:v>3.1916665158441583E-7</c:v>
                </c:pt>
                <c:pt idx="84">
                  <c:v>2.819646401784229E-7</c:v>
                </c:pt>
                <c:pt idx="85">
                  <c:v>2.4826547045549315E-7</c:v>
                </c:pt>
                <c:pt idx="86">
                  <c:v>2.1967614642874512E-7</c:v>
                </c:pt>
                <c:pt idx="87">
                  <c:v>1.9612430319019217E-7</c:v>
                </c:pt>
                <c:pt idx="88">
                  <c:v>1.7754475733986462E-7</c:v>
                </c:pt>
                <c:pt idx="89">
                  <c:v>1.6388053778373449E-7</c:v>
                </c:pt>
                <c:pt idx="90">
                  <c:v>1.5508387535719804E-7</c:v>
                </c:pt>
                <c:pt idx="91">
                  <c:v>1.5111716092327135E-7</c:v>
                </c:pt>
                <c:pt idx="92">
                  <c:v>1.5194593791621618E-7</c:v>
                </c:pt>
                <c:pt idx="93">
                  <c:v>1.629434890305244E-7</c:v>
                </c:pt>
                <c:pt idx="94">
                  <c:v>1.8215847314855055E-7</c:v>
                </c:pt>
                <c:pt idx="95">
                  <c:v>2.0959357512539133E-7</c:v>
                </c:pt>
                <c:pt idx="96">
                  <c:v>2.452686227857616E-7</c:v>
                </c:pt>
                <c:pt idx="97">
                  <c:v>2.8922096121029042E-7</c:v>
                </c:pt>
                <c:pt idx="98">
                  <c:v>3.4150584529311676E-7</c:v>
                </c:pt>
                <c:pt idx="99">
                  <c:v>4.1924672129134504E-7</c:v>
                </c:pt>
                <c:pt idx="100">
                  <c:v>5.1981020805052632E-7</c:v>
                </c:pt>
                <c:pt idx="101">
                  <c:v>6.434014786207118E-7</c:v>
                </c:pt>
                <c:pt idx="102">
                  <c:v>7.9027764050606457E-7</c:v>
                </c:pt>
                <c:pt idx="103">
                  <c:v>9.6074899786818732E-7</c:v>
                </c:pt>
                <c:pt idx="104">
                  <c:v>1.1551803644347876E-6</c:v>
                </c:pt>
                <c:pt idx="105">
                  <c:v>1.3739924262656968E-6</c:v>
                </c:pt>
                <c:pt idx="106">
                  <c:v>1.6176748420798955E-6</c:v>
                </c:pt>
                <c:pt idx="107">
                  <c:v>1.9157371614725107E-6</c:v>
                </c:pt>
                <c:pt idx="108">
                  <c:v>2.2636083631099874E-6</c:v>
                </c:pt>
                <c:pt idx="109">
                  <c:v>2.6623064487044443E-6</c:v>
                </c:pt>
                <c:pt idx="110">
                  <c:v>3.1129684243984709E-6</c:v>
                </c:pt>
                <c:pt idx="111">
                  <c:v>3.6168469711799099E-6</c:v>
                </c:pt>
                <c:pt idx="112">
                  <c:v>4.1752996145597729E-6</c:v>
                </c:pt>
                <c:pt idx="113">
                  <c:v>4.8356968148982071E-6</c:v>
                </c:pt>
                <c:pt idx="114">
                  <c:v>5.5824243877141281E-6</c:v>
                </c:pt>
                <c:pt idx="115">
                  <c:v>6.4178110534736218E-6</c:v>
                </c:pt>
                <c:pt idx="116">
                  <c:v>7.3443582129649687E-6</c:v>
                </c:pt>
                <c:pt idx="117">
                  <c:v>8.3647380375601263E-6</c:v>
                </c:pt>
                <c:pt idx="118">
                  <c:v>9.4817910641261031E-6</c:v>
                </c:pt>
                <c:pt idx="119">
                  <c:v>1.0698523209874306E-5</c:v>
                </c:pt>
                <c:pt idx="120">
                  <c:v>1.2018303920851323E-5</c:v>
                </c:pt>
                <c:pt idx="121">
                  <c:v>1.3489699656704503E-5</c:v>
                </c:pt>
                <c:pt idx="122">
                  <c:v>1.5085543922996415E-5</c:v>
                </c:pt>
                <c:pt idx="123">
                  <c:v>1.6810158995668987E-5</c:v>
                </c:pt>
                <c:pt idx="124">
                  <c:v>1.8668088181125055E-5</c:v>
                </c:pt>
                <c:pt idx="125">
                  <c:v>2.0664092911827267E-5</c:v>
                </c:pt>
                <c:pt idx="126">
                  <c:v>2.280314889143974E-5</c:v>
                </c:pt>
                <c:pt idx="127">
                  <c:v>2.4946136170258962E-5</c:v>
                </c:pt>
                <c:pt idx="128">
                  <c:v>2.704135229496225E-5</c:v>
                </c:pt>
                <c:pt idx="129">
                  <c:v>2.9087602316148137E-5</c:v>
                </c:pt>
                <c:pt idx="130">
                  <c:v>3.1083450115643665E-5</c:v>
                </c:pt>
                <c:pt idx="131">
                  <c:v>3.3027214488289835E-5</c:v>
                </c:pt>
                <c:pt idx="132">
                  <c:v>3.491696573485196E-5</c:v>
                </c:pt>
                <c:pt idx="133">
                  <c:v>3.6750522843518621E-5</c:v>
                </c:pt>
                <c:pt idx="134">
                  <c:v>3.8525898491295058E-5</c:v>
                </c:pt>
                <c:pt idx="135">
                  <c:v>4.002838806258815E-5</c:v>
                </c:pt>
                <c:pt idx="136">
                  <c:v>4.1194076373446283E-5</c:v>
                </c:pt>
                <c:pt idx="137">
                  <c:v>4.2009312729236276E-5</c:v>
                </c:pt>
                <c:pt idx="138">
                  <c:v>4.2459681814519605E-5</c:v>
                </c:pt>
                <c:pt idx="139">
                  <c:v>4.2530032259404919E-5</c:v>
                </c:pt>
                <c:pt idx="140">
                  <c:v>4.2204509983991958E-5</c:v>
                </c:pt>
                <c:pt idx="141">
                  <c:v>4.1540379556986032E-5</c:v>
                </c:pt>
                <c:pt idx="142">
                  <c:v>4.0696498435996271E-5</c:v>
                </c:pt>
                <c:pt idx="143">
                  <c:v>3.9664982056321645E-5</c:v>
                </c:pt>
                <c:pt idx="144">
                  <c:v>3.843801774279298E-5</c:v>
                </c:pt>
                <c:pt idx="145">
                  <c:v>3.7007634594172919E-5</c:v>
                </c:pt>
                <c:pt idx="146">
                  <c:v>3.5365729488727059E-5</c:v>
                </c:pt>
                <c:pt idx="147">
                  <c:v>3.3504095013340074E-5</c:v>
                </c:pt>
                <c:pt idx="148">
                  <c:v>3.1414599117511672E-5</c:v>
                </c:pt>
                <c:pt idx="149">
                  <c:v>2.9227041770193132E-5</c:v>
                </c:pt>
                <c:pt idx="150">
                  <c:v>2.7197329046971142E-5</c:v>
                </c:pt>
                <c:pt idx="151">
                  <c:v>2.533303169717945E-5</c:v>
                </c:pt>
                <c:pt idx="152">
                  <c:v>2.3641967491212127E-5</c:v>
                </c:pt>
                <c:pt idx="153">
                  <c:v>2.2132184582371615E-5</c:v>
                </c:pt>
                <c:pt idx="154">
                  <c:v>2.0811943602795141E-5</c:v>
                </c:pt>
                <c:pt idx="155">
                  <c:v>1.9706615407327607E-5</c:v>
                </c:pt>
                <c:pt idx="156">
                  <c:v>1.8735609287204334E-5</c:v>
                </c:pt>
                <c:pt idx="157">
                  <c:v>1.7904923220986388E-5</c:v>
                </c:pt>
                <c:pt idx="158">
                  <c:v>1.7220662597957222E-5</c:v>
                </c:pt>
                <c:pt idx="159">
                  <c:v>1.668902554184879E-5</c:v>
                </c:pt>
                <c:pt idx="160">
                  <c:v>1.6316288137307255E-5</c:v>
                </c:pt>
                <c:pt idx="161">
                  <c:v>1.6108789742445013E-5</c:v>
                </c:pt>
                <c:pt idx="162">
                  <c:v>1.6073085911849656E-5</c:v>
                </c:pt>
                <c:pt idx="163">
                  <c:v>1.6211643424444822E-5</c:v>
                </c:pt>
                <c:pt idx="164">
                  <c:v>1.6363877575425505E-5</c:v>
                </c:pt>
                <c:pt idx="165">
                  <c:v>1.6530067503256144E-5</c:v>
                </c:pt>
                <c:pt idx="166">
                  <c:v>1.6710494132311756E-5</c:v>
                </c:pt>
                <c:pt idx="167">
                  <c:v>1.6905438635175936E-5</c:v>
                </c:pt>
                <c:pt idx="168">
                  <c:v>1.7115180898336849E-5</c:v>
                </c:pt>
                <c:pt idx="169">
                  <c:v>1.7335669664851484E-5</c:v>
                </c:pt>
                <c:pt idx="170">
                  <c:v>1.7546794451821248E-5</c:v>
                </c:pt>
                <c:pt idx="171">
                  <c:v>1.7748030449087886E-5</c:v>
                </c:pt>
                <c:pt idx="172">
                  <c:v>1.7938860522928562E-5</c:v>
                </c:pt>
                <c:pt idx="173">
                  <c:v>1.8118591683855223E-5</c:v>
                </c:pt>
                <c:pt idx="174">
                  <c:v>1.8286525258168107E-5</c:v>
                </c:pt>
                <c:pt idx="175">
                  <c:v>1.8442152893518647E-5</c:v>
                </c:pt>
                <c:pt idx="176">
                  <c:v>1.858529996055251E-5</c:v>
                </c:pt>
                <c:pt idx="177">
                  <c:v>1.8737610471459994E-5</c:v>
                </c:pt>
                <c:pt idx="178">
                  <c:v>1.8904100351412629E-5</c:v>
                </c:pt>
                <c:pt idx="179">
                  <c:v>1.9085177237605032E-5</c:v>
                </c:pt>
                <c:pt idx="180">
                  <c:v>1.928124604066987E-5</c:v>
                </c:pt>
                <c:pt idx="181">
                  <c:v>1.9492708540186764E-5</c:v>
                </c:pt>
                <c:pt idx="182">
                  <c:v>1.9719963065038967E-5</c:v>
                </c:pt>
                <c:pt idx="183">
                  <c:v>2.0164823410101088E-5</c:v>
                </c:pt>
                <c:pt idx="184">
                  <c:v>2.0837372376683237E-5</c:v>
                </c:pt>
                <c:pt idx="185">
                  <c:v>2.1742654226963629E-5</c:v>
                </c:pt>
                <c:pt idx="186">
                  <c:v>2.288553780540051E-5</c:v>
                </c:pt>
                <c:pt idx="187">
                  <c:v>2.4270720496401818E-5</c:v>
                </c:pt>
                <c:pt idx="188">
                  <c:v>2.5902733726972243E-5</c:v>
                </c:pt>
                <c:pt idx="189">
                  <c:v>2.7785949892536996E-5</c:v>
                </c:pt>
                <c:pt idx="190">
                  <c:v>2.9924703991668749E-5</c:v>
                </c:pt>
                <c:pt idx="191">
                  <c:v>3.2449904784194168E-5</c:v>
                </c:pt>
                <c:pt idx="192">
                  <c:v>3.534357973488832E-5</c:v>
                </c:pt>
                <c:pt idx="193">
                  <c:v>3.8611423836959039E-5</c:v>
                </c:pt>
                <c:pt idx="194">
                  <c:v>4.2258945000642016E-5</c:v>
                </c:pt>
                <c:pt idx="195">
                  <c:v>4.6291474336173944E-5</c:v>
                </c:pt>
                <c:pt idx="196">
                  <c:v>5.0714176809550781E-5</c:v>
                </c:pt>
                <c:pt idx="197">
                  <c:v>5.5122899553851525E-5</c:v>
                </c:pt>
                <c:pt idx="198">
                  <c:v>5.9293411425976055E-5</c:v>
                </c:pt>
                <c:pt idx="199">
                  <c:v>6.3220205329743992E-5</c:v>
                </c:pt>
                <c:pt idx="200">
                  <c:v>6.6897968655609181E-5</c:v>
                </c:pt>
                <c:pt idx="201">
                  <c:v>7.0321573578200825E-5</c:v>
                </c:pt>
                <c:pt idx="202">
                  <c:v>7.3486066829892661E-5</c:v>
                </c:pt>
                <c:pt idx="203">
                  <c:v>7.6386659149758196E-5</c:v>
                </c:pt>
                <c:pt idx="204">
                  <c:v>7.9018942411149493E-5</c:v>
                </c:pt>
                <c:pt idx="205">
                  <c:v>8.1061354771535854E-5</c:v>
                </c:pt>
                <c:pt idx="206">
                  <c:v>8.2367597602325785E-5</c:v>
                </c:pt>
                <c:pt idx="207">
                  <c:v>8.2927205303273772E-5</c:v>
                </c:pt>
                <c:pt idx="208">
                  <c:v>8.2729953416985864E-5</c:v>
                </c:pt>
                <c:pt idx="209">
                  <c:v>8.176583173682564E-5</c:v>
                </c:pt>
                <c:pt idx="210">
                  <c:v>8.0025018921108936E-5</c:v>
                </c:pt>
                <c:pt idx="211">
                  <c:v>7.7605893095630598E-5</c:v>
                </c:pt>
                <c:pt idx="212">
                  <c:v>7.4940531886848771E-5</c:v>
                </c:pt>
                <c:pt idx="213">
                  <c:v>7.2026617558751917E-5</c:v>
                </c:pt>
                <c:pt idx="214">
                  <c:v>6.8861833448328165E-5</c:v>
                </c:pt>
                <c:pt idx="215">
                  <c:v>6.5443860767006327E-5</c:v>
                </c:pt>
                <c:pt idx="216">
                  <c:v>6.177037606217859E-5</c:v>
                </c:pt>
                <c:pt idx="217">
                  <c:v>5.7839049298584285E-5</c:v>
                </c:pt>
                <c:pt idx="218">
                  <c:v>5.3647326197437202E-5</c:v>
                </c:pt>
                <c:pt idx="219">
                  <c:v>4.9313942810537988E-5</c:v>
                </c:pt>
                <c:pt idx="220">
                  <c:v>4.5176771766332512E-5</c:v>
                </c:pt>
                <c:pt idx="221">
                  <c:v>4.1239048980114597E-5</c:v>
                </c:pt>
                <c:pt idx="222">
                  <c:v>3.7503923510891305E-5</c:v>
                </c:pt>
                <c:pt idx="223">
                  <c:v>3.3974466788905757E-5</c:v>
                </c:pt>
                <c:pt idx="224">
                  <c:v>3.0653681424665778E-5</c:v>
                </c:pt>
                <c:pt idx="225">
                  <c:v>2.7625288312104741E-5</c:v>
                </c:pt>
                <c:pt idx="226">
                  <c:v>2.4778307742372098E-5</c:v>
                </c:pt>
                <c:pt idx="227">
                  <c:v>2.2115198561810468E-5</c:v>
                </c:pt>
                <c:pt idx="228">
                  <c:v>1.963838346291111E-5</c:v>
                </c:pt>
                <c:pt idx="229">
                  <c:v>1.7350255155676855E-5</c:v>
                </c:pt>
                <c:pt idx="230">
                  <c:v>1.5253182307487934E-5</c:v>
                </c:pt>
                <c:pt idx="231">
                  <c:v>1.3349515282307946E-5</c:v>
                </c:pt>
                <c:pt idx="232">
                  <c:v>1.1641144307935541E-5</c:v>
                </c:pt>
                <c:pt idx="233">
                  <c:v>1.0180268605975264E-5</c:v>
                </c:pt>
                <c:pt idx="234">
                  <c:v>8.8418508737812371E-6</c:v>
                </c:pt>
                <c:pt idx="235">
                  <c:v>7.6276158059957127E-6</c:v>
                </c:pt>
                <c:pt idx="236">
                  <c:v>6.539188458139521E-6</c:v>
                </c:pt>
                <c:pt idx="237">
                  <c:v>5.5781067298491371E-6</c:v>
                </c:pt>
                <c:pt idx="238">
                  <c:v>4.7458476685397184E-6</c:v>
                </c:pt>
                <c:pt idx="239">
                  <c:v>4.0600354612734865E-6</c:v>
                </c:pt>
                <c:pt idx="240">
                  <c:v>3.4369427220884834E-6</c:v>
                </c:pt>
                <c:pt idx="241">
                  <c:v>2.877236693545846E-6</c:v>
                </c:pt>
                <c:pt idx="242">
                  <c:v>2.381573269407805E-6</c:v>
                </c:pt>
                <c:pt idx="243">
                  <c:v>1.9506078182308569E-6</c:v>
                </c:pt>
                <c:pt idx="244">
                  <c:v>1.5850063848361199E-6</c:v>
                </c:pt>
                <c:pt idx="245">
                  <c:v>1.2854573107869173E-6</c:v>
                </c:pt>
                <c:pt idx="246">
                  <c:v>1.0526590181257506E-6</c:v>
                </c:pt>
                <c:pt idx="247">
                  <c:v>8.9600031320456814E-7</c:v>
                </c:pt>
                <c:pt idx="248">
                  <c:v>7.6350355308718791E-7</c:v>
                </c:pt>
                <c:pt idx="249">
                  <c:v>6.5545174506601911E-7</c:v>
                </c:pt>
                <c:pt idx="250">
                  <c:v>5.7214709546361803E-7</c:v>
                </c:pt>
                <c:pt idx="251">
                  <c:v>5.1390959840701632E-7</c:v>
                </c:pt>
                <c:pt idx="252">
                  <c:v>4.8107551996348385E-7</c:v>
                </c:pt>
                <c:pt idx="253">
                  <c:v>4.8015619012222937E-7</c:v>
                </c:pt>
                <c:pt idx="254">
                  <c:v>4.9435708669041143E-7</c:v>
                </c:pt>
                <c:pt idx="255">
                  <c:v>5.2389350465902617E-7</c:v>
                </c:pt>
                <c:pt idx="256">
                  <c:v>5.6898571424469663E-7</c:v>
                </c:pt>
                <c:pt idx="257">
                  <c:v>6.2985765967120292E-7</c:v>
                </c:pt>
                <c:pt idx="258">
                  <c:v>7.0673555428084993E-7</c:v>
                </c:pt>
                <c:pt idx="259">
                  <c:v>7.9984636673695901E-7</c:v>
                </c:pt>
                <c:pt idx="260">
                  <c:v>9.0947088704900572E-7</c:v>
                </c:pt>
                <c:pt idx="261">
                  <c:v>1.0304712751247339E-6</c:v>
                </c:pt>
                <c:pt idx="262">
                  <c:v>1.1537412660734473E-6</c:v>
                </c:pt>
                <c:pt idx="263">
                  <c:v>1.2793133975128316E-6</c:v>
                </c:pt>
                <c:pt idx="264">
                  <c:v>1.4072119959207249E-6</c:v>
                </c:pt>
                <c:pt idx="265">
                  <c:v>1.5374606664783298E-6</c:v>
                </c:pt>
                <c:pt idx="266">
                  <c:v>1.6700717620768489E-6</c:v>
                </c:pt>
                <c:pt idx="267">
                  <c:v>2.0616130977850185E-6</c:v>
                </c:pt>
                <c:pt idx="268">
                  <c:v>2.7094969775630004E-6</c:v>
                </c:pt>
                <c:pt idx="269">
                  <c:v>3.6176368886319407E-6</c:v>
                </c:pt>
                <c:pt idx="270">
                  <c:v>4.7898464879579689E-6</c:v>
                </c:pt>
                <c:pt idx="271">
                  <c:v>6.2297769194875944E-6</c:v>
                </c:pt>
                <c:pt idx="272">
                  <c:v>7.9408504602243171E-6</c:v>
                </c:pt>
                <c:pt idx="273">
                  <c:v>9.9261906071386096E-6</c:v>
                </c:pt>
                <c:pt idx="274">
                  <c:v>1.2189141526937518E-5</c:v>
                </c:pt>
                <c:pt idx="275">
                  <c:v>1.4912169327215383E-5</c:v>
                </c:pt>
                <c:pt idx="276">
                  <c:v>1.8106749518420916E-5</c:v>
                </c:pt>
                <c:pt idx="277">
                  <c:v>2.1778371634817711E-5</c:v>
                </c:pt>
                <c:pt idx="278">
                  <c:v>2.5932315687942955E-5</c:v>
                </c:pt>
                <c:pt idx="279">
                  <c:v>3.0573640261885915E-5</c:v>
                </c:pt>
                <c:pt idx="280">
                  <c:v>3.5707172827138406E-5</c:v>
                </c:pt>
                <c:pt idx="281">
                  <c:v>4.0886080554631001E-5</c:v>
                </c:pt>
                <c:pt idx="282">
                  <c:v>4.5834066221467629E-5</c:v>
                </c:pt>
                <c:pt idx="283">
                  <c:v>5.0546706247187096E-5</c:v>
                </c:pt>
                <c:pt idx="284">
                  <c:v>5.5019681467523629E-5</c:v>
                </c:pt>
                <c:pt idx="285">
                  <c:v>5.9248792309981911E-5</c:v>
                </c:pt>
                <c:pt idx="286">
                  <c:v>6.3229973147990875E-5</c:v>
                </c:pt>
                <c:pt idx="287">
                  <c:v>6.6959305611050362E-5</c:v>
                </c:pt>
                <c:pt idx="288">
                  <c:v>7.0434688137984742E-5</c:v>
                </c:pt>
                <c:pt idx="289">
                  <c:v>7.3377803878026048E-5</c:v>
                </c:pt>
                <c:pt idx="290">
                  <c:v>7.5592226891485245E-5</c:v>
                </c:pt>
                <c:pt idx="291">
                  <c:v>7.7069483715654476E-5</c:v>
                </c:pt>
                <c:pt idx="292">
                  <c:v>7.7801296198934421E-5</c:v>
                </c:pt>
                <c:pt idx="293">
                  <c:v>7.7779644095719917E-5</c:v>
                </c:pt>
                <c:pt idx="294">
                  <c:v>7.6996826606354524E-5</c:v>
                </c:pt>
                <c:pt idx="295">
                  <c:v>7.5666705485966619E-5</c:v>
                </c:pt>
                <c:pt idx="296">
                  <c:v>7.4260673791571091E-5</c:v>
                </c:pt>
                <c:pt idx="297">
                  <c:v>7.2778659317610314E-5</c:v>
                </c:pt>
                <c:pt idx="298">
                  <c:v>7.12200358251804E-5</c:v>
                </c:pt>
                <c:pt idx="299">
                  <c:v>6.9584263504529303E-5</c:v>
                </c:pt>
                <c:pt idx="300">
                  <c:v>6.7870892164200683E-5</c:v>
                </c:pt>
                <c:pt idx="301">
                  <c:v>6.6079564358956786E-5</c:v>
                </c:pt>
                <c:pt idx="302">
                  <c:v>6.4213701620227266E-5</c:v>
                </c:pt>
                <c:pt idx="303">
                  <c:v>6.2437461561152822E-5</c:v>
                </c:pt>
                <c:pt idx="304">
                  <c:v>6.1039463420048954E-5</c:v>
                </c:pt>
                <c:pt idx="305">
                  <c:v>6.0022233952148801E-5</c:v>
                </c:pt>
                <c:pt idx="306">
                  <c:v>5.9388288742093225E-5</c:v>
                </c:pt>
                <c:pt idx="307">
                  <c:v>5.9140117234843225E-5</c:v>
                </c:pt>
                <c:pt idx="308">
                  <c:v>5.9280167267693079E-5</c:v>
                </c:pt>
                <c:pt idx="309">
                  <c:v>5.9912991075206445E-5</c:v>
                </c:pt>
                <c:pt idx="310">
                  <c:v>6.0812213359377881E-5</c:v>
                </c:pt>
                <c:pt idx="311">
                  <c:v>6.1979232185503704E-5</c:v>
                </c:pt>
                <c:pt idx="312">
                  <c:v>6.3415354857231505E-5</c:v>
                </c:pt>
                <c:pt idx="313">
                  <c:v>6.5121779705628487E-5</c:v>
                </c:pt>
                <c:pt idx="314">
                  <c:v>6.7099575663990762E-5</c:v>
                </c:pt>
                <c:pt idx="315">
                  <c:v>6.9349659301345062E-5</c:v>
                </c:pt>
                <c:pt idx="316">
                  <c:v>7.1875821237805352E-5</c:v>
                </c:pt>
                <c:pt idx="317">
                  <c:v>7.4753045621348503E-5</c:v>
                </c:pt>
                <c:pt idx="318">
                  <c:v>7.7817816734918307E-5</c:v>
                </c:pt>
                <c:pt idx="319">
                  <c:v>8.1071860357929306E-5</c:v>
                </c:pt>
                <c:pt idx="320">
                  <c:v>8.4516967762362531E-5</c:v>
                </c:pt>
                <c:pt idx="321">
                  <c:v>8.8154991579378106E-5</c:v>
                </c:pt>
                <c:pt idx="322">
                  <c:v>9.1987839250790484E-5</c:v>
                </c:pt>
                <c:pt idx="323">
                  <c:v>9.5819291615217121E-5</c:v>
                </c:pt>
                <c:pt idx="324">
                  <c:v>9.9544660261363129E-5</c:v>
                </c:pt>
                <c:pt idx="325">
                  <c:v>1.0316383736066833E-4</c:v>
                </c:pt>
                <c:pt idx="326">
                  <c:v>1.0667594646383907E-4</c:v>
                </c:pt>
                <c:pt idx="327">
                  <c:v>1.1008035796251379E-4</c:v>
                </c:pt>
                <c:pt idx="328">
                  <c:v>1.1337685618213521E-4</c:v>
                </c:pt>
                <c:pt idx="329">
                  <c:v>1.1656510786930827E-4</c:v>
                </c:pt>
                <c:pt idx="330">
                  <c:v>1.1966004715089177E-4</c:v>
                </c:pt>
                <c:pt idx="331">
                  <c:v>1.2251174269113009E-4</c:v>
                </c:pt>
                <c:pt idx="332">
                  <c:v>1.2504117780995583E-4</c:v>
                </c:pt>
                <c:pt idx="333">
                  <c:v>1.2724018119926762E-4</c:v>
                </c:pt>
                <c:pt idx="334">
                  <c:v>1.2909938319916349E-4</c:v>
                </c:pt>
                <c:pt idx="335">
                  <c:v>1.3060836200664351E-4</c:v>
                </c:pt>
                <c:pt idx="336">
                  <c:v>1.3175581551088427E-4</c:v>
                </c:pt>
                <c:pt idx="337">
                  <c:v>1.325873969466624E-4</c:v>
                </c:pt>
                <c:pt idx="338">
                  <c:v>1.3329812599388968E-4</c:v>
                </c:pt>
                <c:pt idx="339">
                  <c:v>1.3387781834639197E-4</c:v>
                </c:pt>
                <c:pt idx="340">
                  <c:v>1.343159818778255E-4</c:v>
                </c:pt>
                <c:pt idx="341">
                  <c:v>1.3460194616695138E-4</c:v>
                </c:pt>
                <c:pt idx="342">
                  <c:v>1.3472501224692898E-4</c:v>
                </c:pt>
                <c:pt idx="343">
                  <c:v>1.3467462171723235E-4</c:v>
                </c:pt>
                <c:pt idx="344">
                  <c:v>1.3446383637137881E-4</c:v>
                </c:pt>
                <c:pt idx="345">
                  <c:v>1.3411073843207561E-4</c:v>
                </c:pt>
                <c:pt idx="346">
                  <c:v>1.3379107626264718E-4</c:v>
                </c:pt>
                <c:pt idx="347">
                  <c:v>1.3350269388778645E-4</c:v>
                </c:pt>
                <c:pt idx="348">
                  <c:v>1.3324339945902774E-4</c:v>
                </c:pt>
                <c:pt idx="349">
                  <c:v>1.3301097499466549E-4</c:v>
                </c:pt>
                <c:pt idx="350">
                  <c:v>1.3280318664391324E-4</c:v>
                </c:pt>
                <c:pt idx="351">
                  <c:v>1.3262722873566861E-4</c:v>
                </c:pt>
                <c:pt idx="352">
                  <c:v>1.3242221178934839E-4</c:v>
                </c:pt>
                <c:pt idx="353">
                  <c:v>1.3218612898898891E-4</c:v>
                </c:pt>
                <c:pt idx="354">
                  <c:v>1.3191711602555801E-4</c:v>
                </c:pt>
                <c:pt idx="355">
                  <c:v>1.3161346834080374E-4</c:v>
                </c:pt>
                <c:pt idx="356">
                  <c:v>1.3127284920153078E-4</c:v>
                </c:pt>
                <c:pt idx="357">
                  <c:v>1.3089456684602465E-4</c:v>
                </c:pt>
                <c:pt idx="358">
                  <c:v>1.3046527270518595E-4</c:v>
                </c:pt>
                <c:pt idx="359">
                  <c:v>1.2997734908423567E-4</c:v>
                </c:pt>
                <c:pt idx="360">
                  <c:v>1.2949488130208162E-4</c:v>
                </c:pt>
                <c:pt idx="361">
                  <c:v>1.2901472980687034E-4</c:v>
                </c:pt>
                <c:pt idx="362">
                  <c:v>1.2854289390186173E-4</c:v>
                </c:pt>
                <c:pt idx="363">
                  <c:v>1.2808520004779572E-4</c:v>
                </c:pt>
                <c:pt idx="364">
                  <c:v>1.2764727816610489E-4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72184"/>
        <c:axId val="357272576"/>
      </c:lineChart>
      <c:dateAx>
        <c:axId val="3572721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2576"/>
        <c:crosses val="autoZero"/>
        <c:auto val="1"/>
        <c:lblOffset val="100"/>
        <c:baseTimeUnit val="days"/>
        <c:majorUnit val="1"/>
        <c:majorTimeUnit val="months"/>
      </c:dateAx>
      <c:valAx>
        <c:axId val="3572725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2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22.83548670170012</c:v>
                </c:pt>
                <c:pt idx="1">
                  <c:v>22.996780563500206</c:v>
                </c:pt>
                <c:pt idx="2">
                  <c:v>23.164988642782482</c:v>
                </c:pt>
                <c:pt idx="3">
                  <c:v>23.33902464791155</c:v>
                </c:pt>
                <c:pt idx="4">
                  <c:v>23.517802586938956</c:v>
                </c:pt>
                <c:pt idx="5">
                  <c:v>23.700236777487472</c:v>
                </c:pt>
                <c:pt idx="6">
                  <c:v>23.885241840843257</c:v>
                </c:pt>
                <c:pt idx="7">
                  <c:v>24.071732710123861</c:v>
                </c:pt>
                <c:pt idx="8">
                  <c:v>24.261968660787865</c:v>
                </c:pt>
                <c:pt idx="9">
                  <c:v>24.458796682927648</c:v>
                </c:pt>
                <c:pt idx="10">
                  <c:v>24.66200801116706</c:v>
                </c:pt>
                <c:pt idx="11">
                  <c:v>24.871392655326353</c:v>
                </c:pt>
                <c:pt idx="12">
                  <c:v>25.086740661834039</c:v>
                </c:pt>
                <c:pt idx="13">
                  <c:v>25.30784212460469</c:v>
                </c:pt>
                <c:pt idx="14">
                  <c:v>25.534487179837992</c:v>
                </c:pt>
                <c:pt idx="15">
                  <c:v>25.766464384353966</c:v>
                </c:pt>
                <c:pt idx="16">
                  <c:v>26.003560327189845</c:v>
                </c:pt>
                <c:pt idx="17">
                  <c:v>26.245565292478283</c:v>
                </c:pt>
                <c:pt idx="18">
                  <c:v>26.492269623053534</c:v>
                </c:pt>
                <c:pt idx="19">
                  <c:v>26.743463702507391</c:v>
                </c:pt>
                <c:pt idx="20">
                  <c:v>26.998937970122117</c:v>
                </c:pt>
                <c:pt idx="21">
                  <c:v>27.258482943614659</c:v>
                </c:pt>
                <c:pt idx="22">
                  <c:v>27.524466491409239</c:v>
                </c:pt>
                <c:pt idx="23">
                  <c:v>27.798759562802957</c:v>
                </c:pt>
                <c:pt idx="24">
                  <c:v>28.08040664321101</c:v>
                </c:pt>
                <c:pt idx="25">
                  <c:v>28.368457053122683</c:v>
                </c:pt>
                <c:pt idx="26">
                  <c:v>28.661960425516998</c:v>
                </c:pt>
                <c:pt idx="27">
                  <c:v>28.959966696027937</c:v>
                </c:pt>
                <c:pt idx="28">
                  <c:v>29.261526117280546</c:v>
                </c:pt>
                <c:pt idx="29">
                  <c:v>29.56568541315675</c:v>
                </c:pt>
                <c:pt idx="30">
                  <c:v>29.871497088040503</c:v>
                </c:pt>
                <c:pt idx="31">
                  <c:v>30.178012337801171</c:v>
                </c:pt>
                <c:pt idx="32">
                  <c:v>30.484282673570881</c:v>
                </c:pt>
                <c:pt idx="33">
                  <c:v>30.789359925092981</c:v>
                </c:pt>
                <c:pt idx="34">
                  <c:v>31.092296239945192</c:v>
                </c:pt>
                <c:pt idx="35">
                  <c:v>31.392144084532941</c:v>
                </c:pt>
                <c:pt idx="36">
                  <c:v>31.689915563274688</c:v>
                </c:pt>
                <c:pt idx="37">
                  <c:v>31.987375483171874</c:v>
                </c:pt>
                <c:pt idx="38">
                  <c:v>32.284716056442171</c:v>
                </c:pt>
                <c:pt idx="39">
                  <c:v>32.582127048072081</c:v>
                </c:pt>
                <c:pt idx="40">
                  <c:v>32.879798178200076</c:v>
                </c:pt>
                <c:pt idx="41">
                  <c:v>33.177919120525161</c:v>
                </c:pt>
                <c:pt idx="42">
                  <c:v>33.476679499269984</c:v>
                </c:pt>
                <c:pt idx="43">
                  <c:v>33.776275752494634</c:v>
                </c:pt>
                <c:pt idx="44">
                  <c:v>34.07690124779451</c:v>
                </c:pt>
                <c:pt idx="45">
                  <c:v>34.378745452971792</c:v>
                </c:pt>
                <c:pt idx="46">
                  <c:v>34.681997775296495</c:v>
                </c:pt>
                <c:pt idx="47">
                  <c:v>34.986847559351972</c:v>
                </c:pt>
                <c:pt idx="48">
                  <c:v>35.293484082088497</c:v>
                </c:pt>
                <c:pt idx="49">
                  <c:v>35.602096549429383</c:v>
                </c:pt>
                <c:pt idx="50">
                  <c:v>35.913016146477538</c:v>
                </c:pt>
                <c:pt idx="51">
                  <c:v>36.2262698721132</c:v>
                </c:pt>
                <c:pt idx="52">
                  <c:v>36.541578697651744</c:v>
                </c:pt>
                <c:pt idx="53">
                  <c:v>36.858658259097027</c:v>
                </c:pt>
                <c:pt idx="54">
                  <c:v>37.177224241446005</c:v>
                </c:pt>
                <c:pt idx="55">
                  <c:v>37.49699238470793</c:v>
                </c:pt>
                <c:pt idx="56">
                  <c:v>37.817678478863662</c:v>
                </c:pt>
                <c:pt idx="57">
                  <c:v>38.138993639380523</c:v>
                </c:pt>
                <c:pt idx="58">
                  <c:v>38.460646843933326</c:v>
                </c:pt>
                <c:pt idx="59">
                  <c:v>38.782354000075827</c:v>
                </c:pt>
                <c:pt idx="60">
                  <c:v>39.10383105298245</c:v>
                </c:pt>
                <c:pt idx="61">
                  <c:v>39.42479398281511</c:v>
                </c:pt>
                <c:pt idx="62">
                  <c:v>39.744958802776033</c:v>
                </c:pt>
                <c:pt idx="63">
                  <c:v>40.064041556988542</c:v>
                </c:pt>
                <c:pt idx="64">
                  <c:v>40.382877746968752</c:v>
                </c:pt>
                <c:pt idx="65">
                  <c:v>40.702358544961406</c:v>
                </c:pt>
                <c:pt idx="66">
                  <c:v>41.022282464221171</c:v>
                </c:pt>
                <c:pt idx="67">
                  <c:v>41.342459655011439</c:v>
                </c:pt>
                <c:pt idx="68">
                  <c:v>41.662700262701577</c:v>
                </c:pt>
                <c:pt idx="69">
                  <c:v>41.982814427711752</c:v>
                </c:pt>
                <c:pt idx="70">
                  <c:v>42.302612285593128</c:v>
                </c:pt>
                <c:pt idx="71">
                  <c:v>42.621904122625523</c:v>
                </c:pt>
                <c:pt idx="72">
                  <c:v>42.940504826795809</c:v>
                </c:pt>
                <c:pt idx="73">
                  <c:v>43.258224534762157</c:v>
                </c:pt>
                <c:pt idx="74">
                  <c:v>43.574873383298694</c:v>
                </c:pt>
                <c:pt idx="75">
                  <c:v>43.890261510630985</c:v>
                </c:pt>
                <c:pt idx="76">
                  <c:v>44.20419905967799</c:v>
                </c:pt>
                <c:pt idx="77">
                  <c:v>44.5164961789133</c:v>
                </c:pt>
                <c:pt idx="78">
                  <c:v>44.829482943904345</c:v>
                </c:pt>
                <c:pt idx="79">
                  <c:v>45.144984518410034</c:v>
                </c:pt>
                <c:pt idx="80">
                  <c:v>45.462061322831595</c:v>
                </c:pt>
                <c:pt idx="81">
                  <c:v>45.779766889390736</c:v>
                </c:pt>
                <c:pt idx="82">
                  <c:v>46.097155010468931</c:v>
                </c:pt>
                <c:pt idx="83">
                  <c:v>46.413279741690253</c:v>
                </c:pt>
                <c:pt idx="84">
                  <c:v>46.727195410204423</c:v>
                </c:pt>
                <c:pt idx="85">
                  <c:v>47.037956352388143</c:v>
                </c:pt>
                <c:pt idx="86">
                  <c:v>47.344617296612412</c:v>
                </c:pt>
                <c:pt idx="87">
                  <c:v>47.646233421130326</c:v>
                </c:pt>
                <c:pt idx="88">
                  <c:v>47.941860205565114</c:v>
                </c:pt>
                <c:pt idx="89">
                  <c:v>48.230553435062305</c:v>
                </c:pt>
                <c:pt idx="90">
                  <c:v>48.511369212140174</c:v>
                </c:pt>
                <c:pt idx="91">
                  <c:v>48.783363969092754</c:v>
                </c:pt>
                <c:pt idx="92">
                  <c:v>49.048158707589423</c:v>
                </c:pt>
                <c:pt idx="93">
                  <c:v>49.307939686869418</c:v>
                </c:pt>
                <c:pt idx="94">
                  <c:v>49.562612473985823</c:v>
                </c:pt>
                <c:pt idx="95">
                  <c:v>49.812082484975669</c:v>
                </c:pt>
                <c:pt idx="96">
                  <c:v>50.056255191444457</c:v>
                </c:pt>
                <c:pt idx="97">
                  <c:v>50.295036130708965</c:v>
                </c:pt>
                <c:pt idx="98">
                  <c:v>50.528330902205141</c:v>
                </c:pt>
                <c:pt idx="99">
                  <c:v>50.75604347129628</c:v>
                </c:pt>
                <c:pt idx="100">
                  <c:v>50.978079849230014</c:v>
                </c:pt>
                <c:pt idx="101">
                  <c:v>51.194345845575604</c:v>
                </c:pt>
                <c:pt idx="102">
                  <c:v>51.404747351842687</c:v>
                </c:pt>
                <c:pt idx="103">
                  <c:v>51.609190346377432</c:v>
                </c:pt>
                <c:pt idx="104">
                  <c:v>51.807580900078982</c:v>
                </c:pt>
                <c:pt idx="105">
                  <c:v>51.999825180979556</c:v>
                </c:pt>
                <c:pt idx="106">
                  <c:v>52.185452370838632</c:v>
                </c:pt>
                <c:pt idx="107">
                  <c:v>52.364240301000372</c:v>
                </c:pt>
                <c:pt idx="108">
                  <c:v>52.536473137286123</c:v>
                </c:pt>
                <c:pt idx="109">
                  <c:v>52.702434453076911</c:v>
                </c:pt>
                <c:pt idx="110">
                  <c:v>52.862407793272794</c:v>
                </c:pt>
                <c:pt idx="111">
                  <c:v>53.016676677467487</c:v>
                </c:pt>
                <c:pt idx="112">
                  <c:v>53.165524597975313</c:v>
                </c:pt>
                <c:pt idx="113">
                  <c:v>53.30923029446857</c:v>
                </c:pt>
                <c:pt idx="114">
                  <c:v>53.44807897588565</c:v>
                </c:pt>
                <c:pt idx="115">
                  <c:v>53.582354006948052</c:v>
                </c:pt>
                <c:pt idx="116">
                  <c:v>53.71233873008196</c:v>
                </c:pt>
                <c:pt idx="117">
                  <c:v>53.838316469108271</c:v>
                </c:pt>
                <c:pt idx="118">
                  <c:v>53.960570531052483</c:v>
                </c:pt>
                <c:pt idx="119">
                  <c:v>57.143303186892126</c:v>
                </c:pt>
                <c:pt idx="120">
                  <c:v>57.263231189529471</c:v>
                </c:pt>
                <c:pt idx="121">
                  <c:v>57.378099995404455</c:v>
                </c:pt>
                <c:pt idx="122">
                  <c:v>57.488013797442889</c:v>
                </c:pt>
                <c:pt idx="123">
                  <c:v>57.593073320562013</c:v>
                </c:pt>
                <c:pt idx="124">
                  <c:v>57.693379237993369</c:v>
                </c:pt>
                <c:pt idx="125">
                  <c:v>57.789032174673999</c:v>
                </c:pt>
                <c:pt idx="126">
                  <c:v>57.880132704944586</c:v>
                </c:pt>
                <c:pt idx="127">
                  <c:v>57.96679686821917</c:v>
                </c:pt>
                <c:pt idx="128">
                  <c:v>58.049131266473509</c:v>
                </c:pt>
                <c:pt idx="129">
                  <c:v>58.12723696309628</c:v>
                </c:pt>
                <c:pt idx="130">
                  <c:v>58.20121500288716</c:v>
                </c:pt>
                <c:pt idx="131">
                  <c:v>58.271166424123528</c:v>
                </c:pt>
                <c:pt idx="132">
                  <c:v>58.337192249268867</c:v>
                </c:pt>
                <c:pt idx="133">
                  <c:v>58.39939349326535</c:v>
                </c:pt>
                <c:pt idx="134">
                  <c:v>58.457192671274079</c:v>
                </c:pt>
                <c:pt idx="135">
                  <c:v>58.510102469203019</c:v>
                </c:pt>
                <c:pt idx="136">
                  <c:v>58.55833059594201</c:v>
                </c:pt>
                <c:pt idx="137">
                  <c:v>58.602078846125799</c:v>
                </c:pt>
                <c:pt idx="138">
                  <c:v>58.641548994542653</c:v>
                </c:pt>
                <c:pt idx="139">
                  <c:v>58.67694278612003</c:v>
                </c:pt>
                <c:pt idx="140">
                  <c:v>58.708461938237036</c:v>
                </c:pt>
                <c:pt idx="141">
                  <c:v>58.736300834217559</c:v>
                </c:pt>
                <c:pt idx="142">
                  <c:v>58.76064297878721</c:v>
                </c:pt>
                <c:pt idx="143">
                  <c:v>58.781689251539241</c:v>
                </c:pt>
                <c:pt idx="144">
                  <c:v>58.799640443114072</c:v>
                </c:pt>
                <c:pt idx="145">
                  <c:v>58.814697282442637</c:v>
                </c:pt>
                <c:pt idx="146">
                  <c:v>58.827060431435342</c:v>
                </c:pt>
                <c:pt idx="147">
                  <c:v>58.836930480834376</c:v>
                </c:pt>
                <c:pt idx="148">
                  <c:v>58.844227139867009</c:v>
                </c:pt>
                <c:pt idx="149">
                  <c:v>58.848657075558684</c:v>
                </c:pt>
                <c:pt idx="150">
                  <c:v>58.850094972475503</c:v>
                </c:pt>
                <c:pt idx="151">
                  <c:v>58.848442813449473</c:v>
                </c:pt>
                <c:pt idx="152">
                  <c:v>58.843602637377693</c:v>
                </c:pt>
                <c:pt idx="153">
                  <c:v>58.835476537670552</c:v>
                </c:pt>
                <c:pt idx="154">
                  <c:v>58.823966664558334</c:v>
                </c:pt>
                <c:pt idx="155">
                  <c:v>58.808973160728634</c:v>
                </c:pt>
                <c:pt idx="156">
                  <c:v>58.790406445115075</c:v>
                </c:pt>
                <c:pt idx="157">
                  <c:v>58.768168929864629</c:v>
                </c:pt>
                <c:pt idx="158">
                  <c:v>58.742163076312416</c:v>
                </c:pt>
                <c:pt idx="159">
                  <c:v>58.712291393540369</c:v>
                </c:pt>
                <c:pt idx="160">
                  <c:v>58.678456437692269</c:v>
                </c:pt>
                <c:pt idx="161">
                  <c:v>58.640560816165944</c:v>
                </c:pt>
                <c:pt idx="162">
                  <c:v>58.597897125770565</c:v>
                </c:pt>
                <c:pt idx="163">
                  <c:v>58.550088363924601</c:v>
                </c:pt>
                <c:pt idx="164">
                  <c:v>58.497549574374581</c:v>
                </c:pt>
                <c:pt idx="165">
                  <c:v>58.44067861743023</c:v>
                </c:pt>
                <c:pt idx="166">
                  <c:v>58.379873126017479</c:v>
                </c:pt>
                <c:pt idx="167">
                  <c:v>58.31553050322924</c:v>
                </c:pt>
                <c:pt idx="168">
                  <c:v>58.248047922061055</c:v>
                </c:pt>
                <c:pt idx="169">
                  <c:v>58.177822650338335</c:v>
                </c:pt>
                <c:pt idx="170">
                  <c:v>58.105253852266898</c:v>
                </c:pt>
                <c:pt idx="171">
                  <c:v>58.030738076112577</c:v>
                </c:pt>
                <c:pt idx="172">
                  <c:v>57.954671632082153</c:v>
                </c:pt>
                <c:pt idx="173">
                  <c:v>57.877450608841414</c:v>
                </c:pt>
                <c:pt idx="174">
                  <c:v>57.799470860421422</c:v>
                </c:pt>
                <c:pt idx="175">
                  <c:v>57.721127984080262</c:v>
                </c:pt>
                <c:pt idx="176">
                  <c:v>57.641829857558079</c:v>
                </c:pt>
                <c:pt idx="177">
                  <c:v>57.560718711941313</c:v>
                </c:pt>
                <c:pt idx="178">
                  <c:v>57.477794999187893</c:v>
                </c:pt>
                <c:pt idx="179">
                  <c:v>57.393059468934567</c:v>
                </c:pt>
                <c:pt idx="180">
                  <c:v>57.306512838498442</c:v>
                </c:pt>
                <c:pt idx="181">
                  <c:v>57.218155793649942</c:v>
                </c:pt>
                <c:pt idx="182">
                  <c:v>57.127988985914435</c:v>
                </c:pt>
                <c:pt idx="183">
                  <c:v>57.03599303326402</c:v>
                </c:pt>
                <c:pt idx="184">
                  <c:v>56.94216788463244</c:v>
                </c:pt>
                <c:pt idx="185">
                  <c:v>56.846513820518041</c:v>
                </c:pt>
                <c:pt idx="186">
                  <c:v>56.749031115954217</c:v>
                </c:pt>
                <c:pt idx="187">
                  <c:v>56.649720039629813</c:v>
                </c:pt>
                <c:pt idx="188">
                  <c:v>56.548580859274956</c:v>
                </c:pt>
                <c:pt idx="189">
                  <c:v>56.445613837227583</c:v>
                </c:pt>
                <c:pt idx="190">
                  <c:v>56.340605661362012</c:v>
                </c:pt>
                <c:pt idx="191">
                  <c:v>56.233399153188643</c:v>
                </c:pt>
                <c:pt idx="192">
                  <c:v>56.124096084324883</c:v>
                </c:pt>
                <c:pt idx="193">
                  <c:v>56.012795346297558</c:v>
                </c:pt>
                <c:pt idx="194">
                  <c:v>55.89959578691974</c:v>
                </c:pt>
                <c:pt idx="195">
                  <c:v>55.784596213280913</c:v>
                </c:pt>
                <c:pt idx="196">
                  <c:v>55.667895389800506</c:v>
                </c:pt>
                <c:pt idx="197">
                  <c:v>55.549631830449719</c:v>
                </c:pt>
                <c:pt idx="198">
                  <c:v>55.429925716602391</c:v>
                </c:pt>
                <c:pt idx="199">
                  <c:v>55.308876158973177</c:v>
                </c:pt>
                <c:pt idx="200">
                  <c:v>55.186582189484938</c:v>
                </c:pt>
                <c:pt idx="201">
                  <c:v>55.063142764649342</c:v>
                </c:pt>
                <c:pt idx="202">
                  <c:v>54.938656769683959</c:v>
                </c:pt>
                <c:pt idx="203">
                  <c:v>54.813223022818207</c:v>
                </c:pt>
                <c:pt idx="204">
                  <c:v>54.686694282117678</c:v>
                </c:pt>
                <c:pt idx="205">
                  <c:v>54.558883870684262</c:v>
                </c:pt>
                <c:pt idx="206">
                  <c:v>54.429802211369029</c:v>
                </c:pt>
                <c:pt idx="207">
                  <c:v>54.299449876818855</c:v>
                </c:pt>
                <c:pt idx="208">
                  <c:v>54.167827420925988</c:v>
                </c:pt>
                <c:pt idx="209">
                  <c:v>54.034935383094826</c:v>
                </c:pt>
                <c:pt idx="210">
                  <c:v>53.900774290237763</c:v>
                </c:pt>
                <c:pt idx="211">
                  <c:v>53.765333468820714</c:v>
                </c:pt>
                <c:pt idx="212">
                  <c:v>53.628572352698242</c:v>
                </c:pt>
                <c:pt idx="213">
                  <c:v>53.490491227738502</c:v>
                </c:pt>
                <c:pt idx="214">
                  <c:v>53.351090395375763</c:v>
                </c:pt>
                <c:pt idx="215">
                  <c:v>53.210370173365874</c:v>
                </c:pt>
                <c:pt idx="216">
                  <c:v>53.068330894717938</c:v>
                </c:pt>
                <c:pt idx="217">
                  <c:v>52.924972907802669</c:v>
                </c:pt>
                <c:pt idx="218">
                  <c:v>52.780509419400289</c:v>
                </c:pt>
                <c:pt idx="219">
                  <c:v>52.635078135855437</c:v>
                </c:pt>
                <c:pt idx="220">
                  <c:v>52.488554637438746</c:v>
                </c:pt>
                <c:pt idx="221">
                  <c:v>52.340840973949028</c:v>
                </c:pt>
                <c:pt idx="222">
                  <c:v>52.191839264127168</c:v>
                </c:pt>
                <c:pt idx="223">
                  <c:v>52.041451692370742</c:v>
                </c:pt>
                <c:pt idx="224">
                  <c:v>51.88958050797828</c:v>
                </c:pt>
                <c:pt idx="225">
                  <c:v>51.736121506437215</c:v>
                </c:pt>
                <c:pt idx="226">
                  <c:v>51.580988448202575</c:v>
                </c:pt>
                <c:pt idx="227">
                  <c:v>51.424083788792721</c:v>
                </c:pt>
                <c:pt idx="228">
                  <c:v>51.265310041117523</c:v>
                </c:pt>
                <c:pt idx="229">
                  <c:v>51.104569775844432</c:v>
                </c:pt>
                <c:pt idx="230">
                  <c:v>50.941765620687256</c:v>
                </c:pt>
                <c:pt idx="231">
                  <c:v>50.776800256497452</c:v>
                </c:pt>
                <c:pt idx="232">
                  <c:v>50.611521509986318</c:v>
                </c:pt>
                <c:pt idx="233">
                  <c:v>50.447314868444408</c:v>
                </c:pt>
                <c:pt idx="234">
                  <c:v>50.283405600652259</c:v>
                </c:pt>
                <c:pt idx="235">
                  <c:v>50.11900937565953</c:v>
                </c:pt>
                <c:pt idx="236">
                  <c:v>49.953342241353489</c:v>
                </c:pt>
                <c:pt idx="237">
                  <c:v>49.785620621539309</c:v>
                </c:pt>
                <c:pt idx="238">
                  <c:v>49.615061314965594</c:v>
                </c:pt>
                <c:pt idx="239">
                  <c:v>49.440880131016705</c:v>
                </c:pt>
                <c:pt idx="240">
                  <c:v>49.262301138890493</c:v>
                </c:pt>
                <c:pt idx="241">
                  <c:v>49.078542247205938</c:v>
                </c:pt>
                <c:pt idx="242">
                  <c:v>48.888821733382883</c:v>
                </c:pt>
                <c:pt idx="243">
                  <c:v>48.692358239161514</c:v>
                </c:pt>
                <c:pt idx="244">
                  <c:v>48.488370772880089</c:v>
                </c:pt>
                <c:pt idx="245">
                  <c:v>48.276078701157985</c:v>
                </c:pt>
                <c:pt idx="246">
                  <c:v>48.055811416309183</c:v>
                </c:pt>
                <c:pt idx="247">
                  <c:v>47.828680374538934</c:v>
                </c:pt>
                <c:pt idx="248">
                  <c:v>47.595083484758028</c:v>
                </c:pt>
                <c:pt idx="249">
                  <c:v>47.355414622603782</c:v>
                </c:pt>
                <c:pt idx="250">
                  <c:v>47.110067486433273</c:v>
                </c:pt>
                <c:pt idx="251">
                  <c:v>46.859435589369291</c:v>
                </c:pt>
                <c:pt idx="252">
                  <c:v>46.603912268518322</c:v>
                </c:pt>
                <c:pt idx="253">
                  <c:v>46.34388968378807</c:v>
                </c:pt>
                <c:pt idx="254">
                  <c:v>46.079762165476339</c:v>
                </c:pt>
                <c:pt idx="255">
                  <c:v>45.811922508594606</c:v>
                </c:pt>
                <c:pt idx="256">
                  <c:v>45.540763330430536</c:v>
                </c:pt>
                <c:pt idx="257">
                  <c:v>45.266677070099846</c:v>
                </c:pt>
                <c:pt idx="258">
                  <c:v>44.99005598878054</c:v>
                </c:pt>
                <c:pt idx="259">
                  <c:v>44.711292169949424</c:v>
                </c:pt>
                <c:pt idx="260">
                  <c:v>44.42810556476222</c:v>
                </c:pt>
                <c:pt idx="261">
                  <c:v>44.138464929327718</c:v>
                </c:pt>
                <c:pt idx="262">
                  <c:v>43.843155450464117</c:v>
                </c:pt>
                <c:pt idx="263">
                  <c:v>43.542960996576291</c:v>
                </c:pt>
                <c:pt idx="264">
                  <c:v>43.238665084399251</c:v>
                </c:pt>
                <c:pt idx="265">
                  <c:v>42.931050873630632</c:v>
                </c:pt>
                <c:pt idx="266">
                  <c:v>42.620901169840536</c:v>
                </c:pt>
                <c:pt idx="267">
                  <c:v>42.308982816236259</c:v>
                </c:pt>
                <c:pt idx="268">
                  <c:v>41.996078994594065</c:v>
                </c:pt>
                <c:pt idx="269">
                  <c:v>41.682971567964501</c:v>
                </c:pt>
                <c:pt idx="270">
                  <c:v>41.370442059515973</c:v>
                </c:pt>
                <c:pt idx="271">
                  <c:v>41.05927165518586</c:v>
                </c:pt>
                <c:pt idx="272">
                  <c:v>40.750241205331619</c:v>
                </c:pt>
                <c:pt idx="273">
                  <c:v>40.444131226703981</c:v>
                </c:pt>
                <c:pt idx="274">
                  <c:v>40.139769816264618</c:v>
                </c:pt>
                <c:pt idx="275">
                  <c:v>39.835480428256652</c:v>
                </c:pt>
                <c:pt idx="276">
                  <c:v>39.531275684727241</c:v>
                </c:pt>
                <c:pt idx="277">
                  <c:v>39.227155592309316</c:v>
                </c:pt>
                <c:pt idx="278">
                  <c:v>38.923120124394316</c:v>
                </c:pt>
                <c:pt idx="279">
                  <c:v>38.619169218923794</c:v>
                </c:pt>
                <c:pt idx="280">
                  <c:v>38.315302776278244</c:v>
                </c:pt>
                <c:pt idx="281">
                  <c:v>38.01154655878323</c:v>
                </c:pt>
                <c:pt idx="282">
                  <c:v>37.707914981238638</c:v>
                </c:pt>
                <c:pt idx="283">
                  <c:v>37.404407299753167</c:v>
                </c:pt>
                <c:pt idx="284">
                  <c:v>37.101022692793357</c:v>
                </c:pt>
                <c:pt idx="285">
                  <c:v>36.797760260241226</c:v>
                </c:pt>
                <c:pt idx="286">
                  <c:v>36.494619022980153</c:v>
                </c:pt>
                <c:pt idx="287">
                  <c:v>36.191597923057238</c:v>
                </c:pt>
                <c:pt idx="288">
                  <c:v>35.887851146097695</c:v>
                </c:pt>
                <c:pt idx="289">
                  <c:v>35.582793222052409</c:v>
                </c:pt>
                <c:pt idx="290">
                  <c:v>35.276798563052239</c:v>
                </c:pt>
                <c:pt idx="291">
                  <c:v>34.970256066476416</c:v>
                </c:pt>
                <c:pt idx="292">
                  <c:v>34.663554416029626</c:v>
                </c:pt>
                <c:pt idx="293">
                  <c:v>34.357082087832254</c:v>
                </c:pt>
                <c:pt idx="294">
                  <c:v>34.051227353694081</c:v>
                </c:pt>
                <c:pt idx="295">
                  <c:v>33.746366645779027</c:v>
                </c:pt>
                <c:pt idx="296">
                  <c:v>33.442864021995995</c:v>
                </c:pt>
                <c:pt idx="297">
                  <c:v>33.141107827548225</c:v>
                </c:pt>
                <c:pt idx="298">
                  <c:v>32.841486284125352</c:v>
                </c:pt>
                <c:pt idx="299">
                  <c:v>32.544387457096832</c:v>
                </c:pt>
                <c:pt idx="300">
                  <c:v>32.250199259768102</c:v>
                </c:pt>
                <c:pt idx="301">
                  <c:v>31.959309455514287</c:v>
                </c:pt>
                <c:pt idx="302">
                  <c:v>31.670288833853373</c:v>
                </c:pt>
                <c:pt idx="303">
                  <c:v>31.381702248341281</c:v>
                </c:pt>
                <c:pt idx="304">
                  <c:v>31.093938034054201</c:v>
                </c:pt>
                <c:pt idx="305">
                  <c:v>30.80738456130678</c:v>
                </c:pt>
                <c:pt idx="306">
                  <c:v>30.522430062131715</c:v>
                </c:pt>
                <c:pt idx="307">
                  <c:v>30.239462638949529</c:v>
                </c:pt>
                <c:pt idx="308">
                  <c:v>29.958870259636068</c:v>
                </c:pt>
                <c:pt idx="309">
                  <c:v>29.681035638886559</c:v>
                </c:pt>
                <c:pt idx="310">
                  <c:v>29.406357116948151</c:v>
                </c:pt>
                <c:pt idx="311">
                  <c:v>29.135222171257574</c:v>
                </c:pt>
                <c:pt idx="312">
                  <c:v>28.868018155252248</c:v>
                </c:pt>
                <c:pt idx="313">
                  <c:v>28.605132305285171</c:v>
                </c:pt>
                <c:pt idx="314">
                  <c:v>28.346951738990615</c:v>
                </c:pt>
                <c:pt idx="315">
                  <c:v>28.093863460452663</c:v>
                </c:pt>
                <c:pt idx="316">
                  <c:v>27.845071721337163</c:v>
                </c:pt>
                <c:pt idx="317">
                  <c:v>27.599584735615831</c:v>
                </c:pt>
                <c:pt idx="318">
                  <c:v>27.357504193490122</c:v>
                </c:pt>
                <c:pt idx="319">
                  <c:v>27.118925837442475</c:v>
                </c:pt>
                <c:pt idx="320">
                  <c:v>26.883945405447122</c:v>
                </c:pt>
                <c:pt idx="321">
                  <c:v>26.652658640570607</c:v>
                </c:pt>
                <c:pt idx="322">
                  <c:v>26.425161282198658</c:v>
                </c:pt>
                <c:pt idx="323">
                  <c:v>26.20155708397844</c:v>
                </c:pt>
                <c:pt idx="324">
                  <c:v>25.981946269694419</c:v>
                </c:pt>
                <c:pt idx="325">
                  <c:v>25.766424362430492</c:v>
                </c:pt>
                <c:pt idx="326">
                  <c:v>25.555086928639671</c:v>
                </c:pt>
                <c:pt idx="327">
                  <c:v>25.348029530450649</c:v>
                </c:pt>
                <c:pt idx="328">
                  <c:v>25.145347718382354</c:v>
                </c:pt>
                <c:pt idx="329">
                  <c:v>24.947137055296611</c:v>
                </c:pt>
                <c:pt idx="330">
                  <c:v>24.750305858331807</c:v>
                </c:pt>
                <c:pt idx="331">
                  <c:v>24.552611418526173</c:v>
                </c:pt>
                <c:pt idx="332">
                  <c:v>24.35541437035376</c:v>
                </c:pt>
                <c:pt idx="333">
                  <c:v>24.160073038609141</c:v>
                </c:pt>
                <c:pt idx="334">
                  <c:v>23.967945285043214</c:v>
                </c:pt>
                <c:pt idx="335">
                  <c:v>23.780388488001027</c:v>
                </c:pt>
                <c:pt idx="336">
                  <c:v>23.598759547262485</c:v>
                </c:pt>
                <c:pt idx="337">
                  <c:v>23.424412426758465</c:v>
                </c:pt>
                <c:pt idx="338">
                  <c:v>23.258695642204014</c:v>
                </c:pt>
                <c:pt idx="339">
                  <c:v>23.102964716209463</c:v>
                </c:pt>
                <c:pt idx="340">
                  <c:v>22.958574642391177</c:v>
                </c:pt>
                <c:pt idx="341">
                  <c:v>22.826879889172613</c:v>
                </c:pt>
                <c:pt idx="342">
                  <c:v>22.709234390257254</c:v>
                </c:pt>
                <c:pt idx="343">
                  <c:v>22.606991539001275</c:v>
                </c:pt>
                <c:pt idx="344">
                  <c:v>22.517601898294245</c:v>
                </c:pt>
                <c:pt idx="345">
                  <c:v>22.437769094280686</c:v>
                </c:pt>
                <c:pt idx="346">
                  <c:v>22.367719587372562</c:v>
                </c:pt>
                <c:pt idx="347">
                  <c:v>22.307685842340522</c:v>
                </c:pt>
                <c:pt idx="348">
                  <c:v>22.257900216468425</c:v>
                </c:pt>
                <c:pt idx="349">
                  <c:v>22.218594970471589</c:v>
                </c:pt>
                <c:pt idx="350">
                  <c:v>22.190002256630461</c:v>
                </c:pt>
                <c:pt idx="351">
                  <c:v>22.172354224549771</c:v>
                </c:pt>
                <c:pt idx="352">
                  <c:v>22.165885174312557</c:v>
                </c:pt>
                <c:pt idx="353">
                  <c:v>22.170826919395704</c:v>
                </c:pt>
                <c:pt idx="354">
                  <c:v>22.187411176933978</c:v>
                </c:pt>
                <c:pt idx="355">
                  <c:v>22.215869554621463</c:v>
                </c:pt>
                <c:pt idx="356">
                  <c:v>22.256433569559562</c:v>
                </c:pt>
                <c:pt idx="357">
                  <c:v>22.309334590280624</c:v>
                </c:pt>
                <c:pt idx="358">
                  <c:v>22.376795197736925</c:v>
                </c:pt>
                <c:pt idx="359">
                  <c:v>22.460143988694018</c:v>
                </c:pt>
                <c:pt idx="360">
                  <c:v>22.558269305012093</c:v>
                </c:pt>
                <c:pt idx="361">
                  <c:v>22.670062168378337</c:v>
                </c:pt>
                <c:pt idx="362">
                  <c:v>22.794414135973597</c:v>
                </c:pt>
                <c:pt idx="363">
                  <c:v>22.930217215190211</c:v>
                </c:pt>
                <c:pt idx="364">
                  <c:v>23.076363843697514</c:v>
                </c:pt>
                <c:pt idx="365">
                  <c:v>22.955925272698817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21.718577256573546</c:v>
                </c:pt>
                <c:pt idx="1">
                  <c:v>15.616522963489677</c:v>
                </c:pt>
                <c:pt idx="2">
                  <c:v>16.805417220259734</c:v>
                </c:pt>
                <c:pt idx="3">
                  <c:v>17.756966578415849</c:v>
                </c:pt>
                <c:pt idx="4">
                  <c:v>14.13770524374358</c:v>
                </c:pt>
                <c:pt idx="5">
                  <c:v>20.387202779249531</c:v>
                </c:pt>
                <c:pt idx="6">
                  <c:v>10.425955974973938</c:v>
                </c:pt>
                <c:pt idx="7">
                  <c:v>7.3139523141187395</c:v>
                </c:pt>
                <c:pt idx="8">
                  <c:v>2.1588829595569865</c:v>
                </c:pt>
                <c:pt idx="9">
                  <c:v>1.6757224424882289</c:v>
                </c:pt>
                <c:pt idx="10">
                  <c:v>24.149157545896831</c:v>
                </c:pt>
                <c:pt idx="11">
                  <c:v>20.604419658217004</c:v>
                </c:pt>
                <c:pt idx="12">
                  <c:v>4.9618934057524644</c:v>
                </c:pt>
                <c:pt idx="13">
                  <c:v>24.531173479369102</c:v>
                </c:pt>
                <c:pt idx="14">
                  <c:v>26.067928288682594</c:v>
                </c:pt>
                <c:pt idx="15">
                  <c:v>25.602692887212715</c:v>
                </c:pt>
                <c:pt idx="16">
                  <c:v>13.105679752612495</c:v>
                </c:pt>
                <c:pt idx="17">
                  <c:v>3.4601065095143224</c:v>
                </c:pt>
                <c:pt idx="18">
                  <c:v>10.008403540373466</c:v>
                </c:pt>
                <c:pt idx="19">
                  <c:v>6.2959583576119629</c:v>
                </c:pt>
                <c:pt idx="20">
                  <c:v>20.110578367072726</c:v>
                </c:pt>
                <c:pt idx="21">
                  <c:v>27.13489929143687</c:v>
                </c:pt>
                <c:pt idx="22">
                  <c:v>27.19771910969877</c:v>
                </c:pt>
                <c:pt idx="23">
                  <c:v>27.809208108710262</c:v>
                </c:pt>
                <c:pt idx="24">
                  <c:v>26.484931445281656</c:v>
                </c:pt>
                <c:pt idx="25">
                  <c:v>27.430125630857521</c:v>
                </c:pt>
                <c:pt idx="26">
                  <c:v>25.55715330494959</c:v>
                </c:pt>
                <c:pt idx="27">
                  <c:v>4.1744984278042283</c:v>
                </c:pt>
                <c:pt idx="28">
                  <c:v>9.1538710371538787</c:v>
                </c:pt>
                <c:pt idx="29">
                  <c:v>4.3540365534924943</c:v>
                </c:pt>
                <c:pt idx="30">
                  <c:v>8.9053788661486948</c:v>
                </c:pt>
                <c:pt idx="31">
                  <c:v>12.928661395251101</c:v>
                </c:pt>
                <c:pt idx="32">
                  <c:v>5.19374890002101</c:v>
                </c:pt>
                <c:pt idx="33">
                  <c:v>9.7896494092492929</c:v>
                </c:pt>
                <c:pt idx="34">
                  <c:v>9.6937816474754932</c:v>
                </c:pt>
                <c:pt idx="35">
                  <c:v>9.3791351413857367</c:v>
                </c:pt>
                <c:pt idx="36">
                  <c:v>21.458326528291988</c:v>
                </c:pt>
                <c:pt idx="37">
                  <c:v>9.2079166282216889</c:v>
                </c:pt>
                <c:pt idx="38">
                  <c:v>32.274949248528458</c:v>
                </c:pt>
                <c:pt idx="39">
                  <c:v>32.487710968594115</c:v>
                </c:pt>
                <c:pt idx="40">
                  <c:v>30.201835056062887</c:v>
                </c:pt>
                <c:pt idx="41">
                  <c:v>16.8601803782269</c:v>
                </c:pt>
                <c:pt idx="42">
                  <c:v>25.615457492060813</c:v>
                </c:pt>
                <c:pt idx="43">
                  <c:v>30.280738158894877</c:v>
                </c:pt>
                <c:pt idx="44">
                  <c:v>14.831015004484245</c:v>
                </c:pt>
                <c:pt idx="45">
                  <c:v>18.646962204694258</c:v>
                </c:pt>
                <c:pt idx="46">
                  <c:v>9.7682277701734233</c:v>
                </c:pt>
                <c:pt idx="47">
                  <c:v>10.568484518825365</c:v>
                </c:pt>
                <c:pt idx="48">
                  <c:v>26.914539517220888</c:v>
                </c:pt>
                <c:pt idx="49">
                  <c:v>19.505590787531677</c:v>
                </c:pt>
                <c:pt idx="50">
                  <c:v>18.605595364299951</c:v>
                </c:pt>
                <c:pt idx="51">
                  <c:v>20.568485213230517</c:v>
                </c:pt>
                <c:pt idx="52">
                  <c:v>31.791767477431264</c:v>
                </c:pt>
                <c:pt idx="53">
                  <c:v>32.895580753393723</c:v>
                </c:pt>
                <c:pt idx="54">
                  <c:v>20.224340572116411</c:v>
                </c:pt>
                <c:pt idx="55">
                  <c:v>29.456940393159492</c:v>
                </c:pt>
                <c:pt idx="56">
                  <c:v>37.935683701849221</c:v>
                </c:pt>
                <c:pt idx="57">
                  <c:v>26.437812633686939</c:v>
                </c:pt>
                <c:pt idx="58">
                  <c:v>32.669520157815988</c:v>
                </c:pt>
                <c:pt idx="59">
                  <c:v>37.924606793998215</c:v>
                </c:pt>
                <c:pt idx="60">
                  <c:v>10.444024945565424</c:v>
                </c:pt>
                <c:pt idx="61">
                  <c:v>33.660447913684685</c:v>
                </c:pt>
                <c:pt idx="62">
                  <c:v>3.8716750614761417</c:v>
                </c:pt>
                <c:pt idx="63">
                  <c:v>12.817488397430793</c:v>
                </c:pt>
                <c:pt idx="64">
                  <c:v>15.314752477020647</c:v>
                </c:pt>
                <c:pt idx="65">
                  <c:v>35.771378459787122</c:v>
                </c:pt>
                <c:pt idx="66">
                  <c:v>30.914595565318269</c:v>
                </c:pt>
                <c:pt idx="67">
                  <c:v>27.585425360737261</c:v>
                </c:pt>
                <c:pt idx="68">
                  <c:v>23.96386304502655</c:v>
                </c:pt>
                <c:pt idx="69">
                  <c:v>15.206188109853068</c:v>
                </c:pt>
                <c:pt idx="70">
                  <c:v>14.128959824155983</c:v>
                </c:pt>
                <c:pt idx="71">
                  <c:v>9.5906891053951764</c:v>
                </c:pt>
                <c:pt idx="72">
                  <c:v>13.820937967005008</c:v>
                </c:pt>
                <c:pt idx="73">
                  <c:v>13.843915149590149</c:v>
                </c:pt>
                <c:pt idx="74">
                  <c:v>12.47805674275719</c:v>
                </c:pt>
                <c:pt idx="75">
                  <c:v>10.409694468676543</c:v>
                </c:pt>
                <c:pt idx="76">
                  <c:v>13.879179450354096</c:v>
                </c:pt>
                <c:pt idx="77">
                  <c:v>28.166845274827963</c:v>
                </c:pt>
                <c:pt idx="78">
                  <c:v>29.092406015674332</c:v>
                </c:pt>
                <c:pt idx="79">
                  <c:v>42.418866541344009</c:v>
                </c:pt>
                <c:pt idx="80">
                  <c:v>39.915725892969995</c:v>
                </c:pt>
                <c:pt idx="81">
                  <c:v>45.80016381910179</c:v>
                </c:pt>
                <c:pt idx="82">
                  <c:v>44.820213082859091</c:v>
                </c:pt>
                <c:pt idx="83">
                  <c:v>39.260937145038525</c:v>
                </c:pt>
                <c:pt idx="84">
                  <c:v>44.186716055459591</c:v>
                </c:pt>
                <c:pt idx="85">
                  <c:v>43.040774676796062</c:v>
                </c:pt>
                <c:pt idx="86">
                  <c:v>33.699239979804808</c:v>
                </c:pt>
                <c:pt idx="87">
                  <c:v>26.542004683100433</c:v>
                </c:pt>
                <c:pt idx="88">
                  <c:v>7.464325726792258</c:v>
                </c:pt>
                <c:pt idx="89">
                  <c:v>27.20190931114001</c:v>
                </c:pt>
                <c:pt idx="90">
                  <c:v>29.768738766839974</c:v>
                </c:pt>
                <c:pt idx="91">
                  <c:v>20.294543026757516</c:v>
                </c:pt>
                <c:pt idx="92">
                  <c:v>21.986911836186724</c:v>
                </c:pt>
                <c:pt idx="93">
                  <c:v>46.239786556776387</c:v>
                </c:pt>
                <c:pt idx="94">
                  <c:v>49.149791532119437</c:v>
                </c:pt>
                <c:pt idx="95">
                  <c:v>10.767414836883116</c:v>
                </c:pt>
                <c:pt idx="96">
                  <c:v>36.807220978397687</c:v>
                </c:pt>
                <c:pt idx="97">
                  <c:v>30.31934390290796</c:v>
                </c:pt>
                <c:pt idx="98">
                  <c:v>33.759695912203448</c:v>
                </c:pt>
                <c:pt idx="99">
                  <c:v>50.836832402798727</c:v>
                </c:pt>
                <c:pt idx="100">
                  <c:v>42.690376438483419</c:v>
                </c:pt>
                <c:pt idx="101">
                  <c:v>34.621133962269653</c:v>
                </c:pt>
                <c:pt idx="102">
                  <c:v>6.9422841994093272</c:v>
                </c:pt>
                <c:pt idx="103">
                  <c:v>37.52714880360174</c:v>
                </c:pt>
                <c:pt idx="104">
                  <c:v>43.006720516301741</c:v>
                </c:pt>
                <c:pt idx="105">
                  <c:v>41.499581930596428</c:v>
                </c:pt>
                <c:pt idx="106">
                  <c:v>50.689889208254179</c:v>
                </c:pt>
                <c:pt idx="107">
                  <c:v>35.063384778375443</c:v>
                </c:pt>
                <c:pt idx="108">
                  <c:v>8.3821488715727011</c:v>
                </c:pt>
                <c:pt idx="109">
                  <c:v>9.5921067141956176</c:v>
                </c:pt>
                <c:pt idx="110">
                  <c:v>8.8665898384043391</c:v>
                </c:pt>
                <c:pt idx="111">
                  <c:v>25.948865779498046</c:v>
                </c:pt>
                <c:pt idx="112">
                  <c:v>8.978765965844774</c:v>
                </c:pt>
                <c:pt idx="113">
                  <c:v>28.490254417576899</c:v>
                </c:pt>
                <c:pt idx="114">
                  <c:v>43.843449456499677</c:v>
                </c:pt>
                <c:pt idx="115">
                  <c:v>51.040538717555876</c:v>
                </c:pt>
                <c:pt idx="116">
                  <c:v>38.44738720386534</c:v>
                </c:pt>
                <c:pt idx="117">
                  <c:v>19.13752976056686</c:v>
                </c:pt>
                <c:pt idx="118">
                  <c:v>38.511683347609761</c:v>
                </c:pt>
                <c:pt idx="119">
                  <c:v>43.256057918383959</c:v>
                </c:pt>
                <c:pt idx="120">
                  <c:v>46.881152553759023</c:v>
                </c:pt>
                <c:pt idx="121">
                  <c:v>30.137282237315791</c:v>
                </c:pt>
                <c:pt idx="122">
                  <c:v>35.908338568336085</c:v>
                </c:pt>
                <c:pt idx="123">
                  <c:v>19.918429852400049</c:v>
                </c:pt>
                <c:pt idx="124">
                  <c:v>41.749336377431554</c:v>
                </c:pt>
                <c:pt idx="125">
                  <c:v>38.192250725477287</c:v>
                </c:pt>
                <c:pt idx="126">
                  <c:v>51.931353526869579</c:v>
                </c:pt>
                <c:pt idx="127">
                  <c:v>49.421118334217361</c:v>
                </c:pt>
                <c:pt idx="128">
                  <c:v>51.715521425072779</c:v>
                </c:pt>
                <c:pt idx="129">
                  <c:v>51.384091378962502</c:v>
                </c:pt>
                <c:pt idx="130">
                  <c:v>55.465911990577624</c:v>
                </c:pt>
                <c:pt idx="131">
                  <c:v>40.442380699989251</c:v>
                </c:pt>
                <c:pt idx="132">
                  <c:v>41.136847252704619</c:v>
                </c:pt>
                <c:pt idx="133">
                  <c:v>49.769949757525843</c:v>
                </c:pt>
                <c:pt idx="134">
                  <c:v>52.654472928424788</c:v>
                </c:pt>
                <c:pt idx="135">
                  <c:v>50.190662038328021</c:v>
                </c:pt>
                <c:pt idx="136">
                  <c:v>53.44699119578366</c:v>
                </c:pt>
                <c:pt idx="137">
                  <c:v>51.414323763139784</c:v>
                </c:pt>
                <c:pt idx="138">
                  <c:v>54.265206866449418</c:v>
                </c:pt>
                <c:pt idx="139">
                  <c:v>49.16203916227996</c:v>
                </c:pt>
                <c:pt idx="140">
                  <c:v>49.079280291253404</c:v>
                </c:pt>
                <c:pt idx="141">
                  <c:v>37.144928543812576</c:v>
                </c:pt>
                <c:pt idx="142">
                  <c:v>19.365791158674853</c:v>
                </c:pt>
                <c:pt idx="143">
                  <c:v>16.791171892345385</c:v>
                </c:pt>
                <c:pt idx="144">
                  <c:v>39.38264614042307</c:v>
                </c:pt>
                <c:pt idx="145">
                  <c:v>23.879421288589754</c:v>
                </c:pt>
                <c:pt idx="146">
                  <c:v>44.417922349248812</c:v>
                </c:pt>
                <c:pt idx="147">
                  <c:v>53.518981676430521</c:v>
                </c:pt>
                <c:pt idx="148">
                  <c:v>57.682524135362591</c:v>
                </c:pt>
                <c:pt idx="149">
                  <c:v>49.12032826599728</c:v>
                </c:pt>
                <c:pt idx="150">
                  <c:v>52.164473847635186</c:v>
                </c:pt>
                <c:pt idx="151">
                  <c:v>54.496758794741609</c:v>
                </c:pt>
                <c:pt idx="152">
                  <c:v>43.777897571796515</c:v>
                </c:pt>
                <c:pt idx="153">
                  <c:v>53.351162112886136</c:v>
                </c:pt>
                <c:pt idx="154">
                  <c:v>24.091836763982943</c:v>
                </c:pt>
                <c:pt idx="155">
                  <c:v>33.233788332306268</c:v>
                </c:pt>
                <c:pt idx="156">
                  <c:v>46.80498592525602</c:v>
                </c:pt>
                <c:pt idx="157">
                  <c:v>24.400596081599808</c:v>
                </c:pt>
                <c:pt idx="158">
                  <c:v>19.948727344307169</c:v>
                </c:pt>
                <c:pt idx="159">
                  <c:v>45.586143325919004</c:v>
                </c:pt>
                <c:pt idx="160">
                  <c:v>55.631747308662213</c:v>
                </c:pt>
                <c:pt idx="161">
                  <c:v>54.394577466679344</c:v>
                </c:pt>
                <c:pt idx="162">
                  <c:v>41.620620073697829</c:v>
                </c:pt>
                <c:pt idx="163">
                  <c:v>52.698561317508343</c:v>
                </c:pt>
                <c:pt idx="164">
                  <c:v>48.063226179862113</c:v>
                </c:pt>
                <c:pt idx="165">
                  <c:v>52.42831838493958</c:v>
                </c:pt>
                <c:pt idx="166">
                  <c:v>50.385866162543749</c:v>
                </c:pt>
                <c:pt idx="167">
                  <c:v>50.454445344006722</c:v>
                </c:pt>
                <c:pt idx="168">
                  <c:v>53.759519236972579</c:v>
                </c:pt>
                <c:pt idx="169">
                  <c:v>54.856329783473726</c:v>
                </c:pt>
                <c:pt idx="170">
                  <c:v>30.549718403778463</c:v>
                </c:pt>
                <c:pt idx="171">
                  <c:v>22.814395874426726</c:v>
                </c:pt>
                <c:pt idx="172">
                  <c:v>38.160193256652178</c:v>
                </c:pt>
                <c:pt idx="173">
                  <c:v>40.757158172440754</c:v>
                </c:pt>
                <c:pt idx="174">
                  <c:v>38.952451403271198</c:v>
                </c:pt>
                <c:pt idx="175">
                  <c:v>34.279072365130226</c:v>
                </c:pt>
                <c:pt idx="176">
                  <c:v>11.5013686930532</c:v>
                </c:pt>
                <c:pt idx="177">
                  <c:v>12.554403364321232</c:v>
                </c:pt>
                <c:pt idx="178">
                  <c:v>56.991946871038664</c:v>
                </c:pt>
                <c:pt idx="179">
                  <c:v>54.107282337901552</c:v>
                </c:pt>
                <c:pt idx="180">
                  <c:v>13.452653563686685</c:v>
                </c:pt>
                <c:pt idx="181">
                  <c:v>48.427181587618271</c:v>
                </c:pt>
                <c:pt idx="182">
                  <c:v>53.946013574188314</c:v>
                </c:pt>
                <c:pt idx="183">
                  <c:v>44.951342886912286</c:v>
                </c:pt>
                <c:pt idx="184">
                  <c:v>42.657676652688728</c:v>
                </c:pt>
                <c:pt idx="185">
                  <c:v>53.446544299992766</c:v>
                </c:pt>
                <c:pt idx="186">
                  <c:v>45.897665659730094</c:v>
                </c:pt>
                <c:pt idx="187">
                  <c:v>52.714306955285018</c:v>
                </c:pt>
                <c:pt idx="188">
                  <c:v>55.437824117114154</c:v>
                </c:pt>
                <c:pt idx="189">
                  <c:v>54.722684701507312</c:v>
                </c:pt>
                <c:pt idx="190">
                  <c:v>54.025402796327938</c:v>
                </c:pt>
                <c:pt idx="191">
                  <c:v>52.595396253988291</c:v>
                </c:pt>
                <c:pt idx="192">
                  <c:v>52.690361873383964</c:v>
                </c:pt>
                <c:pt idx="193">
                  <c:v>52.06846413320126</c:v>
                </c:pt>
                <c:pt idx="194">
                  <c:v>51.511024059528275</c:v>
                </c:pt>
                <c:pt idx="195">
                  <c:v>49.787580299329953</c:v>
                </c:pt>
                <c:pt idx="196">
                  <c:v>51.160623365289702</c:v>
                </c:pt>
                <c:pt idx="197">
                  <c:v>50.753880931622078</c:v>
                </c:pt>
                <c:pt idx="198">
                  <c:v>52.597784180848947</c:v>
                </c:pt>
                <c:pt idx="199">
                  <c:v>42.196736989618664</c:v>
                </c:pt>
                <c:pt idx="200">
                  <c:v>42.619786447030819</c:v>
                </c:pt>
                <c:pt idx="201">
                  <c:v>50.122891516962717</c:v>
                </c:pt>
                <c:pt idx="202">
                  <c:v>39.954969161329025</c:v>
                </c:pt>
                <c:pt idx="203">
                  <c:v>44.650077529403063</c:v>
                </c:pt>
                <c:pt idx="204">
                  <c:v>50.076725789194853</c:v>
                </c:pt>
                <c:pt idx="205">
                  <c:v>25.590772049531044</c:v>
                </c:pt>
                <c:pt idx="206">
                  <c:v>53.792231291589694</c:v>
                </c:pt>
                <c:pt idx="207">
                  <c:v>53.799359477568814</c:v>
                </c:pt>
                <c:pt idx="208">
                  <c:v>43.173819372687618</c:v>
                </c:pt>
                <c:pt idx="209">
                  <c:v>29.2046997247385</c:v>
                </c:pt>
                <c:pt idx="210">
                  <c:v>49.149112817556059</c:v>
                </c:pt>
                <c:pt idx="211">
                  <c:v>51.797978823283408</c:v>
                </c:pt>
                <c:pt idx="212">
                  <c:v>50.89288602758694</c:v>
                </c:pt>
                <c:pt idx="213">
                  <c:v>51.094102759600901</c:v>
                </c:pt>
                <c:pt idx="214">
                  <c:v>48.954914044932941</c:v>
                </c:pt>
                <c:pt idx="215">
                  <c:v>45.937556255995368</c:v>
                </c:pt>
                <c:pt idx="216">
                  <c:v>42.738919011769575</c:v>
                </c:pt>
                <c:pt idx="217">
                  <c:v>46.831755794553303</c:v>
                </c:pt>
                <c:pt idx="218">
                  <c:v>49.775630851292519</c:v>
                </c:pt>
                <c:pt idx="219">
                  <c:v>50.573501684505075</c:v>
                </c:pt>
                <c:pt idx="220">
                  <c:v>48.880592189951479</c:v>
                </c:pt>
                <c:pt idx="221">
                  <c:v>46.866637554798842</c:v>
                </c:pt>
                <c:pt idx="222">
                  <c:v>43.127249451584447</c:v>
                </c:pt>
                <c:pt idx="223">
                  <c:v>45.260244657772205</c:v>
                </c:pt>
                <c:pt idx="224">
                  <c:v>31.527063741111519</c:v>
                </c:pt>
                <c:pt idx="225">
                  <c:v>32.777192252942349</c:v>
                </c:pt>
                <c:pt idx="226">
                  <c:v>37.582129774247498</c:v>
                </c:pt>
                <c:pt idx="227">
                  <c:v>31.568925570533519</c:v>
                </c:pt>
                <c:pt idx="228">
                  <c:v>21.699957769616486</c:v>
                </c:pt>
                <c:pt idx="229">
                  <c:v>37.75845030036546</c:v>
                </c:pt>
                <c:pt idx="230">
                  <c:v>39.094580968295922</c:v>
                </c:pt>
                <c:pt idx="231">
                  <c:v>46.557696670801853</c:v>
                </c:pt>
                <c:pt idx="232">
                  <c:v>31.385725766326189</c:v>
                </c:pt>
                <c:pt idx="233">
                  <c:v>24.452745535989244</c:v>
                </c:pt>
                <c:pt idx="234">
                  <c:v>43.739089050203006</c:v>
                </c:pt>
                <c:pt idx="235">
                  <c:v>45.189949165734397</c:v>
                </c:pt>
                <c:pt idx="236">
                  <c:v>32.244557273764791</c:v>
                </c:pt>
                <c:pt idx="237">
                  <c:v>40.507610160761068</c:v>
                </c:pt>
                <c:pt idx="238">
                  <c:v>47.725050549886078</c:v>
                </c:pt>
                <c:pt idx="239">
                  <c:v>46.836444628887506</c:v>
                </c:pt>
                <c:pt idx="240">
                  <c:v>31.577455414039189</c:v>
                </c:pt>
                <c:pt idx="241">
                  <c:v>45.849956087311739</c:v>
                </c:pt>
                <c:pt idx="242">
                  <c:v>21.578629773506933</c:v>
                </c:pt>
                <c:pt idx="243">
                  <c:v>41.596077676723588</c:v>
                </c:pt>
                <c:pt idx="244">
                  <c:v>38.153573846070884</c:v>
                </c:pt>
                <c:pt idx="245">
                  <c:v>31.855990794720949</c:v>
                </c:pt>
                <c:pt idx="246">
                  <c:v>46.202486700334781</c:v>
                </c:pt>
                <c:pt idx="247">
                  <c:v>39.057963835868399</c:v>
                </c:pt>
                <c:pt idx="248">
                  <c:v>44.294805202396013</c:v>
                </c:pt>
                <c:pt idx="249">
                  <c:v>34.462993882405712</c:v>
                </c:pt>
                <c:pt idx="250">
                  <c:v>37.738312015981627</c:v>
                </c:pt>
                <c:pt idx="251">
                  <c:v>21.008488343732306</c:v>
                </c:pt>
                <c:pt idx="252">
                  <c:v>44.380699198295218</c:v>
                </c:pt>
                <c:pt idx="253">
                  <c:v>44.90189901064776</c:v>
                </c:pt>
                <c:pt idx="254">
                  <c:v>31.446592439138961</c:v>
                </c:pt>
                <c:pt idx="255">
                  <c:v>11.150271426482592</c:v>
                </c:pt>
                <c:pt idx="256">
                  <c:v>37.001128789350879</c:v>
                </c:pt>
                <c:pt idx="257">
                  <c:v>40.642430065897813</c:v>
                </c:pt>
                <c:pt idx="258">
                  <c:v>27.059441984974992</c:v>
                </c:pt>
                <c:pt idx="259">
                  <c:v>46.794507687524622</c:v>
                </c:pt>
                <c:pt idx="260">
                  <c:v>45.242602173853733</c:v>
                </c:pt>
                <c:pt idx="261">
                  <c:v>44.076047668703474</c:v>
                </c:pt>
                <c:pt idx="262">
                  <c:v>45.40434424040469</c:v>
                </c:pt>
                <c:pt idx="263">
                  <c:v>44.297292751810168</c:v>
                </c:pt>
                <c:pt idx="264">
                  <c:v>43.142763655085695</c:v>
                </c:pt>
                <c:pt idx="265">
                  <c:v>27.258026453834894</c:v>
                </c:pt>
                <c:pt idx="266">
                  <c:v>17.086988753379213</c:v>
                </c:pt>
                <c:pt idx="267">
                  <c:v>30.246878243604229</c:v>
                </c:pt>
                <c:pt idx="268">
                  <c:v>32.619148008834593</c:v>
                </c:pt>
                <c:pt idx="269">
                  <c:v>14.743212050355256</c:v>
                </c:pt>
                <c:pt idx="270">
                  <c:v>16.940388570948429</c:v>
                </c:pt>
                <c:pt idx="271">
                  <c:v>23.2331723959024</c:v>
                </c:pt>
                <c:pt idx="272">
                  <c:v>28.389997933939643</c:v>
                </c:pt>
                <c:pt idx="273">
                  <c:v>34.046763111238235</c:v>
                </c:pt>
                <c:pt idx="274">
                  <c:v>37.951722693457874</c:v>
                </c:pt>
                <c:pt idx="275">
                  <c:v>34.518210597263909</c:v>
                </c:pt>
                <c:pt idx="276">
                  <c:v>38.839834585250848</c:v>
                </c:pt>
                <c:pt idx="277">
                  <c:v>40.058084831955036</c:v>
                </c:pt>
                <c:pt idx="278">
                  <c:v>11.693627224494557</c:v>
                </c:pt>
                <c:pt idx="279">
                  <c:v>28.580994477707879</c:v>
                </c:pt>
                <c:pt idx="280">
                  <c:v>15.577326382494867</c:v>
                </c:pt>
                <c:pt idx="281">
                  <c:v>36.635999397251965</c:v>
                </c:pt>
                <c:pt idx="282">
                  <c:v>30.193745251852551</c:v>
                </c:pt>
                <c:pt idx="283">
                  <c:v>21.955859490752818</c:v>
                </c:pt>
                <c:pt idx="284">
                  <c:v>27.421962273459538</c:v>
                </c:pt>
                <c:pt idx="285">
                  <c:v>22.629630630350139</c:v>
                </c:pt>
                <c:pt idx="286">
                  <c:v>19.207636202359058</c:v>
                </c:pt>
                <c:pt idx="287">
                  <c:v>35.568882924829801</c:v>
                </c:pt>
                <c:pt idx="288">
                  <c:v>31.942624287870746</c:v>
                </c:pt>
                <c:pt idx="289">
                  <c:v>19.382543398359442</c:v>
                </c:pt>
                <c:pt idx="290">
                  <c:v>32.90006494213889</c:v>
                </c:pt>
                <c:pt idx="291">
                  <c:v>15.15378970408304</c:v>
                </c:pt>
                <c:pt idx="292">
                  <c:v>6.2776097941947411</c:v>
                </c:pt>
                <c:pt idx="293">
                  <c:v>15.898721358760778</c:v>
                </c:pt>
                <c:pt idx="294">
                  <c:v>31.737725401862576</c:v>
                </c:pt>
                <c:pt idx="295">
                  <c:v>16.5386340012749</c:v>
                </c:pt>
                <c:pt idx="296">
                  <c:v>24.51354098499348</c:v>
                </c:pt>
                <c:pt idx="297">
                  <c:v>21.14038439513488</c:v>
                </c:pt>
                <c:pt idx="298">
                  <c:v>13.250683641725681</c:v>
                </c:pt>
                <c:pt idx="299">
                  <c:v>14.152512583820855</c:v>
                </c:pt>
                <c:pt idx="300">
                  <c:v>16.711482189689313</c:v>
                </c:pt>
                <c:pt idx="301">
                  <c:v>26.241131655893859</c:v>
                </c:pt>
                <c:pt idx="302">
                  <c:v>21.706224036152438</c:v>
                </c:pt>
                <c:pt idx="303">
                  <c:v>21.19005656071992</c:v>
                </c:pt>
                <c:pt idx="304">
                  <c:v>22.539622152185363</c:v>
                </c:pt>
                <c:pt idx="305">
                  <c:v>27.088166572083441</c:v>
                </c:pt>
                <c:pt idx="306">
                  <c:v>9.3011035702680598</c:v>
                </c:pt>
                <c:pt idx="307">
                  <c:v>16.311750195744121</c:v>
                </c:pt>
                <c:pt idx="308">
                  <c:v>28.402937763852702</c:v>
                </c:pt>
                <c:pt idx="309">
                  <c:v>29.260535029304702</c:v>
                </c:pt>
                <c:pt idx="310">
                  <c:v>27.040213980636402</c:v>
                </c:pt>
                <c:pt idx="311">
                  <c:v>20.357659140506854</c:v>
                </c:pt>
                <c:pt idx="312">
                  <c:v>9.5188717398857232</c:v>
                </c:pt>
                <c:pt idx="313">
                  <c:v>19.767010020414407</c:v>
                </c:pt>
                <c:pt idx="314">
                  <c:v>26.770907350148502</c:v>
                </c:pt>
                <c:pt idx="315">
                  <c:v>26.814631048004504</c:v>
                </c:pt>
                <c:pt idx="316">
                  <c:v>25.901154582453003</c:v>
                </c:pt>
                <c:pt idx="317">
                  <c:v>9.1199827581841006</c:v>
                </c:pt>
                <c:pt idx="318">
                  <c:v>11.858718858111919</c:v>
                </c:pt>
                <c:pt idx="319">
                  <c:v>26.327172047821946</c:v>
                </c:pt>
                <c:pt idx="320">
                  <c:v>12.322801338132065</c:v>
                </c:pt>
                <c:pt idx="321">
                  <c:v>14.626213564467415</c:v>
                </c:pt>
                <c:pt idx="322">
                  <c:v>7.4903939924288441</c:v>
                </c:pt>
                <c:pt idx="323">
                  <c:v>14.970528254040072</c:v>
                </c:pt>
                <c:pt idx="324">
                  <c:v>3.1636842280346933</c:v>
                </c:pt>
                <c:pt idx="325">
                  <c:v>7.8645284560600111</c:v>
                </c:pt>
                <c:pt idx="326">
                  <c:v>11.7861255670538</c:v>
                </c:pt>
                <c:pt idx="327">
                  <c:v>12.972136604236077</c:v>
                </c:pt>
                <c:pt idx="328">
                  <c:v>5.0228510889364077</c:v>
                </c:pt>
                <c:pt idx="329">
                  <c:v>10.06820072213408</c:v>
                </c:pt>
                <c:pt idx="330">
                  <c:v>14.321519618544793</c:v>
                </c:pt>
                <c:pt idx="331">
                  <c:v>10.381080606190441</c:v>
                </c:pt>
                <c:pt idx="332">
                  <c:v>14.443424758600253</c:v>
                </c:pt>
                <c:pt idx="333">
                  <c:v>4.0239416254811164</c:v>
                </c:pt>
                <c:pt idx="334">
                  <c:v>3.462428604938498</c:v>
                </c:pt>
                <c:pt idx="335">
                  <c:v>5.7415909279042134</c:v>
                </c:pt>
                <c:pt idx="336">
                  <c:v>8.5761170165212253</c:v>
                </c:pt>
                <c:pt idx="337">
                  <c:v>17.027318618450725</c:v>
                </c:pt>
                <c:pt idx="338">
                  <c:v>23.175344068633436</c:v>
                </c:pt>
                <c:pt idx="339">
                  <c:v>10.733029073603895</c:v>
                </c:pt>
                <c:pt idx="340">
                  <c:v>19.47420219409781</c:v>
                </c:pt>
                <c:pt idx="341">
                  <c:v>4.0202684978065113</c:v>
                </c:pt>
                <c:pt idx="342">
                  <c:v>4.8641472274509292</c:v>
                </c:pt>
                <c:pt idx="343">
                  <c:v>11.449583985611369</c:v>
                </c:pt>
                <c:pt idx="344">
                  <c:v>15.995097664957886</c:v>
                </c:pt>
                <c:pt idx="345">
                  <c:v>5.5704037706329519</c:v>
                </c:pt>
                <c:pt idx="346">
                  <c:v>5.2876783001137806</c:v>
                </c:pt>
                <c:pt idx="347">
                  <c:v>16.777751454892954</c:v>
                </c:pt>
                <c:pt idx="348">
                  <c:v>5.5651387877621961</c:v>
                </c:pt>
                <c:pt idx="349">
                  <c:v>4.7419386354894542</c:v>
                </c:pt>
                <c:pt idx="350">
                  <c:v>3.4652365163289538</c:v>
                </c:pt>
                <c:pt idx="351">
                  <c:v>20.807834489937861</c:v>
                </c:pt>
                <c:pt idx="352">
                  <c:v>16.838436723189499</c:v>
                </c:pt>
                <c:pt idx="353">
                  <c:v>4.4264068080705892</c:v>
                </c:pt>
                <c:pt idx="354">
                  <c:v>19.962930483830732</c:v>
                </c:pt>
                <c:pt idx="355">
                  <c:v>16.497648324497835</c:v>
                </c:pt>
                <c:pt idx="356">
                  <c:v>17.036789314316824</c:v>
                </c:pt>
                <c:pt idx="357">
                  <c:v>20.473614408303394</c:v>
                </c:pt>
                <c:pt idx="358">
                  <c:v>12.181397253489568</c:v>
                </c:pt>
                <c:pt idx="359">
                  <c:v>20.757395510955632</c:v>
                </c:pt>
                <c:pt idx="360">
                  <c:v>7.4804694552913267</c:v>
                </c:pt>
                <c:pt idx="361">
                  <c:v>19.937678025788657</c:v>
                </c:pt>
                <c:pt idx="362">
                  <c:v>9.8007197647017037</c:v>
                </c:pt>
                <c:pt idx="363">
                  <c:v>12.90439394180782</c:v>
                </c:pt>
                <c:pt idx="364">
                  <c:v>11.974603696932881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21.718577256573546</c:v>
                </c:pt>
                <c:pt idx="1">
                  <c:v>15.616522963489677</c:v>
                </c:pt>
                <c:pt idx="2">
                  <c:v>16.805417220259734</c:v>
                </c:pt>
                <c:pt idx="3">
                  <c:v>17.756966578415849</c:v>
                </c:pt>
                <c:pt idx="4">
                  <c:v>14.13770524374358</c:v>
                </c:pt>
                <c:pt idx="5">
                  <c:v>20.387202779249531</c:v>
                </c:pt>
                <c:pt idx="6">
                  <c:v>10.425955974973938</c:v>
                </c:pt>
                <c:pt idx="7">
                  <c:v>7.3139523141187395</c:v>
                </c:pt>
                <c:pt idx="8">
                  <c:v>2.1588829595569865</c:v>
                </c:pt>
                <c:pt idx="9">
                  <c:v>1.6757224424882289</c:v>
                </c:pt>
                <c:pt idx="10">
                  <c:v>24.149157545896831</c:v>
                </c:pt>
                <c:pt idx="11">
                  <c:v>20.604419658217004</c:v>
                </c:pt>
                <c:pt idx="12">
                  <c:v>4.9618934057524644</c:v>
                </c:pt>
                <c:pt idx="13">
                  <c:v>24.531173479369102</c:v>
                </c:pt>
                <c:pt idx="14">
                  <c:v>26.067928288682594</c:v>
                </c:pt>
                <c:pt idx="15">
                  <c:v>25.602692887212715</c:v>
                </c:pt>
                <c:pt idx="16">
                  <c:v>13.105679752612495</c:v>
                </c:pt>
                <c:pt idx="17">
                  <c:v>3.4601065095143224</c:v>
                </c:pt>
                <c:pt idx="18">
                  <c:v>10.008403540373466</c:v>
                </c:pt>
                <c:pt idx="19">
                  <c:v>6.2959583576119629</c:v>
                </c:pt>
                <c:pt idx="20">
                  <c:v>20.110578367072726</c:v>
                </c:pt>
                <c:pt idx="21">
                  <c:v>27.13489929143687</c:v>
                </c:pt>
                <c:pt idx="22">
                  <c:v>27.19771910969877</c:v>
                </c:pt>
                <c:pt idx="23">
                  <c:v>27.809208108710262</c:v>
                </c:pt>
                <c:pt idx="24">
                  <c:v>26.484931445281656</c:v>
                </c:pt>
                <c:pt idx="25">
                  <c:v>27.430125630857521</c:v>
                </c:pt>
                <c:pt idx="26">
                  <c:v>25.55715330494959</c:v>
                </c:pt>
                <c:pt idx="27">
                  <c:v>4.1744984278042283</c:v>
                </c:pt>
                <c:pt idx="28">
                  <c:v>9.1538710371538787</c:v>
                </c:pt>
                <c:pt idx="29">
                  <c:v>4.3540365534924943</c:v>
                </c:pt>
                <c:pt idx="30">
                  <c:v>8.9053788661486948</c:v>
                </c:pt>
                <c:pt idx="31">
                  <c:v>12.928661395251101</c:v>
                </c:pt>
                <c:pt idx="32">
                  <c:v>5.19374890002101</c:v>
                </c:pt>
                <c:pt idx="33">
                  <c:v>9.7896494092492929</c:v>
                </c:pt>
                <c:pt idx="34">
                  <c:v>9.6937816474754932</c:v>
                </c:pt>
                <c:pt idx="35">
                  <c:v>9.3791351413857367</c:v>
                </c:pt>
                <c:pt idx="36">
                  <c:v>21.458326528291988</c:v>
                </c:pt>
                <c:pt idx="37">
                  <c:v>9.2079166282216889</c:v>
                </c:pt>
                <c:pt idx="38">
                  <c:v>32.274949248528458</c:v>
                </c:pt>
                <c:pt idx="39">
                  <c:v>32.487710968594115</c:v>
                </c:pt>
                <c:pt idx="40">
                  <c:v>30.201835056062887</c:v>
                </c:pt>
                <c:pt idx="41">
                  <c:v>16.8601803782269</c:v>
                </c:pt>
                <c:pt idx="42">
                  <c:v>25.615457492060813</c:v>
                </c:pt>
                <c:pt idx="43">
                  <c:v>30.280738158894877</c:v>
                </c:pt>
                <c:pt idx="44">
                  <c:v>14.831015004484245</c:v>
                </c:pt>
                <c:pt idx="45">
                  <c:v>18.646962204694258</c:v>
                </c:pt>
                <c:pt idx="46">
                  <c:v>9.7682277701734233</c:v>
                </c:pt>
                <c:pt idx="47">
                  <c:v>10.568484518825365</c:v>
                </c:pt>
                <c:pt idx="48">
                  <c:v>26.914539517220888</c:v>
                </c:pt>
                <c:pt idx="49">
                  <c:v>19.505590787531677</c:v>
                </c:pt>
                <c:pt idx="50">
                  <c:v>18.605595364299951</c:v>
                </c:pt>
                <c:pt idx="51">
                  <c:v>20.568485213230517</c:v>
                </c:pt>
                <c:pt idx="52">
                  <c:v>31.791767477431264</c:v>
                </c:pt>
                <c:pt idx="53">
                  <c:v>32.895580753393723</c:v>
                </c:pt>
                <c:pt idx="54">
                  <c:v>20.224340572116411</c:v>
                </c:pt>
                <c:pt idx="55">
                  <c:v>29.456940393159492</c:v>
                </c:pt>
                <c:pt idx="56">
                  <c:v>37.935683701849221</c:v>
                </c:pt>
                <c:pt idx="57">
                  <c:v>26.437812633686939</c:v>
                </c:pt>
                <c:pt idx="58">
                  <c:v>32.669520157815988</c:v>
                </c:pt>
                <c:pt idx="59">
                  <c:v>37.924606793998215</c:v>
                </c:pt>
                <c:pt idx="60">
                  <c:v>10.444024945565424</c:v>
                </c:pt>
                <c:pt idx="61">
                  <c:v>33.660447913684685</c:v>
                </c:pt>
                <c:pt idx="62">
                  <c:v>3.8716750614761417</c:v>
                </c:pt>
                <c:pt idx="63">
                  <c:v>12.817488397430793</c:v>
                </c:pt>
                <c:pt idx="64">
                  <c:v>15.314752477020647</c:v>
                </c:pt>
                <c:pt idx="65">
                  <c:v>35.771378459787122</c:v>
                </c:pt>
                <c:pt idx="66">
                  <c:v>30.914595565318269</c:v>
                </c:pt>
                <c:pt idx="67">
                  <c:v>27.585425360737261</c:v>
                </c:pt>
                <c:pt idx="68">
                  <c:v>23.96386304502655</c:v>
                </c:pt>
                <c:pt idx="69">
                  <c:v>15.206188109853068</c:v>
                </c:pt>
                <c:pt idx="70">
                  <c:v>14.128959824155983</c:v>
                </c:pt>
                <c:pt idx="71">
                  <c:v>9.5906891053951764</c:v>
                </c:pt>
                <c:pt idx="72">
                  <c:v>13.820937967005008</c:v>
                </c:pt>
                <c:pt idx="73">
                  <c:v>13.843915149590149</c:v>
                </c:pt>
                <c:pt idx="74">
                  <c:v>12.47805674275719</c:v>
                </c:pt>
                <c:pt idx="75">
                  <c:v>10.409694468676543</c:v>
                </c:pt>
                <c:pt idx="76">
                  <c:v>13.879179450354096</c:v>
                </c:pt>
                <c:pt idx="77">
                  <c:v>28.166845274827963</c:v>
                </c:pt>
                <c:pt idx="78">
                  <c:v>29.092406015674332</c:v>
                </c:pt>
                <c:pt idx="79">
                  <c:v>42.418866541344009</c:v>
                </c:pt>
                <c:pt idx="80">
                  <c:v>39.915725892969995</c:v>
                </c:pt>
                <c:pt idx="81">
                  <c:v>45.80016381910179</c:v>
                </c:pt>
                <c:pt idx="82">
                  <c:v>44.820213082859091</c:v>
                </c:pt>
                <c:pt idx="83">
                  <c:v>39.260937145038525</c:v>
                </c:pt>
                <c:pt idx="84">
                  <c:v>44.186716055459591</c:v>
                </c:pt>
                <c:pt idx="85">
                  <c:v>43.040774676796062</c:v>
                </c:pt>
                <c:pt idx="86">
                  <c:v>33.699239979804808</c:v>
                </c:pt>
                <c:pt idx="87">
                  <c:v>26.542004683100433</c:v>
                </c:pt>
                <c:pt idx="88">
                  <c:v>7.464325726792258</c:v>
                </c:pt>
                <c:pt idx="89">
                  <c:v>27.20190931114001</c:v>
                </c:pt>
                <c:pt idx="90">
                  <c:v>29.768738766839974</c:v>
                </c:pt>
                <c:pt idx="91">
                  <c:v>20.294543026757516</c:v>
                </c:pt>
                <c:pt idx="92">
                  <c:v>21.986911836186724</c:v>
                </c:pt>
                <c:pt idx="93">
                  <c:v>46.239786556776387</c:v>
                </c:pt>
                <c:pt idx="94">
                  <c:v>49.149791532119437</c:v>
                </c:pt>
                <c:pt idx="95">
                  <c:v>10.767414836883116</c:v>
                </c:pt>
                <c:pt idx="96">
                  <c:v>36.807220978397687</c:v>
                </c:pt>
                <c:pt idx="97">
                  <c:v>30.31934390290796</c:v>
                </c:pt>
                <c:pt idx="98">
                  <c:v>33.759695912203448</c:v>
                </c:pt>
                <c:pt idx="99">
                  <c:v>50.836832402798727</c:v>
                </c:pt>
                <c:pt idx="100">
                  <c:v>42.690376438483419</c:v>
                </c:pt>
                <c:pt idx="101">
                  <c:v>34.621133962269653</c:v>
                </c:pt>
                <c:pt idx="102">
                  <c:v>6.9422841994093272</c:v>
                </c:pt>
                <c:pt idx="103">
                  <c:v>37.52714880360174</c:v>
                </c:pt>
                <c:pt idx="104">
                  <c:v>43.006720516301741</c:v>
                </c:pt>
                <c:pt idx="105">
                  <c:v>41.499581930596428</c:v>
                </c:pt>
                <c:pt idx="106">
                  <c:v>50.689889208254179</c:v>
                </c:pt>
                <c:pt idx="107">
                  <c:v>35.063384778375443</c:v>
                </c:pt>
                <c:pt idx="108">
                  <c:v>8.3821488715727011</c:v>
                </c:pt>
                <c:pt idx="109">
                  <c:v>9.5921067141956176</c:v>
                </c:pt>
                <c:pt idx="110">
                  <c:v>8.8665898384043391</c:v>
                </c:pt>
                <c:pt idx="111">
                  <c:v>25.948865779498046</c:v>
                </c:pt>
                <c:pt idx="112">
                  <c:v>8.978765965844774</c:v>
                </c:pt>
                <c:pt idx="113">
                  <c:v>28.490254417576899</c:v>
                </c:pt>
                <c:pt idx="114">
                  <c:v>43.843449456499677</c:v>
                </c:pt>
                <c:pt idx="115">
                  <c:v>51.040538717555876</c:v>
                </c:pt>
                <c:pt idx="116">
                  <c:v>38.44738720386534</c:v>
                </c:pt>
                <c:pt idx="117">
                  <c:v>19.13752976056686</c:v>
                </c:pt>
                <c:pt idx="118">
                  <c:v>38.511683347609761</c:v>
                </c:pt>
                <c:pt idx="119">
                  <c:v>43.256057918383959</c:v>
                </c:pt>
                <c:pt idx="120">
                  <c:v>46.881152553759023</c:v>
                </c:pt>
                <c:pt idx="121">
                  <c:v>30.137282237315791</c:v>
                </c:pt>
                <c:pt idx="122">
                  <c:v>35.908338568336085</c:v>
                </c:pt>
                <c:pt idx="123">
                  <c:v>19.918429852400049</c:v>
                </c:pt>
                <c:pt idx="124">
                  <c:v>41.749336377431554</c:v>
                </c:pt>
                <c:pt idx="125">
                  <c:v>38.192250725477287</c:v>
                </c:pt>
                <c:pt idx="126">
                  <c:v>51.931353526869579</c:v>
                </c:pt>
                <c:pt idx="127">
                  <c:v>49.421118334217361</c:v>
                </c:pt>
                <c:pt idx="128">
                  <c:v>51.715521425072779</c:v>
                </c:pt>
                <c:pt idx="129">
                  <c:v>51.384091378962502</c:v>
                </c:pt>
                <c:pt idx="130">
                  <c:v>55.465911990577624</c:v>
                </c:pt>
                <c:pt idx="131">
                  <c:v>40.442380699989251</c:v>
                </c:pt>
                <c:pt idx="132">
                  <c:v>41.136847252704619</c:v>
                </c:pt>
                <c:pt idx="133">
                  <c:v>49.769949757525843</c:v>
                </c:pt>
                <c:pt idx="134">
                  <c:v>52.654472928424788</c:v>
                </c:pt>
                <c:pt idx="135">
                  <c:v>50.190662038328021</c:v>
                </c:pt>
                <c:pt idx="136">
                  <c:v>53.44699119578366</c:v>
                </c:pt>
                <c:pt idx="137">
                  <c:v>51.414323763139784</c:v>
                </c:pt>
                <c:pt idx="138">
                  <c:v>54.265206866449418</c:v>
                </c:pt>
                <c:pt idx="139">
                  <c:v>49.16203916227996</c:v>
                </c:pt>
                <c:pt idx="140">
                  <c:v>49.079280291253404</c:v>
                </c:pt>
                <c:pt idx="141">
                  <c:v>37.144928543812576</c:v>
                </c:pt>
                <c:pt idx="142">
                  <c:v>19.365791158674853</c:v>
                </c:pt>
                <c:pt idx="143">
                  <c:v>16.791171892345385</c:v>
                </c:pt>
                <c:pt idx="144">
                  <c:v>39.38264614042307</c:v>
                </c:pt>
                <c:pt idx="145">
                  <c:v>23.879421288589754</c:v>
                </c:pt>
                <c:pt idx="146">
                  <c:v>44.417922349248812</c:v>
                </c:pt>
                <c:pt idx="147">
                  <c:v>53.518981676430521</c:v>
                </c:pt>
                <c:pt idx="148">
                  <c:v>57.682524135362591</c:v>
                </c:pt>
                <c:pt idx="149">
                  <c:v>49.12032826599728</c:v>
                </c:pt>
                <c:pt idx="150">
                  <c:v>52.164473847635186</c:v>
                </c:pt>
                <c:pt idx="151">
                  <c:v>54.496758794741609</c:v>
                </c:pt>
                <c:pt idx="152">
                  <c:v>43.777897571796515</c:v>
                </c:pt>
                <c:pt idx="153">
                  <c:v>53.351162112886136</c:v>
                </c:pt>
                <c:pt idx="154">
                  <c:v>24.091836763982943</c:v>
                </c:pt>
                <c:pt idx="155">
                  <c:v>33.233788332306268</c:v>
                </c:pt>
                <c:pt idx="156">
                  <c:v>46.80498592525602</c:v>
                </c:pt>
                <c:pt idx="157">
                  <c:v>24.400596081599808</c:v>
                </c:pt>
                <c:pt idx="158">
                  <c:v>19.948727344307169</c:v>
                </c:pt>
                <c:pt idx="159">
                  <c:v>45.586143325919004</c:v>
                </c:pt>
                <c:pt idx="160">
                  <c:v>55.631747308662213</c:v>
                </c:pt>
                <c:pt idx="161">
                  <c:v>54.394577466679344</c:v>
                </c:pt>
                <c:pt idx="162">
                  <c:v>41.620620073697829</c:v>
                </c:pt>
                <c:pt idx="163">
                  <c:v>52.698561317508343</c:v>
                </c:pt>
                <c:pt idx="164">
                  <c:v>48.063226179862113</c:v>
                </c:pt>
                <c:pt idx="165">
                  <c:v>52.42831838493958</c:v>
                </c:pt>
                <c:pt idx="166">
                  <c:v>50.385866162543749</c:v>
                </c:pt>
                <c:pt idx="167">
                  <c:v>50.454445344006722</c:v>
                </c:pt>
                <c:pt idx="168">
                  <c:v>53.759519236972579</c:v>
                </c:pt>
                <c:pt idx="169">
                  <c:v>54.856329783473726</c:v>
                </c:pt>
                <c:pt idx="170">
                  <c:v>30.549718403778463</c:v>
                </c:pt>
                <c:pt idx="171">
                  <c:v>22.814395874426726</c:v>
                </c:pt>
                <c:pt idx="172">
                  <c:v>38.160193256652178</c:v>
                </c:pt>
                <c:pt idx="173">
                  <c:v>40.757158172440754</c:v>
                </c:pt>
                <c:pt idx="174">
                  <c:v>38.952451403271198</c:v>
                </c:pt>
                <c:pt idx="175">
                  <c:v>34.279072365130226</c:v>
                </c:pt>
                <c:pt idx="176">
                  <c:v>11.5013686930532</c:v>
                </c:pt>
                <c:pt idx="177">
                  <c:v>12.554403364321232</c:v>
                </c:pt>
                <c:pt idx="178">
                  <c:v>56.991946871038664</c:v>
                </c:pt>
                <c:pt idx="179">
                  <c:v>54.107282337901552</c:v>
                </c:pt>
                <c:pt idx="180">
                  <c:v>13.452653563686685</c:v>
                </c:pt>
                <c:pt idx="181">
                  <c:v>48.427181587618271</c:v>
                </c:pt>
                <c:pt idx="182">
                  <c:v>53.946013574188314</c:v>
                </c:pt>
                <c:pt idx="183">
                  <c:v>44.951342886912286</c:v>
                </c:pt>
                <c:pt idx="184">
                  <c:v>42.657676652688728</c:v>
                </c:pt>
                <c:pt idx="185">
                  <c:v>53.446544299992766</c:v>
                </c:pt>
                <c:pt idx="186">
                  <c:v>45.897665659730094</c:v>
                </c:pt>
                <c:pt idx="187">
                  <c:v>52.714306955285018</c:v>
                </c:pt>
                <c:pt idx="188">
                  <c:v>55.437824117114154</c:v>
                </c:pt>
                <c:pt idx="189">
                  <c:v>54.722684701507312</c:v>
                </c:pt>
                <c:pt idx="190">
                  <c:v>54.025402796327938</c:v>
                </c:pt>
                <c:pt idx="191">
                  <c:v>52.595396253988291</c:v>
                </c:pt>
                <c:pt idx="192">
                  <c:v>52.690361873383964</c:v>
                </c:pt>
                <c:pt idx="193">
                  <c:v>52.06846413320126</c:v>
                </c:pt>
                <c:pt idx="194">
                  <c:v>51.511024059528275</c:v>
                </c:pt>
                <c:pt idx="195">
                  <c:v>49.787580299329953</c:v>
                </c:pt>
                <c:pt idx="196">
                  <c:v>51.160623365289702</c:v>
                </c:pt>
                <c:pt idx="197">
                  <c:v>50.753880931622078</c:v>
                </c:pt>
                <c:pt idx="198">
                  <c:v>52.597784180848947</c:v>
                </c:pt>
                <c:pt idx="199">
                  <c:v>42.196736989618664</c:v>
                </c:pt>
                <c:pt idx="200">
                  <c:v>42.619786447030819</c:v>
                </c:pt>
                <c:pt idx="201">
                  <c:v>50.122891516962717</c:v>
                </c:pt>
                <c:pt idx="202">
                  <c:v>39.954969161329025</c:v>
                </c:pt>
                <c:pt idx="203">
                  <c:v>44.650077529403063</c:v>
                </c:pt>
                <c:pt idx="204">
                  <c:v>50.076725789194853</c:v>
                </c:pt>
                <c:pt idx="205">
                  <c:v>25.590772049531044</c:v>
                </c:pt>
                <c:pt idx="206">
                  <c:v>53.792231291589694</c:v>
                </c:pt>
                <c:pt idx="207">
                  <c:v>53.799359477568814</c:v>
                </c:pt>
                <c:pt idx="208">
                  <c:v>43.173819372687618</c:v>
                </c:pt>
                <c:pt idx="209">
                  <c:v>29.2046997247385</c:v>
                </c:pt>
                <c:pt idx="210">
                  <c:v>49.149112817556059</c:v>
                </c:pt>
                <c:pt idx="211">
                  <c:v>51.797978823283408</c:v>
                </c:pt>
                <c:pt idx="212">
                  <c:v>50.89288602758694</c:v>
                </c:pt>
                <c:pt idx="213">
                  <c:v>51.094102759600901</c:v>
                </c:pt>
                <c:pt idx="214">
                  <c:v>48.954914044932941</c:v>
                </c:pt>
                <c:pt idx="215">
                  <c:v>45.937556255995368</c:v>
                </c:pt>
                <c:pt idx="216">
                  <c:v>42.738919011769575</c:v>
                </c:pt>
                <c:pt idx="217">
                  <c:v>46.831755794553303</c:v>
                </c:pt>
                <c:pt idx="218">
                  <c:v>49.775630851292519</c:v>
                </c:pt>
                <c:pt idx="219">
                  <c:v>50.573501684505075</c:v>
                </c:pt>
                <c:pt idx="220">
                  <c:v>48.880592189951479</c:v>
                </c:pt>
                <c:pt idx="221">
                  <c:v>46.866637554798842</c:v>
                </c:pt>
                <c:pt idx="222">
                  <c:v>43.127249451584447</c:v>
                </c:pt>
                <c:pt idx="223">
                  <c:v>45.260244657772205</c:v>
                </c:pt>
                <c:pt idx="224">
                  <c:v>31.527063741111519</c:v>
                </c:pt>
                <c:pt idx="225">
                  <c:v>32.777192252942349</c:v>
                </c:pt>
                <c:pt idx="226">
                  <c:v>37.582129774247498</c:v>
                </c:pt>
                <c:pt idx="227">
                  <c:v>31.568925570533519</c:v>
                </c:pt>
                <c:pt idx="228">
                  <c:v>21.699957769616486</c:v>
                </c:pt>
                <c:pt idx="229">
                  <c:v>37.75845030036546</c:v>
                </c:pt>
                <c:pt idx="230">
                  <c:v>39.094580968295922</c:v>
                </c:pt>
                <c:pt idx="231">
                  <c:v>46.557696670801853</c:v>
                </c:pt>
                <c:pt idx="232">
                  <c:v>31.385725766326189</c:v>
                </c:pt>
                <c:pt idx="233">
                  <c:v>24.452745535989244</c:v>
                </c:pt>
                <c:pt idx="234">
                  <c:v>43.739089050203006</c:v>
                </c:pt>
                <c:pt idx="235">
                  <c:v>45.189949165734397</c:v>
                </c:pt>
                <c:pt idx="236">
                  <c:v>32.244557273764791</c:v>
                </c:pt>
                <c:pt idx="237">
                  <c:v>40.507610160761068</c:v>
                </c:pt>
                <c:pt idx="238">
                  <c:v>47.725050549886078</c:v>
                </c:pt>
                <c:pt idx="239">
                  <c:v>46.836444628887506</c:v>
                </c:pt>
                <c:pt idx="240">
                  <c:v>31.577455414039189</c:v>
                </c:pt>
                <c:pt idx="241">
                  <c:v>45.849956087311739</c:v>
                </c:pt>
                <c:pt idx="242">
                  <c:v>21.578629773506933</c:v>
                </c:pt>
                <c:pt idx="243">
                  <c:v>41.596077676723588</c:v>
                </c:pt>
                <c:pt idx="244">
                  <c:v>38.153573846070884</c:v>
                </c:pt>
                <c:pt idx="245">
                  <c:v>31.855990794720949</c:v>
                </c:pt>
                <c:pt idx="246">
                  <c:v>46.202486700334781</c:v>
                </c:pt>
                <c:pt idx="247">
                  <c:v>39.057963835868399</c:v>
                </c:pt>
                <c:pt idx="248">
                  <c:v>44.294805202396013</c:v>
                </c:pt>
                <c:pt idx="249">
                  <c:v>34.462993882405712</c:v>
                </c:pt>
                <c:pt idx="250">
                  <c:v>37.738312015981627</c:v>
                </c:pt>
                <c:pt idx="251">
                  <c:v>21.008488343732306</c:v>
                </c:pt>
                <c:pt idx="252">
                  <c:v>44.380699198295218</c:v>
                </c:pt>
                <c:pt idx="253">
                  <c:v>44.90189901064776</c:v>
                </c:pt>
                <c:pt idx="254">
                  <c:v>31.446592439138961</c:v>
                </c:pt>
                <c:pt idx="255">
                  <c:v>11.150271426482592</c:v>
                </c:pt>
                <c:pt idx="256">
                  <c:v>37.001128789350879</c:v>
                </c:pt>
                <c:pt idx="257">
                  <c:v>40.642430065897813</c:v>
                </c:pt>
                <c:pt idx="258">
                  <c:v>27.059441984974992</c:v>
                </c:pt>
                <c:pt idx="259">
                  <c:v>46.794507687524622</c:v>
                </c:pt>
                <c:pt idx="260">
                  <c:v>45.242602173853733</c:v>
                </c:pt>
                <c:pt idx="261">
                  <c:v>44.076047668703474</c:v>
                </c:pt>
                <c:pt idx="262">
                  <c:v>45.40434424040469</c:v>
                </c:pt>
                <c:pt idx="263">
                  <c:v>44.297292751810168</c:v>
                </c:pt>
                <c:pt idx="264">
                  <c:v>43.142763655085695</c:v>
                </c:pt>
                <c:pt idx="265">
                  <c:v>27.258026453834894</c:v>
                </c:pt>
                <c:pt idx="266">
                  <c:v>17.086988753379213</c:v>
                </c:pt>
                <c:pt idx="267">
                  <c:v>30.246878243604229</c:v>
                </c:pt>
                <c:pt idx="268">
                  <c:v>32.619148008834593</c:v>
                </c:pt>
                <c:pt idx="269">
                  <c:v>14.743212050355256</c:v>
                </c:pt>
                <c:pt idx="270">
                  <c:v>16.940388570948429</c:v>
                </c:pt>
                <c:pt idx="271">
                  <c:v>23.2331723959024</c:v>
                </c:pt>
                <c:pt idx="272">
                  <c:v>28.389997933939643</c:v>
                </c:pt>
                <c:pt idx="273">
                  <c:v>34.046763111238235</c:v>
                </c:pt>
                <c:pt idx="274">
                  <c:v>37.951722693457874</c:v>
                </c:pt>
                <c:pt idx="275">
                  <c:v>34.518210597263909</c:v>
                </c:pt>
                <c:pt idx="276">
                  <c:v>38.839834585250848</c:v>
                </c:pt>
                <c:pt idx="277">
                  <c:v>40.058084831955036</c:v>
                </c:pt>
                <c:pt idx="278">
                  <c:v>11.693627224494557</c:v>
                </c:pt>
                <c:pt idx="279">
                  <c:v>28.580994477707879</c:v>
                </c:pt>
                <c:pt idx="280">
                  <c:v>15.577326382494867</c:v>
                </c:pt>
                <c:pt idx="281">
                  <c:v>36.635999397251965</c:v>
                </c:pt>
                <c:pt idx="282">
                  <c:v>30.193745251852551</c:v>
                </c:pt>
                <c:pt idx="283">
                  <c:v>21.955859490752818</c:v>
                </c:pt>
                <c:pt idx="284">
                  <c:v>27.421962273459538</c:v>
                </c:pt>
                <c:pt idx="285">
                  <c:v>22.629630630350139</c:v>
                </c:pt>
                <c:pt idx="286">
                  <c:v>19.207636202359058</c:v>
                </c:pt>
                <c:pt idx="287">
                  <c:v>35.568882924829801</c:v>
                </c:pt>
                <c:pt idx="288">
                  <c:v>31.942624287870746</c:v>
                </c:pt>
                <c:pt idx="289">
                  <c:v>19.382543398359442</c:v>
                </c:pt>
                <c:pt idx="290">
                  <c:v>32.90006494213889</c:v>
                </c:pt>
                <c:pt idx="291">
                  <c:v>15.15378970408304</c:v>
                </c:pt>
                <c:pt idx="292">
                  <c:v>6.2776097941947411</c:v>
                </c:pt>
                <c:pt idx="293">
                  <c:v>15.898721358760778</c:v>
                </c:pt>
                <c:pt idx="294">
                  <c:v>31.737725401862576</c:v>
                </c:pt>
                <c:pt idx="295">
                  <c:v>16.5386340012749</c:v>
                </c:pt>
                <c:pt idx="296">
                  <c:v>24.51354098499348</c:v>
                </c:pt>
                <c:pt idx="297">
                  <c:v>21.14038439513488</c:v>
                </c:pt>
                <c:pt idx="298">
                  <c:v>13.250683641725681</c:v>
                </c:pt>
                <c:pt idx="299">
                  <c:v>14.152512583820855</c:v>
                </c:pt>
                <c:pt idx="300">
                  <c:v>16.711482189689313</c:v>
                </c:pt>
                <c:pt idx="301">
                  <c:v>26.241131655893859</c:v>
                </c:pt>
                <c:pt idx="302">
                  <c:v>21.706224036152438</c:v>
                </c:pt>
                <c:pt idx="303">
                  <c:v>21.19005656071992</c:v>
                </c:pt>
                <c:pt idx="304">
                  <c:v>22.539622152185363</c:v>
                </c:pt>
                <c:pt idx="305">
                  <c:v>27.088166572083441</c:v>
                </c:pt>
                <c:pt idx="306">
                  <c:v>9.3011035702680598</c:v>
                </c:pt>
                <c:pt idx="307">
                  <c:v>16.311750195744121</c:v>
                </c:pt>
                <c:pt idx="308">
                  <c:v>28.402937763852702</c:v>
                </c:pt>
                <c:pt idx="309">
                  <c:v>29.260535029304702</c:v>
                </c:pt>
                <c:pt idx="310">
                  <c:v>27.040213980636402</c:v>
                </c:pt>
                <c:pt idx="311">
                  <c:v>20.357659140506854</c:v>
                </c:pt>
                <c:pt idx="312">
                  <c:v>9.5188717398857232</c:v>
                </c:pt>
                <c:pt idx="313">
                  <c:v>19.767010020414407</c:v>
                </c:pt>
                <c:pt idx="314">
                  <c:v>26.770907350148502</c:v>
                </c:pt>
                <c:pt idx="315">
                  <c:v>26.814631048004504</c:v>
                </c:pt>
                <c:pt idx="316">
                  <c:v>25.901154582453003</c:v>
                </c:pt>
                <c:pt idx="317">
                  <c:v>9.1199827581841006</c:v>
                </c:pt>
                <c:pt idx="318">
                  <c:v>11.858718858111919</c:v>
                </c:pt>
                <c:pt idx="319">
                  <c:v>26.327172047821946</c:v>
                </c:pt>
                <c:pt idx="320">
                  <c:v>12.322801338132065</c:v>
                </c:pt>
                <c:pt idx="321">
                  <c:v>14.626213564467415</c:v>
                </c:pt>
                <c:pt idx="322">
                  <c:v>7.4903939924288441</c:v>
                </c:pt>
                <c:pt idx="323">
                  <c:v>14.970528254040072</c:v>
                </c:pt>
                <c:pt idx="324">
                  <c:v>3.1636842280346933</c:v>
                </c:pt>
                <c:pt idx="325">
                  <c:v>7.8645284560600111</c:v>
                </c:pt>
                <c:pt idx="326">
                  <c:v>11.7861255670538</c:v>
                </c:pt>
                <c:pt idx="327">
                  <c:v>12.972136604236077</c:v>
                </c:pt>
                <c:pt idx="328">
                  <c:v>5.0228510889364077</c:v>
                </c:pt>
                <c:pt idx="329">
                  <c:v>10.06820072213408</c:v>
                </c:pt>
                <c:pt idx="330">
                  <c:v>14.321519618544793</c:v>
                </c:pt>
                <c:pt idx="331">
                  <c:v>10.381080606190441</c:v>
                </c:pt>
                <c:pt idx="332">
                  <c:v>14.443424758600253</c:v>
                </c:pt>
                <c:pt idx="333">
                  <c:v>4.0239416254811164</c:v>
                </c:pt>
                <c:pt idx="334">
                  <c:v>3.462428604938498</c:v>
                </c:pt>
                <c:pt idx="335">
                  <c:v>5.7415909279042134</c:v>
                </c:pt>
                <c:pt idx="336">
                  <c:v>8.5761170165212253</c:v>
                </c:pt>
                <c:pt idx="337">
                  <c:v>17.027318618450725</c:v>
                </c:pt>
                <c:pt idx="338">
                  <c:v>23.175344068633436</c:v>
                </c:pt>
                <c:pt idx="339">
                  <c:v>10.733029073603895</c:v>
                </c:pt>
                <c:pt idx="340">
                  <c:v>19.47420219409781</c:v>
                </c:pt>
                <c:pt idx="341">
                  <c:v>4.0202684978065113</c:v>
                </c:pt>
                <c:pt idx="342">
                  <c:v>4.8641472274509292</c:v>
                </c:pt>
                <c:pt idx="343">
                  <c:v>11.449583985611369</c:v>
                </c:pt>
                <c:pt idx="344">
                  <c:v>15.995097664957886</c:v>
                </c:pt>
                <c:pt idx="345">
                  <c:v>5.5704037706329519</c:v>
                </c:pt>
                <c:pt idx="346">
                  <c:v>5.2876783001137806</c:v>
                </c:pt>
                <c:pt idx="347">
                  <c:v>16.777751454892954</c:v>
                </c:pt>
                <c:pt idx="348">
                  <c:v>5.5651387877621961</c:v>
                </c:pt>
                <c:pt idx="349">
                  <c:v>4.7419386354894542</c:v>
                </c:pt>
                <c:pt idx="350">
                  <c:v>3.4652365163289538</c:v>
                </c:pt>
                <c:pt idx="351">
                  <c:v>20.807834489937861</c:v>
                </c:pt>
                <c:pt idx="352">
                  <c:v>16.838436723189499</c:v>
                </c:pt>
                <c:pt idx="353">
                  <c:v>4.4264068080705892</c:v>
                </c:pt>
                <c:pt idx="354">
                  <c:v>19.962930483830732</c:v>
                </c:pt>
                <c:pt idx="355">
                  <c:v>16.497648324497835</c:v>
                </c:pt>
                <c:pt idx="356">
                  <c:v>17.036789314316824</c:v>
                </c:pt>
                <c:pt idx="357">
                  <c:v>20.473614408303394</c:v>
                </c:pt>
                <c:pt idx="358">
                  <c:v>12.181397253489568</c:v>
                </c:pt>
                <c:pt idx="359">
                  <c:v>20.757395510955632</c:v>
                </c:pt>
                <c:pt idx="360">
                  <c:v>7.4804694552913267</c:v>
                </c:pt>
                <c:pt idx="361">
                  <c:v>19.937678025788657</c:v>
                </c:pt>
                <c:pt idx="362">
                  <c:v>9.8007197647017037</c:v>
                </c:pt>
                <c:pt idx="363">
                  <c:v>12.90439394180782</c:v>
                </c:pt>
                <c:pt idx="364">
                  <c:v>11.974603696932881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73752"/>
        <c:axId val="357274144"/>
      </c:lineChart>
      <c:dateAx>
        <c:axId val="357273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4144"/>
        <c:crosses val="autoZero"/>
        <c:auto val="1"/>
        <c:lblOffset val="100"/>
        <c:baseTimeUnit val="days"/>
        <c:majorUnit val="1"/>
        <c:majorTimeUnit val="months"/>
      </c:dateAx>
      <c:valAx>
        <c:axId val="3572741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37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Garderie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51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Masques!$AA$56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Masques!$AA$57:$AA$80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5.0627258977557856</c:v>
                </c:pt>
                <c:pt idx="3">
                  <c:v>8.73171949212926</c:v>
                </c:pt>
                <c:pt idx="4">
                  <c:v>8.0678386648466702</c:v>
                </c:pt>
                <c:pt idx="5">
                  <c:v>8.3557152493257512</c:v>
                </c:pt>
                <c:pt idx="6">
                  <c:v>8.0581574014382564</c:v>
                </c:pt>
                <c:pt idx="7">
                  <c:v>8.2715132725246985</c:v>
                </c:pt>
                <c:pt idx="8">
                  <c:v>5.6076172114512319</c:v>
                </c:pt>
                <c:pt idx="9">
                  <c:v>10.586748509460785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Masques!$Z$56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Masques!$Z$57:$Z$80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4.4445133522811977</c:v>
                </c:pt>
                <c:pt idx="3">
                  <c:v>7.6599349934451482</c:v>
                </c:pt>
                <c:pt idx="4">
                  <c:v>7.3972734579457402</c:v>
                </c:pt>
                <c:pt idx="5">
                  <c:v>7.7204690571255838</c:v>
                </c:pt>
                <c:pt idx="6">
                  <c:v>6.140943618553564</c:v>
                </c:pt>
                <c:pt idx="7">
                  <c:v>7.2072712725908614</c:v>
                </c:pt>
                <c:pt idx="8">
                  <c:v>4.3716047690839384</c:v>
                </c:pt>
                <c:pt idx="9">
                  <c:v>9.8993652451429099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Masques!$Y$56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Masques!$Y$57:$Y$80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3.8252621572189676</c:v>
                </c:pt>
                <c:pt idx="3">
                  <c:v>6.5827309523564956</c:v>
                </c:pt>
                <c:pt idx="4">
                  <c:v>6.7246643365011094</c:v>
                </c:pt>
                <c:pt idx="5">
                  <c:v>7.0833075426879777</c:v>
                </c:pt>
                <c:pt idx="6">
                  <c:v>4.2098302344441336</c:v>
                </c:pt>
                <c:pt idx="7">
                  <c:v>6.1380066545587315</c:v>
                </c:pt>
                <c:pt idx="8">
                  <c:v>3.1315027138687968</c:v>
                </c:pt>
                <c:pt idx="9">
                  <c:v>9.2090916790635493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Masques!$X$56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Masques!$X$57:$X$80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3.2051146964836721</c:v>
                </c:pt>
                <c:pt idx="3">
                  <c:v>5.5008329390793929</c:v>
                </c:pt>
                <c:pt idx="4">
                  <c:v>6.0501881247839515</c:v>
                </c:pt>
                <c:pt idx="5">
                  <c:v>6.4443802983207119</c:v>
                </c:pt>
                <c:pt idx="6">
                  <c:v>2.2690909462967142</c:v>
                </c:pt>
                <c:pt idx="7">
                  <c:v>5.0644333567537405</c:v>
                </c:pt>
                <c:pt idx="8">
                  <c:v>1.8884572760714167</c:v>
                </c:pt>
                <c:pt idx="9">
                  <c:v>8.5161111316969738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Masques!$W$56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Masques!$W$57:$W$80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2.5842146060394704</c:v>
                </c:pt>
                <c:pt idx="3">
                  <c:v>4.4149862319355577</c:v>
                </c:pt>
                <c:pt idx="4">
                  <c:v>5.3740246988833285</c:v>
                </c:pt>
                <c:pt idx="5">
                  <c:v>5.8038395023505096</c:v>
                </c:pt>
                <c:pt idx="6">
                  <c:v>1</c:v>
                </c:pt>
                <c:pt idx="7">
                  <c:v>3.9872831682494478</c:v>
                </c:pt>
                <c:pt idx="8">
                  <c:v>1</c:v>
                </c:pt>
                <c:pt idx="9">
                  <c:v>7.8206115303318198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Masques!$V$56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Masques!$V$57:$V$80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1.9627065774564294</c:v>
                </c:pt>
                <c:pt idx="3">
                  <c:v>3.3259528893225832</c:v>
                </c:pt>
                <c:pt idx="4">
                  <c:v>4.696356714752798</c:v>
                </c:pt>
                <c:pt idx="5">
                  <c:v>5.1618397152417588</c:v>
                </c:pt>
                <c:pt idx="6">
                  <c:v>1</c:v>
                </c:pt>
                <c:pt idx="7">
                  <c:v>2.9073028621022723</c:v>
                </c:pt>
                <c:pt idx="8">
                  <c:v>1</c:v>
                </c:pt>
                <c:pt idx="9">
                  <c:v>7.1227851388083225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Masques!$U$56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Masques!$U$57:$U$80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1.3407361577831629</c:v>
                </c:pt>
                <c:pt idx="3">
                  <c:v>2.2345086459584587</c:v>
                </c:pt>
                <c:pt idx="4">
                  <c:v>4.0173693249894473</c:v>
                </c:pt>
                <c:pt idx="5">
                  <c:v>4.5185376670815902</c:v>
                </c:pt>
                <c:pt idx="6">
                  <c:v>1</c:v>
                </c:pt>
                <c:pt idx="7">
                  <c:v>1.825251173591806</c:v>
                </c:pt>
                <c:pt idx="8">
                  <c:v>1</c:v>
                </c:pt>
                <c:pt idx="9">
                  <c:v>6.422828269187419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Masques!$T$56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Masques!$T$57:$T$80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1.1414396638194959</c:v>
                </c:pt>
                <c:pt idx="4">
                  <c:v>3.337249885386826</c:v>
                </c:pt>
                <c:pt idx="5">
                  <c:v>3.8740920371171077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5.7209409762830896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Masques!$S$56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Masques!$S$57:$S$80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2.6561876523804475</c:v>
                </c:pt>
                <c:pt idx="5">
                  <c:v>3.2286632260840942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5.0173267361208564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Masques!$R$56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Masques!$R$57:$R$80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1.9743734725740234</c:v>
                </c:pt>
                <c:pt idx="5">
                  <c:v>2.5824131221156374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4.3121921095111064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Masques!$Q$56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Masques!$P$57:$P$80</c:f>
              <c:numCache>
                <c:formatCode>0.0</c:formatCode>
                <c:ptCount val="24"/>
                <c:pt idx="0">
                  <c:v>-129</c:v>
                </c:pt>
                <c:pt idx="1">
                  <c:v>-39</c:v>
                </c:pt>
                <c:pt idx="2">
                  <c:v>-13.201311636468532</c:v>
                </c:pt>
                <c:pt idx="3">
                  <c:v>0.18598908354174226</c:v>
                </c:pt>
                <c:pt idx="4">
                  <c:v>34.849351719732603</c:v>
                </c:pt>
                <c:pt idx="5">
                  <c:v>55.411389778041851</c:v>
                </c:pt>
                <c:pt idx="6">
                  <c:v>62.912389778041849</c:v>
                </c:pt>
                <c:pt idx="7">
                  <c:v>82.608781222097122</c:v>
                </c:pt>
                <c:pt idx="8">
                  <c:v>98.563405755975936</c:v>
                </c:pt>
                <c:pt idx="9">
                  <c:v>109.42940364472241</c:v>
                </c:pt>
                <c:pt idx="10">
                  <c:v>141</c:v>
                </c:pt>
                <c:pt idx="11">
                  <c:v>231</c:v>
                </c:pt>
                <c:pt idx="12">
                  <c:v>231</c:v>
                </c:pt>
                <c:pt idx="13">
                  <c:v>231</c:v>
                </c:pt>
                <c:pt idx="14">
                  <c:v>231</c:v>
                </c:pt>
                <c:pt idx="15">
                  <c:v>231</c:v>
                </c:pt>
                <c:pt idx="16">
                  <c:v>231</c:v>
                </c:pt>
                <c:pt idx="17">
                  <c:v>231</c:v>
                </c:pt>
                <c:pt idx="18">
                  <c:v>231</c:v>
                </c:pt>
                <c:pt idx="19">
                  <c:v>231</c:v>
                </c:pt>
                <c:pt idx="20">
                  <c:v>231</c:v>
                </c:pt>
                <c:pt idx="21">
                  <c:v>231</c:v>
                </c:pt>
                <c:pt idx="22">
                  <c:v>231</c:v>
                </c:pt>
                <c:pt idx="23">
                  <c:v>231</c:v>
                </c:pt>
              </c:numCache>
            </c:numRef>
          </c:xVal>
          <c:yVal>
            <c:numRef>
              <c:f>Masques!$Q$57:$Q$80</c:f>
              <c:numCache>
                <c:formatCode>0.0</c:formatCode>
                <c:ptCount val="24"/>
                <c:pt idx="0">
                  <c:v>18.262889942194128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1.2919994655957467</c:v>
                </c:pt>
                <c:pt idx="5">
                  <c:v>1.9355048610634349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3.6057463920445221</c:v>
                </c:pt>
                <c:pt idx="10">
                  <c:v>1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Masques!$AN$55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Masques!$AN$57:$AN$80</c:f>
              <c:numCache>
                <c:formatCode>0.0</c:formatCode>
                <c:ptCount val="24"/>
                <c:pt idx="0">
                  <c:v>-129</c:v>
                </c:pt>
                <c:pt idx="1">
                  <c:v>231</c:v>
                </c:pt>
                <c:pt idx="2">
                  <c:v>232</c:v>
                </c:pt>
                <c:pt idx="3">
                  <c:v>232</c:v>
                </c:pt>
                <c:pt idx="4">
                  <c:v>232</c:v>
                </c:pt>
                <c:pt idx="5">
                  <c:v>232</c:v>
                </c:pt>
                <c:pt idx="6">
                  <c:v>232</c:v>
                </c:pt>
                <c:pt idx="7">
                  <c:v>232</c:v>
                </c:pt>
                <c:pt idx="8">
                  <c:v>232</c:v>
                </c:pt>
                <c:pt idx="9">
                  <c:v>232</c:v>
                </c:pt>
                <c:pt idx="10">
                  <c:v>232</c:v>
                </c:pt>
                <c:pt idx="11">
                  <c:v>232</c:v>
                </c:pt>
                <c:pt idx="12">
                  <c:v>232</c:v>
                </c:pt>
                <c:pt idx="13">
                  <c:v>232</c:v>
                </c:pt>
                <c:pt idx="14">
                  <c:v>232</c:v>
                </c:pt>
                <c:pt idx="15">
                  <c:v>232</c:v>
                </c:pt>
                <c:pt idx="16">
                  <c:v>232</c:v>
                </c:pt>
                <c:pt idx="17">
                  <c:v>232</c:v>
                </c:pt>
                <c:pt idx="18">
                  <c:v>232</c:v>
                </c:pt>
                <c:pt idx="19">
                  <c:v>232</c:v>
                </c:pt>
                <c:pt idx="20">
                  <c:v>232</c:v>
                </c:pt>
                <c:pt idx="21">
                  <c:v>232</c:v>
                </c:pt>
                <c:pt idx="22">
                  <c:v>232</c:v>
                </c:pt>
                <c:pt idx="23">
                  <c:v>232</c:v>
                </c:pt>
              </c:numCache>
            </c:numRef>
          </c:xVal>
          <c:yVal>
            <c:numRef>
              <c:f>Masques!$AO$57:$AO$80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536872"/>
        <c:axId val="372536480"/>
      </c:scatterChart>
      <c:valAx>
        <c:axId val="37253687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72536480"/>
        <c:crosses val="autoZero"/>
        <c:crossBetween val="midCat"/>
        <c:majorUnit val="30"/>
      </c:valAx>
      <c:valAx>
        <c:axId val="37253648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687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6.6238177126627273E-2</c:v>
                </c:pt>
                <c:pt idx="1">
                  <c:v>6.6258628906984751E-2</c:v>
                </c:pt>
                <c:pt idx="2">
                  <c:v>6.6279080239395771E-2</c:v>
                </c:pt>
                <c:pt idx="3">
                  <c:v>6.6299531123870103E-2</c:v>
                </c:pt>
                <c:pt idx="4">
                  <c:v>6.6319981560417518E-2</c:v>
                </c:pt>
                <c:pt idx="5">
                  <c:v>6.6340431549048007E-2</c:v>
                </c:pt>
                <c:pt idx="6">
                  <c:v>6.6360881089771118E-2</c:v>
                </c:pt>
                <c:pt idx="7">
                  <c:v>6.6381330182596954E-2</c:v>
                </c:pt>
                <c:pt idx="8">
                  <c:v>6.6401778827535063E-2</c:v>
                </c:pt>
                <c:pt idx="9">
                  <c:v>6.6422227024595437E-2</c:v>
                </c:pt>
                <c:pt idx="10">
                  <c:v>6.6442674773787735E-2</c:v>
                </c:pt>
                <c:pt idx="11">
                  <c:v>6.646312207512195E-2</c:v>
                </c:pt>
                <c:pt idx="12">
                  <c:v>6.6483568928607739E-2</c:v>
                </c:pt>
                <c:pt idx="13">
                  <c:v>6.6504015334254984E-2</c:v>
                </c:pt>
                <c:pt idx="14">
                  <c:v>6.6524461292073456E-2</c:v>
                </c:pt>
                <c:pt idx="15">
                  <c:v>6.6544906802072923E-2</c:v>
                </c:pt>
                <c:pt idx="16">
                  <c:v>6.6565351864263378E-2</c:v>
                </c:pt>
                <c:pt idx="17">
                  <c:v>6.6585796478654369E-2</c:v>
                </c:pt>
                <c:pt idx="18">
                  <c:v>6.6606240645255888E-2</c:v>
                </c:pt>
                <c:pt idx="19">
                  <c:v>6.6626684364077704E-2</c:v>
                </c:pt>
                <c:pt idx="20">
                  <c:v>6.6647127635129588E-2</c:v>
                </c:pt>
                <c:pt idx="21">
                  <c:v>6.6667570458421421E-2</c:v>
                </c:pt>
                <c:pt idx="22">
                  <c:v>6.6688012833962862E-2</c:v>
                </c:pt>
                <c:pt idx="23">
                  <c:v>6.6708454761763902E-2</c:v>
                </c:pt>
                <c:pt idx="24">
                  <c:v>6.6728896241834201E-2</c:v>
                </c:pt>
                <c:pt idx="25">
                  <c:v>6.6749337274183751E-2</c:v>
                </c:pt>
                <c:pt idx="26">
                  <c:v>6.6769777858822099E-2</c:v>
                </c:pt>
                <c:pt idx="27">
                  <c:v>6.6790217995759238E-2</c:v>
                </c:pt>
                <c:pt idx="28">
                  <c:v>6.6810657685004826E-2</c:v>
                </c:pt>
                <c:pt idx="29">
                  <c:v>6.6831096926568856E-2</c:v>
                </c:pt>
                <c:pt idx="30">
                  <c:v>6.6851535720461097E-2</c:v>
                </c:pt>
                <c:pt idx="31">
                  <c:v>6.6871974066691209E-2</c:v>
                </c:pt>
                <c:pt idx="32">
                  <c:v>6.6892411965269072E-2</c:v>
                </c:pt>
                <c:pt idx="33">
                  <c:v>6.6912849416204456E-2</c:v>
                </c:pt>
                <c:pt idx="34">
                  <c:v>6.6933286419507354E-2</c:v>
                </c:pt>
                <c:pt idx="35">
                  <c:v>6.6953722975187313E-2</c:v>
                </c:pt>
                <c:pt idx="36">
                  <c:v>6.6974159083254325E-2</c:v>
                </c:pt>
                <c:pt idx="37">
                  <c:v>6.6994594743718161E-2</c:v>
                </c:pt>
                <c:pt idx="38">
                  <c:v>6.7015029956588479E-2</c:v>
                </c:pt>
                <c:pt idx="39">
                  <c:v>6.7035464721875271E-2</c:v>
                </c:pt>
                <c:pt idx="40">
                  <c:v>6.7055899039588196E-2</c:v>
                </c:pt>
                <c:pt idx="41">
                  <c:v>6.7076332909737135E-2</c:v>
                </c:pt>
                <c:pt idx="42">
                  <c:v>6.7096766332331859E-2</c:v>
                </c:pt>
                <c:pt idx="43">
                  <c:v>6.7117199307382247E-2</c:v>
                </c:pt>
                <c:pt idx="44">
                  <c:v>6.7137631834897959E-2</c:v>
                </c:pt>
                <c:pt idx="45">
                  <c:v>6.7158063914888988E-2</c:v>
                </c:pt>
                <c:pt idx="46">
                  <c:v>6.7178495547364991E-2</c:v>
                </c:pt>
                <c:pt idx="47">
                  <c:v>6.719892673233574E-2</c:v>
                </c:pt>
                <c:pt idx="48">
                  <c:v>6.7219357469811225E-2</c:v>
                </c:pt>
                <c:pt idx="49">
                  <c:v>6.7239787759800995E-2</c:v>
                </c:pt>
                <c:pt idx="50">
                  <c:v>6.7260217602315042E-2</c:v>
                </c:pt>
                <c:pt idx="51">
                  <c:v>6.7280646997363136E-2</c:v>
                </c:pt>
                <c:pt idx="52">
                  <c:v>6.7301075944954936E-2</c:v>
                </c:pt>
                <c:pt idx="53">
                  <c:v>6.7321504445100433E-2</c:v>
                </c:pt>
                <c:pt idx="54">
                  <c:v>6.7341932497809398E-2</c:v>
                </c:pt>
                <c:pt idx="55">
                  <c:v>6.736236010309149E-2</c:v>
                </c:pt>
                <c:pt idx="56">
                  <c:v>6.73827872609567E-2</c:v>
                </c:pt>
                <c:pt idx="57">
                  <c:v>6.7403213971414577E-2</c:v>
                </c:pt>
                <c:pt idx="58">
                  <c:v>6.7423640234475224E-2</c:v>
                </c:pt>
                <c:pt idx="59">
                  <c:v>6.7444066050148188E-2</c:v>
                </c:pt>
                <c:pt idx="60">
                  <c:v>6.7464491418443462E-2</c:v>
                </c:pt>
                <c:pt idx="61">
                  <c:v>6.7484916339370704E-2</c:v>
                </c:pt>
                <c:pt idx="62">
                  <c:v>6.7505340812939685E-2</c:v>
                </c:pt>
                <c:pt idx="63">
                  <c:v>6.7525764839160396E-2</c:v>
                </c:pt>
                <c:pt idx="64">
                  <c:v>6.7546188418042385E-2</c:v>
                </c:pt>
                <c:pt idx="65">
                  <c:v>6.7566611549595645E-2</c:v>
                </c:pt>
                <c:pt idx="66">
                  <c:v>6.7587034233829946E-2</c:v>
                </c:pt>
                <c:pt idx="67">
                  <c:v>6.7607456470755056E-2</c:v>
                </c:pt>
                <c:pt idx="68">
                  <c:v>6.7627878260380636E-2</c:v>
                </c:pt>
                <c:pt idx="69">
                  <c:v>6.7648299602716788E-2</c:v>
                </c:pt>
                <c:pt idx="70">
                  <c:v>6.7668720497773061E-2</c:v>
                </c:pt>
                <c:pt idx="71">
                  <c:v>6.7689140945559223E-2</c:v>
                </c:pt>
                <c:pt idx="72">
                  <c:v>6.7709560946085268E-2</c:v>
                </c:pt>
                <c:pt idx="73">
                  <c:v>6.7729980499360964E-2</c:v>
                </c:pt>
                <c:pt idx="74">
                  <c:v>6.7750399605395972E-2</c:v>
                </c:pt>
                <c:pt idx="75">
                  <c:v>6.7770818264200061E-2</c:v>
                </c:pt>
                <c:pt idx="76">
                  <c:v>6.7791236475783223E-2</c:v>
                </c:pt>
                <c:pt idx="77">
                  <c:v>6.7811654240155117E-2</c:v>
                </c:pt>
                <c:pt idx="78">
                  <c:v>6.7832071557325624E-2</c:v>
                </c:pt>
                <c:pt idx="79">
                  <c:v>6.7852488427304403E-2</c:v>
                </c:pt>
                <c:pt idx="80">
                  <c:v>6.7872904850101445E-2</c:v>
                </c:pt>
                <c:pt idx="81">
                  <c:v>6.78933208257263E-2</c:v>
                </c:pt>
                <c:pt idx="82">
                  <c:v>6.7913736354188958E-2</c:v>
                </c:pt>
                <c:pt idx="83">
                  <c:v>6.793415143549919E-2</c:v>
                </c:pt>
                <c:pt idx="84">
                  <c:v>6.7954566069666655E-2</c:v>
                </c:pt>
                <c:pt idx="85">
                  <c:v>6.7974980256701234E-2</c:v>
                </c:pt>
                <c:pt idx="86">
                  <c:v>6.7995393996612807E-2</c:v>
                </c:pt>
                <c:pt idx="87">
                  <c:v>6.8015807289411034E-2</c:v>
                </c:pt>
                <c:pt idx="88">
                  <c:v>6.8036220135105796E-2</c:v>
                </c:pt>
                <c:pt idx="89">
                  <c:v>6.8056632533706862E-2</c:v>
                </c:pt>
                <c:pt idx="90">
                  <c:v>6.8077044485223892E-2</c:v>
                </c:pt>
                <c:pt idx="91">
                  <c:v>6.8097455989666877E-2</c:v>
                </c:pt>
                <c:pt idx="92">
                  <c:v>6.8117867047045588E-2</c:v>
                </c:pt>
                <c:pt idx="93">
                  <c:v>6.8138277657369684E-2</c:v>
                </c:pt>
                <c:pt idx="94">
                  <c:v>6.8158687820649044E-2</c:v>
                </c:pt>
                <c:pt idx="95">
                  <c:v>6.817909753689344E-2</c:v>
                </c:pt>
                <c:pt idx="96">
                  <c:v>6.8199506806112753E-2</c:v>
                </c:pt>
                <c:pt idx="97">
                  <c:v>6.8219915628316641E-2</c:v>
                </c:pt>
                <c:pt idx="98">
                  <c:v>6.8240324003514874E-2</c:v>
                </c:pt>
                <c:pt idx="99">
                  <c:v>6.8260731931717333E-2</c:v>
                </c:pt>
                <c:pt idx="100">
                  <c:v>6.82811394129339E-2</c:v>
                </c:pt>
                <c:pt idx="101">
                  <c:v>6.8301546447174122E-2</c:v>
                </c:pt>
                <c:pt idx="102">
                  <c:v>6.8321953034447991E-2</c:v>
                </c:pt>
                <c:pt idx="103">
                  <c:v>6.8342359174765277E-2</c:v>
                </c:pt>
                <c:pt idx="104">
                  <c:v>6.8362764868135639E-2</c:v>
                </c:pt>
                <c:pt idx="105">
                  <c:v>6.8383170114568959E-2</c:v>
                </c:pt>
                <c:pt idx="106">
                  <c:v>6.8403574914075005E-2</c:v>
                </c:pt>
                <c:pt idx="107">
                  <c:v>6.8423979266663548E-2</c:v>
                </c:pt>
                <c:pt idx="108">
                  <c:v>6.844438317234447E-2</c:v>
                </c:pt>
                <c:pt idx="109">
                  <c:v>6.8464786631127428E-2</c:v>
                </c:pt>
                <c:pt idx="110">
                  <c:v>6.8485189643022304E-2</c:v>
                </c:pt>
                <c:pt idx="111">
                  <c:v>6.8505592208038868E-2</c:v>
                </c:pt>
                <c:pt idx="112">
                  <c:v>6.852599432618689E-2</c:v>
                </c:pt>
                <c:pt idx="113">
                  <c:v>6.8546395997476139E-2</c:v>
                </c:pt>
                <c:pt idx="114">
                  <c:v>6.8566797221916498E-2</c:v>
                </c:pt>
                <c:pt idx="115">
                  <c:v>6.8587197999517624E-2</c:v>
                </c:pt>
                <c:pt idx="116">
                  <c:v>6.8607598330289399E-2</c:v>
                </c:pt>
                <c:pt idx="117">
                  <c:v>6.8627998214241592E-2</c:v>
                </c:pt>
                <c:pt idx="118">
                  <c:v>6.8648397651383863E-2</c:v>
                </c:pt>
                <c:pt idx="119">
                  <c:v>6.8668796641726204E-2</c:v>
                </c:pt>
                <c:pt idx="120">
                  <c:v>6.8689195185278273E-2</c:v>
                </c:pt>
                <c:pt idx="121">
                  <c:v>6.8709593282049841E-2</c:v>
                </c:pt>
                <c:pt idx="122">
                  <c:v>6.8729990932050788E-2</c:v>
                </c:pt>
                <c:pt idx="123">
                  <c:v>6.8750388135290885E-2</c:v>
                </c:pt>
                <c:pt idx="124">
                  <c:v>6.8770784891779901E-2</c:v>
                </c:pt>
                <c:pt idx="125">
                  <c:v>6.8791181201527496E-2</c:v>
                </c:pt>
                <c:pt idx="126">
                  <c:v>6.8811577064543661E-2</c:v>
                </c:pt>
                <c:pt idx="127">
                  <c:v>6.8831972480838055E-2</c:v>
                </c:pt>
                <c:pt idx="128">
                  <c:v>6.8852367450420449E-2</c:v>
                </c:pt>
                <c:pt idx="129">
                  <c:v>6.8872761973300611E-2</c:v>
                </c:pt>
                <c:pt idx="130">
                  <c:v>6.8893156049488535E-2</c:v>
                </c:pt>
                <c:pt idx="131">
                  <c:v>6.8913549678993768E-2</c:v>
                </c:pt>
                <c:pt idx="132">
                  <c:v>6.8933942861826192E-2</c:v>
                </c:pt>
                <c:pt idx="133">
                  <c:v>6.8954335597995575E-2</c:v>
                </c:pt>
                <c:pt idx="134">
                  <c:v>6.8974727887511689E-2</c:v>
                </c:pt>
                <c:pt idx="135">
                  <c:v>6.8995119730384302E-2</c:v>
                </c:pt>
                <c:pt idx="136">
                  <c:v>6.9015511126623186E-2</c:v>
                </c:pt>
                <c:pt idx="137">
                  <c:v>6.903590207623822E-2</c:v>
                </c:pt>
                <c:pt idx="138">
                  <c:v>6.9056292579239176E-2</c:v>
                </c:pt>
                <c:pt idx="139">
                  <c:v>6.9076682635635711E-2</c:v>
                </c:pt>
                <c:pt idx="140">
                  <c:v>6.9097072245437707E-2</c:v>
                </c:pt>
                <c:pt idx="141">
                  <c:v>6.9117461408654934E-2</c:v>
                </c:pt>
                <c:pt idx="142">
                  <c:v>6.9137850125297162E-2</c:v>
                </c:pt>
                <c:pt idx="143">
                  <c:v>6.9158238395374161E-2</c:v>
                </c:pt>
                <c:pt idx="144">
                  <c:v>6.91786262188957E-2</c:v>
                </c:pt>
                <c:pt idx="145">
                  <c:v>6.919901359587155E-2</c:v>
                </c:pt>
                <c:pt idx="146">
                  <c:v>6.9219400526311592E-2</c:v>
                </c:pt>
                <c:pt idx="147">
                  <c:v>6.9239787010225484E-2</c:v>
                </c:pt>
                <c:pt idx="148">
                  <c:v>6.9260173047623108E-2</c:v>
                </c:pt>
                <c:pt idx="149">
                  <c:v>6.9280558638514123E-2</c:v>
                </c:pt>
                <c:pt idx="150">
                  <c:v>6.9300943782908409E-2</c:v>
                </c:pt>
                <c:pt idx="151">
                  <c:v>6.9321328480815736E-2</c:v>
                </c:pt>
                <c:pt idx="152">
                  <c:v>6.9341712732245875E-2</c:v>
                </c:pt>
                <c:pt idx="153">
                  <c:v>6.9362096537208595E-2</c:v>
                </c:pt>
                <c:pt idx="154">
                  <c:v>6.9382479895713556E-2</c:v>
                </c:pt>
                <c:pt idx="155">
                  <c:v>6.9402862807770749E-2</c:v>
                </c:pt>
                <c:pt idx="156">
                  <c:v>6.9423245273389944E-2</c:v>
                </c:pt>
                <c:pt idx="157">
                  <c:v>6.944362729258069E-2</c:v>
                </c:pt>
                <c:pt idx="158">
                  <c:v>6.9464008865352977E-2</c:v>
                </c:pt>
                <c:pt idx="159">
                  <c:v>6.9484389991716466E-2</c:v>
                </c:pt>
                <c:pt idx="160">
                  <c:v>6.9504770671681038E-2</c:v>
                </c:pt>
                <c:pt idx="161">
                  <c:v>6.952515090525635E-2</c:v>
                </c:pt>
                <c:pt idx="162">
                  <c:v>6.9545530692452284E-2</c:v>
                </c:pt>
                <c:pt idx="163">
                  <c:v>6.9565910033278611E-2</c:v>
                </c:pt>
                <c:pt idx="164">
                  <c:v>6.9586288927744988E-2</c:v>
                </c:pt>
                <c:pt idx="165">
                  <c:v>6.9606667375861297E-2</c:v>
                </c:pt>
                <c:pt idx="166">
                  <c:v>6.9627045377637309E-2</c:v>
                </c:pt>
                <c:pt idx="167">
                  <c:v>6.9647422933082792E-2</c:v>
                </c:pt>
                <c:pt idx="168">
                  <c:v>6.9667800042207517E-2</c:v>
                </c:pt>
                <c:pt idx="169">
                  <c:v>6.9688176705021254E-2</c:v>
                </c:pt>
                <c:pt idx="170">
                  <c:v>6.9708552921533773E-2</c:v>
                </c:pt>
                <c:pt idx="171">
                  <c:v>6.9728928691754843E-2</c:v>
                </c:pt>
                <c:pt idx="172">
                  <c:v>6.9749304015694236E-2</c:v>
                </c:pt>
                <c:pt idx="173">
                  <c:v>6.9769678893361831E-2</c:v>
                </c:pt>
                <c:pt idx="174">
                  <c:v>6.9790053324767176E-2</c:v>
                </c:pt>
                <c:pt idx="175">
                  <c:v>6.9810427309920264E-2</c:v>
                </c:pt>
                <c:pt idx="176">
                  <c:v>6.9830800848830754E-2</c:v>
                </c:pt>
                <c:pt idx="177">
                  <c:v>6.9851173941508526E-2</c:v>
                </c:pt>
                <c:pt idx="178">
                  <c:v>6.987154658796324E-2</c:v>
                </c:pt>
                <c:pt idx="179">
                  <c:v>6.9891918788204666E-2</c:v>
                </c:pt>
                <c:pt idx="180">
                  <c:v>6.9912290542242683E-2</c:v>
                </c:pt>
                <c:pt idx="181">
                  <c:v>6.9932661850087063E-2</c:v>
                </c:pt>
                <c:pt idx="182">
                  <c:v>6.9953032711747465E-2</c:v>
                </c:pt>
                <c:pt idx="183">
                  <c:v>6.9973403127233658E-2</c:v>
                </c:pt>
                <c:pt idx="184">
                  <c:v>6.9993773096555523E-2</c:v>
                </c:pt>
                <c:pt idx="185">
                  <c:v>7.0014142619722719E-2</c:v>
                </c:pt>
                <c:pt idx="186">
                  <c:v>7.0034511696745128E-2</c:v>
                </c:pt>
                <c:pt idx="187">
                  <c:v>7.0054880327632518E-2</c:v>
                </c:pt>
                <c:pt idx="188">
                  <c:v>7.007524851239455E-2</c:v>
                </c:pt>
                <c:pt idx="189">
                  <c:v>7.0095616251041104E-2</c:v>
                </c:pt>
                <c:pt idx="190">
                  <c:v>7.011598354358195E-2</c:v>
                </c:pt>
                <c:pt idx="191">
                  <c:v>7.0136350390026747E-2</c:v>
                </c:pt>
                <c:pt idx="192">
                  <c:v>7.0156716790385376E-2</c:v>
                </c:pt>
                <c:pt idx="193">
                  <c:v>7.0177082744667496E-2</c:v>
                </c:pt>
                <c:pt idx="194">
                  <c:v>7.0197448252882988E-2</c:v>
                </c:pt>
                <c:pt idx="195">
                  <c:v>7.0217813315041622E-2</c:v>
                </c:pt>
                <c:pt idx="196">
                  <c:v>7.0238177931153056E-2</c:v>
                </c:pt>
                <c:pt idx="197">
                  <c:v>7.0258542101227173E-2</c:v>
                </c:pt>
                <c:pt idx="198">
                  <c:v>7.0278905825273741E-2</c:v>
                </c:pt>
                <c:pt idx="199">
                  <c:v>7.029926910330242E-2</c:v>
                </c:pt>
                <c:pt idx="200">
                  <c:v>7.031963193532309E-2</c:v>
                </c:pt>
                <c:pt idx="201">
                  <c:v>7.0339994321345523E-2</c:v>
                </c:pt>
                <c:pt idx="202">
                  <c:v>7.0360356261379375E-2</c:v>
                </c:pt>
                <c:pt idx="203">
                  <c:v>7.038071775543453E-2</c:v>
                </c:pt>
                <c:pt idx="204">
                  <c:v>7.0401078803520645E-2</c:v>
                </c:pt>
                <c:pt idx="205">
                  <c:v>7.0421439405647601E-2</c:v>
                </c:pt>
                <c:pt idx="206">
                  <c:v>7.0441799561825058E-2</c:v>
                </c:pt>
                <c:pt idx="207">
                  <c:v>7.0462159272062896E-2</c:v>
                </c:pt>
                <c:pt idx="208">
                  <c:v>7.0482518536370886E-2</c:v>
                </c:pt>
                <c:pt idx="209">
                  <c:v>7.0502877354758686E-2</c:v>
                </c:pt>
                <c:pt idx="210">
                  <c:v>7.0523235727236067E-2</c:v>
                </c:pt>
                <c:pt idx="211">
                  <c:v>7.0543593653812908E-2</c:v>
                </c:pt>
                <c:pt idx="212">
                  <c:v>7.056395113449887E-2</c:v>
                </c:pt>
                <c:pt idx="213">
                  <c:v>7.0584308169303722E-2</c:v>
                </c:pt>
                <c:pt idx="214">
                  <c:v>7.0604664758237345E-2</c:v>
                </c:pt>
                <c:pt idx="215">
                  <c:v>7.0625020901309399E-2</c:v>
                </c:pt>
                <c:pt idx="216">
                  <c:v>7.0645376598529652E-2</c:v>
                </c:pt>
                <c:pt idx="217">
                  <c:v>7.0665731849907876E-2</c:v>
                </c:pt>
                <c:pt idx="218">
                  <c:v>7.068608665545395E-2</c:v>
                </c:pt>
                <c:pt idx="219">
                  <c:v>7.0706441015177424E-2</c:v>
                </c:pt>
                <c:pt idx="220">
                  <c:v>7.0726794929088288E-2</c:v>
                </c:pt>
                <c:pt idx="221">
                  <c:v>7.0747148397196091E-2</c:v>
                </c:pt>
                <c:pt idx="222">
                  <c:v>7.0767501419510825E-2</c:v>
                </c:pt>
                <c:pt idx="223">
                  <c:v>7.0787853996042038E-2</c:v>
                </c:pt>
                <c:pt idx="224">
                  <c:v>7.0808206126799611E-2</c:v>
                </c:pt>
                <c:pt idx="225">
                  <c:v>7.0828557811793313E-2</c:v>
                </c:pt>
                <c:pt idx="226">
                  <c:v>7.0848909051032916E-2</c:v>
                </c:pt>
                <c:pt idx="227">
                  <c:v>7.0869259844528076E-2</c:v>
                </c:pt>
                <c:pt idx="228">
                  <c:v>7.0889610192288677E-2</c:v>
                </c:pt>
                <c:pt idx="229">
                  <c:v>7.0909960094324487E-2</c:v>
                </c:pt>
                <c:pt idx="230">
                  <c:v>7.0930309550645054E-2</c:v>
                </c:pt>
                <c:pt idx="231">
                  <c:v>7.0950658561260482E-2</c:v>
                </c:pt>
                <c:pt idx="232">
                  <c:v>7.0971007126180208E-2</c:v>
                </c:pt>
                <c:pt idx="233">
                  <c:v>7.0991355245414223E-2</c:v>
                </c:pt>
                <c:pt idx="234">
                  <c:v>7.1011702918972186E-2</c:v>
                </c:pt>
                <c:pt idx="235">
                  <c:v>7.1032050146863868E-2</c:v>
                </c:pt>
                <c:pt idx="236">
                  <c:v>7.1052396929099038E-2</c:v>
                </c:pt>
                <c:pt idx="237">
                  <c:v>7.1072743265687466E-2</c:v>
                </c:pt>
                <c:pt idx="238">
                  <c:v>7.1093089156638922E-2</c:v>
                </c:pt>
                <c:pt idx="239">
                  <c:v>7.1113434601963177E-2</c:v>
                </c:pt>
                <c:pt idx="240">
                  <c:v>7.1133779601669889E-2</c:v>
                </c:pt>
                <c:pt idx="241">
                  <c:v>7.1154124155768939E-2</c:v>
                </c:pt>
                <c:pt idx="242">
                  <c:v>7.1174468264269986E-2</c:v>
                </c:pt>
                <c:pt idx="243">
                  <c:v>7.1194811927182911E-2</c:v>
                </c:pt>
                <c:pt idx="244">
                  <c:v>7.1215155144517372E-2</c:v>
                </c:pt>
                <c:pt idx="245">
                  <c:v>7.1235497916283141E-2</c:v>
                </c:pt>
                <c:pt idx="246">
                  <c:v>7.1255840242490098E-2</c:v>
                </c:pt>
                <c:pt idx="247">
                  <c:v>7.1276182123147791E-2</c:v>
                </c:pt>
                <c:pt idx="248">
                  <c:v>7.1296523558266212E-2</c:v>
                </c:pt>
                <c:pt idx="249">
                  <c:v>7.1316864547854908E-2</c:v>
                </c:pt>
                <c:pt idx="250">
                  <c:v>7.1337205091923761E-2</c:v>
                </c:pt>
                <c:pt idx="251">
                  <c:v>7.135754519048243E-2</c:v>
                </c:pt>
                <c:pt idx="252">
                  <c:v>7.1377884843540795E-2</c:v>
                </c:pt>
                <c:pt idx="253">
                  <c:v>7.1398224051108627E-2</c:v>
                </c:pt>
                <c:pt idx="254">
                  <c:v>7.1418562813195474E-2</c:v>
                </c:pt>
                <c:pt idx="255">
                  <c:v>7.1438901129811327E-2</c:v>
                </c:pt>
                <c:pt idx="256">
                  <c:v>7.1459239000965846E-2</c:v>
                </c:pt>
                <c:pt idx="257">
                  <c:v>7.1479576426668689E-2</c:v>
                </c:pt>
                <c:pt idx="258">
                  <c:v>7.1499913406929849E-2</c:v>
                </c:pt>
                <c:pt idx="259">
                  <c:v>7.1520249941758873E-2</c:v>
                </c:pt>
                <c:pt idx="260">
                  <c:v>7.1540586031165643E-2</c:v>
                </c:pt>
                <c:pt idx="261">
                  <c:v>7.1560921675159817E-2</c:v>
                </c:pt>
                <c:pt idx="262">
                  <c:v>7.1581256873751165E-2</c:v>
                </c:pt>
                <c:pt idx="263">
                  <c:v>7.1601591626949568E-2</c:v>
                </c:pt>
                <c:pt idx="264">
                  <c:v>7.1621925934764685E-2</c:v>
                </c:pt>
                <c:pt idx="265">
                  <c:v>7.1642259797206176E-2</c:v>
                </c:pt>
                <c:pt idx="266">
                  <c:v>7.1662593214283921E-2</c:v>
                </c:pt>
                <c:pt idx="267">
                  <c:v>7.1682926186007689E-2</c:v>
                </c:pt>
                <c:pt idx="268">
                  <c:v>7.1703258712387252E-2</c:v>
                </c:pt>
                <c:pt idx="269">
                  <c:v>7.1723590793432157E-2</c:v>
                </c:pt>
                <c:pt idx="270">
                  <c:v>7.1743922429152396E-2</c:v>
                </c:pt>
                <c:pt idx="271">
                  <c:v>7.1764253619557627E-2</c:v>
                </c:pt>
                <c:pt idx="272">
                  <c:v>7.1784584364657622E-2</c:v>
                </c:pt>
                <c:pt idx="273">
                  <c:v>7.1804914664462149E-2</c:v>
                </c:pt>
                <c:pt idx="274">
                  <c:v>7.1825244518980869E-2</c:v>
                </c:pt>
                <c:pt idx="275">
                  <c:v>7.1845573928223549E-2</c:v>
                </c:pt>
                <c:pt idx="276">
                  <c:v>7.1865902892200073E-2</c:v>
                </c:pt>
                <c:pt idx="277">
                  <c:v>7.1886231410920098E-2</c:v>
                </c:pt>
                <c:pt idx="278">
                  <c:v>7.1906559484393395E-2</c:v>
                </c:pt>
                <c:pt idx="279">
                  <c:v>7.1926887112629734E-2</c:v>
                </c:pt>
                <c:pt idx="280">
                  <c:v>7.1947214295638884E-2</c:v>
                </c:pt>
                <c:pt idx="281">
                  <c:v>7.1967541033430504E-2</c:v>
                </c:pt>
                <c:pt idx="282">
                  <c:v>7.1987867326014365E-2</c:v>
                </c:pt>
                <c:pt idx="283">
                  <c:v>7.2008193173400237E-2</c:v>
                </c:pt>
                <c:pt idx="284">
                  <c:v>7.2028518575598E-2</c:v>
                </c:pt>
                <c:pt idx="285">
                  <c:v>7.2048843532617202E-2</c:v>
                </c:pt>
                <c:pt idx="286">
                  <c:v>7.2069168044467724E-2</c:v>
                </c:pt>
                <c:pt idx="287">
                  <c:v>7.2089492111159226E-2</c:v>
                </c:pt>
                <c:pt idx="288">
                  <c:v>7.2109815732701477E-2</c:v>
                </c:pt>
                <c:pt idx="289">
                  <c:v>7.2130138909104358E-2</c:v>
                </c:pt>
                <c:pt idx="290">
                  <c:v>7.2150461640377417E-2</c:v>
                </c:pt>
                <c:pt idx="291">
                  <c:v>7.2170783926530646E-2</c:v>
                </c:pt>
                <c:pt idx="292">
                  <c:v>7.2191105767573482E-2</c:v>
                </c:pt>
                <c:pt idx="293">
                  <c:v>7.2211427163516029E-2</c:v>
                </c:pt>
                <c:pt idx="294">
                  <c:v>7.2231748114367722E-2</c:v>
                </c:pt>
                <c:pt idx="295">
                  <c:v>7.2252068620138443E-2</c:v>
                </c:pt>
                <c:pt idx="296">
                  <c:v>7.2272388680837962E-2</c:v>
                </c:pt>
                <c:pt idx="297">
                  <c:v>7.2292708296476049E-2</c:v>
                </c:pt>
                <c:pt idx="298">
                  <c:v>7.2313027467062252E-2</c:v>
                </c:pt>
                <c:pt idx="299">
                  <c:v>7.2333346192606673E-2</c:v>
                </c:pt>
                <c:pt idx="300">
                  <c:v>7.2353664473118751E-2</c:v>
                </c:pt>
                <c:pt idx="301">
                  <c:v>7.2373982308608364E-2</c:v>
                </c:pt>
                <c:pt idx="302">
                  <c:v>7.2394299699085174E-2</c:v>
                </c:pt>
                <c:pt idx="303">
                  <c:v>7.241461664455906E-2</c:v>
                </c:pt>
                <c:pt idx="304">
                  <c:v>7.2434933145039682E-2</c:v>
                </c:pt>
                <c:pt idx="305">
                  <c:v>7.2455249200536809E-2</c:v>
                </c:pt>
                <c:pt idx="306">
                  <c:v>7.24755648110601E-2</c:v>
                </c:pt>
                <c:pt idx="307">
                  <c:v>7.2495879976619437E-2</c:v>
                </c:pt>
                <c:pt idx="308">
                  <c:v>7.251619469722459E-2</c:v>
                </c:pt>
                <c:pt idx="309">
                  <c:v>7.2536508972885105E-2</c:v>
                </c:pt>
                <c:pt idx="310">
                  <c:v>7.2556822803610976E-2</c:v>
                </c:pt>
                <c:pt idx="311">
                  <c:v>7.2577136189411751E-2</c:v>
                </c:pt>
                <c:pt idx="312">
                  <c:v>7.2597449130297198E-2</c:v>
                </c:pt>
                <c:pt idx="313">
                  <c:v>7.26177616262772E-2</c:v>
                </c:pt>
                <c:pt idx="314">
                  <c:v>7.2638073677361303E-2</c:v>
                </c:pt>
                <c:pt idx="315">
                  <c:v>7.265838528355939E-2</c:v>
                </c:pt>
                <c:pt idx="316">
                  <c:v>7.267869644488123E-2</c:v>
                </c:pt>
                <c:pt idx="317">
                  <c:v>7.2699007161336482E-2</c:v>
                </c:pt>
                <c:pt idx="318">
                  <c:v>7.2719317432934916E-2</c:v>
                </c:pt>
                <c:pt idx="319">
                  <c:v>7.2739627259686301E-2</c:v>
                </c:pt>
                <c:pt idx="320">
                  <c:v>7.2759936641600298E-2</c:v>
                </c:pt>
                <c:pt idx="321">
                  <c:v>7.2780245578686675E-2</c:v>
                </c:pt>
                <c:pt idx="322">
                  <c:v>7.2800554070955315E-2</c:v>
                </c:pt>
                <c:pt idx="323">
                  <c:v>7.2820862118415763E-2</c:v>
                </c:pt>
                <c:pt idx="324">
                  <c:v>7.2841169721077903E-2</c:v>
                </c:pt>
                <c:pt idx="325">
                  <c:v>7.2861476878951503E-2</c:v>
                </c:pt>
                <c:pt idx="326">
                  <c:v>7.2881783592046112E-2</c:v>
                </c:pt>
                <c:pt idx="327">
                  <c:v>7.2902089860371611E-2</c:v>
                </c:pt>
                <c:pt idx="328">
                  <c:v>7.2922395683937768E-2</c:v>
                </c:pt>
                <c:pt idx="329">
                  <c:v>7.2942701062754245E-2</c:v>
                </c:pt>
                <c:pt idx="330">
                  <c:v>7.296300599683081E-2</c:v>
                </c:pt>
                <c:pt idx="331">
                  <c:v>7.2983310486177233E-2</c:v>
                </c:pt>
                <c:pt idx="332">
                  <c:v>7.3003614530803174E-2</c:v>
                </c:pt>
                <c:pt idx="333">
                  <c:v>7.3023918130718402E-2</c:v>
                </c:pt>
                <c:pt idx="334">
                  <c:v>7.3044221285932798E-2</c:v>
                </c:pt>
                <c:pt idx="335">
                  <c:v>7.306452399645591E-2</c:v>
                </c:pt>
                <c:pt idx="336">
                  <c:v>7.308482626229762E-2</c:v>
                </c:pt>
                <c:pt idx="337">
                  <c:v>7.3105128083467474E-2</c:v>
                </c:pt>
                <c:pt idx="338">
                  <c:v>7.3125429459975466E-2</c:v>
                </c:pt>
                <c:pt idx="339">
                  <c:v>7.3145730391831143E-2</c:v>
                </c:pt>
                <c:pt idx="340">
                  <c:v>7.3166030879044386E-2</c:v>
                </c:pt>
                <c:pt idx="341">
                  <c:v>7.3186330921624743E-2</c:v>
                </c:pt>
                <c:pt idx="342">
                  <c:v>7.3206630519582205E-2</c:v>
                </c:pt>
                <c:pt idx="343">
                  <c:v>7.3226929672926322E-2</c:v>
                </c:pt>
                <c:pt idx="344">
                  <c:v>7.3247228381666862E-2</c:v>
                </c:pt>
                <c:pt idx="345">
                  <c:v>7.3267526645813597E-2</c:v>
                </c:pt>
                <c:pt idx="346">
                  <c:v>7.3287824465376183E-2</c:v>
                </c:pt>
                <c:pt idx="347">
                  <c:v>7.3308121840364504E-2</c:v>
                </c:pt>
                <c:pt idx="348">
                  <c:v>7.3328418770788217E-2</c:v>
                </c:pt>
                <c:pt idx="349">
                  <c:v>7.3348715256657093E-2</c:v>
                </c:pt>
                <c:pt idx="350">
                  <c:v>7.3369011297980791E-2</c:v>
                </c:pt>
                <c:pt idx="351">
                  <c:v>7.338930689476908E-2</c:v>
                </c:pt>
                <c:pt idx="352">
                  <c:v>7.340960204703173E-2</c:v>
                </c:pt>
                <c:pt idx="353">
                  <c:v>7.3429896754778512E-2</c:v>
                </c:pt>
                <c:pt idx="354">
                  <c:v>7.3450191018019084E-2</c:v>
                </c:pt>
                <c:pt idx="355">
                  <c:v>7.3470484836763217E-2</c:v>
                </c:pt>
                <c:pt idx="356">
                  <c:v>7.3490778211020569E-2</c:v>
                </c:pt>
                <c:pt idx="357">
                  <c:v>7.3511071140801021E-2</c:v>
                </c:pt>
                <c:pt idx="358">
                  <c:v>7.3531363626114121E-2</c:v>
                </c:pt>
                <c:pt idx="359">
                  <c:v>7.3551655666969862E-2</c:v>
                </c:pt>
                <c:pt idx="360">
                  <c:v>7.3571947263377679E-2</c:v>
                </c:pt>
                <c:pt idx="361">
                  <c:v>7.3592238415347566E-2</c:v>
                </c:pt>
                <c:pt idx="362">
                  <c:v>7.361252912288907E-2</c:v>
                </c:pt>
                <c:pt idx="363">
                  <c:v>7.3632819386012072E-2</c:v>
                </c:pt>
                <c:pt idx="364">
                  <c:v>7.365310920472623E-2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5.1649845062596851E-2</c:v>
                </c:pt>
                <c:pt idx="1">
                  <c:v>5.1702623116439347E-2</c:v>
                </c:pt>
                <c:pt idx="2">
                  <c:v>5.1755456918532998E-2</c:v>
                </c:pt>
                <c:pt idx="3">
                  <c:v>5.1808334778635445E-2</c:v>
                </c:pt>
                <c:pt idx="4">
                  <c:v>5.1861246520122944E-2</c:v>
                </c:pt>
                <c:pt idx="5">
                  <c:v>5.1914183437571926E-2</c:v>
                </c:pt>
                <c:pt idx="6">
                  <c:v>5.1967138242562397E-2</c:v>
                </c:pt>
                <c:pt idx="7">
                  <c:v>5.2020104998614959E-2</c:v>
                </c:pt>
                <c:pt idx="8">
                  <c:v>5.2073079046255195E-2</c:v>
                </c:pt>
                <c:pt idx="9">
                  <c:v>5.2126056919270712E-2</c:v>
                </c:pt>
                <c:pt idx="10">
                  <c:v>5.2179036253287354E-2</c:v>
                </c:pt>
                <c:pt idx="11">
                  <c:v>5.2232015687838036E-2</c:v>
                </c:pt>
                <c:pt idx="12">
                  <c:v>5.2284994763135383E-2</c:v>
                </c:pt>
                <c:pt idx="13">
                  <c:v>5.23379738127824E-2</c:v>
                </c:pt>
                <c:pt idx="14">
                  <c:v>5.239095385366746E-2</c:v>
                </c:pt>
                <c:pt idx="15">
                  <c:v>5.2443936474289167E-2</c:v>
                </c:pt>
                <c:pt idx="16">
                  <c:v>5.2496923722743644E-2</c:v>
                </c:pt>
                <c:pt idx="17">
                  <c:v>5.2549917995582153E-2</c:v>
                </c:pt>
                <c:pt idx="18">
                  <c:v>5.2602921928711209E-2</c:v>
                </c:pt>
                <c:pt idx="19">
                  <c:v>5.2655938291459939E-2</c:v>
                </c:pt>
                <c:pt idx="20">
                  <c:v>5.2708969884882162E-2</c:v>
                </c:pt>
                <c:pt idx="21">
                  <c:v>5.2762019445294642E-2</c:v>
                </c:pt>
                <c:pt idx="22">
                  <c:v>5.2815089553976416E-2</c:v>
                </c:pt>
                <c:pt idx="23">
                  <c:v>5.2868182553871518E-2</c:v>
                </c:pt>
                <c:pt idx="24">
                  <c:v>5.2921300474047119E-2</c:v>
                </c:pt>
                <c:pt idx="25">
                  <c:v>5.2974444962562754E-2</c:v>
                </c:pt>
                <c:pt idx="26">
                  <c:v>5.3027617228305741E-2</c:v>
                </c:pt>
                <c:pt idx="27">
                  <c:v>5.3080817992243345E-2</c:v>
                </c:pt>
                <c:pt idx="28">
                  <c:v>5.3134047448435084E-2</c:v>
                </c:pt>
                <c:pt idx="29">
                  <c:v>5.3187305235039915E-2</c:v>
                </c:pt>
                <c:pt idx="30">
                  <c:v>5.3240590415444537E-2</c:v>
                </c:pt>
                <c:pt idx="31">
                  <c:v>5.3293901469530648E-2</c:v>
                </c:pt>
                <c:pt idx="32">
                  <c:v>5.3347236294993002E-2</c:v>
                </c:pt>
                <c:pt idx="33">
                  <c:v>5.340059221851718E-2</c:v>
                </c:pt>
                <c:pt idx="34">
                  <c:v>5.3453966016526286E-2</c:v>
                </c:pt>
                <c:pt idx="35">
                  <c:v>5.3507353945112142E-2</c:v>
                </c:pt>
                <c:pt idx="36">
                  <c:v>5.356075177867764E-2</c:v>
                </c:pt>
                <c:pt idx="37">
                  <c:v>5.3614154856735506E-2</c:v>
                </c:pt>
                <c:pt idx="38">
                  <c:v>5.3667558138233977E-2</c:v>
                </c:pt>
                <c:pt idx="39">
                  <c:v>5.3720956262713851E-2</c:v>
                </c:pt>
                <c:pt idx="40">
                  <c:v>5.3774343617543442E-2</c:v>
                </c:pt>
                <c:pt idx="41">
                  <c:v>5.3827714410428967E-2</c:v>
                </c:pt>
                <c:pt idx="42">
                  <c:v>5.3881062746358781E-2</c:v>
                </c:pt>
                <c:pt idx="43">
                  <c:v>5.3934382708110157E-2</c:v>
                </c:pt>
                <c:pt idx="44">
                  <c:v>5.3987668439426491E-2</c:v>
                </c:pt>
                <c:pt idx="45">
                  <c:v>5.4040914229963662E-2</c:v>
                </c:pt>
                <c:pt idx="46">
                  <c:v>5.4094114601102514E-2</c:v>
                </c:pt>
                <c:pt idx="47">
                  <c:v>5.4147264391734021E-2</c:v>
                </c:pt>
                <c:pt idx="48">
                  <c:v>5.4200358843141602E-2</c:v>
                </c:pt>
                <c:pt idx="49">
                  <c:v>5.4253393682131841E-2</c:v>
                </c:pt>
                <c:pt idx="50">
                  <c:v>5.4306365201600197E-2</c:v>
                </c:pt>
                <c:pt idx="51">
                  <c:v>5.4359270337761362E-2</c:v>
                </c:pt>
                <c:pt idx="52">
                  <c:v>5.4412106743324369E-2</c:v>
                </c:pt>
                <c:pt idx="53">
                  <c:v>5.4464872855948747E-2</c:v>
                </c:pt>
                <c:pt idx="54">
                  <c:v>5.4517567961380811E-2</c:v>
                </c:pt>
                <c:pt idx="55">
                  <c:v>5.4570192250736428E-2</c:v>
                </c:pt>
                <c:pt idx="56">
                  <c:v>5.4622746871467558E-2</c:v>
                </c:pt>
                <c:pt idx="57">
                  <c:v>5.4675233971624493E-2</c:v>
                </c:pt>
                <c:pt idx="58">
                  <c:v>5.4727656737102559E-2</c:v>
                </c:pt>
                <c:pt idx="59">
                  <c:v>5.4780019421639174E-2</c:v>
                </c:pt>
                <c:pt idx="60">
                  <c:v>5.483232736940663E-2</c:v>
                </c:pt>
                <c:pt idx="61">
                  <c:v>5.4884587030122618E-2</c:v>
                </c:pt>
                <c:pt idx="62">
                  <c:v>5.4936805966677514E-2</c:v>
                </c:pt>
                <c:pt idx="63">
                  <c:v>5.4988992855351367E-2</c:v>
                </c:pt>
                <c:pt idx="64">
                  <c:v>5.5041157478764507E-2</c:v>
                </c:pt>
                <c:pt idx="65">
                  <c:v>5.5093310711772758E-2</c:v>
                </c:pt>
                <c:pt idx="66">
                  <c:v>5.5145464500580929E-2</c:v>
                </c:pt>
                <c:pt idx="67">
                  <c:v>5.5197631835405957E-2</c:v>
                </c:pt>
                <c:pt idx="68">
                  <c:v>5.5249826717071585E-2</c:v>
                </c:pt>
                <c:pt idx="69">
                  <c:v>5.5302064117963609E-2</c:v>
                </c:pt>
                <c:pt idx="70">
                  <c:v>5.5354359937811716E-2</c:v>
                </c:pt>
                <c:pt idx="71">
                  <c:v>5.5406730954796736E-2</c:v>
                </c:pt>
                <c:pt idx="72">
                  <c:v>5.5459194772506312E-2</c:v>
                </c:pt>
                <c:pt idx="73">
                  <c:v>5.5511769763279338E-2</c:v>
                </c:pt>
                <c:pt idx="74">
                  <c:v>5.556447500848892E-2</c:v>
                </c:pt>
                <c:pt idx="75">
                  <c:v>5.5617330236316799E-2</c:v>
                </c:pt>
                <c:pt idx="76">
                  <c:v>5.5670355757567049E-2</c:v>
                </c:pt>
                <c:pt idx="77">
                  <c:v>5.5723572400055113E-2</c:v>
                </c:pt>
                <c:pt idx="78">
                  <c:v>5.5777001442090218E-2</c:v>
                </c:pt>
                <c:pt idx="79">
                  <c:v>5.5830664545544945E-2</c:v>
                </c:pt>
                <c:pt idx="80">
                  <c:v>5.5884583688974553E-2</c:v>
                </c:pt>
                <c:pt idx="81">
                  <c:v>5.5938781101214204E-2</c:v>
                </c:pt>
                <c:pt idx="82">
                  <c:v>5.5993279195841385E-2</c:v>
                </c:pt>
                <c:pt idx="83">
                  <c:v>5.6048100506846957E-2</c:v>
                </c:pt>
                <c:pt idx="84">
                  <c:v>5.6103267625810797E-2</c:v>
                </c:pt>
                <c:pt idx="85">
                  <c:v>5.6158803140828509E-2</c:v>
                </c:pt>
                <c:pt idx="86">
                  <c:v>5.6214729577383042E-2</c:v>
                </c:pt>
                <c:pt idx="87">
                  <c:v>5.6271069341303673E-2</c:v>
                </c:pt>
                <c:pt idx="88">
                  <c:v>5.6327844663900929E-2</c:v>
                </c:pt>
                <c:pt idx="89">
                  <c:v>5.6385077549314211E-2</c:v>
                </c:pt>
                <c:pt idx="90">
                  <c:v>5.6442789724058119E-2</c:v>
                </c:pt>
                <c:pt idx="91">
                  <c:v>5.6501002588704413E-2</c:v>
                </c:pt>
                <c:pt idx="92">
                  <c:v>5.6559737171590796E-2</c:v>
                </c:pt>
                <c:pt idx="93">
                  <c:v>5.6619014084405263E-2</c:v>
                </c:pt>
                <c:pt idx="94">
                  <c:v>5.667885347945676E-2</c:v>
                </c:pt>
                <c:pt idx="95">
                  <c:v>5.6739275008408793E-2</c:v>
                </c:pt>
                <c:pt idx="96">
                  <c:v>5.6800297782225201E-2</c:v>
                </c:pt>
                <c:pt idx="97">
                  <c:v>5.686194033205387E-2</c:v>
                </c:pt>
                <c:pt idx="98">
                  <c:v>5.6924220570758174E-2</c:v>
                </c:pt>
                <c:pt idx="99">
                  <c:v>5.6987155754795654E-2</c:v>
                </c:pt>
                <c:pt idx="100">
                  <c:v>5.7050762446139193E-2</c:v>
                </c:pt>
                <c:pt idx="101">
                  <c:v>5.7115056473939635E-2</c:v>
                </c:pt>
                <c:pt idx="102">
                  <c:v>5.7180052895637892E-2</c:v>
                </c:pt>
                <c:pt idx="103">
                  <c:v>5.724576595725038E-2</c:v>
                </c:pt>
                <c:pt idx="104">
                  <c:v>5.7312209052574954E-2</c:v>
                </c:pt>
                <c:pt idx="105">
                  <c:v>5.7379394681092356E-2</c:v>
                </c:pt>
                <c:pt idx="106">
                  <c:v>5.7447334404373329E-2</c:v>
                </c:pt>
                <c:pt idx="107">
                  <c:v>5.7516038800840739E-2</c:v>
                </c:pt>
                <c:pt idx="108">
                  <c:v>5.7585517418781582E-2</c:v>
                </c:pt>
                <c:pt idx="109">
                  <c:v>5.7655778727552121E-2</c:v>
                </c:pt>
                <c:pt idx="110">
                  <c:v>5.7726830066972899E-2</c:v>
                </c:pt>
                <c:pt idx="111">
                  <c:v>5.7798677594965396E-2</c:v>
                </c:pt>
                <c:pt idx="112">
                  <c:v>5.7871326233541333E-2</c:v>
                </c:pt>
                <c:pt idx="113">
                  <c:v>5.7944779613313659E-2</c:v>
                </c:pt>
                <c:pt idx="114">
                  <c:v>5.8019040016760018E-2</c:v>
                </c:pt>
                <c:pt idx="115">
                  <c:v>5.8094108320528595E-2</c:v>
                </c:pt>
                <c:pt idx="116">
                  <c:v>5.8169983937135676E-2</c:v>
                </c:pt>
                <c:pt idx="117">
                  <c:v>5.8246664756461446E-2</c:v>
                </c:pt>
                <c:pt idx="118">
                  <c:v>5.8324147087504954E-2</c:v>
                </c:pt>
                <c:pt idx="119">
                  <c:v>5.0553188945380769E-3</c:v>
                </c:pt>
                <c:pt idx="120">
                  <c:v>5.1617920954443782E-3</c:v>
                </c:pt>
                <c:pt idx="121">
                  <c:v>5.2683354450682512E-3</c:v>
                </c:pt>
                <c:pt idx="122">
                  <c:v>5.3749518890812914E-3</c:v>
                </c:pt>
                <c:pt idx="123">
                  <c:v>5.4816441080124297E-3</c:v>
                </c:pt>
                <c:pt idx="124">
                  <c:v>5.5884144980566522E-3</c:v>
                </c:pt>
                <c:pt idx="125">
                  <c:v>5.6952651520027226E-3</c:v>
                </c:pt>
                <c:pt idx="126">
                  <c:v>5.8021978404073629E-3</c:v>
                </c:pt>
                <c:pt idx="127">
                  <c:v>5.9092139931516598E-3</c:v>
                </c:pt>
                <c:pt idx="128">
                  <c:v>6.0163146815233751E-3</c:v>
                </c:pt>
                <c:pt idx="129">
                  <c:v>6.1235006009753628E-3</c:v>
                </c:pt>
                <c:pt idx="130">
                  <c:v>6.2307720547156772E-3</c:v>
                </c:pt>
                <c:pt idx="131">
                  <c:v>6.3381289382885798E-3</c:v>
                </c:pt>
                <c:pt idx="132">
                  <c:v>6.4455707253083085E-3</c:v>
                </c:pt>
                <c:pt idx="133">
                  <c:v>6.5530964545076125E-3</c:v>
                </c:pt>
                <c:pt idx="134">
                  <c:v>6.6607047182625414E-3</c:v>
                </c:pt>
                <c:pt idx="135">
                  <c:v>6.7683936527514407E-3</c:v>
                </c:pt>
                <c:pt idx="136">
                  <c:v>6.8761609299017564E-3</c:v>
                </c:pt>
                <c:pt idx="137">
                  <c:v>6.9840037512714078E-3</c:v>
                </c:pt>
                <c:pt idx="138">
                  <c:v>7.0919188440029691E-3</c:v>
                </c:pt>
                <c:pt idx="139">
                  <c:v>7.1999024589782532E-3</c:v>
                </c:pt>
                <c:pt idx="140">
                  <c:v>7.3079503712891137E-3</c:v>
                </c:pt>
                <c:pt idx="141">
                  <c:v>7.4160578831257646E-3</c:v>
                </c:pt>
                <c:pt idx="142">
                  <c:v>7.5242198291684608E-3</c:v>
                </c:pt>
                <c:pt idx="143">
                  <c:v>7.6324305845512572E-3</c:v>
                </c:pt>
                <c:pt idx="144">
                  <c:v>7.7406840754477048E-3</c:v>
                </c:pt>
                <c:pt idx="145">
                  <c:v>7.8489737923086115E-3</c:v>
                </c:pt>
                <c:pt idx="146">
                  <c:v>7.9572928057608638E-3</c:v>
                </c:pt>
                <c:pt idx="147">
                  <c:v>8.0656337851545377E-3</c:v>
                </c:pt>
                <c:pt idx="148">
                  <c:v>8.1739890197229745E-3</c:v>
                </c:pt>
                <c:pt idx="149">
                  <c:v>8.2823504422973038E-3</c:v>
                </c:pt>
                <c:pt idx="150">
                  <c:v>8.3907096554939591E-3</c:v>
                </c:pt>
                <c:pt idx="151">
                  <c:v>8.4990579602701212E-3</c:v>
                </c:pt>
                <c:pt idx="152">
                  <c:v>8.607386386719389E-3</c:v>
                </c:pt>
                <c:pt idx="153">
                  <c:v>8.7156857269572556E-3</c:v>
                </c:pt>
                <c:pt idx="154">
                  <c:v>8.8239465699245945E-3</c:v>
                </c:pt>
                <c:pt idx="155">
                  <c:v>8.9321593379162439E-3</c:v>
                </c:pt>
                <c:pt idx="156">
                  <c:v>9.0403143246227547E-3</c:v>
                </c:pt>
                <c:pt idx="157">
                  <c:v>9.1484017344552315E-3</c:v>
                </c:pt>
                <c:pt idx="158">
                  <c:v>9.2564117229070302E-3</c:v>
                </c:pt>
                <c:pt idx="159">
                  <c:v>9.364334437691654E-3</c:v>
                </c:pt>
                <c:pt idx="160">
                  <c:v>9.472160060384309E-3</c:v>
                </c:pt>
                <c:pt idx="161">
                  <c:v>9.5798788482841842E-3</c:v>
                </c:pt>
                <c:pt idx="162">
                  <c:v>9.6874811762075949E-3</c:v>
                </c:pt>
                <c:pt idx="163">
                  <c:v>9.7949575779166676E-3</c:v>
                </c:pt>
                <c:pt idx="164">
                  <c:v>9.902298786886558E-3</c:v>
                </c:pt>
                <c:pt idx="165">
                  <c:v>1.0009495776113989E-2</c:v>
                </c:pt>
                <c:pt idx="166">
                  <c:v>1.011653979667396E-2</c:v>
                </c:pt>
                <c:pt idx="167">
                  <c:v>1.022342241473664E-2</c:v>
                </c:pt>
                <c:pt idx="168">
                  <c:v>1.0330135546766067E-2</c:v>
                </c:pt>
                <c:pt idx="169">
                  <c:v>1.0436671492633347E-2</c:v>
                </c:pt>
                <c:pt idx="170">
                  <c:v>1.0543022966391395E-2</c:v>
                </c:pt>
                <c:pt idx="171">
                  <c:v>1.064918312447511E-2</c:v>
                </c:pt>
                <c:pt idx="172">
                  <c:v>1.075514559110983E-2</c:v>
                </c:pt>
                <c:pt idx="173">
                  <c:v>1.0860904480732719E-2</c:v>
                </c:pt>
                <c:pt idx="174">
                  <c:v>1.0966454417254766E-2</c:v>
                </c:pt>
                <c:pt idx="175">
                  <c:v>1.1071790550016869E-2</c:v>
                </c:pt>
                <c:pt idx="176">
                  <c:v>1.1176908566320122E-2</c:v>
                </c:pt>
                <c:pt idx="177">
                  <c:v>1.1281804700438852E-2</c:v>
                </c:pt>
                <c:pt idx="178">
                  <c:v>1.1386475739054439E-2</c:v>
                </c:pt>
                <c:pt idx="179">
                  <c:v>1.1490919023077866E-2</c:v>
                </c:pt>
                <c:pt idx="180">
                  <c:v>1.1595132445859992E-2</c:v>
                </c:pt>
                <c:pt idx="181">
                  <c:v>1.1699114447818989E-2</c:v>
                </c:pt>
                <c:pt idx="182">
                  <c:v>1.1802864007545391E-2</c:v>
                </c:pt>
                <c:pt idx="183">
                  <c:v>1.1906380629475263E-2</c:v>
                </c:pt>
                <c:pt idx="184">
                  <c:v>1.2009664328251658E-2</c:v>
                </c:pt>
                <c:pt idx="185">
                  <c:v>1.2112715609922496E-2</c:v>
                </c:pt>
                <c:pt idx="186">
                  <c:v>1.2215535450150748E-2</c:v>
                </c:pt>
                <c:pt idx="187">
                  <c:v>1.2318125269637225E-2</c:v>
                </c:pt>
                <c:pt idx="188">
                  <c:v>1.2420486906980341E-2</c:v>
                </c:pt>
                <c:pt idx="189">
                  <c:v>1.2522622589218223E-2</c:v>
                </c:pt>
                <c:pt idx="190">
                  <c:v>1.2624534900316859E-2</c:v>
                </c:pt>
                <c:pt idx="191">
                  <c:v>1.2726226747884787E-2</c:v>
                </c:pt>
                <c:pt idx="192">
                  <c:v>1.2827701328407435E-2</c:v>
                </c:pt>
                <c:pt idx="193">
                  <c:v>1.292896209130494E-2</c:v>
                </c:pt>
                <c:pt idx="194">
                  <c:v>1.3030012702124276E-2</c:v>
                </c:pt>
                <c:pt idx="195">
                  <c:v>1.313085700518048E-2</c:v>
                </c:pt>
                <c:pt idx="196">
                  <c:v>1.3231498985962863E-2</c:v>
                </c:pt>
                <c:pt idx="197">
                  <c:v>1.3331942733619272E-2</c:v>
                </c:pt>
                <c:pt idx="198">
                  <c:v>1.3432192403826081E-2</c:v>
                </c:pt>
                <c:pt idx="199">
                  <c:v>1.3532252182342476E-2</c:v>
                </c:pt>
                <c:pt idx="200">
                  <c:v>1.3632126249536025E-2</c:v>
                </c:pt>
                <c:pt idx="201">
                  <c:v>1.373181874615129E-2</c:v>
                </c:pt>
                <c:pt idx="202">
                  <c:v>1.3831333740575977E-2</c:v>
                </c:pt>
                <c:pt idx="203">
                  <c:v>1.3930675197838508E-2</c:v>
                </c:pt>
                <c:pt idx="204">
                  <c:v>1.4029846950548512E-2</c:v>
                </c:pt>
                <c:pt idx="205">
                  <c:v>1.4128852671967238E-2</c:v>
                </c:pt>
                <c:pt idx="206">
                  <c:v>1.422769585136761E-2</c:v>
                </c:pt>
                <c:pt idx="207">
                  <c:v>1.4326379771816604E-2</c:v>
                </c:pt>
                <c:pt idx="208">
                  <c:v>1.4424907490482319E-2</c:v>
                </c:pt>
                <c:pt idx="209">
                  <c:v>1.4523281821538765E-2</c:v>
                </c:pt>
                <c:pt idx="210">
                  <c:v>1.4621505321709985E-2</c:v>
                </c:pt>
                <c:pt idx="211">
                  <c:v>1.4719580278464865E-2</c:v>
                </c:pt>
                <c:pt idx="212">
                  <c:v>1.4817508700842889E-2</c:v>
                </c:pt>
                <c:pt idx="213">
                  <c:v>1.4915292312860928E-2</c:v>
                </c:pt>
                <c:pt idx="214">
                  <c:v>1.5012932549422381E-2</c:v>
                </c:pt>
                <c:pt idx="215">
                  <c:v>1.5110430554621235E-2</c:v>
                </c:pt>
                <c:pt idx="216">
                  <c:v>1.5207787182307831E-2</c:v>
                </c:pt>
                <c:pt idx="217">
                  <c:v>1.5305002998758388E-2</c:v>
                </c:pt>
                <c:pt idx="218">
                  <c:v>1.5402078287267779E-2</c:v>
                </c:pt>
                <c:pt idx="219">
                  <c:v>1.5499013054465759E-2</c:v>
                </c:pt>
                <c:pt idx="220">
                  <c:v>1.559580703813908E-2</c:v>
                </c:pt>
                <c:pt idx="221">
                  <c:v>1.5692459716328388E-2</c:v>
                </c:pt>
                <c:pt idx="222">
                  <c:v>1.5788970317457286E-2</c:v>
                </c:pt>
                <c:pt idx="223">
                  <c:v>1.5885337831243473E-2</c:v>
                </c:pt>
                <c:pt idx="224">
                  <c:v>1.5981561020137348E-2</c:v>
                </c:pt>
                <c:pt idx="225">
                  <c:v>1.6077638431032659E-2</c:v>
                </c:pt>
                <c:pt idx="226">
                  <c:v>1.6173568406996307E-2</c:v>
                </c:pt>
                <c:pt idx="227">
                  <c:v>1.6269349098770539E-2</c:v>
                </c:pt>
                <c:pt idx="228">
                  <c:v>1.6364978475810137E-2</c:v>
                </c:pt>
                <c:pt idx="229">
                  <c:v>1.6460454336630424E-2</c:v>
                </c:pt>
                <c:pt idx="230">
                  <c:v>1.6555774318257319E-2</c:v>
                </c:pt>
                <c:pt idx="231">
                  <c:v>1.6650935904590571E-2</c:v>
                </c:pt>
                <c:pt idx="232">
                  <c:v>1.6745936433512489E-2</c:v>
                </c:pt>
                <c:pt idx="233">
                  <c:v>1.6840773102599425E-2</c:v>
                </c:pt>
                <c:pt idx="234">
                  <c:v>1.6935442973319958E-2</c:v>
                </c:pt>
                <c:pt idx="235">
                  <c:v>1.7029942973632282E-2</c:v>
                </c:pt>
                <c:pt idx="236">
                  <c:v>1.712426989892403E-2</c:v>
                </c:pt>
                <c:pt idx="237">
                  <c:v>1.7218420411269256E-2</c:v>
                </c:pt>
                <c:pt idx="238">
                  <c:v>1.7312391037009781E-2</c:v>
                </c:pt>
                <c:pt idx="239">
                  <c:v>1.7406178162701492E-2</c:v>
                </c:pt>
                <c:pt idx="240">
                  <c:v>1.7499778029499067E-2</c:v>
                </c:pt>
                <c:pt idx="241">
                  <c:v>1.7593186726085355E-2</c:v>
                </c:pt>
                <c:pt idx="242">
                  <c:v>1.7686400180283997E-2</c:v>
                </c:pt>
                <c:pt idx="243">
                  <c:v>1.777941414952464E-2</c:v>
                </c:pt>
                <c:pt idx="244">
                  <c:v>1.7872224210358934E-2</c:v>
                </c:pt>
                <c:pt idx="245">
                  <c:v>1.7964825747253801E-2</c:v>
                </c:pt>
                <c:pt idx="246">
                  <c:v>1.8057213940912156E-2</c:v>
                </c:pt>
                <c:pt idx="247">
                  <c:v>1.8149383756394744E-2</c:v>
                </c:pt>
                <c:pt idx="248">
                  <c:v>1.8241329931334753E-2</c:v>
                </c:pt>
                <c:pt idx="249">
                  <c:v>1.8333046964553609E-2</c:v>
                </c:pt>
                <c:pt idx="250">
                  <c:v>1.8424529105397897E-2</c:v>
                </c:pt>
                <c:pt idx="251">
                  <c:v>1.8515770344125944E-2</c:v>
                </c:pt>
                <c:pt idx="252">
                  <c:v>1.8606764403676774E-2</c:v>
                </c:pt>
                <c:pt idx="253">
                  <c:v>1.8697504733154194E-2</c:v>
                </c:pt>
                <c:pt idx="254">
                  <c:v>1.8787984503354557E-2</c:v>
                </c:pt>
                <c:pt idx="255">
                  <c:v>1.8878196604658073E-2</c:v>
                </c:pt>
                <c:pt idx="256">
                  <c:v>1.8968133647590677E-2</c:v>
                </c:pt>
                <c:pt idx="257">
                  <c:v>1.9057787966346024E-2</c:v>
                </c:pt>
                <c:pt idx="258">
                  <c:v>1.9147151625535961E-2</c:v>
                </c:pt>
                <c:pt idx="259">
                  <c:v>1.9236216430411915E-2</c:v>
                </c:pt>
                <c:pt idx="260">
                  <c:v>1.9324973940770439E-2</c:v>
                </c:pt>
                <c:pt idx="261">
                  <c:v>1.9413415488723103E-2</c:v>
                </c:pt>
                <c:pt idx="262">
                  <c:v>1.9501532200474167E-2</c:v>
                </c:pt>
                <c:pt idx="263">
                  <c:v>1.9589315022210382E-2</c:v>
                </c:pt>
                <c:pt idx="264">
                  <c:v>1.9676754750165105E-2</c:v>
                </c:pt>
                <c:pt idx="265">
                  <c:v>1.9763842064874103E-2</c:v>
                </c:pt>
                <c:pt idx="266">
                  <c:v>1.9850567569595134E-2</c:v>
                </c:pt>
                <c:pt idx="267">
                  <c:v>1.9936921832814952E-2</c:v>
                </c:pt>
                <c:pt idx="268">
                  <c:v>2.0022895434719634E-2</c:v>
                </c:pt>
                <c:pt idx="269">
                  <c:v>2.0108479017455504E-2</c:v>
                </c:pt>
                <c:pt idx="270">
                  <c:v>2.0193663338958674E-2</c:v>
                </c:pt>
                <c:pt idx="271">
                  <c:v>2.0278439330084531E-2</c:v>
                </c:pt>
                <c:pt idx="272">
                  <c:v>2.0362798154721043E-2</c:v>
                </c:pt>
                <c:pt idx="273">
                  <c:v>2.0446731272525335E-2</c:v>
                </c:pt>
                <c:pt idx="274">
                  <c:v>2.0530230503880722E-2</c:v>
                </c:pt>
                <c:pt idx="275">
                  <c:v>2.06132880966312E-2</c:v>
                </c:pt>
                <c:pt idx="276">
                  <c:v>2.069589679411462E-2</c:v>
                </c:pt>
                <c:pt idx="277">
                  <c:v>2.0778049903982476E-2</c:v>
                </c:pt>
                <c:pt idx="278">
                  <c:v>2.0859741367266357E-2</c:v>
                </c:pt>
                <c:pt idx="279">
                  <c:v>2.0940965827126855E-2</c:v>
                </c:pt>
                <c:pt idx="280">
                  <c:v>2.1021718696701695E-2</c:v>
                </c:pt>
                <c:pt idx="281">
                  <c:v>2.1101996225456356E-2</c:v>
                </c:pt>
                <c:pt idx="282">
                  <c:v>2.1181795563431836E-2</c:v>
                </c:pt>
                <c:pt idx="283">
                  <c:v>2.1261114822781719E-2</c:v>
                </c:pt>
                <c:pt idx="284">
                  <c:v>2.1339953135993964E-2</c:v>
                </c:pt>
                <c:pt idx="285">
                  <c:v>2.1418310710201744E-2</c:v>
                </c:pt>
                <c:pt idx="286">
                  <c:v>2.1496188877002834E-2</c:v>
                </c:pt>
                <c:pt idx="287">
                  <c:v>2.1573590137228146E-2</c:v>
                </c:pt>
                <c:pt idx="288">
                  <c:v>2.1650518200126451E-2</c:v>
                </c:pt>
                <c:pt idx="289">
                  <c:v>2.1726978016465198E-2</c:v>
                </c:pt>
                <c:pt idx="290">
                  <c:v>2.180297580508499E-2</c:v>
                </c:pt>
                <c:pt idx="291">
                  <c:v>2.1878519072488573E-2</c:v>
                </c:pt>
                <c:pt idx="292">
                  <c:v>2.1953616625093098E-2</c:v>
                </c:pt>
                <c:pt idx="293">
                  <c:v>2.2028278573827109E-2</c:v>
                </c:pt>
                <c:pt idx="294">
                  <c:v>2.2102516330809938E-2</c:v>
                </c:pt>
                <c:pt idx="295">
                  <c:v>2.2176342597911739E-2</c:v>
                </c:pt>
                <c:pt idx="296">
                  <c:v>2.2249771347055327E-2</c:v>
                </c:pt>
                <c:pt idx="297">
                  <c:v>2.2322817792186742E-2</c:v>
                </c:pt>
                <c:pt idx="298">
                  <c:v>2.2395498352909382E-2</c:v>
                </c:pt>
                <c:pt idx="299">
                  <c:v>2.246783060984512E-2</c:v>
                </c:pt>
                <c:pt idx="300">
                  <c:v>2.2539833251855698E-2</c:v>
                </c:pt>
                <c:pt idx="301">
                  <c:v>2.261152601532733E-2</c:v>
                </c:pt>
                <c:pt idx="302">
                  <c:v>2.2682929615790385E-2</c:v>
                </c:pt>
                <c:pt idx="303">
                  <c:v>2.2754065672213643E-2</c:v>
                </c:pt>
                <c:pt idx="304">
                  <c:v>2.2824956624378709E-2</c:v>
                </c:pt>
                <c:pt idx="305">
                  <c:v>2.289562564380292E-2</c:v>
                </c:pt>
                <c:pt idx="306">
                  <c:v>2.296609653873919E-2</c:v>
                </c:pt>
                <c:pt idx="307">
                  <c:v>2.3036393653837518E-2</c:v>
                </c:pt>
                <c:pt idx="308">
                  <c:v>2.3106541765104203E-2</c:v>
                </c:pt>
                <c:pt idx="309">
                  <c:v>2.3176565970842049E-2</c:v>
                </c:pt>
                <c:pt idx="310">
                  <c:v>2.3246491579295731E-2</c:v>
                </c:pt>
                <c:pt idx="311">
                  <c:v>2.3316343993762565E-2</c:v>
                </c:pt>
                <c:pt idx="312">
                  <c:v>2.338614859595765E-2</c:v>
                </c:pt>
                <c:pt idx="313">
                  <c:v>2.3455930628445348E-2</c:v>
                </c:pt>
                <c:pt idx="314">
                  <c:v>2.3525715076964954E-2</c:v>
                </c:pt>
                <c:pt idx="315">
                  <c:v>2.3595526553486942E-2</c:v>
                </c:pt>
                <c:pt idx="316">
                  <c:v>2.3665389180837937E-2</c:v>
                </c:pt>
                <c:pt idx="317">
                  <c:v>2.3735326479726954E-2</c:v>
                </c:pt>
                <c:pt idx="318">
                  <c:v>2.3805361258992141E-2</c:v>
                </c:pt>
                <c:pt idx="319">
                  <c:v>2.3875515509867589E-2</c:v>
                </c:pt>
                <c:pt idx="320">
                  <c:v>2.394581030504199E-2</c:v>
                </c:pt>
                <c:pt idx="321">
                  <c:v>2.401626570324741E-2</c:v>
                </c:pt>
                <c:pt idx="322">
                  <c:v>2.4086900660075211E-2</c:v>
                </c:pt>
                <c:pt idx="323">
                  <c:v>2.4157732945669367E-2</c:v>
                </c:pt>
                <c:pt idx="324">
                  <c:v>2.4228779069894981E-2</c:v>
                </c:pt>
                <c:pt idx="325">
                  <c:v>2.4300054215520894E-2</c:v>
                </c:pt>
                <c:pt idx="326">
                  <c:v>2.4371572179892709E-2</c:v>
                </c:pt>
                <c:pt idx="327">
                  <c:v>2.4443345325505048E-2</c:v>
                </c:pt>
                <c:pt idx="328">
                  <c:v>2.4515384539810246E-2</c:v>
                </c:pt>
                <c:pt idx="329">
                  <c:v>2.4587699204527112E-2</c:v>
                </c:pt>
                <c:pt idx="330">
                  <c:v>2.4660297174636126E-2</c:v>
                </c:pt>
                <c:pt idx="331">
                  <c:v>2.473318476716924E-2</c:v>
                </c:pt>
                <c:pt idx="332">
                  <c:v>2.4806366759823319E-2</c:v>
                </c:pt>
                <c:pt idx="333">
                  <c:v>2.4879846399346008E-2</c:v>
                </c:pt>
                <c:pt idx="334">
                  <c:v>2.4953625419564276E-2</c:v>
                </c:pt>
                <c:pt idx="335">
                  <c:v>2.502770406884736E-2</c:v>
                </c:pt>
                <c:pt idx="336">
                  <c:v>2.5102081146719836E-2</c:v>
                </c:pt>
                <c:pt idx="337">
                  <c:v>2.5176754049267409E-2</c:v>
                </c:pt>
                <c:pt idx="338">
                  <c:v>2.5251718822907141E-2</c:v>
                </c:pt>
                <c:pt idx="339">
                  <c:v>2.5326970226028273E-2</c:v>
                </c:pt>
                <c:pt idx="340">
                  <c:v>2.5402501797947435E-2</c:v>
                </c:pt>
                <c:pt idx="341">
                  <c:v>2.5478305934566018E-2</c:v>
                </c:pt>
                <c:pt idx="342">
                  <c:v>2.5554373970065894E-2</c:v>
                </c:pt>
                <c:pt idx="343">
                  <c:v>2.5630696263935365E-2</c:v>
                </c:pt>
                <c:pt idx="344">
                  <c:v>2.5707262292578317E-2</c:v>
                </c:pt>
                <c:pt idx="345">
                  <c:v>2.5784060744728322E-2</c:v>
                </c:pt>
                <c:pt idx="346">
                  <c:v>2.5861079619864814E-2</c:v>
                </c:pt>
                <c:pt idx="347">
                  <c:v>2.5938306328811452E-2</c:v>
                </c:pt>
                <c:pt idx="348">
                  <c:v>2.6015727795686928E-2</c:v>
                </c:pt>
                <c:pt idx="349">
                  <c:v>2.60933305603765E-2</c:v>
                </c:pt>
                <c:pt idx="350">
                  <c:v>2.6171100880697674E-2</c:v>
                </c:pt>
                <c:pt idx="351">
                  <c:v>2.6249024833446443E-2</c:v>
                </c:pt>
                <c:pt idx="352">
                  <c:v>2.6327088413530257E-2</c:v>
                </c:pt>
                <c:pt idx="353">
                  <c:v>2.6405277630421192E-2</c:v>
                </c:pt>
                <c:pt idx="354">
                  <c:v>2.6483578601196506E-2</c:v>
                </c:pt>
                <c:pt idx="355">
                  <c:v>2.6561977639473856E-2</c:v>
                </c:pt>
                <c:pt idx="356">
                  <c:v>2.6640461339594995E-2</c:v>
                </c:pt>
                <c:pt idx="357">
                  <c:v>2.6719016655463064E-2</c:v>
                </c:pt>
                <c:pt idx="358">
                  <c:v>2.6797630973495534E-2</c:v>
                </c:pt>
                <c:pt idx="359">
                  <c:v>2.6876292179215687E-2</c:v>
                </c:pt>
                <c:pt idx="360">
                  <c:v>2.6954988717070815E-2</c:v>
                </c:pt>
                <c:pt idx="361">
                  <c:v>2.7033709643132724E-2</c:v>
                </c:pt>
                <c:pt idx="362">
                  <c:v>2.711244467040707E-2</c:v>
                </c:pt>
                <c:pt idx="363">
                  <c:v>2.7191184206550267E-2</c:v>
                </c:pt>
                <c:pt idx="364">
                  <c:v>2.7269919383865589E-2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1.2723470152725471E-4</c:v>
                </c:pt>
                <c:pt idx="1">
                  <c:v>1.2668884424827339E-4</c:v>
                </c:pt>
                <c:pt idx="2">
                  <c:v>1.2601484703110531E-4</c:v>
                </c:pt>
                <c:pt idx="3">
                  <c:v>1.2522125870838448E-4</c:v>
                </c:pt>
                <c:pt idx="4">
                  <c:v>1.2431644740748134E-4</c:v>
                </c:pt>
                <c:pt idx="5">
                  <c:v>1.2330853951649382E-4</c:v>
                </c:pt>
                <c:pt idx="6">
                  <c:v>1.2220536872483768E-4</c:v>
                </c:pt>
                <c:pt idx="7">
                  <c:v>1.210144342800061E-4</c:v>
                </c:pt>
                <c:pt idx="8">
                  <c:v>1.19726365584047E-4</c:v>
                </c:pt>
                <c:pt idx="9">
                  <c:v>1.1814460025184013E-4</c:v>
                </c:pt>
                <c:pt idx="10">
                  <c:v>1.1622665666703299E-4</c:v>
                </c:pt>
                <c:pt idx="11">
                  <c:v>1.1398282497640587E-4</c:v>
                </c:pt>
                <c:pt idx="12">
                  <c:v>1.1142350722238254E-4</c:v>
                </c:pt>
                <c:pt idx="13">
                  <c:v>1.085591650789529E-4</c:v>
                </c:pt>
                <c:pt idx="14">
                  <c:v>1.0540027095561374E-4</c:v>
                </c:pt>
                <c:pt idx="15">
                  <c:v>1.0202042485071556E-4</c:v>
                </c:pt>
                <c:pt idx="16">
                  <c:v>9.8568455555982405E-5</c:v>
                </c:pt>
                <c:pt idx="17">
                  <c:v>9.5048999560981079E-5</c:v>
                </c:pt>
                <c:pt idx="18">
                  <c:v>9.1466523684992663E-5</c:v>
                </c:pt>
                <c:pt idx="19">
                  <c:v>8.7825808303699385E-5</c:v>
                </c:pt>
                <c:pt idx="20">
                  <c:v>8.413158229330854E-5</c:v>
                </c:pt>
                <c:pt idx="21">
                  <c:v>8.0387920574815096E-5</c:v>
                </c:pt>
                <c:pt idx="22">
                  <c:v>7.659148035078813E-5</c:v>
                </c:pt>
                <c:pt idx="23">
                  <c:v>7.2828142813933288E-5</c:v>
                </c:pt>
                <c:pt idx="24">
                  <c:v>6.9264117862519487E-5</c:v>
                </c:pt>
                <c:pt idx="25">
                  <c:v>6.5898532654061996E-5</c:v>
                </c:pt>
                <c:pt idx="26">
                  <c:v>6.2729800521931284E-5</c:v>
                </c:pt>
                <c:pt idx="27">
                  <c:v>5.9755727652618491E-5</c:v>
                </c:pt>
                <c:pt idx="28">
                  <c:v>5.6973613886005138E-5</c:v>
                </c:pt>
                <c:pt idx="29">
                  <c:v>5.4510177201786635E-5</c:v>
                </c:pt>
                <c:pt idx="30">
                  <c:v>5.2303527434454805E-5</c:v>
                </c:pt>
                <c:pt idx="31">
                  <c:v>5.0347811143950718E-5</c:v>
                </c:pt>
                <c:pt idx="32">
                  <c:v>4.8637117164210797E-5</c:v>
                </c:pt>
                <c:pt idx="33">
                  <c:v>4.7165559212007253E-5</c:v>
                </c:pt>
                <c:pt idx="34">
                  <c:v>4.592734968224118E-5</c:v>
                </c:pt>
                <c:pt idx="35">
                  <c:v>4.4916865322407724E-5</c:v>
                </c:pt>
                <c:pt idx="36">
                  <c:v>4.4125977298555839E-5</c:v>
                </c:pt>
                <c:pt idx="37">
                  <c:v>4.3714458474951833E-5</c:v>
                </c:pt>
                <c:pt idx="38">
                  <c:v>4.3597183665242245E-5</c:v>
                </c:pt>
                <c:pt idx="39">
                  <c:v>4.3765966221886767E-5</c:v>
                </c:pt>
                <c:pt idx="40">
                  <c:v>4.4212934789077948E-5</c:v>
                </c:pt>
                <c:pt idx="41">
                  <c:v>4.4930504280845019E-5</c:v>
                </c:pt>
                <c:pt idx="42">
                  <c:v>4.5911349261656971E-5</c:v>
                </c:pt>
                <c:pt idx="43">
                  <c:v>4.6945127640794173E-5</c:v>
                </c:pt>
                <c:pt idx="44">
                  <c:v>4.7917372977953544E-5</c:v>
                </c:pt>
                <c:pt idx="45">
                  <c:v>4.8829383263441162E-5</c:v>
                </c:pt>
                <c:pt idx="46">
                  <c:v>4.9682403921263098E-5</c:v>
                </c:pt>
                <c:pt idx="47">
                  <c:v>5.0477634321853999E-5</c:v>
                </c:pt>
                <c:pt idx="48">
                  <c:v>5.1216233940369279E-5</c:v>
                </c:pt>
                <c:pt idx="49">
                  <c:v>5.1899328148391522E-5</c:v>
                </c:pt>
                <c:pt idx="50">
                  <c:v>5.2527805868771745E-5</c:v>
                </c:pt>
                <c:pt idx="51">
                  <c:v>5.2783215739631982E-5</c:v>
                </c:pt>
                <c:pt idx="52">
                  <c:v>5.2527008836445688E-5</c:v>
                </c:pt>
                <c:pt idx="53">
                  <c:v>5.177196477801242E-5</c:v>
                </c:pt>
                <c:pt idx="54">
                  <c:v>5.0530791317477743E-5</c:v>
                </c:pt>
                <c:pt idx="55">
                  <c:v>4.8815836291405693E-5</c:v>
                </c:pt>
                <c:pt idx="56">
                  <c:v>4.6639061582125452E-5</c:v>
                </c:pt>
                <c:pt idx="57">
                  <c:v>4.4135819211564467E-5</c:v>
                </c:pt>
                <c:pt idx="58">
                  <c:v>4.1493629233426124E-5</c:v>
                </c:pt>
                <c:pt idx="59">
                  <c:v>3.8716058466656673E-5</c:v>
                </c:pt>
                <c:pt idx="60">
                  <c:v>3.5806466011001918E-5</c:v>
                </c:pt>
                <c:pt idx="61">
                  <c:v>3.2767996509684977E-5</c:v>
                </c:pt>
                <c:pt idx="62">
                  <c:v>2.9603573353662603E-5</c:v>
                </c:pt>
                <c:pt idx="63">
                  <c:v>2.6315891802061527E-5</c:v>
                </c:pt>
                <c:pt idx="64">
                  <c:v>2.2906777011315943E-5</c:v>
                </c:pt>
                <c:pt idx="65">
                  <c:v>1.9551997388710928E-5</c:v>
                </c:pt>
                <c:pt idx="66">
                  <c:v>1.6534557651435084E-5</c:v>
                </c:pt>
                <c:pt idx="67">
                  <c:v>1.3847075654567717E-5</c:v>
                </c:pt>
                <c:pt idx="68">
                  <c:v>1.1482350080494083E-5</c:v>
                </c:pt>
                <c:pt idx="69">
                  <c:v>9.4333753450217713E-6</c:v>
                </c:pt>
                <c:pt idx="70">
                  <c:v>7.6933563411429154E-6</c:v>
                </c:pt>
                <c:pt idx="71">
                  <c:v>6.2520759009773473E-6</c:v>
                </c:pt>
                <c:pt idx="72">
                  <c:v>4.9924085675999705E-6</c:v>
                </c:pt>
                <c:pt idx="73">
                  <c:v>3.9105124647650152E-6</c:v>
                </c:pt>
                <c:pt idx="74">
                  <c:v>3.0026910655356092E-6</c:v>
                </c:pt>
                <c:pt idx="75">
                  <c:v>2.2654014482856802E-6</c:v>
                </c:pt>
                <c:pt idx="76">
                  <c:v>1.6952624294172006E-6</c:v>
                </c:pt>
                <c:pt idx="77">
                  <c:v>1.2890625628868469E-6</c:v>
                </c:pt>
                <c:pt idx="78">
                  <c:v>1.0437093598319162E-6</c:v>
                </c:pt>
                <c:pt idx="79">
                  <c:v>9.6041781885096804E-7</c:v>
                </c:pt>
                <c:pt idx="80">
                  <c:v>8.7875498150200744E-7</c:v>
                </c:pt>
                <c:pt idx="81">
                  <c:v>7.9869676415558363E-7</c:v>
                </c:pt>
                <c:pt idx="82">
                  <c:v>7.2021165739667595E-7</c:v>
                </c:pt>
                <c:pt idx="83">
                  <c:v>6.4326130489133983E-7</c:v>
                </c:pt>
                <c:pt idx="84">
                  <c:v>5.6780105028984619E-7</c:v>
                </c:pt>
                <c:pt idx="85">
                  <c:v>4.9949203684152825E-7</c:v>
                </c:pt>
                <c:pt idx="86">
                  <c:v>4.415522407713179E-7</c:v>
                </c:pt>
                <c:pt idx="87">
                  <c:v>3.9381374770548113E-7</c:v>
                </c:pt>
                <c:pt idx="88">
                  <c:v>3.5612187024127394E-7</c:v>
                </c:pt>
                <c:pt idx="89">
                  <c:v>3.2833710901355002E-7</c:v>
                </c:pt>
                <c:pt idx="90">
                  <c:v>3.1033701351468605E-7</c:v>
                </c:pt>
                <c:pt idx="91">
                  <c:v>3.0201796105361953E-7</c:v>
                </c:pt>
                <c:pt idx="92">
                  <c:v>3.0354638418467145E-7</c:v>
                </c:pt>
                <c:pt idx="93">
                  <c:v>3.2545572506840798E-7</c:v>
                </c:pt>
                <c:pt idx="94">
                  <c:v>3.6352460139208708E-7</c:v>
                </c:pt>
                <c:pt idx="95">
                  <c:v>4.1773852225174838E-7</c:v>
                </c:pt>
                <c:pt idx="96">
                  <c:v>4.8811584824298192E-7</c:v>
                </c:pt>
                <c:pt idx="97">
                  <c:v>5.7470844747046351E-7</c:v>
                </c:pt>
                <c:pt idx="98">
                  <c:v>6.7760238363638215E-7</c:v>
                </c:pt>
                <c:pt idx="99">
                  <c:v>8.3059306560749349E-7</c:v>
                </c:pt>
                <c:pt idx="100">
                  <c:v>1.0282092176043214E-6</c:v>
                </c:pt>
                <c:pt idx="101">
                  <c:v>1.270661003066277E-6</c:v>
                </c:pt>
                <c:pt idx="102">
                  <c:v>1.558248160472432E-6</c:v>
                </c:pt>
                <c:pt idx="103">
                  <c:v>1.8913614395255545E-6</c:v>
                </c:pt>
                <c:pt idx="104">
                  <c:v>2.2704840824865122E-6</c:v>
                </c:pt>
                <c:pt idx="105">
                  <c:v>2.6961933484201577E-6</c:v>
                </c:pt>
                <c:pt idx="106">
                  <c:v>3.1691849774542071E-6</c:v>
                </c:pt>
                <c:pt idx="107">
                  <c:v>3.7468953094736611E-6</c:v>
                </c:pt>
                <c:pt idx="108">
                  <c:v>4.419750002280147E-6</c:v>
                </c:pt>
                <c:pt idx="109">
                  <c:v>5.1891536114036355E-6</c:v>
                </c:pt>
                <c:pt idx="110">
                  <c:v>6.0567028727517411E-6</c:v>
                </c:pt>
                <c:pt idx="111">
                  <c:v>7.0241774083910139E-6</c:v>
                </c:pt>
                <c:pt idx="112">
                  <c:v>8.0935159313768703E-6</c:v>
                </c:pt>
                <c:pt idx="113">
                  <c:v>9.3556374400337773E-6</c:v>
                </c:pt>
                <c:pt idx="114">
                  <c:v>1.0779195419996941E-5</c:v>
                </c:pt>
                <c:pt idx="115">
                  <c:v>1.2367517272245932E-5</c:v>
                </c:pt>
                <c:pt idx="116">
                  <c:v>1.4124185748540156E-5</c:v>
                </c:pt>
                <c:pt idx="117">
                  <c:v>1.6053031182132167E-5</c:v>
                </c:pt>
                <c:pt idx="118">
                  <c:v>1.815812289439279E-5</c:v>
                </c:pt>
                <c:pt idx="119">
                  <c:v>2.0443759659042557E-5</c:v>
                </c:pt>
                <c:pt idx="120">
                  <c:v>2.2914843871676053E-5</c:v>
                </c:pt>
                <c:pt idx="121">
                  <c:v>2.566594500431579E-5</c:v>
                </c:pt>
                <c:pt idx="122">
                  <c:v>2.8643795605638876E-5</c:v>
                </c:pt>
                <c:pt idx="123">
                  <c:v>3.1855244416697763E-5</c:v>
                </c:pt>
                <c:pt idx="124">
                  <c:v>3.5307486376492473E-5</c:v>
                </c:pt>
                <c:pt idx="125">
                  <c:v>3.9008055130377548E-5</c:v>
                </c:pt>
                <c:pt idx="126">
                  <c:v>4.2964814045892886E-5</c:v>
                </c:pt>
                <c:pt idx="127">
                  <c:v>4.6918379007782665E-5</c:v>
                </c:pt>
                <c:pt idx="128">
                  <c:v>5.0773028192187459E-5</c:v>
                </c:pt>
                <c:pt idx="129">
                  <c:v>5.452833801080865E-5</c:v>
                </c:pt>
                <c:pt idx="130">
                  <c:v>5.8183592069562514E-5</c:v>
                </c:pt>
                <c:pt idx="131">
                  <c:v>6.1737782131055487E-5</c:v>
                </c:pt>
                <c:pt idx="132">
                  <c:v>6.5189609594246692E-5</c:v>
                </c:pt>
                <c:pt idx="133">
                  <c:v>6.8537487528248293E-5</c:v>
                </c:pt>
                <c:pt idx="134">
                  <c:v>7.1780376417150834E-5</c:v>
                </c:pt>
                <c:pt idx="135">
                  <c:v>7.4513094181385899E-5</c:v>
                </c:pt>
                <c:pt idx="136">
                  <c:v>7.6615500045148149E-5</c:v>
                </c:pt>
                <c:pt idx="137">
                  <c:v>7.8067188344375154E-5</c:v>
                </c:pt>
                <c:pt idx="138">
                  <c:v>7.8846647280551556E-5</c:v>
                </c:pt>
                <c:pt idx="139">
                  <c:v>7.8931316819807023E-5</c:v>
                </c:pt>
                <c:pt idx="140">
                  <c:v>7.8297653236457506E-5</c:v>
                </c:pt>
                <c:pt idx="141">
                  <c:v>7.7045471238814319E-5</c:v>
                </c:pt>
                <c:pt idx="142">
                  <c:v>7.5458014836270513E-5</c:v>
                </c:pt>
                <c:pt idx="143">
                  <c:v>7.3521101996289374E-5</c:v>
                </c:pt>
                <c:pt idx="144">
                  <c:v>7.1220679707005753E-5</c:v>
                </c:pt>
                <c:pt idx="145">
                  <c:v>6.854239479521446E-5</c:v>
                </c:pt>
                <c:pt idx="146">
                  <c:v>6.5471639750445216E-5</c:v>
                </c:pt>
                <c:pt idx="147">
                  <c:v>6.1993601988242797E-5</c:v>
                </c:pt>
                <c:pt idx="148">
                  <c:v>5.8093593595359052E-5</c:v>
                </c:pt>
                <c:pt idx="149">
                  <c:v>5.4010407736475476E-5</c:v>
                </c:pt>
                <c:pt idx="150">
                  <c:v>5.021697937590406E-5</c:v>
                </c:pt>
                <c:pt idx="151">
                  <c:v>4.6723557374834417E-5</c:v>
                </c:pt>
                <c:pt idx="152">
                  <c:v>4.3540670217473344E-5</c:v>
                </c:pt>
                <c:pt idx="153">
                  <c:v>4.067910275054384E-5</c:v>
                </c:pt>
                <c:pt idx="154">
                  <c:v>3.8149871788796321E-5</c:v>
                </c:pt>
                <c:pt idx="155">
                  <c:v>3.5999233144025175E-5</c:v>
                </c:pt>
                <c:pt idx="156">
                  <c:v>3.4099812345728012E-5</c:v>
                </c:pt>
                <c:pt idx="157">
                  <c:v>3.2461366620850174E-5</c:v>
                </c:pt>
                <c:pt idx="158">
                  <c:v>3.1093804555834487E-5</c:v>
                </c:pt>
                <c:pt idx="159">
                  <c:v>3.0007162789156445E-5</c:v>
                </c:pt>
                <c:pt idx="160">
                  <c:v>2.9211582808272287E-5</c:v>
                </c:pt>
                <c:pt idx="161">
                  <c:v>2.8717288145670901E-5</c:v>
                </c:pt>
                <c:pt idx="162">
                  <c:v>2.8534859348783581E-5</c:v>
                </c:pt>
                <c:pt idx="163">
                  <c:v>2.8669268276019722E-5</c:v>
                </c:pt>
                <c:pt idx="164">
                  <c:v>2.8832369260446813E-5</c:v>
                </c:pt>
                <c:pt idx="165">
                  <c:v>2.9025148275177334E-5</c:v>
                </c:pt>
                <c:pt idx="166">
                  <c:v>2.9248603795578401E-5</c:v>
                </c:pt>
                <c:pt idx="167">
                  <c:v>2.9503742118462865E-5</c:v>
                </c:pt>
                <c:pt idx="168">
                  <c:v>2.9791572632772353E-5</c:v>
                </c:pt>
                <c:pt idx="169">
                  <c:v>3.0107449869624641E-5</c:v>
                </c:pt>
                <c:pt idx="170">
                  <c:v>3.0410025601716956E-5</c:v>
                </c:pt>
                <c:pt idx="171">
                  <c:v>3.0698793837784756E-5</c:v>
                </c:pt>
                <c:pt idx="172">
                  <c:v>3.0973261534878826E-5</c:v>
                </c:pt>
                <c:pt idx="173">
                  <c:v>3.1232630648060651E-5</c:v>
                </c:pt>
                <c:pt idx="174">
                  <c:v>3.1476091814984592E-5</c:v>
                </c:pt>
                <c:pt idx="175">
                  <c:v>3.1703159397721345E-5</c:v>
                </c:pt>
                <c:pt idx="176">
                  <c:v>3.1913913907943468E-5</c:v>
                </c:pt>
                <c:pt idx="177">
                  <c:v>3.2154096884063635E-5</c:v>
                </c:pt>
                <c:pt idx="178">
                  <c:v>3.2430686830630543E-5</c:v>
                </c:pt>
                <c:pt idx="179">
                  <c:v>3.2744847027193614E-5</c:v>
                </c:pt>
                <c:pt idx="180">
                  <c:v>3.3097720272174008E-5</c:v>
                </c:pt>
                <c:pt idx="181">
                  <c:v>3.3490427584509899E-5</c:v>
                </c:pt>
                <c:pt idx="182">
                  <c:v>3.3924067219114792E-5</c:v>
                </c:pt>
                <c:pt idx="183">
                  <c:v>3.4750416402996412E-5</c:v>
                </c:pt>
                <c:pt idx="184">
                  <c:v>3.5983539000618597E-5</c:v>
                </c:pt>
                <c:pt idx="185">
                  <c:v>3.7631290964978456E-5</c:v>
                </c:pt>
                <c:pt idx="186">
                  <c:v>3.9701243626704542E-5</c:v>
                </c:pt>
                <c:pt idx="187">
                  <c:v>4.2200693217468132E-5</c:v>
                </c:pt>
                <c:pt idx="188">
                  <c:v>4.513667278648191E-5</c:v>
                </c:pt>
                <c:pt idx="189">
                  <c:v>4.8515966295073558E-5</c:v>
                </c:pt>
                <c:pt idx="190">
                  <c:v>5.2345323054552762E-5</c:v>
                </c:pt>
                <c:pt idx="191">
                  <c:v>5.6803372394540787E-5</c:v>
                </c:pt>
                <c:pt idx="192">
                  <c:v>6.1846935487180495E-5</c:v>
                </c:pt>
                <c:pt idx="193">
                  <c:v>6.7482827398038879E-5</c:v>
                </c:pt>
                <c:pt idx="194">
                  <c:v>7.3717659775725955E-5</c:v>
                </c:pt>
                <c:pt idx="195">
                  <c:v>8.055785817232214E-5</c:v>
                </c:pt>
                <c:pt idx="196">
                  <c:v>8.8009679311938031E-5</c:v>
                </c:pt>
                <c:pt idx="197">
                  <c:v>9.5363012485621886E-5</c:v>
                </c:pt>
                <c:pt idx="198">
                  <c:v>1.0223142425695828E-4</c:v>
                </c:pt>
                <c:pt idx="199">
                  <c:v>1.0860505871636896E-4</c:v>
                </c:pt>
                <c:pt idx="200">
                  <c:v>1.1447441121999843E-4</c:v>
                </c:pt>
                <c:pt idx="201">
                  <c:v>1.1983030875449634E-4</c:v>
                </c:pt>
                <c:pt idx="202">
                  <c:v>1.2466388961378491E-4</c:v>
                </c:pt>
                <c:pt idx="203">
                  <c:v>1.2896658275548045E-4</c:v>
                </c:pt>
                <c:pt idx="204">
                  <c:v>1.3273046984915279E-4</c:v>
                </c:pt>
                <c:pt idx="205">
                  <c:v>1.3546979990078299E-4</c:v>
                </c:pt>
                <c:pt idx="206">
                  <c:v>1.3699067988295189E-4</c:v>
                </c:pt>
                <c:pt idx="207">
                  <c:v>1.3727880387379767E-4</c:v>
                </c:pt>
                <c:pt idx="208">
                  <c:v>1.3632011471680219E-4</c:v>
                </c:pt>
                <c:pt idx="209">
                  <c:v>1.3410076359252692E-4</c:v>
                </c:pt>
                <c:pt idx="210">
                  <c:v>1.3060707247006503E-4</c:v>
                </c:pt>
                <c:pt idx="211">
                  <c:v>1.2603360438662403E-4</c:v>
                </c:pt>
                <c:pt idx="212">
                  <c:v>1.2113432531060888E-4</c:v>
                </c:pt>
                <c:pt idx="213">
                  <c:v>1.1590750444860461E-4</c:v>
                </c:pt>
                <c:pt idx="214">
                  <c:v>1.1035133018137963E-4</c:v>
                </c:pt>
                <c:pt idx="215">
                  <c:v>1.0446390976145665E-4</c:v>
                </c:pt>
                <c:pt idx="216">
                  <c:v>9.8243269920606673E-5</c:v>
                </c:pt>
                <c:pt idx="217">
                  <c:v>9.1687358296986486E-5</c:v>
                </c:pt>
                <c:pt idx="218">
                  <c:v>8.4793703684015191E-5</c:v>
                </c:pt>
                <c:pt idx="219">
                  <c:v>7.7748603748034939E-5</c:v>
                </c:pt>
                <c:pt idx="220">
                  <c:v>7.1055867836335417E-5</c:v>
                </c:pt>
                <c:pt idx="221">
                  <c:v>6.4720380931638681E-5</c:v>
                </c:pt>
                <c:pt idx="222">
                  <c:v>5.8746915094915428E-5</c:v>
                </c:pt>
                <c:pt idx="223">
                  <c:v>5.3140144386865958E-5</c:v>
                </c:pt>
                <c:pt idx="224">
                  <c:v>4.7904659032528982E-5</c:v>
                </c:pt>
                <c:pt idx="225">
                  <c:v>4.3170977279297054E-5</c:v>
                </c:pt>
                <c:pt idx="226">
                  <c:v>3.8723987345267897E-5</c:v>
                </c:pt>
                <c:pt idx="227">
                  <c:v>3.4566918639786982E-5</c:v>
                </c:pt>
                <c:pt idx="228">
                  <c:v>3.0702975647611914E-5</c:v>
                </c:pt>
                <c:pt idx="229">
                  <c:v>2.7135346241855638E-5</c:v>
                </c:pt>
                <c:pt idx="230">
                  <c:v>2.3867209641096624E-5</c:v>
                </c:pt>
                <c:pt idx="231">
                  <c:v>2.0901744064299302E-5</c:v>
                </c:pt>
                <c:pt idx="232">
                  <c:v>1.8241433066421706E-5</c:v>
                </c:pt>
                <c:pt idx="233">
                  <c:v>1.5965723253425249E-5</c:v>
                </c:pt>
                <c:pt idx="234">
                  <c:v>1.3880696737415273E-5</c:v>
                </c:pt>
                <c:pt idx="235">
                  <c:v>1.1988763994679128E-5</c:v>
                </c:pt>
                <c:pt idx="236">
                  <c:v>1.0292195199612651E-5</c:v>
                </c:pt>
                <c:pt idx="237">
                  <c:v>8.7931388039531594E-6</c:v>
                </c:pt>
                <c:pt idx="238">
                  <c:v>7.4936617599993877E-6</c:v>
                </c:pt>
                <c:pt idx="239">
                  <c:v>6.4233398958122779E-6</c:v>
                </c:pt>
                <c:pt idx="240">
                  <c:v>5.4520134296618317E-6</c:v>
                </c:pt>
                <c:pt idx="241">
                  <c:v>4.5806346055738359E-6</c:v>
                </c:pt>
                <c:pt idx="242">
                  <c:v>3.8101441114631006E-6</c:v>
                </c:pt>
                <c:pt idx="243">
                  <c:v>3.1414877883142099E-6</c:v>
                </c:pt>
                <c:pt idx="244">
                  <c:v>2.5756339239473922E-6</c:v>
                </c:pt>
                <c:pt idx="245">
                  <c:v>2.1135911981372143E-6</c:v>
                </c:pt>
                <c:pt idx="246">
                  <c:v>1.7563868045488975E-6</c:v>
                </c:pt>
                <c:pt idx="247">
                  <c:v>1.5253889531252621E-6</c:v>
                </c:pt>
                <c:pt idx="248">
                  <c:v>1.3414917469711295E-6</c:v>
                </c:pt>
                <c:pt idx="249">
                  <c:v>1.2052550771660508E-6</c:v>
                </c:pt>
                <c:pt idx="250">
                  <c:v>1.1172745092586915E-6</c:v>
                </c:pt>
                <c:pt idx="251">
                  <c:v>1.0781784341789834E-6</c:v>
                </c:pt>
                <c:pt idx="252">
                  <c:v>1.0886250092190497E-6</c:v>
                </c:pt>
                <c:pt idx="253">
                  <c:v>1.1707103366071961E-6</c:v>
                </c:pt>
                <c:pt idx="254">
                  <c:v>1.2961490864954534E-6</c:v>
                </c:pt>
                <c:pt idx="255">
                  <c:v>1.4655780348267625E-6</c:v>
                </c:pt>
                <c:pt idx="256">
                  <c:v>1.6796443959051015E-6</c:v>
                </c:pt>
                <c:pt idx="257">
                  <c:v>1.939002029396691E-6</c:v>
                </c:pt>
                <c:pt idx="258">
                  <c:v>2.2443073404855428E-6</c:v>
                </c:pt>
                <c:pt idx="259">
                  <c:v>2.5962148597758204E-6</c:v>
                </c:pt>
                <c:pt idx="260">
                  <c:v>2.9955526365053347E-6</c:v>
                </c:pt>
                <c:pt idx="261">
                  <c:v>3.7346448056418811E-6</c:v>
                </c:pt>
                <c:pt idx="262">
                  <c:v>4.797291647076236E-6</c:v>
                </c:pt>
                <c:pt idx="263">
                  <c:v>6.1888836155146315E-6</c:v>
                </c:pt>
                <c:pt idx="264">
                  <c:v>7.9148837697246444E-6</c:v>
                </c:pt>
                <c:pt idx="265">
                  <c:v>9.9808226700474759E-6</c:v>
                </c:pt>
                <c:pt idx="266">
                  <c:v>1.2392201053713677E-5</c:v>
                </c:pt>
                <c:pt idx="267">
                  <c:v>1.5523401852835869E-5</c:v>
                </c:pt>
                <c:pt idx="268">
                  <c:v>1.9362190018989542E-5</c:v>
                </c:pt>
                <c:pt idx="269">
                  <c:v>2.3918810277391618E-5</c:v>
                </c:pt>
                <c:pt idx="270">
                  <c:v>2.920303710894906E-5</c:v>
                </c:pt>
                <c:pt idx="271">
                  <c:v>3.5223997204601546E-5</c:v>
                </c:pt>
                <c:pt idx="272">
                  <c:v>4.1989982191820803E-5</c:v>
                </c:pt>
                <c:pt idx="273">
                  <c:v>4.9508252099493429E-5</c:v>
                </c:pt>
                <c:pt idx="274">
                  <c:v>5.7787640324993225E-5</c:v>
                </c:pt>
                <c:pt idx="275">
                  <c:v>6.6452828948621056E-5</c:v>
                </c:pt>
                <c:pt idx="276">
                  <c:v>7.5190423945723501E-5</c:v>
                </c:pt>
                <c:pt idx="277">
                  <c:v>8.3998088738487862E-5</c:v>
                </c:pt>
                <c:pt idx="278">
                  <c:v>9.2873409955167676E-5</c:v>
                </c:pt>
                <c:pt idx="279">
                  <c:v>1.0181390687486791E-4</c:v>
                </c:pt>
                <c:pt idx="280">
                  <c:v>1.1081704272044041E-4</c:v>
                </c:pt>
                <c:pt idx="281">
                  <c:v>1.1919890809310864E-4</c:v>
                </c:pt>
                <c:pt idx="282">
                  <c:v>1.265534386995774E-4</c:v>
                </c:pt>
                <c:pt idx="283">
                  <c:v>1.3286554497682167E-4</c:v>
                </c:pt>
                <c:pt idx="284">
                  <c:v>1.3812064632096093E-4</c:v>
                </c:pt>
                <c:pt idx="285">
                  <c:v>1.4230470501396217E-4</c:v>
                </c:pt>
                <c:pt idx="286">
                  <c:v>1.4540425446915982E-4</c:v>
                </c:pt>
                <c:pt idx="287">
                  <c:v>1.4740642098843315E-4</c:v>
                </c:pt>
                <c:pt idx="288">
                  <c:v>1.4830242818596642E-4</c:v>
                </c:pt>
                <c:pt idx="289">
                  <c:v>1.4807728584408317E-4</c:v>
                </c:pt>
                <c:pt idx="290">
                  <c:v>1.4712905596823701E-4</c:v>
                </c:pt>
                <c:pt idx="291">
                  <c:v>1.4544982191219168E-4</c:v>
                </c:pt>
                <c:pt idx="292">
                  <c:v>1.4303195146656716E-4</c:v>
                </c:pt>
                <c:pt idx="293">
                  <c:v>1.3986815648172932E-4</c:v>
                </c:pt>
                <c:pt idx="294">
                  <c:v>1.3595155123934127E-4</c:v>
                </c:pt>
                <c:pt idx="295">
                  <c:v>1.3162067172679134E-4</c:v>
                </c:pt>
                <c:pt idx="296">
                  <c:v>1.2759132301212348E-4</c:v>
                </c:pt>
                <c:pt idx="297">
                  <c:v>1.2386776102385702E-4</c:v>
                </c:pt>
                <c:pt idx="298">
                  <c:v>1.2045307848791785E-4</c:v>
                </c:pt>
                <c:pt idx="299">
                  <c:v>1.17350303010521E-4</c:v>
                </c:pt>
                <c:pt idx="300">
                  <c:v>1.1456237037041383E-4</c:v>
                </c:pt>
                <c:pt idx="301">
                  <c:v>1.1209209804591471E-4</c:v>
                </c:pt>
                <c:pt idx="302">
                  <c:v>1.0994846528309281E-4</c:v>
                </c:pt>
                <c:pt idx="303">
                  <c:v>1.0834659978098778E-4</c:v>
                </c:pt>
                <c:pt idx="304">
                  <c:v>1.0729547145820227E-4</c:v>
                </c:pt>
                <c:pt idx="305">
                  <c:v>1.067985929055699E-4</c:v>
                </c:pt>
                <c:pt idx="306">
                  <c:v>1.0685945109243267E-4</c:v>
                </c:pt>
                <c:pt idx="307">
                  <c:v>1.0748148422131076E-4</c:v>
                </c:pt>
                <c:pt idx="308">
                  <c:v>1.0866805754243989E-4</c:v>
                </c:pt>
                <c:pt idx="309">
                  <c:v>1.1059523358989003E-4</c:v>
                </c:pt>
                <c:pt idx="310">
                  <c:v>1.1290966406688487E-4</c:v>
                </c:pt>
                <c:pt idx="311">
                  <c:v>1.1561314537398537E-4</c:v>
                </c:pt>
                <c:pt idx="312">
                  <c:v>1.1870731809968132E-4</c:v>
                </c:pt>
                <c:pt idx="313">
                  <c:v>1.2219363711227677E-4</c:v>
                </c:pt>
                <c:pt idx="314">
                  <c:v>1.26073338107871E-4</c:v>
                </c:pt>
                <c:pt idx="315">
                  <c:v>1.3034740015029357E-4</c:v>
                </c:pt>
                <c:pt idx="316">
                  <c:v>1.3502223754030489E-4</c:v>
                </c:pt>
                <c:pt idx="317">
                  <c:v>1.4017794669819429E-4</c:v>
                </c:pt>
                <c:pt idx="318">
                  <c:v>1.4560529282971204E-4</c:v>
                </c:pt>
                <c:pt idx="319">
                  <c:v>1.5130700398134343E-4</c:v>
                </c:pt>
                <c:pt idx="320">
                  <c:v>1.5728590697121835E-4</c:v>
                </c:pt>
                <c:pt idx="321">
                  <c:v>1.6354491681215436E-4</c:v>
                </c:pt>
                <c:pt idx="322">
                  <c:v>1.7008702236139434E-4</c:v>
                </c:pt>
                <c:pt idx="323">
                  <c:v>1.76609645222854E-4</c:v>
                </c:pt>
                <c:pt idx="324">
                  <c:v>1.8293565569132208E-4</c:v>
                </c:pt>
                <c:pt idx="325">
                  <c:v>1.8906477761890413E-4</c:v>
                </c:pt>
                <c:pt idx="326">
                  <c:v>1.9499532635239704E-4</c:v>
                </c:pt>
                <c:pt idx="327">
                  <c:v>2.0072607707936609E-4</c:v>
                </c:pt>
                <c:pt idx="328">
                  <c:v>2.0625656132068851E-4</c:v>
                </c:pt>
                <c:pt idx="329">
                  <c:v>2.1158609253362927E-4</c:v>
                </c:pt>
                <c:pt idx="330">
                  <c:v>2.1674163503692677E-4</c:v>
                </c:pt>
                <c:pt idx="331">
                  <c:v>2.2148087712366835E-4</c:v>
                </c:pt>
                <c:pt idx="332">
                  <c:v>2.2571795911186085E-4</c:v>
                </c:pt>
                <c:pt idx="333">
                  <c:v>2.2943868941913432E-4</c:v>
                </c:pt>
                <c:pt idx="334">
                  <c:v>2.3262686044213146E-4</c:v>
                </c:pt>
                <c:pt idx="335">
                  <c:v>2.3526447359015071E-4</c:v>
                </c:pt>
                <c:pt idx="336">
                  <c:v>2.3733200658529764E-4</c:v>
                </c:pt>
                <c:pt idx="337">
                  <c:v>2.3891321033262314E-4</c:v>
                </c:pt>
                <c:pt idx="338">
                  <c:v>2.403065663971626E-4</c:v>
                </c:pt>
                <c:pt idx="339">
                  <c:v>2.4149395942395346E-4</c:v>
                </c:pt>
                <c:pt idx="340">
                  <c:v>2.4245665210000271E-4</c:v>
                </c:pt>
                <c:pt idx="341">
                  <c:v>2.4317549621828813E-4</c:v>
                </c:pt>
                <c:pt idx="342">
                  <c:v>2.4363117965472343E-4</c:v>
                </c:pt>
                <c:pt idx="343">
                  <c:v>2.4380450818513387E-4</c:v>
                </c:pt>
                <c:pt idx="344">
                  <c:v>2.4371893851531996E-4</c:v>
                </c:pt>
                <c:pt idx="345">
                  <c:v>2.4340708140147533E-4</c:v>
                </c:pt>
                <c:pt idx="346">
                  <c:v>2.4313446408250427E-4</c:v>
                </c:pt>
                <c:pt idx="347">
                  <c:v>2.4289687494183316E-4</c:v>
                </c:pt>
                <c:pt idx="348">
                  <c:v>2.4269005015989774E-4</c:v>
                </c:pt>
                <c:pt idx="349">
                  <c:v>2.425096963477167E-4</c:v>
                </c:pt>
                <c:pt idx="350">
                  <c:v>2.4235151425959107E-4</c:v>
                </c:pt>
                <c:pt idx="351">
                  <c:v>2.4220641248570379E-4</c:v>
                </c:pt>
                <c:pt idx="352">
                  <c:v>2.419638959277951E-4</c:v>
                </c:pt>
                <c:pt idx="353">
                  <c:v>2.4162029918522676E-4</c:v>
                </c:pt>
                <c:pt idx="354">
                  <c:v>2.411723107232861E-4</c:v>
                </c:pt>
                <c:pt idx="355">
                  <c:v>2.406170110675507E-4</c:v>
                </c:pt>
                <c:pt idx="356">
                  <c:v>2.399505917850963E-4</c:v>
                </c:pt>
                <c:pt idx="357">
                  <c:v>2.3917203511312322E-4</c:v>
                </c:pt>
                <c:pt idx="358">
                  <c:v>2.3825749041961536E-4</c:v>
                </c:pt>
                <c:pt idx="359">
                  <c:v>2.3719374704842241E-4</c:v>
                </c:pt>
                <c:pt idx="360">
                  <c:v>2.3609791431688517E-4</c:v>
                </c:pt>
                <c:pt idx="361">
                  <c:v>2.3498657622125381E-4</c:v>
                </c:pt>
                <c:pt idx="362">
                  <c:v>2.3387133924099201E-4</c:v>
                </c:pt>
                <c:pt idx="363">
                  <c:v>2.3276349477297089E-4</c:v>
                </c:pt>
                <c:pt idx="364">
                  <c:v>2.3167396461519087E-4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74536"/>
        <c:axId val="357274928"/>
      </c:lineChart>
      <c:dateAx>
        <c:axId val="3572745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4928"/>
        <c:crosses val="autoZero"/>
        <c:auto val="1"/>
        <c:lblOffset val="100"/>
        <c:baseTimeUnit val="days"/>
        <c:majorUnit val="1"/>
        <c:majorTimeUnit val="months"/>
      </c:dateAx>
      <c:valAx>
        <c:axId val="3572749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2745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7264"/>
        <c:axId val="372536088"/>
      </c:lineChart>
      <c:dateAx>
        <c:axId val="37253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608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253608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7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5.1861063850512916E-4</c:v>
                </c:pt>
                <c:pt idx="1">
                  <c:v>5.1797775669451117E-4</c:v>
                </c:pt>
                <c:pt idx="2">
                  <c:v>5.1738984055470802E-4</c:v>
                </c:pt>
                <c:pt idx="3">
                  <c:v>5.168456182867131E-4</c:v>
                </c:pt>
                <c:pt idx="4">
                  <c:v>5.1634382728210442E-4</c:v>
                </c:pt>
                <c:pt idx="5">
                  <c:v>5.1588321303286909E-4</c:v>
                </c:pt>
                <c:pt idx="6">
                  <c:v>5.1546252804782167E-4</c:v>
                </c:pt>
                <c:pt idx="7">
                  <c:v>5.1508053075740082E-4</c:v>
                </c:pt>
                <c:pt idx="8">
                  <c:v>5.1473598442569937E-4</c:v>
                </c:pt>
                <c:pt idx="9">
                  <c:v>5.1423954889435141E-4</c:v>
                </c:pt>
                <c:pt idx="10">
                  <c:v>5.1325772117355375E-4</c:v>
                </c:pt>
                <c:pt idx="11">
                  <c:v>5.1178863408927913E-4</c:v>
                </c:pt>
                <c:pt idx="12">
                  <c:v>5.0983048352214904E-4</c:v>
                </c:pt>
                <c:pt idx="13">
                  <c:v>5.0738154054133836E-4</c:v>
                </c:pt>
                <c:pt idx="14">
                  <c:v>5.0444016352980991E-4</c:v>
                </c:pt>
                <c:pt idx="15">
                  <c:v>5.0104429178496053E-4</c:v>
                </c:pt>
                <c:pt idx="16">
                  <c:v>4.9748233263185104E-4</c:v>
                </c:pt>
                <c:pt idx="17">
                  <c:v>4.9375323215843884E-4</c:v>
                </c:pt>
                <c:pt idx="18">
                  <c:v>4.8985600351452308E-4</c:v>
                </c:pt>
                <c:pt idx="19">
                  <c:v>4.8579244038545995E-4</c:v>
                </c:pt>
                <c:pt idx="20">
                  <c:v>4.8156553008673085E-4</c:v>
                </c:pt>
                <c:pt idx="21">
                  <c:v>4.7717613005064473E-4</c:v>
                </c:pt>
                <c:pt idx="22">
                  <c:v>4.7262509792610143E-4</c:v>
                </c:pt>
                <c:pt idx="23">
                  <c:v>4.6843846084154874E-4</c:v>
                </c:pt>
                <c:pt idx="24">
                  <c:v>4.6480602597828523E-4</c:v>
                </c:pt>
                <c:pt idx="25">
                  <c:v>4.6172873026986211E-4</c:v>
                </c:pt>
                <c:pt idx="26">
                  <c:v>4.5920742693361666E-4</c:v>
                </c:pt>
                <c:pt idx="27">
                  <c:v>4.5724289252688E-4</c:v>
                </c:pt>
                <c:pt idx="28">
                  <c:v>4.5583583401314064E-4</c:v>
                </c:pt>
                <c:pt idx="29">
                  <c:v>4.5503061390630745E-4</c:v>
                </c:pt>
                <c:pt idx="30">
                  <c:v>4.5478827102891987E-4</c:v>
                </c:pt>
                <c:pt idx="31">
                  <c:v>4.55109343874412E-4</c:v>
                </c:pt>
                <c:pt idx="32">
                  <c:v>4.5599432952785112E-4</c:v>
                </c:pt>
                <c:pt idx="33">
                  <c:v>4.5744369077805718E-4</c:v>
                </c:pt>
                <c:pt idx="34">
                  <c:v>4.5945786323178085E-4</c:v>
                </c:pt>
                <c:pt idx="35">
                  <c:v>4.6203726242752805E-4</c:v>
                </c:pt>
                <c:pt idx="36">
                  <c:v>4.6518229094846147E-4</c:v>
                </c:pt>
                <c:pt idx="37">
                  <c:v>4.6708099316541718E-4</c:v>
                </c:pt>
                <c:pt idx="38">
                  <c:v>4.672092518120557E-4</c:v>
                </c:pt>
                <c:pt idx="39">
                  <c:v>4.6556810398556861E-4</c:v>
                </c:pt>
                <c:pt idx="40">
                  <c:v>4.6215860661572619E-4</c:v>
                </c:pt>
                <c:pt idx="41">
                  <c:v>4.5698181434716579E-4</c:v>
                </c:pt>
                <c:pt idx="42">
                  <c:v>4.5003875741841107E-4</c:v>
                </c:pt>
                <c:pt idx="43">
                  <c:v>4.4059066479977283E-4</c:v>
                </c:pt>
                <c:pt idx="44">
                  <c:v>4.2859495869458988E-4</c:v>
                </c:pt>
                <c:pt idx="45">
                  <c:v>4.1405262848878449E-4</c:v>
                </c:pt>
                <c:pt idx="46">
                  <c:v>3.9696451617788394E-4</c:v>
                </c:pt>
                <c:pt idx="47">
                  <c:v>3.7733128444611814E-4</c:v>
                </c:pt>
                <c:pt idx="48">
                  <c:v>3.5515338474003836E-4</c:v>
                </c:pt>
                <c:pt idx="49">
                  <c:v>3.3043102534583172E-4</c:v>
                </c:pt>
                <c:pt idx="50">
                  <c:v>3.0316413946431545E-4</c:v>
                </c:pt>
                <c:pt idx="51">
                  <c:v>2.7476405242099949E-4</c:v>
                </c:pt>
                <c:pt idx="52">
                  <c:v>2.4703930545943748E-4</c:v>
                </c:pt>
                <c:pt idx="53">
                  <c:v>2.1998799681433121E-4</c:v>
                </c:pt>
                <c:pt idx="54">
                  <c:v>1.9360978091172295E-4</c:v>
                </c:pt>
                <c:pt idx="55">
                  <c:v>1.679043632966664E-4</c:v>
                </c:pt>
                <c:pt idx="56">
                  <c:v>1.4287149814608708E-4</c:v>
                </c:pt>
                <c:pt idx="57">
                  <c:v>1.1938881444866482E-4</c:v>
                </c:pt>
                <c:pt idx="58">
                  <c:v>9.8195606055514169E-5</c:v>
                </c:pt>
                <c:pt idx="59">
                  <c:v>7.9291791488076329E-5</c:v>
                </c:pt>
                <c:pt idx="60">
                  <c:v>6.2677332986549287E-5</c:v>
                </c:pt>
                <c:pt idx="61">
                  <c:v>4.8352228039582213E-5</c:v>
                </c:pt>
                <c:pt idx="62">
                  <c:v>3.6316500913890271E-5</c:v>
                </c:pt>
                <c:pt idx="63">
                  <c:v>2.6570194184029043E-5</c:v>
                </c:pt>
                <c:pt idx="64">
                  <c:v>1.9113360261981808E-5</c:v>
                </c:pt>
                <c:pt idx="65">
                  <c:v>1.3945122670253917E-5</c:v>
                </c:pt>
                <c:pt idx="66">
                  <c:v>9.6537681694003703E-6</c:v>
                </c:pt>
                <c:pt idx="67">
                  <c:v>6.2393228401994648E-6</c:v>
                </c:pt>
                <c:pt idx="68">
                  <c:v>3.7018082737708399E-6</c:v>
                </c:pt>
                <c:pt idx="69">
                  <c:v>2.0412383273551459E-6</c:v>
                </c:pt>
                <c:pt idx="70">
                  <c:v>1.2576158801408745E-6</c:v>
                </c:pt>
                <c:pt idx="71">
                  <c:v>1.3422706816784258E-6</c:v>
                </c:pt>
                <c:pt idx="72">
                  <c:v>1.4173293295093285E-6</c:v>
                </c:pt>
                <c:pt idx="73">
                  <c:v>1.4827908262822237E-6</c:v>
                </c:pt>
                <c:pt idx="74">
                  <c:v>1.5386543097878977E-6</c:v>
                </c:pt>
                <c:pt idx="75">
                  <c:v>1.5849190884364819E-6</c:v>
                </c:pt>
                <c:pt idx="76">
                  <c:v>1.6215846767300462E-6</c:v>
                </c:pt>
                <c:pt idx="77">
                  <c:v>1.6486508307401742E-6</c:v>
                </c:pt>
                <c:pt idx="78">
                  <c:v>1.666117638897085E-6</c:v>
                </c:pt>
                <c:pt idx="79">
                  <c:v>1.6811100995464042E-6</c:v>
                </c:pt>
                <c:pt idx="80">
                  <c:v>1.6945624203001024E-6</c:v>
                </c:pt>
                <c:pt idx="81">
                  <c:v>1.7064742691412928E-6</c:v>
                </c:pt>
                <c:pt idx="82">
                  <c:v>1.7168453011597309E-6</c:v>
                </c:pt>
                <c:pt idx="83">
                  <c:v>1.7256751634794188E-6</c:v>
                </c:pt>
                <c:pt idx="84">
                  <c:v>1.7329635001919499E-6</c:v>
                </c:pt>
                <c:pt idx="85">
                  <c:v>1.7838589452193703E-6</c:v>
                </c:pt>
                <c:pt idx="86">
                  <c:v>1.8870075995178436E-6</c:v>
                </c:pt>
                <c:pt idx="87">
                  <c:v>2.0423997207430079E-6</c:v>
                </c:pt>
                <c:pt idx="88">
                  <c:v>2.2500246802738655E-6</c:v>
                </c:pt>
                <c:pt idx="89">
                  <c:v>2.5098707957407201E-6</c:v>
                </c:pt>
                <c:pt idx="90">
                  <c:v>2.8219251635479807E-6</c:v>
                </c:pt>
                <c:pt idx="91">
                  <c:v>3.1861734914057933E-6</c:v>
                </c:pt>
                <c:pt idx="92">
                  <c:v>3.6025999308565536E-6</c:v>
                </c:pt>
                <c:pt idx="93">
                  <c:v>4.0475639076281305E-6</c:v>
                </c:pt>
                <c:pt idx="94">
                  <c:v>4.5139399882024306E-6</c:v>
                </c:pt>
                <c:pt idx="95">
                  <c:v>5.0017149538311124E-6</c:v>
                </c:pt>
                <c:pt idx="96">
                  <c:v>5.5108743459666878E-6</c:v>
                </c:pt>
                <c:pt idx="97">
                  <c:v>6.0414023973517596E-6</c:v>
                </c:pt>
                <c:pt idx="98">
                  <c:v>6.5932819630674204E-6</c:v>
                </c:pt>
                <c:pt idx="99">
                  <c:v>7.6420002695410464E-6</c:v>
                </c:pt>
                <c:pt idx="100">
                  <c:v>9.1422775369802208E-6</c:v>
                </c:pt>
                <c:pt idx="101">
                  <c:v>1.1093924479742412E-5</c:v>
                </c:pt>
                <c:pt idx="102">
                  <c:v>1.3496731183530714E-5</c:v>
                </c:pt>
                <c:pt idx="103">
                  <c:v>1.6350465655686381E-5</c:v>
                </c:pt>
                <c:pt idx="104">
                  <c:v>1.9654872375762173E-5</c:v>
                </c:pt>
                <c:pt idx="105">
                  <c:v>2.3409670845842434E-5</c:v>
                </c:pt>
                <c:pt idx="106">
                  <c:v>2.7614554141027607E-5</c:v>
                </c:pt>
                <c:pt idx="107">
                  <c:v>3.3813515510734106E-5</c:v>
                </c:pt>
                <c:pt idx="108">
                  <c:v>4.2028940095031604E-5</c:v>
                </c:pt>
                <c:pt idx="109">
                  <c:v>5.2259503497856427E-5</c:v>
                </c:pt>
                <c:pt idx="110">
                  <c:v>6.4503939676869196E-5</c:v>
                </c:pt>
                <c:pt idx="111">
                  <c:v>7.8761018746603391E-5</c:v>
                </c:pt>
                <c:pt idx="112">
                  <c:v>9.5029329539806794E-5</c:v>
                </c:pt>
                <c:pt idx="113">
                  <c:v>1.1251550906886317E-4</c:v>
                </c:pt>
                <c:pt idx="114">
                  <c:v>1.3074420651929724E-4</c:v>
                </c:pt>
                <c:pt idx="115">
                  <c:v>1.4971463884694313E-4</c:v>
                </c:pt>
                <c:pt idx="116">
                  <c:v>1.6942598361628449E-4</c:v>
                </c:pt>
                <c:pt idx="117">
                  <c:v>1.8987737736018365E-4</c:v>
                </c:pt>
                <c:pt idx="118">
                  <c:v>2.1106791393834913E-4</c:v>
                </c:pt>
                <c:pt idx="119">
                  <c:v>2.3299664289612454E-4</c:v>
                </c:pt>
                <c:pt idx="120">
                  <c:v>2.5566256782286846E-4</c:v>
                </c:pt>
                <c:pt idx="121">
                  <c:v>2.7601402411384074E-4</c:v>
                </c:pt>
                <c:pt idx="122">
                  <c:v>2.9251307784010778E-4</c:v>
                </c:pt>
                <c:pt idx="123">
                  <c:v>3.0516234267755467E-4</c:v>
                </c:pt>
                <c:pt idx="124">
                  <c:v>3.1396457825021379E-4</c:v>
                </c:pt>
                <c:pt idx="125">
                  <c:v>3.1892269854652354E-4</c:v>
                </c:pt>
                <c:pt idx="126">
                  <c:v>3.2003978033142143E-4</c:v>
                </c:pt>
                <c:pt idx="127">
                  <c:v>3.1731975635128595E-4</c:v>
                </c:pt>
                <c:pt idx="128">
                  <c:v>3.1155489339430089E-4</c:v>
                </c:pt>
                <c:pt idx="129">
                  <c:v>3.0274806123315958E-4</c:v>
                </c:pt>
                <c:pt idx="130">
                  <c:v>2.9090228609246889E-4</c:v>
                </c:pt>
                <c:pt idx="131">
                  <c:v>2.7602075732631568E-4</c:v>
                </c:pt>
                <c:pt idx="132">
                  <c:v>2.5810683409907824E-4</c:v>
                </c:pt>
                <c:pt idx="133">
                  <c:v>2.3716405206793535E-4</c:v>
                </c:pt>
                <c:pt idx="134">
                  <c:v>2.1319613006364022E-4</c:v>
                </c:pt>
                <c:pt idx="135">
                  <c:v>1.878918863240703E-4</c:v>
                </c:pt>
                <c:pt idx="136">
                  <c:v>1.6428965543458223E-4</c:v>
                </c:pt>
                <c:pt idx="137">
                  <c:v>1.4238817786618423E-4</c:v>
                </c:pt>
                <c:pt idx="138">
                  <c:v>1.2218611292292783E-4</c:v>
                </c:pt>
                <c:pt idx="139">
                  <c:v>1.0368203503670122E-4</c:v>
                </c:pt>
                <c:pt idx="140">
                  <c:v>8.6874430054453551E-5</c:v>
                </c:pt>
                <c:pt idx="141">
                  <c:v>7.2180526891287738E-5</c:v>
                </c:pt>
                <c:pt idx="142">
                  <c:v>5.9597056337938775E-5</c:v>
                </c:pt>
                <c:pt idx="143">
                  <c:v>4.9121584288742531E-5</c:v>
                </c:pt>
                <c:pt idx="144">
                  <c:v>4.0751869435697757E-5</c:v>
                </c:pt>
                <c:pt idx="145">
                  <c:v>3.4485368378942211E-5</c:v>
                </c:pt>
                <c:pt idx="146">
                  <c:v>3.0319263826959986E-5</c:v>
                </c:pt>
                <c:pt idx="147">
                  <c:v>2.8250492798163495E-5</c:v>
                </c:pt>
                <c:pt idx="148">
                  <c:v>2.8275774821479525E-5</c:v>
                </c:pt>
                <c:pt idx="149">
                  <c:v>3.0164143932672673E-5</c:v>
                </c:pt>
                <c:pt idx="150">
                  <c:v>3.2239452418793164E-5</c:v>
                </c:pt>
                <c:pt idx="151">
                  <c:v>3.4501339170577698E-5</c:v>
                </c:pt>
                <c:pt idx="152">
                  <c:v>3.6949442817274881E-5</c:v>
                </c:pt>
                <c:pt idx="153">
                  <c:v>3.9583404283801163E-5</c:v>
                </c:pt>
                <c:pt idx="154">
                  <c:v>4.2402869348067084E-5</c:v>
                </c:pt>
                <c:pt idx="155">
                  <c:v>4.5223395828146211E-5</c:v>
                </c:pt>
                <c:pt idx="156">
                  <c:v>4.7629663958632507E-5</c:v>
                </c:pt>
                <c:pt idx="157">
                  <c:v>4.9622489416672757E-5</c:v>
                </c:pt>
                <c:pt idx="158">
                  <c:v>5.1202706185994612E-5</c:v>
                </c:pt>
                <c:pt idx="159">
                  <c:v>5.2371160996530584E-5</c:v>
                </c:pt>
                <c:pt idx="160">
                  <c:v>5.3128707764660237E-5</c:v>
                </c:pt>
                <c:pt idx="161">
                  <c:v>5.3476202032882172E-5</c:v>
                </c:pt>
                <c:pt idx="162">
                  <c:v>5.3414495409754073E-5</c:v>
                </c:pt>
                <c:pt idx="163">
                  <c:v>5.3046818640677165E-5</c:v>
                </c:pt>
                <c:pt idx="164">
                  <c:v>5.2599196978845469E-5</c:v>
                </c:pt>
                <c:pt idx="165">
                  <c:v>5.2071841878413015E-5</c:v>
                </c:pt>
                <c:pt idx="166">
                  <c:v>5.1464958270367253E-5</c:v>
                </c:pt>
                <c:pt idx="167">
                  <c:v>5.0778743462733692E-5</c:v>
                </c:pt>
                <c:pt idx="168">
                  <c:v>5.0013386042443499E-5</c:v>
                </c:pt>
                <c:pt idx="169">
                  <c:v>4.927109071890189E-5</c:v>
                </c:pt>
                <c:pt idx="170">
                  <c:v>4.8734277062501588E-5</c:v>
                </c:pt>
                <c:pt idx="171">
                  <c:v>4.8402652970007324E-5</c:v>
                </c:pt>
                <c:pt idx="172">
                  <c:v>4.8275944390968992E-5</c:v>
                </c:pt>
                <c:pt idx="173">
                  <c:v>4.8353403645661677E-5</c:v>
                </c:pt>
                <c:pt idx="174">
                  <c:v>4.8634268808055712E-5</c:v>
                </c:pt>
                <c:pt idx="175">
                  <c:v>4.9118259958947888E-5</c:v>
                </c:pt>
                <c:pt idx="176">
                  <c:v>4.9805098521073225E-5</c:v>
                </c:pt>
                <c:pt idx="177">
                  <c:v>5.0512738727132593E-5</c:v>
                </c:pt>
                <c:pt idx="178">
                  <c:v>5.1139625450267349E-5</c:v>
                </c:pt>
                <c:pt idx="179">
                  <c:v>5.1685913665448729E-5</c:v>
                </c:pt>
                <c:pt idx="180">
                  <c:v>5.2151758503815762E-5</c:v>
                </c:pt>
                <c:pt idx="181">
                  <c:v>5.2537314781804147E-5</c:v>
                </c:pt>
                <c:pt idx="182">
                  <c:v>5.2842736530722466E-5</c:v>
                </c:pt>
                <c:pt idx="183">
                  <c:v>5.2845033321967974E-5</c:v>
                </c:pt>
                <c:pt idx="184">
                  <c:v>5.244341772759151E-5</c:v>
                </c:pt>
                <c:pt idx="185">
                  <c:v>5.1638493488936465E-5</c:v>
                </c:pt>
                <c:pt idx="186">
                  <c:v>5.0430847926140912E-5</c:v>
                </c:pt>
                <c:pt idx="187">
                  <c:v>4.882104955750291E-5</c:v>
                </c:pt>
                <c:pt idx="188">
                  <c:v>4.6809645719097236E-5</c:v>
                </c:pt>
                <c:pt idx="189">
                  <c:v>4.4397160182897608E-5</c:v>
                </c:pt>
                <c:pt idx="190">
                  <c:v>4.1584090776964152E-5</c:v>
                </c:pt>
                <c:pt idx="191">
                  <c:v>3.8778557813482335E-5</c:v>
                </c:pt>
                <c:pt idx="192">
                  <c:v>3.6160997385107731E-5</c:v>
                </c:pt>
                <c:pt idx="193">
                  <c:v>3.3731118808270858E-5</c:v>
                </c:pt>
                <c:pt idx="194">
                  <c:v>3.1488637648208202E-5</c:v>
                </c:pt>
                <c:pt idx="195">
                  <c:v>2.943327681480875E-5</c:v>
                </c:pt>
                <c:pt idx="196">
                  <c:v>2.7564767657112731E-5</c:v>
                </c:pt>
                <c:pt idx="197">
                  <c:v>2.7515012569909543E-5</c:v>
                </c:pt>
                <c:pt idx="198">
                  <c:v>2.950385047339095E-5</c:v>
                </c:pt>
                <c:pt idx="199">
                  <c:v>3.3529309125466304E-5</c:v>
                </c:pt>
                <c:pt idx="200">
                  <c:v>3.958960124571837E-5</c:v>
                </c:pt>
                <c:pt idx="201">
                  <c:v>4.7683136590977777E-5</c:v>
                </c:pt>
                <c:pt idx="202">
                  <c:v>5.7808534030877021E-5</c:v>
                </c:pt>
                <c:pt idx="203">
                  <c:v>6.9964633624626545E-5</c:v>
                </c:pt>
                <c:pt idx="204">
                  <c:v>8.4150372807435692E-5</c:v>
                </c:pt>
                <c:pt idx="205">
                  <c:v>1.0036542905468327E-4</c:v>
                </c:pt>
                <c:pt idx="206">
                  <c:v>1.1820335498296294E-4</c:v>
                </c:pt>
                <c:pt idx="207">
                  <c:v>1.3766379617070941E-4</c:v>
                </c:pt>
                <c:pt idx="208">
                  <c:v>1.5874650870865674E-4</c:v>
                </c:pt>
                <c:pt idx="209">
                  <c:v>1.814513541450859E-4</c:v>
                </c:pt>
                <c:pt idx="210">
                  <c:v>2.0577829443623979E-4</c:v>
                </c:pt>
                <c:pt idx="211">
                  <c:v>2.2879512715516382E-4</c:v>
                </c:pt>
                <c:pt idx="212">
                  <c:v>2.4887681852077864E-4</c:v>
                </c:pt>
                <c:pt idx="213">
                  <c:v>2.660252488764382E-4</c:v>
                </c:pt>
                <c:pt idx="214">
                  <c:v>2.8024206733451664E-4</c:v>
                </c:pt>
                <c:pt idx="215">
                  <c:v>2.9152870088006497E-4</c:v>
                </c:pt>
                <c:pt idx="216">
                  <c:v>2.9988636347370493E-4</c:v>
                </c:pt>
                <c:pt idx="217">
                  <c:v>3.0531606515569554E-4</c:v>
                </c:pt>
                <c:pt idx="218">
                  <c:v>3.0781862114835634E-4</c:v>
                </c:pt>
                <c:pt idx="219">
                  <c:v>3.0663553312098446E-4</c:v>
                </c:pt>
                <c:pt idx="220">
                  <c:v>3.0176671819382421E-4</c:v>
                </c:pt>
                <c:pt idx="221">
                  <c:v>2.9321254223181272E-4</c:v>
                </c:pt>
                <c:pt idx="222">
                  <c:v>2.8097317241606575E-4</c:v>
                </c:pt>
                <c:pt idx="223">
                  <c:v>2.6504858871338798E-4</c:v>
                </c:pt>
                <c:pt idx="224">
                  <c:v>2.4543859533834606E-4</c:v>
                </c:pt>
                <c:pt idx="225">
                  <c:v>2.2362125883454236E-4</c:v>
                </c:pt>
                <c:pt idx="226">
                  <c:v>2.0252538919753426E-4</c:v>
                </c:pt>
                <c:pt idx="227">
                  <c:v>1.8215043067466949E-4</c:v>
                </c:pt>
                <c:pt idx="228">
                  <c:v>1.624958856227659E-4</c:v>
                </c:pt>
                <c:pt idx="229">
                  <c:v>1.4356131226972262E-4</c:v>
                </c:pt>
                <c:pt idx="230">
                  <c:v>1.2534632247944411E-4</c:v>
                </c:pt>
                <c:pt idx="231">
                  <c:v>1.0785057951659947E-4</c:v>
                </c:pt>
                <c:pt idx="232">
                  <c:v>9.1073795808625663E-5</c:v>
                </c:pt>
                <c:pt idx="233">
                  <c:v>7.5470507962587473E-5</c:v>
                </c:pt>
                <c:pt idx="234">
                  <c:v>6.179973741924765E-5</c:v>
                </c:pt>
                <c:pt idx="235">
                  <c:v>5.0061573285101981E-5</c:v>
                </c:pt>
                <c:pt idx="236">
                  <c:v>4.0256159902342204E-5</c:v>
                </c:pt>
                <c:pt idx="237">
                  <c:v>3.2383662267295384E-5</c:v>
                </c:pt>
                <c:pt idx="238">
                  <c:v>2.644431809335704E-5</c:v>
                </c:pt>
                <c:pt idx="239">
                  <c:v>2.2415852062741511E-5</c:v>
                </c:pt>
                <c:pt idx="240">
                  <c:v>1.8819263413004527E-5</c:v>
                </c:pt>
                <c:pt idx="241">
                  <c:v>1.5654591626394494E-5</c:v>
                </c:pt>
                <c:pt idx="242">
                  <c:v>1.2921893279272024E-5</c:v>
                </c:pt>
                <c:pt idx="243">
                  <c:v>1.0621242805346025E-5</c:v>
                </c:pt>
                <c:pt idx="244">
                  <c:v>8.7527332587027513E-6</c:v>
                </c:pt>
                <c:pt idx="245">
                  <c:v>7.3164770767390469E-6</c:v>
                </c:pt>
                <c:pt idx="246">
                  <c:v>6.3126068431635391E-6</c:v>
                </c:pt>
                <c:pt idx="247">
                  <c:v>5.784467252628144E-6</c:v>
                </c:pt>
                <c:pt idx="248">
                  <c:v>5.2768037412598459E-6</c:v>
                </c:pt>
                <c:pt idx="249">
                  <c:v>4.7896133473176993E-6</c:v>
                </c:pt>
                <c:pt idx="250">
                  <c:v>4.322893858299732E-6</c:v>
                </c:pt>
                <c:pt idx="251">
                  <c:v>3.8766438473653242E-6</c:v>
                </c:pt>
                <c:pt idx="252">
                  <c:v>3.4508627095375618E-6</c:v>
                </c:pt>
                <c:pt idx="253">
                  <c:v>3.0523653462772746E-6</c:v>
                </c:pt>
                <c:pt idx="254">
                  <c:v>2.7037962606185266E-6</c:v>
                </c:pt>
                <c:pt idx="255">
                  <c:v>2.4051771775848758E-6</c:v>
                </c:pt>
                <c:pt idx="256">
                  <c:v>2.1565325851245854E-6</c:v>
                </c:pt>
                <c:pt idx="257">
                  <c:v>1.9578898222446977E-6</c:v>
                </c:pt>
                <c:pt idx="258">
                  <c:v>1.8092791671728264E-6</c:v>
                </c:pt>
                <c:pt idx="259">
                  <c:v>1.7107339255382021E-6</c:v>
                </c:pt>
                <c:pt idx="260">
                  <c:v>1.6622905184947984E-6</c:v>
                </c:pt>
                <c:pt idx="261">
                  <c:v>1.6556844846510925E-6</c:v>
                </c:pt>
                <c:pt idx="262">
                  <c:v>1.6476164136070419E-6</c:v>
                </c:pt>
                <c:pt idx="263">
                  <c:v>1.6380850039938622E-6</c:v>
                </c:pt>
                <c:pt idx="264">
                  <c:v>1.6270889255352098E-6</c:v>
                </c:pt>
                <c:pt idx="265">
                  <c:v>1.6146353879613167E-6</c:v>
                </c:pt>
                <c:pt idx="266">
                  <c:v>1.6007269766832187E-6</c:v>
                </c:pt>
                <c:pt idx="267">
                  <c:v>1.5844656168773561E-6</c:v>
                </c:pt>
                <c:pt idx="268">
                  <c:v>1.559001718374708E-6</c:v>
                </c:pt>
                <c:pt idx="269">
                  <c:v>1.5243214096518141E-6</c:v>
                </c:pt>
                <c:pt idx="270">
                  <c:v>1.4804100268657456E-6</c:v>
                </c:pt>
                <c:pt idx="271">
                  <c:v>1.4272522153397674E-6</c:v>
                </c:pt>
                <c:pt idx="272">
                  <c:v>1.3648320310923813E-6</c:v>
                </c:pt>
                <c:pt idx="273">
                  <c:v>1.2931330423478298E-6</c:v>
                </c:pt>
                <c:pt idx="274">
                  <c:v>1.2121384310650953E-6</c:v>
                </c:pt>
                <c:pt idx="275">
                  <c:v>1.9683612755401185E-6</c:v>
                </c:pt>
                <c:pt idx="276">
                  <c:v>3.571388145067397E-6</c:v>
                </c:pt>
                <c:pt idx="277">
                  <c:v>6.0225043423418847E-6</c:v>
                </c:pt>
                <c:pt idx="278">
                  <c:v>9.3230265430400068E-6</c:v>
                </c:pt>
                <c:pt idx="279">
                  <c:v>1.3474293511935319E-5</c:v>
                </c:pt>
                <c:pt idx="280">
                  <c:v>1.8477656819107688E-5</c:v>
                </c:pt>
                <c:pt idx="281">
                  <c:v>2.5699975221644056E-5</c:v>
                </c:pt>
                <c:pt idx="282">
                  <c:v>3.5145635423778261E-5</c:v>
                </c:pt>
                <c:pt idx="283">
                  <c:v>4.681812125713889E-5</c:v>
                </c:pt>
                <c:pt idx="284">
                  <c:v>6.0720888289744903E-5</c:v>
                </c:pt>
                <c:pt idx="285">
                  <c:v>7.6857339586331588E-5</c:v>
                </c:pt>
                <c:pt idx="286">
                  <c:v>9.5230801469238695E-5</c:v>
                </c:pt>
                <c:pt idx="287">
                  <c:v>1.1584449927883321E-4</c:v>
                </c:pt>
                <c:pt idx="288">
                  <c:v>1.3870153313408259E-4</c:v>
                </c:pt>
                <c:pt idx="289">
                  <c:v>1.6308664274680449E-4</c:v>
                </c:pt>
                <c:pt idx="290">
                  <c:v>1.8814846651040684E-4</c:v>
                </c:pt>
                <c:pt idx="291">
                  <c:v>2.1388727915763143E-4</c:v>
                </c:pt>
                <c:pt idx="292">
                  <c:v>2.403032162183399E-4</c:v>
                </c:pt>
                <c:pt idx="293">
                  <c:v>2.6739626690290514E-4</c:v>
                </c:pt>
                <c:pt idx="294">
                  <c:v>2.9516626698503534E-4</c:v>
                </c:pt>
                <c:pt idx="295">
                  <c:v>3.2184923566934849E-4</c:v>
                </c:pt>
                <c:pt idx="296">
                  <c:v>3.4607086003289708E-4</c:v>
                </c:pt>
                <c:pt idx="297">
                  <c:v>3.6783044406330786E-4</c:v>
                </c:pt>
                <c:pt idx="298">
                  <c:v>3.8712466389153292E-4</c:v>
                </c:pt>
                <c:pt idx="299">
                  <c:v>4.0395003333967009E-4</c:v>
                </c:pt>
                <c:pt idx="300">
                  <c:v>4.1830292687677532E-4</c:v>
                </c:pt>
                <c:pt idx="301">
                  <c:v>4.3017960257353159E-4</c:v>
                </c:pt>
                <c:pt idx="302">
                  <c:v>4.3957622505780329E-4</c:v>
                </c:pt>
                <c:pt idx="303">
                  <c:v>4.4653157218291629E-4</c:v>
                </c:pt>
                <c:pt idx="304">
                  <c:v>4.517650585718819E-4</c:v>
                </c:pt>
                <c:pt idx="305">
                  <c:v>4.5527379958393998E-4</c:v>
                </c:pt>
                <c:pt idx="306">
                  <c:v>4.5705490171621876E-4</c:v>
                </c:pt>
                <c:pt idx="307">
                  <c:v>4.5710547851051455E-4</c:v>
                </c:pt>
                <c:pt idx="308">
                  <c:v>4.5542266645621636E-4</c:v>
                </c:pt>
                <c:pt idx="309">
                  <c:v>4.5251793444750071E-4</c:v>
                </c:pt>
                <c:pt idx="310">
                  <c:v>4.5016532904841545E-4</c:v>
                </c:pt>
                <c:pt idx="311">
                  <c:v>4.4836524412883915E-4</c:v>
                </c:pt>
                <c:pt idx="312">
                  <c:v>4.4711806144787574E-4</c:v>
                </c:pt>
                <c:pt idx="313">
                  <c:v>4.4642414554105529E-4</c:v>
                </c:pt>
                <c:pt idx="314">
                  <c:v>4.4628383860343513E-4</c:v>
                </c:pt>
                <c:pt idx="315">
                  <c:v>4.4669745537831662E-4</c:v>
                </c:pt>
                <c:pt idx="316">
                  <c:v>4.4766527803905568E-4</c:v>
                </c:pt>
                <c:pt idx="317">
                  <c:v>4.4922640589954298E-4</c:v>
                </c:pt>
                <c:pt idx="318">
                  <c:v>4.5133811692653776E-4</c:v>
                </c:pt>
                <c:pt idx="319">
                  <c:v>4.5400055880883918E-4</c:v>
                </c:pt>
                <c:pt idx="320">
                  <c:v>4.5721382641710851E-4</c:v>
                </c:pt>
                <c:pt idx="321">
                  <c:v>4.6097795672787206E-4</c:v>
                </c:pt>
                <c:pt idx="322">
                  <c:v>4.6529292374952914E-4</c:v>
                </c:pt>
                <c:pt idx="323">
                  <c:v>4.6997270377395955E-4</c:v>
                </c:pt>
                <c:pt idx="324">
                  <c:v>4.7449969002128222E-4</c:v>
                </c:pt>
                <c:pt idx="325">
                  <c:v>4.7887305440980755E-4</c:v>
                </c:pt>
                <c:pt idx="326">
                  <c:v>4.8308896413488495E-4</c:v>
                </c:pt>
                <c:pt idx="327">
                  <c:v>4.8714550766732525E-4</c:v>
                </c:pt>
                <c:pt idx="328">
                  <c:v>4.9104326728927462E-4</c:v>
                </c:pt>
                <c:pt idx="329">
                  <c:v>4.9478288148738063E-4</c:v>
                </c:pt>
                <c:pt idx="330">
                  <c:v>4.9836504188621852E-4</c:v>
                </c:pt>
                <c:pt idx="331">
                  <c:v>5.0150431935193558E-4</c:v>
                </c:pt>
                <c:pt idx="332">
                  <c:v>5.0416241681877985E-4</c:v>
                </c:pt>
                <c:pt idx="333">
                  <c:v>5.0634010205761028E-4</c:v>
                </c:pt>
                <c:pt idx="334">
                  <c:v>5.0803820977783154E-4</c:v>
                </c:pt>
                <c:pt idx="335">
                  <c:v>5.092576318052553E-4</c:v>
                </c:pt>
                <c:pt idx="336">
                  <c:v>5.0999930725332588E-4</c:v>
                </c:pt>
                <c:pt idx="337">
                  <c:v>5.1059290866868905E-4</c:v>
                </c:pt>
                <c:pt idx="338">
                  <c:v>5.1122577393211655E-4</c:v>
                </c:pt>
                <c:pt idx="339">
                  <c:v>5.1189895949478473E-4</c:v>
                </c:pt>
                <c:pt idx="340">
                  <c:v>5.1261352606110872E-4</c:v>
                </c:pt>
                <c:pt idx="341">
                  <c:v>5.1337053947272493E-4</c:v>
                </c:pt>
                <c:pt idx="342">
                  <c:v>5.1417107159207808E-4</c:v>
                </c:pt>
                <c:pt idx="343">
                  <c:v>5.1501620117981562E-4</c:v>
                </c:pt>
                <c:pt idx="344">
                  <c:v>5.1590701478023641E-4</c:v>
                </c:pt>
                <c:pt idx="345">
                  <c:v>5.1684460760131922E-4</c:v>
                </c:pt>
                <c:pt idx="346">
                  <c:v>5.1792391899867761E-4</c:v>
                </c:pt>
                <c:pt idx="347">
                  <c:v>5.1914608285101593E-4</c:v>
                </c:pt>
                <c:pt idx="348">
                  <c:v>5.2051225253512768E-4</c:v>
                </c:pt>
                <c:pt idx="349">
                  <c:v>5.2202360375405092E-4</c:v>
                </c:pt>
                <c:pt idx="350">
                  <c:v>5.2368133737740988E-4</c:v>
                </c:pt>
                <c:pt idx="351">
                  <c:v>5.2529405963229795E-4</c:v>
                </c:pt>
                <c:pt idx="352">
                  <c:v>5.265339312926356E-4</c:v>
                </c:pt>
                <c:pt idx="353">
                  <c:v>5.2740194223337155E-4</c:v>
                </c:pt>
                <c:pt idx="354">
                  <c:v>5.2789903274427883E-4</c:v>
                </c:pt>
                <c:pt idx="355">
                  <c:v>5.2802608549946104E-4</c:v>
                </c:pt>
                <c:pt idx="356">
                  <c:v>5.2778428228276032E-4</c:v>
                </c:pt>
                <c:pt idx="357">
                  <c:v>5.2717319052683555E-4</c:v>
                </c:pt>
                <c:pt idx="358">
                  <c:v>5.2619103764965159E-4</c:v>
                </c:pt>
                <c:pt idx="359">
                  <c:v>5.2483599361986464E-4</c:v>
                </c:pt>
                <c:pt idx="360">
                  <c:v>5.2343594131694512E-4</c:v>
                </c:pt>
                <c:pt idx="361">
                  <c:v>5.2218253858059835E-4</c:v>
                </c:pt>
                <c:pt idx="362">
                  <c:v>5.2107452493156865E-4</c:v>
                </c:pt>
                <c:pt idx="363">
                  <c:v>5.2011066960576456E-4</c:v>
                </c:pt>
                <c:pt idx="364">
                  <c:v>5.1928976806564747E-4</c:v>
                </c:pt>
                <c:pt idx="365" formatCode="0.0000">
                  <c:v>5.1861063850512916E-4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9.5194527570198917E-4</c:v>
                </c:pt>
                <c:pt idx="1">
                  <c:v>9.5177281058244376E-4</c:v>
                </c:pt>
                <c:pt idx="2">
                  <c:v>9.5072019539327486E-4</c:v>
                </c:pt>
                <c:pt idx="3">
                  <c:v>9.4878371555041029E-4</c:v>
                </c:pt>
                <c:pt idx="4">
                  <c:v>9.4595965802720923E-4</c:v>
                </c:pt>
                <c:pt idx="5">
                  <c:v>9.4224433393682574E-4</c:v>
                </c:pt>
                <c:pt idx="6">
                  <c:v>9.3763410112663085E-4</c:v>
                </c:pt>
                <c:pt idx="7">
                  <c:v>9.3212538675134342E-4</c:v>
                </c:pt>
                <c:pt idx="8">
                  <c:v>9.2571470985947785E-4</c:v>
                </c:pt>
                <c:pt idx="9">
                  <c:v>9.1895298341914094E-4</c:v>
                </c:pt>
                <c:pt idx="10">
                  <c:v>9.1240246718356309E-4</c:v>
                </c:pt>
                <c:pt idx="11">
                  <c:v>9.0606145740808677E-4</c:v>
                </c:pt>
                <c:pt idx="12">
                  <c:v>8.9992829642613909E-4</c:v>
                </c:pt>
                <c:pt idx="13">
                  <c:v>8.9400136678691004E-4</c:v>
                </c:pt>
                <c:pt idx="14">
                  <c:v>8.8827908537777349E-4</c:v>
                </c:pt>
                <c:pt idx="15">
                  <c:v>8.824293484010759E-4</c:v>
                </c:pt>
                <c:pt idx="16">
                  <c:v>8.767748385120651E-4</c:v>
                </c:pt>
                <c:pt idx="17">
                  <c:v>8.7131406750531578E-4</c:v>
                </c:pt>
                <c:pt idx="18">
                  <c:v>8.6604556268585588E-4</c:v>
                </c:pt>
                <c:pt idx="19">
                  <c:v>8.6097266356373022E-4</c:v>
                </c:pt>
                <c:pt idx="20">
                  <c:v>8.5610076200668826E-4</c:v>
                </c:pt>
                <c:pt idx="21">
                  <c:v>8.5143142691123026E-4</c:v>
                </c:pt>
                <c:pt idx="22">
                  <c:v>8.4696616924832217E-4</c:v>
                </c:pt>
                <c:pt idx="23">
                  <c:v>8.4287805372655167E-4</c:v>
                </c:pt>
                <c:pt idx="24">
                  <c:v>8.3861209983020538E-4</c:v>
                </c:pt>
                <c:pt idx="25">
                  <c:v>8.3416958627499779E-4</c:v>
                </c:pt>
                <c:pt idx="26">
                  <c:v>8.295517885820717E-4</c:v>
                </c:pt>
                <c:pt idx="27">
                  <c:v>8.2475997707597687E-4</c:v>
                </c:pt>
                <c:pt idx="28">
                  <c:v>8.197954149006297E-4</c:v>
                </c:pt>
                <c:pt idx="29">
                  <c:v>8.1581939570507652E-4</c:v>
                </c:pt>
                <c:pt idx="30">
                  <c:v>8.131641795928199E-4</c:v>
                </c:pt>
                <c:pt idx="31">
                  <c:v>8.1183079469850843E-4</c:v>
                </c:pt>
                <c:pt idx="32">
                  <c:v>8.1182016177250857E-4</c:v>
                </c:pt>
                <c:pt idx="33">
                  <c:v>8.1313311082692702E-4</c:v>
                </c:pt>
                <c:pt idx="34">
                  <c:v>8.1577039778529814E-4</c:v>
                </c:pt>
                <c:pt idx="35">
                  <c:v>8.1973272113162218E-4</c:v>
                </c:pt>
                <c:pt idx="36">
                  <c:v>8.2502073855776582E-4</c:v>
                </c:pt>
                <c:pt idx="37">
                  <c:v>8.3101469767937189E-4</c:v>
                </c:pt>
                <c:pt idx="38">
                  <c:v>8.3754383725754568E-4</c:v>
                </c:pt>
                <c:pt idx="39">
                  <c:v>8.4460900622519068E-4</c:v>
                </c:pt>
                <c:pt idx="40">
                  <c:v>8.5221108074758902E-4</c:v>
                </c:pt>
                <c:pt idx="41">
                  <c:v>8.6035097097021402E-4</c:v>
                </c:pt>
                <c:pt idx="42">
                  <c:v>8.6902962776081046E-4</c:v>
                </c:pt>
                <c:pt idx="43">
                  <c:v>8.7530880255637595E-4</c:v>
                </c:pt>
                <c:pt idx="44">
                  <c:v>8.7803145153993135E-4</c:v>
                </c:pt>
                <c:pt idx="45">
                  <c:v>8.771995665901762E-4</c:v>
                </c:pt>
                <c:pt idx="46">
                  <c:v>8.7281503146155156E-4</c:v>
                </c:pt>
                <c:pt idx="47">
                  <c:v>8.648795772511613E-4</c:v>
                </c:pt>
                <c:pt idx="48">
                  <c:v>8.533947378542323E-4</c:v>
                </c:pt>
                <c:pt idx="49">
                  <c:v>8.3836180542747421E-4</c:v>
                </c:pt>
                <c:pt idx="50">
                  <c:v>8.1978178584716328E-4</c:v>
                </c:pt>
                <c:pt idx="51">
                  <c:v>7.9612303721142712E-4</c:v>
                </c:pt>
                <c:pt idx="52">
                  <c:v>7.6800144641491006E-4</c:v>
                </c:pt>
                <c:pt idx="53">
                  <c:v>7.3541248897719008E-4</c:v>
                </c:pt>
                <c:pt idx="54">
                  <c:v>6.9835566148105895E-4</c:v>
                </c:pt>
                <c:pt idx="55">
                  <c:v>6.5683043499165658E-4</c:v>
                </c:pt>
                <c:pt idx="56">
                  <c:v>6.1083627159450266E-4</c:v>
                </c:pt>
                <c:pt idx="57">
                  <c:v>5.6267465612795165E-4</c:v>
                </c:pt>
                <c:pt idx="58">
                  <c:v>5.1528309904650587E-4</c:v>
                </c:pt>
                <c:pt idx="59">
                  <c:v>4.6866124118739004E-4</c:v>
                </c:pt>
                <c:pt idx="60">
                  <c:v>4.2280879767785773E-4</c:v>
                </c:pt>
                <c:pt idx="61">
                  <c:v>3.777255550876734E-4</c:v>
                </c:pt>
                <c:pt idx="62">
                  <c:v>3.3341136858100218E-4</c:v>
                </c:pt>
                <c:pt idx="63">
                  <c:v>2.8986615906947629E-4</c:v>
                </c:pt>
                <c:pt idx="64">
                  <c:v>2.470899103637935E-4</c:v>
                </c:pt>
                <c:pt idx="65">
                  <c:v>2.0696809985340221E-4</c:v>
                </c:pt>
                <c:pt idx="66">
                  <c:v>1.7103322919690756E-4</c:v>
                </c:pt>
                <c:pt idx="67">
                  <c:v>1.3928545502434178E-4</c:v>
                </c:pt>
                <c:pt idx="68">
                  <c:v>1.1172493537951041E-4</c:v>
                </c:pt>
                <c:pt idx="69">
                  <c:v>8.8351814227829455E-5</c:v>
                </c:pt>
                <c:pt idx="70">
                  <c:v>6.9166205964977869E-5</c:v>
                </c:pt>
                <c:pt idx="71">
                  <c:v>5.4159521017829996E-5</c:v>
                </c:pt>
                <c:pt idx="72">
                  <c:v>4.1029710617371279E-5</c:v>
                </c:pt>
                <c:pt idx="73">
                  <c:v>2.9776833803868659E-5</c:v>
                </c:pt>
                <c:pt idx="74">
                  <c:v>2.0400920852446888E-5</c:v>
                </c:pt>
                <c:pt idx="75">
                  <c:v>1.2901966330143547E-5</c:v>
                </c:pt>
                <c:pt idx="76">
                  <c:v>7.2799221528707874E-6</c:v>
                </c:pt>
                <c:pt idx="77">
                  <c:v>3.5346906424468268E-6</c:v>
                </c:pt>
                <c:pt idx="78">
                  <c:v>1.6661176388970848E-6</c:v>
                </c:pt>
                <c:pt idx="79">
                  <c:v>1.6852636426629632E-6</c:v>
                </c:pt>
                <c:pt idx="80">
                  <c:v>1.7070224641846702E-6</c:v>
                </c:pt>
                <c:pt idx="81">
                  <c:v>1.7313931766420043E-6</c:v>
                </c:pt>
                <c:pt idx="82">
                  <c:v>1.7583748176778756E-6</c:v>
                </c:pt>
                <c:pt idx="83">
                  <c:v>1.7879663810205444E-6</c:v>
                </c:pt>
                <c:pt idx="84">
                  <c:v>1.8201668081117938E-6</c:v>
                </c:pt>
                <c:pt idx="85">
                  <c:v>2.0335050255492805E-6</c:v>
                </c:pt>
                <c:pt idx="86">
                  <c:v>2.4366046637209328E-6</c:v>
                </c:pt>
                <c:pt idx="87">
                  <c:v>3.029431581962472E-6</c:v>
                </c:pt>
                <c:pt idx="88">
                  <c:v>3.811948384881769E-6</c:v>
                </c:pt>
                <c:pt idx="89">
                  <c:v>4.7841138141879473E-6</c:v>
                </c:pt>
                <c:pt idx="90">
                  <c:v>5.9458821405108203E-6</c:v>
                </c:pt>
                <c:pt idx="91">
                  <c:v>7.2972025552359286E-6</c:v>
                </c:pt>
                <c:pt idx="92">
                  <c:v>8.8380185623326562E-6</c:v>
                </c:pt>
                <c:pt idx="93">
                  <c:v>1.0939560548612132E-5</c:v>
                </c:pt>
                <c:pt idx="94">
                  <c:v>1.3590406506443399E-5</c:v>
                </c:pt>
                <c:pt idx="95">
                  <c:v>1.6790380587539592E-5</c:v>
                </c:pt>
                <c:pt idx="96">
                  <c:v>2.0539287149031594E-5</c:v>
                </c:pt>
                <c:pt idx="97">
                  <c:v>2.4836908991133968E-5</c:v>
                </c:pt>
                <c:pt idx="98">
                  <c:v>2.9683005594685692E-5</c:v>
                </c:pt>
                <c:pt idx="99">
                  <c:v>3.5968938327322023E-5</c:v>
                </c:pt>
                <c:pt idx="100">
                  <c:v>4.3515789593516221E-5</c:v>
                </c:pt>
                <c:pt idx="101">
                  <c:v>5.232295848549159E-5</c:v>
                </c:pt>
                <c:pt idx="102">
                  <c:v>6.2389782146873623E-5</c:v>
                </c:pt>
                <c:pt idx="103">
                  <c:v>7.3715531721621331E-5</c:v>
                </c:pt>
                <c:pt idx="104">
                  <c:v>8.6299408304273538E-5</c:v>
                </c:pt>
                <c:pt idx="105">
                  <c:v>1.0014053888900463E-4</c:v>
                </c:pt>
                <c:pt idx="106">
                  <c:v>1.1523797231942882E-4</c:v>
                </c:pt>
                <c:pt idx="107">
                  <c:v>1.3345041089376228E-4</c:v>
                </c:pt>
                <c:pt idx="108">
                  <c:v>1.5440514045001597E-4</c:v>
                </c:pt>
                <c:pt idx="109">
                  <c:v>1.7810005727431319E-4</c:v>
                </c:pt>
                <c:pt idx="110">
                  <c:v>2.0453345686620582E-4</c:v>
                </c:pt>
                <c:pt idx="111">
                  <c:v>2.3370379145378338E-4</c:v>
                </c:pt>
                <c:pt idx="112">
                  <c:v>2.6560898452567525E-4</c:v>
                </c:pt>
                <c:pt idx="113">
                  <c:v>3.0041111235207685E-4</c:v>
                </c:pt>
                <c:pt idx="114">
                  <c:v>3.37218404969899E-4</c:v>
                </c:pt>
                <c:pt idx="115">
                  <c:v>3.7602894029978908E-4</c:v>
                </c:pt>
                <c:pt idx="116">
                  <c:v>4.1684070091509845E-4</c:v>
                </c:pt>
                <c:pt idx="117">
                  <c:v>4.5965156962376335E-4</c:v>
                </c:pt>
                <c:pt idx="118">
                  <c:v>5.0445932504689626E-4</c:v>
                </c:pt>
                <c:pt idx="119">
                  <c:v>5.5126163719823498E-4</c:v>
                </c:pt>
                <c:pt idx="120">
                  <c:v>6.0005606306262865E-4</c:v>
                </c:pt>
                <c:pt idx="121">
                  <c:v>6.4661182805500267E-4</c:v>
                </c:pt>
                <c:pt idx="122">
                  <c:v>6.8907596564282865E-4</c:v>
                </c:pt>
                <c:pt idx="123">
                  <c:v>7.2745065030687924E-4</c:v>
                </c:pt>
                <c:pt idx="124">
                  <c:v>7.6173818895939791E-4</c:v>
                </c:pt>
                <c:pt idx="125">
                  <c:v>7.9194102985270408E-4</c:v>
                </c:pt>
                <c:pt idx="126">
                  <c:v>8.1806177147792064E-4</c:v>
                </c:pt>
                <c:pt idx="127">
                  <c:v>8.3683545387115428E-4</c:v>
                </c:pt>
                <c:pt idx="128">
                  <c:v>8.4810438616327163E-4</c:v>
                </c:pt>
                <c:pt idx="129">
                  <c:v>8.5187499185442278E-4</c:v>
                </c:pt>
                <c:pt idx="130">
                  <c:v>8.4815405688719889E-4</c:v>
                </c:pt>
                <c:pt idx="131">
                  <c:v>8.3694874606971448E-4</c:v>
                </c:pt>
                <c:pt idx="132">
                  <c:v>8.1826661950683429E-4</c:v>
                </c:pt>
                <c:pt idx="133">
                  <c:v>7.9211564903676013E-4</c:v>
                </c:pt>
                <c:pt idx="134">
                  <c:v>7.58504234662959E-4</c:v>
                </c:pt>
                <c:pt idx="135">
                  <c:v>7.1923688362094057E-4</c:v>
                </c:pt>
                <c:pt idx="136">
                  <c:v>6.7852901145760763E-4</c:v>
                </c:pt>
                <c:pt idx="137">
                  <c:v>6.363833306783028E-4</c:v>
                </c:pt>
                <c:pt idx="138">
                  <c:v>5.9280267782467087E-4</c:v>
                </c:pt>
                <c:pt idx="139">
                  <c:v>5.4779001670918963E-4</c:v>
                </c:pt>
                <c:pt idx="140">
                  <c:v>5.013484416147981E-4</c:v>
                </c:pt>
                <c:pt idx="141">
                  <c:v>4.5549526809846058E-4</c:v>
                </c:pt>
                <c:pt idx="142">
                  <c:v>4.1347844866545754E-4</c:v>
                </c:pt>
                <c:pt idx="143">
                  <c:v>3.7529318218339718E-4</c:v>
                </c:pt>
                <c:pt idx="144">
                  <c:v>3.4093698516105323E-4</c:v>
                </c:pt>
                <c:pt idx="145">
                  <c:v>3.1040672412895368E-4</c:v>
                </c:pt>
                <c:pt idx="146">
                  <c:v>2.8369866674469459E-4</c:v>
                </c:pt>
                <c:pt idx="147">
                  <c:v>2.6080853290977063E-4</c:v>
                </c:pt>
                <c:pt idx="148">
                  <c:v>2.4173154587807659E-4</c:v>
                </c:pt>
                <c:pt idx="149">
                  <c:v>2.2648150972445476E-4</c:v>
                </c:pt>
                <c:pt idx="150">
                  <c:v>2.1326989378481616E-4</c:v>
                </c:pt>
                <c:pt idx="151">
                  <c:v>2.0209388907355426E-4</c:v>
                </c:pt>
                <c:pt idx="152">
                  <c:v>1.9295049257220452E-4</c:v>
                </c:pt>
                <c:pt idx="153">
                  <c:v>1.8583653453691494E-4</c:v>
                </c:pt>
                <c:pt idx="154">
                  <c:v>1.8074870580709294E-4</c:v>
                </c:pt>
                <c:pt idx="155">
                  <c:v>1.7760855949892614E-4</c:v>
                </c:pt>
                <c:pt idx="156">
                  <c:v>1.7441549526047096E-4</c:v>
                </c:pt>
                <c:pt idx="157">
                  <c:v>1.7116988700010993E-4</c:v>
                </c:pt>
                <c:pt idx="158">
                  <c:v>1.6787209263190099E-4</c:v>
                </c:pt>
                <c:pt idx="159">
                  <c:v>1.6452245331570283E-4</c:v>
                </c:pt>
                <c:pt idx="160">
                  <c:v>1.6112129269939734E-4</c:v>
                </c:pt>
                <c:pt idx="161">
                  <c:v>1.5766891615918657E-4</c:v>
                </c:pt>
                <c:pt idx="162">
                  <c:v>1.5416561004081048E-4</c:v>
                </c:pt>
                <c:pt idx="163">
                  <c:v>1.5087203470914897E-4</c:v>
                </c:pt>
                <c:pt idx="164">
                  <c:v>1.477691051561349E-4</c:v>
                </c:pt>
                <c:pt idx="165">
                  <c:v>1.448566124594999E-4</c:v>
                </c:pt>
                <c:pt idx="166">
                  <c:v>1.4213434111253845E-4</c:v>
                </c:pt>
                <c:pt idx="167">
                  <c:v>1.3960207154879839E-4</c:v>
                </c:pt>
                <c:pt idx="168">
                  <c:v>1.372595826713976E-4</c:v>
                </c:pt>
                <c:pt idx="169">
                  <c:v>1.3536612580281949E-4</c:v>
                </c:pt>
                <c:pt idx="170">
                  <c:v>1.339954009083718E-4</c:v>
                </c:pt>
                <c:pt idx="171">
                  <c:v>1.3314667884915067E-4</c:v>
                </c:pt>
                <c:pt idx="172">
                  <c:v>1.3281927639795005E-4</c:v>
                </c:pt>
                <c:pt idx="173">
                  <c:v>1.3301120313511801E-4</c:v>
                </c:pt>
                <c:pt idx="174">
                  <c:v>1.3372042717414706E-4</c:v>
                </c:pt>
                <c:pt idx="175">
                  <c:v>1.3494624250864803E-4</c:v>
                </c:pt>
                <c:pt idx="176">
                  <c:v>1.3668794654512773E-4</c:v>
                </c:pt>
                <c:pt idx="177">
                  <c:v>1.3887076530529207E-4</c:v>
                </c:pt>
                <c:pt idx="178">
                  <c:v>1.4123584692190373E-4</c:v>
                </c:pt>
                <c:pt idx="179">
                  <c:v>1.4378301391629702E-4</c:v>
                </c:pt>
                <c:pt idx="180">
                  <c:v>1.4651209769470628E-4</c:v>
                </c:pt>
                <c:pt idx="181">
                  <c:v>1.4942293962955466E-4</c:v>
                </c:pt>
                <c:pt idx="182">
                  <c:v>1.5251539214198036E-4</c:v>
                </c:pt>
                <c:pt idx="183">
                  <c:v>1.5580798208420792E-4</c:v>
                </c:pt>
                <c:pt idx="184">
                  <c:v>1.5904304119861501E-4</c:v>
                </c:pt>
                <c:pt idx="185">
                  <c:v>1.6222080001032597E-4</c:v>
                </c:pt>
                <c:pt idx="186">
                  <c:v>1.6534149472119324E-4</c:v>
                </c:pt>
                <c:pt idx="187">
                  <c:v>1.6840536688545816E-4</c:v>
                </c:pt>
                <c:pt idx="188">
                  <c:v>1.7141266308648415E-4</c:v>
                </c:pt>
                <c:pt idx="189">
                  <c:v>1.7436363460834694E-4</c:v>
                </c:pt>
                <c:pt idx="190">
                  <c:v>1.7725853711462498E-4</c:v>
                </c:pt>
                <c:pt idx="191">
                  <c:v>1.8205793384340341E-4</c:v>
                </c:pt>
                <c:pt idx="192">
                  <c:v>1.8883321980965476E-4</c:v>
                </c:pt>
                <c:pt idx="193">
                  <c:v>1.9758227206956929E-4</c:v>
                </c:pt>
                <c:pt idx="194">
                  <c:v>2.0830311630067424E-4</c:v>
                </c:pt>
                <c:pt idx="195">
                  <c:v>2.2099393849978329E-4</c:v>
                </c:pt>
                <c:pt idx="196">
                  <c:v>2.3565309667348703E-4</c:v>
                </c:pt>
                <c:pt idx="197">
                  <c:v>2.5401857987477337E-4</c:v>
                </c:pt>
                <c:pt idx="198">
                  <c:v>2.760688086263173E-4</c:v>
                </c:pt>
                <c:pt idx="199">
                  <c:v>3.0180112601894927E-4</c:v>
                </c:pt>
                <c:pt idx="200">
                  <c:v>3.3121325424693092E-4</c:v>
                </c:pt>
                <c:pt idx="201">
                  <c:v>3.6430331649166221E-4</c:v>
                </c:pt>
                <c:pt idx="202">
                  <c:v>4.0106985880601707E-4</c:v>
                </c:pt>
                <c:pt idx="203">
                  <c:v>4.4151187200749584E-4</c:v>
                </c:pt>
                <c:pt idx="204">
                  <c:v>4.8562802935073077E-4</c:v>
                </c:pt>
                <c:pt idx="205">
                  <c:v>5.3026717733142955E-4</c:v>
                </c:pt>
                <c:pt idx="206">
                  <c:v>5.7347978166684063E-4</c:v>
                </c:pt>
                <c:pt idx="207">
                  <c:v>6.1526839119514321E-4</c:v>
                </c:pt>
                <c:pt idx="208">
                  <c:v>6.5563538581600816E-4</c:v>
                </c:pt>
                <c:pt idx="209">
                  <c:v>6.9458298086920868E-4</c:v>
                </c:pt>
                <c:pt idx="210">
                  <c:v>7.3211323153481828E-4</c:v>
                </c:pt>
                <c:pt idx="211">
                  <c:v>7.6416387333037687E-4</c:v>
                </c:pt>
                <c:pt idx="212">
                  <c:v>7.8900504000773634E-4</c:v>
                </c:pt>
                <c:pt idx="213">
                  <c:v>8.0664041583944834E-4</c:v>
                </c:pt>
                <c:pt idx="214">
                  <c:v>8.1707314683897704E-4</c:v>
                </c:pt>
                <c:pt idx="215">
                  <c:v>8.2030586315224544E-4</c:v>
                </c:pt>
                <c:pt idx="216">
                  <c:v>8.1634070144652937E-4</c:v>
                </c:pt>
                <c:pt idx="217">
                  <c:v>8.0517932730249917E-4</c:v>
                </c:pt>
                <c:pt idx="218">
                  <c:v>7.8682295760153708E-4</c:v>
                </c:pt>
                <c:pt idx="219">
                  <c:v>7.6142984176411901E-4</c:v>
                </c:pt>
                <c:pt idx="220">
                  <c:v>7.3214384465368639E-4</c:v>
                </c:pt>
                <c:pt idx="221">
                  <c:v>6.9896453360906085E-4</c:v>
                </c:pt>
                <c:pt idx="222">
                  <c:v>6.6189129570528367E-4</c:v>
                </c:pt>
                <c:pt idx="223">
                  <c:v>6.209233498971629E-4</c:v>
                </c:pt>
                <c:pt idx="224">
                  <c:v>5.7605975914467038E-4</c:v>
                </c:pt>
                <c:pt idx="225">
                  <c:v>5.2907981731058033E-4</c:v>
                </c:pt>
                <c:pt idx="226">
                  <c:v>4.8404240717179656E-4</c:v>
                </c:pt>
                <c:pt idx="227">
                  <c:v>4.4094632299683946E-4</c:v>
                </c:pt>
                <c:pt idx="228">
                  <c:v>3.9979050091997246E-4</c:v>
                </c:pt>
                <c:pt idx="229">
                  <c:v>3.6057401291278695E-4</c:v>
                </c:pt>
                <c:pt idx="230">
                  <c:v>3.2329606076367164E-4</c:v>
                </c:pt>
                <c:pt idx="231">
                  <c:v>2.8795597005714312E-4</c:v>
                </c:pt>
                <c:pt idx="232">
                  <c:v>2.5455318414610952E-4</c:v>
                </c:pt>
                <c:pt idx="233">
                  <c:v>2.2394001670477729E-4</c:v>
                </c:pt>
                <c:pt idx="234">
                  <c:v>1.9595878935616741E-4</c:v>
                </c:pt>
                <c:pt idx="235">
                  <c:v>1.7060952501557158E-4</c:v>
                </c:pt>
                <c:pt idx="236">
                  <c:v>1.4789233346463188E-4</c:v>
                </c:pt>
                <c:pt idx="237">
                  <c:v>1.2780726790870051E-4</c:v>
                </c:pt>
                <c:pt idx="238">
                  <c:v>1.103544739808371E-4</c:v>
                </c:pt>
                <c:pt idx="239">
                  <c:v>9.5889238255471074E-5</c:v>
                </c:pt>
                <c:pt idx="240">
                  <c:v>8.2630467713814144E-5</c:v>
                </c:pt>
                <c:pt idx="241">
                  <c:v>7.0578206757259941E-5</c:v>
                </c:pt>
                <c:pt idx="242">
                  <c:v>5.9732545284941593E-5</c:v>
                </c:pt>
                <c:pt idx="243">
                  <c:v>5.0093620826716658E-5</c:v>
                </c:pt>
                <c:pt idx="244">
                  <c:v>4.1661620675288482E-5</c:v>
                </c:pt>
                <c:pt idx="245">
                  <c:v>3.4436784017844197E-5</c:v>
                </c:pt>
                <c:pt idx="246">
                  <c:v>2.8419404068000806E-5</c:v>
                </c:pt>
                <c:pt idx="247">
                  <c:v>2.3780618681963112E-5</c:v>
                </c:pt>
                <c:pt idx="248">
                  <c:v>1.9666895027309575E-5</c:v>
                </c:pt>
                <c:pt idx="249">
                  <c:v>1.6078371460777777E-5</c:v>
                </c:pt>
                <c:pt idx="250">
                  <c:v>1.301521176002533E-5</c:v>
                </c:pt>
                <c:pt idx="251">
                  <c:v>1.0477606051811343E-5</c:v>
                </c:pt>
                <c:pt idx="252">
                  <c:v>8.4657717393846584E-6</c:v>
                </c:pt>
                <c:pt idx="253">
                  <c:v>6.9907455650007893E-6</c:v>
                </c:pt>
                <c:pt idx="254">
                  <c:v>5.6969809494801983E-6</c:v>
                </c:pt>
                <c:pt idx="255">
                  <c:v>4.5845552609243019E-6</c:v>
                </c:pt>
                <c:pt idx="256">
                  <c:v>3.6535558818003669E-6</c:v>
                </c:pt>
                <c:pt idx="257">
                  <c:v>2.904080529032398E-6</c:v>
                </c:pt>
                <c:pt idx="258">
                  <c:v>2.3362375741533137E-6</c:v>
                </c:pt>
                <c:pt idx="259">
                  <c:v>1.9501463634680936E-6</c:v>
                </c:pt>
                <c:pt idx="260">
                  <c:v>1.7459375381351323E-6</c:v>
                </c:pt>
                <c:pt idx="261">
                  <c:v>1.7154492680793485E-6</c:v>
                </c:pt>
                <c:pt idx="262">
                  <c:v>1.6874713225020012E-6</c:v>
                </c:pt>
                <c:pt idx="263">
                  <c:v>1.6620052525619032E-6</c:v>
                </c:pt>
                <c:pt idx="264">
                  <c:v>1.6390528397430273E-6</c:v>
                </c:pt>
                <c:pt idx="265">
                  <c:v>1.6186246910433867E-6</c:v>
                </c:pt>
                <c:pt idx="266">
                  <c:v>1.6007269766832187E-6</c:v>
                </c:pt>
                <c:pt idx="267">
                  <c:v>3.3970781955938479E-6</c:v>
                </c:pt>
                <c:pt idx="268">
                  <c:v>6.9989629951646691E-6</c:v>
                </c:pt>
                <c:pt idx="269">
                  <c:v>1.240867350714151E-5</c:v>
                </c:pt>
                <c:pt idx="270">
                  <c:v>1.9628663563435596E-5</c:v>
                </c:pt>
                <c:pt idx="271">
                  <c:v>2.8661528827321342E-5</c:v>
                </c:pt>
                <c:pt idx="272">
                  <c:v>3.9509986924793182E-5</c:v>
                </c:pt>
                <c:pt idx="273">
                  <c:v>5.2176857575636517E-5</c:v>
                </c:pt>
                <c:pt idx="274">
                  <c:v>6.6665042724907487E-5</c:v>
                </c:pt>
                <c:pt idx="275">
                  <c:v>8.5197444815328686E-5</c:v>
                </c:pt>
                <c:pt idx="276">
                  <c:v>1.0778870222696616E-4</c:v>
                </c:pt>
                <c:pt idx="277">
                  <c:v>1.3444524016365E-4</c:v>
                </c:pt>
                <c:pt idx="278">
                  <c:v>1.6517356824445663E-4</c:v>
                </c:pt>
                <c:pt idx="279">
                  <c:v>1.9998023617109572E-4</c:v>
                </c:pt>
                <c:pt idx="280">
                  <c:v>2.3887178939685077E-4</c:v>
                </c:pt>
                <c:pt idx="281">
                  <c:v>2.8037255031265426E-4</c:v>
                </c:pt>
                <c:pt idx="282">
                  <c:v>3.2266198866667226E-4</c:v>
                </c:pt>
                <c:pt idx="283">
                  <c:v>3.6574117795643159E-4</c:v>
                </c:pt>
                <c:pt idx="284">
                  <c:v>4.0961101164320598E-4</c:v>
                </c:pt>
                <c:pt idx="285">
                  <c:v>4.542721950015147E-4</c:v>
                </c:pt>
                <c:pt idx="286">
                  <c:v>4.9972523697251791E-4</c:v>
                </c:pt>
                <c:pt idx="287">
                  <c:v>5.4597044201372543E-4</c:v>
                </c:pt>
                <c:pt idx="288">
                  <c:v>5.9300790194999971E-4</c:v>
                </c:pt>
                <c:pt idx="289">
                  <c:v>6.3798384028557989E-4</c:v>
                </c:pt>
                <c:pt idx="290">
                  <c:v>6.7865655427001284E-4</c:v>
                </c:pt>
                <c:pt idx="291">
                  <c:v>7.1501799463463158E-4</c:v>
                </c:pt>
                <c:pt idx="292">
                  <c:v>7.4706013802383576E-4</c:v>
                </c:pt>
                <c:pt idx="293">
                  <c:v>7.7477503432493515E-4</c:v>
                </c:pt>
                <c:pt idx="294">
                  <c:v>7.9815485399556874E-4</c:v>
                </c:pt>
                <c:pt idx="295">
                  <c:v>8.1658829103231309E-4</c:v>
                </c:pt>
                <c:pt idx="296">
                  <c:v>8.3157042440392195E-4</c:v>
                </c:pt>
                <c:pt idx="297">
                  <c:v>8.4310273776678742E-4</c:v>
                </c:pt>
                <c:pt idx="298">
                  <c:v>8.511799214381663E-4</c:v>
                </c:pt>
                <c:pt idx="299">
                  <c:v>8.5579650940253407E-4</c:v>
                </c:pt>
                <c:pt idx="300">
                  <c:v>8.5694691133951734E-4</c:v>
                </c:pt>
                <c:pt idx="301">
                  <c:v>8.5462544464925223E-4</c:v>
                </c:pt>
                <c:pt idx="302">
                  <c:v>8.4882636647964698E-4</c:v>
                </c:pt>
                <c:pt idx="303">
                  <c:v>8.4067649879076818E-4</c:v>
                </c:pt>
                <c:pt idx="304">
                  <c:v>8.3304558932440051E-4</c:v>
                </c:pt>
                <c:pt idx="305">
                  <c:v>8.2593362417902611E-4</c:v>
                </c:pt>
                <c:pt idx="306">
                  <c:v>8.1934061608600708E-4</c:v>
                </c:pt>
                <c:pt idx="307">
                  <c:v>8.1326659956268324E-4</c:v>
                </c:pt>
                <c:pt idx="308">
                  <c:v>8.0771162605861751E-4</c:v>
                </c:pt>
                <c:pt idx="309">
                  <c:v>8.0284381354132537E-4</c:v>
                </c:pt>
                <c:pt idx="310">
                  <c:v>7.992714434440309E-4</c:v>
                </c:pt>
                <c:pt idx="311">
                  <c:v>7.9699563704780643E-4</c:v>
                </c:pt>
                <c:pt idx="312">
                  <c:v>7.9601747976090721E-4</c:v>
                </c:pt>
                <c:pt idx="313">
                  <c:v>7.9633800915150611E-4</c:v>
                </c:pt>
                <c:pt idx="314">
                  <c:v>7.9795820297313687E-4</c:v>
                </c:pt>
                <c:pt idx="315">
                  <c:v>8.0087896720014949E-4</c:v>
                </c:pt>
                <c:pt idx="316">
                  <c:v>8.0510112405084383E-4</c:v>
                </c:pt>
                <c:pt idx="317">
                  <c:v>8.1030009714114866E-4</c:v>
                </c:pt>
                <c:pt idx="318">
                  <c:v>8.1533599021210614E-4</c:v>
                </c:pt>
                <c:pt idx="319">
                  <c:v>8.2020769660325066E-4</c:v>
                </c:pt>
                <c:pt idx="320">
                  <c:v>8.2491410526800563E-4</c:v>
                </c:pt>
                <c:pt idx="321">
                  <c:v>8.2945410220929634E-4</c:v>
                </c:pt>
                <c:pt idx="322">
                  <c:v>8.338265719187621E-4</c:v>
                </c:pt>
                <c:pt idx="323">
                  <c:v>8.3857826195355106E-4</c:v>
                </c:pt>
                <c:pt idx="324">
                  <c:v>8.4353949944464702E-4</c:v>
                </c:pt>
                <c:pt idx="325">
                  <c:v>8.4870939703583629E-4</c:v>
                </c:pt>
                <c:pt idx="326">
                  <c:v>8.5408171129849116E-4</c:v>
                </c:pt>
                <c:pt idx="327">
                  <c:v>8.5965358018427404E-4</c:v>
                </c:pt>
                <c:pt idx="328">
                  <c:v>8.6542647475000177E-4</c:v>
                </c:pt>
                <c:pt idx="329">
                  <c:v>8.7140187578127644E-4</c:v>
                </c:pt>
                <c:pt idx="330">
                  <c:v>8.7758127840822703E-4</c:v>
                </c:pt>
                <c:pt idx="331">
                  <c:v>8.8364575989859214E-4</c:v>
                </c:pt>
                <c:pt idx="332">
                  <c:v>8.8992329716216026E-4</c:v>
                </c:pt>
                <c:pt idx="333">
                  <c:v>8.9641547360828368E-4</c:v>
                </c:pt>
                <c:pt idx="334">
                  <c:v>9.0312390228626234E-4</c:v>
                </c:pt>
                <c:pt idx="335">
                  <c:v>9.1005023064173437E-4</c:v>
                </c:pt>
                <c:pt idx="336">
                  <c:v>9.1719614526132934E-4</c:v>
                </c:pt>
                <c:pt idx="337">
                  <c:v>9.2400427514791451E-4</c:v>
                </c:pt>
                <c:pt idx="338">
                  <c:v>9.2992738158676716E-4</c:v>
                </c:pt>
                <c:pt idx="339">
                  <c:v>9.3496722115938647E-4</c:v>
                </c:pt>
                <c:pt idx="340">
                  <c:v>9.3912561783750486E-4</c:v>
                </c:pt>
                <c:pt idx="341">
                  <c:v>9.4240444469599941E-4</c:v>
                </c:pt>
                <c:pt idx="342">
                  <c:v>9.4480560562514851E-4</c:v>
                </c:pt>
                <c:pt idx="343">
                  <c:v>9.4633101703148995E-4</c:v>
                </c:pt>
                <c:pt idx="344">
                  <c:v>9.4698258955346331E-4</c:v>
                </c:pt>
                <c:pt idx="345">
                  <c:v>9.4676220976711294E-4</c:v>
                </c:pt>
                <c:pt idx="346">
                  <c:v>9.4623352084412791E-4</c:v>
                </c:pt>
                <c:pt idx="347">
                  <c:v>9.4539841830295441E-4</c:v>
                </c:pt>
                <c:pt idx="348">
                  <c:v>9.4425876774029236E-4</c:v>
                </c:pt>
                <c:pt idx="349">
                  <c:v>9.4281639821054914E-4</c:v>
                </c:pt>
                <c:pt idx="350">
                  <c:v>9.4107309562739495E-4</c:v>
                </c:pt>
                <c:pt idx="351">
                  <c:v>9.3927186511783814E-4</c:v>
                </c:pt>
                <c:pt idx="352">
                  <c:v>9.3797413190126763E-4</c:v>
                </c:pt>
                <c:pt idx="353">
                  <c:v>9.3718197460362224E-4</c:v>
                </c:pt>
                <c:pt idx="354">
                  <c:v>9.3689753399601365E-4</c:v>
                </c:pt>
                <c:pt idx="355">
                  <c:v>9.3712302297332614E-4</c:v>
                </c:pt>
                <c:pt idx="356">
                  <c:v>9.3786138469630922E-4</c:v>
                </c:pt>
                <c:pt idx="357">
                  <c:v>9.391129162979097E-4</c:v>
                </c:pt>
                <c:pt idx="358">
                  <c:v>9.4087574050892694E-4</c:v>
                </c:pt>
                <c:pt idx="359">
                  <c:v>9.4314805199287115E-4</c:v>
                </c:pt>
                <c:pt idx="360">
                  <c:v>9.4536719285762919E-4</c:v>
                </c:pt>
                <c:pt idx="361">
                  <c:v>9.4728882560230919E-4</c:v>
                </c:pt>
                <c:pt idx="362">
                  <c:v>9.4891023540601583E-4</c:v>
                </c:pt>
                <c:pt idx="363">
                  <c:v>9.5022865729226197E-4</c:v>
                </c:pt>
                <c:pt idx="364">
                  <c:v>9.5124128430981996E-4</c:v>
                </c:pt>
                <c:pt idx="365">
                  <c:v>9.5194527570198917E-4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1.5388949190492079E-3</c:v>
                </c:pt>
                <c:pt idx="1">
                  <c:v>1.5409455082916414E-3</c:v>
                </c:pt>
                <c:pt idx="2">
                  <c:v>1.5414082165388125E-3</c:v>
                </c:pt>
                <c:pt idx="3">
                  <c:v>1.5402768216624609E-3</c:v>
                </c:pt>
                <c:pt idx="4">
                  <c:v>1.5375450793655059E-3</c:v>
                </c:pt>
                <c:pt idx="5">
                  <c:v>1.5332067639555632E-3</c:v>
                </c:pt>
                <c:pt idx="6">
                  <c:v>1.5272557091380843E-3</c:v>
                </c:pt>
                <c:pt idx="7">
                  <c:v>1.5196858487748831E-3</c:v>
                </c:pt>
                <c:pt idx="8">
                  <c:v>1.5104912576642819E-3</c:v>
                </c:pt>
                <c:pt idx="9">
                  <c:v>1.5001608343607141E-3</c:v>
                </c:pt>
                <c:pt idx="10">
                  <c:v>1.4894946489613448E-3</c:v>
                </c:pt>
                <c:pt idx="11">
                  <c:v>1.4784890376228947E-3</c:v>
                </c:pt>
                <c:pt idx="12">
                  <c:v>1.4671404839516251E-3</c:v>
                </c:pt>
                <c:pt idx="13">
                  <c:v>1.4554456267463836E-3</c:v>
                </c:pt>
                <c:pt idx="14">
                  <c:v>1.4434012677168103E-3</c:v>
                </c:pt>
                <c:pt idx="15">
                  <c:v>1.4307244665554071E-3</c:v>
                </c:pt>
                <c:pt idx="16">
                  <c:v>1.4182132532072056E-3</c:v>
                </c:pt>
                <c:pt idx="17">
                  <c:v>1.4058653978805884E-3</c:v>
                </c:pt>
                <c:pt idx="18">
                  <c:v>1.3936787592755222E-3</c:v>
                </c:pt>
                <c:pt idx="19">
                  <c:v>1.3816589858363026E-3</c:v>
                </c:pt>
                <c:pt idx="20">
                  <c:v>1.3698149905655239E-3</c:v>
                </c:pt>
                <c:pt idx="21">
                  <c:v>1.3581495215080231E-3</c:v>
                </c:pt>
                <c:pt idx="22">
                  <c:v>1.3466652348093884E-3</c:v>
                </c:pt>
                <c:pt idx="23">
                  <c:v>1.3353442541271128E-3</c:v>
                </c:pt>
                <c:pt idx="24">
                  <c:v>1.3236924999825766E-3</c:v>
                </c:pt>
                <c:pt idx="25">
                  <c:v>1.3117122825856236E-3</c:v>
                </c:pt>
                <c:pt idx="26">
                  <c:v>1.2994058881914876E-3</c:v>
                </c:pt>
                <c:pt idx="27">
                  <c:v>1.2867755753266435E-3</c:v>
                </c:pt>
                <c:pt idx="28">
                  <c:v>1.2738235710429086E-3</c:v>
                </c:pt>
                <c:pt idx="29">
                  <c:v>1.2628963915964357E-3</c:v>
                </c:pt>
                <c:pt idx="30">
                  <c:v>1.2542764035529091E-3</c:v>
                </c:pt>
                <c:pt idx="31">
                  <c:v>1.2479653512132392E-3</c:v>
                </c:pt>
                <c:pt idx="32">
                  <c:v>1.2439647715316859E-3</c:v>
                </c:pt>
                <c:pt idx="33">
                  <c:v>1.2422760231647098E-3</c:v>
                </c:pt>
                <c:pt idx="34">
                  <c:v>1.2429003155254624E-3</c:v>
                </c:pt>
                <c:pt idx="35">
                  <c:v>1.2458387378372245E-3</c:v>
                </c:pt>
                <c:pt idx="36">
                  <c:v>1.2510922881843411E-3</c:v>
                </c:pt>
                <c:pt idx="37">
                  <c:v>1.2597033347848774E-3</c:v>
                </c:pt>
                <c:pt idx="38">
                  <c:v>1.2716929477455377E-3</c:v>
                </c:pt>
                <c:pt idx="39">
                  <c:v>1.2870617380625002E-3</c:v>
                </c:pt>
                <c:pt idx="40">
                  <c:v>1.305810340912063E-3</c:v>
                </c:pt>
                <c:pt idx="41">
                  <c:v>1.3279394579904121E-3</c:v>
                </c:pt>
                <c:pt idx="42">
                  <c:v>1.3534498998447576E-3</c:v>
                </c:pt>
                <c:pt idx="43">
                  <c:v>1.3769154161894866E-3</c:v>
                </c:pt>
                <c:pt idx="44">
                  <c:v>1.3959966412009554E-3</c:v>
                </c:pt>
                <c:pt idx="45">
                  <c:v>1.4106966335188887E-3</c:v>
                </c:pt>
                <c:pt idx="46">
                  <c:v>1.4210183973760518E-3</c:v>
                </c:pt>
                <c:pt idx="47">
                  <c:v>1.426964827720114E-3</c:v>
                </c:pt>
                <c:pt idx="48">
                  <c:v>1.4285386553171532E-3</c:v>
                </c:pt>
                <c:pt idx="49">
                  <c:v>1.4257423918679136E-3</c:v>
                </c:pt>
                <c:pt idx="50">
                  <c:v>1.418578275115376E-3</c:v>
                </c:pt>
                <c:pt idx="51">
                  <c:v>1.4019222389216191E-3</c:v>
                </c:pt>
                <c:pt idx="52">
                  <c:v>1.374727859528877E-3</c:v>
                </c:pt>
                <c:pt idx="53">
                  <c:v>1.3369875891346326E-3</c:v>
                </c:pt>
                <c:pt idx="54">
                  <c:v>1.2887007536630424E-3</c:v>
                </c:pt>
                <c:pt idx="55">
                  <c:v>1.2298665608392394E-3</c:v>
                </c:pt>
                <c:pt idx="56">
                  <c:v>1.1604841392226738E-3</c:v>
                </c:pt>
                <c:pt idx="57">
                  <c:v>1.0844734700398676E-3</c:v>
                </c:pt>
                <c:pt idx="58">
                  <c:v>1.0072585759082521E-3</c:v>
                </c:pt>
                <c:pt idx="59">
                  <c:v>9.2883877140372841E-4</c:v>
                </c:pt>
                <c:pt idx="60">
                  <c:v>8.4921347887341534E-4</c:v>
                </c:pt>
                <c:pt idx="61">
                  <c:v>7.6838223289406966E-4</c:v>
                </c:pt>
                <c:pt idx="62">
                  <c:v>6.8634468472929212E-4</c:v>
                </c:pt>
                <c:pt idx="63">
                  <c:v>6.0310060678912217E-4</c:v>
                </c:pt>
                <c:pt idx="64">
                  <c:v>5.1864989708663939E-4</c:v>
                </c:pt>
                <c:pt idx="65">
                  <c:v>4.3714052312805854E-4</c:v>
                </c:pt>
                <c:pt idx="66">
                  <c:v>3.6369888208358746E-4</c:v>
                </c:pt>
                <c:pt idx="67">
                  <c:v>2.9832528442686628E-4</c:v>
                </c:pt>
                <c:pt idx="68">
                  <c:v>2.4102004956899818E-4</c:v>
                </c:pt>
                <c:pt idx="69">
                  <c:v>1.9178347600654649E-4</c:v>
                </c:pt>
                <c:pt idx="70">
                  <c:v>1.5061581147126797E-4</c:v>
                </c:pt>
                <c:pt idx="71">
                  <c:v>1.1750856417175466E-4</c:v>
                </c:pt>
                <c:pt idx="72">
                  <c:v>8.8540825559242485E-5</c:v>
                </c:pt>
                <c:pt idx="73">
                  <c:v>6.3712726683155615E-5</c:v>
                </c:pt>
                <c:pt idx="74">
                  <c:v>4.3024335164756531E-5</c:v>
                </c:pt>
                <c:pt idx="75">
                  <c:v>2.6475639884277712E-5</c:v>
                </c:pt>
                <c:pt idx="76">
                  <c:v>1.4066535667852694E-5</c:v>
                </c:pt>
                <c:pt idx="77">
                  <c:v>5.7968079745951385E-6</c:v>
                </c:pt>
                <c:pt idx="78">
                  <c:v>1.6661176388970848E-6</c:v>
                </c:pt>
                <c:pt idx="79">
                  <c:v>1.6897136166300948E-6</c:v>
                </c:pt>
                <c:pt idx="80">
                  <c:v>1.7203717588373697E-6</c:v>
                </c:pt>
                <c:pt idx="81">
                  <c:v>1.7580905014453605E-6</c:v>
                </c:pt>
                <c:pt idx="82">
                  <c:v>1.8028682205840655E-6</c:v>
                </c:pt>
                <c:pt idx="83">
                  <c:v>1.8547032099543346E-6</c:v>
                </c:pt>
                <c:pt idx="84">
                  <c:v>1.9135936582012947E-6</c:v>
                </c:pt>
                <c:pt idx="85">
                  <c:v>2.2560064984632734E-6</c:v>
                </c:pt>
                <c:pt idx="86">
                  <c:v>2.890548577958284E-6</c:v>
                </c:pt>
                <c:pt idx="87">
                  <c:v>3.8171675272874458E-6</c:v>
                </c:pt>
                <c:pt idx="88">
                  <c:v>5.0358059486780805E-6</c:v>
                </c:pt>
                <c:pt idx="89">
                  <c:v>6.5464004797321052E-6</c:v>
                </c:pt>
                <c:pt idx="90">
                  <c:v>8.3488808571613108E-6</c:v>
                </c:pt>
                <c:pt idx="91">
                  <c:v>1.0443168980543469E-5</c:v>
                </c:pt>
                <c:pt idx="92">
                  <c:v>1.2829177976070068E-5</c:v>
                </c:pt>
                <c:pt idx="93">
                  <c:v>1.6196822198825576E-5</c:v>
                </c:pt>
                <c:pt idx="94">
                  <c:v>2.0530118216752669E-5</c:v>
                </c:pt>
                <c:pt idx="95">
                  <c:v>2.5828762552076544E-5</c:v>
                </c:pt>
                <c:pt idx="96">
                  <c:v>3.2092417350397396E-5</c:v>
                </c:pt>
                <c:pt idx="97">
                  <c:v>3.9320707282776932E-5</c:v>
                </c:pt>
                <c:pt idx="98">
                  <c:v>4.7513216447634966E-5</c:v>
                </c:pt>
                <c:pt idx="99">
                  <c:v>5.8193131883234493E-5</c:v>
                </c:pt>
                <c:pt idx="100">
                  <c:v>7.108328158769985E-5</c:v>
                </c:pt>
                <c:pt idx="101">
                  <c:v>8.6182620639445567E-5</c:v>
                </c:pt>
                <c:pt idx="102">
                  <c:v>1.0348999596825286E-4</c:v>
                </c:pt>
                <c:pt idx="103">
                  <c:v>1.2300413925464925E-4</c:v>
                </c:pt>
                <c:pt idx="104">
                  <c:v>1.4472365983146098E-4</c:v>
                </c:pt>
                <c:pt idx="105">
                  <c:v>1.6864703758339987E-4</c:v>
                </c:pt>
                <c:pt idx="106">
                  <c:v>1.9477261584789331E-4</c:v>
                </c:pt>
                <c:pt idx="107">
                  <c:v>2.2549660861179025E-4</c:v>
                </c:pt>
                <c:pt idx="108">
                  <c:v>2.6012706205652796E-4</c:v>
                </c:pt>
                <c:pt idx="109">
                  <c:v>2.9866083395985865E-4</c:v>
                </c:pt>
                <c:pt idx="110">
                  <c:v>3.4109548616649164E-4</c:v>
                </c:pt>
                <c:pt idx="111">
                  <c:v>3.8742885582597388E-4</c:v>
                </c:pt>
                <c:pt idx="112">
                  <c:v>4.3765790965395919E-4</c:v>
                </c:pt>
                <c:pt idx="113">
                  <c:v>4.9270293113400651E-4</c:v>
                </c:pt>
                <c:pt idx="114">
                  <c:v>5.5104018254119433E-4</c:v>
                </c:pt>
                <c:pt idx="115">
                  <c:v>6.1266654053987067E-4</c:v>
                </c:pt>
                <c:pt idx="116">
                  <c:v>6.7757872710712155E-4</c:v>
                </c:pt>
                <c:pt idx="117">
                  <c:v>7.4577330228069812E-4</c:v>
                </c:pt>
                <c:pt idx="118">
                  <c:v>8.1724665690156308E-4</c:v>
                </c:pt>
                <c:pt idx="119">
                  <c:v>8.919950053578444E-4</c:v>
                </c:pt>
                <c:pt idx="120">
                  <c:v>9.7001437832722843E-4</c:v>
                </c:pt>
                <c:pt idx="121">
                  <c:v>1.045744245763838E-3</c:v>
                </c:pt>
                <c:pt idx="122">
                  <c:v>1.1167945037662116E-3</c:v>
                </c:pt>
                <c:pt idx="123">
                  <c:v>1.1831670999018034E-3</c:v>
                </c:pt>
                <c:pt idx="124">
                  <c:v>1.2448641128512906E-3</c:v>
                </c:pt>
                <c:pt idx="125">
                  <c:v>1.3018877625701566E-3</c:v>
                </c:pt>
                <c:pt idx="126">
                  <c:v>1.3542404204342404E-3</c:v>
                </c:pt>
                <c:pt idx="127">
                  <c:v>1.3952755510078534E-3</c:v>
                </c:pt>
                <c:pt idx="128">
                  <c:v>1.4240820601151742E-3</c:v>
                </c:pt>
                <c:pt idx="129">
                  <c:v>1.4406701460032356E-3</c:v>
                </c:pt>
                <c:pt idx="130">
                  <c:v>1.4450505879961277E-3</c:v>
                </c:pt>
                <c:pt idx="131">
                  <c:v>1.4372347732408261E-3</c:v>
                </c:pt>
                <c:pt idx="132">
                  <c:v>1.417234723466437E-3</c:v>
                </c:pt>
                <c:pt idx="133">
                  <c:v>1.385063121752717E-3</c:v>
                </c:pt>
                <c:pt idx="134">
                  <c:v>1.3407333392907942E-3</c:v>
                </c:pt>
                <c:pt idx="135">
                  <c:v>1.2862949801116664E-3</c:v>
                </c:pt>
                <c:pt idx="136">
                  <c:v>1.2272905632081709E-3</c:v>
                </c:pt>
                <c:pt idx="137">
                  <c:v>1.1637267815996491E-3</c:v>
                </c:pt>
                <c:pt idx="138">
                  <c:v>1.0956106575864813E-3</c:v>
                </c:pt>
                <c:pt idx="139">
                  <c:v>1.022949552888951E-3</c:v>
                </c:pt>
                <c:pt idx="140">
                  <c:v>9.4575117872202393E-4</c:v>
                </c:pt>
                <c:pt idx="141">
                  <c:v>8.6792029103874573E-4</c:v>
                </c:pt>
                <c:pt idx="142">
                  <c:v>7.9606785202164802E-4</c:v>
                </c:pt>
                <c:pt idx="143">
                  <c:v>7.3018601740887487E-4</c:v>
                </c:pt>
                <c:pt idx="144">
                  <c:v>6.7027151144773156E-4</c:v>
                </c:pt>
                <c:pt idx="145">
                  <c:v>6.1632001192714011E-4</c:v>
                </c:pt>
                <c:pt idx="146">
                  <c:v>5.6832622977676084E-4</c:v>
                </c:pt>
                <c:pt idx="147">
                  <c:v>5.2628398868875988E-4</c:v>
                </c:pt>
                <c:pt idx="148">
                  <c:v>4.901863047232232E-4</c:v>
                </c:pt>
                <c:pt idx="149">
                  <c:v>4.60099771098934E-4</c:v>
                </c:pt>
                <c:pt idx="150">
                  <c:v>4.3399486855735044E-4</c:v>
                </c:pt>
                <c:pt idx="151">
                  <c:v>4.1186614400733258E-4</c:v>
                </c:pt>
                <c:pt idx="152">
                  <c:v>3.9370776380555947E-4</c:v>
                </c:pt>
                <c:pt idx="153">
                  <c:v>3.7951356709429237E-4</c:v>
                </c:pt>
                <c:pt idx="154">
                  <c:v>3.6927711914153268E-4</c:v>
                </c:pt>
                <c:pt idx="155">
                  <c:v>3.6283780680585191E-4</c:v>
                </c:pt>
                <c:pt idx="156">
                  <c:v>3.563250163342947E-4</c:v>
                </c:pt>
                <c:pt idx="157">
                  <c:v>3.4973944607315471E-4</c:v>
                </c:pt>
                <c:pt idx="158">
                  <c:v>3.4308176131872038E-4</c:v>
                </c:pt>
                <c:pt idx="159">
                  <c:v>3.3635259323353423E-4</c:v>
                </c:pt>
                <c:pt idx="160">
                  <c:v>3.2955253776693547E-4</c:v>
                </c:pt>
                <c:pt idx="161">
                  <c:v>3.2268215457166853E-4</c:v>
                </c:pt>
                <c:pt idx="162">
                  <c:v>3.1574196592237445E-4</c:v>
                </c:pt>
                <c:pt idx="163">
                  <c:v>3.0924792868909201E-4</c:v>
                </c:pt>
                <c:pt idx="164">
                  <c:v>3.0312591852164596E-4</c:v>
                </c:pt>
                <c:pt idx="165">
                  <c:v>2.9737554686533373E-4</c:v>
                </c:pt>
                <c:pt idx="166">
                  <c:v>2.9199641199265298E-4</c:v>
                </c:pt>
                <c:pt idx="167">
                  <c:v>2.8698810392737708E-4</c:v>
                </c:pt>
                <c:pt idx="168">
                  <c:v>2.8235020937812942E-4</c:v>
                </c:pt>
                <c:pt idx="169">
                  <c:v>2.7859596377656937E-4</c:v>
                </c:pt>
                <c:pt idx="170">
                  <c:v>2.7587667484151171E-4</c:v>
                </c:pt>
                <c:pt idx="171">
                  <c:v>2.741909136849285E-4</c:v>
                </c:pt>
                <c:pt idx="172">
                  <c:v>2.7353734230516861E-4</c:v>
                </c:pt>
                <c:pt idx="173">
                  <c:v>2.7391192655484159E-4</c:v>
                </c:pt>
                <c:pt idx="174">
                  <c:v>2.7531054466874139E-4</c:v>
                </c:pt>
                <c:pt idx="175">
                  <c:v>2.777318052559674E-4</c:v>
                </c:pt>
                <c:pt idx="176">
                  <c:v>2.8117432368185126E-4</c:v>
                </c:pt>
                <c:pt idx="177">
                  <c:v>2.8548471511741404E-4</c:v>
                </c:pt>
                <c:pt idx="178">
                  <c:v>2.9015057320515091E-4</c:v>
                </c:pt>
                <c:pt idx="179">
                  <c:v>2.9517156080989526E-4</c:v>
                </c:pt>
                <c:pt idx="180">
                  <c:v>3.0054735826758261E-4</c:v>
                </c:pt>
                <c:pt idx="181">
                  <c:v>3.0627766549417993E-4</c:v>
                </c:pt>
                <c:pt idx="182">
                  <c:v>3.1236220409715931E-4</c:v>
                </c:pt>
                <c:pt idx="183">
                  <c:v>3.1887360288337219E-4</c:v>
                </c:pt>
                <c:pt idx="184">
                  <c:v>3.2530174605141369E-4</c:v>
                </c:pt>
                <c:pt idx="185">
                  <c:v>3.3164705278974763E-4</c:v>
                </c:pt>
                <c:pt idx="186">
                  <c:v>3.3790995476777196E-4</c:v>
                </c:pt>
                <c:pt idx="187">
                  <c:v>3.4409089567389087E-4</c:v>
                </c:pt>
                <c:pt idx="188">
                  <c:v>3.5019033075577385E-4</c:v>
                </c:pt>
                <c:pt idx="189">
                  <c:v>3.5620872635010626E-4</c:v>
                </c:pt>
                <c:pt idx="190">
                  <c:v>3.6214655942705214E-4</c:v>
                </c:pt>
                <c:pt idx="191">
                  <c:v>3.7179694543325564E-4</c:v>
                </c:pt>
                <c:pt idx="192">
                  <c:v>3.8530663338753586E-4</c:v>
                </c:pt>
                <c:pt idx="193">
                  <c:v>4.0267149538540968E-4</c:v>
                </c:pt>
                <c:pt idx="194">
                  <c:v>4.2388769448261352E-4</c:v>
                </c:pt>
                <c:pt idx="195">
                  <c:v>4.4895170754428792E-4</c:v>
                </c:pt>
                <c:pt idx="196">
                  <c:v>4.7786034807895312E-4</c:v>
                </c:pt>
                <c:pt idx="197">
                  <c:v>5.1258258280912955E-4</c:v>
                </c:pt>
                <c:pt idx="198">
                  <c:v>5.5304153158658117E-4</c:v>
                </c:pt>
                <c:pt idx="199">
                  <c:v>5.9923339002910831E-4</c:v>
                </c:pt>
                <c:pt idx="200">
                  <c:v>6.5115495882836396E-4</c:v>
                </c:pt>
                <c:pt idx="201">
                  <c:v>7.0880367783473109E-4</c:v>
                </c:pt>
                <c:pt idx="202">
                  <c:v>7.7217766014367971E-4</c:v>
                </c:pt>
                <c:pt idx="203">
                  <c:v>8.4127572619914601E-4</c:v>
                </c:pt>
                <c:pt idx="204">
                  <c:v>9.1609595853055247E-4</c:v>
                </c:pt>
                <c:pt idx="205">
                  <c:v>9.9022719548910688E-4</c:v>
                </c:pt>
                <c:pt idx="206">
                  <c:v>1.0598983172785024E-3</c:v>
                </c:pt>
                <c:pt idx="207">
                  <c:v>1.125114801392345E-3</c:v>
                </c:pt>
                <c:pt idx="208">
                  <c:v>1.1858816768774332E-3</c:v>
                </c:pt>
                <c:pt idx="209">
                  <c:v>1.2422035380959822E-3</c:v>
                </c:pt>
                <c:pt idx="210">
                  <c:v>1.2940845585269684E-3</c:v>
                </c:pt>
                <c:pt idx="211">
                  <c:v>1.3361877160395564E-3</c:v>
                </c:pt>
                <c:pt idx="212">
                  <c:v>1.3665537772552996E-3</c:v>
                </c:pt>
                <c:pt idx="213">
                  <c:v>1.3851883530384395E-3</c:v>
                </c:pt>
                <c:pt idx="214">
                  <c:v>1.3920961901766153E-3</c:v>
                </c:pt>
                <c:pt idx="215">
                  <c:v>1.3872812078474675E-3</c:v>
                </c:pt>
                <c:pt idx="216">
                  <c:v>1.370746534080577E-3</c:v>
                </c:pt>
                <c:pt idx="217">
                  <c:v>1.3424945422246676E-3</c:v>
                </c:pt>
                <c:pt idx="218">
                  <c:v>1.3025268874067872E-3</c:v>
                </c:pt>
                <c:pt idx="219">
                  <c:v>1.251729807751989E-3</c:v>
                </c:pt>
                <c:pt idx="220">
                  <c:v>1.1964998090740659E-3</c:v>
                </c:pt>
                <c:pt idx="221">
                  <c:v>1.1368356600074221E-3</c:v>
                </c:pt>
                <c:pt idx="222">
                  <c:v>1.0727359507376976E-3</c:v>
                </c:pt>
                <c:pt idx="223">
                  <c:v>1.0041991068560079E-3</c:v>
                </c:pt>
                <c:pt idx="224">
                  <c:v>9.312234031834607E-4</c:v>
                </c:pt>
                <c:pt idx="225">
                  <c:v>8.561026609347907E-4</c:v>
                </c:pt>
                <c:pt idx="226">
                  <c:v>7.8417033726745208E-4</c:v>
                </c:pt>
                <c:pt idx="227">
                  <c:v>7.1542450230084739E-4</c:v>
                </c:pt>
                <c:pt idx="228">
                  <c:v>6.498634565391152E-4</c:v>
                </c:pt>
                <c:pt idx="229">
                  <c:v>5.8748572097598139E-4</c:v>
                </c:pt>
                <c:pt idx="230">
                  <c:v>5.2829002721237802E-4</c:v>
                </c:pt>
                <c:pt idx="231">
                  <c:v>4.7227530757388701E-4</c:v>
                </c:pt>
                <c:pt idx="232">
                  <c:v>4.1944068521664182E-4</c:v>
                </c:pt>
                <c:pt idx="233">
                  <c:v>3.712426910401192E-4</c:v>
                </c:pt>
                <c:pt idx="234">
                  <c:v>3.2679572109203824E-4</c:v>
                </c:pt>
                <c:pt idx="235">
                  <c:v>2.8609975652149877E-4</c:v>
                </c:pt>
                <c:pt idx="236">
                  <c:v>2.4915490567681449E-4</c:v>
                </c:pt>
                <c:pt idx="237">
                  <c:v>2.1596115947738583E-4</c:v>
                </c:pt>
                <c:pt idx="238">
                  <c:v>1.8651863734799577E-4</c:v>
                </c:pt>
                <c:pt idx="239">
                  <c:v>1.6148740707135965E-4</c:v>
                </c:pt>
                <c:pt idx="240">
                  <c:v>1.3857086550309952E-4</c:v>
                </c:pt>
                <c:pt idx="241">
                  <c:v>1.1776909654667937E-4</c:v>
                </c:pt>
                <c:pt idx="242">
                  <c:v>9.9082264082274221E-5</c:v>
                </c:pt>
                <c:pt idx="243">
                  <c:v>8.2510615705383875E-5</c:v>
                </c:pt>
                <c:pt idx="244">
                  <c:v>6.8054486463982726E-5</c:v>
                </c:pt>
                <c:pt idx="245">
                  <c:v>5.5714302594876472E-5</c:v>
                </c:pt>
                <c:pt idx="246">
                  <c:v>4.5490585260593352E-5</c:v>
                </c:pt>
                <c:pt idx="247">
                  <c:v>3.7648434695742546E-5</c:v>
                </c:pt>
                <c:pt idx="248">
                  <c:v>3.0729313954434529E-5</c:v>
                </c:pt>
                <c:pt idx="249">
                  <c:v>2.4733473819688304E-5</c:v>
                </c:pt>
                <c:pt idx="250">
                  <c:v>1.9661209980930637E-5</c:v>
                </c:pt>
                <c:pt idx="251">
                  <c:v>1.5512864665487586E-5</c:v>
                </c:pt>
                <c:pt idx="252">
                  <c:v>1.2288828268842697E-5</c:v>
                </c:pt>
                <c:pt idx="253">
                  <c:v>1.0004592401358614E-5</c:v>
                </c:pt>
                <c:pt idx="254">
                  <c:v>7.9993874867895784E-6</c:v>
                </c:pt>
                <c:pt idx="255">
                  <c:v>6.2733320997647448E-6</c:v>
                </c:pt>
                <c:pt idx="256">
                  <c:v>4.826560222160176E-6</c:v>
                </c:pt>
                <c:pt idx="257">
                  <c:v>3.6592217358706942E-6</c:v>
                </c:pt>
                <c:pt idx="258">
                  <c:v>2.7714829156688346E-6</c:v>
                </c:pt>
                <c:pt idx="259">
                  <c:v>2.1635269220690304E-6</c:v>
                </c:pt>
                <c:pt idx="260">
                  <c:v>1.8355542940907025E-6</c:v>
                </c:pt>
                <c:pt idx="261">
                  <c:v>1.7794793558727567E-6</c:v>
                </c:pt>
                <c:pt idx="262">
                  <c:v>1.7301706040714879E-6</c:v>
                </c:pt>
                <c:pt idx="263">
                  <c:v>1.6876326459530365E-6</c:v>
                </c:pt>
                <c:pt idx="264">
                  <c:v>1.6518705968423896E-6</c:v>
                </c:pt>
                <c:pt idx="265">
                  <c:v>1.6228987034621903E-6</c:v>
                </c:pt>
                <c:pt idx="266">
                  <c:v>1.6007269766832187E-6</c:v>
                </c:pt>
                <c:pt idx="267">
                  <c:v>5.5711268584766743E-6</c:v>
                </c:pt>
                <c:pt idx="268">
                  <c:v>1.3523655959788173E-5</c:v>
                </c:pt>
                <c:pt idx="269">
                  <c:v>2.5463372234129896E-5</c:v>
                </c:pt>
                <c:pt idx="270">
                  <c:v>4.1395690228767607E-5</c:v>
                </c:pt>
                <c:pt idx="271">
                  <c:v>6.1326337263542806E-5</c:v>
                </c:pt>
                <c:pt idx="272">
                  <c:v>8.526130960999195E-5</c:v>
                </c:pt>
                <c:pt idx="273">
                  <c:v>1.1320682866986046E-4</c:v>
                </c:pt>
                <c:pt idx="274">
                  <c:v>1.4516929715449229E-4</c:v>
                </c:pt>
                <c:pt idx="275">
                  <c:v>1.8493635084193883E-4</c:v>
                </c:pt>
                <c:pt idx="276">
                  <c:v>2.3252856012379272E-4</c:v>
                </c:pt>
                <c:pt idx="277">
                  <c:v>2.8795838377129761E-4</c:v>
                </c:pt>
                <c:pt idx="278">
                  <c:v>3.5123842543547182E-4</c:v>
                </c:pt>
                <c:pt idx="279">
                  <c:v>4.2238134822238603E-4</c:v>
                </c:pt>
                <c:pt idx="280">
                  <c:v>5.0139978927173535E-4</c:v>
                </c:pt>
                <c:pt idx="281">
                  <c:v>5.833480381545555E-4</c:v>
                </c:pt>
                <c:pt idx="282">
                  <c:v>6.6421652575338226E-4</c:v>
                </c:pt>
                <c:pt idx="283">
                  <c:v>7.4400320336875502E-4</c:v>
                </c:pt>
                <c:pt idx="284">
                  <c:v>8.2270566292098391E-4</c:v>
                </c:pt>
                <c:pt idx="285">
                  <c:v>9.0032114970516866E-4</c:v>
                </c:pt>
                <c:pt idx="286">
                  <c:v>9.7684657515406648E-4</c:v>
                </c:pt>
                <c:pt idx="287">
                  <c:v>1.0522785295934572E-3</c:v>
                </c:pt>
                <c:pt idx="288">
                  <c:v>1.1266132950001498E-3</c:v>
                </c:pt>
                <c:pt idx="289">
                  <c:v>1.1945777018280283E-3</c:v>
                </c:pt>
                <c:pt idx="290">
                  <c:v>1.252349284476805E-3</c:v>
                </c:pt>
                <c:pt idx="291">
                  <c:v>1.299910185321977E-3</c:v>
                </c:pt>
                <c:pt idx="292">
                  <c:v>1.3372427737981364E-3</c:v>
                </c:pt>
                <c:pt idx="293">
                  <c:v>1.3643297581061346E-3</c:v>
                </c:pt>
                <c:pt idx="294">
                  <c:v>1.3811542969156547E-3</c:v>
                </c:pt>
                <c:pt idx="295">
                  <c:v>1.3887137220356814E-3</c:v>
                </c:pt>
                <c:pt idx="296">
                  <c:v>1.3920058833107099E-3</c:v>
                </c:pt>
                <c:pt idx="297">
                  <c:v>1.3910352199221453E-3</c:v>
                </c:pt>
                <c:pt idx="298">
                  <c:v>1.3857945661354238E-3</c:v>
                </c:pt>
                <c:pt idx="299">
                  <c:v>1.3762766202498606E-3</c:v>
                </c:pt>
                <c:pt idx="300">
                  <c:v>1.362473984069002E-3</c:v>
                </c:pt>
                <c:pt idx="301">
                  <c:v>1.3443792023667669E-3</c:v>
                </c:pt>
                <c:pt idx="302">
                  <c:v>1.321984802356672E-3</c:v>
                </c:pt>
                <c:pt idx="303">
                  <c:v>1.2975721906730321E-3</c:v>
                </c:pt>
                <c:pt idx="304">
                  <c:v>1.2764437937567423E-3</c:v>
                </c:pt>
                <c:pt idx="305">
                  <c:v>1.2586031619661539E-3</c:v>
                </c:pt>
                <c:pt idx="306">
                  <c:v>1.2440539073033132E-3</c:v>
                </c:pt>
                <c:pt idx="307">
                  <c:v>1.2327996729770722E-3</c:v>
                </c:pt>
                <c:pt idx="308">
                  <c:v>1.2248441029558627E-3</c:v>
                </c:pt>
                <c:pt idx="309">
                  <c:v>1.2201707917209607E-3</c:v>
                </c:pt>
                <c:pt idx="310">
                  <c:v>1.2177626596209653E-3</c:v>
                </c:pt>
                <c:pt idx="311">
                  <c:v>1.217621761170799E-3</c:v>
                </c:pt>
                <c:pt idx="312">
                  <c:v>1.2197500739375433E-3</c:v>
                </c:pt>
                <c:pt idx="313">
                  <c:v>1.2241494776559715E-3</c:v>
                </c:pt>
                <c:pt idx="314">
                  <c:v>1.230821733332935E-3</c:v>
                </c:pt>
                <c:pt idx="315">
                  <c:v>1.2397684623671112E-3</c:v>
                </c:pt>
                <c:pt idx="316">
                  <c:v>1.2509911256498268E-3</c:v>
                </c:pt>
                <c:pt idx="317">
                  <c:v>1.2642155325997169E-3</c:v>
                </c:pt>
                <c:pt idx="318">
                  <c:v>1.2771383307447731E-3</c:v>
                </c:pt>
                <c:pt idx="319">
                  <c:v>1.2897575356470329E-3</c:v>
                </c:pt>
                <c:pt idx="320">
                  <c:v>1.3020711417044673E-3</c:v>
                </c:pt>
                <c:pt idx="321">
                  <c:v>1.3140771248585374E-3</c:v>
                </c:pt>
                <c:pt idx="322">
                  <c:v>1.3257734453075516E-3</c:v>
                </c:pt>
                <c:pt idx="323">
                  <c:v>1.3376469662987759E-3</c:v>
                </c:pt>
                <c:pt idx="324">
                  <c:v>1.3497161814982573E-3</c:v>
                </c:pt>
                <c:pt idx="325">
                  <c:v>1.3619793222290548E-3</c:v>
                </c:pt>
                <c:pt idx="326">
                  <c:v>1.3744260013652007E-3</c:v>
                </c:pt>
                <c:pt idx="327">
                  <c:v>1.3870511995812162E-3</c:v>
                </c:pt>
                <c:pt idx="328">
                  <c:v>1.3998568871453235E-3</c:v>
                </c:pt>
                <c:pt idx="329">
                  <c:v>1.4128451032839975E-3</c:v>
                </c:pt>
                <c:pt idx="330">
                  <c:v>1.4260179606055484E-3</c:v>
                </c:pt>
                <c:pt idx="331">
                  <c:v>1.4385865666623069E-3</c:v>
                </c:pt>
                <c:pt idx="332">
                  <c:v>1.4508294739296239E-3</c:v>
                </c:pt>
                <c:pt idx="333">
                  <c:v>1.4627489559888142E-3</c:v>
                </c:pt>
                <c:pt idx="334">
                  <c:v>1.4743474159565602E-3</c:v>
                </c:pt>
                <c:pt idx="335">
                  <c:v>1.4856273802279795E-3</c:v>
                </c:pt>
                <c:pt idx="336">
                  <c:v>1.4965914922005731E-3</c:v>
                </c:pt>
                <c:pt idx="337">
                  <c:v>1.506445636078751E-3</c:v>
                </c:pt>
                <c:pt idx="338">
                  <c:v>1.514702697892183E-3</c:v>
                </c:pt>
                <c:pt idx="339">
                  <c:v>1.5213655481152719E-3</c:v>
                </c:pt>
                <c:pt idx="340">
                  <c:v>1.5264371586664566E-3</c:v>
                </c:pt>
                <c:pt idx="341">
                  <c:v>1.5299205698896786E-3</c:v>
                </c:pt>
                <c:pt idx="342">
                  <c:v>1.5318188575347419E-3</c:v>
                </c:pt>
                <c:pt idx="343">
                  <c:v>1.5321350997191787E-3</c:v>
                </c:pt>
                <c:pt idx="344">
                  <c:v>1.5308723439141293E-3</c:v>
                </c:pt>
                <c:pt idx="345">
                  <c:v>1.5280335739140871E-3</c:v>
                </c:pt>
                <c:pt idx="346">
                  <c:v>1.5249258348975655E-3</c:v>
                </c:pt>
                <c:pt idx="347">
                  <c:v>1.5215521440866543E-3</c:v>
                </c:pt>
                <c:pt idx="348">
                  <c:v>1.5179154697276824E-3</c:v>
                </c:pt>
                <c:pt idx="349">
                  <c:v>1.5140187251635119E-3</c:v>
                </c:pt>
                <c:pt idx="350">
                  <c:v>1.509864762941369E-3</c:v>
                </c:pt>
                <c:pt idx="351">
                  <c:v>1.5059691729230043E-3</c:v>
                </c:pt>
                <c:pt idx="352">
                  <c:v>1.5031325370395807E-3</c:v>
                </c:pt>
                <c:pt idx="353">
                  <c:v>1.5013582544100583E-3</c:v>
                </c:pt>
                <c:pt idx="354">
                  <c:v>1.5006498562280927E-3</c:v>
                </c:pt>
                <c:pt idx="355">
                  <c:v>1.5010110269955532E-3</c:v>
                </c:pt>
                <c:pt idx="356">
                  <c:v>1.5024466641089505E-3</c:v>
                </c:pt>
                <c:pt idx="357">
                  <c:v>1.5049574742324607E-3</c:v>
                </c:pt>
                <c:pt idx="358">
                  <c:v>1.5085407254051884E-3</c:v>
                </c:pt>
                <c:pt idx="359">
                  <c:v>1.5131938385630503E-3</c:v>
                </c:pt>
                <c:pt idx="360">
                  <c:v>1.5181149106637387E-3</c:v>
                </c:pt>
                <c:pt idx="361">
                  <c:v>1.5227863503168367E-3</c:v>
                </c:pt>
                <c:pt idx="362">
                  <c:v>1.5272041662810587E-3</c:v>
                </c:pt>
                <c:pt idx="363">
                  <c:v>1.5313642950128504E-3</c:v>
                </c:pt>
                <c:pt idx="364">
                  <c:v>1.5352626079954154E-3</c:v>
                </c:pt>
                <c:pt idx="365">
                  <c:v>1.5388949190492079E-3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2.4173893898335121E-3</c:v>
                </c:pt>
                <c:pt idx="1">
                  <c:v>2.4226746350153065E-3</c:v>
                </c:pt>
                <c:pt idx="2">
                  <c:v>2.4254311659133434E-3</c:v>
                </c:pt>
                <c:pt idx="3">
                  <c:v>2.4256491773795752E-3</c:v>
                </c:pt>
                <c:pt idx="4">
                  <c:v>2.4233188081725179E-3</c:v>
                </c:pt>
                <c:pt idx="5">
                  <c:v>2.4184302059339709E-3</c:v>
                </c:pt>
                <c:pt idx="6">
                  <c:v>2.4109735921967069E-3</c:v>
                </c:pt>
                <c:pt idx="7">
                  <c:v>2.4009393273375784E-3</c:v>
                </c:pt>
                <c:pt idx="8">
                  <c:v>2.3883179755646838E-3</c:v>
                </c:pt>
                <c:pt idx="9">
                  <c:v>2.3727445064003106E-3</c:v>
                </c:pt>
                <c:pt idx="10">
                  <c:v>2.3547708612291166E-3</c:v>
                </c:pt>
                <c:pt idx="11">
                  <c:v>2.3343888793202557E-3</c:v>
                </c:pt>
                <c:pt idx="12">
                  <c:v>2.311590843400226E-3</c:v>
                </c:pt>
                <c:pt idx="13">
                  <c:v>2.2863695394229702E-3</c:v>
                </c:pt>
                <c:pt idx="14">
                  <c:v>2.2587183163010022E-3</c:v>
                </c:pt>
                <c:pt idx="15">
                  <c:v>2.2289263996929298E-3</c:v>
                </c:pt>
                <c:pt idx="16">
                  <c:v>2.1989884565409503E-3</c:v>
                </c:pt>
                <c:pt idx="17">
                  <c:v>2.1689016443214755E-3</c:v>
                </c:pt>
                <c:pt idx="18">
                  <c:v>2.1386634429302184E-3</c:v>
                </c:pt>
                <c:pt idx="19">
                  <c:v>2.1082834159947736E-3</c:v>
                </c:pt>
                <c:pt idx="20">
                  <c:v>2.0777760070128364E-3</c:v>
                </c:pt>
                <c:pt idx="21">
                  <c:v>2.0471461498118267E-3</c:v>
                </c:pt>
                <c:pt idx="22">
                  <c:v>2.016398632831283E-3</c:v>
                </c:pt>
                <c:pt idx="23">
                  <c:v>1.9857830587489689E-3</c:v>
                </c:pt>
                <c:pt idx="24">
                  <c:v>1.9556612186889034E-3</c:v>
                </c:pt>
                <c:pt idx="25">
                  <c:v>1.9260375476500115E-3</c:v>
                </c:pt>
                <c:pt idx="26">
                  <c:v>1.8969162666533932E-3</c:v>
                </c:pt>
                <c:pt idx="27">
                  <c:v>1.8683013894827971E-3</c:v>
                </c:pt>
                <c:pt idx="28">
                  <c:v>1.840196729466553E-3</c:v>
                </c:pt>
                <c:pt idx="29">
                  <c:v>1.8163152026111481E-3</c:v>
                </c:pt>
                <c:pt idx="30">
                  <c:v>1.7963642372259474E-3</c:v>
                </c:pt>
                <c:pt idx="31">
                  <c:v>1.780346585957022E-3</c:v>
                </c:pt>
                <c:pt idx="32">
                  <c:v>1.7682646221718948E-3</c:v>
                </c:pt>
                <c:pt idx="33">
                  <c:v>1.7601203893897219E-3</c:v>
                </c:pt>
                <c:pt idx="34">
                  <c:v>1.7559156507194686E-3</c:v>
                </c:pt>
                <c:pt idx="35">
                  <c:v>1.7556519382965327E-3</c:v>
                </c:pt>
                <c:pt idx="36">
                  <c:v>1.7593306027158047E-3</c:v>
                </c:pt>
                <c:pt idx="37">
                  <c:v>1.7700689139676438E-3</c:v>
                </c:pt>
                <c:pt idx="38">
                  <c:v>1.7876223309567932E-3</c:v>
                </c:pt>
                <c:pt idx="39">
                  <c:v>1.8119911756225269E-3</c:v>
                </c:pt>
                <c:pt idx="40">
                  <c:v>1.8431757852119366E-3</c:v>
                </c:pt>
                <c:pt idx="41">
                  <c:v>1.8811765976338489E-3</c:v>
                </c:pt>
                <c:pt idx="42">
                  <c:v>1.9259942368006584E-3</c:v>
                </c:pt>
                <c:pt idx="43">
                  <c:v>1.9693964839431885E-3</c:v>
                </c:pt>
                <c:pt idx="44">
                  <c:v>2.0076812269464697E-3</c:v>
                </c:pt>
                <c:pt idx="45">
                  <c:v>2.0408527239636079E-3</c:v>
                </c:pt>
                <c:pt idx="46">
                  <c:v>2.0689152499825223E-3</c:v>
                </c:pt>
                <c:pt idx="47">
                  <c:v>2.0918730327878329E-3</c:v>
                </c:pt>
                <c:pt idx="48">
                  <c:v>2.1097301888962348E-3</c:v>
                </c:pt>
                <c:pt idx="49">
                  <c:v>2.1224906595103759E-3</c:v>
                </c:pt>
                <c:pt idx="50">
                  <c:v>2.1301581464599844E-3</c:v>
                </c:pt>
                <c:pt idx="51">
                  <c:v>2.1231691462252501E-3</c:v>
                </c:pt>
                <c:pt idx="52">
                  <c:v>2.0984021620032395E-3</c:v>
                </c:pt>
                <c:pt idx="53">
                  <c:v>2.0558460666316647E-3</c:v>
                </c:pt>
                <c:pt idx="54">
                  <c:v>1.9954999943057406E-3</c:v>
                </c:pt>
                <c:pt idx="55">
                  <c:v>1.9173628486248938E-3</c:v>
                </c:pt>
                <c:pt idx="56">
                  <c:v>1.8214333684316397E-3</c:v>
                </c:pt>
                <c:pt idx="57">
                  <c:v>1.7134863373131316E-3</c:v>
                </c:pt>
                <c:pt idx="58">
                  <c:v>1.6017500196024582E-3</c:v>
                </c:pt>
                <c:pt idx="59">
                  <c:v>1.4862233383068728E-3</c:v>
                </c:pt>
                <c:pt idx="60">
                  <c:v>1.3669053613426674E-3</c:v>
                </c:pt>
                <c:pt idx="61">
                  <c:v>1.2437953155595921E-3</c:v>
                </c:pt>
                <c:pt idx="62">
                  <c:v>1.1168926007633301E-3</c:v>
                </c:pt>
                <c:pt idx="63">
                  <c:v>9.8619680374182196E-4</c:v>
                </c:pt>
                <c:pt idx="64">
                  <c:v>8.5170771228675155E-4</c:v>
                </c:pt>
                <c:pt idx="65">
                  <c:v>7.2033359440120098E-4</c:v>
                </c:pt>
                <c:pt idx="66">
                  <c:v>6.0164206046883751E-4</c:v>
                </c:pt>
                <c:pt idx="67">
                  <c:v>4.9563360392787547E-4</c:v>
                </c:pt>
                <c:pt idx="68">
                  <c:v>4.0230873706047904E-4</c:v>
                </c:pt>
                <c:pt idx="69">
                  <c:v>3.2166794406463298E-4</c:v>
                </c:pt>
                <c:pt idx="70">
                  <c:v>2.5371163412888178E-4</c:v>
                </c:pt>
                <c:pt idx="71">
                  <c:v>1.9842206280718246E-4</c:v>
                </c:pt>
                <c:pt idx="72">
                  <c:v>1.5002309839432933E-4</c:v>
                </c:pt>
                <c:pt idx="73">
                  <c:v>1.0851496016213311E-4</c:v>
                </c:pt>
                <c:pt idx="74">
                  <c:v>7.3897762065441269E-5</c:v>
                </c:pt>
                <c:pt idx="75">
                  <c:v>4.6171487252388315E-5</c:v>
                </c:pt>
                <c:pt idx="76">
                  <c:v>2.5335962574305691E-5</c:v>
                </c:pt>
                <c:pt idx="77">
                  <c:v>1.1390833095885007E-5</c:v>
                </c:pt>
                <c:pt idx="78">
                  <c:v>4.3355367491160753E-6</c:v>
                </c:pt>
                <c:pt idx="79">
                  <c:v>4.1965734510695077E-6</c:v>
                </c:pt>
                <c:pt idx="80">
                  <c:v>4.0668737846324488E-6</c:v>
                </c:pt>
                <c:pt idx="81">
                  <c:v>3.9464352026030286E-6</c:v>
                </c:pt>
                <c:pt idx="82">
                  <c:v>3.8352552970001223E-6</c:v>
                </c:pt>
                <c:pt idx="83">
                  <c:v>3.7333317694248017E-6</c:v>
                </c:pt>
                <c:pt idx="84">
                  <c:v>3.6406624014344441E-6</c:v>
                </c:pt>
                <c:pt idx="85">
                  <c:v>3.9038841296735626E-6</c:v>
                </c:pt>
                <c:pt idx="86">
                  <c:v>4.5409595942651518E-6</c:v>
                </c:pt>
                <c:pt idx="87">
                  <c:v>5.5518226017719368E-6</c:v>
                </c:pt>
                <c:pt idx="88">
                  <c:v>6.9364007481317458E-6</c:v>
                </c:pt>
                <c:pt idx="89">
                  <c:v>8.6946142205386529E-6</c:v>
                </c:pt>
                <c:pt idx="90">
                  <c:v>1.0826374599306524E-5</c:v>
                </c:pt>
                <c:pt idx="91">
                  <c:v>1.3331583659760745E-5</c:v>
                </c:pt>
                <c:pt idx="92">
                  <c:v>1.6210132174117451E-5</c:v>
                </c:pt>
                <c:pt idx="93">
                  <c:v>2.0408139450024545E-5</c:v>
                </c:pt>
                <c:pt idx="94">
                  <c:v>2.5897985190960421E-5</c:v>
                </c:pt>
                <c:pt idx="95">
                  <c:v>3.2679268210115769E-5</c:v>
                </c:pt>
                <c:pt idx="96">
                  <c:v>4.075154172773269E-5</c:v>
                </c:pt>
                <c:pt idx="97">
                  <c:v>5.0114309226914807E-5</c:v>
                </c:pt>
                <c:pt idx="98">
                  <c:v>6.0767020309197964E-5</c:v>
                </c:pt>
                <c:pt idx="99">
                  <c:v>7.5120476292056399E-5</c:v>
                </c:pt>
                <c:pt idx="100">
                  <c:v>9.2826947123981397E-5</c:v>
                </c:pt>
                <c:pt idx="101">
                  <c:v>1.1388488911024021E-4</c:v>
                </c:pt>
                <c:pt idx="102">
                  <c:v>1.3829259688484744E-4</c:v>
                </c:pt>
                <c:pt idx="103">
                  <c:v>1.6604819264041997E-4</c:v>
                </c:pt>
                <c:pt idx="104">
                  <c:v>1.9714961536091609E-4</c:v>
                </c:pt>
                <c:pt idx="105">
                  <c:v>2.3159461005177023E-4</c:v>
                </c:pt>
                <c:pt idx="106">
                  <c:v>2.6938071697169203E-4</c:v>
                </c:pt>
                <c:pt idx="107">
                  <c:v>3.1373018861523272E-4</c:v>
                </c:pt>
                <c:pt idx="108">
                  <c:v>3.6369392805569886E-4</c:v>
                </c:pt>
                <c:pt idx="109">
                  <c:v>4.1926741737590155E-4</c:v>
                </c:pt>
                <c:pt idx="110">
                  <c:v>4.804471224649214E-4</c:v>
                </c:pt>
                <c:pt idx="111">
                  <c:v>5.4722990615584783E-4</c:v>
                </c:pt>
                <c:pt idx="112">
                  <c:v>6.1961140870961417E-4</c:v>
                </c:pt>
                <c:pt idx="113">
                  <c:v>6.9948477687260563E-4</c:v>
                </c:pt>
                <c:pt idx="114">
                  <c:v>7.8443866164561496E-4</c:v>
                </c:pt>
                <c:pt idx="115">
                  <c:v>8.7446833514289834E-4</c:v>
                </c:pt>
                <c:pt idx="116">
                  <c:v>9.6956883529195049E-4</c:v>
                </c:pt>
                <c:pt idx="117">
                  <c:v>1.0697349546470981E-3</c:v>
                </c:pt>
                <c:pt idx="118">
                  <c:v>1.1749612291954451E-3</c:v>
                </c:pt>
                <c:pt idx="119">
                  <c:v>1.2852419271648123E-3</c:v>
                </c:pt>
                <c:pt idx="120">
                  <c:v>1.400571037829424E-3</c:v>
                </c:pt>
                <c:pt idx="121">
                  <c:v>1.5142886123905097E-3</c:v>
                </c:pt>
                <c:pt idx="122">
                  <c:v>1.6231789784251552E-3</c:v>
                </c:pt>
                <c:pt idx="123">
                  <c:v>1.7272433022150727E-3</c:v>
                </c:pt>
                <c:pt idx="124">
                  <c:v>1.8264828530969634E-3</c:v>
                </c:pt>
                <c:pt idx="125">
                  <c:v>1.9208990139018421E-3</c:v>
                </c:pt>
                <c:pt idx="126">
                  <c:v>2.0104932913710006E-3</c:v>
                </c:pt>
                <c:pt idx="127">
                  <c:v>2.0843062692713029E-3</c:v>
                </c:pt>
                <c:pt idx="128">
                  <c:v>2.140459391495265E-3</c:v>
                </c:pt>
                <c:pt idx="129">
                  <c:v>2.1789670056966367E-3</c:v>
                </c:pt>
                <c:pt idx="130">
                  <c:v>2.1998442854258924E-3</c:v>
                </c:pt>
                <c:pt idx="131">
                  <c:v>2.2031072687336631E-3</c:v>
                </c:pt>
                <c:pt idx="132">
                  <c:v>2.1887728967940139E-3</c:v>
                </c:pt>
                <c:pt idx="133">
                  <c:v>2.1568590525420095E-3</c:v>
                </c:pt>
                <c:pt idx="134">
                  <c:v>2.1073845992996129E-3</c:v>
                </c:pt>
                <c:pt idx="135">
                  <c:v>2.0418229623622199E-3</c:v>
                </c:pt>
                <c:pt idx="136">
                  <c:v>1.9668155078376081E-3</c:v>
                </c:pt>
                <c:pt idx="137">
                  <c:v>1.88237478986511E-3</c:v>
                </c:pt>
                <c:pt idx="138">
                  <c:v>1.7885140007988902E-3</c:v>
                </c:pt>
                <c:pt idx="139">
                  <c:v>1.6852469921059573E-3</c:v>
                </c:pt>
                <c:pt idx="140">
                  <c:v>1.5725882951601487E-3</c:v>
                </c:pt>
                <c:pt idx="141">
                  <c:v>1.4568695414592817E-3</c:v>
                </c:pt>
                <c:pt idx="142">
                  <c:v>1.3489909503479559E-3</c:v>
                </c:pt>
                <c:pt idx="143">
                  <c:v>1.2489415528785836E-3</c:v>
                </c:pt>
                <c:pt idx="144">
                  <c:v>1.1567183005023597E-3</c:v>
                </c:pt>
                <c:pt idx="145">
                  <c:v>1.0723167004786675E-3</c:v>
                </c:pt>
                <c:pt idx="146">
                  <c:v>9.9573092016814416E-4</c:v>
                </c:pt>
                <c:pt idx="147">
                  <c:v>9.2695389136482397E-4</c:v>
                </c:pt>
                <c:pt idx="148">
                  <c:v>8.6597741460009555E-4</c:v>
                </c:pt>
                <c:pt idx="149">
                  <c:v>8.1331173422072528E-4</c:v>
                </c:pt>
                <c:pt idx="150">
                  <c:v>7.6750259383856511E-4</c:v>
                </c:pt>
                <c:pt idx="151">
                  <c:v>7.2854066057682963E-4</c:v>
                </c:pt>
                <c:pt idx="152">
                  <c:v>6.9641594172480256E-4</c:v>
                </c:pt>
                <c:pt idx="153">
                  <c:v>6.7111787657790579E-4</c:v>
                </c:pt>
                <c:pt idx="154">
                  <c:v>6.5263542828200474E-4</c:v>
                </c:pt>
                <c:pt idx="155">
                  <c:v>6.4075927271406126E-4</c:v>
                </c:pt>
                <c:pt idx="156">
                  <c:v>6.292145190404016E-4</c:v>
                </c:pt>
                <c:pt idx="157">
                  <c:v>6.1800153008660251E-4</c:v>
                </c:pt>
                <c:pt idx="158">
                  <c:v>6.0712060433935477E-4</c:v>
                </c:pt>
                <c:pt idx="159">
                  <c:v>5.9657198027026031E-4</c:v>
                </c:pt>
                <c:pt idx="160">
                  <c:v>5.86355840667205E-4</c:v>
                </c:pt>
                <c:pt idx="161">
                  <c:v>5.7647231695877787E-4</c:v>
                </c:pt>
                <c:pt idx="162">
                  <c:v>5.6692149354201603E-4</c:v>
                </c:pt>
                <c:pt idx="163">
                  <c:v>5.583731909630335E-4</c:v>
                </c:pt>
                <c:pt idx="164">
                  <c:v>5.5031151991683294E-4</c:v>
                </c:pt>
                <c:pt idx="165">
                  <c:v>5.4273618433212426E-4</c:v>
                </c:pt>
                <c:pt idx="166">
                  <c:v>5.3564687107709725E-4</c:v>
                </c:pt>
                <c:pt idx="167">
                  <c:v>5.2904325638401578E-4</c:v>
                </c:pt>
                <c:pt idx="168">
                  <c:v>5.2292501229114991E-4</c:v>
                </c:pt>
                <c:pt idx="169">
                  <c:v>5.1795921938892632E-4</c:v>
                </c:pt>
                <c:pt idx="170">
                  <c:v>5.1434056602689404E-4</c:v>
                </c:pt>
                <c:pt idx="171">
                  <c:v>5.120674085216198E-4</c:v>
                </c:pt>
                <c:pt idx="172">
                  <c:v>5.1113822128306138E-4</c:v>
                </c:pt>
                <c:pt idx="173">
                  <c:v>5.1154638390123912E-4</c:v>
                </c:pt>
                <c:pt idx="174">
                  <c:v>5.1328508094945898E-4</c:v>
                </c:pt>
                <c:pt idx="175">
                  <c:v>5.1635259570819618E-4</c:v>
                </c:pt>
                <c:pt idx="176">
                  <c:v>5.207472202380342E-4</c:v>
                </c:pt>
                <c:pt idx="177">
                  <c:v>5.262718602851886E-4</c:v>
                </c:pt>
                <c:pt idx="178">
                  <c:v>5.3226080970637335E-4</c:v>
                </c:pt>
                <c:pt idx="179">
                  <c:v>5.3871371848158967E-4</c:v>
                </c:pt>
                <c:pt idx="180">
                  <c:v>5.4563025933861749E-4</c:v>
                </c:pt>
                <c:pt idx="181">
                  <c:v>5.5301013050479983E-4</c:v>
                </c:pt>
                <c:pt idx="182">
                  <c:v>5.6085305846348627E-4</c:v>
                </c:pt>
                <c:pt idx="183">
                  <c:v>5.6966833172159036E-4</c:v>
                </c:pt>
                <c:pt idx="184">
                  <c:v>5.7879262611347992E-4</c:v>
                </c:pt>
                <c:pt idx="185">
                  <c:v>5.8822599561824827E-4</c:v>
                </c:pt>
                <c:pt idx="186">
                  <c:v>5.9796852844155998E-4</c:v>
                </c:pt>
                <c:pt idx="187">
                  <c:v>6.0802034887095504E-4</c:v>
                </c:pt>
                <c:pt idx="188">
                  <c:v>6.1838161913496312E-4</c:v>
                </c:pt>
                <c:pt idx="189">
                  <c:v>6.2905254124365673E-4</c:v>
                </c:pt>
                <c:pt idx="190">
                  <c:v>6.4003335885520426E-4</c:v>
                </c:pt>
                <c:pt idx="191">
                  <c:v>6.5747208577479784E-4</c:v>
                </c:pt>
                <c:pt idx="192">
                  <c:v>6.8155547492813981E-4</c:v>
                </c:pt>
                <c:pt idx="193">
                  <c:v>7.1227645562030773E-4</c:v>
                </c:pt>
                <c:pt idx="194">
                  <c:v>7.4962846010854069E-4</c:v>
                </c:pt>
                <c:pt idx="195">
                  <c:v>7.9360546294574474E-4</c:v>
                </c:pt>
                <c:pt idx="196">
                  <c:v>8.4420202029709761E-4</c:v>
                </c:pt>
                <c:pt idx="197">
                  <c:v>9.0282134739567207E-4</c:v>
                </c:pt>
                <c:pt idx="198">
                  <c:v>9.6895150053907266E-4</c:v>
                </c:pt>
                <c:pt idx="199">
                  <c:v>1.0425881996001499E-3</c:v>
                </c:pt>
                <c:pt idx="200">
                  <c:v>1.1237279885471679E-3</c:v>
                </c:pt>
                <c:pt idx="201">
                  <c:v>1.212368280102594E-3</c:v>
                </c:pt>
                <c:pt idx="202">
                  <c:v>1.3085074004048048E-3</c:v>
                </c:pt>
                <c:pt idx="203">
                  <c:v>1.4121446336986946E-3</c:v>
                </c:pt>
                <c:pt idx="204">
                  <c:v>1.5232778071451905E-3</c:v>
                </c:pt>
                <c:pt idx="205">
                  <c:v>1.6313389042369461E-3</c:v>
                </c:pt>
                <c:pt idx="206">
                  <c:v>1.730215899918037E-3</c:v>
                </c:pt>
                <c:pt idx="207">
                  <c:v>1.8199183617084161E-3</c:v>
                </c:pt>
                <c:pt idx="208">
                  <c:v>1.9004549879745012E-3</c:v>
                </c:pt>
                <c:pt idx="209">
                  <c:v>1.9718336363186159E-3</c:v>
                </c:pt>
                <c:pt idx="210">
                  <c:v>2.0340613520312251E-3</c:v>
                </c:pt>
                <c:pt idx="211">
                  <c:v>2.080748903045217E-3</c:v>
                </c:pt>
                <c:pt idx="212">
                  <c:v>2.1105014011736627E-3</c:v>
                </c:pt>
                <c:pt idx="213">
                  <c:v>2.1233263945199892E-3</c:v>
                </c:pt>
                <c:pt idx="214">
                  <c:v>2.1192302014629467E-3</c:v>
                </c:pt>
                <c:pt idx="215">
                  <c:v>2.0982179632920788E-3</c:v>
                </c:pt>
                <c:pt idx="216">
                  <c:v>2.0602936968358849E-3</c:v>
                </c:pt>
                <c:pt idx="217">
                  <c:v>2.005460347097871E-3</c:v>
                </c:pt>
                <c:pt idx="218">
                  <c:v>1.9337198398804226E-3</c:v>
                </c:pt>
                <c:pt idx="219">
                  <c:v>1.8468923531745436E-3</c:v>
                </c:pt>
                <c:pt idx="220">
                  <c:v>1.7555220384673697E-3</c:v>
                </c:pt>
                <c:pt idx="221">
                  <c:v>1.6596064745461893E-3</c:v>
                </c:pt>
                <c:pt idx="222">
                  <c:v>1.5591430999761285E-3</c:v>
                </c:pt>
                <c:pt idx="223">
                  <c:v>1.4541292273370853E-3</c:v>
                </c:pt>
                <c:pt idx="224">
                  <c:v>1.3445620574169769E-3</c:v>
                </c:pt>
                <c:pt idx="225">
                  <c:v>1.2335260031521638E-3</c:v>
                </c:pt>
                <c:pt idx="226">
                  <c:v>1.1274071733343915E-3</c:v>
                </c:pt>
                <c:pt idx="227">
                  <c:v>1.0262027283381707E-3</c:v>
                </c:pt>
                <c:pt idx="228">
                  <c:v>9.299101778852297E-4</c:v>
                </c:pt>
                <c:pt idx="229">
                  <c:v>8.3852736578269053E-4</c:v>
                </c:pt>
                <c:pt idx="230">
                  <c:v>7.5205245467960572E-4</c:v>
                </c:pt>
                <c:pt idx="231">
                  <c:v>6.7048391082315749E-4</c:v>
                </c:pt>
                <c:pt idx="232">
                  <c:v>5.9382048879842101E-4</c:v>
                </c:pt>
                <c:pt idx="233">
                  <c:v>5.243675062504441E-4</c:v>
                </c:pt>
                <c:pt idx="234">
                  <c:v>4.6030531097641616E-4</c:v>
                </c:pt>
                <c:pt idx="235">
                  <c:v>4.0163386821843929E-4</c:v>
                </c:pt>
                <c:pt idx="236">
                  <c:v>3.4835332250150914E-4</c:v>
                </c:pt>
                <c:pt idx="237">
                  <c:v>3.0046365536719676E-4</c:v>
                </c:pt>
                <c:pt idx="238">
                  <c:v>2.5796503291111689E-4</c:v>
                </c:pt>
                <c:pt idx="239">
                  <c:v>2.2176264466233545E-4</c:v>
                </c:pt>
                <c:pt idx="240">
                  <c:v>1.8876797937517666E-4</c:v>
                </c:pt>
                <c:pt idx="241">
                  <c:v>1.5898119973009031E-4</c:v>
                </c:pt>
                <c:pt idx="242">
                  <c:v>1.3240259096513395E-4</c:v>
                </c:pt>
                <c:pt idx="243">
                  <c:v>1.0903256654653681E-4</c:v>
                </c:pt>
                <c:pt idx="244">
                  <c:v>8.8871673837227075E-5</c:v>
                </c:pt>
                <c:pt idx="245">
                  <c:v>7.1920599764328197E-5</c:v>
                </c:pt>
                <c:pt idx="246">
                  <c:v>5.8180176487407142E-5</c:v>
                </c:pt>
                <c:pt idx="247">
                  <c:v>4.7982994931481429E-5</c:v>
                </c:pt>
                <c:pt idx="248">
                  <c:v>3.9020647968210157E-5</c:v>
                </c:pt>
                <c:pt idx="249">
                  <c:v>3.1293478465792343E-5</c:v>
                </c:pt>
                <c:pt idx="250">
                  <c:v>2.4801889572511426E-5</c:v>
                </c:pt>
                <c:pt idx="251">
                  <c:v>1.9546346899182772E-5</c:v>
                </c:pt>
                <c:pt idx="252">
                  <c:v>1.5527380700037079E-5</c:v>
                </c:pt>
                <c:pt idx="253">
                  <c:v>1.2771703764347014E-5</c:v>
                </c:pt>
                <c:pt idx="254">
                  <c:v>1.0373170605579271E-5</c:v>
                </c:pt>
                <c:pt idx="255">
                  <c:v>8.3319379334715298E-6</c:v>
                </c:pt>
                <c:pt idx="256">
                  <c:v>6.6481822923862139E-6</c:v>
                </c:pt>
                <c:pt idx="257">
                  <c:v>5.3221006919071608E-6</c:v>
                </c:pt>
                <c:pt idx="258">
                  <c:v>4.353911237547096E-6</c:v>
                </c:pt>
                <c:pt idx="259">
                  <c:v>3.7438537614763325E-6</c:v>
                </c:pt>
                <c:pt idx="260">
                  <c:v>3.492190453102246E-6</c:v>
                </c:pt>
                <c:pt idx="261">
                  <c:v>3.5819136865994391E-6</c:v>
                </c:pt>
                <c:pt idx="262">
                  <c:v>3.6806051036993489E-6</c:v>
                </c:pt>
                <c:pt idx="263">
                  <c:v>3.7882764724431033E-6</c:v>
                </c:pt>
                <c:pt idx="264">
                  <c:v>3.9049404242972897E-6</c:v>
                </c:pt>
                <c:pt idx="265">
                  <c:v>4.0306319045397757E-6</c:v>
                </c:pt>
                <c:pt idx="266">
                  <c:v>4.1653785247154722E-6</c:v>
                </c:pt>
                <c:pt idx="267">
                  <c:v>1.0947365598278611E-5</c:v>
                </c:pt>
                <c:pt idx="268">
                  <c:v>2.4358153944615406E-5</c:v>
                </c:pt>
                <c:pt idx="269">
                  <c:v>4.4406170035917185E-5</c:v>
                </c:pt>
                <c:pt idx="270">
                  <c:v>7.1100433169877511E-5</c:v>
                </c:pt>
                <c:pt idx="271">
                  <c:v>1.0445048252506025E-4</c:v>
                </c:pt>
                <c:pt idx="272">
                  <c:v>1.4446630421681178E-4</c:v>
                </c:pt>
                <c:pt idx="273">
                  <c:v>1.9115825835213735E-4</c:v>
                </c:pt>
                <c:pt idx="274">
                  <c:v>2.4453700608606754E-4</c:v>
                </c:pt>
                <c:pt idx="275">
                  <c:v>3.1018363519551333E-4</c:v>
                </c:pt>
                <c:pt idx="276">
                  <c:v>3.8813481086399888E-4</c:v>
                </c:pt>
                <c:pt idx="277">
                  <c:v>4.7841017500077979E-4</c:v>
                </c:pt>
                <c:pt idx="278">
                  <c:v>5.8102958355055005E-4</c:v>
                </c:pt>
                <c:pt idx="279">
                  <c:v>6.9601297220373774E-4</c:v>
                </c:pt>
                <c:pt idx="280">
                  <c:v>8.2338022211224284E-4</c:v>
                </c:pt>
                <c:pt idx="281">
                  <c:v>9.5389718435193128E-4</c:v>
                </c:pt>
                <c:pt idx="282">
                  <c:v>1.0808833220749448E-3</c:v>
                </c:pt>
                <c:pt idx="283">
                  <c:v>1.2043325047040266E-3</c:v>
                </c:pt>
                <c:pt idx="284">
                  <c:v>1.3242380266332242E-3</c:v>
                </c:pt>
                <c:pt idx="285">
                  <c:v>1.4405926473556833E-3</c:v>
                </c:pt>
                <c:pt idx="286">
                  <c:v>1.5533886316041051E-3</c:v>
                </c:pt>
                <c:pt idx="287">
                  <c:v>1.6626177894790331E-3</c:v>
                </c:pt>
                <c:pt idx="288">
                  <c:v>1.768271516581447E-3</c:v>
                </c:pt>
                <c:pt idx="289">
                  <c:v>1.8623474921684278E-3</c:v>
                </c:pt>
                <c:pt idx="290">
                  <c:v>1.9392112427488286E-3</c:v>
                </c:pt>
                <c:pt idx="291">
                  <c:v>1.998833245115125E-3</c:v>
                </c:pt>
                <c:pt idx="292">
                  <c:v>2.0411844484062966E-3</c:v>
                </c:pt>
                <c:pt idx="293">
                  <c:v>2.0662364625274039E-3</c:v>
                </c:pt>
                <c:pt idx="294">
                  <c:v>2.0739617465619304E-3</c:v>
                </c:pt>
                <c:pt idx="295">
                  <c:v>2.0673663914088721E-3</c:v>
                </c:pt>
                <c:pt idx="296">
                  <c:v>2.05577694674967E-3</c:v>
                </c:pt>
                <c:pt idx="297">
                  <c:v>2.0392016731501173E-3</c:v>
                </c:pt>
                <c:pt idx="298">
                  <c:v>2.0176315215303703E-3</c:v>
                </c:pt>
                <c:pt idx="299">
                  <c:v>1.9910573419020965E-3</c:v>
                </c:pt>
                <c:pt idx="300">
                  <c:v>1.9594699294298154E-3</c:v>
                </c:pt>
                <c:pt idx="301">
                  <c:v>1.9228600704860603E-3</c:v>
                </c:pt>
                <c:pt idx="302">
                  <c:v>1.8812185887110071E-3</c:v>
                </c:pt>
                <c:pt idx="303">
                  <c:v>1.838157925157623E-3</c:v>
                </c:pt>
                <c:pt idx="304">
                  <c:v>1.8017243531654081E-3</c:v>
                </c:pt>
                <c:pt idx="305">
                  <c:v>1.7719257403505677E-3</c:v>
                </c:pt>
                <c:pt idx="306">
                  <c:v>1.7487700545575798E-3</c:v>
                </c:pt>
                <c:pt idx="307">
                  <c:v>1.7322653024958781E-3</c:v>
                </c:pt>
                <c:pt idx="308">
                  <c:v>1.7224194683619744E-3</c:v>
                </c:pt>
                <c:pt idx="309">
                  <c:v>1.7194803392103293E-3</c:v>
                </c:pt>
                <c:pt idx="310">
                  <c:v>1.7204022608894515E-3</c:v>
                </c:pt>
                <c:pt idx="311">
                  <c:v>1.7251889664115258E-3</c:v>
                </c:pt>
                <c:pt idx="312">
                  <c:v>1.7338440388304614E-3</c:v>
                </c:pt>
                <c:pt idx="313">
                  <c:v>1.746370875703491E-3</c:v>
                </c:pt>
                <c:pt idx="314">
                  <c:v>1.7627726535369437E-3</c:v>
                </c:pt>
                <c:pt idx="315">
                  <c:v>1.7830522922539227E-3</c:v>
                </c:pt>
                <c:pt idx="316">
                  <c:v>1.8072124196349543E-3</c:v>
                </c:pt>
                <c:pt idx="317">
                  <c:v>1.8355459036143247E-3</c:v>
                </c:pt>
                <c:pt idx="318">
                  <c:v>1.8644093399700749E-3</c:v>
                </c:pt>
                <c:pt idx="319">
                  <c:v>1.8938005490991353E-3</c:v>
                </c:pt>
                <c:pt idx="320">
                  <c:v>1.9237172045916476E-3</c:v>
                </c:pt>
                <c:pt idx="321">
                  <c:v>1.9541568283748647E-3</c:v>
                </c:pt>
                <c:pt idx="322">
                  <c:v>1.9851167858659061E-3</c:v>
                </c:pt>
                <c:pt idx="323">
                  <c:v>2.016242536996565E-3</c:v>
                </c:pt>
                <c:pt idx="324">
                  <c:v>2.0472895372799734E-3</c:v>
                </c:pt>
                <c:pt idx="325">
                  <c:v>2.0782540752957721E-3</c:v>
                </c:pt>
                <c:pt idx="326">
                  <c:v>2.1091192102694616E-3</c:v>
                </c:pt>
                <c:pt idx="327">
                  <c:v>2.1398760024004104E-3</c:v>
                </c:pt>
                <c:pt idx="328">
                  <c:v>2.1705262792323997E-3</c:v>
                </c:pt>
                <c:pt idx="329">
                  <c:v>2.2010721302392917E-3</c:v>
                </c:pt>
                <c:pt idx="330">
                  <c:v>2.2315159055450503E-3</c:v>
                </c:pt>
                <c:pt idx="331">
                  <c:v>2.2598855260519577E-3</c:v>
                </c:pt>
                <c:pt idx="332">
                  <c:v>2.2858916129407719E-3</c:v>
                </c:pt>
                <c:pt idx="333">
                  <c:v>2.3095368374104522E-3</c:v>
                </c:pt>
                <c:pt idx="334">
                  <c:v>2.3308243079918911E-3</c:v>
                </c:pt>
                <c:pt idx="335">
                  <c:v>2.3497575221632736E-3</c:v>
                </c:pt>
                <c:pt idx="336">
                  <c:v>2.3663403179353107E-3</c:v>
                </c:pt>
                <c:pt idx="337">
                  <c:v>2.3800212228555981E-3</c:v>
                </c:pt>
                <c:pt idx="338">
                  <c:v>2.391157016337582E-3</c:v>
                </c:pt>
                <c:pt idx="339">
                  <c:v>2.3997522593344773E-3</c:v>
                </c:pt>
                <c:pt idx="340">
                  <c:v>2.40581165764344E-3</c:v>
                </c:pt>
                <c:pt idx="341">
                  <c:v>2.4093400092871334E-3</c:v>
                </c:pt>
                <c:pt idx="342">
                  <c:v>2.4103421518935331E-3</c:v>
                </c:pt>
                <c:pt idx="343">
                  <c:v>2.4088229100465955E-3</c:v>
                </c:pt>
                <c:pt idx="344">
                  <c:v>2.4047870426747702E-3</c:v>
                </c:pt>
                <c:pt idx="345">
                  <c:v>2.398239190414105E-3</c:v>
                </c:pt>
                <c:pt idx="346">
                  <c:v>2.3918256645526961E-3</c:v>
                </c:pt>
                <c:pt idx="347">
                  <c:v>2.3855512376455249E-3</c:v>
                </c:pt>
                <c:pt idx="348">
                  <c:v>2.3794206365410314E-3</c:v>
                </c:pt>
                <c:pt idx="349">
                  <c:v>2.3734385446492509E-3</c:v>
                </c:pt>
                <c:pt idx="350">
                  <c:v>2.3676096042656771E-3</c:v>
                </c:pt>
                <c:pt idx="351">
                  <c:v>2.3626045892321426E-3</c:v>
                </c:pt>
                <c:pt idx="352">
                  <c:v>2.3589845133988418E-3</c:v>
                </c:pt>
                <c:pt idx="353">
                  <c:v>2.3567546364985899E-3</c:v>
                </c:pt>
                <c:pt idx="354">
                  <c:v>2.3559203898485112E-3</c:v>
                </c:pt>
                <c:pt idx="355">
                  <c:v>2.3564874039136135E-3</c:v>
                </c:pt>
                <c:pt idx="356">
                  <c:v>2.3584631658231134E-3</c:v>
                </c:pt>
                <c:pt idx="357">
                  <c:v>2.3618485313545746E-3</c:v>
                </c:pt>
                <c:pt idx="358">
                  <c:v>2.3666389093265358E-3</c:v>
                </c:pt>
                <c:pt idx="359">
                  <c:v>2.3728299071753664E-3</c:v>
                </c:pt>
                <c:pt idx="360">
                  <c:v>2.3798598949210078E-3</c:v>
                </c:pt>
                <c:pt idx="361">
                  <c:v>2.3870560246921509E-3</c:v>
                </c:pt>
                <c:pt idx="362">
                  <c:v>2.3944127075553549E-3</c:v>
                </c:pt>
                <c:pt idx="363">
                  <c:v>2.4019243026579202E-3</c:v>
                </c:pt>
                <c:pt idx="364">
                  <c:v>2.4095851144426408E-3</c:v>
                </c:pt>
                <c:pt idx="365">
                  <c:v>2.4173893898335121E-3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3.6554122516709673E-3</c:v>
                </c:pt>
                <c:pt idx="1">
                  <c:v>3.6648082685987954E-3</c:v>
                </c:pt>
                <c:pt idx="2">
                  <c:v>3.6706727577414163E-3</c:v>
                </c:pt>
                <c:pt idx="3">
                  <c:v>3.6729913266621401E-3</c:v>
                </c:pt>
                <c:pt idx="4">
                  <c:v>3.6717494853429722E-3</c:v>
                </c:pt>
                <c:pt idx="5">
                  <c:v>3.6669327370172536E-3</c:v>
                </c:pt>
                <c:pt idx="6">
                  <c:v>3.6585266690492388E-3</c:v>
                </c:pt>
                <c:pt idx="7">
                  <c:v>3.6465170437309739E-3</c:v>
                </c:pt>
                <c:pt idx="8">
                  <c:v>3.6308898891307256E-3</c:v>
                </c:pt>
                <c:pt idx="9">
                  <c:v>3.6093354306875958E-3</c:v>
                </c:pt>
                <c:pt idx="10">
                  <c:v>3.5818562087077299E-3</c:v>
                </c:pt>
                <c:pt idx="11">
                  <c:v>3.5484368721855914E-3</c:v>
                </c:pt>
                <c:pt idx="12">
                  <c:v>3.5090629883120059E-3</c:v>
                </c:pt>
                <c:pt idx="13">
                  <c:v>3.4637211912313024E-3</c:v>
                </c:pt>
                <c:pt idx="14">
                  <c:v>3.4123993307394272E-3</c:v>
                </c:pt>
                <c:pt idx="15">
                  <c:v>3.3560794934367672E-3</c:v>
                </c:pt>
                <c:pt idx="16">
                  <c:v>3.298316336529333E-3</c:v>
                </c:pt>
                <c:pt idx="17">
                  <c:v>3.2391057061873217E-3</c:v>
                </c:pt>
                <c:pt idx="18">
                  <c:v>3.1784443030025054E-3</c:v>
                </c:pt>
                <c:pt idx="19">
                  <c:v>3.1163470978000174E-3</c:v>
                </c:pt>
                <c:pt idx="20">
                  <c:v>3.0528362568856262E-3</c:v>
                </c:pt>
                <c:pt idx="21">
                  <c:v>2.9879198476266927E-3</c:v>
                </c:pt>
                <c:pt idx="22">
                  <c:v>2.9216058081258777E-3</c:v>
                </c:pt>
                <c:pt idx="23">
                  <c:v>2.8551805250508541E-3</c:v>
                </c:pt>
                <c:pt idx="24">
                  <c:v>2.7909569610655616E-3</c:v>
                </c:pt>
                <c:pt idx="25">
                  <c:v>2.7289430992347569E-3</c:v>
                </c:pt>
                <c:pt idx="26">
                  <c:v>2.6691463372340357E-3</c:v>
                </c:pt>
                <c:pt idx="27">
                  <c:v>2.6115735157419859E-3</c:v>
                </c:pt>
                <c:pt idx="28">
                  <c:v>2.5562309468910296E-3</c:v>
                </c:pt>
                <c:pt idx="29">
                  <c:v>2.5084821884308211E-3</c:v>
                </c:pt>
                <c:pt idx="30">
                  <c:v>2.4673376831015463E-3</c:v>
                </c:pt>
                <c:pt idx="31">
                  <c:v>2.4328016663927718E-3</c:v>
                </c:pt>
                <c:pt idx="32">
                  <c:v>2.4048776988741171E-3</c:v>
                </c:pt>
                <c:pt idx="33">
                  <c:v>2.3835687491559972E-3</c:v>
                </c:pt>
                <c:pt idx="34">
                  <c:v>2.3688772768612637E-3</c:v>
                </c:pt>
                <c:pt idx="35">
                  <c:v>2.3608053155946026E-3</c:v>
                </c:pt>
                <c:pt idx="36">
                  <c:v>2.3593545559070844E-3</c:v>
                </c:pt>
                <c:pt idx="37">
                  <c:v>2.36995335051586E-3</c:v>
                </c:pt>
                <c:pt idx="38">
                  <c:v>2.3913234158855672E-3</c:v>
                </c:pt>
                <c:pt idx="39">
                  <c:v>2.4234647771019177E-3</c:v>
                </c:pt>
                <c:pt idx="40">
                  <c:v>2.4663774514035721E-3</c:v>
                </c:pt>
                <c:pt idx="41">
                  <c:v>2.5200615830493537E-3</c:v>
                </c:pt>
                <c:pt idx="42">
                  <c:v>2.5845175781693108E-3</c:v>
                </c:pt>
                <c:pt idx="43">
                  <c:v>2.6485732295405246E-3</c:v>
                </c:pt>
                <c:pt idx="44">
                  <c:v>2.7068805208021857E-3</c:v>
                </c:pt>
                <c:pt idx="45">
                  <c:v>2.7594450056576906E-3</c:v>
                </c:pt>
                <c:pt idx="46">
                  <c:v>2.8062723335252901E-3</c:v>
                </c:pt>
                <c:pt idx="47">
                  <c:v>2.8473681776186987E-3</c:v>
                </c:pt>
                <c:pt idx="48">
                  <c:v>2.882738162991894E-3</c:v>
                </c:pt>
                <c:pt idx="49">
                  <c:v>2.9123877946089513E-3</c:v>
                </c:pt>
                <c:pt idx="50">
                  <c:v>2.9363223853965453E-3</c:v>
                </c:pt>
                <c:pt idx="51">
                  <c:v>2.9400314608549311E-3</c:v>
                </c:pt>
                <c:pt idx="52">
                  <c:v>2.9180820781467961E-3</c:v>
                </c:pt>
                <c:pt idx="53">
                  <c:v>2.8704590473338162E-3</c:v>
                </c:pt>
                <c:pt idx="54">
                  <c:v>2.7971612836717947E-3</c:v>
                </c:pt>
                <c:pt idx="55">
                  <c:v>2.6981873492110159E-3</c:v>
                </c:pt>
                <c:pt idx="56">
                  <c:v>2.5735355478144046E-3</c:v>
                </c:pt>
                <c:pt idx="57">
                  <c:v>2.4309925229201927E-3</c:v>
                </c:pt>
                <c:pt idx="58">
                  <c:v>2.2817246655415422E-3</c:v>
                </c:pt>
                <c:pt idx="59">
                  <c:v>2.1257304585822808E-3</c:v>
                </c:pt>
                <c:pt idx="60">
                  <c:v>1.9630085695563782E-3</c:v>
                </c:pt>
                <c:pt idx="61">
                  <c:v>1.7935578754754071E-3</c:v>
                </c:pt>
                <c:pt idx="62">
                  <c:v>1.6173774877332122E-3</c:v>
                </c:pt>
                <c:pt idx="63">
                  <c:v>1.4344667769961245E-3</c:v>
                </c:pt>
                <c:pt idx="64">
                  <c:v>1.244825398086182E-3</c:v>
                </c:pt>
                <c:pt idx="65">
                  <c:v>1.0583658704735213E-3</c:v>
                </c:pt>
                <c:pt idx="66">
                  <c:v>8.8960473318003622E-4</c:v>
                </c:pt>
                <c:pt idx="67">
                  <c:v>7.3854267215368592E-4</c:v>
                </c:pt>
                <c:pt idx="68">
                  <c:v>6.0518040426748567E-4</c:v>
                </c:pt>
                <c:pt idx="69">
                  <c:v>4.8951861183131563E-4</c:v>
                </c:pt>
                <c:pt idx="70">
                  <c:v>3.9155787710796916E-4</c:v>
                </c:pt>
                <c:pt idx="71">
                  <c:v>3.112146877476572E-4</c:v>
                </c:pt>
                <c:pt idx="72">
                  <c:v>2.4070058571678193E-4</c:v>
                </c:pt>
                <c:pt idx="73">
                  <c:v>1.8001589121744615E-4</c:v>
                </c:pt>
                <c:pt idx="74">
                  <c:v>1.2916077640375521E-4</c:v>
                </c:pt>
                <c:pt idx="75">
                  <c:v>8.813522902181148E-5</c:v>
                </c:pt>
                <c:pt idx="76">
                  <c:v>5.6939016049144115E-5</c:v>
                </c:pt>
                <c:pt idx="77">
                  <c:v>3.5571647334576156E-5</c:v>
                </c:pt>
                <c:pt idx="78">
                  <c:v>2.4032340035675831E-5</c:v>
                </c:pt>
                <c:pt idx="79">
                  <c:v>2.2424907533884537E-5</c:v>
                </c:pt>
                <c:pt idx="80">
                  <c:v>2.0838554578192277E-5</c:v>
                </c:pt>
                <c:pt idx="81">
                  <c:v>1.9273272302340076E-5</c:v>
                </c:pt>
                <c:pt idx="82">
                  <c:v>1.7729053811023985E-5</c:v>
                </c:pt>
                <c:pt idx="83">
                  <c:v>1.6205894112829434E-5</c:v>
                </c:pt>
                <c:pt idx="84">
                  <c:v>1.4703790053222371E-5</c:v>
                </c:pt>
                <c:pt idx="85">
                  <c:v>1.368104429730332E-5</c:v>
                </c:pt>
                <c:pt idx="86">
                  <c:v>1.3221462123763641E-5</c:v>
                </c:pt>
                <c:pt idx="87">
                  <c:v>1.3324950667797769E-5</c:v>
                </c:pt>
                <c:pt idx="88">
                  <c:v>1.3991409529674783E-5</c:v>
                </c:pt>
                <c:pt idx="89">
                  <c:v>1.5220728970359282E-5</c:v>
                </c:pt>
                <c:pt idx="90">
                  <c:v>1.7012788107099975E-5</c:v>
                </c:pt>
                <c:pt idx="91">
                  <c:v>1.9367453109071533E-5</c:v>
                </c:pt>
                <c:pt idx="92">
                  <c:v>2.22845753929844E-5</c:v>
                </c:pt>
                <c:pt idx="93">
                  <c:v>2.6925553544207701E-5</c:v>
                </c:pt>
                <c:pt idx="94">
                  <c:v>3.318517416544353E-5</c:v>
                </c:pt>
                <c:pt idx="95">
                  <c:v>4.1062942999756346E-5</c:v>
                </c:pt>
                <c:pt idx="96">
                  <c:v>5.0558309459829994E-5</c:v>
                </c:pt>
                <c:pt idx="97">
                  <c:v>6.1670661435695641E-5</c:v>
                </c:pt>
                <c:pt idx="98">
                  <c:v>7.4399320102154124E-5</c:v>
                </c:pt>
                <c:pt idx="99">
                  <c:v>9.1833610384741882E-5</c:v>
                </c:pt>
                <c:pt idx="100">
                  <c:v>1.1351387864268714E-4</c:v>
                </c:pt>
                <c:pt idx="101">
                  <c:v>1.394381860734719E-4</c:v>
                </c:pt>
                <c:pt idx="102">
                  <c:v>1.6960439010768648E-4</c:v>
                </c:pt>
                <c:pt idx="103">
                  <c:v>2.0401013077127165E-4</c:v>
                </c:pt>
                <c:pt idx="104">
                  <c:v>2.4265281705129424E-4</c:v>
                </c:pt>
                <c:pt idx="105">
                  <c:v>2.8552961325853241E-4</c:v>
                </c:pt>
                <c:pt idx="106">
                  <c:v>3.3263742539210467E-4</c:v>
                </c:pt>
                <c:pt idx="107">
                  <c:v>3.8832813938572341E-4</c:v>
                </c:pt>
                <c:pt idx="108">
                  <c:v>4.5143638273152805E-4</c:v>
                </c:pt>
                <c:pt idx="109">
                  <c:v>5.2195627627568697E-4</c:v>
                </c:pt>
                <c:pt idx="110">
                  <c:v>5.998831451298354E-4</c:v>
                </c:pt>
                <c:pt idx="111">
                  <c:v>6.8521280690604397E-4</c:v>
                </c:pt>
                <c:pt idx="112">
                  <c:v>7.7793954831295803E-4</c:v>
                </c:pt>
                <c:pt idx="113">
                  <c:v>8.8168947590824733E-4</c:v>
                </c:pt>
                <c:pt idx="114">
                  <c:v>9.9337168335711054E-4</c:v>
                </c:pt>
                <c:pt idx="115">
                  <c:v>1.1129791598956794E-3</c:v>
                </c:pt>
                <c:pt idx="116">
                  <c:v>1.2405045478034071E-3</c:v>
                </c:pt>
                <c:pt idx="117">
                  <c:v>1.3759401249575935E-3</c:v>
                </c:pt>
                <c:pt idx="118">
                  <c:v>1.5192777873782413E-3</c:v>
                </c:pt>
                <c:pt idx="119">
                  <c:v>1.6705090317754242E-3</c:v>
                </c:pt>
                <c:pt idx="120">
                  <c:v>1.8296249380937103E-3</c:v>
                </c:pt>
                <c:pt idx="121">
                  <c:v>1.9915641077244478E-3</c:v>
                </c:pt>
                <c:pt idx="122">
                  <c:v>2.1519798134335788E-3</c:v>
                </c:pt>
                <c:pt idx="123">
                  <c:v>2.3108694459703567E-3</c:v>
                </c:pt>
                <c:pt idx="124">
                  <c:v>2.4682303146310483E-3</c:v>
                </c:pt>
                <c:pt idx="125">
                  <c:v>2.624059650402342E-3</c:v>
                </c:pt>
                <c:pt idx="126">
                  <c:v>2.7783546090736403E-3</c:v>
                </c:pt>
                <c:pt idx="127">
                  <c:v>2.9153454170921362E-3</c:v>
                </c:pt>
                <c:pt idx="128">
                  <c:v>3.0314254561523684E-3</c:v>
                </c:pt>
                <c:pt idx="129">
                  <c:v>3.1266103705051796E-3</c:v>
                </c:pt>
                <c:pt idx="130">
                  <c:v>3.2009167370045796E-3</c:v>
                </c:pt>
                <c:pt idx="131">
                  <c:v>3.2543621107388701E-3</c:v>
                </c:pt>
                <c:pt idx="132">
                  <c:v>3.2869650706888343E-3</c:v>
                </c:pt>
                <c:pt idx="133">
                  <c:v>3.2987452654072691E-3</c:v>
                </c:pt>
                <c:pt idx="134">
                  <c:v>3.2897234586821865E-3</c:v>
                </c:pt>
                <c:pt idx="135">
                  <c:v>3.25492044357355E-3</c:v>
                </c:pt>
                <c:pt idx="136">
                  <c:v>3.1993931203623438E-3</c:v>
                </c:pt>
                <c:pt idx="137">
                  <c:v>3.1231659888157114E-3</c:v>
                </c:pt>
                <c:pt idx="138">
                  <c:v>3.0262648491835653E-3</c:v>
                </c:pt>
                <c:pt idx="139">
                  <c:v>2.908716847872968E-3</c:v>
                </c:pt>
                <c:pt idx="140">
                  <c:v>2.7705505229485895E-3</c:v>
                </c:pt>
                <c:pt idx="141">
                  <c:v>2.6201727786756596E-3</c:v>
                </c:pt>
                <c:pt idx="142">
                  <c:v>2.473269480641885E-3</c:v>
                </c:pt>
                <c:pt idx="143">
                  <c:v>2.3298324200254558E-3</c:v>
                </c:pt>
                <c:pt idx="144">
                  <c:v>2.1898688627517526E-3</c:v>
                </c:pt>
                <c:pt idx="145">
                  <c:v>2.0533849128995256E-3</c:v>
                </c:pt>
                <c:pt idx="146">
                  <c:v>1.9203855581685042E-3</c:v>
                </c:pt>
                <c:pt idx="147">
                  <c:v>1.7908747154210139E-3</c:v>
                </c:pt>
                <c:pt idx="148">
                  <c:v>1.6648552761702527E-3</c:v>
                </c:pt>
                <c:pt idx="149">
                  <c:v>1.5463124195182292E-3</c:v>
                </c:pt>
                <c:pt idx="150">
                  <c:v>1.4402056685903521E-3</c:v>
                </c:pt>
                <c:pt idx="151">
                  <c:v>1.3465189997064668E-3</c:v>
                </c:pt>
                <c:pt idx="152">
                  <c:v>1.2652350699421835E-3</c:v>
                </c:pt>
                <c:pt idx="153">
                  <c:v>1.1963353833572327E-3</c:v>
                </c:pt>
                <c:pt idx="154">
                  <c:v>1.1398004572318295E-3</c:v>
                </c:pt>
                <c:pt idx="155">
                  <c:v>1.0958037679461516E-3</c:v>
                </c:pt>
                <c:pt idx="156">
                  <c:v>1.0560171504375661E-3</c:v>
                </c:pt>
                <c:pt idx="157">
                  <c:v>1.0204345714304947E-3</c:v>
                </c:pt>
                <c:pt idx="158">
                  <c:v>9.8904973400005159E-4</c:v>
                </c:pt>
                <c:pt idx="159">
                  <c:v>9.6185613391085883E-4</c:v>
                </c:pt>
                <c:pt idx="160">
                  <c:v>9.3884711596832037E-4</c:v>
                </c:pt>
                <c:pt idx="161">
                  <c:v>9.2001593035848561E-4</c:v>
                </c:pt>
                <c:pt idx="162">
                  <c:v>9.0535578899339454E-4</c:v>
                </c:pt>
                <c:pt idx="163">
                  <c:v>8.9544496059886804E-4</c:v>
                </c:pt>
                <c:pt idx="164">
                  <c:v>8.8632932587463949E-4</c:v>
                </c:pt>
                <c:pt idx="165">
                  <c:v>8.7800846431120168E-4</c:v>
                </c:pt>
                <c:pt idx="166">
                  <c:v>8.7048194982992564E-4</c:v>
                </c:pt>
                <c:pt idx="167">
                  <c:v>8.637493613512996E-4</c:v>
                </c:pt>
                <c:pt idx="168">
                  <c:v>8.5781029339121494E-4</c:v>
                </c:pt>
                <c:pt idx="169">
                  <c:v>8.5324733301510032E-4</c:v>
                </c:pt>
                <c:pt idx="170">
                  <c:v>8.4986716527867055E-4</c:v>
                </c:pt>
                <c:pt idx="171">
                  <c:v>8.4766890169294404E-4</c:v>
                </c:pt>
                <c:pt idx="172">
                  <c:v>8.4665175692214738E-4</c:v>
                </c:pt>
                <c:pt idx="173">
                  <c:v>8.4680640515369322E-4</c:v>
                </c:pt>
                <c:pt idx="174">
                  <c:v>8.4812314162974309E-4</c:v>
                </c:pt>
                <c:pt idx="175">
                  <c:v>8.5060070115794504E-4</c:v>
                </c:pt>
                <c:pt idx="176">
                  <c:v>8.542378262188314E-4</c:v>
                </c:pt>
                <c:pt idx="177">
                  <c:v>8.5922460542344772E-4</c:v>
                </c:pt>
                <c:pt idx="178">
                  <c:v>8.6497924746501776E-4</c:v>
                </c:pt>
                <c:pt idx="179">
                  <c:v>8.715011424002473E-4</c:v>
                </c:pt>
                <c:pt idx="180">
                  <c:v>8.7878970807205318E-4</c:v>
                </c:pt>
                <c:pt idx="181">
                  <c:v>8.8684439463611168E-4</c:v>
                </c:pt>
                <c:pt idx="182">
                  <c:v>8.9566468909497412E-4</c:v>
                </c:pt>
                <c:pt idx="183">
                  <c:v>9.0915716988727976E-4</c:v>
                </c:pt>
                <c:pt idx="184">
                  <c:v>9.2673723033447975E-4</c:v>
                </c:pt>
                <c:pt idx="185">
                  <c:v>9.4839985906632605E-4</c:v>
                </c:pt>
                <c:pt idx="186">
                  <c:v>9.7414024457148564E-4</c:v>
                </c:pt>
                <c:pt idx="187">
                  <c:v>1.0039537993283092E-3</c:v>
                </c:pt>
                <c:pt idx="188">
                  <c:v>1.0378361839421283E-3</c:v>
                </c:pt>
                <c:pt idx="189">
                  <c:v>1.0757833312519368E-3</c:v>
                </c:pt>
                <c:pt idx="190">
                  <c:v>1.1177914704801517E-3</c:v>
                </c:pt>
                <c:pt idx="191">
                  <c:v>1.1720103833216334E-3</c:v>
                </c:pt>
                <c:pt idx="192">
                  <c:v>1.2382368600788616E-3</c:v>
                </c:pt>
                <c:pt idx="193">
                  <c:v>1.3164588230078361E-3</c:v>
                </c:pt>
                <c:pt idx="194">
                  <c:v>1.4066651582053957E-3</c:v>
                </c:pt>
                <c:pt idx="195">
                  <c:v>1.5088457868203805E-3</c:v>
                </c:pt>
                <c:pt idx="196">
                  <c:v>1.6229917362154895E-3</c:v>
                </c:pt>
                <c:pt idx="197">
                  <c:v>1.7442506457496449E-3</c:v>
                </c:pt>
                <c:pt idx="198">
                  <c:v>1.8687382610220842E-3</c:v>
                </c:pt>
                <c:pt idx="199">
                  <c:v>1.9964576495641517E-3</c:v>
                </c:pt>
                <c:pt idx="200">
                  <c:v>2.127412466158247E-3</c:v>
                </c:pt>
                <c:pt idx="201">
                  <c:v>2.2616069723065111E-3</c:v>
                </c:pt>
                <c:pt idx="202">
                  <c:v>2.399046055705927E-3</c:v>
                </c:pt>
                <c:pt idx="203">
                  <c:v>2.5397352497767518E-3</c:v>
                </c:pt>
                <c:pt idx="204">
                  <c:v>2.6836764194231155E-3</c:v>
                </c:pt>
                <c:pt idx="205">
                  <c:v>2.8156721107182908E-3</c:v>
                </c:pt>
                <c:pt idx="206">
                  <c:v>2.927621230295998E-3</c:v>
                </c:pt>
                <c:pt idx="207">
                  <c:v>3.0195406145001758E-3</c:v>
                </c:pt>
                <c:pt idx="208">
                  <c:v>3.0914453286820165E-3</c:v>
                </c:pt>
                <c:pt idx="209">
                  <c:v>3.1433487292914742E-3</c:v>
                </c:pt>
                <c:pt idx="210">
                  <c:v>3.1752625260713391E-3</c:v>
                </c:pt>
                <c:pt idx="211">
                  <c:v>3.1823408137551853E-3</c:v>
                </c:pt>
                <c:pt idx="212">
                  <c:v>3.1694217328160435E-3</c:v>
                </c:pt>
                <c:pt idx="213">
                  <c:v>3.136512263894217E-3</c:v>
                </c:pt>
                <c:pt idx="214">
                  <c:v>3.083617993495864E-3</c:v>
                </c:pt>
                <c:pt idx="215">
                  <c:v>3.0107431762198137E-3</c:v>
                </c:pt>
                <c:pt idx="216">
                  <c:v>2.9178907969730516E-3</c:v>
                </c:pt>
                <c:pt idx="217">
                  <c:v>2.8050626331972903E-3</c:v>
                </c:pt>
                <c:pt idx="218">
                  <c:v>2.6722593170779721E-3</c:v>
                </c:pt>
                <c:pt idx="219">
                  <c:v>2.5229622523246288E-3</c:v>
                </c:pt>
                <c:pt idx="220">
                  <c:v>2.37233692394156E-3</c:v>
                </c:pt>
                <c:pt idx="221">
                  <c:v>2.2203785010745558E-3</c:v>
                </c:pt>
                <c:pt idx="222">
                  <c:v>2.0670822638783897E-3</c:v>
                </c:pt>
                <c:pt idx="223">
                  <c:v>1.9124436078178703E-3</c:v>
                </c:pt>
                <c:pt idx="224">
                  <c:v>1.7564580479096678E-3</c:v>
                </c:pt>
                <c:pt idx="225">
                  <c:v>1.6032906222886462E-3</c:v>
                </c:pt>
                <c:pt idx="226">
                  <c:v>1.4577882514052842E-3</c:v>
                </c:pt>
                <c:pt idx="227">
                  <c:v>1.3199470617721919E-3</c:v>
                </c:pt>
                <c:pt idx="228">
                  <c:v>1.1897636998284408E-3</c:v>
                </c:pt>
                <c:pt idx="229">
                  <c:v>1.067235308143948E-3</c:v>
                </c:pt>
                <c:pt idx="230">
                  <c:v>9.5235950164759852E-4</c:v>
                </c:pt>
                <c:pt idx="231">
                  <c:v>8.4513434385470121E-4</c:v>
                </c:pt>
                <c:pt idx="232">
                  <c:v>7.455583230736206E-4</c:v>
                </c:pt>
                <c:pt idx="233">
                  <c:v>6.5658569965995573E-4</c:v>
                </c:pt>
                <c:pt idx="234">
                  <c:v>5.7473421060745403E-4</c:v>
                </c:pt>
                <c:pt idx="235">
                  <c:v>5.0000383906184708E-4</c:v>
                </c:pt>
                <c:pt idx="236">
                  <c:v>4.3239480148402933E-4</c:v>
                </c:pt>
                <c:pt idx="237">
                  <c:v>3.7190712426107776E-4</c:v>
                </c:pt>
                <c:pt idx="238">
                  <c:v>3.1854107953005668E-4</c:v>
                </c:pt>
                <c:pt idx="239">
                  <c:v>2.7340792668478602E-4</c:v>
                </c:pt>
                <c:pt idx="240">
                  <c:v>2.3233665397020024E-4</c:v>
                </c:pt>
                <c:pt idx="241">
                  <c:v>1.9532748192776332E-4</c:v>
                </c:pt>
                <c:pt idx="242">
                  <c:v>1.6238078678945911E-4</c:v>
                </c:pt>
                <c:pt idx="243">
                  <c:v>1.3349710765813241E-4</c:v>
                </c:pt>
                <c:pt idx="244">
                  <c:v>1.0867715368531427E-4</c:v>
                </c:pt>
                <c:pt idx="245">
                  <c:v>8.7921811247790096E-5</c:v>
                </c:pt>
                <c:pt idx="246">
                  <c:v>7.1232151125093652E-5</c:v>
                </c:pt>
                <c:pt idx="247">
                  <c:v>5.9047866382658391E-5</c:v>
                </c:pt>
                <c:pt idx="248">
                  <c:v>4.8410879973095401E-5</c:v>
                </c:pt>
                <c:pt idx="249">
                  <c:v>3.9321637015946562E-5</c:v>
                </c:pt>
                <c:pt idx="250">
                  <c:v>3.1780658573516099E-5</c:v>
                </c:pt>
                <c:pt idx="251">
                  <c:v>2.5788544385263448E-5</c:v>
                </c:pt>
                <c:pt idx="252">
                  <c:v>2.1345975600250528E-5</c:v>
                </c:pt>
                <c:pt idx="253">
                  <c:v>1.8554087803202696E-5</c:v>
                </c:pt>
                <c:pt idx="254">
                  <c:v>1.6300614013745847E-5</c:v>
                </c:pt>
                <c:pt idx="255">
                  <c:v>1.4585830476946554E-5</c:v>
                </c:pt>
                <c:pt idx="256">
                  <c:v>1.3410044266222797E-5</c:v>
                </c:pt>
                <c:pt idx="257">
                  <c:v>1.2773594233014806E-5</c:v>
                </c:pt>
                <c:pt idx="258">
                  <c:v>1.2676851956612349E-5</c:v>
                </c:pt>
                <c:pt idx="259">
                  <c:v>1.3120222694126499E-5</c:v>
                </c:pt>
                <c:pt idx="260">
                  <c:v>1.4104146330088535E-5</c:v>
                </c:pt>
                <c:pt idx="261">
                  <c:v>1.554860845792673E-5</c:v>
                </c:pt>
                <c:pt idx="262">
                  <c:v>1.7014159654940225E-5</c:v>
                </c:pt>
                <c:pt idx="263">
                  <c:v>1.850086983862954E-5</c:v>
                </c:pt>
                <c:pt idx="264">
                  <c:v>2.0008812288149885E-5</c:v>
                </c:pt>
                <c:pt idx="265">
                  <c:v>2.1538178424922877E-5</c:v>
                </c:pt>
                <c:pt idx="266">
                  <c:v>2.3089134950516343E-5</c:v>
                </c:pt>
                <c:pt idx="267">
                  <c:v>3.4186773261151244E-5</c:v>
                </c:pt>
                <c:pt idx="268">
                  <c:v>5.4741528541194037E-5</c:v>
                </c:pt>
                <c:pt idx="269">
                  <c:v>8.4765473217339763E-5</c:v>
                </c:pt>
                <c:pt idx="270">
                  <c:v>1.2427151911220528E-4</c:v>
                </c:pt>
                <c:pt idx="271">
                  <c:v>1.7327331339151453E-4</c:v>
                </c:pt>
                <c:pt idx="272">
                  <c:v>2.3178513451259188E-4</c:v>
                </c:pt>
                <c:pt idx="273">
                  <c:v>2.9982178817109309E-4</c:v>
                </c:pt>
                <c:pt idx="274">
                  <c:v>3.7739850325018738E-4</c:v>
                </c:pt>
                <c:pt idx="275">
                  <c:v>4.7204163584043518E-4</c:v>
                </c:pt>
                <c:pt idx="276">
                  <c:v>5.838590120245085E-4</c:v>
                </c:pt>
                <c:pt idx="277">
                  <c:v>7.1287807410654177E-4</c:v>
                </c:pt>
                <c:pt idx="278">
                  <c:v>8.5912654983164526E-4</c:v>
                </c:pt>
                <c:pt idx="279">
                  <c:v>1.0226322649849798E-3</c:v>
                </c:pt>
                <c:pt idx="280">
                  <c:v>1.2034229559988755E-3</c:v>
                </c:pt>
                <c:pt idx="281">
                  <c:v>1.3874855550446614E-3</c:v>
                </c:pt>
                <c:pt idx="282">
                  <c:v>1.56523227998423E-3</c:v>
                </c:pt>
                <c:pt idx="283">
                  <c:v>1.7366523426172518E-3</c:v>
                </c:pt>
                <c:pt idx="284">
                  <c:v>1.9017341419014179E-3</c:v>
                </c:pt>
                <c:pt idx="285">
                  <c:v>2.0604653351644227E-3</c:v>
                </c:pt>
                <c:pt idx="286">
                  <c:v>2.2128329093341315E-3</c:v>
                </c:pt>
                <c:pt idx="287">
                  <c:v>2.3588232521512121E-3</c:v>
                </c:pt>
                <c:pt idx="288">
                  <c:v>2.4984222233879832E-3</c:v>
                </c:pt>
                <c:pt idx="289">
                  <c:v>2.6207676063023468E-3</c:v>
                </c:pt>
                <c:pt idx="290">
                  <c:v>2.7182593959190998E-3</c:v>
                </c:pt>
                <c:pt idx="291">
                  <c:v>2.7908553396475155E-3</c:v>
                </c:pt>
                <c:pt idx="292">
                  <c:v>2.8385139249952657E-3</c:v>
                </c:pt>
                <c:pt idx="293">
                  <c:v>2.8611946514937175E-3</c:v>
                </c:pt>
                <c:pt idx="294">
                  <c:v>2.8588583026130316E-3</c:v>
                </c:pt>
                <c:pt idx="295">
                  <c:v>2.8367487123419858E-3</c:v>
                </c:pt>
                <c:pt idx="296">
                  <c:v>2.8090163804759902E-3</c:v>
                </c:pt>
                <c:pt idx="297">
                  <c:v>2.7756741737505631E-3</c:v>
                </c:pt>
                <c:pt idx="298">
                  <c:v>2.7367111911263866E-3</c:v>
                </c:pt>
                <c:pt idx="299">
                  <c:v>2.6921164734608214E-3</c:v>
                </c:pt>
                <c:pt idx="300">
                  <c:v>2.641879055241385E-3</c:v>
                </c:pt>
                <c:pt idx="301">
                  <c:v>2.5859880163108377E-3</c:v>
                </c:pt>
                <c:pt idx="302">
                  <c:v>2.5244325335983262E-3</c:v>
                </c:pt>
                <c:pt idx="303">
                  <c:v>2.4624329138444121E-3</c:v>
                </c:pt>
                <c:pt idx="304">
                  <c:v>2.4109107519448489E-3</c:v>
                </c:pt>
                <c:pt idx="305">
                  <c:v>2.3698788808419686E-3</c:v>
                </c:pt>
                <c:pt idx="306">
                  <c:v>2.3393502688147491E-3</c:v>
                </c:pt>
                <c:pt idx="307">
                  <c:v>2.319337922516344E-3</c:v>
                </c:pt>
                <c:pt idx="308">
                  <c:v>2.3098547899921534E-3</c:v>
                </c:pt>
                <c:pt idx="309">
                  <c:v>2.3121657751859728E-3</c:v>
                </c:pt>
                <c:pt idx="310">
                  <c:v>2.3209667396106989E-3</c:v>
                </c:pt>
                <c:pt idx="311">
                  <c:v>2.336264343914009E-3</c:v>
                </c:pt>
                <c:pt idx="312">
                  <c:v>2.358064969477101E-3</c:v>
                </c:pt>
                <c:pt idx="313">
                  <c:v>2.3863746587676048E-3</c:v>
                </c:pt>
                <c:pt idx="314">
                  <c:v>2.4211990556709927E-3</c:v>
                </c:pt>
                <c:pt idx="315">
                  <c:v>2.4625433458518907E-3</c:v>
                </c:pt>
                <c:pt idx="316">
                  <c:v>2.5104121970784396E-3</c:v>
                </c:pt>
                <c:pt idx="317">
                  <c:v>2.5657868135156156E-3</c:v>
                </c:pt>
                <c:pt idx="318">
                  <c:v>2.6234059185256285E-3</c:v>
                </c:pt>
                <c:pt idx="319">
                  <c:v>2.6832674919015599E-3</c:v>
                </c:pt>
                <c:pt idx="320">
                  <c:v>2.7453691222020979E-3</c:v>
                </c:pt>
                <c:pt idx="321">
                  <c:v>2.8097079863225786E-3</c:v>
                </c:pt>
                <c:pt idx="322">
                  <c:v>2.8762808290791384E-3</c:v>
                </c:pt>
                <c:pt idx="323">
                  <c:v>2.9428143635348136E-3</c:v>
                </c:pt>
                <c:pt idx="324">
                  <c:v>3.0080430742563139E-3</c:v>
                </c:pt>
                <c:pt idx="325">
                  <c:v>3.0719593992457289E-3</c:v>
                </c:pt>
                <c:pt idx="326">
                  <c:v>3.134536179778357E-3</c:v>
                </c:pt>
                <c:pt idx="327">
                  <c:v>3.1957579026488697E-3</c:v>
                </c:pt>
                <c:pt idx="328">
                  <c:v>3.2556252236629855E-3</c:v>
                </c:pt>
                <c:pt idx="329">
                  <c:v>3.3141395072035316E-3</c:v>
                </c:pt>
                <c:pt idx="330">
                  <c:v>3.3713027993179591E-3</c:v>
                </c:pt>
                <c:pt idx="331">
                  <c:v>3.4235994013105085E-3</c:v>
                </c:pt>
                <c:pt idx="332">
                  <c:v>3.4700507995023637E-3</c:v>
                </c:pt>
                <c:pt idx="333">
                  <c:v>3.5106600036256571E-3</c:v>
                </c:pt>
                <c:pt idx="334">
                  <c:v>3.5454309616477515E-3</c:v>
                </c:pt>
                <c:pt idx="335">
                  <c:v>3.5743684393290268E-3</c:v>
                </c:pt>
                <c:pt idx="336">
                  <c:v>3.5974778997349658E-3</c:v>
                </c:pt>
                <c:pt idx="337">
                  <c:v>3.6147468845905209E-3</c:v>
                </c:pt>
                <c:pt idx="338">
                  <c:v>3.6284560488215861E-3</c:v>
                </c:pt>
                <c:pt idx="339">
                  <c:v>3.6386123936482818E-3</c:v>
                </c:pt>
                <c:pt idx="340">
                  <c:v>3.6452231072501779E-3</c:v>
                </c:pt>
                <c:pt idx="341">
                  <c:v>3.6482954912102367E-3</c:v>
                </c:pt>
                <c:pt idx="342">
                  <c:v>3.6478368869560102E-3</c:v>
                </c:pt>
                <c:pt idx="343">
                  <c:v>3.6438546021567608E-3</c:v>
                </c:pt>
                <c:pt idx="344">
                  <c:v>3.6363558371778743E-3</c:v>
                </c:pt>
                <c:pt idx="345">
                  <c:v>3.6253476114968108E-3</c:v>
                </c:pt>
                <c:pt idx="346">
                  <c:v>3.61510931921138E-3</c:v>
                </c:pt>
                <c:pt idx="347">
                  <c:v>3.6056482486334948E-3</c:v>
                </c:pt>
                <c:pt idx="348">
                  <c:v>3.5969716592108925E-3</c:v>
                </c:pt>
                <c:pt idx="349">
                  <c:v>3.5890867967417056E-3</c:v>
                </c:pt>
                <c:pt idx="350">
                  <c:v>3.5820009086733012E-3</c:v>
                </c:pt>
                <c:pt idx="351">
                  <c:v>3.5764735217262093E-3</c:v>
                </c:pt>
                <c:pt idx="352">
                  <c:v>3.5725308086135398E-3</c:v>
                </c:pt>
                <c:pt idx="353">
                  <c:v>3.5701805964392891E-3</c:v>
                </c:pt>
                <c:pt idx="354">
                  <c:v>3.5694309060875905E-3</c:v>
                </c:pt>
                <c:pt idx="355">
                  <c:v>3.5702899833029689E-3</c:v>
                </c:pt>
                <c:pt idx="356">
                  <c:v>3.5727687989396228E-3</c:v>
                </c:pt>
                <c:pt idx="357">
                  <c:v>3.5768681801923549E-3</c:v>
                </c:pt>
                <c:pt idx="358">
                  <c:v>3.5825806117833112E-3</c:v>
                </c:pt>
                <c:pt idx="359">
                  <c:v>3.5898988027063239E-3</c:v>
                </c:pt>
                <c:pt idx="360">
                  <c:v>3.5987970896538901E-3</c:v>
                </c:pt>
                <c:pt idx="361">
                  <c:v>3.6085140802376253E-3</c:v>
                </c:pt>
                <c:pt idx="362">
                  <c:v>3.6190419427015513E-3</c:v>
                </c:pt>
                <c:pt idx="363">
                  <c:v>3.6303728399882437E-3</c:v>
                </c:pt>
                <c:pt idx="364">
                  <c:v>3.6424989109758144E-3</c:v>
                </c:pt>
                <c:pt idx="365">
                  <c:v>3.6554122516709673E-3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5.6575957336878436E-3</c:v>
                </c:pt>
                <c:pt idx="1">
                  <c:v>5.6679954794048417E-3</c:v>
                </c:pt>
                <c:pt idx="2">
                  <c:v>5.6738231257845422E-3</c:v>
                </c:pt>
                <c:pt idx="3">
                  <c:v>5.6750576495235771E-3</c:v>
                </c:pt>
                <c:pt idx="4">
                  <c:v>5.6716779234403658E-3</c:v>
                </c:pt>
                <c:pt idx="5">
                  <c:v>5.6636628341579127E-3</c:v>
                </c:pt>
                <c:pt idx="6">
                  <c:v>5.6509913998590133E-3</c:v>
                </c:pt>
                <c:pt idx="7">
                  <c:v>5.6336428879138027E-3</c:v>
                </c:pt>
                <c:pt idx="8">
                  <c:v>5.6115969325868757E-3</c:v>
                </c:pt>
                <c:pt idx="9">
                  <c:v>5.5804836498446579E-3</c:v>
                </c:pt>
                <c:pt idx="10">
                  <c:v>5.5394196960925693E-3</c:v>
                </c:pt>
                <c:pt idx="11">
                  <c:v>5.4883802434529871E-3</c:v>
                </c:pt>
                <c:pt idx="12">
                  <c:v>5.4273419535569769E-3</c:v>
                </c:pt>
                <c:pt idx="13">
                  <c:v>5.3562832276760862E-3</c:v>
                </c:pt>
                <c:pt idx="14">
                  <c:v>5.2751844567628459E-3</c:v>
                </c:pt>
                <c:pt idx="15">
                  <c:v>5.1850138949949302E-3</c:v>
                </c:pt>
                <c:pt idx="16">
                  <c:v>5.091258437511203E-3</c:v>
                </c:pt>
                <c:pt idx="17">
                  <c:v>4.9939109079602546E-3</c:v>
                </c:pt>
                <c:pt idx="18">
                  <c:v>4.8929657630858818E-3</c:v>
                </c:pt>
                <c:pt idx="19">
                  <c:v>4.7884458877162518E-3</c:v>
                </c:pt>
                <c:pt idx="20">
                  <c:v>4.6803853523256517E-3</c:v>
                </c:pt>
                <c:pt idx="21">
                  <c:v>4.5687966546195408E-3</c:v>
                </c:pt>
                <c:pt idx="22">
                  <c:v>4.4536922403716119E-3</c:v>
                </c:pt>
                <c:pt idx="23">
                  <c:v>4.337774050753097E-3</c:v>
                </c:pt>
                <c:pt idx="24">
                  <c:v>4.225421742906822E-3</c:v>
                </c:pt>
                <c:pt idx="25">
                  <c:v>4.1166483889409772E-3</c:v>
                </c:pt>
                <c:pt idx="26">
                  <c:v>4.0114660718184288E-3</c:v>
                </c:pt>
                <c:pt idx="27">
                  <c:v>3.909885931286391E-3</c:v>
                </c:pt>
                <c:pt idx="28">
                  <c:v>3.8119182098945454E-3</c:v>
                </c:pt>
                <c:pt idx="29">
                  <c:v>3.7237930590898242E-3</c:v>
                </c:pt>
                <c:pt idx="30">
                  <c:v>3.6445313680201138E-3</c:v>
                </c:pt>
                <c:pt idx="31">
                  <c:v>3.5741401775172166E-3</c:v>
                </c:pt>
                <c:pt idx="32">
                  <c:v>3.5126255021455089E-3</c:v>
                </c:pt>
                <c:pt idx="33">
                  <c:v>3.459992441591786E-3</c:v>
                </c:pt>
                <c:pt idx="34">
                  <c:v>3.4162452920711277E-3</c:v>
                </c:pt>
                <c:pt idx="35">
                  <c:v>3.3813876577291832E-3</c:v>
                </c:pt>
                <c:pt idx="36">
                  <c:v>3.3554225620373492E-3</c:v>
                </c:pt>
                <c:pt idx="37">
                  <c:v>3.3463088147022649E-3</c:v>
                </c:pt>
                <c:pt idx="38">
                  <c:v>3.3513579324283092E-3</c:v>
                </c:pt>
                <c:pt idx="39">
                  <c:v>3.3705704180711418E-3</c:v>
                </c:pt>
                <c:pt idx="40">
                  <c:v>3.4039466489766109E-3</c:v>
                </c:pt>
                <c:pt idx="41">
                  <c:v>3.4514870542767962E-3</c:v>
                </c:pt>
                <c:pt idx="42">
                  <c:v>3.5131922921631826E-3</c:v>
                </c:pt>
                <c:pt idx="43">
                  <c:v>3.5840313322894621E-3</c:v>
                </c:pt>
                <c:pt idx="44">
                  <c:v>3.6577928910394714E-3</c:v>
                </c:pt>
                <c:pt idx="45">
                  <c:v>3.734481836283218E-3</c:v>
                </c:pt>
                <c:pt idx="46">
                  <c:v>3.8141035067302195E-3</c:v>
                </c:pt>
                <c:pt idx="47">
                  <c:v>3.8966637484961022E-3</c:v>
                </c:pt>
                <c:pt idx="48">
                  <c:v>3.9821689516207548E-3</c:v>
                </c:pt>
                <c:pt idx="49">
                  <c:v>4.0706260866204512E-3</c:v>
                </c:pt>
                <c:pt idx="50">
                  <c:v>4.1620427410162288E-3</c:v>
                </c:pt>
                <c:pt idx="51">
                  <c:v>4.237018246624185E-3</c:v>
                </c:pt>
                <c:pt idx="52">
                  <c:v>4.2875894733050519E-3</c:v>
                </c:pt>
                <c:pt idx="53">
                  <c:v>4.3137353759873445E-3</c:v>
                </c:pt>
                <c:pt idx="54">
                  <c:v>4.3154550058461466E-3</c:v>
                </c:pt>
                <c:pt idx="55">
                  <c:v>4.2927469722082133E-3</c:v>
                </c:pt>
                <c:pt idx="56">
                  <c:v>4.2456095329639039E-3</c:v>
                </c:pt>
                <c:pt idx="57">
                  <c:v>4.168530412938568E-3</c:v>
                </c:pt>
                <c:pt idx="58">
                  <c:v>4.0665372768546237E-3</c:v>
                </c:pt>
                <c:pt idx="59">
                  <c:v>3.9396278447597034E-3</c:v>
                </c:pt>
                <c:pt idx="60">
                  <c:v>3.7877998531931126E-3</c:v>
                </c:pt>
                <c:pt idx="61">
                  <c:v>3.6110511473777507E-3</c:v>
                </c:pt>
                <c:pt idx="62">
                  <c:v>3.4093797734065213E-3</c:v>
                </c:pt>
                <c:pt idx="63">
                  <c:v>3.1827840704397054E-3</c:v>
                </c:pt>
                <c:pt idx="64">
                  <c:v>2.9312627628882057E-3</c:v>
                </c:pt>
                <c:pt idx="65">
                  <c:v>2.6672464631004294E-3</c:v>
                </c:pt>
                <c:pt idx="66">
                  <c:v>2.4101448038567081E-3</c:v>
                </c:pt>
                <c:pt idx="67">
                  <c:v>2.1599582595483832E-3</c:v>
                </c:pt>
                <c:pt idx="68">
                  <c:v>1.9166875994854153E-3</c:v>
                </c:pt>
                <c:pt idx="69">
                  <c:v>1.6803338622853252E-3</c:v>
                </c:pt>
                <c:pt idx="70">
                  <c:v>1.4508983302735374E-3</c:v>
                </c:pt>
                <c:pt idx="71">
                  <c:v>1.2357681542513137E-3</c:v>
                </c:pt>
                <c:pt idx="72">
                  <c:v>1.0404550902061557E-3</c:v>
                </c:pt>
                <c:pt idx="73">
                  <c:v>8.6496020158167584E-4</c:v>
                </c:pt>
                <c:pt idx="74">
                  <c:v>7.0928433193698812E-4</c:v>
                </c:pt>
                <c:pt idx="75">
                  <c:v>5.7342803163579214E-4</c:v>
                </c:pt>
                <c:pt idx="76">
                  <c:v>4.573914845327777E-4</c:v>
                </c:pt>
                <c:pt idx="77">
                  <c:v>3.6117443466236163E-4</c:v>
                </c:pt>
                <c:pt idx="78">
                  <c:v>2.8477612238033968E-4</c:v>
                </c:pt>
                <c:pt idx="79">
                  <c:v>2.2869456751976866E-4</c:v>
                </c:pt>
                <c:pt idx="80">
                  <c:v>1.8050021777103392E-4</c:v>
                </c:pt>
                <c:pt idx="81">
                  <c:v>1.4019192502361417E-4</c:v>
                </c:pt>
                <c:pt idx="82">
                  <c:v>1.0776858013849646E-4</c:v>
                </c:pt>
                <c:pt idx="83">
                  <c:v>8.3229087698054248E-5</c:v>
                </c:pt>
                <c:pt idx="84">
                  <c:v>6.6572340756271994E-5</c:v>
                </c:pt>
                <c:pt idx="85">
                  <c:v>5.8559772887954333E-5</c:v>
                </c:pt>
                <c:pt idx="86">
                  <c:v>5.1808786560946152E-5</c:v>
                </c:pt>
                <c:pt idx="87">
                  <c:v>4.6319202480449808E-5</c:v>
                </c:pt>
                <c:pt idx="88">
                  <c:v>4.2090831811886757E-5</c:v>
                </c:pt>
                <c:pt idx="89">
                  <c:v>3.9123472140562139E-5</c:v>
                </c:pt>
                <c:pt idx="90">
                  <c:v>3.7416903431241162E-5</c:v>
                </c:pt>
                <c:pt idx="91">
                  <c:v>3.6970883987875101E-5</c:v>
                </c:pt>
                <c:pt idx="92">
                  <c:v>3.7785146413211313E-5</c:v>
                </c:pt>
                <c:pt idx="93">
                  <c:v>4.1318004235136161E-5</c:v>
                </c:pt>
                <c:pt idx="94">
                  <c:v>4.7070729046521112E-5</c:v>
                </c:pt>
                <c:pt idx="95">
                  <c:v>5.504268211054456E-5</c:v>
                </c:pt>
                <c:pt idx="96">
                  <c:v>6.5233151081045329E-5</c:v>
                </c:pt>
                <c:pt idx="97">
                  <c:v>7.7641342883025816E-5</c:v>
                </c:pt>
                <c:pt idx="98">
                  <c:v>9.2266376592726391E-5</c:v>
                </c:pt>
                <c:pt idx="99">
                  <c:v>1.1288182681323765E-4</c:v>
                </c:pt>
                <c:pt idx="100">
                  <c:v>1.387236438018392E-4</c:v>
                </c:pt>
                <c:pt idx="101">
                  <c:v>1.697894581397132E-4</c:v>
                </c:pt>
                <c:pt idx="102">
                  <c:v>2.0607665068321003E-4</c:v>
                </c:pt>
                <c:pt idx="103">
                  <c:v>2.4758233577778989E-4</c:v>
                </c:pt>
                <c:pt idx="104">
                  <c:v>2.9430334447626277E-4</c:v>
                </c:pt>
                <c:pt idx="105">
                  <c:v>3.4623620775314708E-4</c:v>
                </c:pt>
                <c:pt idx="106">
                  <c:v>4.0337713972151247E-4</c:v>
                </c:pt>
                <c:pt idx="107">
                  <c:v>4.7127788481955414E-4</c:v>
                </c:pt>
                <c:pt idx="108">
                  <c:v>5.4847511831742041E-4</c:v>
                </c:pt>
                <c:pt idx="109">
                  <c:v>6.3496152996891572E-4</c:v>
                </c:pt>
                <c:pt idx="110">
                  <c:v>7.3073126121359598E-4</c:v>
                </c:pt>
                <c:pt idx="111">
                  <c:v>8.3577904999688666E-4</c:v>
                </c:pt>
                <c:pt idx="112">
                  <c:v>9.5009776594963478E-4</c:v>
                </c:pt>
                <c:pt idx="113">
                  <c:v>1.0791253482950293E-3</c:v>
                </c:pt>
                <c:pt idx="114">
                  <c:v>1.2190854185580484E-3</c:v>
                </c:pt>
                <c:pt idx="115">
                  <c:v>1.3699685605278113E-3</c:v>
                </c:pt>
                <c:pt idx="116">
                  <c:v>1.5317648922542476E-3</c:v>
                </c:pt>
                <c:pt idx="117">
                  <c:v>1.7044640420175857E-3</c:v>
                </c:pt>
                <c:pt idx="118">
                  <c:v>1.888055124285978E-3</c:v>
                </c:pt>
                <c:pt idx="119">
                  <c:v>2.0825267156762053E-3</c:v>
                </c:pt>
                <c:pt idx="120">
                  <c:v>2.2878668309106883E-3</c:v>
                </c:pt>
                <c:pt idx="121">
                  <c:v>2.5019483273032738E-3</c:v>
                </c:pt>
                <c:pt idx="122">
                  <c:v>2.7192221475950532E-3</c:v>
                </c:pt>
                <c:pt idx="123">
                  <c:v>2.9396806807396991E-3</c:v>
                </c:pt>
                <c:pt idx="124">
                  <c:v>3.1633159859456583E-3</c:v>
                </c:pt>
                <c:pt idx="125">
                  <c:v>3.3901197854251555E-3</c:v>
                </c:pt>
                <c:pt idx="126">
                  <c:v>3.6200834571037269E-3</c:v>
                </c:pt>
                <c:pt idx="127">
                  <c:v>3.8331062110456612E-3</c:v>
                </c:pt>
                <c:pt idx="128">
                  <c:v>4.0237727123791436E-3</c:v>
                </c:pt>
                <c:pt idx="129">
                  <c:v>4.1920978548613055E-3</c:v>
                </c:pt>
                <c:pt idx="130">
                  <c:v>4.3380974683999221E-3</c:v>
                </c:pt>
                <c:pt idx="131">
                  <c:v>4.4617883677300248E-3</c:v>
                </c:pt>
                <c:pt idx="132">
                  <c:v>4.5631884011253657E-3</c:v>
                </c:pt>
                <c:pt idx="133">
                  <c:v>4.6423164991393337E-3</c:v>
                </c:pt>
                <c:pt idx="134">
                  <c:v>4.6991927233244876E-3</c:v>
                </c:pt>
                <c:pt idx="135">
                  <c:v>4.7196400795009074E-3</c:v>
                </c:pt>
                <c:pt idx="136">
                  <c:v>4.7058017398069387E-3</c:v>
                </c:pt>
                <c:pt idx="137">
                  <c:v>4.6577160063255496E-3</c:v>
                </c:pt>
                <c:pt idx="138">
                  <c:v>4.5754232610270024E-3</c:v>
                </c:pt>
                <c:pt idx="139">
                  <c:v>4.4589660412056031E-3</c:v>
                </c:pt>
                <c:pt idx="140">
                  <c:v>4.3083891146557191E-3</c:v>
                </c:pt>
                <c:pt idx="141">
                  <c:v>4.1330998216847189E-3</c:v>
                </c:pt>
                <c:pt idx="142">
                  <c:v>3.9530934763603205E-3</c:v>
                </c:pt>
                <c:pt idx="143">
                  <c:v>3.7683677910559359E-3</c:v>
                </c:pt>
                <c:pt idx="144">
                  <c:v>3.5789460636883466E-3</c:v>
                </c:pt>
                <c:pt idx="145">
                  <c:v>3.3848511714378079E-3</c:v>
                </c:pt>
                <c:pt idx="146">
                  <c:v>3.1861055061715082E-3</c:v>
                </c:pt>
                <c:pt idx="147">
                  <c:v>2.9827309099879819E-3</c:v>
                </c:pt>
                <c:pt idx="148">
                  <c:v>2.7747486106744264E-3</c:v>
                </c:pt>
                <c:pt idx="149">
                  <c:v>2.5708473893600466E-3</c:v>
                </c:pt>
                <c:pt idx="150">
                  <c:v>2.385129016588999E-3</c:v>
                </c:pt>
                <c:pt idx="151">
                  <c:v>2.2175715464708683E-3</c:v>
                </c:pt>
                <c:pt idx="152">
                  <c:v>2.0681509420797774E-3</c:v>
                </c:pt>
                <c:pt idx="153">
                  <c:v>1.9368413180715608E-3</c:v>
                </c:pt>
                <c:pt idx="154">
                  <c:v>1.8236151833142542E-3</c:v>
                </c:pt>
                <c:pt idx="155">
                  <c:v>1.7295185898936155E-3</c:v>
                </c:pt>
                <c:pt idx="156">
                  <c:v>1.6452375788678626E-3</c:v>
                </c:pt>
                <c:pt idx="157">
                  <c:v>1.5707568828112039E-3</c:v>
                </c:pt>
                <c:pt idx="158">
                  <c:v>1.5060606626481076E-3</c:v>
                </c:pt>
                <c:pt idx="159">
                  <c:v>1.451132639101058E-3</c:v>
                </c:pt>
                <c:pt idx="160">
                  <c:v>1.405956224157428E-3</c:v>
                </c:pt>
                <c:pt idx="161">
                  <c:v>1.3705146525188642E-3</c:v>
                </c:pt>
                <c:pt idx="162">
                  <c:v>1.3447911130591078E-3</c:v>
                </c:pt>
                <c:pt idx="163">
                  <c:v>1.3293534355553348E-3</c:v>
                </c:pt>
                <c:pt idx="164">
                  <c:v>1.3155961532087062E-3</c:v>
                </c:pt>
                <c:pt idx="165">
                  <c:v>1.303517714769783E-3</c:v>
                </c:pt>
                <c:pt idx="166">
                  <c:v>1.2931165858541616E-3</c:v>
                </c:pt>
                <c:pt idx="167">
                  <c:v>1.2843912714243244E-3</c:v>
                </c:pt>
                <c:pt idx="168">
                  <c:v>1.2773403383131308E-3</c:v>
                </c:pt>
                <c:pt idx="169">
                  <c:v>1.272544922338646E-3</c:v>
                </c:pt>
                <c:pt idx="170">
                  <c:v>1.2689377057099908E-3</c:v>
                </c:pt>
                <c:pt idx="171">
                  <c:v>1.2665183740986903E-3</c:v>
                </c:pt>
                <c:pt idx="172">
                  <c:v>1.265286716245217E-3</c:v>
                </c:pt>
                <c:pt idx="173">
                  <c:v>1.2652297014667511E-3</c:v>
                </c:pt>
                <c:pt idx="174">
                  <c:v>1.2663337018630507E-3</c:v>
                </c:pt>
                <c:pt idx="175">
                  <c:v>1.2685976988305208E-3</c:v>
                </c:pt>
                <c:pt idx="176">
                  <c:v>1.2720206814359153E-3</c:v>
                </c:pt>
                <c:pt idx="177">
                  <c:v>1.2776629804650509E-3</c:v>
                </c:pt>
                <c:pt idx="178">
                  <c:v>1.2849422225644095E-3</c:v>
                </c:pt>
                <c:pt idx="179">
                  <c:v>1.2938567493788707E-3</c:v>
                </c:pt>
                <c:pt idx="180">
                  <c:v>1.3044049493433055E-3</c:v>
                </c:pt>
                <c:pt idx="181">
                  <c:v>1.3165852673111761E-3</c:v>
                </c:pt>
                <c:pt idx="182">
                  <c:v>1.3303962141943712E-3</c:v>
                </c:pt>
                <c:pt idx="183">
                  <c:v>1.354338747468849E-3</c:v>
                </c:pt>
                <c:pt idx="184">
                  <c:v>1.3878212490468396E-3</c:v>
                </c:pt>
                <c:pt idx="185">
                  <c:v>1.4308314329859388E-3</c:v>
                </c:pt>
                <c:pt idx="186">
                  <c:v>1.4833574610227285E-3</c:v>
                </c:pt>
                <c:pt idx="187">
                  <c:v>1.5453879988686879E-3</c:v>
                </c:pt>
                <c:pt idx="188">
                  <c:v>1.6169122725165047E-3</c:v>
                </c:pt>
                <c:pt idx="189">
                  <c:v>1.697920124499276E-3</c:v>
                </c:pt>
                <c:pt idx="190">
                  <c:v>1.7884020702161963E-3</c:v>
                </c:pt>
                <c:pt idx="191">
                  <c:v>1.897459664911034E-3</c:v>
                </c:pt>
                <c:pt idx="192">
                  <c:v>2.0240197173850265E-3</c:v>
                </c:pt>
                <c:pt idx="193">
                  <c:v>2.1680656779734298E-3</c:v>
                </c:pt>
                <c:pt idx="194">
                  <c:v>2.3295824746644247E-3</c:v>
                </c:pt>
                <c:pt idx="195">
                  <c:v>2.5085566170403198E-3</c:v>
                </c:pt>
                <c:pt idx="196">
                  <c:v>2.704976300137859E-3</c:v>
                </c:pt>
                <c:pt idx="197">
                  <c:v>2.9050777650969769E-3</c:v>
                </c:pt>
                <c:pt idx="198">
                  <c:v>3.1004176415043616E-3</c:v>
                </c:pt>
                <c:pt idx="199">
                  <c:v>3.2910108433156938E-3</c:v>
                </c:pt>
                <c:pt idx="200">
                  <c:v>3.4768723374746205E-3</c:v>
                </c:pt>
                <c:pt idx="201">
                  <c:v>3.6580171162586351E-3</c:v>
                </c:pt>
                <c:pt idx="202">
                  <c:v>3.8344601696365804E-3</c:v>
                </c:pt>
                <c:pt idx="203">
                  <c:v>4.0062164577117252E-3</c:v>
                </c:pt>
                <c:pt idx="204">
                  <c:v>4.1732941438640337E-3</c:v>
                </c:pt>
                <c:pt idx="205">
                  <c:v>4.3163315583789252E-3</c:v>
                </c:pt>
                <c:pt idx="206">
                  <c:v>4.4262835356880855E-3</c:v>
                </c:pt>
                <c:pt idx="207">
                  <c:v>4.5031748880054283E-3</c:v>
                </c:pt>
                <c:pt idx="208">
                  <c:v>4.5470275952153947E-3</c:v>
                </c:pt>
                <c:pt idx="209">
                  <c:v>4.5578609074464942E-3</c:v>
                </c:pt>
                <c:pt idx="210">
                  <c:v>4.535691447796213E-3</c:v>
                </c:pt>
                <c:pt idx="211">
                  <c:v>4.4785007864971468E-3</c:v>
                </c:pt>
                <c:pt idx="212">
                  <c:v>4.4000067473883887E-3</c:v>
                </c:pt>
                <c:pt idx="213">
                  <c:v>4.3002141304762436E-3</c:v>
                </c:pt>
                <c:pt idx="214">
                  <c:v>4.1791263285452076E-3</c:v>
                </c:pt>
                <c:pt idx="215">
                  <c:v>4.0367453935522234E-3</c:v>
                </c:pt>
                <c:pt idx="216">
                  <c:v>3.8730721030048204E-3</c:v>
                </c:pt>
                <c:pt idx="217">
                  <c:v>3.6881060263538653E-3</c:v>
                </c:pt>
                <c:pt idx="218">
                  <c:v>3.4818455913626922E-3</c:v>
                </c:pt>
                <c:pt idx="219">
                  <c:v>3.2595083149787019E-3</c:v>
                </c:pt>
                <c:pt idx="220">
                  <c:v>3.0404177726320713E-3</c:v>
                </c:pt>
                <c:pt idx="221">
                  <c:v>2.8245662232977442E-3</c:v>
                </c:pt>
                <c:pt idx="222">
                  <c:v>2.6119463750316121E-3</c:v>
                </c:pt>
                <c:pt idx="223">
                  <c:v>2.4025513751143521E-3</c:v>
                </c:pt>
                <c:pt idx="224">
                  <c:v>2.1963748001191936E-3</c:v>
                </c:pt>
                <c:pt idx="225">
                  <c:v>1.9987294234264878E-3</c:v>
                </c:pt>
                <c:pt idx="226">
                  <c:v>1.8116401102258759E-3</c:v>
                </c:pt>
                <c:pt idx="227">
                  <c:v>1.6351018938609739E-3</c:v>
                </c:pt>
                <c:pt idx="228">
                  <c:v>1.4691105072551034E-3</c:v>
                </c:pt>
                <c:pt idx="229">
                  <c:v>1.313662350137321E-3</c:v>
                </c:pt>
                <c:pt idx="230">
                  <c:v>1.168754456297928E-3</c:v>
                </c:pt>
                <c:pt idx="231">
                  <c:v>1.0343844608429954E-3</c:v>
                </c:pt>
                <c:pt idx="232">
                  <c:v>9.1055056742331698E-4</c:v>
                </c:pt>
                <c:pt idx="233">
                  <c:v>8.0086152327066035E-4</c:v>
                </c:pt>
                <c:pt idx="234">
                  <c:v>7.0009677382898959E-4</c:v>
                </c:pt>
                <c:pt idx="235">
                  <c:v>6.0825631776358503E-4</c:v>
                </c:pt>
                <c:pt idx="236">
                  <c:v>5.2534044435853446E-4</c:v>
                </c:pt>
                <c:pt idx="237">
                  <c:v>4.5134922014237019E-4</c:v>
                </c:pt>
                <c:pt idx="238">
                  <c:v>3.8628302089932834E-4</c:v>
                </c:pt>
                <c:pt idx="239">
                  <c:v>3.3153732330831E-4</c:v>
                </c:pt>
                <c:pt idx="240">
                  <c:v>2.8179130635602642E-4</c:v>
                </c:pt>
                <c:pt idx="241">
                  <c:v>2.3704525865673128E-4</c:v>
                </c:pt>
                <c:pt idx="242">
                  <c:v>1.9729966102663768E-4</c:v>
                </c:pt>
                <c:pt idx="243">
                  <c:v>1.6255519532181825E-4</c:v>
                </c:pt>
                <c:pt idx="244">
                  <c:v>1.328127532730599E-4</c:v>
                </c:pt>
                <c:pt idx="245">
                  <c:v>1.080734453191901E-4</c:v>
                </c:pt>
                <c:pt idx="246">
                  <c:v>8.8338609441507521E-5</c:v>
                </c:pt>
                <c:pt idx="247">
                  <c:v>7.4339329814184285E-5</c:v>
                </c:pt>
                <c:pt idx="248">
                  <c:v>6.2462417770522955E-5</c:v>
                </c:pt>
                <c:pt idx="249">
                  <c:v>5.2708554434293985E-5</c:v>
                </c:pt>
                <c:pt idx="250">
                  <c:v>4.5078526970388168E-5</c:v>
                </c:pt>
                <c:pt idx="251">
                  <c:v>3.9573232334067724E-5</c:v>
                </c:pt>
                <c:pt idx="252">
                  <c:v>3.6193681017688257E-5</c:v>
                </c:pt>
                <c:pt idx="253">
                  <c:v>3.5418236141320913E-5</c:v>
                </c:pt>
                <c:pt idx="254">
                  <c:v>3.5850590542988449E-5</c:v>
                </c:pt>
                <c:pt idx="255">
                  <c:v>3.7491524448208505E-5</c:v>
                </c:pt>
                <c:pt idx="256">
                  <c:v>4.0341890972628838E-5</c:v>
                </c:pt>
                <c:pt idx="257">
                  <c:v>4.4402618248484931E-5</c:v>
                </c:pt>
                <c:pt idx="258">
                  <c:v>4.9674711551333621E-5</c:v>
                </c:pt>
                <c:pt idx="259">
                  <c:v>5.6159255427517017E-5</c:v>
                </c:pt>
                <c:pt idx="260">
                  <c:v>6.3857415820297637E-5</c:v>
                </c:pt>
                <c:pt idx="261">
                  <c:v>7.9853446401517377E-5</c:v>
                </c:pt>
                <c:pt idx="262">
                  <c:v>1.0342299413195226E-4</c:v>
                </c:pt>
                <c:pt idx="263">
                  <c:v>1.3457354395256927E-4</c:v>
                </c:pt>
                <c:pt idx="264">
                  <c:v>1.7331312312468918E-4</c:v>
                </c:pt>
                <c:pt idx="265">
                  <c:v>2.1965149210129679E-4</c:v>
                </c:pt>
                <c:pt idx="266">
                  <c:v>2.7359942105361084E-4</c:v>
                </c:pt>
                <c:pt idx="267">
                  <c:v>3.471132047776939E-4</c:v>
                </c:pt>
                <c:pt idx="268">
                  <c:v>4.3973905315538957E-4</c:v>
                </c:pt>
                <c:pt idx="269">
                  <c:v>5.5150362683764609E-4</c:v>
                </c:pt>
                <c:pt idx="270">
                  <c:v>6.82435053942061E-4</c:v>
                </c:pt>
                <c:pt idx="271">
                  <c:v>8.3256272024791287E-4</c:v>
                </c:pt>
                <c:pt idx="272">
                  <c:v>1.0019170594021975E-3</c:v>
                </c:pt>
                <c:pt idx="273">
                  <c:v>1.1905293431168059E-3</c:v>
                </c:pt>
                <c:pt idx="274">
                  <c:v>1.3984314713771978E-3</c:v>
                </c:pt>
                <c:pt idx="275">
                  <c:v>1.620341956241222E-3</c:v>
                </c:pt>
                <c:pt idx="276">
                  <c:v>1.8491598873722906E-3</c:v>
                </c:pt>
                <c:pt idx="277">
                  <c:v>2.084899007564658E-3</c:v>
                </c:pt>
                <c:pt idx="278">
                  <c:v>2.3275723618626865E-3</c:v>
                </c:pt>
                <c:pt idx="279">
                  <c:v>2.5771922242855514E-3</c:v>
                </c:pt>
                <c:pt idx="280">
                  <c:v>2.8337700245734646E-3</c:v>
                </c:pt>
                <c:pt idx="281">
                  <c:v>3.0785424893624244E-3</c:v>
                </c:pt>
                <c:pt idx="282">
                  <c:v>3.2994593510389334E-3</c:v>
                </c:pt>
                <c:pt idx="283">
                  <c:v>3.4964806656947378E-3</c:v>
                </c:pt>
                <c:pt idx="284">
                  <c:v>3.6695653881604904E-3</c:v>
                </c:pt>
                <c:pt idx="285">
                  <c:v>3.8186716358148708E-3</c:v>
                </c:pt>
                <c:pt idx="286">
                  <c:v>3.9437569524288767E-3</c:v>
                </c:pt>
                <c:pt idx="287">
                  <c:v>4.0447785719749801E-3</c:v>
                </c:pt>
                <c:pt idx="288">
                  <c:v>4.1216936824491276E-3</c:v>
                </c:pt>
                <c:pt idx="289">
                  <c:v>4.169574143954643E-3</c:v>
                </c:pt>
                <c:pt idx="290">
                  <c:v>4.1937253263812195E-3</c:v>
                </c:pt>
                <c:pt idx="291">
                  <c:v>4.1941066600768694E-3</c:v>
                </c:pt>
                <c:pt idx="292">
                  <c:v>4.1706785822723039E-3</c:v>
                </c:pt>
                <c:pt idx="293">
                  <c:v>4.1234027958317095E-3</c:v>
                </c:pt>
                <c:pt idx="294">
                  <c:v>4.052242527987142E-3</c:v>
                </c:pt>
                <c:pt idx="295">
                  <c:v>3.9649058174949297E-3</c:v>
                </c:pt>
                <c:pt idx="296">
                  <c:v>3.880330846043977E-3</c:v>
                </c:pt>
                <c:pt idx="297">
                  <c:v>3.798549487034088E-3</c:v>
                </c:pt>
                <c:pt idx="298">
                  <c:v>3.7195605096068691E-3</c:v>
                </c:pt>
                <c:pt idx="299">
                  <c:v>3.6433630859412825E-3</c:v>
                </c:pt>
                <c:pt idx="300">
                  <c:v>3.5699567649865255E-3</c:v>
                </c:pt>
                <c:pt idx="301">
                  <c:v>3.4993414461834513E-3</c:v>
                </c:pt>
                <c:pt idx="302">
                  <c:v>3.4315173531942666E-3</c:v>
                </c:pt>
                <c:pt idx="303">
                  <c:v>3.3725585840148195E-3</c:v>
                </c:pt>
                <c:pt idx="304">
                  <c:v>3.3273948277438678E-3</c:v>
                </c:pt>
                <c:pt idx="305">
                  <c:v>3.296042808482526E-3</c:v>
                </c:pt>
                <c:pt idx="306">
                  <c:v>3.2785193454132841E-3</c:v>
                </c:pt>
                <c:pt idx="307">
                  <c:v>3.2748412253348026E-3</c:v>
                </c:pt>
                <c:pt idx="308">
                  <c:v>3.2850250751693048E-3</c:v>
                </c:pt>
                <c:pt idx="309">
                  <c:v>3.3117211161770525E-3</c:v>
                </c:pt>
                <c:pt idx="310">
                  <c:v>3.347151739221608E-3</c:v>
                </c:pt>
                <c:pt idx="311">
                  <c:v>3.3913252866589871E-3</c:v>
                </c:pt>
                <c:pt idx="312">
                  <c:v>3.4442496395467662E-3</c:v>
                </c:pt>
                <c:pt idx="313">
                  <c:v>3.505932137557656E-3</c:v>
                </c:pt>
                <c:pt idx="314">
                  <c:v>3.5763794988618283E-3</c:v>
                </c:pt>
                <c:pt idx="315">
                  <c:v>3.6555977400530761E-3</c:v>
                </c:pt>
                <c:pt idx="316">
                  <c:v>3.7435920960206654E-3</c:v>
                </c:pt>
                <c:pt idx="317">
                  <c:v>3.8413369198203964E-3</c:v>
                </c:pt>
                <c:pt idx="318">
                  <c:v>3.9427226930085291E-3</c:v>
                </c:pt>
                <c:pt idx="319">
                  <c:v>4.047746103878736E-3</c:v>
                </c:pt>
                <c:pt idx="320">
                  <c:v>4.1564031775068499E-3</c:v>
                </c:pt>
                <c:pt idx="321">
                  <c:v>4.2686892427044494E-3</c:v>
                </c:pt>
                <c:pt idx="322">
                  <c:v>4.3845988989926936E-3</c:v>
                </c:pt>
                <c:pt idx="323">
                  <c:v>4.4998263356909214E-3</c:v>
                </c:pt>
                <c:pt idx="324">
                  <c:v>4.6117117196047934E-3</c:v>
                </c:pt>
                <c:pt idx="325">
                  <c:v>4.7202416453975722E-3</c:v>
                </c:pt>
                <c:pt idx="326">
                  <c:v>4.8253726504885758E-3</c:v>
                </c:pt>
                <c:pt idx="327">
                  <c:v>4.9270791684114983E-3</c:v>
                </c:pt>
                <c:pt idx="328">
                  <c:v>5.025360728980236E-3</c:v>
                </c:pt>
                <c:pt idx="329">
                  <c:v>5.1202182273712947E-3</c:v>
                </c:pt>
                <c:pt idx="330">
                  <c:v>5.2116538547525527E-3</c:v>
                </c:pt>
                <c:pt idx="331">
                  <c:v>5.2942390680707635E-3</c:v>
                </c:pt>
                <c:pt idx="332">
                  <c:v>5.36700319938474E-3</c:v>
                </c:pt>
                <c:pt idx="333">
                  <c:v>5.4299506231632643E-3</c:v>
                </c:pt>
                <c:pt idx="334">
                  <c:v>5.4830872474285058E-3</c:v>
                </c:pt>
                <c:pt idx="335">
                  <c:v>5.5264203112306625E-3</c:v>
                </c:pt>
                <c:pt idx="336">
                  <c:v>5.5599581820518756E-3</c:v>
                </c:pt>
                <c:pt idx="337">
                  <c:v>5.5845599605770999E-3</c:v>
                </c:pt>
                <c:pt idx="338">
                  <c:v>5.6045440641781024E-3</c:v>
                </c:pt>
                <c:pt idx="339">
                  <c:v>5.6199214056418516E-3</c:v>
                </c:pt>
                <c:pt idx="340">
                  <c:v>5.6307031582451105E-3</c:v>
                </c:pt>
                <c:pt idx="341">
                  <c:v>5.6369006604570998E-3</c:v>
                </c:pt>
                <c:pt idx="342">
                  <c:v>5.6385253206379521E-3</c:v>
                </c:pt>
                <c:pt idx="343">
                  <c:v>5.6355885216690087E-3</c:v>
                </c:pt>
                <c:pt idx="344">
                  <c:v>5.6281015256717066E-3</c:v>
                </c:pt>
                <c:pt idx="345">
                  <c:v>5.616075378666951E-3</c:v>
                </c:pt>
                <c:pt idx="346">
                  <c:v>5.6054345094930262E-3</c:v>
                </c:pt>
                <c:pt idx="347">
                  <c:v>5.5961904243164162E-3</c:v>
                </c:pt>
                <c:pt idx="348">
                  <c:v>5.5883546431461121E-3</c:v>
                </c:pt>
                <c:pt idx="349">
                  <c:v>5.581938727395268E-3</c:v>
                </c:pt>
                <c:pt idx="350">
                  <c:v>5.5769543075737549E-3</c:v>
                </c:pt>
                <c:pt idx="351">
                  <c:v>5.5738914670196245E-3</c:v>
                </c:pt>
                <c:pt idx="352">
                  <c:v>5.5719116761331856E-3</c:v>
                </c:pt>
                <c:pt idx="353">
                  <c:v>5.5710267676281813E-3</c:v>
                </c:pt>
                <c:pt idx="354">
                  <c:v>5.5712486975184623E-3</c:v>
                </c:pt>
                <c:pt idx="355">
                  <c:v>5.5725895647163919E-3</c:v>
                </c:pt>
                <c:pt idx="356">
                  <c:v>5.57506548360344E-3</c:v>
                </c:pt>
                <c:pt idx="357">
                  <c:v>5.5786764747139178E-3</c:v>
                </c:pt>
                <c:pt idx="358">
                  <c:v>5.5834092942734304E-3</c:v>
                </c:pt>
                <c:pt idx="359">
                  <c:v>5.5892508410675286E-3</c:v>
                </c:pt>
                <c:pt idx="360">
                  <c:v>5.5970406915244368E-3</c:v>
                </c:pt>
                <c:pt idx="361">
                  <c:v>5.6062872676561522E-3</c:v>
                </c:pt>
                <c:pt idx="362">
                  <c:v>5.6169782708619786E-3</c:v>
                </c:pt>
                <c:pt idx="363">
                  <c:v>5.6291014745953882E-3</c:v>
                </c:pt>
                <c:pt idx="364">
                  <c:v>5.6426446903684617E-3</c:v>
                </c:pt>
                <c:pt idx="365">
                  <c:v>5.6575957336878436E-3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8.1971506317892323E-3</c:v>
                </c:pt>
                <c:pt idx="1">
                  <c:v>8.2067786862826796E-3</c:v>
                </c:pt>
                <c:pt idx="2">
                  <c:v>8.2113648102420302E-3</c:v>
                </c:pt>
                <c:pt idx="3">
                  <c:v>8.210880777889543E-3</c:v>
                </c:pt>
                <c:pt idx="4">
                  <c:v>8.2052982770676151E-3</c:v>
                </c:pt>
                <c:pt idx="5">
                  <c:v>8.1945890392431317E-3</c:v>
                </c:pt>
                <c:pt idx="6">
                  <c:v>8.1787249696166076E-3</c:v>
                </c:pt>
                <c:pt idx="7">
                  <c:v>8.1576782770466476E-3</c:v>
                </c:pt>
                <c:pt idx="8">
                  <c:v>8.1314216040894519E-3</c:v>
                </c:pt>
                <c:pt idx="9">
                  <c:v>8.0931277882552183E-3</c:v>
                </c:pt>
                <c:pt idx="10">
                  <c:v>8.0414786484109182E-3</c:v>
                </c:pt>
                <c:pt idx="11">
                  <c:v>7.976439181125599E-3</c:v>
                </c:pt>
                <c:pt idx="12">
                  <c:v>7.8979763489189312E-3</c:v>
                </c:pt>
                <c:pt idx="13">
                  <c:v>7.8060594158287106E-3</c:v>
                </c:pt>
                <c:pt idx="14">
                  <c:v>7.7006602828452808E-3</c:v>
                </c:pt>
                <c:pt idx="15">
                  <c:v>7.5809806456274796E-3</c:v>
                </c:pt>
                <c:pt idx="16">
                  <c:v>7.453410725993358E-3</c:v>
                </c:pt>
                <c:pt idx="17">
                  <c:v>7.3179368206857621E-3</c:v>
                </c:pt>
                <c:pt idx="18">
                  <c:v>7.174548042378724E-3</c:v>
                </c:pt>
                <c:pt idx="19">
                  <c:v>7.0232756872084983E-3</c:v>
                </c:pt>
                <c:pt idx="20">
                  <c:v>6.8641679967954084E-3</c:v>
                </c:pt>
                <c:pt idx="21">
                  <c:v>6.6972420160118984E-3</c:v>
                </c:pt>
                <c:pt idx="22">
                  <c:v>6.5225150958984901E-3</c:v>
                </c:pt>
                <c:pt idx="23">
                  <c:v>6.3443103153847684E-3</c:v>
                </c:pt>
                <c:pt idx="24">
                  <c:v>6.1694730071794367E-3</c:v>
                </c:pt>
                <c:pt idx="25">
                  <c:v>5.998022500828413E-3</c:v>
                </c:pt>
                <c:pt idx="26">
                  <c:v>5.8299768403307362E-3</c:v>
                </c:pt>
                <c:pt idx="27">
                  <c:v>5.665352828229565E-3</c:v>
                </c:pt>
                <c:pt idx="28">
                  <c:v>5.5041660698320095E-3</c:v>
                </c:pt>
                <c:pt idx="29">
                  <c:v>5.3542332641064632E-3</c:v>
                </c:pt>
                <c:pt idx="30">
                  <c:v>5.2163416710075726E-3</c:v>
                </c:pt>
                <c:pt idx="31">
                  <c:v>5.0905023686324226E-3</c:v>
                </c:pt>
                <c:pt idx="32">
                  <c:v>4.9767248896119866E-3</c:v>
                </c:pt>
                <c:pt idx="33">
                  <c:v>4.8750173724736012E-3</c:v>
                </c:pt>
                <c:pt idx="34">
                  <c:v>4.7853867130262344E-3</c:v>
                </c:pt>
                <c:pt idx="35">
                  <c:v>4.7078387157403097E-3</c:v>
                </c:pt>
                <c:pt idx="36">
                  <c:v>4.6423782451174471E-3</c:v>
                </c:pt>
                <c:pt idx="37">
                  <c:v>4.6000021322034354E-3</c:v>
                </c:pt>
                <c:pt idx="38">
                  <c:v>4.5764070040390618E-3</c:v>
                </c:pt>
                <c:pt idx="39">
                  <c:v>4.5715939702276869E-3</c:v>
                </c:pt>
                <c:pt idx="40">
                  <c:v>4.5855638225051586E-3</c:v>
                </c:pt>
                <c:pt idx="41">
                  <c:v>4.6183172697912035E-3</c:v>
                </c:pt>
                <c:pt idx="42">
                  <c:v>4.6698551732092834E-3</c:v>
                </c:pt>
                <c:pt idx="43">
                  <c:v>4.7431670905754685E-3</c:v>
                </c:pt>
                <c:pt idx="44">
                  <c:v>4.8304602170698326E-3</c:v>
                </c:pt>
                <c:pt idx="45">
                  <c:v>4.9317384130516534E-3</c:v>
                </c:pt>
                <c:pt idx="46">
                  <c:v>5.0470064571748107E-3</c:v>
                </c:pt>
                <c:pt idx="47">
                  <c:v>5.1762702213041765E-3</c:v>
                </c:pt>
                <c:pt idx="48">
                  <c:v>5.3195368453680331E-3</c:v>
                </c:pt>
                <c:pt idx="49">
                  <c:v>5.4768149122554378E-3</c:v>
                </c:pt>
                <c:pt idx="50">
                  <c:v>5.6481146226819885E-3</c:v>
                </c:pt>
                <c:pt idx="51">
                  <c:v>5.8105334034149157E-3</c:v>
                </c:pt>
                <c:pt idx="52">
                  <c:v>5.9530704257977256E-3</c:v>
                </c:pt>
                <c:pt idx="53">
                  <c:v>6.0756975077682568E-3</c:v>
                </c:pt>
                <c:pt idx="54">
                  <c:v>6.1784138773059334E-3</c:v>
                </c:pt>
                <c:pt idx="55">
                  <c:v>6.261218252165985E-3</c:v>
                </c:pt>
                <c:pt idx="56">
                  <c:v>6.3241089136006623E-3</c:v>
                </c:pt>
                <c:pt idx="57">
                  <c:v>6.3455203089565898E-3</c:v>
                </c:pt>
                <c:pt idx="58">
                  <c:v>6.3224627032178304E-3</c:v>
                </c:pt>
                <c:pt idx="59">
                  <c:v>6.2549329786154729E-3</c:v>
                </c:pt>
                <c:pt idx="60">
                  <c:v>6.1429278115289372E-3</c:v>
                </c:pt>
                <c:pt idx="61">
                  <c:v>5.9864438370388707E-3</c:v>
                </c:pt>
                <c:pt idx="62">
                  <c:v>5.7854778134709493E-3</c:v>
                </c:pt>
                <c:pt idx="63">
                  <c:v>5.5400267869577767E-3</c:v>
                </c:pt>
                <c:pt idx="64">
                  <c:v>5.2500882559771882E-3</c:v>
                </c:pt>
                <c:pt idx="65">
                  <c:v>4.927611098981266E-3</c:v>
                </c:pt>
                <c:pt idx="66">
                  <c:v>4.5955098779201543E-3</c:v>
                </c:pt>
                <c:pt idx="67">
                  <c:v>4.2537844902617939E-3</c:v>
                </c:pt>
                <c:pt idx="68">
                  <c:v>3.9024354437755459E-3</c:v>
                </c:pt>
                <c:pt idx="69">
                  <c:v>3.5414638920828962E-3</c:v>
                </c:pt>
                <c:pt idx="70">
                  <c:v>3.1708716702298265E-3</c:v>
                </c:pt>
                <c:pt idx="71">
                  <c:v>2.8056027199255436E-3</c:v>
                </c:pt>
                <c:pt idx="72">
                  <c:v>2.4672235874050861E-3</c:v>
                </c:pt>
                <c:pt idx="73">
                  <c:v>2.1557361854061662E-3</c:v>
                </c:pt>
                <c:pt idx="74">
                  <c:v>1.8711422367753928E-3</c:v>
                </c:pt>
                <c:pt idx="75">
                  <c:v>1.6134431749850876E-3</c:v>
                </c:pt>
                <c:pt idx="76">
                  <c:v>1.3826400446434045E-3</c:v>
                </c:pt>
                <c:pt idx="77">
                  <c:v>1.1787334020105795E-3</c:v>
                </c:pt>
                <c:pt idx="78">
                  <c:v>1.0017232487679912E-3</c:v>
                </c:pt>
                <c:pt idx="79">
                  <c:v>8.5357166994261019E-4</c:v>
                </c:pt>
                <c:pt idx="80">
                  <c:v>7.2233035621217963E-4</c:v>
                </c:pt>
                <c:pt idx="81">
                  <c:v>6.0799675244183125E-4</c:v>
                </c:pt>
                <c:pt idx="82">
                  <c:v>5.1056842280455947E-4</c:v>
                </c:pt>
                <c:pt idx="83">
                  <c:v>4.30042996652715E-4</c:v>
                </c:pt>
                <c:pt idx="84">
                  <c:v>3.6641811439113467E-4</c:v>
                </c:pt>
                <c:pt idx="85">
                  <c:v>3.2192009332147696E-4</c:v>
                </c:pt>
                <c:pt idx="86">
                  <c:v>2.8161354790775649E-4</c:v>
                </c:pt>
                <c:pt idx="87">
                  <c:v>2.4549795936359357E-4</c:v>
                </c:pt>
                <c:pt idx="88">
                  <c:v>2.135728001372422E-4</c:v>
                </c:pt>
                <c:pt idx="89">
                  <c:v>1.8583752049331078E-4</c:v>
                </c:pt>
                <c:pt idx="90">
                  <c:v>1.6229153509405826E-4</c:v>
                </c:pt>
                <c:pt idx="91">
                  <c:v>1.4293420958143153E-4</c:v>
                </c:pt>
                <c:pt idx="92">
                  <c:v>1.2776484715847563E-4</c:v>
                </c:pt>
                <c:pt idx="93">
                  <c:v>1.1914664540108039E-4</c:v>
                </c:pt>
                <c:pt idx="94">
                  <c:v>1.1512043464372332E-4</c:v>
                </c:pt>
                <c:pt idx="95">
                  <c:v>1.1568511062408146E-4</c:v>
                </c:pt>
                <c:pt idx="96">
                  <c:v>1.2083943730465275E-4</c:v>
                </c:pt>
                <c:pt idx="97">
                  <c:v>1.305820321531268E-4</c:v>
                </c:pt>
                <c:pt idx="98">
                  <c:v>1.4491135142173463E-4</c:v>
                </c:pt>
                <c:pt idx="99">
                  <c:v>1.6829955863213307E-4</c:v>
                </c:pt>
                <c:pt idx="100">
                  <c:v>1.9851714288816381E-4</c:v>
                </c:pt>
                <c:pt idx="101">
                  <c:v>2.355610727412304E-4</c:v>
                </c:pt>
                <c:pt idx="102">
                  <c:v>2.7942799500366763E-4</c:v>
                </c:pt>
                <c:pt idx="103">
                  <c:v>3.3011421281613256E-4</c:v>
                </c:pt>
                <c:pt idx="104">
                  <c:v>3.8761566372089769E-4</c:v>
                </c:pt>
                <c:pt idx="105">
                  <c:v>4.5192789772979949E-4</c:v>
                </c:pt>
                <c:pt idx="106">
                  <c:v>5.230460553955627E-4</c:v>
                </c:pt>
                <c:pt idx="107">
                  <c:v>6.0758798404916727E-4</c:v>
                </c:pt>
                <c:pt idx="108">
                  <c:v>7.0318485251610581E-4</c:v>
                </c:pt>
                <c:pt idx="109">
                  <c:v>8.0982784595308032E-4</c:v>
                </c:pt>
                <c:pt idx="110">
                  <c:v>9.2751003758150756E-4</c:v>
                </c:pt>
                <c:pt idx="111">
                  <c:v>1.0562252526411218E-3</c:v>
                </c:pt>
                <c:pt idx="112">
                  <c:v>1.1959649479400265E-3</c:v>
                </c:pt>
                <c:pt idx="113">
                  <c:v>1.3533469596132286E-3</c:v>
                </c:pt>
                <c:pt idx="114">
                  <c:v>1.5238950259221875E-3</c:v>
                </c:pt>
                <c:pt idx="115">
                  <c:v>1.7075977639962221E-3</c:v>
                </c:pt>
                <c:pt idx="116">
                  <c:v>1.9044432282836912E-3</c:v>
                </c:pt>
                <c:pt idx="117">
                  <c:v>2.1144188816098921E-3</c:v>
                </c:pt>
                <c:pt idx="118">
                  <c:v>2.3375115662201181E-3</c:v>
                </c:pt>
                <c:pt idx="119">
                  <c:v>2.5737074748265667E-3</c:v>
                </c:pt>
                <c:pt idx="120">
                  <c:v>2.8229921216507063E-3</c:v>
                </c:pt>
                <c:pt idx="121">
                  <c:v>3.0877947702777895E-3</c:v>
                </c:pt>
                <c:pt idx="122">
                  <c:v>3.3614962865327852E-3</c:v>
                </c:pt>
                <c:pt idx="123">
                  <c:v>3.6440832722076395E-3</c:v>
                </c:pt>
                <c:pt idx="124">
                  <c:v>3.9355417100223611E-3</c:v>
                </c:pt>
                <c:pt idx="125">
                  <c:v>4.2358569438098763E-3</c:v>
                </c:pt>
                <c:pt idx="126">
                  <c:v>4.5450136586520388E-3</c:v>
                </c:pt>
                <c:pt idx="127">
                  <c:v>4.8404325631444117E-3</c:v>
                </c:pt>
                <c:pt idx="128">
                  <c:v>5.1155163992494083E-3</c:v>
                </c:pt>
                <c:pt idx="129">
                  <c:v>5.3702758555031578E-3</c:v>
                </c:pt>
                <c:pt idx="130">
                  <c:v>5.6047223787452421E-3</c:v>
                </c:pt>
                <c:pt idx="131">
                  <c:v>5.8188682182209505E-3</c:v>
                </c:pt>
                <c:pt idx="132">
                  <c:v>6.0127264697267977E-3</c:v>
                </c:pt>
                <c:pt idx="133">
                  <c:v>6.1863111197945856E-3</c:v>
                </c:pt>
                <c:pt idx="134">
                  <c:v>6.3396370898486489E-3</c:v>
                </c:pt>
                <c:pt idx="135">
                  <c:v>6.4463305565397406E-3</c:v>
                </c:pt>
                <c:pt idx="136">
                  <c:v>6.5040056259299045E-3</c:v>
                </c:pt>
                <c:pt idx="137">
                  <c:v>6.5127147580104228E-3</c:v>
                </c:pt>
                <c:pt idx="138">
                  <c:v>6.472513314979042E-3</c:v>
                </c:pt>
                <c:pt idx="139">
                  <c:v>6.3834596689683609E-3</c:v>
                </c:pt>
                <c:pt idx="140">
                  <c:v>6.2456153094080325E-3</c:v>
                </c:pt>
                <c:pt idx="141">
                  <c:v>6.0673843171314898E-3</c:v>
                </c:pt>
                <c:pt idx="142">
                  <c:v>5.8712291356933857E-3</c:v>
                </c:pt>
                <c:pt idx="143">
                  <c:v>5.657157162104149E-3</c:v>
                </c:pt>
                <c:pt idx="144">
                  <c:v>5.425214611474099E-3</c:v>
                </c:pt>
                <c:pt idx="145">
                  <c:v>5.175448669207534E-3</c:v>
                </c:pt>
                <c:pt idx="146">
                  <c:v>4.9079072493343756E-3</c:v>
                </c:pt>
                <c:pt idx="147">
                  <c:v>4.6226387530252031E-3</c:v>
                </c:pt>
                <c:pt idx="148">
                  <c:v>4.3196918269744356E-3</c:v>
                </c:pt>
                <c:pt idx="149">
                  <c:v>4.0135195570540037E-3</c:v>
                </c:pt>
                <c:pt idx="150">
                  <c:v>3.7303469661966893E-3</c:v>
                </c:pt>
                <c:pt idx="151">
                  <c:v>3.4701489901655313E-3</c:v>
                </c:pt>
                <c:pt idx="152">
                  <c:v>3.2328976644974117E-3</c:v>
                </c:pt>
                <c:pt idx="153">
                  <c:v>3.0185624307658651E-3</c:v>
                </c:pt>
                <c:pt idx="154">
                  <c:v>2.827110442864769E-3</c:v>
                </c:pt>
                <c:pt idx="155">
                  <c:v>2.6609529586378456E-3</c:v>
                </c:pt>
                <c:pt idx="156">
                  <c:v>2.5117792568902881E-3</c:v>
                </c:pt>
                <c:pt idx="157">
                  <c:v>2.3795625143338221E-3</c:v>
                </c:pt>
                <c:pt idx="158">
                  <c:v>2.2642748993866222E-3</c:v>
                </c:pt>
                <c:pt idx="159">
                  <c:v>2.1658877995397708E-3</c:v>
                </c:pt>
                <c:pt idx="160">
                  <c:v>2.0843720487525989E-3</c:v>
                </c:pt>
                <c:pt idx="161">
                  <c:v>2.0196981548216172E-3</c:v>
                </c:pt>
                <c:pt idx="162">
                  <c:v>1.9718365267622153E-3</c:v>
                </c:pt>
                <c:pt idx="163">
                  <c:v>1.9417743048440223E-3</c:v>
                </c:pt>
                <c:pt idx="164">
                  <c:v>1.9152095971106337E-3</c:v>
                </c:pt>
                <c:pt idx="165">
                  <c:v>1.892138075122456E-3</c:v>
                </c:pt>
                <c:pt idx="166">
                  <c:v>1.8725554544434947E-3</c:v>
                </c:pt>
                <c:pt idx="167">
                  <c:v>1.8564575415519642E-3</c:v>
                </c:pt>
                <c:pt idx="168">
                  <c:v>1.8438402808113516E-3</c:v>
                </c:pt>
                <c:pt idx="169">
                  <c:v>1.8357128029717054E-3</c:v>
                </c:pt>
                <c:pt idx="170">
                  <c:v>1.8296459916440609E-3</c:v>
                </c:pt>
                <c:pt idx="171">
                  <c:v>1.8256387849504335E-3</c:v>
                </c:pt>
                <c:pt idx="172">
                  <c:v>1.8236903002596166E-3</c:v>
                </c:pt>
                <c:pt idx="173">
                  <c:v>1.8237812116328363E-3</c:v>
                </c:pt>
                <c:pt idx="174">
                  <c:v>1.8258913509084746E-3</c:v>
                </c:pt>
                <c:pt idx="175">
                  <c:v>1.8300187260060451E-3</c:v>
                </c:pt>
                <c:pt idx="176">
                  <c:v>1.8361613581811789E-3</c:v>
                </c:pt>
                <c:pt idx="177">
                  <c:v>1.8467324781923798E-3</c:v>
                </c:pt>
                <c:pt idx="178">
                  <c:v>1.8607182011499595E-3</c:v>
                </c:pt>
                <c:pt idx="179">
                  <c:v>1.8781145752870027E-3</c:v>
                </c:pt>
                <c:pt idx="180">
                  <c:v>1.8989177426582157E-3</c:v>
                </c:pt>
                <c:pt idx="181">
                  <c:v>1.9231239592298961E-3</c:v>
                </c:pt>
                <c:pt idx="182">
                  <c:v>1.9507296149861794E-3</c:v>
                </c:pt>
                <c:pt idx="183">
                  <c:v>1.9958600692367313E-3</c:v>
                </c:pt>
                <c:pt idx="184">
                  <c:v>2.0574864070975838E-3</c:v>
                </c:pt>
                <c:pt idx="185">
                  <c:v>2.1355872374437257E-3</c:v>
                </c:pt>
                <c:pt idx="186">
                  <c:v>2.2301419518560277E-3</c:v>
                </c:pt>
                <c:pt idx="187">
                  <c:v>2.3411308219944849E-3</c:v>
                </c:pt>
                <c:pt idx="188">
                  <c:v>2.4685350969876427E-3</c:v>
                </c:pt>
                <c:pt idx="189">
                  <c:v>2.6123371007506771E-3</c:v>
                </c:pt>
                <c:pt idx="190">
                  <c:v>2.7725203294043333E-3</c:v>
                </c:pt>
                <c:pt idx="191">
                  <c:v>2.9571862211700372E-3</c:v>
                </c:pt>
                <c:pt idx="192">
                  <c:v>3.1639124998538697E-3</c:v>
                </c:pt>
                <c:pt idx="193">
                  <c:v>3.3926801302105723E-3</c:v>
                </c:pt>
                <c:pt idx="194">
                  <c:v>3.6434720538922028E-3</c:v>
                </c:pt>
                <c:pt idx="195">
                  <c:v>3.9162733206714335E-3</c:v>
                </c:pt>
                <c:pt idx="196">
                  <c:v>4.2110712195383357E-3</c:v>
                </c:pt>
                <c:pt idx="197">
                  <c:v>4.5022918468844509E-3</c:v>
                </c:pt>
                <c:pt idx="198">
                  <c:v>4.7759128469628074E-3</c:v>
                </c:pt>
                <c:pt idx="199">
                  <c:v>5.0319664962258231E-3</c:v>
                </c:pt>
                <c:pt idx="200">
                  <c:v>5.2704841793726398E-3</c:v>
                </c:pt>
                <c:pt idx="201">
                  <c:v>5.4914962858610547E-3</c:v>
                </c:pt>
                <c:pt idx="202">
                  <c:v>5.6950321064388777E-3</c:v>
                </c:pt>
                <c:pt idx="203">
                  <c:v>5.8811197298027414E-3</c:v>
                </c:pt>
                <c:pt idx="204">
                  <c:v>6.0497761696863168E-3</c:v>
                </c:pt>
                <c:pt idx="205">
                  <c:v>6.1792640190992546E-3</c:v>
                </c:pt>
                <c:pt idx="206">
                  <c:v>6.2615363620333207E-3</c:v>
                </c:pt>
                <c:pt idx="207">
                  <c:v>6.2966255373202813E-3</c:v>
                </c:pt>
                <c:pt idx="208">
                  <c:v>6.2845599317052315E-3</c:v>
                </c:pt>
                <c:pt idx="209">
                  <c:v>6.2253641263334044E-3</c:v>
                </c:pt>
                <c:pt idx="210">
                  <c:v>6.1190590434468178E-3</c:v>
                </c:pt>
                <c:pt idx="211">
                  <c:v>5.9680117072268895E-3</c:v>
                </c:pt>
                <c:pt idx="212">
                  <c:v>5.7977086877399435E-3</c:v>
                </c:pt>
                <c:pt idx="213">
                  <c:v>5.6081502019118008E-3</c:v>
                </c:pt>
                <c:pt idx="214">
                  <c:v>5.3993353141141209E-3</c:v>
                </c:pt>
                <c:pt idx="215">
                  <c:v>5.1712619963458183E-3</c:v>
                </c:pt>
                <c:pt idx="216">
                  <c:v>4.9239271883927621E-3</c:v>
                </c:pt>
                <c:pt idx="217">
                  <c:v>4.6573268580059526E-3</c:v>
                </c:pt>
                <c:pt idx="218">
                  <c:v>4.3714560610494183E-3</c:v>
                </c:pt>
                <c:pt idx="219">
                  <c:v>4.0726616766661086E-3</c:v>
                </c:pt>
                <c:pt idx="220">
                  <c:v>3.782641700433765E-3</c:v>
                </c:pt>
                <c:pt idx="221">
                  <c:v>3.5013852330968293E-3</c:v>
                </c:pt>
                <c:pt idx="222">
                  <c:v>3.2288822184155953E-3</c:v>
                </c:pt>
                <c:pt idx="223">
                  <c:v>2.9651234161969823E-3</c:v>
                </c:pt>
                <c:pt idx="224">
                  <c:v>2.7101003752305688E-3</c:v>
                </c:pt>
                <c:pt idx="225">
                  <c:v>2.4701459138584056E-3</c:v>
                </c:pt>
                <c:pt idx="226">
                  <c:v>2.2429057589527521E-3</c:v>
                </c:pt>
                <c:pt idx="227">
                  <c:v>2.0283738656306995E-3</c:v>
                </c:pt>
                <c:pt idx="228">
                  <c:v>1.8265450339607369E-3</c:v>
                </c:pt>
                <c:pt idx="229">
                  <c:v>1.6374148694888774E-3</c:v>
                </c:pt>
                <c:pt idx="230">
                  <c:v>1.4609797438012715E-3</c:v>
                </c:pt>
                <c:pt idx="231">
                  <c:v>1.2972367550857617E-3</c:v>
                </c:pt>
                <c:pt idx="232">
                  <c:v>1.1461836886614855E-3</c:v>
                </c:pt>
                <c:pt idx="233">
                  <c:v>1.0120978322563337E-3</c:v>
                </c:pt>
                <c:pt idx="234">
                  <c:v>8.8862598258953056E-4</c:v>
                </c:pt>
                <c:pt idx="235">
                  <c:v>7.757681061810952E-4</c:v>
                </c:pt>
                <c:pt idx="236">
                  <c:v>6.7352452381114441E-4</c:v>
                </c:pt>
                <c:pt idx="237">
                  <c:v>5.8189525034357814E-4</c:v>
                </c:pt>
                <c:pt idx="238">
                  <c:v>5.0088066588791934E-4</c:v>
                </c:pt>
                <c:pt idx="239">
                  <c:v>4.3274204773093228E-4</c:v>
                </c:pt>
                <c:pt idx="240">
                  <c:v>3.7113653750129146E-4</c:v>
                </c:pt>
                <c:pt idx="241">
                  <c:v>3.1606458803868845E-4</c:v>
                </c:pt>
                <c:pt idx="242">
                  <c:v>2.6752690570619995E-4</c:v>
                </c:pt>
                <c:pt idx="243">
                  <c:v>2.2552446193779E-4</c:v>
                </c:pt>
                <c:pt idx="244">
                  <c:v>1.9005850478192909E-4</c:v>
                </c:pt>
                <c:pt idx="245">
                  <c:v>1.6113057044307759E-4</c:v>
                </c:pt>
                <c:pt idx="246">
                  <c:v>1.3874249482443443E-4</c:v>
                </c:pt>
                <c:pt idx="247">
                  <c:v>1.2502850151191764E-4</c:v>
                </c:pt>
                <c:pt idx="248">
                  <c:v>1.1570686515971974E-4</c:v>
                </c:pt>
                <c:pt idx="249">
                  <c:v>1.1077939367708605E-4</c:v>
                </c:pt>
                <c:pt idx="250">
                  <c:v>1.1024812496107771E-4</c:v>
                </c:pt>
                <c:pt idx="251">
                  <c:v>1.141153346480409E-4</c:v>
                </c:pt>
                <c:pt idx="252">
                  <c:v>1.2238354386025918E-4</c:v>
                </c:pt>
                <c:pt idx="253">
                  <c:v>1.3693147259579938E-4</c:v>
                </c:pt>
                <c:pt idx="254">
                  <c:v>1.5549783225493185E-4</c:v>
                </c:pt>
                <c:pt idx="255">
                  <c:v>1.7808572608119495E-4</c:v>
                </c:pt>
                <c:pt idx="256">
                  <c:v>2.0469851145641808E-4</c:v>
                </c:pt>
                <c:pt idx="257">
                  <c:v>2.3533980696245049E-4</c:v>
                </c:pt>
                <c:pt idx="258">
                  <c:v>2.7001349944394469E-4</c:v>
                </c:pt>
                <c:pt idx="259">
                  <c:v>3.0872375107536879E-4</c:v>
                </c:pt>
                <c:pt idx="260">
                  <c:v>3.5147500642088543E-4</c:v>
                </c:pt>
                <c:pt idx="261">
                  <c:v>4.1260112700188022E-4</c:v>
                </c:pt>
                <c:pt idx="262">
                  <c:v>4.8998061334588872E-4</c:v>
                </c:pt>
                <c:pt idx="263">
                  <c:v>5.8363045998525379E-4</c:v>
                </c:pt>
                <c:pt idx="264">
                  <c:v>6.9356885830301794E-4</c:v>
                </c:pt>
                <c:pt idx="265">
                  <c:v>8.1981960897292933E-4</c:v>
                </c:pt>
                <c:pt idx="266">
                  <c:v>9.6240828981027592E-4</c:v>
                </c:pt>
                <c:pt idx="267">
                  <c:v>1.1328429963014886E-3</c:v>
                </c:pt>
                <c:pt idx="268">
                  <c:v>1.3292788445925816E-3</c:v>
                </c:pt>
                <c:pt idx="269">
                  <c:v>1.5517549083925565E-3</c:v>
                </c:pt>
                <c:pt idx="270">
                  <c:v>1.8003119423206505E-3</c:v>
                </c:pt>
                <c:pt idx="271">
                  <c:v>2.0749920971816407E-3</c:v>
                </c:pt>
                <c:pt idx="272">
                  <c:v>2.3758386352753114E-3</c:v>
                </c:pt>
                <c:pt idx="273">
                  <c:v>2.7028956456830698E-3</c:v>
                </c:pt>
                <c:pt idx="274">
                  <c:v>3.0562077595828368E-3</c:v>
                </c:pt>
                <c:pt idx="275">
                  <c:v>3.4150252278144339E-3</c:v>
                </c:pt>
                <c:pt idx="276">
                  <c:v>3.7649469259502747E-3</c:v>
                </c:pt>
                <c:pt idx="277">
                  <c:v>4.1059640958039023E-3</c:v>
                </c:pt>
                <c:pt idx="278">
                  <c:v>4.4380660296417023E-3</c:v>
                </c:pt>
                <c:pt idx="279">
                  <c:v>4.7612401719471422E-3</c:v>
                </c:pt>
                <c:pt idx="280">
                  <c:v>5.0754722212260246E-3</c:v>
                </c:pt>
                <c:pt idx="281">
                  <c:v>5.3585815054991498E-3</c:v>
                </c:pt>
                <c:pt idx="282">
                  <c:v>5.5989505835579182E-3</c:v>
                </c:pt>
                <c:pt idx="283">
                  <c:v>5.7965075204414384E-3</c:v>
                </c:pt>
                <c:pt idx="284">
                  <c:v>5.9511790888719411E-3</c:v>
                </c:pt>
                <c:pt idx="285">
                  <c:v>6.0628912401290078E-3</c:v>
                </c:pt>
                <c:pt idx="286">
                  <c:v>6.1315695749809239E-3</c:v>
                </c:pt>
                <c:pt idx="287">
                  <c:v>6.157139814557927E-3</c:v>
                </c:pt>
                <c:pt idx="288">
                  <c:v>6.139528271247096E-3</c:v>
                </c:pt>
                <c:pt idx="289">
                  <c:v>6.0815636008611012E-3</c:v>
                </c:pt>
                <c:pt idx="290">
                  <c:v>6.0041341455355285E-3</c:v>
                </c:pt>
                <c:pt idx="291">
                  <c:v>5.9072059736883682E-3</c:v>
                </c:pt>
                <c:pt idx="292">
                  <c:v>5.7907464038282853E-3</c:v>
                </c:pt>
                <c:pt idx="293">
                  <c:v>5.654724215550383E-3</c:v>
                </c:pt>
                <c:pt idx="294">
                  <c:v>5.499109860507982E-3</c:v>
                </c:pt>
                <c:pt idx="295">
                  <c:v>5.3345738087609579E-3</c:v>
                </c:pt>
                <c:pt idx="296">
                  <c:v>5.1834975257259918E-3</c:v>
                </c:pt>
                <c:pt idx="297">
                  <c:v>5.0459366942999292E-3</c:v>
                </c:pt>
                <c:pt idx="298">
                  <c:v>4.9219025851586912E-3</c:v>
                </c:pt>
                <c:pt idx="299">
                  <c:v>4.8114074378559548E-3</c:v>
                </c:pt>
                <c:pt idx="300">
                  <c:v>4.7144643350832743E-3</c:v>
                </c:pt>
                <c:pt idx="301">
                  <c:v>4.6310870769149821E-3</c:v>
                </c:pt>
                <c:pt idx="302">
                  <c:v>4.5612900550640722E-3</c:v>
                </c:pt>
                <c:pt idx="303">
                  <c:v>4.5127057720347787E-3</c:v>
                </c:pt>
                <c:pt idx="304">
                  <c:v>4.4824384512255335E-3</c:v>
                </c:pt>
                <c:pt idx="305">
                  <c:v>4.4705101985360752E-3</c:v>
                </c:pt>
                <c:pt idx="306">
                  <c:v>4.4769431370034257E-3</c:v>
                </c:pt>
                <c:pt idx="307">
                  <c:v>4.501759237815036E-3</c:v>
                </c:pt>
                <c:pt idx="308">
                  <c:v>4.5449801512843103E-3</c:v>
                </c:pt>
                <c:pt idx="309">
                  <c:v>4.6108433769298778E-3</c:v>
                </c:pt>
                <c:pt idx="310">
                  <c:v>4.6886022782172748E-3</c:v>
                </c:pt>
                <c:pt idx="311">
                  <c:v>4.7782675734879924E-3</c:v>
                </c:pt>
                <c:pt idx="312">
                  <c:v>4.8798492457279435E-3</c:v>
                </c:pt>
                <c:pt idx="313">
                  <c:v>4.9933564337421152E-3</c:v>
                </c:pt>
                <c:pt idx="314">
                  <c:v>5.1187973232851534E-3</c:v>
                </c:pt>
                <c:pt idx="315">
                  <c:v>5.2561790382542467E-3</c:v>
                </c:pt>
                <c:pt idx="316">
                  <c:v>5.4055075318046441E-3</c:v>
                </c:pt>
                <c:pt idx="317">
                  <c:v>5.566026570940661E-3</c:v>
                </c:pt>
                <c:pt idx="318">
                  <c:v>5.7300701480609614E-3</c:v>
                </c:pt>
                <c:pt idx="319">
                  <c:v>5.8976307701982134E-3</c:v>
                </c:pt>
                <c:pt idx="320">
                  <c:v>6.0687000661246949E-3</c:v>
                </c:pt>
                <c:pt idx="321">
                  <c:v>6.2432687546185228E-3</c:v>
                </c:pt>
                <c:pt idx="322">
                  <c:v>6.4213266127597307E-3</c:v>
                </c:pt>
                <c:pt idx="323">
                  <c:v>6.5961407955582689E-3</c:v>
                </c:pt>
                <c:pt idx="324">
                  <c:v>6.7634524965830235E-3</c:v>
                </c:pt>
                <c:pt idx="325">
                  <c:v>6.9232396404255358E-3</c:v>
                </c:pt>
                <c:pt idx="326">
                  <c:v>7.0754363671403841E-3</c:v>
                </c:pt>
                <c:pt idx="327">
                  <c:v>7.2200034661169515E-3</c:v>
                </c:pt>
                <c:pt idx="328">
                  <c:v>7.3569389609844721E-3</c:v>
                </c:pt>
                <c:pt idx="329">
                  <c:v>7.4862432520306256E-3</c:v>
                </c:pt>
                <c:pt idx="330">
                  <c:v>7.6079189602136698E-3</c:v>
                </c:pt>
                <c:pt idx="331">
                  <c:v>7.715638432527862E-3</c:v>
                </c:pt>
                <c:pt idx="332">
                  <c:v>7.8101701893930437E-3</c:v>
                </c:pt>
                <c:pt idx="333">
                  <c:v>7.8915215384070207E-3</c:v>
                </c:pt>
                <c:pt idx="334">
                  <c:v>7.959701818346156E-3</c:v>
                </c:pt>
                <c:pt idx="335">
                  <c:v>8.0147221274707893E-3</c:v>
                </c:pt>
                <c:pt idx="336">
                  <c:v>8.056595051727837E-3</c:v>
                </c:pt>
                <c:pt idx="337">
                  <c:v>8.0866047748607908E-3</c:v>
                </c:pt>
                <c:pt idx="338">
                  <c:v>8.1115013698576204E-3</c:v>
                </c:pt>
                <c:pt idx="339">
                  <c:v>8.1313008384489814E-3</c:v>
                </c:pt>
                <c:pt idx="340">
                  <c:v>8.1460194931172146E-3</c:v>
                </c:pt>
                <c:pt idx="341">
                  <c:v>8.1556738518252132E-3</c:v>
                </c:pt>
                <c:pt idx="342">
                  <c:v>8.1602805327392058E-3</c:v>
                </c:pt>
                <c:pt idx="343">
                  <c:v>8.159856148852989E-3</c:v>
                </c:pt>
                <c:pt idx="344">
                  <c:v>8.1544172027402124E-3</c:v>
                </c:pt>
                <c:pt idx="345">
                  <c:v>8.1439799812206629E-3</c:v>
                </c:pt>
                <c:pt idx="346">
                  <c:v>8.1351082493101527E-3</c:v>
                </c:pt>
                <c:pt idx="347">
                  <c:v>8.1278188510660061E-3</c:v>
                </c:pt>
                <c:pt idx="348">
                  <c:v>8.1221286701134553E-3</c:v>
                </c:pt>
                <c:pt idx="349">
                  <c:v>8.1180546603835738E-3</c:v>
                </c:pt>
                <c:pt idx="350">
                  <c:v>8.1156138770414488E-3</c:v>
                </c:pt>
                <c:pt idx="351">
                  <c:v>8.1150348582835381E-3</c:v>
                </c:pt>
                <c:pt idx="352">
                  <c:v>8.1150634730165292E-3</c:v>
                </c:pt>
                <c:pt idx="353">
                  <c:v>8.1157166928756339E-3</c:v>
                </c:pt>
                <c:pt idx="354">
                  <c:v>8.1170115441058024E-3</c:v>
                </c:pt>
                <c:pt idx="355">
                  <c:v>8.1189651159378328E-3</c:v>
                </c:pt>
                <c:pt idx="356">
                  <c:v>8.1216001818670471E-3</c:v>
                </c:pt>
                <c:pt idx="357">
                  <c:v>8.1249158850890228E-3</c:v>
                </c:pt>
                <c:pt idx="358">
                  <c:v>8.1288918736913129E-3</c:v>
                </c:pt>
                <c:pt idx="359">
                  <c:v>8.1335078586589893E-3</c:v>
                </c:pt>
                <c:pt idx="360">
                  <c:v>8.1400180993009639E-3</c:v>
                </c:pt>
                <c:pt idx="361">
                  <c:v>8.1481919916032639E-3</c:v>
                </c:pt>
                <c:pt idx="362">
                  <c:v>8.1580107920499953E-3</c:v>
                </c:pt>
                <c:pt idx="363">
                  <c:v>8.1694558672716702E-3</c:v>
                </c:pt>
                <c:pt idx="364">
                  <c:v>8.1825086561444077E-3</c:v>
                </c:pt>
                <c:pt idx="365">
                  <c:v>8.1971506317892323E-3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1.1240540101526794E-2</c:v>
                </c:pt>
                <c:pt idx="1">
                  <c:v>1.1247093936795637E-2</c:v>
                </c:pt>
                <c:pt idx="2">
                  <c:v>1.1249500322103215E-2</c:v>
                </c:pt>
                <c:pt idx="3">
                  <c:v>1.1247724483916074E-2</c:v>
                </c:pt>
                <c:pt idx="4">
                  <c:v>1.1241731613131174E-2</c:v>
                </c:pt>
                <c:pt idx="5">
                  <c:v>1.1231486972610727E-2</c:v>
                </c:pt>
                <c:pt idx="6">
                  <c:v>1.1216956004860655E-2</c:v>
                </c:pt>
                <c:pt idx="7">
                  <c:v>1.1198104439455996E-2</c:v>
                </c:pt>
                <c:pt idx="8">
                  <c:v>1.1174898400623868E-2</c:v>
                </c:pt>
                <c:pt idx="9">
                  <c:v>1.1141497201004921E-2</c:v>
                </c:pt>
                <c:pt idx="10">
                  <c:v>1.1097042271096147E-2</c:v>
                </c:pt>
                <c:pt idx="11">
                  <c:v>1.1041493603481684E-2</c:v>
                </c:pt>
                <c:pt idx="12">
                  <c:v>1.0974812847639431E-2</c:v>
                </c:pt>
                <c:pt idx="13">
                  <c:v>1.0896963585982165E-2</c:v>
                </c:pt>
                <c:pt idx="14">
                  <c:v>1.0807911609712619E-2</c:v>
                </c:pt>
                <c:pt idx="15">
                  <c:v>1.0702518521655499E-2</c:v>
                </c:pt>
                <c:pt idx="16">
                  <c:v>1.058581193171463E-2</c:v>
                </c:pt>
                <c:pt idx="17">
                  <c:v>1.0457766368971578E-2</c:v>
                </c:pt>
                <c:pt idx="18">
                  <c:v>1.0318359736971086E-2</c:v>
                </c:pt>
                <c:pt idx="19">
                  <c:v>1.0167630304771681E-2</c:v>
                </c:pt>
                <c:pt idx="20">
                  <c:v>1.0005641865551591E-2</c:v>
                </c:pt>
                <c:pt idx="21">
                  <c:v>9.8324139705064199E-3</c:v>
                </c:pt>
                <c:pt idx="22">
                  <c:v>9.6479669473680512E-3</c:v>
                </c:pt>
                <c:pt idx="23">
                  <c:v>9.4530789510510419E-3</c:v>
                </c:pt>
                <c:pt idx="24">
                  <c:v>9.2536013994746254E-3</c:v>
                </c:pt>
                <c:pt idx="25">
                  <c:v>9.0495571989428914E-3</c:v>
                </c:pt>
                <c:pt idx="26">
                  <c:v>8.8409687590061108E-3</c:v>
                </c:pt>
                <c:pt idx="27">
                  <c:v>8.6278579378884033E-3</c:v>
                </c:pt>
                <c:pt idx="28">
                  <c:v>8.4102459881098685E-3</c:v>
                </c:pt>
                <c:pt idx="29">
                  <c:v>8.1978939979146549E-3</c:v>
                </c:pt>
                <c:pt idx="30">
                  <c:v>7.9959363233058217E-3</c:v>
                </c:pt>
                <c:pt idx="31">
                  <c:v>7.8043901317863141E-3</c:v>
                </c:pt>
                <c:pt idx="32">
                  <c:v>7.623270839296219E-3</c:v>
                </c:pt>
                <c:pt idx="33">
                  <c:v>7.4525922414337593E-3</c:v>
                </c:pt>
                <c:pt idx="34">
                  <c:v>7.2923666447113344E-3</c:v>
                </c:pt>
                <c:pt idx="35">
                  <c:v>7.1426049978031043E-3</c:v>
                </c:pt>
                <c:pt idx="36">
                  <c:v>7.0033170227768986E-3</c:v>
                </c:pt>
                <c:pt idx="37">
                  <c:v>6.8890569885262576E-3</c:v>
                </c:pt>
                <c:pt idx="38">
                  <c:v>6.799071887076946E-3</c:v>
                </c:pt>
                <c:pt idx="39">
                  <c:v>6.7333648018912716E-3</c:v>
                </c:pt>
                <c:pt idx="40">
                  <c:v>6.6919381084241886E-3</c:v>
                </c:pt>
                <c:pt idx="41">
                  <c:v>6.6747937778544059E-3</c:v>
                </c:pt>
                <c:pt idx="42">
                  <c:v>6.6819336807681833E-3</c:v>
                </c:pt>
                <c:pt idx="43">
                  <c:v>6.7266575417611035E-3</c:v>
                </c:pt>
                <c:pt idx="44">
                  <c:v>6.7992345857746019E-3</c:v>
                </c:pt>
                <c:pt idx="45">
                  <c:v>6.8996676100154799E-3</c:v>
                </c:pt>
                <c:pt idx="46">
                  <c:v>7.0279607325951969E-3</c:v>
                </c:pt>
                <c:pt idx="47">
                  <c:v>7.1841197409029979E-3</c:v>
                </c:pt>
                <c:pt idx="48">
                  <c:v>7.3681524398893101E-3</c:v>
                </c:pt>
                <c:pt idx="49">
                  <c:v>7.5800690004120081E-3</c:v>
                </c:pt>
                <c:pt idx="50">
                  <c:v>7.8198823075387308E-3</c:v>
                </c:pt>
                <c:pt idx="51">
                  <c:v>8.0758303325446749E-3</c:v>
                </c:pt>
                <c:pt idx="52">
                  <c:v>8.3333549546646055E-3</c:v>
                </c:pt>
                <c:pt idx="53">
                  <c:v>8.5924169895658046E-3</c:v>
                </c:pt>
                <c:pt idx="54">
                  <c:v>8.8530156580649017E-3</c:v>
                </c:pt>
                <c:pt idx="55">
                  <c:v>9.1151498225135099E-3</c:v>
                </c:pt>
                <c:pt idx="56">
                  <c:v>9.3788179811937298E-3</c:v>
                </c:pt>
                <c:pt idx="57">
                  <c:v>9.6054201138076022E-3</c:v>
                </c:pt>
                <c:pt idx="58">
                  <c:v>9.7816614401528921E-3</c:v>
                </c:pt>
                <c:pt idx="59">
                  <c:v>9.9075382299763683E-3</c:v>
                </c:pt>
                <c:pt idx="60">
                  <c:v>9.9830462204389056E-3</c:v>
                </c:pt>
                <c:pt idx="61">
                  <c:v>1.0008180802490845E-2</c:v>
                </c:pt>
                <c:pt idx="62">
                  <c:v>9.9829372072323449E-3</c:v>
                </c:pt>
                <c:pt idx="63">
                  <c:v>9.9073106923037411E-3</c:v>
                </c:pt>
                <c:pt idx="64">
                  <c:v>9.7812967282360896E-3</c:v>
                </c:pt>
                <c:pt idx="65">
                  <c:v>9.5901131014501217E-3</c:v>
                </c:pt>
                <c:pt idx="66">
                  <c:v>9.345534612336991E-3</c:v>
                </c:pt>
                <c:pt idx="67">
                  <c:v>9.0475585635559075E-3</c:v>
                </c:pt>
                <c:pt idx="68">
                  <c:v>8.6961832795598732E-3</c:v>
                </c:pt>
                <c:pt idx="69">
                  <c:v>8.2914083040345112E-3</c:v>
                </c:pt>
                <c:pt idx="70">
                  <c:v>7.8332345973806845E-3</c:v>
                </c:pt>
                <c:pt idx="71">
                  <c:v>7.3400522912859568E-3</c:v>
                </c:pt>
                <c:pt idx="72">
                  <c:v>6.8504638623203213E-3</c:v>
                </c:pt>
                <c:pt idx="73">
                  <c:v>6.3644723643544489E-3</c:v>
                </c:pt>
                <c:pt idx="74">
                  <c:v>5.8820814829078794E-3</c:v>
                </c:pt>
                <c:pt idx="75">
                  <c:v>5.4032955218046306E-3</c:v>
                </c:pt>
                <c:pt idx="76">
                  <c:v>4.9281193898092308E-3</c:v>
                </c:pt>
                <c:pt idx="77">
                  <c:v>4.4565585872817625E-3</c:v>
                </c:pt>
                <c:pt idx="78">
                  <c:v>3.9886193252412312E-3</c:v>
                </c:pt>
                <c:pt idx="79">
                  <c:v>3.5395260135431521E-3</c:v>
                </c:pt>
                <c:pt idx="80">
                  <c:v>3.124060103891586E-3</c:v>
                </c:pt>
                <c:pt idx="81">
                  <c:v>2.7422160512367813E-3</c:v>
                </c:pt>
                <c:pt idx="82">
                  <c:v>2.3939887456681085E-3</c:v>
                </c:pt>
                <c:pt idx="83">
                  <c:v>2.0793734048200753E-3</c:v>
                </c:pt>
                <c:pt idx="84">
                  <c:v>1.7983654662859444E-3</c:v>
                </c:pt>
                <c:pt idx="85">
                  <c:v>1.5578740961287472E-3</c:v>
                </c:pt>
                <c:pt idx="86">
                  <c:v>1.3395170810359483E-3</c:v>
                </c:pt>
                <c:pt idx="87">
                  <c:v>1.1432917633176303E-3</c:v>
                </c:pt>
                <c:pt idx="88">
                  <c:v>9.6919544607577826E-4</c:v>
                </c:pt>
                <c:pt idx="89">
                  <c:v>8.1722532234769583E-4</c:v>
                </c:pt>
                <c:pt idx="90">
                  <c:v>6.8737840424751891E-4</c:v>
                </c:pt>
                <c:pt idx="91">
                  <c:v>5.7965145211103008E-4</c:v>
                </c:pt>
                <c:pt idx="92">
                  <c:v>4.9404090363756642E-4</c:v>
                </c:pt>
                <c:pt idx="93">
                  <c:v>4.3544690262205081E-4</c:v>
                </c:pt>
                <c:pt idx="94">
                  <c:v>3.886733909455405E-4</c:v>
                </c:pt>
                <c:pt idx="95">
                  <c:v>3.5371800549560743E-4</c:v>
                </c:pt>
                <c:pt idx="96">
                  <c:v>3.3057809078561844E-4</c:v>
                </c:pt>
                <c:pt idx="97">
                  <c:v>3.1925066108124344E-4</c:v>
                </c:pt>
                <c:pt idx="98">
                  <c:v>3.1973236252357077E-4</c:v>
                </c:pt>
                <c:pt idx="99">
                  <c:v>3.3755292122852703E-4</c:v>
                </c:pt>
                <c:pt idx="100">
                  <c:v>3.6580088136153194E-4</c:v>
                </c:pt>
                <c:pt idx="101">
                  <c:v>4.0447194830137709E-4</c:v>
                </c:pt>
                <c:pt idx="102">
                  <c:v>4.5356135927091798E-4</c:v>
                </c:pt>
                <c:pt idx="103">
                  <c:v>5.1306384986021098E-4</c:v>
                </c:pt>
                <c:pt idx="104">
                  <c:v>5.8297362055953483E-4</c:v>
                </c:pt>
                <c:pt idx="105">
                  <c:v>6.6328430328340402E-4</c:v>
                </c:pt>
                <c:pt idx="106">
                  <c:v>7.5398892790009111E-4</c:v>
                </c:pt>
                <c:pt idx="107">
                  <c:v>8.6247810190995559E-4</c:v>
                </c:pt>
                <c:pt idx="108">
                  <c:v>9.8384468901374232E-4</c:v>
                </c:pt>
                <c:pt idx="109">
                  <c:v>1.1180780899505247E-3</c:v>
                </c:pt>
                <c:pt idx="110">
                  <c:v>1.265170417796206E-3</c:v>
                </c:pt>
                <c:pt idx="111">
                  <c:v>1.4251147762560526E-3</c:v>
                </c:pt>
                <c:pt idx="112">
                  <c:v>1.5979010378974776E-3</c:v>
                </c:pt>
                <c:pt idx="113">
                  <c:v>1.7909715684181571E-3</c:v>
                </c:pt>
                <c:pt idx="114">
                  <c:v>1.9987908994512503E-3</c:v>
                </c:pt>
                <c:pt idx="115">
                  <c:v>2.2213459589458138E-3</c:v>
                </c:pt>
                <c:pt idx="116">
                  <c:v>2.4586230295421496E-3</c:v>
                </c:pt>
                <c:pt idx="117">
                  <c:v>2.7106077161340551E-3</c:v>
                </c:pt>
                <c:pt idx="118">
                  <c:v>2.9772849134115484E-3</c:v>
                </c:pt>
                <c:pt idx="119">
                  <c:v>3.2586387734086929E-3</c:v>
                </c:pt>
                <c:pt idx="120">
                  <c:v>3.554652673045707E-3</c:v>
                </c:pt>
                <c:pt idx="121">
                  <c:v>3.8701797052593523E-3</c:v>
                </c:pt>
                <c:pt idx="122">
                  <c:v>4.1978239743098288E-3</c:v>
                </c:pt>
                <c:pt idx="123">
                  <c:v>4.5375682528880105E-3</c:v>
                </c:pt>
                <c:pt idx="124">
                  <c:v>4.8893945113420052E-3</c:v>
                </c:pt>
                <c:pt idx="125">
                  <c:v>5.2532838907483111E-3</c:v>
                </c:pt>
                <c:pt idx="126">
                  <c:v>5.629216675922072E-3</c:v>
                </c:pt>
                <c:pt idx="127">
                  <c:v>6.0025242994067949E-3</c:v>
                </c:pt>
                <c:pt idx="128">
                  <c:v>6.3657743923936951E-3</c:v>
                </c:pt>
                <c:pt idx="129">
                  <c:v>6.7189657156103318E-3</c:v>
                </c:pt>
                <c:pt idx="130">
                  <c:v>7.0620971961192812E-3</c:v>
                </c:pt>
                <c:pt idx="131">
                  <c:v>7.3951679487261274E-3</c:v>
                </c:pt>
                <c:pt idx="132">
                  <c:v>7.71817729744027E-3</c:v>
                </c:pt>
                <c:pt idx="133">
                  <c:v>8.0311247969847965E-3</c:v>
                </c:pt>
                <c:pt idx="134">
                  <c:v>8.3340102542735339E-3</c:v>
                </c:pt>
                <c:pt idx="135">
                  <c:v>8.5929727721860017E-3</c:v>
                </c:pt>
                <c:pt idx="136">
                  <c:v>8.8032038573290956E-3</c:v>
                </c:pt>
                <c:pt idx="137">
                  <c:v>8.9647504467386709E-3</c:v>
                </c:pt>
                <c:pt idx="138">
                  <c:v>9.077662219060827E-3</c:v>
                </c:pt>
                <c:pt idx="139">
                  <c:v>9.1419917014119809E-3</c:v>
                </c:pt>
                <c:pt idx="140">
                  <c:v>9.1577943757313995E-3</c:v>
                </c:pt>
                <c:pt idx="141">
                  <c:v>9.1122098404426768E-3</c:v>
                </c:pt>
                <c:pt idx="142">
                  <c:v>9.0198338656209305E-3</c:v>
                </c:pt>
                <c:pt idx="143">
                  <c:v>8.8806922021184044E-3</c:v>
                </c:pt>
                <c:pt idx="144">
                  <c:v>8.6948711130040626E-3</c:v>
                </c:pt>
                <c:pt idx="145">
                  <c:v>8.4624616052608147E-3</c:v>
                </c:pt>
                <c:pt idx="146">
                  <c:v>8.1835588024322323E-3</c:v>
                </c:pt>
                <c:pt idx="147">
                  <c:v>7.8582613175632535E-3</c:v>
                </c:pt>
                <c:pt idx="148">
                  <c:v>7.4866706259303674E-3</c:v>
                </c:pt>
                <c:pt idx="149">
                  <c:v>7.0859112590084365E-3</c:v>
                </c:pt>
                <c:pt idx="150">
                  <c:v>6.6896786272229542E-3</c:v>
                </c:pt>
                <c:pt idx="151">
                  <c:v>6.2979880213308382E-3</c:v>
                </c:pt>
                <c:pt idx="152">
                  <c:v>5.9108523623620174E-3</c:v>
                </c:pt>
                <c:pt idx="153">
                  <c:v>5.5282822576316493E-3</c:v>
                </c:pt>
                <c:pt idx="154">
                  <c:v>5.1502860567900471E-3</c:v>
                </c:pt>
                <c:pt idx="155">
                  <c:v>4.7903028235948613E-3</c:v>
                </c:pt>
                <c:pt idx="156">
                  <c:v>4.4611220131572909E-3</c:v>
                </c:pt>
                <c:pt idx="157">
                  <c:v>4.1626955933620879E-3</c:v>
                </c:pt>
                <c:pt idx="158">
                  <c:v>3.8949733865449847E-3</c:v>
                </c:pt>
                <c:pt idx="159">
                  <c:v>3.6579034808541014E-3</c:v>
                </c:pt>
                <c:pt idx="160">
                  <c:v>3.4514326416616166E-3</c:v>
                </c:pt>
                <c:pt idx="161">
                  <c:v>3.2755067229294768E-3</c:v>
                </c:pt>
                <c:pt idx="162">
                  <c:v>3.1300710785974518E-3</c:v>
                </c:pt>
                <c:pt idx="163">
                  <c:v>3.0172616796772835E-3</c:v>
                </c:pt>
                <c:pt idx="164">
                  <c:v>2.9201570274115783E-3</c:v>
                </c:pt>
                <c:pt idx="165">
                  <c:v>2.838730254944776E-3</c:v>
                </c:pt>
                <c:pt idx="166">
                  <c:v>2.7729547979366367E-3</c:v>
                </c:pt>
                <c:pt idx="167">
                  <c:v>2.7228046061489376E-3</c:v>
                </c:pt>
                <c:pt idx="168">
                  <c:v>2.688254355122884E-3</c:v>
                </c:pt>
                <c:pt idx="169">
                  <c:v>2.6714626034304691E-3</c:v>
                </c:pt>
                <c:pt idx="170">
                  <c:v>2.65909191736419E-3</c:v>
                </c:pt>
                <c:pt idx="171">
                  <c:v>2.6511382551179293E-3</c:v>
                </c:pt>
                <c:pt idx="172">
                  <c:v>2.6475979611464921E-3</c:v>
                </c:pt>
                <c:pt idx="173">
                  <c:v>2.6484407424858772E-3</c:v>
                </c:pt>
                <c:pt idx="174">
                  <c:v>2.6536351596754357E-3</c:v>
                </c:pt>
                <c:pt idx="175">
                  <c:v>2.6631761690545739E-3</c:v>
                </c:pt>
                <c:pt idx="176">
                  <c:v>2.6770587556894398E-3</c:v>
                </c:pt>
                <c:pt idx="177">
                  <c:v>2.7085411787783177E-3</c:v>
                </c:pt>
                <c:pt idx="178">
                  <c:v>2.7554257211678764E-3</c:v>
                </c:pt>
                <c:pt idx="179">
                  <c:v>2.8176911279452635E-3</c:v>
                </c:pt>
                <c:pt idx="180">
                  <c:v>2.8953165225704541E-3</c:v>
                </c:pt>
                <c:pt idx="181">
                  <c:v>2.9882814974831629E-3</c:v>
                </c:pt>
                <c:pt idx="182">
                  <c:v>3.0965662047339176E-3</c:v>
                </c:pt>
                <c:pt idx="183">
                  <c:v>3.2368465848248507E-3</c:v>
                </c:pt>
                <c:pt idx="184">
                  <c:v>3.4069137270774041E-3</c:v>
                </c:pt>
                <c:pt idx="185">
                  <c:v>3.6067297628127018E-3</c:v>
                </c:pt>
                <c:pt idx="186">
                  <c:v>3.8362583770414935E-3</c:v>
                </c:pt>
                <c:pt idx="187">
                  <c:v>4.0954649846334954E-3</c:v>
                </c:pt>
                <c:pt idx="188">
                  <c:v>4.3843169065170577E-3</c:v>
                </c:pt>
                <c:pt idx="189">
                  <c:v>4.7027835457540378E-3</c:v>
                </c:pt>
                <c:pt idx="190">
                  <c:v>5.0508365637914757E-3</c:v>
                </c:pt>
                <c:pt idx="191">
                  <c:v>5.4158760979673599E-3</c:v>
                </c:pt>
                <c:pt idx="192">
                  <c:v>5.7847236797627785E-3</c:v>
                </c:pt>
                <c:pt idx="193">
                  <c:v>6.1573894610369717E-3</c:v>
                </c:pt>
                <c:pt idx="194">
                  <c:v>6.5338847428064277E-3</c:v>
                </c:pt>
                <c:pt idx="195">
                  <c:v>6.9142219993738718E-3</c:v>
                </c:pt>
                <c:pt idx="196">
                  <c:v>7.2984149022270062E-3</c:v>
                </c:pt>
                <c:pt idx="197">
                  <c:v>7.6536774234410116E-3</c:v>
                </c:pt>
                <c:pt idx="198">
                  <c:v>7.9634682631201607E-3</c:v>
                </c:pt>
                <c:pt idx="199">
                  <c:v>8.2278515342303835E-3</c:v>
                </c:pt>
                <c:pt idx="200">
                  <c:v>8.4468880817823618E-3</c:v>
                </c:pt>
                <c:pt idx="201">
                  <c:v>8.6206352141840331E-3</c:v>
                </c:pt>
                <c:pt idx="202">
                  <c:v>8.7491464346314152E-3</c:v>
                </c:pt>
                <c:pt idx="203">
                  <c:v>8.8324711726957394E-3</c:v>
                </c:pt>
                <c:pt idx="204">
                  <c:v>8.8706401910043902E-3</c:v>
                </c:pt>
                <c:pt idx="205">
                  <c:v>8.8495554625425497E-3</c:v>
                </c:pt>
                <c:pt idx="206">
                  <c:v>8.7817682715867051E-3</c:v>
                </c:pt>
                <c:pt idx="207">
                  <c:v>8.6673036814961593E-3</c:v>
                </c:pt>
                <c:pt idx="208">
                  <c:v>8.5061830223268665E-3</c:v>
                </c:pt>
                <c:pt idx="209">
                  <c:v>8.2984240360210668E-3</c:v>
                </c:pt>
                <c:pt idx="210">
                  <c:v>8.0440410218826051E-3</c:v>
                </c:pt>
                <c:pt idx="211">
                  <c:v>7.7477265340313095E-3</c:v>
                </c:pt>
                <c:pt idx="212">
                  <c:v>7.442171832725975E-3</c:v>
                </c:pt>
                <c:pt idx="213">
                  <c:v>7.1273675686541037E-3</c:v>
                </c:pt>
                <c:pt idx="214">
                  <c:v>6.8033041078565705E-3</c:v>
                </c:pt>
                <c:pt idx="215">
                  <c:v>6.4699715610103924E-3</c:v>
                </c:pt>
                <c:pt idx="216">
                  <c:v>6.1273598126830092E-3</c:v>
                </c:pt>
                <c:pt idx="217">
                  <c:v>5.7754585506094129E-3</c:v>
                </c:pt>
                <c:pt idx="218">
                  <c:v>5.4142572949314773E-3</c:v>
                </c:pt>
                <c:pt idx="219">
                  <c:v>5.0508901179402944E-3</c:v>
                </c:pt>
                <c:pt idx="220">
                  <c:v>4.6994362990423399E-3</c:v>
                </c:pt>
                <c:pt idx="221">
                  <c:v>4.359882386882453E-3</c:v>
                </c:pt>
                <c:pt idx="222">
                  <c:v>4.0322160226653843E-3</c:v>
                </c:pt>
                <c:pt idx="223">
                  <c:v>3.7164259035008538E-3</c:v>
                </c:pt>
                <c:pt idx="224">
                  <c:v>3.412501745630972E-3</c:v>
                </c:pt>
                <c:pt idx="225">
                  <c:v>3.1275167553447255E-3</c:v>
                </c:pt>
                <c:pt idx="226">
                  <c:v>2.8567856411218628E-3</c:v>
                </c:pt>
                <c:pt idx="227">
                  <c:v>2.6003011509228629E-3</c:v>
                </c:pt>
                <c:pt idx="228">
                  <c:v>2.3580569997031999E-3</c:v>
                </c:pt>
                <c:pt idx="229">
                  <c:v>2.1300478251650786E-3</c:v>
                </c:pt>
                <c:pt idx="230">
                  <c:v>1.9162691435556335E-3</c:v>
                </c:pt>
                <c:pt idx="231">
                  <c:v>1.716717305464376E-3</c:v>
                </c:pt>
                <c:pt idx="232">
                  <c:v>1.5313894515788008E-3</c:v>
                </c:pt>
                <c:pt idx="233">
                  <c:v>1.3655757350608401E-3</c:v>
                </c:pt>
                <c:pt idx="234">
                  <c:v>1.2121306078680173E-3</c:v>
                </c:pt>
                <c:pt idx="235">
                  <c:v>1.071053961330132E-3</c:v>
                </c:pt>
                <c:pt idx="236">
                  <c:v>9.4234613174766458E-4</c:v>
                </c:pt>
                <c:pt idx="237">
                  <c:v>8.2600697216246328E-4</c:v>
                </c:pt>
                <c:pt idx="238">
                  <c:v>7.2203675447490997E-4</c:v>
                </c:pt>
                <c:pt idx="239">
                  <c:v>6.3512566732991599E-4</c:v>
                </c:pt>
                <c:pt idx="240">
                  <c:v>5.5818902908126361E-4</c:v>
                </c:pt>
                <c:pt idx="241">
                  <c:v>4.9122790854791789E-4</c:v>
                </c:pt>
                <c:pt idx="242">
                  <c:v>4.3424377357771226E-4</c:v>
                </c:pt>
                <c:pt idx="243">
                  <c:v>3.8723850867245467E-4</c:v>
                </c:pt>
                <c:pt idx="244">
                  <c:v>3.5021443260772314E-4</c:v>
                </c:pt>
                <c:pt idx="245">
                  <c:v>3.2317431604895005E-4</c:v>
                </c:pt>
                <c:pt idx="246">
                  <c:v>3.0612139916857663E-4</c:v>
                </c:pt>
                <c:pt idx="247">
                  <c:v>3.0567323163473354E-4</c:v>
                </c:pt>
                <c:pt idx="248">
                  <c:v>3.1653701331673084E-4</c:v>
                </c:pt>
                <c:pt idx="249">
                  <c:v>3.3871831880597045E-4</c:v>
                </c:pt>
                <c:pt idx="250">
                  <c:v>3.722233390329375E-4</c:v>
                </c:pt>
                <c:pt idx="251">
                  <c:v>4.1705890121282116E-4</c:v>
                </c:pt>
                <c:pt idx="252">
                  <c:v>4.7323248877756147E-4</c:v>
                </c:pt>
                <c:pt idx="253">
                  <c:v>5.5530811806558608E-4</c:v>
                </c:pt>
                <c:pt idx="254">
                  <c:v>6.5860398533661233E-4</c:v>
                </c:pt>
                <c:pt idx="255">
                  <c:v>7.8313660511557769E-4</c:v>
                </c:pt>
                <c:pt idx="256">
                  <c:v>9.2892383765424914E-4</c:v>
                </c:pt>
                <c:pt idx="257">
                  <c:v>1.0959849262226966E-3</c:v>
                </c:pt>
                <c:pt idx="258">
                  <c:v>1.2843405344047096E-3</c:v>
                </c:pt>
                <c:pt idx="259">
                  <c:v>1.4940127834136953E-3</c:v>
                </c:pt>
                <c:pt idx="260">
                  <c:v>1.7250252893753874E-3</c:v>
                </c:pt>
                <c:pt idx="261">
                  <c:v>1.9950372799102836E-3</c:v>
                </c:pt>
                <c:pt idx="262">
                  <c:v>2.2974551921998328E-3</c:v>
                </c:pt>
                <c:pt idx="263">
                  <c:v>2.6323180328424317E-3</c:v>
                </c:pt>
                <c:pt idx="264">
                  <c:v>2.9996673694959956E-3</c:v>
                </c:pt>
                <c:pt idx="265">
                  <c:v>3.3995655368547532E-3</c:v>
                </c:pt>
                <c:pt idx="266">
                  <c:v>3.8320766820883734E-3</c:v>
                </c:pt>
                <c:pt idx="267">
                  <c:v>4.2830560113066938E-3</c:v>
                </c:pt>
                <c:pt idx="268">
                  <c:v>4.7379250108363765E-3</c:v>
                </c:pt>
                <c:pt idx="269">
                  <c:v>5.196706321890357E-3</c:v>
                </c:pt>
                <c:pt idx="270">
                  <c:v>5.6594209308382815E-3</c:v>
                </c:pt>
                <c:pt idx="271">
                  <c:v>6.1260881308991101E-3</c:v>
                </c:pt>
                <c:pt idx="272">
                  <c:v>6.5967254839582167E-3</c:v>
                </c:pt>
                <c:pt idx="273">
                  <c:v>7.0713487823141847E-3</c:v>
                </c:pt>
                <c:pt idx="274">
                  <c:v>7.54997201050789E-3</c:v>
                </c:pt>
                <c:pt idx="275">
                  <c:v>7.9953853534094309E-3</c:v>
                </c:pt>
                <c:pt idx="276">
                  <c:v>8.3898040025494978E-3</c:v>
                </c:pt>
                <c:pt idx="277">
                  <c:v>8.733152961013636E-3</c:v>
                </c:pt>
                <c:pt idx="278">
                  <c:v>9.0253531803145357E-3</c:v>
                </c:pt>
                <c:pt idx="279">
                  <c:v>9.2663221254576811E-3</c:v>
                </c:pt>
                <c:pt idx="280">
                  <c:v>9.455974340090597E-3</c:v>
                </c:pt>
                <c:pt idx="281">
                  <c:v>9.5828294494882619E-3</c:v>
                </c:pt>
                <c:pt idx="282">
                  <c:v>9.6610814014205827E-3</c:v>
                </c:pt>
                <c:pt idx="283">
                  <c:v>9.6906438725183203E-3</c:v>
                </c:pt>
                <c:pt idx="284">
                  <c:v>9.6714299326156397E-3</c:v>
                </c:pt>
                <c:pt idx="285">
                  <c:v>9.6033525780580119E-3</c:v>
                </c:pt>
                <c:pt idx="286">
                  <c:v>9.4863252651028167E-3</c:v>
                </c:pt>
                <c:pt idx="287">
                  <c:v>9.3202624432235405E-3</c:v>
                </c:pt>
                <c:pt idx="288">
                  <c:v>9.1050800884507899E-3</c:v>
                </c:pt>
                <c:pt idx="289">
                  <c:v>8.8536066216533624E-3</c:v>
                </c:pt>
                <c:pt idx="290">
                  <c:v>8.6032911778202228E-3</c:v>
                </c:pt>
                <c:pt idx="291">
                  <c:v>8.3541316703617148E-3</c:v>
                </c:pt>
                <c:pt idx="292">
                  <c:v>8.1061270544405227E-3</c:v>
                </c:pt>
                <c:pt idx="293">
                  <c:v>7.8592773109742217E-3</c:v>
                </c:pt>
                <c:pt idx="294">
                  <c:v>7.6135834306030048E-3</c:v>
                </c:pt>
                <c:pt idx="295">
                  <c:v>7.3832032314465074E-3</c:v>
                </c:pt>
                <c:pt idx="296">
                  <c:v>7.1797227938357848E-3</c:v>
                </c:pt>
                <c:pt idx="297">
                  <c:v>7.0032304858561843E-3</c:v>
                </c:pt>
                <c:pt idx="298">
                  <c:v>6.8537534856884692E-3</c:v>
                </c:pt>
                <c:pt idx="299">
                  <c:v>6.7313205359204459E-3</c:v>
                </c:pt>
                <c:pt idx="300">
                  <c:v>6.635961693095889E-3</c:v>
                </c:pt>
                <c:pt idx="301">
                  <c:v>6.5677080772423386E-3</c:v>
                </c:pt>
                <c:pt idx="302">
                  <c:v>6.5265916214142282E-3</c:v>
                </c:pt>
                <c:pt idx="303">
                  <c:v>6.5221548561619743E-3</c:v>
                </c:pt>
                <c:pt idx="304">
                  <c:v>6.5414421980577071E-3</c:v>
                </c:pt>
                <c:pt idx="305">
                  <c:v>6.5844815207461603E-3</c:v>
                </c:pt>
                <c:pt idx="306">
                  <c:v>6.6513005062655154E-3</c:v>
                </c:pt>
                <c:pt idx="307">
                  <c:v>6.7419264266899183E-3</c:v>
                </c:pt>
                <c:pt idx="308">
                  <c:v>6.8563859257158065E-3</c:v>
                </c:pt>
                <c:pt idx="309">
                  <c:v>6.9954463049118915E-3</c:v>
                </c:pt>
                <c:pt idx="310">
                  <c:v>7.1448785467887847E-3</c:v>
                </c:pt>
                <c:pt idx="311">
                  <c:v>7.3046877836257318E-3</c:v>
                </c:pt>
                <c:pt idx="312">
                  <c:v>7.4748782141381004E-3</c:v>
                </c:pt>
                <c:pt idx="313">
                  <c:v>7.6554530091414302E-3</c:v>
                </c:pt>
                <c:pt idx="314">
                  <c:v>7.8464142171481878E-3</c:v>
                </c:pt>
                <c:pt idx="315">
                  <c:v>8.0477626700599641E-3</c:v>
                </c:pt>
                <c:pt idx="316">
                  <c:v>8.2594978887410644E-3</c:v>
                </c:pt>
                <c:pt idx="317">
                  <c:v>8.4765923656683201E-3</c:v>
                </c:pt>
                <c:pt idx="318">
                  <c:v>8.6894635353382613E-3</c:v>
                </c:pt>
                <c:pt idx="319">
                  <c:v>8.8980904932889262E-3</c:v>
                </c:pt>
                <c:pt idx="320">
                  <c:v>9.1024519208581858E-3</c:v>
                </c:pt>
                <c:pt idx="321">
                  <c:v>9.3025261243797897E-3</c:v>
                </c:pt>
                <c:pt idx="322">
                  <c:v>9.4982910744228211E-3</c:v>
                </c:pt>
                <c:pt idx="323">
                  <c:v>9.6839843557415886E-3</c:v>
                </c:pt>
                <c:pt idx="324">
                  <c:v>9.8588326344975913E-3</c:v>
                </c:pt>
                <c:pt idx="325">
                  <c:v>1.0022807634248794E-2</c:v>
                </c:pt>
                <c:pt idx="326">
                  <c:v>1.0175818365277383E-2</c:v>
                </c:pt>
                <c:pt idx="327">
                  <c:v>1.0317813788496265E-2</c:v>
                </c:pt>
                <c:pt idx="328">
                  <c:v>1.0448796543907927E-2</c:v>
                </c:pt>
                <c:pt idx="329">
                  <c:v>1.0568772142781881E-2</c:v>
                </c:pt>
                <c:pt idx="330">
                  <c:v>1.0677748743055169E-2</c:v>
                </c:pt>
                <c:pt idx="331">
                  <c:v>1.0770739314560391E-2</c:v>
                </c:pt>
                <c:pt idx="332">
                  <c:v>1.0852799799601057E-2</c:v>
                </c:pt>
                <c:pt idx="333">
                  <c:v>1.0923945210319162E-2</c:v>
                </c:pt>
                <c:pt idx="334">
                  <c:v>1.0984192261825244E-2</c:v>
                </c:pt>
                <c:pt idx="335">
                  <c:v>1.103355914874281E-2</c:v>
                </c:pt>
                <c:pt idx="336">
                  <c:v>1.1072065321609805E-2</c:v>
                </c:pt>
                <c:pt idx="337">
                  <c:v>1.1100541324887662E-2</c:v>
                </c:pt>
                <c:pt idx="338">
                  <c:v>1.1124760196371415E-2</c:v>
                </c:pt>
                <c:pt idx="339">
                  <c:v>1.114474429407793E-2</c:v>
                </c:pt>
                <c:pt idx="340">
                  <c:v>1.1160516262144406E-2</c:v>
                </c:pt>
                <c:pt idx="341">
                  <c:v>1.117209894376116E-2</c:v>
                </c:pt>
                <c:pt idx="342">
                  <c:v>1.1179515294095978E-2</c:v>
                </c:pt>
                <c:pt idx="343">
                  <c:v>1.1182788293083492E-2</c:v>
                </c:pt>
                <c:pt idx="344">
                  <c:v>1.1181940858389991E-2</c:v>
                </c:pt>
                <c:pt idx="345">
                  <c:v>1.1176995758260345E-2</c:v>
                </c:pt>
                <c:pt idx="346">
                  <c:v>1.1173014522880069E-2</c:v>
                </c:pt>
                <c:pt idx="347">
                  <c:v>1.1170020364353075E-2</c:v>
                </c:pt>
                <c:pt idx="348">
                  <c:v>1.1168036523660812E-2</c:v>
                </c:pt>
                <c:pt idx="349">
                  <c:v>1.1167086288203253E-2</c:v>
                </c:pt>
                <c:pt idx="350">
                  <c:v>1.1167193009601444E-2</c:v>
                </c:pt>
                <c:pt idx="351">
                  <c:v>1.1168418201888804E-2</c:v>
                </c:pt>
                <c:pt idx="352">
                  <c:v>1.1169974589007346E-2</c:v>
                </c:pt>
                <c:pt idx="353">
                  <c:v>1.1171885395167939E-2</c:v>
                </c:pt>
                <c:pt idx="354">
                  <c:v>1.1174173854648105E-2</c:v>
                </c:pt>
                <c:pt idx="355">
                  <c:v>1.1176863212815212E-2</c:v>
                </c:pt>
                <c:pt idx="356">
                  <c:v>1.1179984453725943E-2</c:v>
                </c:pt>
                <c:pt idx="357">
                  <c:v>1.1183535936106612E-2</c:v>
                </c:pt>
                <c:pt idx="358">
                  <c:v>1.1187489092625159E-2</c:v>
                </c:pt>
                <c:pt idx="359">
                  <c:v>1.1191815367128658E-2</c:v>
                </c:pt>
                <c:pt idx="360">
                  <c:v>1.1197298897977008E-2</c:v>
                </c:pt>
                <c:pt idx="361">
                  <c:v>1.1203873942414982E-2</c:v>
                </c:pt>
                <c:pt idx="362">
                  <c:v>1.1211512996239952E-2</c:v>
                </c:pt>
                <c:pt idx="363">
                  <c:v>1.122018862586055E-2</c:v>
                </c:pt>
                <c:pt idx="364">
                  <c:v>1.1229873446710845E-2</c:v>
                </c:pt>
                <c:pt idx="365">
                  <c:v>1.1240540101526794E-2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1.4577788776549801E-2</c:v>
                </c:pt>
                <c:pt idx="1">
                  <c:v>1.457586823841949E-2</c:v>
                </c:pt>
                <c:pt idx="2">
                  <c:v>1.4571899587665372E-2</c:v>
                </c:pt>
                <c:pt idx="3">
                  <c:v>1.4565842438711014E-2</c:v>
                </c:pt>
                <c:pt idx="4">
                  <c:v>1.4557656484305535E-2</c:v>
                </c:pt>
                <c:pt idx="5">
                  <c:v>1.454730154976103E-2</c:v>
                </c:pt>
                <c:pt idx="6">
                  <c:v>1.4534737647375954E-2</c:v>
                </c:pt>
                <c:pt idx="7">
                  <c:v>1.451992503053082E-2</c:v>
                </c:pt>
                <c:pt idx="8">
                  <c:v>1.4502824247987862E-2</c:v>
                </c:pt>
                <c:pt idx="9">
                  <c:v>1.4479278275642604E-2</c:v>
                </c:pt>
                <c:pt idx="10">
                  <c:v>1.4449216472635164E-2</c:v>
                </c:pt>
                <c:pt idx="11">
                  <c:v>1.441259564406866E-2</c:v>
                </c:pt>
                <c:pt idx="12">
                  <c:v>1.4369373632939038E-2</c:v>
                </c:pt>
                <c:pt idx="13">
                  <c:v>1.4319509479814058E-2</c:v>
                </c:pt>
                <c:pt idx="14">
                  <c:v>1.4262963582267394E-2</c:v>
                </c:pt>
                <c:pt idx="15">
                  <c:v>1.4191286673234728E-2</c:v>
                </c:pt>
                <c:pt idx="16">
                  <c:v>1.4106601468453241E-2</c:v>
                </c:pt>
                <c:pt idx="17">
                  <c:v>1.4008869334169147E-2</c:v>
                </c:pt>
                <c:pt idx="18">
                  <c:v>1.3898055014866755E-2</c:v>
                </c:pt>
                <c:pt idx="19">
                  <c:v>1.3774203782227443E-2</c:v>
                </c:pt>
                <c:pt idx="20">
                  <c:v>1.3637396229673991E-2</c:v>
                </c:pt>
                <c:pt idx="21">
                  <c:v>1.3487653753860934E-2</c:v>
                </c:pt>
                <c:pt idx="22">
                  <c:v>1.3324998886253254E-2</c:v>
                </c:pt>
                <c:pt idx="23">
                  <c:v>1.3145975851819168E-2</c:v>
                </c:pt>
                <c:pt idx="24">
                  <c:v>1.2954742034578914E-2</c:v>
                </c:pt>
                <c:pt idx="25">
                  <c:v>1.2751322743824881E-2</c:v>
                </c:pt>
                <c:pt idx="26">
                  <c:v>1.2535743705486994E-2</c:v>
                </c:pt>
                <c:pt idx="27">
                  <c:v>1.2308030913171539E-2</c:v>
                </c:pt>
                <c:pt idx="28">
                  <c:v>1.2068210479474253E-2</c:v>
                </c:pt>
                <c:pt idx="29">
                  <c:v>1.1825648193137797E-2</c:v>
                </c:pt>
                <c:pt idx="30">
                  <c:v>1.1588794464661984E-2</c:v>
                </c:pt>
                <c:pt idx="31">
                  <c:v>1.1357672633971359E-2</c:v>
                </c:pt>
                <c:pt idx="32">
                  <c:v>1.1132304443438944E-2</c:v>
                </c:pt>
                <c:pt idx="33">
                  <c:v>1.0912710111118763E-2</c:v>
                </c:pt>
                <c:pt idx="34">
                  <c:v>1.0698908404029501E-2</c:v>
                </c:pt>
                <c:pt idx="35">
                  <c:v>1.0490916711426363E-2</c:v>
                </c:pt>
                <c:pt idx="36">
                  <c:v>1.0288751118049751E-2</c:v>
                </c:pt>
                <c:pt idx="37">
                  <c:v>1.0109804213004076E-2</c:v>
                </c:pt>
                <c:pt idx="38">
                  <c:v>9.9575632443233662E-3</c:v>
                </c:pt>
                <c:pt idx="39">
                  <c:v>9.8320351870097092E-3</c:v>
                </c:pt>
                <c:pt idx="40">
                  <c:v>9.7332259718439489E-3</c:v>
                </c:pt>
                <c:pt idx="41">
                  <c:v>9.6611408195462906E-3</c:v>
                </c:pt>
                <c:pt idx="42">
                  <c:v>9.6157845748672983E-3</c:v>
                </c:pt>
                <c:pt idx="43">
                  <c:v>9.6159261741281324E-3</c:v>
                </c:pt>
                <c:pt idx="44">
                  <c:v>9.6522363998109029E-3</c:v>
                </c:pt>
                <c:pt idx="45">
                  <c:v>9.7247191421206605E-3</c:v>
                </c:pt>
                <c:pt idx="46">
                  <c:v>9.8333797164103804E-3</c:v>
                </c:pt>
                <c:pt idx="47">
                  <c:v>9.9782253154010181E-3</c:v>
                </c:pt>
                <c:pt idx="48">
                  <c:v>1.0159265461274668E-2</c:v>
                </c:pt>
                <c:pt idx="49">
                  <c:v>1.0376512457856236E-2</c:v>
                </c:pt>
                <c:pt idx="50">
                  <c:v>1.0629981842733928E-2</c:v>
                </c:pt>
                <c:pt idx="51">
                  <c:v>1.0920998410974693E-2</c:v>
                </c:pt>
                <c:pt idx="52">
                  <c:v>1.1232162593527724E-2</c:v>
                </c:pt>
                <c:pt idx="53">
                  <c:v>1.1563420281839277E-2</c:v>
                </c:pt>
                <c:pt idx="54">
                  <c:v>1.1914769968024191E-2</c:v>
                </c:pt>
                <c:pt idx="55">
                  <c:v>1.2286209984817751E-2</c:v>
                </c:pt>
                <c:pt idx="56">
                  <c:v>1.2677738431351343E-2</c:v>
                </c:pt>
                <c:pt idx="57">
                  <c:v>1.305189491476942E-2</c:v>
                </c:pt>
                <c:pt idx="58">
                  <c:v>1.3389920202373114E-2</c:v>
                </c:pt>
                <c:pt idx="59">
                  <c:v>1.3691810065919593E-2</c:v>
                </c:pt>
                <c:pt idx="60">
                  <c:v>1.3957559581948911E-2</c:v>
                </c:pt>
                <c:pt idx="61">
                  <c:v>1.4187163265539779E-2</c:v>
                </c:pt>
                <c:pt idx="62">
                  <c:v>1.4380615204044159E-2</c:v>
                </c:pt>
                <c:pt idx="63">
                  <c:v>1.453790919086422E-2</c:v>
                </c:pt>
                <c:pt idx="64">
                  <c:v>1.4659038859172588E-2</c:v>
                </c:pt>
                <c:pt idx="65">
                  <c:v>1.4701562235846078E-2</c:v>
                </c:pt>
                <c:pt idx="66">
                  <c:v>1.4664167009571877E-2</c:v>
                </c:pt>
                <c:pt idx="67">
                  <c:v>1.4546847226301732E-2</c:v>
                </c:pt>
                <c:pt idx="68">
                  <c:v>1.4349597975016741E-2</c:v>
                </c:pt>
                <c:pt idx="69">
                  <c:v>1.4072415683248756E-2</c:v>
                </c:pt>
                <c:pt idx="70">
                  <c:v>1.3715298412670369E-2</c:v>
                </c:pt>
                <c:pt idx="71">
                  <c:v>1.3279750435583434E-2</c:v>
                </c:pt>
                <c:pt idx="72">
                  <c:v>1.2803232784582487E-2</c:v>
                </c:pt>
                <c:pt idx="73">
                  <c:v>1.2285748050506487E-2</c:v>
                </c:pt>
                <c:pt idx="74">
                  <c:v>1.1727300580144352E-2</c:v>
                </c:pt>
                <c:pt idx="75">
                  <c:v>1.1127896627676069E-2</c:v>
                </c:pt>
                <c:pt idx="76">
                  <c:v>1.0487544506075966E-2</c:v>
                </c:pt>
                <c:pt idx="77">
                  <c:v>9.8062547385537862E-3</c:v>
                </c:pt>
                <c:pt idx="78">
                  <c:v>9.0840405115584204E-3</c:v>
                </c:pt>
                <c:pt idx="79">
                  <c:v>8.345402910934701E-3</c:v>
                </c:pt>
                <c:pt idx="80">
                  <c:v>7.6327899583428548E-3</c:v>
                </c:pt>
                <c:pt idx="81">
                  <c:v>6.9461958858432187E-3</c:v>
                </c:pt>
                <c:pt idx="82">
                  <c:v>6.2856157631566659E-3</c:v>
                </c:pt>
                <c:pt idx="83">
                  <c:v>5.6510454145088677E-3</c:v>
                </c:pt>
                <c:pt idx="84">
                  <c:v>5.0424813354946058E-3</c:v>
                </c:pt>
                <c:pt idx="85">
                  <c:v>4.4785696892150123E-3</c:v>
                </c:pt>
                <c:pt idx="86">
                  <c:v>3.9578016519555411E-3</c:v>
                </c:pt>
                <c:pt idx="87">
                  <c:v>3.4801722073885179E-3</c:v>
                </c:pt>
                <c:pt idx="88">
                  <c:v>3.0456763847338583E-3</c:v>
                </c:pt>
                <c:pt idx="89">
                  <c:v>2.6543091206714248E-3</c:v>
                </c:pt>
                <c:pt idx="90">
                  <c:v>2.3060651212473918E-3</c:v>
                </c:pt>
                <c:pt idx="91">
                  <c:v>2.0009387237912585E-3</c:v>
                </c:pt>
                <c:pt idx="92">
                  <c:v>1.7389237588238498E-3</c:v>
                </c:pt>
                <c:pt idx="93">
                  <c:v>1.5308267629097483E-3</c:v>
                </c:pt>
                <c:pt idx="94">
                  <c:v>1.352206176897438E-3</c:v>
                </c:pt>
                <c:pt idx="95">
                  <c:v>1.2030568512318384E-3</c:v>
                </c:pt>
                <c:pt idx="96">
                  <c:v>1.0833729869495696E-3</c:v>
                </c:pt>
                <c:pt idx="97">
                  <c:v>9.9314804126201584E-4</c:v>
                </c:pt>
                <c:pt idx="98">
                  <c:v>9.3237463312661009E-4</c:v>
                </c:pt>
                <c:pt idx="99">
                  <c:v>9.0861876121252816E-4</c:v>
                </c:pt>
                <c:pt idx="100">
                  <c:v>9.0324171944003169E-4</c:v>
                </c:pt>
                <c:pt idx="101">
                  <c:v>9.1623694684911708E-4</c:v>
                </c:pt>
                <c:pt idx="102">
                  <c:v>9.4759712850512039E-4</c:v>
                </c:pt>
                <c:pt idx="103">
                  <c:v>9.9731413652542509E-4</c:v>
                </c:pt>
                <c:pt idx="104">
                  <c:v>1.0653789711278108E-3</c:v>
                </c:pt>
                <c:pt idx="105">
                  <c:v>1.1517817016588939E-3</c:v>
                </c:pt>
                <c:pt idx="106">
                  <c:v>1.2565114076341644E-3</c:v>
                </c:pt>
                <c:pt idx="107">
                  <c:v>1.3879742328483328E-3</c:v>
                </c:pt>
                <c:pt idx="108">
                  <c:v>1.5353595385048516E-3</c:v>
                </c:pt>
                <c:pt idx="109">
                  <c:v>1.6986541875243257E-3</c:v>
                </c:pt>
                <c:pt idx="110">
                  <c:v>1.8778492926816749E-3</c:v>
                </c:pt>
                <c:pt idx="111">
                  <c:v>2.0729371863917202E-3</c:v>
                </c:pt>
                <c:pt idx="112">
                  <c:v>2.2839053112336475E-3</c:v>
                </c:pt>
                <c:pt idx="113">
                  <c:v>2.518504117822307E-3</c:v>
                </c:pt>
                <c:pt idx="114">
                  <c:v>2.7691595875098136E-3</c:v>
                </c:pt>
                <c:pt idx="115">
                  <c:v>3.0358569842036396E-3</c:v>
                </c:pt>
                <c:pt idx="116">
                  <c:v>3.3185808474087588E-3</c:v>
                </c:pt>
                <c:pt idx="117">
                  <c:v>3.6173149568889725E-3</c:v>
                </c:pt>
                <c:pt idx="118">
                  <c:v>3.9320422973010477E-3</c:v>
                </c:pt>
                <c:pt idx="119">
                  <c:v>4.2627450228360344E-3</c:v>
                </c:pt>
                <c:pt idx="120">
                  <c:v>4.609404421853181E-3</c:v>
                </c:pt>
                <c:pt idx="121">
                  <c:v>4.9784602300209221E-3</c:v>
                </c:pt>
                <c:pt idx="122">
                  <c:v>5.3614964917322316E-3</c:v>
                </c:pt>
                <c:pt idx="123">
                  <c:v>5.7584931082644009E-3</c:v>
                </c:pt>
                <c:pt idx="124">
                  <c:v>6.1694290504130112E-3</c:v>
                </c:pt>
                <c:pt idx="125">
                  <c:v>6.5942823274133229E-3</c:v>
                </c:pt>
                <c:pt idx="126">
                  <c:v>7.0330299557841147E-3</c:v>
                </c:pt>
                <c:pt idx="127">
                  <c:v>7.4796574838024189E-3</c:v>
                </c:pt>
                <c:pt idx="128">
                  <c:v>7.9264115922161125E-3</c:v>
                </c:pt>
                <c:pt idx="129">
                  <c:v>8.3732792425532682E-3</c:v>
                </c:pt>
                <c:pt idx="130">
                  <c:v>8.8202469793780026E-3</c:v>
                </c:pt>
                <c:pt idx="131">
                  <c:v>9.2673009292063915E-3</c:v>
                </c:pt>
                <c:pt idx="132">
                  <c:v>9.7144267994878509E-3</c:v>
                </c:pt>
                <c:pt idx="133">
                  <c:v>1.0161609877647882E-2</c:v>
                </c:pt>
                <c:pt idx="134">
                  <c:v>1.0608835030090455E-2</c:v>
                </c:pt>
                <c:pt idx="135">
                  <c:v>1.1016838571333844E-2</c:v>
                </c:pt>
                <c:pt idx="136">
                  <c:v>1.1379220499302956E-2</c:v>
                </c:pt>
                <c:pt idx="137">
                  <c:v>1.1696018960234929E-2</c:v>
                </c:pt>
                <c:pt idx="138">
                  <c:v>1.1967274510934107E-2</c:v>
                </c:pt>
                <c:pt idx="139">
                  <c:v>1.2193030218556899E-2</c:v>
                </c:pt>
                <c:pt idx="140">
                  <c:v>1.2373331759731968E-2</c:v>
                </c:pt>
                <c:pt idx="141">
                  <c:v>1.2473243219951536E-2</c:v>
                </c:pt>
                <c:pt idx="142">
                  <c:v>1.2498750701410273E-2</c:v>
                </c:pt>
                <c:pt idx="143">
                  <c:v>1.2449894263560659E-2</c:v>
                </c:pt>
                <c:pt idx="144">
                  <c:v>1.2326797916123731E-2</c:v>
                </c:pt>
                <c:pt idx="145">
                  <c:v>1.2129594120787289E-2</c:v>
                </c:pt>
                <c:pt idx="146">
                  <c:v>1.1858422795245977E-2</c:v>
                </c:pt>
                <c:pt idx="147">
                  <c:v>1.151343031765824E-2</c:v>
                </c:pt>
                <c:pt idx="148">
                  <c:v>1.109476853080551E-2</c:v>
                </c:pt>
                <c:pt idx="149">
                  <c:v>1.0620370924502003E-2</c:v>
                </c:pt>
                <c:pt idx="150">
                  <c:v>1.0129334854061318E-2</c:v>
                </c:pt>
                <c:pt idx="151">
                  <c:v>9.6217206417664805E-3</c:v>
                </c:pt>
                <c:pt idx="152">
                  <c:v>9.0975870330609627E-3</c:v>
                </c:pt>
                <c:pt idx="153">
                  <c:v>8.556990966382988E-3</c:v>
                </c:pt>
                <c:pt idx="154">
                  <c:v>7.999987343056977E-3</c:v>
                </c:pt>
                <c:pt idx="155">
                  <c:v>7.4510594740198098E-3</c:v>
                </c:pt>
                <c:pt idx="156">
                  <c:v>6.9449028905015364E-3</c:v>
                </c:pt>
                <c:pt idx="157">
                  <c:v>6.4814525222645428E-3</c:v>
                </c:pt>
                <c:pt idx="158">
                  <c:v>6.0606400574486595E-3</c:v>
                </c:pt>
                <c:pt idx="159">
                  <c:v>5.6823945129868235E-3</c:v>
                </c:pt>
                <c:pt idx="160">
                  <c:v>5.3466428050989497E-3</c:v>
                </c:pt>
                <c:pt idx="161">
                  <c:v>5.0533103197142612E-3</c:v>
                </c:pt>
                <c:pt idx="162">
                  <c:v>4.8023214829283831E-3</c:v>
                </c:pt>
                <c:pt idx="163">
                  <c:v>4.5975927805641291E-3</c:v>
                </c:pt>
                <c:pt idx="164">
                  <c:v>4.4214286695582698E-3</c:v>
                </c:pt>
                <c:pt idx="165">
                  <c:v>4.2737790583477374E-3</c:v>
                </c:pt>
                <c:pt idx="166">
                  <c:v>4.1545944054067023E-3</c:v>
                </c:pt>
                <c:pt idx="167">
                  <c:v>4.0638261041883198E-3</c:v>
                </c:pt>
                <c:pt idx="168">
                  <c:v>4.0014268682030361E-3</c:v>
                </c:pt>
                <c:pt idx="169">
                  <c:v>3.9713294227781996E-3</c:v>
                </c:pt>
                <c:pt idx="170">
                  <c:v>3.9492755045283925E-3</c:v>
                </c:pt>
                <c:pt idx="171">
                  <c:v>3.935256522427065E-3</c:v>
                </c:pt>
                <c:pt idx="172">
                  <c:v>3.929264589386347E-3</c:v>
                </c:pt>
                <c:pt idx="173">
                  <c:v>3.931252429408106E-3</c:v>
                </c:pt>
                <c:pt idx="174">
                  <c:v>3.9411711440383987E-3</c:v>
                </c:pt>
                <c:pt idx="175">
                  <c:v>3.9590110168964705E-3</c:v>
                </c:pt>
                <c:pt idx="176">
                  <c:v>3.9847623839464573E-3</c:v>
                </c:pt>
                <c:pt idx="177">
                  <c:v>4.0425377280951464E-3</c:v>
                </c:pt>
                <c:pt idx="178">
                  <c:v>4.1283313720786342E-3</c:v>
                </c:pt>
                <c:pt idx="179">
                  <c:v>4.2421041289599191E-3</c:v>
                </c:pt>
                <c:pt idx="180">
                  <c:v>4.3838175002821429E-3</c:v>
                </c:pt>
                <c:pt idx="181">
                  <c:v>4.5534338409094904E-3</c:v>
                </c:pt>
                <c:pt idx="182">
                  <c:v>4.7509165239043357E-3</c:v>
                </c:pt>
                <c:pt idx="183">
                  <c:v>4.9936671281805359E-3</c:v>
                </c:pt>
                <c:pt idx="184">
                  <c:v>5.2776781869055328E-3</c:v>
                </c:pt>
                <c:pt idx="185">
                  <c:v>5.6028983600321016E-3</c:v>
                </c:pt>
                <c:pt idx="186">
                  <c:v>5.9692785760584116E-3</c:v>
                </c:pt>
                <c:pt idx="187">
                  <c:v>6.3767722763171377E-3</c:v>
                </c:pt>
                <c:pt idx="188">
                  <c:v>6.8253356593121961E-3</c:v>
                </c:pt>
                <c:pt idx="189">
                  <c:v>7.3149279248611171E-3</c:v>
                </c:pt>
                <c:pt idx="190">
                  <c:v>7.8455115185126125E-3</c:v>
                </c:pt>
                <c:pt idx="191">
                  <c:v>8.3830022935931173E-3</c:v>
                </c:pt>
                <c:pt idx="192">
                  <c:v>8.9034582345447789E-3</c:v>
                </c:pt>
                <c:pt idx="193">
                  <c:v>9.40692187346138E-3</c:v>
                </c:pt>
                <c:pt idx="194">
                  <c:v>9.8934358652746166E-3</c:v>
                </c:pt>
                <c:pt idx="195">
                  <c:v>1.0363042889416316E-2</c:v>
                </c:pt>
                <c:pt idx="196">
                  <c:v>1.0815785551127744E-2</c:v>
                </c:pt>
                <c:pt idx="197">
                  <c:v>1.121368686119833E-2</c:v>
                </c:pt>
                <c:pt idx="198">
                  <c:v>1.153949960652024E-2</c:v>
                </c:pt>
                <c:pt idx="199">
                  <c:v>1.1793317860877395E-2</c:v>
                </c:pt>
                <c:pt idx="200">
                  <c:v>1.1975230115661928E-2</c:v>
                </c:pt>
                <c:pt idx="201">
                  <c:v>1.2085318853379155E-2</c:v>
                </c:pt>
                <c:pt idx="202">
                  <c:v>1.2123660121212515E-2</c:v>
                </c:pt>
                <c:pt idx="203">
                  <c:v>1.2090323104860854E-2</c:v>
                </c:pt>
                <c:pt idx="204">
                  <c:v>1.1985350347609593E-2</c:v>
                </c:pt>
                <c:pt idx="205">
                  <c:v>1.180299662259713E-2</c:v>
                </c:pt>
                <c:pt idx="206">
                  <c:v>1.1577191248295029E-2</c:v>
                </c:pt>
                <c:pt idx="207">
                  <c:v>1.1307949819146616E-2</c:v>
                </c:pt>
                <c:pt idx="208">
                  <c:v>1.0995284647179807E-2</c:v>
                </c:pt>
                <c:pt idx="209">
                  <c:v>1.063920489742963E-2</c:v>
                </c:pt>
                <c:pt idx="210">
                  <c:v>1.0239716723731291E-2</c:v>
                </c:pt>
                <c:pt idx="211">
                  <c:v>9.8030321365551766E-3</c:v>
                </c:pt>
                <c:pt idx="212">
                  <c:v>9.3670345616709109E-3</c:v>
                </c:pt>
                <c:pt idx="213">
                  <c:v>8.9317052093673601E-3</c:v>
                </c:pt>
                <c:pt idx="214">
                  <c:v>8.4970258608287694E-3</c:v>
                </c:pt>
                <c:pt idx="215">
                  <c:v>8.0629788667997675E-3</c:v>
                </c:pt>
                <c:pt idx="216">
                  <c:v>7.6295471462140448E-3</c:v>
                </c:pt>
                <c:pt idx="217">
                  <c:v>7.1967141848514465E-3</c:v>
                </c:pt>
                <c:pt idx="218">
                  <c:v>6.7644640339481008E-3</c:v>
                </c:pt>
                <c:pt idx="219">
                  <c:v>6.3402237790914093E-3</c:v>
                </c:pt>
                <c:pt idx="220">
                  <c:v>5.9297401256172061E-3</c:v>
                </c:pt>
                <c:pt idx="221">
                  <c:v>5.5329972528185322E-3</c:v>
                </c:pt>
                <c:pt idx="222">
                  <c:v>5.1499806070313655E-3</c:v>
                </c:pt>
                <c:pt idx="223">
                  <c:v>4.7806768593342862E-3</c:v>
                </c:pt>
                <c:pt idx="224">
                  <c:v>4.4250738631000002E-3</c:v>
                </c:pt>
                <c:pt idx="225">
                  <c:v>4.0912194967643867E-3</c:v>
                </c:pt>
                <c:pt idx="226">
                  <c:v>3.7729012512752835E-3</c:v>
                </c:pt>
                <c:pt idx="227">
                  <c:v>3.4701104810046582E-3</c:v>
                </c:pt>
                <c:pt idx="228">
                  <c:v>3.1828396229455578E-3</c:v>
                </c:pt>
                <c:pt idx="229">
                  <c:v>2.9110821484934291E-3</c:v>
                </c:pt>
                <c:pt idx="230">
                  <c:v>2.6548325152886882E-3</c:v>
                </c:pt>
                <c:pt idx="231">
                  <c:v>2.4140861190596967E-3</c:v>
                </c:pt>
                <c:pt idx="232">
                  <c:v>2.1888392454078947E-3</c:v>
                </c:pt>
                <c:pt idx="233">
                  <c:v>1.9863331495857122E-3</c:v>
                </c:pt>
                <c:pt idx="234">
                  <c:v>1.7991241121395047E-3</c:v>
                </c:pt>
                <c:pt idx="235">
                  <c:v>1.6272121892295136E-3</c:v>
                </c:pt>
                <c:pt idx="236">
                  <c:v>1.470598091455182E-3</c:v>
                </c:pt>
                <c:pt idx="237">
                  <c:v>1.3292817417343123E-3</c:v>
                </c:pt>
                <c:pt idx="238">
                  <c:v>1.2032635827367072E-3</c:v>
                </c:pt>
                <c:pt idx="239">
                  <c:v>1.1028847181567165E-3</c:v>
                </c:pt>
                <c:pt idx="240">
                  <c:v>1.0200853563951231E-3</c:v>
                </c:pt>
                <c:pt idx="241">
                  <c:v>9.5486855599773287E-4</c:v>
                </c:pt>
                <c:pt idx="242">
                  <c:v>9.0723811564309372E-4</c:v>
                </c:pt>
                <c:pt idx="243">
                  <c:v>8.7719860519001381E-4</c:v>
                </c:pt>
                <c:pt idx="244">
                  <c:v>8.6475539671726021E-4</c:v>
                </c:pt>
                <c:pt idx="245">
                  <c:v>8.6991469555466839E-4</c:v>
                </c:pt>
                <c:pt idx="246">
                  <c:v>8.9268357131338204E-4</c:v>
                </c:pt>
                <c:pt idx="247">
                  <c:v>9.5091039196630166E-4</c:v>
                </c:pt>
                <c:pt idx="248">
                  <c:v>1.0373574630492763E-3</c:v>
                </c:pt>
                <c:pt idx="249">
                  <c:v>1.1520402912661824E-3</c:v>
                </c:pt>
                <c:pt idx="250">
                  <c:v>1.2949759616969793E-3</c:v>
                </c:pt>
                <c:pt idx="251">
                  <c:v>1.4661831875296678E-3</c:v>
                </c:pt>
                <c:pt idx="252">
                  <c:v>1.6656823597471634E-3</c:v>
                </c:pt>
                <c:pt idx="253">
                  <c:v>1.9169062943367658E-3</c:v>
                </c:pt>
                <c:pt idx="254">
                  <c:v>2.2095306892306581E-3</c:v>
                </c:pt>
                <c:pt idx="255">
                  <c:v>2.5435905824826343E-3</c:v>
                </c:pt>
                <c:pt idx="256">
                  <c:v>2.919123698955855E-3</c:v>
                </c:pt>
                <c:pt idx="257">
                  <c:v>3.336170522989517E-3</c:v>
                </c:pt>
                <c:pt idx="258">
                  <c:v>3.7947743710809814E-3</c:v>
                </c:pt>
                <c:pt idx="259">
                  <c:v>4.2949814646275264E-3</c:v>
                </c:pt>
                <c:pt idx="260">
                  <c:v>4.8368410025665508E-3</c:v>
                </c:pt>
                <c:pt idx="261">
                  <c:v>5.421847873151372E-3</c:v>
                </c:pt>
                <c:pt idx="262">
                  <c:v>6.0321589219531867E-3</c:v>
                </c:pt>
                <c:pt idx="263">
                  <c:v>6.6678176877107802E-3</c:v>
                </c:pt>
                <c:pt idx="264">
                  <c:v>7.3288701929059659E-3</c:v>
                </c:pt>
                <c:pt idx="265">
                  <c:v>8.0154077180467284E-3</c:v>
                </c:pt>
                <c:pt idx="266">
                  <c:v>8.727516211736704E-3</c:v>
                </c:pt>
                <c:pt idx="267">
                  <c:v>9.4244779876181337E-3</c:v>
                </c:pt>
                <c:pt idx="268">
                  <c:v>1.0082791322050425E-2</c:v>
                </c:pt>
                <c:pt idx="269">
                  <c:v>1.0702433453995623E-2</c:v>
                </c:pt>
                <c:pt idx="270">
                  <c:v>1.1283374866254001E-2</c:v>
                </c:pt>
                <c:pt idx="271">
                  <c:v>1.1825579718588136E-2</c:v>
                </c:pt>
                <c:pt idx="272">
                  <c:v>1.2329006281115893E-2</c:v>
                </c:pt>
                <c:pt idx="273">
                  <c:v>1.2793607367563749E-2</c:v>
                </c:pt>
                <c:pt idx="274">
                  <c:v>1.3219330768677626E-2</c:v>
                </c:pt>
                <c:pt idx="275">
                  <c:v>1.35699970517901E-2</c:v>
                </c:pt>
                <c:pt idx="276">
                  <c:v>1.3844040615926943E-2</c:v>
                </c:pt>
                <c:pt idx="277">
                  <c:v>1.4041339554243273E-2</c:v>
                </c:pt>
                <c:pt idx="278">
                  <c:v>1.416176728742617E-2</c:v>
                </c:pt>
                <c:pt idx="279">
                  <c:v>1.4205193409472334E-2</c:v>
                </c:pt>
                <c:pt idx="280">
                  <c:v>1.4171484533597642E-2</c:v>
                </c:pt>
                <c:pt idx="281">
                  <c:v>1.406176798678805E-2</c:v>
                </c:pt>
                <c:pt idx="282">
                  <c:v>1.3916975656034848E-2</c:v>
                </c:pt>
                <c:pt idx="283">
                  <c:v>1.3737036678374483E-2</c:v>
                </c:pt>
                <c:pt idx="284">
                  <c:v>1.3521880651093705E-2</c:v>
                </c:pt>
                <c:pt idx="285">
                  <c:v>1.3271438014440364E-2</c:v>
                </c:pt>
                <c:pt idx="286">
                  <c:v>1.298564043446359E-2</c:v>
                </c:pt>
                <c:pt idx="287">
                  <c:v>1.2664421185717891E-2</c:v>
                </c:pt>
                <c:pt idx="288">
                  <c:v>1.2307715534020032E-2</c:v>
                </c:pt>
                <c:pt idx="289">
                  <c:v>1.1933678786928673E-2</c:v>
                </c:pt>
                <c:pt idx="290">
                  <c:v>1.1578680001348346E-2</c:v>
                </c:pt>
                <c:pt idx="291">
                  <c:v>1.124274295713598E-2</c:v>
                </c:pt>
                <c:pt idx="292">
                  <c:v>1.0925892101632478E-2</c:v>
                </c:pt>
                <c:pt idx="293">
                  <c:v>1.0628152337310652E-2</c:v>
                </c:pt>
                <c:pt idx="294">
                  <c:v>1.0349548809376243E-2</c:v>
                </c:pt>
                <c:pt idx="295">
                  <c:v>1.0107018855082313E-2</c:v>
                </c:pt>
                <c:pt idx="296">
                  <c:v>9.8994572107465994E-3</c:v>
                </c:pt>
                <c:pt idx="297">
                  <c:v>9.7269831578245536E-3</c:v>
                </c:pt>
                <c:pt idx="298">
                  <c:v>9.5896324797134884E-3</c:v>
                </c:pt>
                <c:pt idx="299">
                  <c:v>9.487442782373191E-3</c:v>
                </c:pt>
                <c:pt idx="300">
                  <c:v>9.4204531692229938E-3</c:v>
                </c:pt>
                <c:pt idx="301">
                  <c:v>9.3887039160095043E-3</c:v>
                </c:pt>
                <c:pt idx="302">
                  <c:v>9.3922361456957957E-3</c:v>
                </c:pt>
                <c:pt idx="303">
                  <c:v>9.4402102311126942E-3</c:v>
                </c:pt>
                <c:pt idx="304">
                  <c:v>9.514334123219205E-3</c:v>
                </c:pt>
                <c:pt idx="305">
                  <c:v>9.6146363526906451E-3</c:v>
                </c:pt>
                <c:pt idx="306">
                  <c:v>9.7411450486388062E-3</c:v>
                </c:pt>
                <c:pt idx="307">
                  <c:v>9.8938876983937288E-3</c:v>
                </c:pt>
                <c:pt idx="308">
                  <c:v>1.0072890907202949E-2</c:v>
                </c:pt>
                <c:pt idx="309">
                  <c:v>1.0274772938816941E-2</c:v>
                </c:pt>
                <c:pt idx="310">
                  <c:v>1.0482523007184124E-2</c:v>
                </c:pt>
                <c:pt idx="311">
                  <c:v>1.0696136009126741E-2</c:v>
                </c:pt>
                <c:pt idx="312">
                  <c:v>1.0915605874642745E-2</c:v>
                </c:pt>
                <c:pt idx="313">
                  <c:v>1.1140925514275658E-2</c:v>
                </c:pt>
                <c:pt idx="314">
                  <c:v>1.1372086766386093E-2</c:v>
                </c:pt>
                <c:pt idx="315">
                  <c:v>1.1609080344562317E-2</c:v>
                </c:pt>
                <c:pt idx="316">
                  <c:v>1.1851895784858251E-2</c:v>
                </c:pt>
                <c:pt idx="317">
                  <c:v>1.2092243709396714E-2</c:v>
                </c:pt>
                <c:pt idx="318">
                  <c:v>1.2320922150778076E-2</c:v>
                </c:pt>
                <c:pt idx="319">
                  <c:v>1.2537897842884616E-2</c:v>
                </c:pt>
                <c:pt idx="320">
                  <c:v>1.2743137663523096E-2</c:v>
                </c:pt>
                <c:pt idx="321">
                  <c:v>1.2936608741474308E-2</c:v>
                </c:pt>
                <c:pt idx="322">
                  <c:v>1.3118278563601416E-2</c:v>
                </c:pt>
                <c:pt idx="323">
                  <c:v>1.328404482763262E-2</c:v>
                </c:pt>
                <c:pt idx="324">
                  <c:v>1.3437299556121225E-2</c:v>
                </c:pt>
                <c:pt idx="325">
                  <c:v>1.3578010872348285E-2</c:v>
                </c:pt>
                <c:pt idx="326">
                  <c:v>1.3706062500921398E-2</c:v>
                </c:pt>
                <c:pt idx="327">
                  <c:v>1.3821393601428023E-2</c:v>
                </c:pt>
                <c:pt idx="328">
                  <c:v>1.3924015429394291E-2</c:v>
                </c:pt>
                <c:pt idx="329">
                  <c:v>1.4013942135099886E-2</c:v>
                </c:pt>
                <c:pt idx="330">
                  <c:v>1.4091190505845277E-2</c:v>
                </c:pt>
                <c:pt idx="331">
                  <c:v>1.4153640369860181E-2</c:v>
                </c:pt>
                <c:pt idx="332">
                  <c:v>1.4209621380240329E-2</c:v>
                </c:pt>
                <c:pt idx="333">
                  <c:v>1.4259158299439193E-2</c:v>
                </c:pt>
                <c:pt idx="334">
                  <c:v>1.4302276939283896E-2</c:v>
                </c:pt>
                <c:pt idx="335">
                  <c:v>1.4339004031792054E-2</c:v>
                </c:pt>
                <c:pt idx="336">
                  <c:v>1.436936709980143E-2</c:v>
                </c:pt>
                <c:pt idx="337">
                  <c:v>1.4393420663926952E-2</c:v>
                </c:pt>
                <c:pt idx="338">
                  <c:v>1.4415271912822106E-2</c:v>
                </c:pt>
                <c:pt idx="339">
                  <c:v>1.4434950272950775E-2</c:v>
                </c:pt>
                <c:pt idx="340">
                  <c:v>1.4452485393088889E-2</c:v>
                </c:pt>
                <c:pt idx="341">
                  <c:v>1.4467907100428674E-2</c:v>
                </c:pt>
                <c:pt idx="342">
                  <c:v>1.4481245356671875E-2</c:v>
                </c:pt>
                <c:pt idx="343">
                  <c:v>1.4492530213948255E-2</c:v>
                </c:pt>
                <c:pt idx="344">
                  <c:v>1.4501791770961253E-2</c:v>
                </c:pt>
                <c:pt idx="345">
                  <c:v>1.4509060128980943E-2</c:v>
                </c:pt>
                <c:pt idx="346">
                  <c:v>1.4516053123369241E-2</c:v>
                </c:pt>
                <c:pt idx="347">
                  <c:v>1.4522801064988541E-2</c:v>
                </c:pt>
                <c:pt idx="348">
                  <c:v>1.452933428272541E-2</c:v>
                </c:pt>
                <c:pt idx="349">
                  <c:v>1.4535683114500051E-2</c:v>
                </c:pt>
                <c:pt idx="350">
                  <c:v>1.4541877898616043E-2</c:v>
                </c:pt>
                <c:pt idx="351">
                  <c:v>1.4547495751728732E-2</c:v>
                </c:pt>
                <c:pt idx="352">
                  <c:v>1.4552540407480753E-2</c:v>
                </c:pt>
                <c:pt idx="353">
                  <c:v>1.4557041851751369E-2</c:v>
                </c:pt>
                <c:pt idx="354">
                  <c:v>1.4561029954064766E-2</c:v>
                </c:pt>
                <c:pt idx="355">
                  <c:v>1.4564534448028956E-2</c:v>
                </c:pt>
                <c:pt idx="356">
                  <c:v>1.456759497955553E-2</c:v>
                </c:pt>
                <c:pt idx="357">
                  <c:v>1.4570208491688949E-2</c:v>
                </c:pt>
                <c:pt idx="358">
                  <c:v>1.4572336664466215E-2</c:v>
                </c:pt>
                <c:pt idx="359">
                  <c:v>1.4573941042543883E-2</c:v>
                </c:pt>
                <c:pt idx="360">
                  <c:v>1.4575009480429295E-2</c:v>
                </c:pt>
                <c:pt idx="361">
                  <c:v>1.4575957862063295E-2</c:v>
                </c:pt>
                <c:pt idx="362">
                  <c:v>1.4576748078413783E-2</c:v>
                </c:pt>
                <c:pt idx="363">
                  <c:v>1.4577342024722559E-2</c:v>
                </c:pt>
                <c:pt idx="364">
                  <c:v>1.4577701611701629E-2</c:v>
                </c:pt>
                <c:pt idx="365">
                  <c:v>1.4577788776549801E-2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1.8754085640803279E-2</c:v>
                </c:pt>
                <c:pt idx="1">
                  <c:v>1.8743444062860729E-2</c:v>
                </c:pt>
                <c:pt idx="2">
                  <c:v>1.8732012174823596E-2</c:v>
                </c:pt>
                <c:pt idx="3">
                  <c:v>1.8719740609282387E-2</c:v>
                </c:pt>
                <c:pt idx="4">
                  <c:v>1.8706580193032084E-2</c:v>
                </c:pt>
                <c:pt idx="5">
                  <c:v>1.8692481969591848E-2</c:v>
                </c:pt>
                <c:pt idx="6">
                  <c:v>1.8677397221963595E-2</c:v>
                </c:pt>
                <c:pt idx="7">
                  <c:v>1.8661277494969573E-2</c:v>
                </c:pt>
                <c:pt idx="8">
                  <c:v>1.8644074617851971E-2</c:v>
                </c:pt>
                <c:pt idx="9">
                  <c:v>1.8624623119333435E-2</c:v>
                </c:pt>
                <c:pt idx="10">
                  <c:v>1.8603562306804228E-2</c:v>
                </c:pt>
                <c:pt idx="11">
                  <c:v>1.8580844519664207E-2</c:v>
                </c:pt>
                <c:pt idx="12">
                  <c:v>1.8556422533530667E-2</c:v>
                </c:pt>
                <c:pt idx="13">
                  <c:v>1.8530249593756085E-2</c:v>
                </c:pt>
                <c:pt idx="14">
                  <c:v>1.8502279448628707E-2</c:v>
                </c:pt>
                <c:pt idx="15">
                  <c:v>1.846424273232115E-2</c:v>
                </c:pt>
                <c:pt idx="16">
                  <c:v>1.8416286921974404E-2</c:v>
                </c:pt>
                <c:pt idx="17">
                  <c:v>1.8358362010433098E-2</c:v>
                </c:pt>
                <c:pt idx="18">
                  <c:v>1.8290420377567021E-2</c:v>
                </c:pt>
                <c:pt idx="19">
                  <c:v>1.8212518614566634E-2</c:v>
                </c:pt>
                <c:pt idx="20">
                  <c:v>1.8124759881399919E-2</c:v>
                </c:pt>
                <c:pt idx="21">
                  <c:v>1.8027169096053355E-2</c:v>
                </c:pt>
                <c:pt idx="22">
                  <c:v>1.7919772086704477E-2</c:v>
                </c:pt>
                <c:pt idx="23">
                  <c:v>1.7795927379437096E-2</c:v>
                </c:pt>
                <c:pt idx="24">
                  <c:v>1.7656782677387607E-2</c:v>
                </c:pt>
                <c:pt idx="25">
                  <c:v>1.7502365290777838E-2</c:v>
                </c:pt>
                <c:pt idx="26">
                  <c:v>1.7332703552627473E-2</c:v>
                </c:pt>
                <c:pt idx="27">
                  <c:v>1.7147826632221308E-2</c:v>
                </c:pt>
                <c:pt idx="28">
                  <c:v>1.6947764348953467E-2</c:v>
                </c:pt>
                <c:pt idx="29">
                  <c:v>1.6737834945766566E-2</c:v>
                </c:pt>
                <c:pt idx="30">
                  <c:v>1.652630593094849E-2</c:v>
                </c:pt>
                <c:pt idx="31">
                  <c:v>1.6313206319824518E-2</c:v>
                </c:pt>
                <c:pt idx="32">
                  <c:v>1.6098564169610974E-2</c:v>
                </c:pt>
                <c:pt idx="33">
                  <c:v>1.5882406562114048E-2</c:v>
                </c:pt>
                <c:pt idx="34">
                  <c:v>1.5664759586502462E-2</c:v>
                </c:pt>
                <c:pt idx="35">
                  <c:v>1.5445648322064335E-2</c:v>
                </c:pt>
                <c:pt idx="36">
                  <c:v>1.5225096820930536E-2</c:v>
                </c:pt>
                <c:pt idx="37">
                  <c:v>1.501877355631618E-2</c:v>
                </c:pt>
                <c:pt idx="38">
                  <c:v>1.4833362142345853E-2</c:v>
                </c:pt>
                <c:pt idx="39">
                  <c:v>1.4668877436463687E-2</c:v>
                </c:pt>
                <c:pt idx="40">
                  <c:v>1.4525333150116651E-2</c:v>
                </c:pt>
                <c:pt idx="41">
                  <c:v>1.4402742110627155E-2</c:v>
                </c:pt>
                <c:pt idx="42">
                  <c:v>1.4301116522961827E-2</c:v>
                </c:pt>
                <c:pt idx="43">
                  <c:v>1.4245333420091259E-2</c:v>
                </c:pt>
                <c:pt idx="44">
                  <c:v>1.4230116199968643E-2</c:v>
                </c:pt>
                <c:pt idx="45">
                  <c:v>1.4255472745917581E-2</c:v>
                </c:pt>
                <c:pt idx="46">
                  <c:v>1.432141226022577E-2</c:v>
                </c:pt>
                <c:pt idx="47">
                  <c:v>1.4427945771078868E-2</c:v>
                </c:pt>
                <c:pt idx="48">
                  <c:v>1.457508663930809E-2</c:v>
                </c:pt>
                <c:pt idx="49">
                  <c:v>1.4762851065267174E-2</c:v>
                </c:pt>
                <c:pt idx="50">
                  <c:v>1.4991258595620897E-2</c:v>
                </c:pt>
                <c:pt idx="51">
                  <c:v>1.5277596744478967E-2</c:v>
                </c:pt>
                <c:pt idx="52">
                  <c:v>1.5606176767032326E-2</c:v>
                </c:pt>
                <c:pt idx="53">
                  <c:v>1.5976920925646284E-2</c:v>
                </c:pt>
                <c:pt idx="54">
                  <c:v>1.6389826086301688E-2</c:v>
                </c:pt>
                <c:pt idx="55">
                  <c:v>1.6844889260964783E-2</c:v>
                </c:pt>
                <c:pt idx="56">
                  <c:v>1.7342107451759702E-2</c:v>
                </c:pt>
                <c:pt idx="57">
                  <c:v>1.7852055824794672E-2</c:v>
                </c:pt>
                <c:pt idx="58">
                  <c:v>1.8349875955199029E-2</c:v>
                </c:pt>
                <c:pt idx="59">
                  <c:v>1.8835562760824709E-2</c:v>
                </c:pt>
                <c:pt idx="60">
                  <c:v>1.9309110357361235E-2</c:v>
                </c:pt>
                <c:pt idx="61">
                  <c:v>1.9770512103321411E-2</c:v>
                </c:pt>
                <c:pt idx="62">
                  <c:v>2.0219760644997736E-2</c:v>
                </c:pt>
                <c:pt idx="63">
                  <c:v>2.0656847961477685E-2</c:v>
                </c:pt>
                <c:pt idx="64">
                  <c:v>2.108176540957974E-2</c:v>
                </c:pt>
                <c:pt idx="65">
                  <c:v>2.1432372167444449E-2</c:v>
                </c:pt>
                <c:pt idx="66">
                  <c:v>2.1691393042754942E-2</c:v>
                </c:pt>
                <c:pt idx="67">
                  <c:v>2.1858817873940131E-2</c:v>
                </c:pt>
                <c:pt idx="68">
                  <c:v>2.1934637247995405E-2</c:v>
                </c:pt>
                <c:pt idx="69">
                  <c:v>2.19188428391138E-2</c:v>
                </c:pt>
                <c:pt idx="70">
                  <c:v>2.1811427747418247E-2</c:v>
                </c:pt>
                <c:pt idx="71">
                  <c:v>2.1583892002701031E-2</c:v>
                </c:pt>
                <c:pt idx="72">
                  <c:v>2.1265655990267102E-2</c:v>
                </c:pt>
                <c:pt idx="73">
                  <c:v>2.0856719424876064E-2</c:v>
                </c:pt>
                <c:pt idx="74">
                  <c:v>2.0357084818966826E-2</c:v>
                </c:pt>
                <c:pt idx="75">
                  <c:v>1.976675781795716E-2</c:v>
                </c:pt>
                <c:pt idx="76">
                  <c:v>1.9085747535478845E-2</c:v>
                </c:pt>
                <c:pt idx="77">
                  <c:v>1.8314066888678666E-2</c:v>
                </c:pt>
                <c:pt idx="78">
                  <c:v>1.7451733512869202E-2</c:v>
                </c:pt>
                <c:pt idx="79">
                  <c:v>1.6513303480639306E-2</c:v>
                </c:pt>
                <c:pt idx="80">
                  <c:v>1.5560943256457979E-2</c:v>
                </c:pt>
                <c:pt idx="81">
                  <c:v>1.4594650295814856E-2</c:v>
                </c:pt>
                <c:pt idx="82">
                  <c:v>1.3614423314069908E-2</c:v>
                </c:pt>
                <c:pt idx="83">
                  <c:v>1.262026233134598E-2</c:v>
                </c:pt>
                <c:pt idx="84">
                  <c:v>1.1612168717465173E-2</c:v>
                </c:pt>
                <c:pt idx="85">
                  <c:v>1.0624432769601006E-2</c:v>
                </c:pt>
                <c:pt idx="86">
                  <c:v>9.6855310590476529E-3</c:v>
                </c:pt>
                <c:pt idx="87">
                  <c:v>8.7954584266492653E-3</c:v>
                </c:pt>
                <c:pt idx="88">
                  <c:v>7.9542102127103959E-3</c:v>
                </c:pt>
                <c:pt idx="89">
                  <c:v>7.1617821007807546E-3</c:v>
                </c:pt>
                <c:pt idx="90">
                  <c:v>6.4181699614241847E-3</c:v>
                </c:pt>
                <c:pt idx="91">
                  <c:v>5.7233696960161395E-3</c:v>
                </c:pt>
                <c:pt idx="92">
                  <c:v>5.0773770805180342E-3</c:v>
                </c:pt>
                <c:pt idx="93">
                  <c:v>4.5074347677844058E-3</c:v>
                </c:pt>
                <c:pt idx="94">
                  <c:v>3.999074201681275E-3</c:v>
                </c:pt>
                <c:pt idx="95">
                  <c:v>3.552286135569582E-3</c:v>
                </c:pt>
                <c:pt idx="96">
                  <c:v>3.1670601397723133E-3</c:v>
                </c:pt>
                <c:pt idx="97">
                  <c:v>2.8433844043758722E-3</c:v>
                </c:pt>
                <c:pt idx="98">
                  <c:v>2.5812455419965958E-3</c:v>
                </c:pt>
                <c:pt idx="99">
                  <c:v>2.3931337080136212E-3</c:v>
                </c:pt>
                <c:pt idx="100">
                  <c:v>2.244780973433141E-3</c:v>
                </c:pt>
                <c:pt idx="101">
                  <c:v>2.1361757582060766E-3</c:v>
                </c:pt>
                <c:pt idx="102">
                  <c:v>2.0673050277434974E-3</c:v>
                </c:pt>
                <c:pt idx="103">
                  <c:v>2.0381541654277669E-3</c:v>
                </c:pt>
                <c:pt idx="104">
                  <c:v>2.0487068451727633E-3</c:v>
                </c:pt>
                <c:pt idx="105">
                  <c:v>2.0989449039386298E-3</c:v>
                </c:pt>
                <c:pt idx="106">
                  <c:v>2.1888482142720734E-3</c:v>
                </c:pt>
                <c:pt idx="107">
                  <c:v>2.3281940594158993E-3</c:v>
                </c:pt>
                <c:pt idx="108">
                  <c:v>2.4897567560814259E-3</c:v>
                </c:pt>
                <c:pt idx="109">
                  <c:v>2.6735190775947154E-3</c:v>
                </c:pt>
                <c:pt idx="110">
                  <c:v>2.8794705228292264E-3</c:v>
                </c:pt>
                <c:pt idx="111">
                  <c:v>3.1076018628066462E-3</c:v>
                </c:pt>
                <c:pt idx="112">
                  <c:v>3.3578961072131116E-3</c:v>
                </c:pt>
                <c:pt idx="113">
                  <c:v>3.6380779882486023E-3</c:v>
                </c:pt>
                <c:pt idx="114">
                  <c:v>3.9356500672306687E-3</c:v>
                </c:pt>
                <c:pt idx="115">
                  <c:v>4.2505957763115379E-3</c:v>
                </c:pt>
                <c:pt idx="116">
                  <c:v>4.5828977395866678E-3</c:v>
                </c:pt>
                <c:pt idx="117">
                  <c:v>4.932537734793848E-3</c:v>
                </c:pt>
                <c:pt idx="118">
                  <c:v>5.2994966549734703E-3</c:v>
                </c:pt>
                <c:pt idx="119">
                  <c:v>5.6837544701391785E-3</c:v>
                </c:pt>
                <c:pt idx="120">
                  <c:v>6.0852901889387424E-3</c:v>
                </c:pt>
                <c:pt idx="121">
                  <c:v>6.510574539760474E-3</c:v>
                </c:pt>
                <c:pt idx="122">
                  <c:v>6.9498122290268353E-3</c:v>
                </c:pt>
                <c:pt idx="123">
                  <c:v>7.4029816548555772E-3</c:v>
                </c:pt>
                <c:pt idx="124">
                  <c:v>7.8700602347529201E-3</c:v>
                </c:pt>
                <c:pt idx="125">
                  <c:v>8.3510243745211696E-3</c:v>
                </c:pt>
                <c:pt idx="126">
                  <c:v>8.8458494370662073E-3</c:v>
                </c:pt>
                <c:pt idx="127">
                  <c:v>9.3573617121400256E-3</c:v>
                </c:pt>
                <c:pt idx="128">
                  <c:v>9.8778189980244513E-3</c:v>
                </c:pt>
                <c:pt idx="129">
                  <c:v>1.040719786403691E-2</c:v>
                </c:pt>
                <c:pt idx="130">
                  <c:v>1.0945473955783352E-2</c:v>
                </c:pt>
                <c:pt idx="131">
                  <c:v>1.1492621974579393E-2</c:v>
                </c:pt>
                <c:pt idx="132">
                  <c:v>1.2048615656953593E-2</c:v>
                </c:pt>
                <c:pt idx="133">
                  <c:v>1.2613427754226561E-2</c:v>
                </c:pt>
                <c:pt idx="134">
                  <c:v>1.3187030012040066E-2</c:v>
                </c:pt>
                <c:pt idx="135">
                  <c:v>1.3743618911980662E-2</c:v>
                </c:pt>
                <c:pt idx="136">
                  <c:v>1.4276731552228965E-2</c:v>
                </c:pt>
                <c:pt idx="137">
                  <c:v>1.478637497914987E-2</c:v>
                </c:pt>
                <c:pt idx="138">
                  <c:v>1.5272557151007775E-2</c:v>
                </c:pt>
                <c:pt idx="139">
                  <c:v>1.5735286988783306E-2</c:v>
                </c:pt>
                <c:pt idx="140">
                  <c:v>1.6174574426146931E-2</c:v>
                </c:pt>
                <c:pt idx="141">
                  <c:v>1.653365385234239E-2</c:v>
                </c:pt>
                <c:pt idx="142">
                  <c:v>1.6809684299288759E-2</c:v>
                </c:pt>
                <c:pt idx="143">
                  <c:v>1.7002683158902996E-2</c:v>
                </c:pt>
                <c:pt idx="144">
                  <c:v>1.7112777063250609E-2</c:v>
                </c:pt>
                <c:pt idx="145">
                  <c:v>1.7140103385968119E-2</c:v>
                </c:pt>
                <c:pt idx="146">
                  <c:v>1.7084809134055825E-2</c:v>
                </c:pt>
                <c:pt idx="147">
                  <c:v>1.6947049840249331E-2</c:v>
                </c:pt>
                <c:pt idx="148">
                  <c:v>1.6726988454979632E-2</c:v>
                </c:pt>
                <c:pt idx="149">
                  <c:v>1.641047395123392E-2</c:v>
                </c:pt>
                <c:pt idx="150">
                  <c:v>1.6023296676770618E-2</c:v>
                </c:pt>
                <c:pt idx="151">
                  <c:v>1.5565615490516922E-2</c:v>
                </c:pt>
                <c:pt idx="152">
                  <c:v>1.5037591533119038E-2</c:v>
                </c:pt>
                <c:pt idx="153">
                  <c:v>1.4439387271163943E-2</c:v>
                </c:pt>
                <c:pt idx="154">
                  <c:v>1.3771165541491284E-2</c:v>
                </c:pt>
                <c:pt idx="155">
                  <c:v>1.3067847463606294E-2</c:v>
                </c:pt>
                <c:pt idx="156">
                  <c:v>1.2385829587145762E-2</c:v>
                </c:pt>
                <c:pt idx="157">
                  <c:v>1.172509690226874E-2</c:v>
                </c:pt>
                <c:pt idx="158">
                  <c:v>1.1085630493559812E-2</c:v>
                </c:pt>
                <c:pt idx="159">
                  <c:v>1.0467407817328422E-2</c:v>
                </c:pt>
                <c:pt idx="160">
                  <c:v>9.8704029790501035E-3</c:v>
                </c:pt>
                <c:pt idx="161">
                  <c:v>9.2945870106775699E-3</c:v>
                </c:pt>
                <c:pt idx="162">
                  <c:v>8.7399281480147403E-3</c:v>
                </c:pt>
                <c:pt idx="163">
                  <c:v>8.2277650428531982E-3</c:v>
                </c:pt>
                <c:pt idx="164">
                  <c:v>7.7722092276912525E-3</c:v>
                </c:pt>
                <c:pt idx="165">
                  <c:v>7.3731579317532813E-3</c:v>
                </c:pt>
                <c:pt idx="166">
                  <c:v>7.030508885031571E-3</c:v>
                </c:pt>
                <c:pt idx="167">
                  <c:v>6.7441610794351618E-3</c:v>
                </c:pt>
                <c:pt idx="168">
                  <c:v>6.5140155301742358E-3</c:v>
                </c:pt>
                <c:pt idx="169">
                  <c:v>6.3612732630885342E-3</c:v>
                </c:pt>
                <c:pt idx="170">
                  <c:v>6.2513642636277287E-3</c:v>
                </c:pt>
                <c:pt idx="171">
                  <c:v>6.1842222001734009E-3</c:v>
                </c:pt>
                <c:pt idx="172">
                  <c:v>6.1597845094948523E-3</c:v>
                </c:pt>
                <c:pt idx="173">
                  <c:v>6.1779298020036028E-3</c:v>
                </c:pt>
                <c:pt idx="174">
                  <c:v>6.2385357563512385E-3</c:v>
                </c:pt>
                <c:pt idx="175">
                  <c:v>6.341541647390812E-3</c:v>
                </c:pt>
                <c:pt idx="176">
                  <c:v>6.4868870300603641E-3</c:v>
                </c:pt>
                <c:pt idx="177">
                  <c:v>6.7088317533736969E-3</c:v>
                </c:pt>
                <c:pt idx="178">
                  <c:v>6.9860659211358478E-3</c:v>
                </c:pt>
                <c:pt idx="179">
                  <c:v>7.3185120893582822E-3</c:v>
                </c:pt>
                <c:pt idx="180">
                  <c:v>7.7060944266259717E-3</c:v>
                </c:pt>
                <c:pt idx="181">
                  <c:v>8.1487390400380218E-3</c:v>
                </c:pt>
                <c:pt idx="182">
                  <c:v>8.6463743012098315E-3</c:v>
                </c:pt>
                <c:pt idx="183">
                  <c:v>9.1848848949887662E-3</c:v>
                </c:pt>
                <c:pt idx="184">
                  <c:v>9.7430878398722682E-3</c:v>
                </c:pt>
                <c:pt idx="185">
                  <c:v>1.0320969788257398E-2</c:v>
                </c:pt>
                <c:pt idx="186">
                  <c:v>1.0918519492999441E-2</c:v>
                </c:pt>
                <c:pt idx="187">
                  <c:v>1.1535727926214311E-2</c:v>
                </c:pt>
                <c:pt idx="188">
                  <c:v>1.2172588398166215E-2</c:v>
                </c:pt>
                <c:pt idx="189">
                  <c:v>1.282909667580316E-2</c:v>
                </c:pt>
                <c:pt idx="190">
                  <c:v>1.3505251101788443E-2</c:v>
                </c:pt>
                <c:pt idx="191">
                  <c:v>1.4145792263634015E-2</c:v>
                </c:pt>
                <c:pt idx="192">
                  <c:v>1.471671198931331E-2</c:v>
                </c:pt>
                <c:pt idx="193">
                  <c:v>1.5218123065850147E-2</c:v>
                </c:pt>
                <c:pt idx="194">
                  <c:v>1.5650135009441197E-2</c:v>
                </c:pt>
                <c:pt idx="195">
                  <c:v>1.6012853656545964E-2</c:v>
                </c:pt>
                <c:pt idx="196">
                  <c:v>1.6306380754399958E-2</c:v>
                </c:pt>
                <c:pt idx="197">
                  <c:v>1.6505846206252971E-2</c:v>
                </c:pt>
                <c:pt idx="198">
                  <c:v>1.6625326292038407E-2</c:v>
                </c:pt>
                <c:pt idx="199">
                  <c:v>1.6664917670460581E-2</c:v>
                </c:pt>
                <c:pt idx="200">
                  <c:v>1.6624710216299965E-2</c:v>
                </c:pt>
                <c:pt idx="201">
                  <c:v>1.6504786545838077E-2</c:v>
                </c:pt>
                <c:pt idx="202">
                  <c:v>1.6305221542378987E-2</c:v>
                </c:pt>
                <c:pt idx="203">
                  <c:v>1.6026081882136466E-2</c:v>
                </c:pt>
                <c:pt idx="204">
                  <c:v>1.5667400259302241E-2</c:v>
                </c:pt>
                <c:pt idx="205">
                  <c:v>1.5231942827595744E-2</c:v>
                </c:pt>
                <c:pt idx="206">
                  <c:v>1.4774735452603212E-2</c:v>
                </c:pt>
                <c:pt idx="207">
                  <c:v>1.4295769085171982E-2</c:v>
                </c:pt>
                <c:pt idx="208">
                  <c:v>1.379503343464927E-2</c:v>
                </c:pt>
                <c:pt idx="209">
                  <c:v>1.3272517037439684E-2</c:v>
                </c:pt>
                <c:pt idx="210">
                  <c:v>1.2728207326029256E-2</c:v>
                </c:pt>
                <c:pt idx="211">
                  <c:v>1.2168331506092157E-2</c:v>
                </c:pt>
                <c:pt idx="212">
                  <c:v>1.1617751783864757E-2</c:v>
                </c:pt>
                <c:pt idx="213">
                  <c:v>1.1076440955547011E-2</c:v>
                </c:pt>
                <c:pt idx="214">
                  <c:v>1.0544373131360713E-2</c:v>
                </c:pt>
                <c:pt idx="215">
                  <c:v>1.0021523707687267E-2</c:v>
                </c:pt>
                <c:pt idx="216">
                  <c:v>9.5078693391602957E-3</c:v>
                </c:pt>
                <c:pt idx="217">
                  <c:v>9.0033879107936504E-3</c:v>
                </c:pt>
                <c:pt idx="218">
                  <c:v>8.5080585100512536E-3</c:v>
                </c:pt>
                <c:pt idx="219">
                  <c:v>8.0292836566917582E-3</c:v>
                </c:pt>
                <c:pt idx="220">
                  <c:v>7.5642999674199385E-3</c:v>
                </c:pt>
                <c:pt idx="221">
                  <c:v>7.1130895511877018E-3</c:v>
                </c:pt>
                <c:pt idx="222">
                  <c:v>6.6756358522644266E-3</c:v>
                </c:pt>
                <c:pt idx="223">
                  <c:v>6.2519236079290851E-3</c:v>
                </c:pt>
                <c:pt idx="224">
                  <c:v>5.8419388059738767E-3</c:v>
                </c:pt>
                <c:pt idx="225">
                  <c:v>5.4550499686196177E-3</c:v>
                </c:pt>
                <c:pt idx="226">
                  <c:v>5.0850108032669903E-3</c:v>
                </c:pt>
                <c:pt idx="227">
                  <c:v>4.7318110519687494E-3</c:v>
                </c:pt>
                <c:pt idx="228">
                  <c:v>4.3954416614119035E-3</c:v>
                </c:pt>
                <c:pt idx="229">
                  <c:v>4.0758947306366511E-3</c:v>
                </c:pt>
                <c:pt idx="230">
                  <c:v>3.7731634588376939E-3</c:v>
                </c:pt>
                <c:pt idx="231">
                  <c:v>3.4872420931682732E-3</c:v>
                </c:pt>
                <c:pt idx="232">
                  <c:v>3.2181258764621998E-3</c:v>
                </c:pt>
                <c:pt idx="233">
                  <c:v>2.9777711723874187E-3</c:v>
                </c:pt>
                <c:pt idx="234">
                  <c:v>2.7587543196392109E-3</c:v>
                </c:pt>
                <c:pt idx="235">
                  <c:v>2.5610762114801938E-3</c:v>
                </c:pt>
                <c:pt idx="236">
                  <c:v>2.384738845760211E-3</c:v>
                </c:pt>
                <c:pt idx="237">
                  <c:v>2.2297430176674063E-3</c:v>
                </c:pt>
                <c:pt idx="238">
                  <c:v>2.0960902769126973E-3</c:v>
                </c:pt>
                <c:pt idx="239">
                  <c:v>2.0098376762477861E-3</c:v>
                </c:pt>
                <c:pt idx="240">
                  <c:v>1.9616079432231179E-3</c:v>
                </c:pt>
                <c:pt idx="241">
                  <c:v>1.9514105471552805E-3</c:v>
                </c:pt>
                <c:pt idx="242">
                  <c:v>1.9792566496990701E-3</c:v>
                </c:pt>
                <c:pt idx="243">
                  <c:v>2.0451591719621732E-3</c:v>
                </c:pt>
                <c:pt idx="244">
                  <c:v>2.1491328616087177E-3</c:v>
                </c:pt>
                <c:pt idx="245">
                  <c:v>2.2911943599427183E-3</c:v>
                </c:pt>
                <c:pt idx="246">
                  <c:v>2.4713622689833186E-3</c:v>
                </c:pt>
                <c:pt idx="247">
                  <c:v>2.7224579480015325E-3</c:v>
                </c:pt>
                <c:pt idx="248">
                  <c:v>3.0325414344779351E-3</c:v>
                </c:pt>
                <c:pt idx="249">
                  <c:v>3.4016486835947296E-3</c:v>
                </c:pt>
                <c:pt idx="250">
                  <c:v>3.8298190384709252E-3</c:v>
                </c:pt>
                <c:pt idx="251">
                  <c:v>4.317095334060223E-3</c:v>
                </c:pt>
                <c:pt idx="252">
                  <c:v>4.8635240009163357E-3</c:v>
                </c:pt>
                <c:pt idx="253">
                  <c:v>5.4830081824405567E-3</c:v>
                </c:pt>
                <c:pt idx="254">
                  <c:v>6.1494982807745891E-3</c:v>
                </c:pt>
                <c:pt idx="255">
                  <c:v>6.863044459844452E-3</c:v>
                </c:pt>
                <c:pt idx="256">
                  <c:v>7.6237001589479726E-3</c:v>
                </c:pt>
                <c:pt idx="257">
                  <c:v>8.4315221749287506E-3</c:v>
                </c:pt>
                <c:pt idx="258">
                  <c:v>9.286570744398627E-3</c:v>
                </c:pt>
                <c:pt idx="259">
                  <c:v>1.0188909626103367E-2</c:v>
                </c:pt>
                <c:pt idx="260">
                  <c:v>1.1138606183030518E-2</c:v>
                </c:pt>
                <c:pt idx="261">
                  <c:v>1.21084042793465E-2</c:v>
                </c:pt>
                <c:pt idx="262">
                  <c:v>1.3065444684447433E-2</c:v>
                </c:pt>
                <c:pt idx="263">
                  <c:v>1.4009749939059537E-2</c:v>
                </c:pt>
                <c:pt idx="264">
                  <c:v>1.494134305125251E-2</c:v>
                </c:pt>
                <c:pt idx="265">
                  <c:v>1.586033191947344E-2</c:v>
                </c:pt>
                <c:pt idx="266">
                  <c:v>1.67667996375266E-2</c:v>
                </c:pt>
                <c:pt idx="267">
                  <c:v>1.760106430618516E-2</c:v>
                </c:pt>
                <c:pt idx="268">
                  <c:v>1.8349157852353574E-2</c:v>
                </c:pt>
                <c:pt idx="269">
                  <c:v>1.9010997066757844E-2</c:v>
                </c:pt>
                <c:pt idx="270">
                  <c:v>1.9586486900952611E-2</c:v>
                </c:pt>
                <c:pt idx="271">
                  <c:v>2.0075521426383938E-2</c:v>
                </c:pt>
                <c:pt idx="272">
                  <c:v>2.0477984793947697E-2</c:v>
                </c:pt>
                <c:pt idx="273">
                  <c:v>2.0793752193305013E-2</c:v>
                </c:pt>
                <c:pt idx="274">
                  <c:v>2.1022690812463083E-2</c:v>
                </c:pt>
                <c:pt idx="275">
                  <c:v>2.1136288139888017E-2</c:v>
                </c:pt>
                <c:pt idx="276">
                  <c:v>2.1161847843093884E-2</c:v>
                </c:pt>
                <c:pt idx="277">
                  <c:v>2.1099216843867674E-2</c:v>
                </c:pt>
                <c:pt idx="278">
                  <c:v>2.0948237987952308E-2</c:v>
                </c:pt>
                <c:pt idx="279">
                  <c:v>2.0708751014229802E-2</c:v>
                </c:pt>
                <c:pt idx="280">
                  <c:v>2.0380593524100668E-2</c:v>
                </c:pt>
                <c:pt idx="281">
                  <c:v>1.9980301125776086E-2</c:v>
                </c:pt>
                <c:pt idx="282">
                  <c:v>1.9567863590992236E-2</c:v>
                </c:pt>
                <c:pt idx="283">
                  <c:v>1.9143238491746487E-2</c:v>
                </c:pt>
                <c:pt idx="284">
                  <c:v>1.8706385181311111E-2</c:v>
                </c:pt>
                <c:pt idx="285">
                  <c:v>1.8257264922890027E-2</c:v>
                </c:pt>
                <c:pt idx="286">
                  <c:v>1.7795841018454467E-2</c:v>
                </c:pt>
                <c:pt idx="287">
                  <c:v>1.7322078937389476E-2</c:v>
                </c:pt>
                <c:pt idx="288">
                  <c:v>1.6835946445214391E-2</c:v>
                </c:pt>
                <c:pt idx="289">
                  <c:v>1.6361554774836445E-2</c:v>
                </c:pt>
                <c:pt idx="290">
                  <c:v>1.5927504436957958E-2</c:v>
                </c:pt>
                <c:pt idx="291">
                  <c:v>1.5533848189850387E-2</c:v>
                </c:pt>
                <c:pt idx="292">
                  <c:v>1.5180638817840129E-2</c:v>
                </c:pt>
                <c:pt idx="293">
                  <c:v>1.4867928685453592E-2</c:v>
                </c:pt>
                <c:pt idx="294">
                  <c:v>1.4595769291498232E-2</c:v>
                </c:pt>
                <c:pt idx="295">
                  <c:v>1.4379437665345742E-2</c:v>
                </c:pt>
                <c:pt idx="296">
                  <c:v>1.4202350266241745E-2</c:v>
                </c:pt>
                <c:pt idx="297">
                  <c:v>1.4064663913800382E-2</c:v>
                </c:pt>
                <c:pt idx="298">
                  <c:v>1.3966416850234495E-2</c:v>
                </c:pt>
                <c:pt idx="299">
                  <c:v>1.3907649160454845E-2</c:v>
                </c:pt>
                <c:pt idx="300">
                  <c:v>1.3888402407656771E-2</c:v>
                </c:pt>
                <c:pt idx="301">
                  <c:v>1.3908719268864235E-2</c:v>
                </c:pt>
                <c:pt idx="302">
                  <c:v>1.3968643170505208E-2</c:v>
                </c:pt>
                <c:pt idx="303">
                  <c:v>1.4073380770285193E-2</c:v>
                </c:pt>
                <c:pt idx="304">
                  <c:v>1.4198670948466672E-2</c:v>
                </c:pt>
                <c:pt idx="305">
                  <c:v>1.4344529852794555E-2</c:v>
                </c:pt>
                <c:pt idx="306">
                  <c:v>1.4510973080683378E-2</c:v>
                </c:pt>
                <c:pt idx="307">
                  <c:v>1.4698015491008567E-2</c:v>
                </c:pt>
                <c:pt idx="308">
                  <c:v>1.4905671015774899E-2</c:v>
                </c:pt>
                <c:pt idx="309">
                  <c:v>1.5127422490084065E-2</c:v>
                </c:pt>
                <c:pt idx="310">
                  <c:v>1.5347939861385813E-2</c:v>
                </c:pt>
                <c:pt idx="311">
                  <c:v>1.5567203656178022E-2</c:v>
                </c:pt>
                <c:pt idx="312">
                  <c:v>1.5785193669104719E-2</c:v>
                </c:pt>
                <c:pt idx="313">
                  <c:v>1.6001888975437625E-2</c:v>
                </c:pt>
                <c:pt idx="314">
                  <c:v>1.6217267943414944E-2</c:v>
                </c:pt>
                <c:pt idx="315">
                  <c:v>1.6431308246780244E-2</c:v>
                </c:pt>
                <c:pt idx="316">
                  <c:v>1.6643986877073684E-2</c:v>
                </c:pt>
                <c:pt idx="317">
                  <c:v>1.6847187026594171E-2</c:v>
                </c:pt>
                <c:pt idx="318">
                  <c:v>1.7035677830662968E-2</c:v>
                </c:pt>
                <c:pt idx="319">
                  <c:v>1.7209419950639418E-2</c:v>
                </c:pt>
                <c:pt idx="320">
                  <c:v>1.7368374588415631E-2</c:v>
                </c:pt>
                <c:pt idx="321">
                  <c:v>1.751250362046038E-2</c:v>
                </c:pt>
                <c:pt idx="322">
                  <c:v>1.7641769731940114E-2</c:v>
                </c:pt>
                <c:pt idx="323">
                  <c:v>1.7755031880080343E-2</c:v>
                </c:pt>
                <c:pt idx="324">
                  <c:v>1.7858821714015791E-2</c:v>
                </c:pt>
                <c:pt idx="325">
                  <c:v>1.7953108555029792E-2</c:v>
                </c:pt>
                <c:pt idx="326">
                  <c:v>1.8037750217199239E-2</c:v>
                </c:pt>
                <c:pt idx="327">
                  <c:v>1.8112678558918714E-2</c:v>
                </c:pt>
                <c:pt idx="328">
                  <c:v>1.8177919311549155E-2</c:v>
                </c:pt>
                <c:pt idx="329">
                  <c:v>1.823350025809934E-2</c:v>
                </c:pt>
                <c:pt idx="330">
                  <c:v>1.8279451041097464E-2</c:v>
                </c:pt>
                <c:pt idx="331">
                  <c:v>1.8315605648607521E-2</c:v>
                </c:pt>
                <c:pt idx="332">
                  <c:v>1.8350120548664382E-2</c:v>
                </c:pt>
                <c:pt idx="333">
                  <c:v>1.8383031751272032E-2</c:v>
                </c:pt>
                <c:pt idx="334">
                  <c:v>1.8414375663417026E-2</c:v>
                </c:pt>
                <c:pt idx="335">
                  <c:v>1.8444189062101393E-2</c:v>
                </c:pt>
                <c:pt idx="336">
                  <c:v>1.847250906713389E-2</c:v>
                </c:pt>
                <c:pt idx="337">
                  <c:v>1.8498691731988277E-2</c:v>
                </c:pt>
                <c:pt idx="338">
                  <c:v>1.8523881621420317E-2</c:v>
                </c:pt>
                <c:pt idx="339">
                  <c:v>1.8548116761456675E-2</c:v>
                </c:pt>
                <c:pt idx="340">
                  <c:v>1.8571435401426792E-2</c:v>
                </c:pt>
                <c:pt idx="341">
                  <c:v>1.8593875995763336E-2</c:v>
                </c:pt>
                <c:pt idx="342">
                  <c:v>1.8615477185788473E-2</c:v>
                </c:pt>
                <c:pt idx="343">
                  <c:v>1.863627778127561E-2</c:v>
                </c:pt>
                <c:pt idx="344">
                  <c:v>1.8656316742303045E-2</c:v>
                </c:pt>
                <c:pt idx="345">
                  <c:v>1.867563316091133E-2</c:v>
                </c:pt>
                <c:pt idx="346">
                  <c:v>1.8693502701111638E-2</c:v>
                </c:pt>
                <c:pt idx="347">
                  <c:v>1.870996451195623E-2</c:v>
                </c:pt>
                <c:pt idx="348">
                  <c:v>1.872505775314651E-2</c:v>
                </c:pt>
                <c:pt idx="349">
                  <c:v>1.8738821560731918E-2</c:v>
                </c:pt>
                <c:pt idx="350">
                  <c:v>1.8751295013247175E-2</c:v>
                </c:pt>
                <c:pt idx="351">
                  <c:v>1.8761555622872256E-2</c:v>
                </c:pt>
                <c:pt idx="352">
                  <c:v>1.8770323815068813E-2</c:v>
                </c:pt>
                <c:pt idx="353">
                  <c:v>1.8777638063249995E-2</c:v>
                </c:pt>
                <c:pt idx="354">
                  <c:v>1.8783536593702702E-2</c:v>
                </c:pt>
                <c:pt idx="355">
                  <c:v>1.8788057344695346E-2</c:v>
                </c:pt>
                <c:pt idx="356">
                  <c:v>1.8791250912368645E-2</c:v>
                </c:pt>
                <c:pt idx="357">
                  <c:v>1.8793112665159161E-2</c:v>
                </c:pt>
                <c:pt idx="358">
                  <c:v>1.8793592350980035E-2</c:v>
                </c:pt>
                <c:pt idx="359">
                  <c:v>1.879263943073127E-2</c:v>
                </c:pt>
                <c:pt idx="360">
                  <c:v>1.8789519539490485E-2</c:v>
                </c:pt>
                <c:pt idx="361">
                  <c:v>1.8785145104622644E-2</c:v>
                </c:pt>
                <c:pt idx="362">
                  <c:v>1.877946534049443E-2</c:v>
                </c:pt>
                <c:pt idx="363">
                  <c:v>1.8772429406136711E-2</c:v>
                </c:pt>
                <c:pt idx="364">
                  <c:v>1.8763986447720857E-2</c:v>
                </c:pt>
                <c:pt idx="365">
                  <c:v>1.8754085640803279E-2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2.3651718495327767E-2</c:v>
                </c:pt>
                <c:pt idx="1">
                  <c:v>2.3636132301146084E-2</c:v>
                </c:pt>
                <c:pt idx="2">
                  <c:v>2.3619045311040376E-2</c:v>
                </c:pt>
                <c:pt idx="3">
                  <c:v>2.3600394518509371E-2</c:v>
                </c:pt>
                <c:pt idx="4">
                  <c:v>2.3580117181366031E-2</c:v>
                </c:pt>
                <c:pt idx="5">
                  <c:v>2.3558150862945534E-2</c:v>
                </c:pt>
                <c:pt idx="6">
                  <c:v>2.3534433473614547E-2</c:v>
                </c:pt>
                <c:pt idx="7">
                  <c:v>2.3508903311749634E-2</c:v>
                </c:pt>
                <c:pt idx="8">
                  <c:v>2.3481499105046131E-2</c:v>
                </c:pt>
                <c:pt idx="9">
                  <c:v>2.3451794800076826E-2</c:v>
                </c:pt>
                <c:pt idx="10">
                  <c:v>2.3420644255595102E-2</c:v>
                </c:pt>
                <c:pt idx="11">
                  <c:v>2.3387988437643004E-2</c:v>
                </c:pt>
                <c:pt idx="12">
                  <c:v>2.3353768846379134E-2</c:v>
                </c:pt>
                <c:pt idx="13">
                  <c:v>2.3317927543420904E-2</c:v>
                </c:pt>
                <c:pt idx="14">
                  <c:v>2.3280407178787918E-2</c:v>
                </c:pt>
                <c:pt idx="15">
                  <c:v>2.3237641698820154E-2</c:v>
                </c:pt>
                <c:pt idx="16">
                  <c:v>2.3190282248382044E-2</c:v>
                </c:pt>
                <c:pt idx="17">
                  <c:v>2.3138271562484197E-2</c:v>
                </c:pt>
                <c:pt idx="18">
                  <c:v>2.3081553690761262E-2</c:v>
                </c:pt>
                <c:pt idx="19">
                  <c:v>2.3020202499720713E-2</c:v>
                </c:pt>
                <c:pt idx="20">
                  <c:v>2.2954349731782672E-2</c:v>
                </c:pt>
                <c:pt idx="21">
                  <c:v>2.2884027487171263E-2</c:v>
                </c:pt>
                <c:pt idx="22">
                  <c:v>2.2809268083637563E-2</c:v>
                </c:pt>
                <c:pt idx="23">
                  <c:v>2.272650885633452E-2</c:v>
                </c:pt>
                <c:pt idx="24">
                  <c:v>2.263614825428277E-2</c:v>
                </c:pt>
                <c:pt idx="25">
                  <c:v>2.2538218620604011E-2</c:v>
                </c:pt>
                <c:pt idx="26">
                  <c:v>2.2432752661021974E-2</c:v>
                </c:pt>
                <c:pt idx="27">
                  <c:v>2.2319783354735698E-2</c:v>
                </c:pt>
                <c:pt idx="28">
                  <c:v>2.2199343865778518E-2</c:v>
                </c:pt>
                <c:pt idx="29">
                  <c:v>2.2069161698513393E-2</c:v>
                </c:pt>
                <c:pt idx="30">
                  <c:v>2.1932785433387433E-2</c:v>
                </c:pt>
                <c:pt idx="31">
                  <c:v>2.1790248210605465E-2</c:v>
                </c:pt>
                <c:pt idx="32">
                  <c:v>2.1641582908448604E-2</c:v>
                </c:pt>
                <c:pt idx="33">
                  <c:v>2.1486822069453435E-2</c:v>
                </c:pt>
                <c:pt idx="34">
                  <c:v>2.1325997826690007E-2</c:v>
                </c:pt>
                <c:pt idx="35">
                  <c:v>2.115914183002035E-2</c:v>
                </c:pt>
                <c:pt idx="36">
                  <c:v>2.0986285172312085E-2</c:v>
                </c:pt>
                <c:pt idx="37">
                  <c:v>2.0816809090191127E-2</c:v>
                </c:pt>
                <c:pt idx="38">
                  <c:v>2.065433479083954E-2</c:v>
                </c:pt>
                <c:pt idx="39">
                  <c:v>2.0498887764914771E-2</c:v>
                </c:pt>
                <c:pt idx="40">
                  <c:v>2.0350492623405117E-2</c:v>
                </c:pt>
                <c:pt idx="41">
                  <c:v>2.0209173185878903E-2</c:v>
                </c:pt>
                <c:pt idx="42">
                  <c:v>2.0074952568589377E-2</c:v>
                </c:pt>
                <c:pt idx="43">
                  <c:v>1.9979259995137531E-2</c:v>
                </c:pt>
                <c:pt idx="44">
                  <c:v>1.9924413154620704E-2</c:v>
                </c:pt>
                <c:pt idx="45">
                  <c:v>1.9910426471559169E-2</c:v>
                </c:pt>
                <c:pt idx="46">
                  <c:v>1.9937315501930699E-2</c:v>
                </c:pt>
                <c:pt idx="47">
                  <c:v>2.0005097443276377E-2</c:v>
                </c:pt>
                <c:pt idx="48">
                  <c:v>2.0113791644546051E-2</c:v>
                </c:pt>
                <c:pt idx="49">
                  <c:v>2.026342011612418E-2</c:v>
                </c:pt>
                <c:pt idx="50">
                  <c:v>2.0454008039733091E-2</c:v>
                </c:pt>
                <c:pt idx="51">
                  <c:v>2.0708174852902574E-2</c:v>
                </c:pt>
                <c:pt idx="52">
                  <c:v>2.1016496006584159E-2</c:v>
                </c:pt>
                <c:pt idx="53">
                  <c:v>2.1378864164012509E-2</c:v>
                </c:pt>
                <c:pt idx="54">
                  <c:v>2.1795273919261209E-2</c:v>
                </c:pt>
                <c:pt idx="55">
                  <c:v>2.2265720220460417E-2</c:v>
                </c:pt>
                <c:pt idx="56">
                  <c:v>2.2790198170071052E-2</c:v>
                </c:pt>
                <c:pt idx="57">
                  <c:v>2.3352296305104488E-2</c:v>
                </c:pt>
                <c:pt idx="58">
                  <c:v>2.3920615989977075E-2</c:v>
                </c:pt>
                <c:pt idx="59">
                  <c:v>2.4495150634809421E-2</c:v>
                </c:pt>
                <c:pt idx="60">
                  <c:v>2.5075892842254425E-2</c:v>
                </c:pt>
                <c:pt idx="61">
                  <c:v>2.5662834384628335E-2</c:v>
                </c:pt>
                <c:pt idx="62">
                  <c:v>2.6255966181003679E-2</c:v>
                </c:pt>
                <c:pt idx="63">
                  <c:v>2.6855278274378641E-2</c:v>
                </c:pt>
                <c:pt idx="64">
                  <c:v>2.7460759808743591E-2</c:v>
                </c:pt>
                <c:pt idx="65">
                  <c:v>2.8021983499392264E-2</c:v>
                </c:pt>
                <c:pt idx="66">
                  <c:v>2.8516344604427941E-2</c:v>
                </c:pt>
                <c:pt idx="67">
                  <c:v>2.8943829466770696E-2</c:v>
                </c:pt>
                <c:pt idx="68">
                  <c:v>2.9304424523989497E-2</c:v>
                </c:pt>
                <c:pt idx="69">
                  <c:v>2.9598116555417692E-2</c:v>
                </c:pt>
                <c:pt idx="70">
                  <c:v>2.9824892929401329E-2</c:v>
                </c:pt>
                <c:pt idx="71">
                  <c:v>2.9917374943486522E-2</c:v>
                </c:pt>
                <c:pt idx="72">
                  <c:v>2.9891961549226732E-2</c:v>
                </c:pt>
                <c:pt idx="73">
                  <c:v>2.9748646988321487E-2</c:v>
                </c:pt>
                <c:pt idx="74">
                  <c:v>2.948742856400224E-2</c:v>
                </c:pt>
                <c:pt idx="75">
                  <c:v>2.9108307076809392E-2</c:v>
                </c:pt>
                <c:pt idx="76">
                  <c:v>2.8611287260277132E-2</c:v>
                </c:pt>
                <c:pt idx="77">
                  <c:v>2.7996378216713812E-2</c:v>
                </c:pt>
                <c:pt idx="78">
                  <c:v>2.7263594758064839E-2</c:v>
                </c:pt>
                <c:pt idx="79">
                  <c:v>2.6387538700014684E-2</c:v>
                </c:pt>
                <c:pt idx="80">
                  <c:v>2.5418696359691961E-2</c:v>
                </c:pt>
                <c:pt idx="81">
                  <c:v>2.4357073182458177E-2</c:v>
                </c:pt>
                <c:pt idx="82">
                  <c:v>2.3202676121875664E-2</c:v>
                </c:pt>
                <c:pt idx="83">
                  <c:v>2.1955513937188378E-2</c:v>
                </c:pt>
                <c:pt idx="84">
                  <c:v>2.0615597490878036E-2</c:v>
                </c:pt>
                <c:pt idx="85">
                  <c:v>1.9234681531476439E-2</c:v>
                </c:pt>
                <c:pt idx="86">
                  <c:v>1.7880100564771073E-2</c:v>
                </c:pt>
                <c:pt idx="87">
                  <c:v>1.6551853061424131E-2</c:v>
                </c:pt>
                <c:pt idx="88">
                  <c:v>1.5249938848705255E-2</c:v>
                </c:pt>
                <c:pt idx="89">
                  <c:v>1.3974359026457739E-2</c:v>
                </c:pt>
                <c:pt idx="90">
                  <c:v>1.2725115883034335E-2</c:v>
                </c:pt>
                <c:pt idx="91">
                  <c:v>1.1502212811288522E-2</c:v>
                </c:pt>
                <c:pt idx="92">
                  <c:v>1.030565422452181E-2</c:v>
                </c:pt>
                <c:pt idx="93">
                  <c:v>9.1886034005128122E-3</c:v>
                </c:pt>
                <c:pt idx="94">
                  <c:v>8.1765518372754302E-3</c:v>
                </c:pt>
                <c:pt idx="95">
                  <c:v>7.2694853624011421E-3</c:v>
                </c:pt>
                <c:pt idx="96">
                  <c:v>6.4673879729924373E-3</c:v>
                </c:pt>
                <c:pt idx="97">
                  <c:v>5.7702414994908651E-3</c:v>
                </c:pt>
                <c:pt idx="98">
                  <c:v>5.178025269433853E-3</c:v>
                </c:pt>
                <c:pt idx="99">
                  <c:v>4.7107295136195231E-3</c:v>
                </c:pt>
                <c:pt idx="100">
                  <c:v>4.3166411028406904E-3</c:v>
                </c:pt>
                <c:pt idx="101">
                  <c:v>3.995741050607785E-3</c:v>
                </c:pt>
                <c:pt idx="102">
                  <c:v>3.7480078484091722E-3</c:v>
                </c:pt>
                <c:pt idx="103">
                  <c:v>3.5734172310500785E-3</c:v>
                </c:pt>
                <c:pt idx="104">
                  <c:v>3.4719419420821637E-3</c:v>
                </c:pt>
                <c:pt idx="105">
                  <c:v>3.4435514991488186E-3</c:v>
                </c:pt>
                <c:pt idx="106">
                  <c:v>3.488211959377048E-3</c:v>
                </c:pt>
                <c:pt idx="107">
                  <c:v>3.6175260366554658E-3</c:v>
                </c:pt>
                <c:pt idx="108">
                  <c:v>3.7783878270406346E-3</c:v>
                </c:pt>
                <c:pt idx="109">
                  <c:v>3.9707746835009102E-3</c:v>
                </c:pt>
                <c:pt idx="110">
                  <c:v>4.1946738998992405E-3</c:v>
                </c:pt>
                <c:pt idx="111">
                  <c:v>4.4500738875876663E-3</c:v>
                </c:pt>
                <c:pt idx="112">
                  <c:v>4.736951413965889E-3</c:v>
                </c:pt>
                <c:pt idx="113">
                  <c:v>5.0627934240726064E-3</c:v>
                </c:pt>
                <c:pt idx="114">
                  <c:v>5.4076062946357513E-3</c:v>
                </c:pt>
                <c:pt idx="115">
                  <c:v>5.7713713938501018E-3</c:v>
                </c:pt>
                <c:pt idx="116">
                  <c:v>6.1540691900952007E-3</c:v>
                </c:pt>
                <c:pt idx="117">
                  <c:v>6.5556792101306187E-3</c:v>
                </c:pt>
                <c:pt idx="118">
                  <c:v>6.9761799972376595E-3</c:v>
                </c:pt>
                <c:pt idx="119">
                  <c:v>7.4155490693754754E-3</c:v>
                </c:pt>
                <c:pt idx="120">
                  <c:v>7.8737628773245839E-3</c:v>
                </c:pt>
                <c:pt idx="121">
                  <c:v>8.3572056394580069E-3</c:v>
                </c:pt>
                <c:pt idx="122">
                  <c:v>8.8542445718068855E-3</c:v>
                </c:pt>
                <c:pt idx="123">
                  <c:v>9.364856722546595E-3</c:v>
                </c:pt>
                <c:pt idx="124">
                  <c:v>9.8890181212973379E-3</c:v>
                </c:pt>
                <c:pt idx="125">
                  <c:v>1.0426703748736896E-2</c:v>
                </c:pt>
                <c:pt idx="126">
                  <c:v>1.0977887506086277E-2</c:v>
                </c:pt>
                <c:pt idx="127">
                  <c:v>1.1544785002247218E-2</c:v>
                </c:pt>
                <c:pt idx="128">
                  <c:v>1.2119883440281387E-2</c:v>
                </c:pt>
                <c:pt idx="129">
                  <c:v>1.2703158194941838E-2</c:v>
                </c:pt>
                <c:pt idx="130">
                  <c:v>1.3294583703197195E-2</c:v>
                </c:pt>
                <c:pt idx="131">
                  <c:v>1.3894133445150086E-2</c:v>
                </c:pt>
                <c:pt idx="132">
                  <c:v>1.4501779925058038E-2</c:v>
                </c:pt>
                <c:pt idx="133">
                  <c:v>1.5117494652445636E-2</c:v>
                </c:pt>
                <c:pt idx="134">
                  <c:v>1.5741248123155117E-2</c:v>
                </c:pt>
                <c:pt idx="135">
                  <c:v>1.6376670350868521E-2</c:v>
                </c:pt>
                <c:pt idx="136">
                  <c:v>1.7017347109126831E-2</c:v>
                </c:pt>
                <c:pt idx="137">
                  <c:v>1.7663248807455668E-2</c:v>
                </c:pt>
                <c:pt idx="138">
                  <c:v>1.8314344929277793E-2</c:v>
                </c:pt>
                <c:pt idx="139">
                  <c:v>1.897060401937874E-2</c:v>
                </c:pt>
                <c:pt idx="140">
                  <c:v>1.9631993670364029E-2</c:v>
                </c:pt>
                <c:pt idx="141">
                  <c:v>2.0239295991248869E-2</c:v>
                </c:pt>
                <c:pt idx="142">
                  <c:v>2.0790210641703073E-2</c:v>
                </c:pt>
                <c:pt idx="143">
                  <c:v>2.1284684811870874E-2</c:v>
                </c:pt>
                <c:pt idx="144">
                  <c:v>2.1722793862131207E-2</c:v>
                </c:pt>
                <c:pt idx="145">
                  <c:v>2.2104622368692307E-2</c:v>
                </c:pt>
                <c:pt idx="146">
                  <c:v>2.2430263377350126E-2</c:v>
                </c:pt>
                <c:pt idx="147">
                  <c:v>2.2699817657981475E-2</c:v>
                </c:pt>
                <c:pt idx="148">
                  <c:v>2.2913392958517419E-2</c:v>
                </c:pt>
                <c:pt idx="149">
                  <c:v>2.2993528708768609E-2</c:v>
                </c:pt>
                <c:pt idx="150">
                  <c:v>2.2936845940089778E-2</c:v>
                </c:pt>
                <c:pt idx="151">
                  <c:v>2.2743616350184643E-2</c:v>
                </c:pt>
                <c:pt idx="152">
                  <c:v>2.2414119725398047E-2</c:v>
                </c:pt>
                <c:pt idx="153">
                  <c:v>2.1948642099472712E-2</c:v>
                </c:pt>
                <c:pt idx="154">
                  <c:v>2.134747391243454E-2</c:v>
                </c:pt>
                <c:pt idx="155">
                  <c:v>2.0645945178175404E-2</c:v>
                </c:pt>
                <c:pt idx="156">
                  <c:v>1.9902972703805241E-2</c:v>
                </c:pt>
                <c:pt idx="157">
                  <c:v>1.911867081156807E-2</c:v>
                </c:pt>
                <c:pt idx="158">
                  <c:v>1.8293150395170824E-2</c:v>
                </c:pt>
                <c:pt idx="159">
                  <c:v>1.7426518347712836E-2</c:v>
                </c:pt>
                <c:pt idx="160">
                  <c:v>1.6518876989847522E-2</c:v>
                </c:pt>
                <c:pt idx="161">
                  <c:v>1.5570323497730654E-2</c:v>
                </c:pt>
                <c:pt idx="162">
                  <c:v>1.4580949331071388E-2</c:v>
                </c:pt>
                <c:pt idx="163">
                  <c:v>1.3604964457444862E-2</c:v>
                </c:pt>
                <c:pt idx="164">
                  <c:v>1.2719202643855869E-2</c:v>
                </c:pt>
                <c:pt idx="165">
                  <c:v>1.1923497353873528E-2</c:v>
                </c:pt>
                <c:pt idx="166">
                  <c:v>1.1217681970784703E-2</c:v>
                </c:pt>
                <c:pt idx="167">
                  <c:v>1.0601591008009822E-2</c:v>
                </c:pt>
                <c:pt idx="168">
                  <c:v>1.0075061319899594E-2</c:v>
                </c:pt>
                <c:pt idx="169">
                  <c:v>9.6918663840250344E-3</c:v>
                </c:pt>
                <c:pt idx="170">
                  <c:v>9.4170448211251933E-3</c:v>
                </c:pt>
                <c:pt idx="171">
                  <c:v>9.2504198914388405E-3</c:v>
                </c:pt>
                <c:pt idx="172">
                  <c:v>9.1918243982505848E-3</c:v>
                </c:pt>
                <c:pt idx="173">
                  <c:v>9.241007660876828E-3</c:v>
                </c:pt>
                <c:pt idx="174">
                  <c:v>9.3977199789121568E-3</c:v>
                </c:pt>
                <c:pt idx="175">
                  <c:v>9.6618038202938242E-3</c:v>
                </c:pt>
                <c:pt idx="176">
                  <c:v>1.003310236218786E-2</c:v>
                </c:pt>
                <c:pt idx="177">
                  <c:v>1.0546054513391629E-2</c:v>
                </c:pt>
                <c:pt idx="178">
                  <c:v>1.114677002927749E-2</c:v>
                </c:pt>
                <c:pt idx="179">
                  <c:v>1.1835126866868105E-2</c:v>
                </c:pt>
                <c:pt idx="180">
                  <c:v>1.2611005922965825E-2</c:v>
                </c:pt>
                <c:pt idx="181">
                  <c:v>1.3474291552480431E-2</c:v>
                </c:pt>
                <c:pt idx="182">
                  <c:v>1.4424872086855245E-2</c:v>
                </c:pt>
                <c:pt idx="183">
                  <c:v>1.5386550143659314E-2</c:v>
                </c:pt>
                <c:pt idx="184">
                  <c:v>1.6305805332338923E-2</c:v>
                </c:pt>
                <c:pt idx="185">
                  <c:v>1.7182723031341905E-2</c:v>
                </c:pt>
                <c:pt idx="186">
                  <c:v>1.8017389204346874E-2</c:v>
                </c:pt>
                <c:pt idx="187">
                  <c:v>1.8809890155400719E-2</c:v>
                </c:pt>
                <c:pt idx="188">
                  <c:v>1.9560312284192208E-2</c:v>
                </c:pt>
                <c:pt idx="189">
                  <c:v>2.0268741840750663E-2</c:v>
                </c:pt>
                <c:pt idx="190">
                  <c:v>2.093526468095061E-2</c:v>
                </c:pt>
                <c:pt idx="191">
                  <c:v>2.1502361961579643E-2</c:v>
                </c:pt>
                <c:pt idx="192">
                  <c:v>2.1935836185347602E-2</c:v>
                </c:pt>
                <c:pt idx="193">
                  <c:v>2.2235879640638435E-2</c:v>
                </c:pt>
                <c:pt idx="194">
                  <c:v>2.240267673340646E-2</c:v>
                </c:pt>
                <c:pt idx="195">
                  <c:v>2.2436403199275989E-2</c:v>
                </c:pt>
                <c:pt idx="196">
                  <c:v>2.2337225314790057E-2</c:v>
                </c:pt>
                <c:pt idx="197">
                  <c:v>2.2108845061797222E-2</c:v>
                </c:pt>
                <c:pt idx="198">
                  <c:v>2.182701864204431E-2</c:v>
                </c:pt>
                <c:pt idx="199">
                  <c:v>2.1491802214708294E-2</c:v>
                </c:pt>
                <c:pt idx="200">
                  <c:v>2.1103246522265653E-2</c:v>
                </c:pt>
                <c:pt idx="201">
                  <c:v>2.0661396570894882E-2</c:v>
                </c:pt>
                <c:pt idx="202">
                  <c:v>2.0166291311017482E-2</c:v>
                </c:pt>
                <c:pt idx="203">
                  <c:v>1.9617963318289616E-2</c:v>
                </c:pt>
                <c:pt idx="204">
                  <c:v>1.9016407765539763E-2</c:v>
                </c:pt>
                <c:pt idx="205">
                  <c:v>1.8363767755498566E-2</c:v>
                </c:pt>
                <c:pt idx="206">
                  <c:v>1.7717373629205859E-2</c:v>
                </c:pt>
                <c:pt idx="207">
                  <c:v>1.7077189412644217E-2</c:v>
                </c:pt>
                <c:pt idx="208">
                  <c:v>1.6443180393259229E-2</c:v>
                </c:pt>
                <c:pt idx="209">
                  <c:v>1.5815313102064979E-2</c:v>
                </c:pt>
                <c:pt idx="210">
                  <c:v>1.5193555296306734E-2</c:v>
                </c:pt>
                <c:pt idx="211">
                  <c:v>1.4584036160265282E-2</c:v>
                </c:pt>
                <c:pt idx="212">
                  <c:v>1.3983189802915135E-2</c:v>
                </c:pt>
                <c:pt idx="213">
                  <c:v>1.3390986762994807E-2</c:v>
                </c:pt>
                <c:pt idx="214">
                  <c:v>1.2807398908345017E-2</c:v>
                </c:pt>
                <c:pt idx="215">
                  <c:v>1.2232399410126174E-2</c:v>
                </c:pt>
                <c:pt idx="216">
                  <c:v>1.1665962716981825E-2</c:v>
                </c:pt>
                <c:pt idx="217">
                  <c:v>1.1108064529245698E-2</c:v>
                </c:pt>
                <c:pt idx="218">
                  <c:v>1.0558681773077941E-2</c:v>
                </c:pt>
                <c:pt idx="219">
                  <c:v>1.002499313237846E-2</c:v>
                </c:pt>
                <c:pt idx="220">
                  <c:v>9.5048191781842237E-3</c:v>
                </c:pt>
                <c:pt idx="221">
                  <c:v>8.9981398856803767E-3</c:v>
                </c:pt>
                <c:pt idx="222">
                  <c:v>8.5049366170499314E-3</c:v>
                </c:pt>
                <c:pt idx="223">
                  <c:v>8.0251920801397997E-3</c:v>
                </c:pt>
                <c:pt idx="224">
                  <c:v>7.5588902868904823E-3</c:v>
                </c:pt>
                <c:pt idx="225">
                  <c:v>7.1171601325704997E-3</c:v>
                </c:pt>
                <c:pt idx="226">
                  <c:v>6.6938339546260481E-3</c:v>
                </c:pt>
                <c:pt idx="227">
                  <c:v>6.2888997525234955E-3</c:v>
                </c:pt>
                <c:pt idx="228">
                  <c:v>5.9023468648889132E-3</c:v>
                </c:pt>
                <c:pt idx="229">
                  <c:v>5.5341659124202346E-3</c:v>
                </c:pt>
                <c:pt idx="230">
                  <c:v>5.1843487409076235E-3</c:v>
                </c:pt>
                <c:pt idx="231">
                  <c:v>4.8528883642598511E-3</c:v>
                </c:pt>
                <c:pt idx="232">
                  <c:v>4.5397789074182208E-3</c:v>
                </c:pt>
                <c:pt idx="233">
                  <c:v>4.2641568394107552E-3</c:v>
                </c:pt>
                <c:pt idx="234">
                  <c:v>4.0188203522412624E-3</c:v>
                </c:pt>
                <c:pt idx="235">
                  <c:v>3.8037718407497325E-3</c:v>
                </c:pt>
                <c:pt idx="236">
                  <c:v>3.6190154734925552E-3</c:v>
                </c:pt>
                <c:pt idx="237">
                  <c:v>3.4645537337580092E-3</c:v>
                </c:pt>
                <c:pt idx="238">
                  <c:v>3.3403902217552252E-3</c:v>
                </c:pt>
                <c:pt idx="239">
                  <c:v>3.2973612266342755E-3</c:v>
                </c:pt>
                <c:pt idx="240">
                  <c:v>3.3243354987782785E-3</c:v>
                </c:pt>
                <c:pt idx="241">
                  <c:v>3.4213329846881375E-3</c:v>
                </c:pt>
                <c:pt idx="242">
                  <c:v>3.5883768275769834E-3</c:v>
                </c:pt>
                <c:pt idx="243">
                  <c:v>3.8254934909002628E-3</c:v>
                </c:pt>
                <c:pt idx="244">
                  <c:v>4.1327128818708925E-3</c:v>
                </c:pt>
                <c:pt idx="245">
                  <c:v>4.5100684749367652E-3</c:v>
                </c:pt>
                <c:pt idx="246">
                  <c:v>4.957597435237676E-3</c:v>
                </c:pt>
                <c:pt idx="247">
                  <c:v>5.5248385719501034E-3</c:v>
                </c:pt>
                <c:pt idx="248">
                  <c:v>6.1926901086108909E-3</c:v>
                </c:pt>
                <c:pt idx="249">
                  <c:v>6.9612171907593307E-3</c:v>
                </c:pt>
                <c:pt idx="250">
                  <c:v>7.8304908376735406E-3</c:v>
                </c:pt>
                <c:pt idx="251">
                  <c:v>8.8005881195219824E-3</c:v>
                </c:pt>
                <c:pt idx="252">
                  <c:v>9.8715923342437336E-3</c:v>
                </c:pt>
                <c:pt idx="253">
                  <c:v>1.1019160094509773E-2</c:v>
                </c:pt>
                <c:pt idx="254">
                  <c:v>1.2192428482840115E-2</c:v>
                </c:pt>
                <c:pt idx="255">
                  <c:v>1.3391450053465417E-2</c:v>
                </c:pt>
                <c:pt idx="256">
                  <c:v>1.4616279695379741E-2</c:v>
                </c:pt>
                <c:pt idx="257">
                  <c:v>1.5866974676466732E-2</c:v>
                </c:pt>
                <c:pt idx="258">
                  <c:v>1.7143594687727432E-2</c:v>
                </c:pt>
                <c:pt idx="259">
                  <c:v>1.8446201887769378E-2</c:v>
                </c:pt>
                <c:pt idx="260">
                  <c:v>1.9774860946809292E-2</c:v>
                </c:pt>
                <c:pt idx="261">
                  <c:v>2.1065032717426119E-2</c:v>
                </c:pt>
                <c:pt idx="262">
                  <c:v>2.2267067389348777E-2</c:v>
                </c:pt>
                <c:pt idx="263">
                  <c:v>2.3380930520237594E-2</c:v>
                </c:pt>
                <c:pt idx="264">
                  <c:v>2.4406583583431788E-2</c:v>
                </c:pt>
                <c:pt idx="265">
                  <c:v>2.5344118625983195E-2</c:v>
                </c:pt>
                <c:pt idx="266">
                  <c:v>2.6193571565260466E-2</c:v>
                </c:pt>
                <c:pt idx="267">
                  <c:v>2.6906424243611237E-2</c:v>
                </c:pt>
                <c:pt idx="268">
                  <c:v>2.750707172050447E-2</c:v>
                </c:pt>
                <c:pt idx="269">
                  <c:v>2.7995382224635362E-2</c:v>
                </c:pt>
                <c:pt idx="270">
                  <c:v>2.8371210241924908E-2</c:v>
                </c:pt>
                <c:pt idx="271">
                  <c:v>2.863439776188717E-2</c:v>
                </c:pt>
                <c:pt idx="272">
                  <c:v>2.8784775524747206E-2</c:v>
                </c:pt>
                <c:pt idx="273">
                  <c:v>2.8822164268205275E-2</c:v>
                </c:pt>
                <c:pt idx="274">
                  <c:v>2.874637597457767E-2</c:v>
                </c:pt>
                <c:pt idx="275">
                  <c:v>2.8541393562845199E-2</c:v>
                </c:pt>
                <c:pt idx="276">
                  <c:v>2.8271986716478223E-2</c:v>
                </c:pt>
                <c:pt idx="277">
                  <c:v>2.7938021979650739E-2</c:v>
                </c:pt>
                <c:pt idx="278">
                  <c:v>2.7539364214302527E-2</c:v>
                </c:pt>
                <c:pt idx="279">
                  <c:v>2.707587730747045E-2</c:v>
                </c:pt>
                <c:pt idx="280">
                  <c:v>2.65474248788788E-2</c:v>
                </c:pt>
                <c:pt idx="281">
                  <c:v>2.5975722324104944E-2</c:v>
                </c:pt>
                <c:pt idx="282">
                  <c:v>2.5409458286870967E-2</c:v>
                </c:pt>
                <c:pt idx="283">
                  <c:v>2.4848610720437536E-2</c:v>
                </c:pt>
                <c:pt idx="284">
                  <c:v>2.4293160150367355E-2</c:v>
                </c:pt>
                <c:pt idx="285">
                  <c:v>2.3743089608979241E-2</c:v>
                </c:pt>
                <c:pt idx="286">
                  <c:v>2.3198384570034272E-2</c:v>
                </c:pt>
                <c:pt idx="287">
                  <c:v>2.2659032883176691E-2</c:v>
                </c:pt>
                <c:pt idx="288">
                  <c:v>2.2125024708470806E-2</c:v>
                </c:pt>
                <c:pt idx="289">
                  <c:v>2.1626844519094291E-2</c:v>
                </c:pt>
                <c:pt idx="290">
                  <c:v>2.1180476243361956E-2</c:v>
                </c:pt>
                <c:pt idx="291">
                  <c:v>2.0785984479782939E-2</c:v>
                </c:pt>
                <c:pt idx="292">
                  <c:v>2.0443433382512113E-2</c:v>
                </c:pt>
                <c:pt idx="293">
                  <c:v>2.015288608989654E-2</c:v>
                </c:pt>
                <c:pt idx="294">
                  <c:v>1.99144041529376E-2</c:v>
                </c:pt>
                <c:pt idx="295">
                  <c:v>1.9737148682075885E-2</c:v>
                </c:pt>
                <c:pt idx="296">
                  <c:v>1.9599411048963105E-2</c:v>
                </c:pt>
                <c:pt idx="297">
                  <c:v>1.9501388247973032E-2</c:v>
                </c:pt>
                <c:pt idx="298">
                  <c:v>1.9443114555674174E-2</c:v>
                </c:pt>
                <c:pt idx="299">
                  <c:v>1.9424625962038134E-2</c:v>
                </c:pt>
                <c:pt idx="300">
                  <c:v>1.9445959803785173E-2</c:v>
                </c:pt>
                <c:pt idx="301">
                  <c:v>1.9507154397670642E-2</c:v>
                </c:pt>
                <c:pt idx="302">
                  <c:v>1.9608248673815141E-2</c:v>
                </c:pt>
                <c:pt idx="303">
                  <c:v>1.9747030607987947E-2</c:v>
                </c:pt>
                <c:pt idx="304">
                  <c:v>1.989282761453268E-2</c:v>
                </c:pt>
                <c:pt idx="305">
                  <c:v>2.0045631219330208E-2</c:v>
                </c:pt>
                <c:pt idx="306">
                  <c:v>2.0205432407915027E-2</c:v>
                </c:pt>
                <c:pt idx="307">
                  <c:v>2.0372221562147633E-2</c:v>
                </c:pt>
                <c:pt idx="308">
                  <c:v>2.0545988396716151E-2</c:v>
                </c:pt>
                <c:pt idx="309">
                  <c:v>2.072320120956558E-2</c:v>
                </c:pt>
                <c:pt idx="310">
                  <c:v>2.0894679571725413E-2</c:v>
                </c:pt>
                <c:pt idx="311">
                  <c:v>2.1060393698593211E-2</c:v>
                </c:pt>
                <c:pt idx="312">
                  <c:v>2.1220313433959064E-2</c:v>
                </c:pt>
                <c:pt idx="313">
                  <c:v>2.1374408303142692E-2</c:v>
                </c:pt>
                <c:pt idx="314">
                  <c:v>2.152264756593782E-2</c:v>
                </c:pt>
                <c:pt idx="315">
                  <c:v>2.1665000269824455E-2</c:v>
                </c:pt>
                <c:pt idx="316">
                  <c:v>2.1801435302850416E-2</c:v>
                </c:pt>
                <c:pt idx="317">
                  <c:v>2.1928467824822287E-2</c:v>
                </c:pt>
                <c:pt idx="318">
                  <c:v>2.2048328815396274E-2</c:v>
                </c:pt>
                <c:pt idx="319">
                  <c:v>2.2160985828907794E-2</c:v>
                </c:pt>
                <c:pt idx="320">
                  <c:v>2.2266406587355833E-2</c:v>
                </c:pt>
                <c:pt idx="321">
                  <c:v>2.2364559044383569E-2</c:v>
                </c:pt>
                <c:pt idx="322">
                  <c:v>2.2455411449355506E-2</c:v>
                </c:pt>
                <c:pt idx="323">
                  <c:v>2.2538571387135456E-2</c:v>
                </c:pt>
                <c:pt idx="324">
                  <c:v>2.2617548707045836E-2</c:v>
                </c:pt>
                <c:pt idx="325">
                  <c:v>2.2692314181395178E-2</c:v>
                </c:pt>
                <c:pt idx="326">
                  <c:v>2.2762697166296961E-2</c:v>
                </c:pt>
                <c:pt idx="327">
                  <c:v>2.2828620275712658E-2</c:v>
                </c:pt>
                <c:pt idx="328">
                  <c:v>2.2890123362497291E-2</c:v>
                </c:pt>
                <c:pt idx="329">
                  <c:v>2.2947247393546009E-2</c:v>
                </c:pt>
                <c:pt idx="330">
                  <c:v>2.3000034369981773E-2</c:v>
                </c:pt>
                <c:pt idx="331">
                  <c:v>2.3047825841051247E-2</c:v>
                </c:pt>
                <c:pt idx="332">
                  <c:v>2.3094132116378469E-2</c:v>
                </c:pt>
                <c:pt idx="333">
                  <c:v>2.3138998531125127E-2</c:v>
                </c:pt>
                <c:pt idx="334">
                  <c:v>2.3182470888601762E-2</c:v>
                </c:pt>
                <c:pt idx="335">
                  <c:v>2.3224595438348077E-2</c:v>
                </c:pt>
                <c:pt idx="336">
                  <c:v>2.3265418853909082E-2</c:v>
                </c:pt>
                <c:pt idx="337">
                  <c:v>2.3304082769167549E-2</c:v>
                </c:pt>
                <c:pt idx="338">
                  <c:v>2.3340996312900365E-2</c:v>
                </c:pt>
                <c:pt idx="339">
                  <c:v>2.3376207268823501E-2</c:v>
                </c:pt>
                <c:pt idx="340">
                  <c:v>2.3409763755479499E-2</c:v>
                </c:pt>
                <c:pt idx="341">
                  <c:v>2.3441714192912532E-2</c:v>
                </c:pt>
                <c:pt idx="342">
                  <c:v>2.3472107269325793E-2</c:v>
                </c:pt>
                <c:pt idx="343">
                  <c:v>2.3500991907455759E-2</c:v>
                </c:pt>
                <c:pt idx="344">
                  <c:v>2.3528417231314418E-2</c:v>
                </c:pt>
                <c:pt idx="345">
                  <c:v>2.3554432532684095E-2</c:v>
                </c:pt>
                <c:pt idx="346">
                  <c:v>2.3578485304745614E-2</c:v>
                </c:pt>
                <c:pt idx="347">
                  <c:v>2.3600624954686792E-2</c:v>
                </c:pt>
                <c:pt idx="348">
                  <c:v>2.3620900904846292E-2</c:v>
                </c:pt>
                <c:pt idx="349">
                  <c:v>2.363936254658652E-2</c:v>
                </c:pt>
                <c:pt idx="350">
                  <c:v>2.3656059194719636E-2</c:v>
                </c:pt>
                <c:pt idx="351">
                  <c:v>2.3669735584658291E-2</c:v>
                </c:pt>
                <c:pt idx="352">
                  <c:v>2.3681346411392083E-2</c:v>
                </c:pt>
                <c:pt idx="353">
                  <c:v>2.3690940165108518E-2</c:v>
                </c:pt>
                <c:pt idx="354">
                  <c:v>2.3698565000670916E-2</c:v>
                </c:pt>
                <c:pt idx="355">
                  <c:v>2.370426868222825E-2</c:v>
                </c:pt>
                <c:pt idx="356">
                  <c:v>2.3708114912691799E-2</c:v>
                </c:pt>
                <c:pt idx="357">
                  <c:v>2.3710097681675094E-2</c:v>
                </c:pt>
                <c:pt idx="358">
                  <c:v>2.3710153388946557E-2</c:v>
                </c:pt>
                <c:pt idx="359">
                  <c:v>2.3708218044904861E-2</c:v>
                </c:pt>
                <c:pt idx="360">
                  <c:v>2.3703318964356374E-2</c:v>
                </c:pt>
                <c:pt idx="361">
                  <c:v>2.3696698661711094E-2</c:v>
                </c:pt>
                <c:pt idx="362">
                  <c:v>2.3688292838146534E-2</c:v>
                </c:pt>
                <c:pt idx="363">
                  <c:v>2.36780371214565E-2</c:v>
                </c:pt>
                <c:pt idx="364">
                  <c:v>2.3665867123161693E-2</c:v>
                </c:pt>
                <c:pt idx="365">
                  <c:v>2.3651718495327767E-2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5304"/>
        <c:axId val="372534912"/>
      </c:lineChart>
      <c:dateAx>
        <c:axId val="37253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4912"/>
        <c:crosses val="autoZero"/>
        <c:auto val="1"/>
        <c:lblOffset val="100"/>
        <c:baseTimeUnit val="days"/>
      </c:dateAx>
      <c:valAx>
        <c:axId val="372534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5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534128"/>
        <c:axId val="372533736"/>
      </c:scatterChart>
      <c:valAx>
        <c:axId val="37253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3736"/>
        <c:crosses val="autoZero"/>
        <c:crossBetween val="midCat"/>
      </c:valAx>
      <c:valAx>
        <c:axId val="37253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41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25.844204487317597</c:v>
                </c:pt>
                <c:pt idx="1">
                  <c:v>26.005049900941806</c:v>
                </c:pt>
                <c:pt idx="2">
                  <c:v>26.175074008698093</c:v>
                </c:pt>
                <c:pt idx="3">
                  <c:v>26.353829942129806</c:v>
                </c:pt>
                <c:pt idx="4">
                  <c:v>26.540870829645929</c:v>
                </c:pt>
                <c:pt idx="5">
                  <c:v>26.7357498017493</c:v>
                </c:pt>
                <c:pt idx="6">
                  <c:v>26.938019989225367</c:v>
                </c:pt>
                <c:pt idx="7">
                  <c:v>27.147234518761778</c:v>
                </c:pt>
                <c:pt idx="8">
                  <c:v>27.36494305463728</c:v>
                </c:pt>
                <c:pt idx="9">
                  <c:v>27.592565053511464</c:v>
                </c:pt>
                <c:pt idx="10">
                  <c:v>27.82945832663188</c:v>
                </c:pt>
                <c:pt idx="11">
                  <c:v>28.074980689721009</c:v>
                </c:pt>
                <c:pt idx="12">
                  <c:v>28.328489956246422</c:v>
                </c:pt>
                <c:pt idx="13">
                  <c:v>28.589343941723698</c:v>
                </c:pt>
                <c:pt idx="14">
                  <c:v>28.856900458365423</c:v>
                </c:pt>
                <c:pt idx="15">
                  <c:v>29.130517321294676</c:v>
                </c:pt>
                <c:pt idx="16">
                  <c:v>29.409552343630146</c:v>
                </c:pt>
                <c:pt idx="17">
                  <c:v>29.693363340129714</c:v>
                </c:pt>
                <c:pt idx="18">
                  <c:v>29.981308125734117</c:v>
                </c:pt>
                <c:pt idx="19">
                  <c:v>30.272744513594827</c:v>
                </c:pt>
                <c:pt idx="20">
                  <c:v>30.567030317248697</c:v>
                </c:pt>
                <c:pt idx="21">
                  <c:v>30.863523351494223</c:v>
                </c:pt>
                <c:pt idx="22">
                  <c:v>31.164117918870343</c:v>
                </c:pt>
                <c:pt idx="23">
                  <c:v>31.470795900012099</c:v>
                </c:pt>
                <c:pt idx="24">
                  <c:v>31.783046481276067</c:v>
                </c:pt>
                <c:pt idx="25">
                  <c:v>32.100358846011972</c:v>
                </c:pt>
                <c:pt idx="26">
                  <c:v>32.42222217786059</c:v>
                </c:pt>
                <c:pt idx="27">
                  <c:v>32.748125661816445</c:v>
                </c:pt>
                <c:pt idx="28">
                  <c:v>33.077558483299796</c:v>
                </c:pt>
                <c:pt idx="29">
                  <c:v>33.410009825189732</c:v>
                </c:pt>
                <c:pt idx="30">
                  <c:v>33.744968872420884</c:v>
                </c:pt>
                <c:pt idx="31">
                  <c:v>34.081924810177384</c:v>
                </c:pt>
                <c:pt idx="32">
                  <c:v>34.420366821810603</c:v>
                </c:pt>
                <c:pt idx="33">
                  <c:v>34.759784091643198</c:v>
                </c:pt>
                <c:pt idx="34">
                  <c:v>35.099665804930765</c:v>
                </c:pt>
                <c:pt idx="35">
                  <c:v>35.439501145482062</c:v>
                </c:pt>
                <c:pt idx="36">
                  <c:v>35.780744865099926</c:v>
                </c:pt>
                <c:pt idx="37">
                  <c:v>36.124993254285485</c:v>
                </c:pt>
                <c:pt idx="38">
                  <c:v>36.471947804406227</c:v>
                </c:pt>
                <c:pt idx="39">
                  <c:v>36.821310007877351</c:v>
                </c:pt>
                <c:pt idx="40">
                  <c:v>37.172781357064586</c:v>
                </c:pt>
                <c:pt idx="41">
                  <c:v>37.526063344025999</c:v>
                </c:pt>
                <c:pt idx="42">
                  <c:v>37.880857460653353</c:v>
                </c:pt>
                <c:pt idx="43">
                  <c:v>38.23686519929241</c:v>
                </c:pt>
                <c:pt idx="44">
                  <c:v>38.593788052083156</c:v>
                </c:pt>
                <c:pt idx="45">
                  <c:v>38.951327510873668</c:v>
                </c:pt>
                <c:pt idx="46">
                  <c:v>39.309185067868384</c:v>
                </c:pt>
                <c:pt idx="47">
                  <c:v>39.667062215438015</c:v>
                </c:pt>
                <c:pt idx="48">
                  <c:v>40.024660445291374</c:v>
                </c:pt>
                <c:pt idx="49">
                  <c:v>40.381681249939717</c:v>
                </c:pt>
                <c:pt idx="50">
                  <c:v>40.739476922305144</c:v>
                </c:pt>
                <c:pt idx="51">
                  <c:v>41.099428771838674</c:v>
                </c:pt>
                <c:pt idx="52">
                  <c:v>41.461281814803911</c:v>
                </c:pt>
                <c:pt idx="53">
                  <c:v>41.824781067745477</c:v>
                </c:pt>
                <c:pt idx="54">
                  <c:v>42.189671546968128</c:v>
                </c:pt>
                <c:pt idx="55">
                  <c:v>42.555698268977821</c:v>
                </c:pt>
                <c:pt idx="56">
                  <c:v>42.922606249929231</c:v>
                </c:pt>
                <c:pt idx="57">
                  <c:v>43.290140506605638</c:v>
                </c:pt>
                <c:pt idx="58">
                  <c:v>43.658046055044437</c:v>
                </c:pt>
                <c:pt idx="59">
                  <c:v>44.026067911775314</c:v>
                </c:pt>
                <c:pt idx="60">
                  <c:v>44.393951093310065</c:v>
                </c:pt>
                <c:pt idx="61">
                  <c:v>44.761440615925153</c:v>
                </c:pt>
                <c:pt idx="62">
                  <c:v>45.128281495951938</c:v>
                </c:pt>
                <c:pt idx="63">
                  <c:v>45.494218750082652</c:v>
                </c:pt>
                <c:pt idx="64">
                  <c:v>45.860691693308141</c:v>
                </c:pt>
                <c:pt idx="65">
                  <c:v>46.229027806153006</c:v>
                </c:pt>
                <c:pt idx="66">
                  <c:v>46.598804352631845</c:v>
                </c:pt>
                <c:pt idx="67">
                  <c:v>46.969598596864046</c:v>
                </c:pt>
                <c:pt idx="68">
                  <c:v>47.340987802830931</c:v>
                </c:pt>
                <c:pt idx="69">
                  <c:v>47.712549234631922</c:v>
                </c:pt>
                <c:pt idx="70">
                  <c:v>48.083860156075389</c:v>
                </c:pt>
                <c:pt idx="71">
                  <c:v>48.454497831422074</c:v>
                </c:pt>
                <c:pt idx="72">
                  <c:v>48.824039525063256</c:v>
                </c:pt>
                <c:pt idx="73">
                  <c:v>49.192062500073895</c:v>
                </c:pt>
                <c:pt idx="74">
                  <c:v>49.558144021192021</c:v>
                </c:pt>
                <c:pt idx="75">
                  <c:v>49.921861351966591</c:v>
                </c:pt>
                <c:pt idx="76">
                  <c:v>50.282791756697819</c:v>
                </c:pt>
                <c:pt idx="77">
                  <c:v>50.640512499664325</c:v>
                </c:pt>
                <c:pt idx="78">
                  <c:v>50.996313037445773</c:v>
                </c:pt>
                <c:pt idx="79">
                  <c:v>51.351442565611798</c:v>
                </c:pt>
                <c:pt idx="80">
                  <c:v>51.705417957145045</c:v>
                </c:pt>
                <c:pt idx="81">
                  <c:v>52.057756085764929</c:v>
                </c:pt>
                <c:pt idx="82">
                  <c:v>52.407973824269931</c:v>
                </c:pt>
                <c:pt idx="83">
                  <c:v>52.755588046290043</c:v>
                </c:pt>
                <c:pt idx="84">
                  <c:v>53.10011562465661</c:v>
                </c:pt>
                <c:pt idx="85">
                  <c:v>53.441073432771368</c:v>
                </c:pt>
                <c:pt idx="86">
                  <c:v>53.777978343550473</c:v>
                </c:pt>
                <c:pt idx="87">
                  <c:v>54.110347229725456</c:v>
                </c:pt>
                <c:pt idx="88">
                  <c:v>54.437696965627296</c:v>
                </c:pt>
                <c:pt idx="89">
                  <c:v>54.759544423778422</c:v>
                </c:pt>
                <c:pt idx="90">
                  <c:v>55.075406477398062</c:v>
                </c:pt>
                <c:pt idx="91">
                  <c:v>55.384799999743699</c:v>
                </c:pt>
                <c:pt idx="92">
                  <c:v>55.688629734941898</c:v>
                </c:pt>
                <c:pt idx="93">
                  <c:v>55.987965943451442</c:v>
                </c:pt>
                <c:pt idx="94">
                  <c:v>56.28257377234155</c:v>
                </c:pt>
                <c:pt idx="95">
                  <c:v>56.572218367151386</c:v>
                </c:pt>
                <c:pt idx="96">
                  <c:v>56.856664875608736</c:v>
                </c:pt>
                <c:pt idx="97">
                  <c:v>57.135678443765002</c:v>
                </c:pt>
                <c:pt idx="98">
                  <c:v>57.409024218609559</c:v>
                </c:pt>
                <c:pt idx="99">
                  <c:v>57.676467347065255</c:v>
                </c:pt>
                <c:pt idx="100">
                  <c:v>57.937772975003881</c:v>
                </c:pt>
                <c:pt idx="101">
                  <c:v>58.192706250718665</c:v>
                </c:pt>
                <c:pt idx="102">
                  <c:v>58.441032318504796</c:v>
                </c:pt>
                <c:pt idx="103">
                  <c:v>58.682516326795195</c:v>
                </c:pt>
                <c:pt idx="104">
                  <c:v>58.916923421947288</c:v>
                </c:pt>
                <c:pt idx="105">
                  <c:v>59.14401875007897</c:v>
                </c:pt>
                <c:pt idx="106">
                  <c:v>59.364212746439236</c:v>
                </c:pt>
                <c:pt idx="107">
                  <c:v>59.578117146396217</c:v>
                </c:pt>
                <c:pt idx="108">
                  <c:v>59.785799052473166</c:v>
                </c:pt>
                <c:pt idx="109">
                  <c:v>59.987325564931545</c:v>
                </c:pt>
                <c:pt idx="110">
                  <c:v>60.182763784604944</c:v>
                </c:pt>
                <c:pt idx="111">
                  <c:v>60.372180812965546</c:v>
                </c:pt>
                <c:pt idx="112">
                  <c:v>60.555643750168386</c:v>
                </c:pt>
                <c:pt idx="113">
                  <c:v>60.733219698204529</c:v>
                </c:pt>
                <c:pt idx="114">
                  <c:v>60.904975756683527</c:v>
                </c:pt>
                <c:pt idx="115">
                  <c:v>61.070979027343654</c:v>
                </c:pt>
                <c:pt idx="116">
                  <c:v>61.231296611085</c:v>
                </c:pt>
                <c:pt idx="117">
                  <c:v>61.385995609393071</c:v>
                </c:pt>
                <c:pt idx="118">
                  <c:v>61.53514312198385</c:v>
                </c:pt>
                <c:pt idx="119">
                  <c:v>61.678806250356132</c:v>
                </c:pt>
                <c:pt idx="120">
                  <c:v>61.816817242452601</c:v>
                </c:pt>
                <c:pt idx="121">
                  <c:v>61.949070973055697</c:v>
                </c:pt>
                <c:pt idx="122">
                  <c:v>62.075728485068041</c:v>
                </c:pt>
                <c:pt idx="123">
                  <c:v>62.196950820727011</c:v>
                </c:pt>
                <c:pt idx="124">
                  <c:v>62.312899021365276</c:v>
                </c:pt>
                <c:pt idx="125">
                  <c:v>62.42373412961939</c:v>
                </c:pt>
                <c:pt idx="126">
                  <c:v>62.529617187939579</c:v>
                </c:pt>
                <c:pt idx="127">
                  <c:v>62.63070923901563</c:v>
                </c:pt>
                <c:pt idx="128">
                  <c:v>62.7271713245527</c:v>
                </c:pt>
                <c:pt idx="129">
                  <c:v>62.819164486947869</c:v>
                </c:pt>
                <c:pt idx="130">
                  <c:v>62.906849768358683</c:v>
                </c:pt>
                <c:pt idx="131">
                  <c:v>62.990388211421667</c:v>
                </c:pt>
                <c:pt idx="132">
                  <c:v>63.069940857163495</c:v>
                </c:pt>
                <c:pt idx="133">
                  <c:v>63.145668749511245</c:v>
                </c:pt>
                <c:pt idx="134">
                  <c:v>63.217069749680476</c:v>
                </c:pt>
                <c:pt idx="135">
                  <c:v>63.283619351685054</c:v>
                </c:pt>
                <c:pt idx="136">
                  <c:v>63.345445046434186</c:v>
                </c:pt>
                <c:pt idx="137">
                  <c:v>63.402674326247407</c:v>
                </c:pt>
                <c:pt idx="138">
                  <c:v>63.455434682499614</c:v>
                </c:pt>
                <c:pt idx="139">
                  <c:v>63.503853608082444</c:v>
                </c:pt>
                <c:pt idx="140">
                  <c:v>63.54805859373883</c:v>
                </c:pt>
                <c:pt idx="141">
                  <c:v>63.588177132127541</c:v>
                </c:pt>
                <c:pt idx="142">
                  <c:v>63.624336714423926</c:v>
                </c:pt>
                <c:pt idx="143">
                  <c:v>63.656664832561688</c:v>
                </c:pt>
                <c:pt idx="144">
                  <c:v>63.685288978388002</c:v>
                </c:pt>
                <c:pt idx="145">
                  <c:v>63.710336643244545</c:v>
                </c:pt>
                <c:pt idx="146">
                  <c:v>63.731935319943091</c:v>
                </c:pt>
                <c:pt idx="147">
                  <c:v>63.750212499778719</c:v>
                </c:pt>
                <c:pt idx="148">
                  <c:v>63.764606771571565</c:v>
                </c:pt>
                <c:pt idx="149">
                  <c:v>63.774556724048622</c:v>
                </c:pt>
                <c:pt idx="150">
                  <c:v>63.78018984872449</c:v>
                </c:pt>
                <c:pt idx="151">
                  <c:v>63.781633637765687</c:v>
                </c:pt>
                <c:pt idx="152">
                  <c:v>63.779015581875242</c:v>
                </c:pt>
                <c:pt idx="153">
                  <c:v>63.772463174084464</c:v>
                </c:pt>
                <c:pt idx="154">
                  <c:v>63.762103906134143</c:v>
                </c:pt>
                <c:pt idx="155">
                  <c:v>63.748065269858174</c:v>
                </c:pt>
                <c:pt idx="156">
                  <c:v>63.730474756458513</c:v>
                </c:pt>
                <c:pt idx="157">
                  <c:v>63.709459857828918</c:v>
                </c:pt>
                <c:pt idx="158">
                  <c:v>63.685148066528399</c:v>
                </c:pt>
                <c:pt idx="159">
                  <c:v>63.657666873492829</c:v>
                </c:pt>
                <c:pt idx="160">
                  <c:v>63.627143770582705</c:v>
                </c:pt>
                <c:pt idx="161">
                  <c:v>63.593706250097604</c:v>
                </c:pt>
                <c:pt idx="162">
                  <c:v>63.556860001544869</c:v>
                </c:pt>
                <c:pt idx="163">
                  <c:v>63.516128608065529</c:v>
                </c:pt>
                <c:pt idx="164">
                  <c:v>63.471666401771031</c:v>
                </c:pt>
                <c:pt idx="165">
                  <c:v>63.423627715078851</c:v>
                </c:pt>
                <c:pt idx="166">
                  <c:v>63.372166880512872</c:v>
                </c:pt>
                <c:pt idx="167">
                  <c:v>63.31743822923994</c:v>
                </c:pt>
                <c:pt idx="168">
                  <c:v>63.259596093883744</c:v>
                </c:pt>
                <c:pt idx="169">
                  <c:v>63.198794806988111</c:v>
                </c:pt>
                <c:pt idx="170">
                  <c:v>63.135188700438349</c:v>
                </c:pt>
                <c:pt idx="171">
                  <c:v>63.068932106385809</c:v>
                </c:pt>
                <c:pt idx="172">
                  <c:v>63.000179357440878</c:v>
                </c:pt>
                <c:pt idx="173">
                  <c:v>62.929084784989904</c:v>
                </c:pt>
                <c:pt idx="174">
                  <c:v>62.855802721876117</c:v>
                </c:pt>
                <c:pt idx="175">
                  <c:v>62.78048750013113</c:v>
                </c:pt>
                <c:pt idx="176">
                  <c:v>62.702725330164782</c:v>
                </c:pt>
                <c:pt idx="177">
                  <c:v>62.622084530083725</c:v>
                </c:pt>
                <c:pt idx="178">
                  <c:v>62.538692590541075</c:v>
                </c:pt>
                <c:pt idx="179">
                  <c:v>62.45267700462469</c:v>
                </c:pt>
                <c:pt idx="180">
                  <c:v>62.364165262834703</c:v>
                </c:pt>
                <c:pt idx="181">
                  <c:v>62.273284857866486</c:v>
                </c:pt>
                <c:pt idx="182">
                  <c:v>62.18016328110825</c:v>
                </c:pt>
                <c:pt idx="183">
                  <c:v>62.084928024852914</c:v>
                </c:pt>
                <c:pt idx="184">
                  <c:v>61.987706580412173</c:v>
                </c:pt>
                <c:pt idx="185">
                  <c:v>61.888626439510176</c:v>
                </c:pt>
                <c:pt idx="186">
                  <c:v>61.787815094253574</c:v>
                </c:pt>
                <c:pt idx="187">
                  <c:v>61.685400036336588</c:v>
                </c:pt>
                <c:pt idx="188">
                  <c:v>61.581508757732813</c:v>
                </c:pt>
                <c:pt idx="189">
                  <c:v>61.476268749870357</c:v>
                </c:pt>
                <c:pt idx="190">
                  <c:v>61.3693579288</c:v>
                </c:pt>
                <c:pt idx="191">
                  <c:v>61.26040947499817</c:v>
                </c:pt>
                <c:pt idx="192">
                  <c:v>61.149483780572865</c:v>
                </c:pt>
                <c:pt idx="193">
                  <c:v>61.036641235323629</c:v>
                </c:pt>
                <c:pt idx="194">
                  <c:v>60.921942230683221</c:v>
                </c:pt>
                <c:pt idx="195">
                  <c:v>60.805447157146403</c:v>
                </c:pt>
                <c:pt idx="196">
                  <c:v>60.687216406106018</c:v>
                </c:pt>
                <c:pt idx="197">
                  <c:v>60.567310368143296</c:v>
                </c:pt>
                <c:pt idx="198">
                  <c:v>60.445789433706423</c:v>
                </c:pt>
                <c:pt idx="199">
                  <c:v>60.322713994228153</c:v>
                </c:pt>
                <c:pt idx="200">
                  <c:v>60.198144440110106</c:v>
                </c:pt>
                <c:pt idx="201">
                  <c:v>60.072141162498994</c:v>
                </c:pt>
                <c:pt idx="202">
                  <c:v>59.94476455204255</c:v>
                </c:pt>
                <c:pt idx="203">
                  <c:v>59.816074999747798</c:v>
                </c:pt>
                <c:pt idx="204">
                  <c:v>59.686207826299196</c:v>
                </c:pt>
                <c:pt idx="205">
                  <c:v>59.555222303187477</c:v>
                </c:pt>
                <c:pt idx="206">
                  <c:v>59.423064750343165</c:v>
                </c:pt>
                <c:pt idx="207">
                  <c:v>59.289681486885193</c:v>
                </c:pt>
                <c:pt idx="208">
                  <c:v>59.15501883189593</c:v>
                </c:pt>
                <c:pt idx="209">
                  <c:v>59.019023104803637</c:v>
                </c:pt>
                <c:pt idx="210">
                  <c:v>58.881640624930156</c:v>
                </c:pt>
                <c:pt idx="211">
                  <c:v>58.742817711258041</c:v>
                </c:pt>
                <c:pt idx="212">
                  <c:v>58.602500683245516</c:v>
                </c:pt>
                <c:pt idx="213">
                  <c:v>58.460635859898424</c:v>
                </c:pt>
                <c:pt idx="214">
                  <c:v>58.317169560661675</c:v>
                </c:pt>
                <c:pt idx="215">
                  <c:v>58.172048105059986</c:v>
                </c:pt>
                <c:pt idx="216">
                  <c:v>58.025217811600307</c:v>
                </c:pt>
                <c:pt idx="217">
                  <c:v>57.876625000033528</c:v>
                </c:pt>
                <c:pt idx="218">
                  <c:v>57.726845619784271</c:v>
                </c:pt>
                <c:pt idx="219">
                  <c:v>57.576343786496935</c:v>
                </c:pt>
                <c:pt idx="220">
                  <c:v>57.424898066315137</c:v>
                </c:pt>
                <c:pt idx="221">
                  <c:v>57.272287026340408</c:v>
                </c:pt>
                <c:pt idx="222">
                  <c:v>57.118289233148758</c:v>
                </c:pt>
                <c:pt idx="223">
                  <c:v>56.962683254234221</c:v>
                </c:pt>
                <c:pt idx="224">
                  <c:v>56.805247656302527</c:v>
                </c:pt>
                <c:pt idx="225">
                  <c:v>56.645761005833215</c:v>
                </c:pt>
                <c:pt idx="226">
                  <c:v>56.484001869848001</c:v>
                </c:pt>
                <c:pt idx="227">
                  <c:v>56.31974881547503</c:v>
                </c:pt>
                <c:pt idx="228">
                  <c:v>56.152780409313607</c:v>
                </c:pt>
                <c:pt idx="229">
                  <c:v>55.982875218568367</c:v>
                </c:pt>
                <c:pt idx="230">
                  <c:v>55.809811809782076</c:v>
                </c:pt>
                <c:pt idx="231">
                  <c:v>55.633368749823418</c:v>
                </c:pt>
                <c:pt idx="232">
                  <c:v>55.453799903828511</c:v>
                </c:pt>
                <c:pt idx="233">
                  <c:v>55.271381505113098</c:v>
                </c:pt>
                <c:pt idx="234">
                  <c:v>55.085925669808475</c:v>
                </c:pt>
                <c:pt idx="235">
                  <c:v>54.897244515356476</c:v>
                </c:pt>
                <c:pt idx="236">
                  <c:v>54.705150159538192</c:v>
                </c:pt>
                <c:pt idx="237">
                  <c:v>54.509454718884086</c:v>
                </c:pt>
                <c:pt idx="238">
                  <c:v>54.309970312681983</c:v>
                </c:pt>
                <c:pt idx="239">
                  <c:v>54.106509055789289</c:v>
                </c:pt>
                <c:pt idx="240">
                  <c:v>53.89888306729096</c:v>
                </c:pt>
                <c:pt idx="241">
                  <c:v>53.6869044641698</c:v>
                </c:pt>
                <c:pt idx="242">
                  <c:v>53.470385363242322</c:v>
                </c:pt>
                <c:pt idx="243">
                  <c:v>53.249137882868361</c:v>
                </c:pt>
                <c:pt idx="244">
                  <c:v>53.022974138537279</c:v>
                </c:pt>
                <c:pt idx="245">
                  <c:v>52.791706250142305</c:v>
                </c:pt>
                <c:pt idx="246">
                  <c:v>52.555046799143639</c:v>
                </c:pt>
                <c:pt idx="247">
                  <c:v>52.312936515966427</c:v>
                </c:pt>
                <c:pt idx="248">
                  <c:v>52.065529730972571</c:v>
                </c:pt>
                <c:pt idx="249">
                  <c:v>51.812980776187032</c:v>
                </c:pt>
                <c:pt idx="250">
                  <c:v>51.555443984652598</c:v>
                </c:pt>
                <c:pt idx="251">
                  <c:v>51.29307368778889</c:v>
                </c:pt>
                <c:pt idx="252">
                  <c:v>51.026024218555541</c:v>
                </c:pt>
                <c:pt idx="253">
                  <c:v>50.754449908648219</c:v>
                </c:pt>
                <c:pt idx="254">
                  <c:v>50.478505090501031</c:v>
                </c:pt>
                <c:pt idx="255">
                  <c:v>50.198344096308574</c:v>
                </c:pt>
                <c:pt idx="256">
                  <c:v>49.914121257753251</c:v>
                </c:pt>
                <c:pt idx="257">
                  <c:v>49.625990907515266</c:v>
                </c:pt>
                <c:pt idx="258">
                  <c:v>49.334107377383461</c:v>
                </c:pt>
                <c:pt idx="259">
                  <c:v>49.038624999858442</c:v>
                </c:pt>
                <c:pt idx="260">
                  <c:v>48.738894014265057</c:v>
                </c:pt>
                <c:pt idx="261">
                  <c:v>48.434430174938669</c:v>
                </c:pt>
                <c:pt idx="262">
                  <c:v>48.125636087989967</c:v>
                </c:pt>
                <c:pt idx="263">
                  <c:v>47.812914358545093</c:v>
                </c:pt>
                <c:pt idx="264">
                  <c:v>47.496667593072303</c:v>
                </c:pt>
                <c:pt idx="265">
                  <c:v>47.177298396396715</c:v>
                </c:pt>
                <c:pt idx="266">
                  <c:v>46.855209374951663</c:v>
                </c:pt>
                <c:pt idx="267">
                  <c:v>46.530803133959751</c:v>
                </c:pt>
                <c:pt idx="268">
                  <c:v>46.204482279702958</c:v>
                </c:pt>
                <c:pt idx="269">
                  <c:v>45.876649417152763</c:v>
                </c:pt>
                <c:pt idx="270">
                  <c:v>45.547707152004094</c:v>
                </c:pt>
                <c:pt idx="271">
                  <c:v>45.218058090597125</c:v>
                </c:pt>
                <c:pt idx="272">
                  <c:v>44.888104837948262</c:v>
                </c:pt>
                <c:pt idx="273">
                  <c:v>44.558250000048432</c:v>
                </c:pt>
                <c:pt idx="274">
                  <c:v>44.227263392885547</c:v>
                </c:pt>
                <c:pt idx="275">
                  <c:v>43.893896938820504</c:v>
                </c:pt>
                <c:pt idx="276">
                  <c:v>43.558526403054458</c:v>
                </c:pt>
                <c:pt idx="277">
                  <c:v>43.221527551181083</c:v>
                </c:pt>
                <c:pt idx="278">
                  <c:v>42.883276147915915</c:v>
                </c:pt>
                <c:pt idx="279">
                  <c:v>42.544147959245102</c:v>
                </c:pt>
                <c:pt idx="280">
                  <c:v>42.204518749855922</c:v>
                </c:pt>
                <c:pt idx="281">
                  <c:v>41.864764285702918</c:v>
                </c:pt>
                <c:pt idx="282">
                  <c:v>41.525260331501656</c:v>
                </c:pt>
                <c:pt idx="283">
                  <c:v>41.186382653005424</c:v>
                </c:pt>
                <c:pt idx="284">
                  <c:v>40.848507015378814</c:v>
                </c:pt>
                <c:pt idx="285">
                  <c:v>40.512009183620094</c:v>
                </c:pt>
                <c:pt idx="286">
                  <c:v>40.177264923567421</c:v>
                </c:pt>
                <c:pt idx="287">
                  <c:v>39.844649999914694</c:v>
                </c:pt>
                <c:pt idx="288">
                  <c:v>39.512747464937689</c:v>
                </c:pt>
                <c:pt idx="289">
                  <c:v>39.180109055965602</c:v>
                </c:pt>
                <c:pt idx="290">
                  <c:v>38.84706356818289</c:v>
                </c:pt>
                <c:pt idx="291">
                  <c:v>38.513939795722919</c:v>
                </c:pt>
                <c:pt idx="292">
                  <c:v>38.181066533861618</c:v>
                </c:pt>
                <c:pt idx="293">
                  <c:v>37.84877257669411</c:v>
                </c:pt>
                <c:pt idx="294">
                  <c:v>37.517386718653142</c:v>
                </c:pt>
                <c:pt idx="295">
                  <c:v>37.187237755282382</c:v>
                </c:pt>
                <c:pt idx="296">
                  <c:v>36.858654480101542</c:v>
                </c:pt>
                <c:pt idx="297">
                  <c:v>36.53196568881561</c:v>
                </c:pt>
                <c:pt idx="298">
                  <c:v>36.207500175345089</c:v>
                </c:pt>
                <c:pt idx="299">
                  <c:v>35.885586734821217</c:v>
                </c:pt>
                <c:pt idx="300">
                  <c:v>35.566554161374057</c:v>
                </c:pt>
                <c:pt idx="301">
                  <c:v>35.250731250294486</c:v>
                </c:pt>
                <c:pt idx="302">
                  <c:v>34.936671975497816</c:v>
                </c:pt>
                <c:pt idx="303">
                  <c:v>34.622970571927723</c:v>
                </c:pt>
                <c:pt idx="304">
                  <c:v>34.31001622635273</c:v>
                </c:pt>
                <c:pt idx="305">
                  <c:v>33.998198123099947</c:v>
                </c:pt>
                <c:pt idx="306">
                  <c:v>33.687905448335883</c:v>
                </c:pt>
                <c:pt idx="307">
                  <c:v>33.379527386929837</c:v>
                </c:pt>
                <c:pt idx="308">
                  <c:v>33.073453125217931</c:v>
                </c:pt>
                <c:pt idx="309">
                  <c:v>32.770071847730179</c:v>
                </c:pt>
                <c:pt idx="310">
                  <c:v>32.46977274074618</c:v>
                </c:pt>
                <c:pt idx="311">
                  <c:v>32.172944989733935</c:v>
                </c:pt>
                <c:pt idx="312">
                  <c:v>31.879977779058809</c:v>
                </c:pt>
                <c:pt idx="313">
                  <c:v>31.591260295780376</c:v>
                </c:pt>
                <c:pt idx="314">
                  <c:v>31.307181724505167</c:v>
                </c:pt>
                <c:pt idx="315">
                  <c:v>31.028131251037124</c:v>
                </c:pt>
                <c:pt idx="316">
                  <c:v>30.752123178022778</c:v>
                </c:pt>
                <c:pt idx="317">
                  <c:v>30.477291688136756</c:v>
                </c:pt>
                <c:pt idx="318">
                  <c:v>30.204205791026887</c:v>
                </c:pt>
                <c:pt idx="319">
                  <c:v>29.933434490047922</c:v>
                </c:pt>
                <c:pt idx="320">
                  <c:v>29.665546793257818</c:v>
                </c:pt>
                <c:pt idx="321">
                  <c:v>29.401111705335126</c:v>
                </c:pt>
                <c:pt idx="322">
                  <c:v>29.140698233619332</c:v>
                </c:pt>
                <c:pt idx="323">
                  <c:v>28.884875384492005</c:v>
                </c:pt>
                <c:pt idx="324">
                  <c:v>28.634212163536411</c:v>
                </c:pt>
                <c:pt idx="325">
                  <c:v>28.389277577533253</c:v>
                </c:pt>
                <c:pt idx="326">
                  <c:v>28.150640632198858</c:v>
                </c:pt>
                <c:pt idx="327">
                  <c:v>27.918870333848254</c:v>
                </c:pt>
                <c:pt idx="328">
                  <c:v>27.694535690186811</c:v>
                </c:pt>
                <c:pt idx="329">
                  <c:v>27.478205705806612</c:v>
                </c:pt>
                <c:pt idx="330">
                  <c:v>27.268222550262827</c:v>
                </c:pt>
                <c:pt idx="331">
                  <c:v>27.062952113364425</c:v>
                </c:pt>
                <c:pt idx="332">
                  <c:v>26.862998986084545</c:v>
                </c:pt>
                <c:pt idx="333">
                  <c:v>26.668967759635834</c:v>
                </c:pt>
                <c:pt idx="334">
                  <c:v>26.481463023421483</c:v>
                </c:pt>
                <c:pt idx="335">
                  <c:v>26.301089367616392</c:v>
                </c:pt>
                <c:pt idx="336">
                  <c:v>26.128451383393259</c:v>
                </c:pt>
                <c:pt idx="337">
                  <c:v>25.964153661339413</c:v>
                </c:pt>
                <c:pt idx="338">
                  <c:v>25.808800794037857</c:v>
                </c:pt>
                <c:pt idx="339">
                  <c:v>25.66299736720643</c:v>
                </c:pt>
                <c:pt idx="340">
                  <c:v>25.527347976780899</c:v>
                </c:pt>
                <c:pt idx="341">
                  <c:v>25.402457208133171</c:v>
                </c:pt>
                <c:pt idx="342">
                  <c:v>25.288929655575856</c:v>
                </c:pt>
                <c:pt idx="343">
                  <c:v>25.187369906902312</c:v>
                </c:pt>
                <c:pt idx="344">
                  <c:v>25.097251622153109</c:v>
                </c:pt>
                <c:pt idx="345">
                  <c:v>25.017738310343088</c:v>
                </c:pt>
                <c:pt idx="346">
                  <c:v>24.948969349427507</c:v>
                </c:pt>
                <c:pt idx="347">
                  <c:v>24.891084110861634</c:v>
                </c:pt>
                <c:pt idx="348">
                  <c:v>24.844221969912276</c:v>
                </c:pt>
                <c:pt idx="349">
                  <c:v>24.808522296399609</c:v>
                </c:pt>
                <c:pt idx="350">
                  <c:v>24.784124469837366</c:v>
                </c:pt>
                <c:pt idx="351">
                  <c:v>24.771167856773243</c:v>
                </c:pt>
                <c:pt idx="352">
                  <c:v>24.769791837347206</c:v>
                </c:pt>
                <c:pt idx="353">
                  <c:v>24.780135782646575</c:v>
                </c:pt>
                <c:pt idx="354">
                  <c:v>24.802339063392573</c:v>
                </c:pt>
                <c:pt idx="355">
                  <c:v>24.836541058037781</c:v>
                </c:pt>
                <c:pt idx="356">
                  <c:v>24.88288113713044</c:v>
                </c:pt>
                <c:pt idx="357">
                  <c:v>24.941498675865347</c:v>
                </c:pt>
                <c:pt idx="358">
                  <c:v>25.012827187725183</c:v>
                </c:pt>
                <c:pt idx="359">
                  <c:v>25.09690935876349</c:v>
                </c:pt>
                <c:pt idx="360">
                  <c:v>25.19329831977857</c:v>
                </c:pt>
                <c:pt idx="361">
                  <c:v>25.301547199128002</c:v>
                </c:pt>
                <c:pt idx="362">
                  <c:v>25.421209123794888</c:v>
                </c:pt>
                <c:pt idx="363">
                  <c:v>25.551837229112103</c:v>
                </c:pt>
                <c:pt idx="364">
                  <c:v>25.692984638273202</c:v>
                </c:pt>
                <c:pt idx="365">
                  <c:v>25.844204484902576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25.790555709302424</c:v>
                </c:pt>
                <c:pt idx="1">
                  <c:v>25.974722366333008</c:v>
                </c:pt>
                <c:pt idx="2">
                  <c:v>26.166725670794648</c:v>
                </c:pt>
                <c:pt idx="3">
                  <c:v>26.365340142846104</c:v>
                </c:pt>
                <c:pt idx="4">
                  <c:v>26.569340295791626</c:v>
                </c:pt>
                <c:pt idx="5">
                  <c:v>26.777500646611053</c:v>
                </c:pt>
                <c:pt idx="6">
                  <c:v>26.988595708608624</c:v>
                </c:pt>
                <c:pt idx="7">
                  <c:v>27.20139999985695</c:v>
                </c:pt>
                <c:pt idx="8">
                  <c:v>27.418466680869461</c:v>
                </c:pt>
                <c:pt idx="9">
                  <c:v>27.643008766429766</c:v>
                </c:pt>
                <c:pt idx="10">
                  <c:v>27.874790555132286</c:v>
                </c:pt>
                <c:pt idx="11">
                  <c:v>28.113576347700189</c:v>
                </c:pt>
                <c:pt idx="12">
                  <c:v>28.359130439481568</c:v>
                </c:pt>
                <c:pt idx="13">
                  <c:v>28.611217130720615</c:v>
                </c:pt>
                <c:pt idx="14">
                  <c:v>28.869600718468426</c:v>
                </c:pt>
                <c:pt idx="15">
                  <c:v>29.1340455009469</c:v>
                </c:pt>
                <c:pt idx="16">
                  <c:v>29.404315777548721</c:v>
                </c:pt>
                <c:pt idx="17">
                  <c:v>29.680175844686374</c:v>
                </c:pt>
                <c:pt idx="18">
                  <c:v>29.961390003242663</c:v>
                </c:pt>
                <c:pt idx="19">
                  <c:v>30.247722550162244</c:v>
                </c:pt>
                <c:pt idx="20">
                  <c:v>30.538937782070469</c:v>
                </c:pt>
                <c:pt idx="21">
                  <c:v>30.834799999743701</c:v>
                </c:pt>
                <c:pt idx="22">
                  <c:v>31.137988920829127</c:v>
                </c:pt>
                <c:pt idx="23">
                  <c:v>31.450625655813404</c:v>
                </c:pt>
                <c:pt idx="24">
                  <c:v>31.771636589430273</c:v>
                </c:pt>
                <c:pt idx="25">
                  <c:v>32.099948104258097</c:v>
                </c:pt>
                <c:pt idx="26">
                  <c:v>32.434486589035281</c:v>
                </c:pt>
                <c:pt idx="27">
                  <c:v>32.774178424996457</c:v>
                </c:pt>
                <c:pt idx="28">
                  <c:v>33.11794999972917</c:v>
                </c:pt>
                <c:pt idx="29">
                  <c:v>33.464727697095704</c:v>
                </c:pt>
                <c:pt idx="30">
                  <c:v>33.813437900665619</c:v>
                </c:pt>
                <c:pt idx="31">
                  <c:v>34.163006996922192</c:v>
                </c:pt>
                <c:pt idx="32">
                  <c:v>34.512361370120196</c:v>
                </c:pt>
                <c:pt idx="33">
                  <c:v>34.860427405259436</c:v>
                </c:pt>
                <c:pt idx="34">
                  <c:v>35.206131486814201</c:v>
                </c:pt>
                <c:pt idx="35">
                  <c:v>35.548399999924001</c:v>
                </c:pt>
                <c:pt idx="36">
                  <c:v>35.888378134110411</c:v>
                </c:pt>
                <c:pt idx="37">
                  <c:v>36.22806997086321</c:v>
                </c:pt>
                <c:pt idx="38">
                  <c:v>36.567690233247617</c:v>
                </c:pt>
                <c:pt idx="39">
                  <c:v>36.9074536443688</c:v>
                </c:pt>
                <c:pt idx="40">
                  <c:v>37.247574927085751</c:v>
                </c:pt>
                <c:pt idx="41">
                  <c:v>37.588268804630005</c:v>
                </c:pt>
                <c:pt idx="42">
                  <c:v>37.929749999893829</c:v>
                </c:pt>
                <c:pt idx="43">
                  <c:v>38.272233236062206</c:v>
                </c:pt>
                <c:pt idx="44">
                  <c:v>38.615933236153793</c:v>
                </c:pt>
                <c:pt idx="45">
                  <c:v>38.961064723213873</c:v>
                </c:pt>
                <c:pt idx="46">
                  <c:v>39.307842419828688</c:v>
                </c:pt>
                <c:pt idx="47">
                  <c:v>39.656481049569059</c:v>
                </c:pt>
                <c:pt idx="48">
                  <c:v>40.007195335407076</c:v>
                </c:pt>
                <c:pt idx="49">
                  <c:v>40.36019999999553</c:v>
                </c:pt>
                <c:pt idx="50">
                  <c:v>40.715870808805008</c:v>
                </c:pt>
                <c:pt idx="51">
                  <c:v>41.074225655948979</c:v>
                </c:pt>
                <c:pt idx="52">
                  <c:v>41.43494245634065</c:v>
                </c:pt>
                <c:pt idx="53">
                  <c:v>41.797699125452034</c:v>
                </c:pt>
                <c:pt idx="54">
                  <c:v>42.162173578636427</c:v>
                </c:pt>
                <c:pt idx="55">
                  <c:v>42.528043731829634</c:v>
                </c:pt>
                <c:pt idx="56">
                  <c:v>42.894987500105344</c:v>
                </c:pt>
                <c:pt idx="57">
                  <c:v>43.262682798696083</c:v>
                </c:pt>
                <c:pt idx="58">
                  <c:v>43.630807543661128</c:v>
                </c:pt>
                <c:pt idx="59">
                  <c:v>43.999039650151715</c:v>
                </c:pt>
                <c:pt idx="60">
                  <c:v>44.367057033557749</c:v>
                </c:pt>
                <c:pt idx="61">
                  <c:v>44.734537609299878</c:v>
                </c:pt>
                <c:pt idx="62">
                  <c:v>45.101159292996456</c:v>
                </c:pt>
                <c:pt idx="63">
                  <c:v>45.466600000002657</c:v>
                </c:pt>
                <c:pt idx="64">
                  <c:v>45.831808090382921</c:v>
                </c:pt>
                <c:pt idx="65">
                  <c:v>46.197803498553448</c:v>
                </c:pt>
                <c:pt idx="66">
                  <c:v>46.564371501429044</c:v>
                </c:pt>
                <c:pt idx="67">
                  <c:v>46.931297376086249</c:v>
                </c:pt>
                <c:pt idx="68">
                  <c:v>47.298366399422228</c:v>
                </c:pt>
                <c:pt idx="69">
                  <c:v>47.665363848393987</c:v>
                </c:pt>
                <c:pt idx="70">
                  <c:v>48.032075000049375</c:v>
                </c:pt>
                <c:pt idx="71">
                  <c:v>48.398285131276602</c:v>
                </c:pt>
                <c:pt idx="72">
                  <c:v>48.763779518911697</c:v>
                </c:pt>
                <c:pt idx="73">
                  <c:v>49.128343440133278</c:v>
                </c:pt>
                <c:pt idx="74">
                  <c:v>49.491762172083583</c:v>
                </c:pt>
                <c:pt idx="75">
                  <c:v>49.853820991318209</c:v>
                </c:pt>
                <c:pt idx="76">
                  <c:v>50.214305175098083</c:v>
                </c:pt>
                <c:pt idx="77">
                  <c:v>50.572999999672177</c:v>
                </c:pt>
                <c:pt idx="78">
                  <c:v>50.932553717121479</c:v>
                </c:pt>
                <c:pt idx="79">
                  <c:v>51.295041982616702</c:v>
                </c:pt>
                <c:pt idx="80">
                  <c:v>51.659391181250768</c:v>
                </c:pt>
                <c:pt idx="81">
                  <c:v>52.02452769726515</c:v>
                </c:pt>
                <c:pt idx="82">
                  <c:v>52.389377916298272</c:v>
                </c:pt>
                <c:pt idx="83">
                  <c:v>52.752868222445251</c:v>
                </c:pt>
                <c:pt idx="84">
                  <c:v>53.113925000652671</c:v>
                </c:pt>
                <c:pt idx="85">
                  <c:v>53.471474636372719</c:v>
                </c:pt>
                <c:pt idx="86">
                  <c:v>53.824443513913344</c:v>
                </c:pt>
                <c:pt idx="87">
                  <c:v>54.171758018008305</c:v>
                </c:pt>
                <c:pt idx="88">
                  <c:v>54.512344535107594</c:v>
                </c:pt>
                <c:pt idx="89">
                  <c:v>54.845129448494745</c:v>
                </c:pt>
                <c:pt idx="90">
                  <c:v>55.169039141692757</c:v>
                </c:pt>
                <c:pt idx="91">
                  <c:v>55.483000002056357</c:v>
                </c:pt>
                <c:pt idx="92">
                  <c:v>55.788855067214797</c:v>
                </c:pt>
                <c:pt idx="93">
                  <c:v>56.089091545982022</c:v>
                </c:pt>
                <c:pt idx="94">
                  <c:v>56.383602077780026</c:v>
                </c:pt>
                <c:pt idx="95">
                  <c:v>56.67227930139218</c:v>
                </c:pt>
                <c:pt idx="96">
                  <c:v>56.955015853313469</c:v>
                </c:pt>
                <c:pt idx="97">
                  <c:v>57.231704374296328</c:v>
                </c:pt>
                <c:pt idx="98">
                  <c:v>57.502237500250338</c:v>
                </c:pt>
                <c:pt idx="99">
                  <c:v>57.766507871981176</c:v>
                </c:pt>
                <c:pt idx="100">
                  <c:v>58.024408126835304</c:v>
                </c:pt>
                <c:pt idx="101">
                  <c:v>58.275830903862207</c:v>
                </c:pt>
                <c:pt idx="102">
                  <c:v>58.520668841313032</c:v>
                </c:pt>
                <c:pt idx="103">
                  <c:v>58.758814577013254</c:v>
                </c:pt>
                <c:pt idx="104">
                  <c:v>58.990160749586565</c:v>
                </c:pt>
                <c:pt idx="105">
                  <c:v>59.214599998295306</c:v>
                </c:pt>
                <c:pt idx="106">
                  <c:v>59.431595516098398</c:v>
                </c:pt>
                <c:pt idx="107">
                  <c:v>59.640896791964771</c:v>
                </c:pt>
                <c:pt idx="108">
                  <c:v>59.842825910608688</c:v>
                </c:pt>
                <c:pt idx="109">
                  <c:v>60.037704955892899</c:v>
                </c:pt>
                <c:pt idx="110">
                  <c:v>60.225856012318808</c:v>
                </c:pt>
                <c:pt idx="111">
                  <c:v>60.407601166090799</c:v>
                </c:pt>
                <c:pt idx="112">
                  <c:v>60.583262499421835</c:v>
                </c:pt>
                <c:pt idx="113">
                  <c:v>60.753162099527458</c:v>
                </c:pt>
                <c:pt idx="114">
                  <c:v>60.917622048407793</c:v>
                </c:pt>
                <c:pt idx="115">
                  <c:v>61.076964431681802</c:v>
                </c:pt>
                <c:pt idx="116">
                  <c:v>61.231511333584784</c:v>
                </c:pt>
                <c:pt idx="117">
                  <c:v>61.381584838990662</c:v>
                </c:pt>
                <c:pt idx="118">
                  <c:v>61.527507033305504</c:v>
                </c:pt>
                <c:pt idx="119">
                  <c:v>61.669600000977518</c:v>
                </c:pt>
                <c:pt idx="120">
                  <c:v>61.807147996234036</c:v>
                </c:pt>
                <c:pt idx="121">
                  <c:v>61.939292128703428</c:v>
                </c:pt>
                <c:pt idx="122">
                  <c:v>62.066139759708719</c:v>
                </c:pt>
                <c:pt idx="123">
                  <c:v>62.187798250785896</c:v>
                </c:pt>
                <c:pt idx="124">
                  <c:v>62.304374963204779</c:v>
                </c:pt>
                <c:pt idx="125">
                  <c:v>62.415977259831763</c:v>
                </c:pt>
                <c:pt idx="126">
                  <c:v>62.52271250076592</c:v>
                </c:pt>
                <c:pt idx="127">
                  <c:v>62.624688046744879</c:v>
                </c:pt>
                <c:pt idx="128">
                  <c:v>62.722011260315774</c:v>
                </c:pt>
                <c:pt idx="129">
                  <c:v>62.814789504770715</c:v>
                </c:pt>
                <c:pt idx="130">
                  <c:v>62.90313013808003</c:v>
                </c:pt>
                <c:pt idx="131">
                  <c:v>62.987140524706675</c:v>
                </c:pt>
                <c:pt idx="132">
                  <c:v>63.06692802448358</c:v>
                </c:pt>
                <c:pt idx="133">
                  <c:v>63.142600000649693</c:v>
                </c:pt>
                <c:pt idx="134">
                  <c:v>63.213530174350105</c:v>
                </c:pt>
                <c:pt idx="135">
                  <c:v>63.279163848076543</c:v>
                </c:pt>
                <c:pt idx="136">
                  <c:v>63.33971574380994</c:v>
                </c:pt>
                <c:pt idx="137">
                  <c:v>63.395400582892556</c:v>
                </c:pt>
                <c:pt idx="138">
                  <c:v>63.446433090604842</c:v>
                </c:pt>
                <c:pt idx="139">
                  <c:v>63.493027988395511</c:v>
                </c:pt>
                <c:pt idx="140">
                  <c:v>63.535400000028311</c:v>
                </c:pt>
                <c:pt idx="141">
                  <c:v>63.573763848521878</c:v>
                </c:pt>
                <c:pt idx="142">
                  <c:v>63.608334256628794</c:v>
                </c:pt>
                <c:pt idx="143">
                  <c:v>63.639325947953125</c:v>
                </c:pt>
                <c:pt idx="144">
                  <c:v>63.666953644608817</c:v>
                </c:pt>
                <c:pt idx="145">
                  <c:v>63.691432070199923</c:v>
                </c:pt>
                <c:pt idx="146">
                  <c:v>63.712975947878192</c:v>
                </c:pt>
                <c:pt idx="147">
                  <c:v>63.731799999997023</c:v>
                </c:pt>
                <c:pt idx="148">
                  <c:v>63.747814759505651</c:v>
                </c:pt>
                <c:pt idx="149">
                  <c:v>63.760716035110612</c:v>
                </c:pt>
                <c:pt idx="150">
                  <c:v>63.77039646522276</c:v>
                </c:pt>
                <c:pt idx="151">
                  <c:v>63.776748688199689</c:v>
                </c:pt>
                <c:pt idx="152">
                  <c:v>63.779665342851409</c:v>
                </c:pt>
                <c:pt idx="153">
                  <c:v>63.779039067029956</c:v>
                </c:pt>
                <c:pt idx="154">
                  <c:v>63.774762500450016</c:v>
                </c:pt>
                <c:pt idx="155">
                  <c:v>63.766728280644337</c:v>
                </c:pt>
                <c:pt idx="156">
                  <c:v>63.754829045677823</c:v>
                </c:pt>
                <c:pt idx="157">
                  <c:v>63.738957434786222</c:v>
                </c:pt>
                <c:pt idx="158">
                  <c:v>63.719006086806097</c:v>
                </c:pt>
                <c:pt idx="159">
                  <c:v>63.694867639562929</c:v>
                </c:pt>
                <c:pt idx="160">
                  <c:v>63.666434730110424</c:v>
                </c:pt>
                <c:pt idx="161">
                  <c:v>63.633600000292063</c:v>
                </c:pt>
                <c:pt idx="162">
                  <c:v>63.595594023886534</c:v>
                </c:pt>
                <c:pt idx="163">
                  <c:v>63.552005247771739</c:v>
                </c:pt>
                <c:pt idx="164">
                  <c:v>63.503263119874262</c:v>
                </c:pt>
                <c:pt idx="165">
                  <c:v>63.449797085140439</c:v>
                </c:pt>
                <c:pt idx="166">
                  <c:v>63.39203658942133</c:v>
                </c:pt>
                <c:pt idx="167">
                  <c:v>63.330411078621225</c:v>
                </c:pt>
                <c:pt idx="168">
                  <c:v>63.26535000000149</c:v>
                </c:pt>
                <c:pt idx="169">
                  <c:v>63.197282799226898</c:v>
                </c:pt>
                <c:pt idx="170">
                  <c:v>63.12663892124381</c:v>
                </c:pt>
                <c:pt idx="171">
                  <c:v>63.053847813180518</c:v>
                </c:pt>
                <c:pt idx="172">
                  <c:v>62.979338921633143</c:v>
                </c:pt>
                <c:pt idx="173">
                  <c:v>62.903541691069087</c:v>
                </c:pt>
                <c:pt idx="174">
                  <c:v>62.826885568350555</c:v>
                </c:pt>
                <c:pt idx="175">
                  <c:v>62.749799999594686</c:v>
                </c:pt>
                <c:pt idx="176">
                  <c:v>62.67164081635751</c:v>
                </c:pt>
                <c:pt idx="177">
                  <c:v>62.591477550619416</c:v>
                </c:pt>
                <c:pt idx="178">
                  <c:v>62.509310204243022</c:v>
                </c:pt>
                <c:pt idx="179">
                  <c:v>62.425138775791446</c:v>
                </c:pt>
                <c:pt idx="180">
                  <c:v>62.338963265105022</c:v>
                </c:pt>
                <c:pt idx="181">
                  <c:v>62.250783673514206</c:v>
                </c:pt>
                <c:pt idx="182">
                  <c:v>62.160600000061095</c:v>
                </c:pt>
                <c:pt idx="183">
                  <c:v>62.068412244852098</c:v>
                </c:pt>
                <c:pt idx="184">
                  <c:v>61.974220407993663</c:v>
                </c:pt>
                <c:pt idx="185">
                  <c:v>61.878024489539008</c:v>
                </c:pt>
                <c:pt idx="186">
                  <c:v>61.779824489940481</c:v>
                </c:pt>
                <c:pt idx="187">
                  <c:v>61.679620407894255</c:v>
                </c:pt>
                <c:pt idx="188">
                  <c:v>61.577412244996857</c:v>
                </c:pt>
                <c:pt idx="189">
                  <c:v>61.47319999970496</c:v>
                </c:pt>
                <c:pt idx="190">
                  <c:v>61.366751056723309</c:v>
                </c:pt>
                <c:pt idx="191">
                  <c:v>61.257904372763413</c:v>
                </c:pt>
                <c:pt idx="192">
                  <c:v>61.146767310345808</c:v>
                </c:pt>
                <c:pt idx="193">
                  <c:v>61.033447230607273</c:v>
                </c:pt>
                <c:pt idx="194">
                  <c:v>60.918051494245546</c:v>
                </c:pt>
                <c:pt idx="195">
                  <c:v>60.800687463714596</c:v>
                </c:pt>
                <c:pt idx="196">
                  <c:v>60.681462500058117</c:v>
                </c:pt>
                <c:pt idx="197">
                  <c:v>60.560483965064805</c:v>
                </c:pt>
                <c:pt idx="198">
                  <c:v>60.437859220044423</c:v>
                </c:pt>
                <c:pt idx="199">
                  <c:v>60.313695626652667</c:v>
                </c:pt>
                <c:pt idx="200">
                  <c:v>60.188100546598434</c:v>
                </c:pt>
                <c:pt idx="201">
                  <c:v>60.061181341164875</c:v>
                </c:pt>
                <c:pt idx="202">
                  <c:v>59.933045371608536</c:v>
                </c:pt>
                <c:pt idx="203">
                  <c:v>59.80379999987781</c:v>
                </c:pt>
                <c:pt idx="204">
                  <c:v>59.673284183628859</c:v>
                </c:pt>
                <c:pt idx="205">
                  <c:v>59.541265306089613</c:v>
                </c:pt>
                <c:pt idx="206">
                  <c:v>59.407743367260061</c:v>
                </c:pt>
                <c:pt idx="207">
                  <c:v>59.272718367406299</c:v>
                </c:pt>
                <c:pt idx="208">
                  <c:v>59.136190306075981</c:v>
                </c:pt>
                <c:pt idx="209">
                  <c:v>58.998159183481974</c:v>
                </c:pt>
                <c:pt idx="210">
                  <c:v>58.858624999783935</c:v>
                </c:pt>
                <c:pt idx="211">
                  <c:v>58.717587755061686</c:v>
                </c:pt>
                <c:pt idx="212">
                  <c:v>58.575047448836266</c:v>
                </c:pt>
                <c:pt idx="213">
                  <c:v>58.431004081480204</c:v>
                </c:pt>
                <c:pt idx="214">
                  <c:v>58.285457652807239</c:v>
                </c:pt>
                <c:pt idx="215">
                  <c:v>58.138408163056852</c:v>
                </c:pt>
                <c:pt idx="216">
                  <c:v>57.989855612082671</c:v>
                </c:pt>
                <c:pt idx="217">
                  <c:v>57.839800000004473</c:v>
                </c:pt>
                <c:pt idx="218">
                  <c:v>57.688473943115355</c:v>
                </c:pt>
                <c:pt idx="219">
                  <c:v>57.53603848389217</c:v>
                </c:pt>
                <c:pt idx="220">
                  <c:v>57.382386261091696</c:v>
                </c:pt>
                <c:pt idx="221">
                  <c:v>57.227409912565989</c:v>
                </c:pt>
                <c:pt idx="222">
                  <c:v>57.07100207741771</c:v>
                </c:pt>
                <c:pt idx="223">
                  <c:v>56.913055393898063</c:v>
                </c:pt>
                <c:pt idx="224">
                  <c:v>56.753462500032036</c:v>
                </c:pt>
                <c:pt idx="225">
                  <c:v>56.592116035281549</c:v>
                </c:pt>
                <c:pt idx="226">
                  <c:v>56.428908637365588</c:v>
                </c:pt>
                <c:pt idx="227">
                  <c:v>56.263732945120765</c:v>
                </c:pt>
                <c:pt idx="228">
                  <c:v>56.09648159655876</c:v>
                </c:pt>
                <c:pt idx="229">
                  <c:v>55.927047230329904</c:v>
                </c:pt>
                <c:pt idx="230">
                  <c:v>55.755322485922704</c:v>
                </c:pt>
                <c:pt idx="231">
                  <c:v>55.581200000271203</c:v>
                </c:pt>
                <c:pt idx="232">
                  <c:v>55.406701749909132</c:v>
                </c:pt>
                <c:pt idx="233">
                  <c:v>55.233348688589672</c:v>
                </c:pt>
                <c:pt idx="234">
                  <c:v>55.060281924956612</c:v>
                </c:pt>
                <c:pt idx="235">
                  <c:v>54.88664256621685</c:v>
                </c:pt>
                <c:pt idx="236">
                  <c:v>54.711571720827898</c:v>
                </c:pt>
                <c:pt idx="237">
                  <c:v>54.534210496395829</c:v>
                </c:pt>
                <c:pt idx="238">
                  <c:v>54.353700000792742</c:v>
                </c:pt>
                <c:pt idx="239">
                  <c:v>54.169181341837557</c:v>
                </c:pt>
                <c:pt idx="240">
                  <c:v>53.979795627588672</c:v>
                </c:pt>
                <c:pt idx="241">
                  <c:v>53.784683965465852</c:v>
                </c:pt>
                <c:pt idx="242">
                  <c:v>53.582987464325768</c:v>
                </c:pt>
                <c:pt idx="243">
                  <c:v>53.373847231162451</c:v>
                </c:pt>
                <c:pt idx="244">
                  <c:v>53.156404375258298</c:v>
                </c:pt>
                <c:pt idx="245">
                  <c:v>52.929800000786784</c:v>
                </c:pt>
                <c:pt idx="246">
                  <c:v>52.694391984386108</c:v>
                </c:pt>
                <c:pt idx="247">
                  <c:v>52.451397085083386</c:v>
                </c:pt>
                <c:pt idx="248">
                  <c:v>52.201244753120207</c:v>
                </c:pt>
                <c:pt idx="249">
                  <c:v>51.944364431713304</c:v>
                </c:pt>
                <c:pt idx="250">
                  <c:v>51.681185569188429</c:v>
                </c:pt>
                <c:pt idx="251">
                  <c:v>51.412137609400915</c:v>
                </c:pt>
                <c:pt idx="252">
                  <c:v>51.137650001049039</c:v>
                </c:pt>
                <c:pt idx="253">
                  <c:v>50.858152187189887</c:v>
                </c:pt>
                <c:pt idx="254">
                  <c:v>50.574073615616989</c:v>
                </c:pt>
                <c:pt idx="255">
                  <c:v>50.285843731995143</c:v>
                </c:pt>
                <c:pt idx="256">
                  <c:v>49.993891982627765</c:v>
                </c:pt>
                <c:pt idx="257">
                  <c:v>49.698647813605412</c:v>
                </c:pt>
                <c:pt idx="258">
                  <c:v>49.400540670805746</c:v>
                </c:pt>
                <c:pt idx="259">
                  <c:v>49.1</c:v>
                </c:pt>
                <c:pt idx="260">
                  <c:v>48.794520700015291</c:v>
                </c:pt>
                <c:pt idx="261">
                  <c:v>48.481883964731239</c:v>
                </c:pt>
                <c:pt idx="262">
                  <c:v>48.162948688244796</c:v>
                </c:pt>
                <c:pt idx="263">
                  <c:v>47.838573760821177</c:v>
                </c:pt>
                <c:pt idx="264">
                  <c:v>47.509618075759086</c:v>
                </c:pt>
                <c:pt idx="265">
                  <c:v>47.176940525078678</c:v>
                </c:pt>
                <c:pt idx="266">
                  <c:v>46.841400000058641</c:v>
                </c:pt>
                <c:pt idx="267">
                  <c:v>46.503855393677284</c:v>
                </c:pt>
                <c:pt idx="268">
                  <c:v>46.165165597689963</c:v>
                </c:pt>
                <c:pt idx="269">
                  <c:v>45.826189504490642</c:v>
                </c:pt>
                <c:pt idx="270">
                  <c:v>45.487786005941075</c:v>
                </c:pt>
                <c:pt idx="271">
                  <c:v>45.150813994219888</c:v>
                </c:pt>
                <c:pt idx="272">
                  <c:v>44.816132361512949</c:v>
                </c:pt>
                <c:pt idx="273">
                  <c:v>44.484599999999048</c:v>
                </c:pt>
                <c:pt idx="274">
                  <c:v>44.154928571428179</c:v>
                </c:pt>
                <c:pt idx="275">
                  <c:v>43.825257142856884</c:v>
                </c:pt>
                <c:pt idx="276">
                  <c:v>43.495585714283514</c:v>
                </c:pt>
                <c:pt idx="277">
                  <c:v>43.165914285712645</c:v>
                </c:pt>
                <c:pt idx="278">
                  <c:v>42.836242857141769</c:v>
                </c:pt>
                <c:pt idx="279">
                  <c:v>42.506571428570894</c:v>
                </c:pt>
                <c:pt idx="280">
                  <c:v>42.176900000000025</c:v>
                </c:pt>
                <c:pt idx="281">
                  <c:v>41.847228571427486</c:v>
                </c:pt>
                <c:pt idx="282">
                  <c:v>41.517557142855367</c:v>
                </c:pt>
                <c:pt idx="283">
                  <c:v>41.187885714284491</c:v>
                </c:pt>
                <c:pt idx="284">
                  <c:v>40.858214285713622</c:v>
                </c:pt>
                <c:pt idx="285">
                  <c:v>40.528542857142746</c:v>
                </c:pt>
                <c:pt idx="286">
                  <c:v>40.19887142856917</c:v>
                </c:pt>
                <c:pt idx="287">
                  <c:v>39.869199999998088</c:v>
                </c:pt>
                <c:pt idx="288">
                  <c:v>39.538598104925349</c:v>
                </c:pt>
                <c:pt idx="289">
                  <c:v>39.206421574324899</c:v>
                </c:pt>
                <c:pt idx="290">
                  <c:v>38.873099854287283</c:v>
                </c:pt>
                <c:pt idx="291">
                  <c:v>38.539062390794527</c:v>
                </c:pt>
                <c:pt idx="292">
                  <c:v>38.204738629595624</c:v>
                </c:pt>
                <c:pt idx="293">
                  <c:v>37.870558017497288</c:v>
                </c:pt>
                <c:pt idx="294">
                  <c:v>37.536950000084474</c:v>
                </c:pt>
                <c:pt idx="295">
                  <c:v>37.204344023580781</c:v>
                </c:pt>
                <c:pt idx="296">
                  <c:v>36.873169533596744</c:v>
                </c:pt>
                <c:pt idx="297">
                  <c:v>36.543855976863831</c:v>
                </c:pt>
                <c:pt idx="298">
                  <c:v>36.216832798965747</c:v>
                </c:pt>
                <c:pt idx="299">
                  <c:v>35.892529445913219</c:v>
                </c:pt>
                <c:pt idx="300">
                  <c:v>35.571375364408809</c:v>
                </c:pt>
                <c:pt idx="301">
                  <c:v>35.253799999877813</c:v>
                </c:pt>
                <c:pt idx="302">
                  <c:v>34.938228717393109</c:v>
                </c:pt>
                <c:pt idx="303">
                  <c:v>34.623086880573204</c:v>
                </c:pt>
                <c:pt idx="304">
                  <c:v>34.308803935774733</c:v>
                </c:pt>
                <c:pt idx="305">
                  <c:v>33.995809329726868</c:v>
                </c:pt>
                <c:pt idx="306">
                  <c:v>33.684532506843759</c:v>
                </c:pt>
                <c:pt idx="307">
                  <c:v>33.37540291547775</c:v>
                </c:pt>
                <c:pt idx="308">
                  <c:v>33.068849999457598</c:v>
                </c:pt>
                <c:pt idx="309">
                  <c:v>32.765303207188843</c:v>
                </c:pt>
                <c:pt idx="310">
                  <c:v>32.465191982101118</c:v>
                </c:pt>
                <c:pt idx="311">
                  <c:v>32.168945772520132</c:v>
                </c:pt>
                <c:pt idx="312">
                  <c:v>31.876994023126151</c:v>
                </c:pt>
                <c:pt idx="313">
                  <c:v>31.58976618062173</c:v>
                </c:pt>
                <c:pt idx="314">
                  <c:v>31.307691690325736</c:v>
                </c:pt>
                <c:pt idx="315">
                  <c:v>31.031200000643729</c:v>
                </c:pt>
                <c:pt idx="316">
                  <c:v>30.759414321450247</c:v>
                </c:pt>
                <c:pt idx="317">
                  <c:v>30.491243148914407</c:v>
                </c:pt>
                <c:pt idx="318">
                  <c:v>30.22679384068719</c:v>
                </c:pt>
                <c:pt idx="319">
                  <c:v>29.966173760912248</c:v>
                </c:pt>
                <c:pt idx="320">
                  <c:v>29.709490268837129</c:v>
                </c:pt>
                <c:pt idx="321">
                  <c:v>29.456850728711913</c:v>
                </c:pt>
                <c:pt idx="322">
                  <c:v>29.208362499624492</c:v>
                </c:pt>
                <c:pt idx="323">
                  <c:v>28.96413294492023</c:v>
                </c:pt>
                <c:pt idx="324">
                  <c:v>28.724269423953125</c:v>
                </c:pt>
                <c:pt idx="325">
                  <c:v>28.488879300121749</c:v>
                </c:pt>
                <c:pt idx="326">
                  <c:v>28.258069934536302</c:v>
                </c:pt>
                <c:pt idx="327">
                  <c:v>28.031948688200544</c:v>
                </c:pt>
                <c:pt idx="328">
                  <c:v>27.810622922810062</c:v>
                </c:pt>
                <c:pt idx="329">
                  <c:v>27.59420000091195</c:v>
                </c:pt>
                <c:pt idx="330">
                  <c:v>27.379262245180353</c:v>
                </c:pt>
                <c:pt idx="331">
                  <c:v>27.163322449369094</c:v>
                </c:pt>
                <c:pt idx="332">
                  <c:v>26.947883674449155</c:v>
                </c:pt>
                <c:pt idx="333">
                  <c:v>26.734448978943487</c:v>
                </c:pt>
                <c:pt idx="334">
                  <c:v>26.52452142887882</c:v>
                </c:pt>
                <c:pt idx="335">
                  <c:v>26.319604081979822</c:v>
                </c:pt>
                <c:pt idx="336">
                  <c:v>26.12120000012219</c:v>
                </c:pt>
                <c:pt idx="337">
                  <c:v>25.930812246458874</c:v>
                </c:pt>
                <c:pt idx="338">
                  <c:v>25.749943876958319</c:v>
                </c:pt>
                <c:pt idx="339">
                  <c:v>25.580097958871299</c:v>
                </c:pt>
                <c:pt idx="340">
                  <c:v>25.422777551040053</c:v>
                </c:pt>
                <c:pt idx="341">
                  <c:v>25.279485715074195</c:v>
                </c:pt>
                <c:pt idx="342">
                  <c:v>25.151725511465752</c:v>
                </c:pt>
                <c:pt idx="343">
                  <c:v>25.040999999642374</c:v>
                </c:pt>
                <c:pt idx="344">
                  <c:v>24.944490428588217</c:v>
                </c:pt>
                <c:pt idx="345">
                  <c:v>24.858549593176161</c:v>
                </c:pt>
                <c:pt idx="346">
                  <c:v>24.783437872039421</c:v>
                </c:pt>
                <c:pt idx="347">
                  <c:v>24.719415650623187</c:v>
                </c:pt>
                <c:pt idx="348">
                  <c:v>24.666743307773555</c:v>
                </c:pt>
                <c:pt idx="349">
                  <c:v>24.625681229787212</c:v>
                </c:pt>
                <c:pt idx="350">
                  <c:v>24.596489799022674</c:v>
                </c:pt>
                <c:pt idx="351">
                  <c:v>24.579429394432474</c:v>
                </c:pt>
                <c:pt idx="352">
                  <c:v>24.574760404867785</c:v>
                </c:pt>
                <c:pt idx="353">
                  <c:v>24.582743204917229</c:v>
                </c:pt>
                <c:pt idx="354">
                  <c:v>24.603638181622539</c:v>
                </c:pt>
                <c:pt idx="355">
                  <c:v>24.637705720961094</c:v>
                </c:pt>
                <c:pt idx="356">
                  <c:v>24.68520619709577</c:v>
                </c:pt>
                <c:pt idx="357">
                  <c:v>24.746399998664856</c:v>
                </c:pt>
                <c:pt idx="358">
                  <c:v>24.823756014655032</c:v>
                </c:pt>
                <c:pt idx="359">
                  <c:v>24.918752555251121</c:v>
                </c:pt>
                <c:pt idx="360">
                  <c:v>25.030164136141543</c:v>
                </c:pt>
                <c:pt idx="361">
                  <c:v>25.156765276690326</c:v>
                </c:pt>
                <c:pt idx="362">
                  <c:v>25.297330486029388</c:v>
                </c:pt>
                <c:pt idx="363">
                  <c:v>25.450634285509587</c:v>
                </c:pt>
                <c:pt idx="364">
                  <c:v>25.615451186348992</c:v>
                </c:pt>
                <c:pt idx="365">
                  <c:v>25.790555708607041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24.297474136240545</c:v>
                </c:pt>
                <c:pt idx="2">
                  <c:v>27.383515682442006</c:v>
                </c:pt>
                <c:pt idx="3">
                  <c:v>24.454097030053351</c:v>
                </c:pt>
                <c:pt idx="4">
                  <c:v>27.046839831733369</c:v>
                </c:pt>
                <c:pt idx="5">
                  <c:v>26.739364860323523</c:v>
                </c:pt>
                <c:pt idx="6">
                  <c:v>14.932480243717823</c:v>
                </c:pt>
                <c:pt idx="7">
                  <c:v>20.323342747491672</c:v>
                </c:pt>
                <c:pt idx="8">
                  <c:v>26.033603222307448</c:v>
                </c:pt>
                <c:pt idx="9">
                  <c:v>13.230713123965954</c:v>
                </c:pt>
                <c:pt idx="10">
                  <c:v>27.813177241518638</c:v>
                </c:pt>
                <c:pt idx="11">
                  <c:v>27.969146072299974</c:v>
                </c:pt>
                <c:pt idx="12">
                  <c:v>16.029400800100351</c:v>
                </c:pt>
                <c:pt idx="13">
                  <c:v>27.813666688911876</c:v>
                </c:pt>
                <c:pt idx="14">
                  <c:v>29.472715702164702</c:v>
                </c:pt>
                <c:pt idx="15">
                  <c:v>29.178076379468706</c:v>
                </c:pt>
                <c:pt idx="16">
                  <c:v>14.816853446814875</c:v>
                </c:pt>
                <c:pt idx="17">
                  <c:v>28.469265740450702</c:v>
                </c:pt>
                <c:pt idx="18">
                  <c:v>30.474199442688686</c:v>
                </c:pt>
                <c:pt idx="19">
                  <c:v>12.344744575403277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18.517028420857695</c:v>
                </c:pt>
                <c:pt idx="28">
                  <c:v>20.355528257182332</c:v>
                </c:pt>
                <c:pt idx="29">
                  <c:v>12.271638358981564</c:v>
                </c:pt>
                <c:pt idx="30">
                  <c:v>23.585730416186674</c:v>
                </c:pt>
                <c:pt idx="31">
                  <c:v>27.944973498874095</c:v>
                </c:pt>
                <c:pt idx="32">
                  <c:v>29.540538398179784</c:v>
                </c:pt>
                <c:pt idx="33">
                  <c:v>27.40840746637317</c:v>
                </c:pt>
                <c:pt idx="34">
                  <c:v>27.911356460515268</c:v>
                </c:pt>
                <c:pt idx="35">
                  <c:v>35.533389786711119</c:v>
                </c:pt>
                <c:pt idx="36">
                  <c:v>37.103452774243969</c:v>
                </c:pt>
                <c:pt idx="37">
                  <c:v>25.358898167859724</c:v>
                </c:pt>
                <c:pt idx="38">
                  <c:v>36.556625907813178</c:v>
                </c:pt>
                <c:pt idx="39">
                  <c:v>36.800486280884854</c:v>
                </c:pt>
                <c:pt idx="40">
                  <c:v>34.213417729613788</c:v>
                </c:pt>
                <c:pt idx="41">
                  <c:v>30.625815125737557</c:v>
                </c:pt>
                <c:pt idx="42">
                  <c:v>38.463815462769276</c:v>
                </c:pt>
                <c:pt idx="43">
                  <c:v>39.79279391744533</c:v>
                </c:pt>
                <c:pt idx="44">
                  <c:v>40.073233720515397</c:v>
                </c:pt>
                <c:pt idx="45">
                  <c:v>40.326165520091415</c:v>
                </c:pt>
                <c:pt idx="46">
                  <c:v>40.772992464506032</c:v>
                </c:pt>
                <c:pt idx="47">
                  <c:v>41.216821259374889</c:v>
                </c:pt>
                <c:pt idx="48">
                  <c:v>40.739227562492772</c:v>
                </c:pt>
                <c:pt idx="49">
                  <c:v>38.479174675338513</c:v>
                </c:pt>
                <c:pt idx="50">
                  <c:v>40.655100676030095</c:v>
                </c:pt>
                <c:pt idx="51">
                  <c:v>38.737384022485628</c:v>
                </c:pt>
                <c:pt idx="52">
                  <c:v>40.196901311599696</c:v>
                </c:pt>
                <c:pt idx="53">
                  <c:v>40.899659056750139</c:v>
                </c:pt>
                <c:pt idx="54">
                  <c:v>41.03378848015074</c:v>
                </c:pt>
                <c:pt idx="55">
                  <c:v>42.028165575806206</c:v>
                </c:pt>
                <c:pt idx="56">
                  <c:v>43.028835815721592</c:v>
                </c:pt>
                <c:pt idx="57">
                  <c:v>42.246597609719124</c:v>
                </c:pt>
                <c:pt idx="58">
                  <c:v>37.059968091396428</c:v>
                </c:pt>
                <c:pt idx="59">
                  <c:v>43.025708603641178</c:v>
                </c:pt>
                <c:pt idx="60">
                  <c:v>29.154269715170336</c:v>
                </c:pt>
                <c:pt idx="61">
                  <c:v>39.010447727103518</c:v>
                </c:pt>
                <c:pt idx="62">
                  <c:v>30.286197485540761</c:v>
                </c:pt>
                <c:pt idx="63">
                  <c:v>44.531611979407565</c:v>
                </c:pt>
                <c:pt idx="64">
                  <c:v>23.382336400970807</c:v>
                </c:pt>
                <c:pt idx="65">
                  <c:v>42.685529835046331</c:v>
                </c:pt>
                <c:pt idx="66">
                  <c:v>35.089826516602166</c:v>
                </c:pt>
                <c:pt idx="67">
                  <c:v>44.010087492548095</c:v>
                </c:pt>
                <c:pt idx="68">
                  <c:v>43.468612982947825</c:v>
                </c:pt>
                <c:pt idx="69">
                  <c:v>34.137173352401021</c:v>
                </c:pt>
                <c:pt idx="70">
                  <c:v>42.294025676295831</c:v>
                </c:pt>
                <c:pt idx="71">
                  <c:v>41.647039184319176</c:v>
                </c:pt>
                <c:pt idx="72">
                  <c:v>41.178376020580401</c:v>
                </c:pt>
                <c:pt idx="73">
                  <c:v>31.428093358036886</c:v>
                </c:pt>
                <c:pt idx="74">
                  <c:v>50.491533478793343</c:v>
                </c:pt>
                <c:pt idx="75">
                  <c:v>27.136616542417517</c:v>
                </c:pt>
                <c:pt idx="76">
                  <c:v>35.441978382349127</c:v>
                </c:pt>
                <c:pt idx="77">
                  <c:v>46.110957889709681</c:v>
                </c:pt>
                <c:pt idx="78">
                  <c:v>51.145293953169229</c:v>
                </c:pt>
                <c:pt idx="79">
                  <c:v>51.378117175877115</c:v>
                </c:pt>
                <c:pt idx="80">
                  <c:v>50.23936086110939</c:v>
                </c:pt>
                <c:pt idx="81">
                  <c:v>52.047706946675824</c:v>
                </c:pt>
                <c:pt idx="82">
                  <c:v>51.495753799818651</c:v>
                </c:pt>
                <c:pt idx="83">
                  <c:v>48.049790210842104</c:v>
                </c:pt>
                <c:pt idx="84">
                  <c:v>54.932815887950575</c:v>
                </c:pt>
                <c:pt idx="85">
                  <c:v>54.175577399192605</c:v>
                </c:pt>
                <c:pt idx="86">
                  <c:v>52.923988977147388</c:v>
                </c:pt>
                <c:pt idx="87">
                  <c:v>54.418783965233558</c:v>
                </c:pt>
                <c:pt idx="88">
                  <c:v>55.483183570295765</c:v>
                </c:pt>
                <c:pt idx="89">
                  <c:v>49.250450204262727</c:v>
                </c:pt>
                <c:pt idx="90">
                  <c:v>50.405835504746996</c:v>
                </c:pt>
                <c:pt idx="91">
                  <c:v>45.758995612636852</c:v>
                </c:pt>
                <c:pt idx="92">
                  <c:v>53.35954700357199</c:v>
                </c:pt>
                <c:pt idx="93">
                  <c:v>56.536713073450201</c:v>
                </c:pt>
                <c:pt idx="94">
                  <c:v>58.623693621493487</c:v>
                </c:pt>
                <c:pt idx="95">
                  <c:v>59.354429100482541</c:v>
                </c:pt>
                <c:pt idx="96">
                  <c:v>56.351753523847592</c:v>
                </c:pt>
                <c:pt idx="97">
                  <c:v>55.793489046232402</c:v>
                </c:pt>
                <c:pt idx="98">
                  <c:v>41.648731192226585</c:v>
                </c:pt>
                <c:pt idx="99">
                  <c:v>58.06042842516851</c:v>
                </c:pt>
                <c:pt idx="100">
                  <c:v>59.123099904366789</c:v>
                </c:pt>
                <c:pt idx="101">
                  <c:v>58.323508945597986</c:v>
                </c:pt>
                <c:pt idx="102">
                  <c:v>59.034851740298983</c:v>
                </c:pt>
                <c:pt idx="103">
                  <c:v>57.514245582008527</c:v>
                </c:pt>
                <c:pt idx="104">
                  <c:v>58.00017289991299</c:v>
                </c:pt>
                <c:pt idx="105">
                  <c:v>52.848516926149152</c:v>
                </c:pt>
                <c:pt idx="106">
                  <c:v>57.728351760885495</c:v>
                </c:pt>
                <c:pt idx="107">
                  <c:v>42.565319321773202</c:v>
                </c:pt>
                <c:pt idx="108">
                  <c:v>57.730407119667383</c:v>
                </c:pt>
                <c:pt idx="109">
                  <c:v>54.953153725787914</c:v>
                </c:pt>
                <c:pt idx="110">
                  <c:v>55.659407422413302</c:v>
                </c:pt>
                <c:pt idx="111">
                  <c:v>61.619887493232405</c:v>
                </c:pt>
                <c:pt idx="112">
                  <c:v>61.960154457717145</c:v>
                </c:pt>
                <c:pt idx="113">
                  <c:v>59.446721075347604</c:v>
                </c:pt>
                <c:pt idx="114">
                  <c:v>54.184367462537033</c:v>
                </c:pt>
                <c:pt idx="115">
                  <c:v>58.179521946902589</c:v>
                </c:pt>
                <c:pt idx="116">
                  <c:v>43.829103884586168</c:v>
                </c:pt>
                <c:pt idx="117">
                  <c:v>46.870510731346037</c:v>
                </c:pt>
                <c:pt idx="118">
                  <c:v>52.731591737433121</c:v>
                </c:pt>
                <c:pt idx="119">
                  <c:v>62.081683557920357</c:v>
                </c:pt>
                <c:pt idx="120">
                  <c:v>57.93362071879104</c:v>
                </c:pt>
                <c:pt idx="121">
                  <c:v>50.847443819946974</c:v>
                </c:pt>
                <c:pt idx="122">
                  <c:v>60.514631083164147</c:v>
                </c:pt>
                <c:pt idx="123">
                  <c:v>57.253924122877009</c:v>
                </c:pt>
                <c:pt idx="124">
                  <c:v>60.369568048217943</c:v>
                </c:pt>
                <c:pt idx="125">
                  <c:v>64.189889106761925</c:v>
                </c:pt>
                <c:pt idx="126">
                  <c:v>60.114108347336412</c:v>
                </c:pt>
                <c:pt idx="127">
                  <c:v>60.745186891784464</c:v>
                </c:pt>
                <c:pt idx="128">
                  <c:v>55.877643331762144</c:v>
                </c:pt>
                <c:pt idx="129">
                  <c:v>55.526820084927458</c:v>
                </c:pt>
                <c:pt idx="130">
                  <c:v>59.946364032556687</c:v>
                </c:pt>
                <c:pt idx="131">
                  <c:v>59.238727729135654</c:v>
                </c:pt>
                <c:pt idx="132">
                  <c:v>65.408960512497771</c:v>
                </c:pt>
                <c:pt idx="133">
                  <c:v>63.832836981428784</c:v>
                </c:pt>
                <c:pt idx="134">
                  <c:v>64.337487236928794</c:v>
                </c:pt>
                <c:pt idx="135">
                  <c:v>55.759884023555387</c:v>
                </c:pt>
                <c:pt idx="136">
                  <c:v>59.143869986274652</c:v>
                </c:pt>
                <c:pt idx="137">
                  <c:v>63.972000087795209</c:v>
                </c:pt>
                <c:pt idx="138">
                  <c:v>63.050548226982031</c:v>
                </c:pt>
                <c:pt idx="139">
                  <c:v>62.803447200223168</c:v>
                </c:pt>
                <c:pt idx="140">
                  <c:v>61.178268574854386</c:v>
                </c:pt>
                <c:pt idx="141">
                  <c:v>62.875998222350205</c:v>
                </c:pt>
                <c:pt idx="142">
                  <c:v>58.76828057791041</c:v>
                </c:pt>
                <c:pt idx="143">
                  <c:v>30.554357090064354</c:v>
                </c:pt>
                <c:pt idx="144">
                  <c:v>59.691953884707942</c:v>
                </c:pt>
                <c:pt idx="145">
                  <c:v>61.991403277896538</c:v>
                </c:pt>
                <c:pt idx="146">
                  <c:v>62.096546618278133</c:v>
                </c:pt>
                <c:pt idx="147">
                  <c:v>61.293375317013549</c:v>
                </c:pt>
                <c:pt idx="148">
                  <c:v>62.489075261508759</c:v>
                </c:pt>
                <c:pt idx="149">
                  <c:v>57.223999787813696</c:v>
                </c:pt>
                <c:pt idx="150">
                  <c:v>63.126585406149495</c:v>
                </c:pt>
                <c:pt idx="151">
                  <c:v>64.729267905613341</c:v>
                </c:pt>
                <c:pt idx="152">
                  <c:v>63.739845271535835</c:v>
                </c:pt>
                <c:pt idx="153">
                  <c:v>57.833207872898761</c:v>
                </c:pt>
                <c:pt idx="154">
                  <c:v>59.953702782585943</c:v>
                </c:pt>
                <c:pt idx="155">
                  <c:v>43.180770881481472</c:v>
                </c:pt>
                <c:pt idx="156">
                  <c:v>62.343880742671914</c:v>
                </c:pt>
                <c:pt idx="157">
                  <c:v>54.813719171232592</c:v>
                </c:pt>
                <c:pt idx="158">
                  <c:v>64.469263284236831</c:v>
                </c:pt>
                <c:pt idx="159">
                  <c:v>60.601331416290115</c:v>
                </c:pt>
                <c:pt idx="160">
                  <c:v>61.199848181326935</c:v>
                </c:pt>
                <c:pt idx="161">
                  <c:v>59.025709659388554</c:v>
                </c:pt>
                <c:pt idx="162">
                  <c:v>58.244062693126686</c:v>
                </c:pt>
                <c:pt idx="163">
                  <c:v>66.115436428019962</c:v>
                </c:pt>
                <c:pt idx="164">
                  <c:v>57.514759839675243</c:v>
                </c:pt>
                <c:pt idx="165">
                  <c:v>56.92159289770462</c:v>
                </c:pt>
                <c:pt idx="166">
                  <c:v>64.761857489550721</c:v>
                </c:pt>
                <c:pt idx="167">
                  <c:v>62.682408537874828</c:v>
                </c:pt>
                <c:pt idx="168">
                  <c:v>60.904385564297691</c:v>
                </c:pt>
                <c:pt idx="169">
                  <c:v>59.588918123363584</c:v>
                </c:pt>
                <c:pt idx="170">
                  <c:v>58.208712843769881</c:v>
                </c:pt>
                <c:pt idx="171">
                  <c:v>54.428674381419142</c:v>
                </c:pt>
                <c:pt idx="172">
                  <c:v>63.004166310746122</c:v>
                </c:pt>
                <c:pt idx="173">
                  <c:v>55.386626209177535</c:v>
                </c:pt>
                <c:pt idx="174">
                  <c:v>62.031075143124923</c:v>
                </c:pt>
                <c:pt idx="175">
                  <c:v>59.517932616441065</c:v>
                </c:pt>
                <c:pt idx="176">
                  <c:v>61.557220620707511</c:v>
                </c:pt>
                <c:pt idx="177">
                  <c:v>61.321800192772599</c:v>
                </c:pt>
                <c:pt idx="178">
                  <c:v>61.980882161709836</c:v>
                </c:pt>
                <c:pt idx="179">
                  <c:v>58.85095048223954</c:v>
                </c:pt>
                <c:pt idx="180">
                  <c:v>52.467807817786799</c:v>
                </c:pt>
                <c:pt idx="181">
                  <c:v>60.470455322225597</c:v>
                </c:pt>
                <c:pt idx="182">
                  <c:v>58.697985022962222</c:v>
                </c:pt>
                <c:pt idx="183">
                  <c:v>53.763656051916264</c:v>
                </c:pt>
                <c:pt idx="184">
                  <c:v>58.995697367701958</c:v>
                </c:pt>
                <c:pt idx="185">
                  <c:v>61.322232788721351</c:v>
                </c:pt>
                <c:pt idx="186">
                  <c:v>60.73746121896113</c:v>
                </c:pt>
                <c:pt idx="187">
                  <c:v>57.394276612159018</c:v>
                </c:pt>
                <c:pt idx="188">
                  <c:v>63.132463716134929</c:v>
                </c:pt>
                <c:pt idx="189">
                  <c:v>60.536567302517156</c:v>
                </c:pt>
                <c:pt idx="190">
                  <c:v>59.982897259607313</c:v>
                </c:pt>
                <c:pt idx="191">
                  <c:v>61.452728703103304</c:v>
                </c:pt>
                <c:pt idx="192">
                  <c:v>61.87528776158792</c:v>
                </c:pt>
                <c:pt idx="193">
                  <c:v>56.734757420394608</c:v>
                </c:pt>
                <c:pt idx="194">
                  <c:v>61.910407700916835</c:v>
                </c:pt>
                <c:pt idx="195">
                  <c:v>63.341573131215071</c:v>
                </c:pt>
                <c:pt idx="196">
                  <c:v>61.340662594559738</c:v>
                </c:pt>
                <c:pt idx="197">
                  <c:v>60.188178256844751</c:v>
                </c:pt>
                <c:pt idx="198">
                  <c:v>57.34896442939926</c:v>
                </c:pt>
                <c:pt idx="199">
                  <c:v>60.582660665176114</c:v>
                </c:pt>
                <c:pt idx="200">
                  <c:v>59.347072848746947</c:v>
                </c:pt>
                <c:pt idx="201">
                  <c:v>54.670820501129811</c:v>
                </c:pt>
                <c:pt idx="202">
                  <c:v>55.563972127949256</c:v>
                </c:pt>
                <c:pt idx="203">
                  <c:v>57.937152506467669</c:v>
                </c:pt>
                <c:pt idx="204">
                  <c:v>57.924820130429069</c:v>
                </c:pt>
                <c:pt idx="205">
                  <c:v>58.619065963281635</c:v>
                </c:pt>
                <c:pt idx="206">
                  <c:v>58.711602889143748</c:v>
                </c:pt>
                <c:pt idx="207">
                  <c:v>58.726621651171868</c:v>
                </c:pt>
                <c:pt idx="208">
                  <c:v>56.44038029737262</c:v>
                </c:pt>
                <c:pt idx="209">
                  <c:v>59.643858292588483</c:v>
                </c:pt>
                <c:pt idx="210">
                  <c:v>55.994393253662331</c:v>
                </c:pt>
                <c:pt idx="211">
                  <c:v>58.250484133448317</c:v>
                </c:pt>
                <c:pt idx="212">
                  <c:v>55.586126471663725</c:v>
                </c:pt>
                <c:pt idx="213">
                  <c:v>56.845203333586923</c:v>
                </c:pt>
                <c:pt idx="214">
                  <c:v>57.532187418566849</c:v>
                </c:pt>
                <c:pt idx="215">
                  <c:v>54.820289563876685</c:v>
                </c:pt>
                <c:pt idx="216">
                  <c:v>56.442491959447445</c:v>
                </c:pt>
                <c:pt idx="217">
                  <c:v>57.46185272567628</c:v>
                </c:pt>
                <c:pt idx="218">
                  <c:v>55.820902062700583</c:v>
                </c:pt>
                <c:pt idx="219">
                  <c:v>55.282073058296042</c:v>
                </c:pt>
                <c:pt idx="220">
                  <c:v>55.939165383860541</c:v>
                </c:pt>
                <c:pt idx="221">
                  <c:v>53.022413412282127</c:v>
                </c:pt>
                <c:pt idx="222">
                  <c:v>54.934751797677123</c:v>
                </c:pt>
                <c:pt idx="223">
                  <c:v>52.198759439863373</c:v>
                </c:pt>
                <c:pt idx="224">
                  <c:v>49.571963401626377</c:v>
                </c:pt>
                <c:pt idx="225">
                  <c:v>57.385484130512104</c:v>
                </c:pt>
                <c:pt idx="226">
                  <c:v>56.300151621417385</c:v>
                </c:pt>
                <c:pt idx="227">
                  <c:v>56.421516120211891</c:v>
                </c:pt>
                <c:pt idx="228">
                  <c:v>55.293372982977111</c:v>
                </c:pt>
                <c:pt idx="229">
                  <c:v>53.147705265054185</c:v>
                </c:pt>
                <c:pt idx="230">
                  <c:v>53.076716411968974</c:v>
                </c:pt>
                <c:pt idx="231">
                  <c:v>53.656818151544883</c:v>
                </c:pt>
                <c:pt idx="232">
                  <c:v>54.498162972904758</c:v>
                </c:pt>
                <c:pt idx="233">
                  <c:v>56.835581680919191</c:v>
                </c:pt>
                <c:pt idx="234">
                  <c:v>54.138140935976416</c:v>
                </c:pt>
                <c:pt idx="235">
                  <c:v>54.480093410292213</c:v>
                </c:pt>
                <c:pt idx="236">
                  <c:v>50.04617729749566</c:v>
                </c:pt>
                <c:pt idx="237">
                  <c:v>54.589001673677714</c:v>
                </c:pt>
                <c:pt idx="238">
                  <c:v>52.283135226272805</c:v>
                </c:pt>
                <c:pt idx="239">
                  <c:v>54.458266820267049</c:v>
                </c:pt>
                <c:pt idx="240">
                  <c:v>53.843045701686705</c:v>
                </c:pt>
                <c:pt idx="241">
                  <c:v>52.67575781397985</c:v>
                </c:pt>
                <c:pt idx="242">
                  <c:v>52.060228799144411</c:v>
                </c:pt>
                <c:pt idx="243">
                  <c:v>53.475031417285187</c:v>
                </c:pt>
                <c:pt idx="244">
                  <c:v>51.427835350869806</c:v>
                </c:pt>
                <c:pt idx="245">
                  <c:v>54.150203084511908</c:v>
                </c:pt>
                <c:pt idx="246">
                  <c:v>53.283178554064911</c:v>
                </c:pt>
                <c:pt idx="247">
                  <c:v>52.787883333438941</c:v>
                </c:pt>
                <c:pt idx="248">
                  <c:v>54.673871330579189</c:v>
                </c:pt>
                <c:pt idx="249">
                  <c:v>50.140065797662274</c:v>
                </c:pt>
                <c:pt idx="250">
                  <c:v>49.195092920557293</c:v>
                </c:pt>
                <c:pt idx="251">
                  <c:v>49.204296027158733</c:v>
                </c:pt>
                <c:pt idx="252">
                  <c:v>48.698139717979124</c:v>
                </c:pt>
                <c:pt idx="253">
                  <c:v>49.275686572099694</c:v>
                </c:pt>
                <c:pt idx="254">
                  <c:v>50.761032411385656</c:v>
                </c:pt>
                <c:pt idx="255">
                  <c:v>48.245201516580117</c:v>
                </c:pt>
                <c:pt idx="256">
                  <c:v>47.954871485084247</c:v>
                </c:pt>
                <c:pt idx="257">
                  <c:v>48.916978336718785</c:v>
                </c:pt>
                <c:pt idx="258">
                  <c:v>46.225866499783969</c:v>
                </c:pt>
                <c:pt idx="259">
                  <c:v>51.387696842313346</c:v>
                </c:pt>
                <c:pt idx="260">
                  <c:v>49.689066419379245</c:v>
                </c:pt>
                <c:pt idx="261">
                  <c:v>48.413322483507429</c:v>
                </c:pt>
                <c:pt idx="262">
                  <c:v>49.877958814911565</c:v>
                </c:pt>
                <c:pt idx="263">
                  <c:v>48.667322070237333</c:v>
                </c:pt>
                <c:pt idx="264">
                  <c:v>47.40423809314786</c:v>
                </c:pt>
                <c:pt idx="265">
                  <c:v>44.303472000025792</c:v>
                </c:pt>
                <c:pt idx="266">
                  <c:v>40.249037915880088</c:v>
                </c:pt>
                <c:pt idx="267">
                  <c:v>46.514117854235721</c:v>
                </c:pt>
                <c:pt idx="268">
                  <c:v>46.475483095151723</c:v>
                </c:pt>
                <c:pt idx="269">
                  <c:v>45.12039737403196</c:v>
                </c:pt>
                <c:pt idx="270">
                  <c:v>42.169880552957594</c:v>
                </c:pt>
                <c:pt idx="271">
                  <c:v>44.457549596928516</c:v>
                </c:pt>
                <c:pt idx="272">
                  <c:v>41.406216750872005</c:v>
                </c:pt>
                <c:pt idx="273">
                  <c:v>43.530133856028712</c:v>
                </c:pt>
                <c:pt idx="274">
                  <c:v>44.550821163435508</c:v>
                </c:pt>
                <c:pt idx="275">
                  <c:v>42.516161138689995</c:v>
                </c:pt>
                <c:pt idx="276">
                  <c:v>42.734559878391323</c:v>
                </c:pt>
                <c:pt idx="277">
                  <c:v>44.080276283019224</c:v>
                </c:pt>
                <c:pt idx="278">
                  <c:v>39.638043153684698</c:v>
                </c:pt>
                <c:pt idx="279">
                  <c:v>42.817625020301556</c:v>
                </c:pt>
                <c:pt idx="280">
                  <c:v>40.412475476580589</c:v>
                </c:pt>
                <c:pt idx="281">
                  <c:v>40.332218740710523</c:v>
                </c:pt>
                <c:pt idx="282">
                  <c:v>33.241133995143599</c:v>
                </c:pt>
                <c:pt idx="283">
                  <c:v>42.375150802238252</c:v>
                </c:pt>
                <c:pt idx="284">
                  <c:v>39.768274465309958</c:v>
                </c:pt>
                <c:pt idx="285">
                  <c:v>39.855056795061437</c:v>
                </c:pt>
                <c:pt idx="286">
                  <c:v>41.909965007378638</c:v>
                </c:pt>
                <c:pt idx="287">
                  <c:v>39.182881096445506</c:v>
                </c:pt>
                <c:pt idx="288">
                  <c:v>38.517225515333379</c:v>
                </c:pt>
                <c:pt idx="289">
                  <c:v>36.170374756257267</c:v>
                </c:pt>
                <c:pt idx="290">
                  <c:v>37.794322636082605</c:v>
                </c:pt>
                <c:pt idx="291">
                  <c:v>37.715287299843339</c:v>
                </c:pt>
                <c:pt idx="292">
                  <c:v>31.908942257613869</c:v>
                </c:pt>
                <c:pt idx="293">
                  <c:v>24.59946864863414</c:v>
                </c:pt>
                <c:pt idx="294">
                  <c:v>34.985698000900676</c:v>
                </c:pt>
                <c:pt idx="295">
                  <c:v>37.419724893736571</c:v>
                </c:pt>
                <c:pt idx="296">
                  <c:v>38.572719008292552</c:v>
                </c:pt>
                <c:pt idx="297">
                  <c:v>35.926796289859503</c:v>
                </c:pt>
                <c:pt idx="298">
                  <c:v>37.208706699200022</c:v>
                </c:pt>
                <c:pt idx="299">
                  <c:v>29.570719829876996</c:v>
                </c:pt>
                <c:pt idx="300">
                  <c:v>24.903019933810778</c:v>
                </c:pt>
                <c:pt idx="301">
                  <c:v>29.923980500554308</c:v>
                </c:pt>
                <c:pt idx="302">
                  <c:v>33.09982659368044</c:v>
                </c:pt>
                <c:pt idx="303">
                  <c:v>33.51042975379562</c:v>
                </c:pt>
                <c:pt idx="304">
                  <c:v>32.377451552901285</c:v>
                </c:pt>
                <c:pt idx="305">
                  <c:v>29.890548238014514</c:v>
                </c:pt>
                <c:pt idx="306">
                  <c:v>30.00122544451607</c:v>
                </c:pt>
                <c:pt idx="307">
                  <c:v>23.180990079496752</c:v>
                </c:pt>
                <c:pt idx="308">
                  <c:v>31.350870837065635</c:v>
                </c:pt>
                <c:pt idx="309">
                  <c:v>32.30095483773875</c:v>
                </c:pt>
                <c:pt idx="310">
                  <c:v>29.852104958050223</c:v>
                </c:pt>
                <c:pt idx="311">
                  <c:v>27.215230575971084</c:v>
                </c:pt>
                <c:pt idx="312">
                  <c:v>21.819080346731017</c:v>
                </c:pt>
                <c:pt idx="313">
                  <c:v>21.826965115054627</c:v>
                </c:pt>
                <c:pt idx="314">
                  <c:v>29.566400484351405</c:v>
                </c:pt>
                <c:pt idx="315">
                  <c:v>29.617679160087185</c:v>
                </c:pt>
                <c:pt idx="316">
                  <c:v>29.179515996539571</c:v>
                </c:pt>
                <c:pt idx="317">
                  <c:v>19.900379192311398</c:v>
                </c:pt>
                <c:pt idx="318">
                  <c:v>27.219183293094108</c:v>
                </c:pt>
                <c:pt idx="319">
                  <c:v>29.09089929988528</c:v>
                </c:pt>
                <c:pt idx="320">
                  <c:v>28.670073792979203</c:v>
                </c:pt>
                <c:pt idx="321">
                  <c:v>27.452705708144066</c:v>
                </c:pt>
                <c:pt idx="322">
                  <c:v>29.080430360791048</c:v>
                </c:pt>
                <c:pt idx="323">
                  <c:v>30.110087627610774</c:v>
                </c:pt>
                <c:pt idx="324">
                  <c:v>29.084066217541494</c:v>
                </c:pt>
                <c:pt idx="325">
                  <c:v>29.591035421411469</c:v>
                </c:pt>
                <c:pt idx="326">
                  <c:v>29.56301535081597</c:v>
                </c:pt>
                <c:pt idx="327">
                  <c:v>27.223770958160259</c:v>
                </c:pt>
                <c:pt idx="328">
                  <c:v>26.38503248912658</c:v>
                </c:pt>
                <c:pt idx="329">
                  <c:v>26.793324525882319</c:v>
                </c:pt>
                <c:pt idx="330">
                  <c:v>25.130362962848679</c:v>
                </c:pt>
                <c:pt idx="331">
                  <c:v>18.630206084198146</c:v>
                </c:pt>
                <c:pt idx="332">
                  <c:v>26.41641779115476</c:v>
                </c:pt>
                <c:pt idx="333">
                  <c:v>25.687652657075112</c:v>
                </c:pt>
                <c:pt idx="334">
                  <c:v>26.512351889003813</c:v>
                </c:pt>
                <c:pt idx="335">
                  <c:v>10.56169638849005</c:v>
                </c:pt>
                <c:pt idx="336">
                  <c:v>17.22212353344614</c:v>
                </c:pt>
                <c:pt idx="337">
                  <c:v>18.845623436406257</c:v>
                </c:pt>
                <c:pt idx="338">
                  <c:v>25.657599625066538</c:v>
                </c:pt>
                <c:pt idx="339">
                  <c:v>20.632916228723204</c:v>
                </c:pt>
                <c:pt idx="340">
                  <c:v>21.562088371382199</c:v>
                </c:pt>
                <c:pt idx="341">
                  <c:v>16.757981515209075</c:v>
                </c:pt>
                <c:pt idx="342">
                  <c:v>11.880379374635188</c:v>
                </c:pt>
                <c:pt idx="343">
                  <c:v>21.95872257479607</c:v>
                </c:pt>
                <c:pt idx="344">
                  <c:v>18.260406248134906</c:v>
                </c:pt>
                <c:pt idx="345">
                  <c:v>23.792403120855759</c:v>
                </c:pt>
                <c:pt idx="346">
                  <c:v>25.480851358483925</c:v>
                </c:pt>
                <c:pt idx="347">
                  <c:v>22.845836803064749</c:v>
                </c:pt>
                <c:pt idx="348">
                  <c:v>25.557265904120406</c:v>
                </c:pt>
                <c:pt idx="349">
                  <c:v>25.18523938599883</c:v>
                </c:pt>
                <c:pt idx="350">
                  <c:v>25.601732712427946</c:v>
                </c:pt>
                <c:pt idx="351">
                  <c:v>25.724211482819697</c:v>
                </c:pt>
                <c:pt idx="352">
                  <c:v>25.408167099175618</c:v>
                </c:pt>
                <c:pt idx="353">
                  <c:v>22.549218247197125</c:v>
                </c:pt>
                <c:pt idx="354">
                  <c:v>22.13532278533097</c:v>
                </c:pt>
                <c:pt idx="355">
                  <c:v>25.041754314682116</c:v>
                </c:pt>
                <c:pt idx="356">
                  <c:v>19.829576058520093</c:v>
                </c:pt>
                <c:pt idx="357">
                  <c:v>22.708821562297572</c:v>
                </c:pt>
                <c:pt idx="358">
                  <c:v>16.332134440633631</c:v>
                </c:pt>
                <c:pt idx="359">
                  <c:v>24.2954595694269</c:v>
                </c:pt>
                <c:pt idx="360">
                  <c:v>24.678488393426758</c:v>
                </c:pt>
                <c:pt idx="361">
                  <c:v>22.122809606273847</c:v>
                </c:pt>
                <c:pt idx="362">
                  <c:v>24.70046719987749</c:v>
                </c:pt>
                <c:pt idx="363">
                  <c:v>26.021620495154139</c:v>
                </c:pt>
                <c:pt idx="364">
                  <c:v>25.489311551615195</c:v>
                </c:pt>
                <c:pt idx="365">
                  <c:v>15.05843026866239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24.528525019852513</c:v>
                </c:pt>
                <c:pt idx="1">
                  <c:v>17.636021304603418</c:v>
                </c:pt>
                <c:pt idx="2">
                  <c:v>18.980565853825546</c:v>
                </c:pt>
                <c:pt idx="3">
                  <c:v>20.057176730761295</c:v>
                </c:pt>
                <c:pt idx="4">
                  <c:v>15.969115178031991</c:v>
                </c:pt>
                <c:pt idx="5">
                  <c:v>23.03278654505505</c:v>
                </c:pt>
                <c:pt idx="6">
                  <c:v>11.77748961333968</c:v>
                </c:pt>
                <c:pt idx="7">
                  <c:v>8.2622228759277281</c:v>
                </c:pt>
                <c:pt idx="8">
                  <c:v>2.4389780718718015</c:v>
                </c:pt>
                <c:pt idx="9">
                  <c:v>1.8932842070712099</c:v>
                </c:pt>
                <c:pt idx="10">
                  <c:v>27.294878882178857</c:v>
                </c:pt>
                <c:pt idx="11">
                  <c:v>23.288635969140365</c:v>
                </c:pt>
                <c:pt idx="12">
                  <c:v>5.6074703057523889</c:v>
                </c:pt>
                <c:pt idx="13">
                  <c:v>27.732818722514551</c:v>
                </c:pt>
                <c:pt idx="14">
                  <c:v>29.472715702164702</c:v>
                </c:pt>
                <c:pt idx="15">
                  <c:v>28.94879755291776</c:v>
                </c:pt>
                <c:pt idx="16">
                  <c:v>14.816853446814875</c:v>
                </c:pt>
                <c:pt idx="17">
                  <c:v>3.9119048495115307</c:v>
                </c:pt>
                <c:pt idx="18">
                  <c:v>11.316488911676977</c:v>
                </c:pt>
                <c:pt idx="19">
                  <c:v>7.1192280411662026</c:v>
                </c:pt>
                <c:pt idx="20">
                  <c:v>22.745493436016041</c:v>
                </c:pt>
                <c:pt idx="21">
                  <c:v>30.694958235093285</c:v>
                </c:pt>
                <c:pt idx="22">
                  <c:v>30.768234513818296</c:v>
                </c:pt>
                <c:pt idx="23">
                  <c:v>31.46244680579083</c:v>
                </c:pt>
                <c:pt idx="24">
                  <c:v>29.965963471414504</c:v>
                </c:pt>
                <c:pt idx="25">
                  <c:v>31.037921449908918</c:v>
                </c:pt>
                <c:pt idx="26">
                  <c:v>28.920232617261767</c:v>
                </c:pt>
                <c:pt idx="27">
                  <c:v>4.7235118202699429</c:v>
                </c:pt>
                <c:pt idx="28">
                  <c:v>10.358639552060666</c:v>
                </c:pt>
                <c:pt idx="29">
                  <c:v>4.9274765267753207</c:v>
                </c:pt>
                <c:pt idx="30">
                  <c:v>10.079073936113666</c:v>
                </c:pt>
                <c:pt idx="31">
                  <c:v>14.634191186375247</c:v>
                </c:pt>
                <c:pt idx="32">
                  <c:v>5.8792285926951973</c:v>
                </c:pt>
                <c:pt idx="33">
                  <c:v>11.082645357362074</c:v>
                </c:pt>
                <c:pt idx="34">
                  <c:v>10.974994877263029</c:v>
                </c:pt>
                <c:pt idx="35">
                  <c:v>10.619600755085523</c:v>
                </c:pt>
                <c:pt idx="36">
                  <c:v>24.299901594330979</c:v>
                </c:pt>
                <c:pt idx="37">
                  <c:v>10.42742014265281</c:v>
                </c:pt>
                <c:pt idx="38">
                  <c:v>36.556625907813178</c:v>
                </c:pt>
                <c:pt idx="39">
                  <c:v>36.800486280884854</c:v>
                </c:pt>
                <c:pt idx="40">
                  <c:v>34.213417729613788</c:v>
                </c:pt>
                <c:pt idx="41">
                  <c:v>19.099890829555054</c:v>
                </c:pt>
                <c:pt idx="42">
                  <c:v>29.021724275467907</c:v>
                </c:pt>
                <c:pt idx="43">
                  <c:v>34.310825124502784</c:v>
                </c:pt>
                <c:pt idx="44">
                  <c:v>16.804931151987184</c:v>
                </c:pt>
                <c:pt idx="45">
                  <c:v>21.130775078562582</c:v>
                </c:pt>
                <c:pt idx="46">
                  <c:v>11.069769839560049</c:v>
                </c:pt>
                <c:pt idx="47">
                  <c:v>11.977567305436617</c:v>
                </c:pt>
                <c:pt idx="48">
                  <c:v>30.507865299252845</c:v>
                </c:pt>
                <c:pt idx="49">
                  <c:v>22.110577696267658</c:v>
                </c:pt>
                <c:pt idx="50">
                  <c:v>21.091860911409988</c:v>
                </c:pt>
                <c:pt idx="51">
                  <c:v>23.31903554350589</c:v>
                </c:pt>
                <c:pt idx="52">
                  <c:v>36.048112308481478</c:v>
                </c:pt>
                <c:pt idx="53">
                  <c:v>37.302729768017024</c:v>
                </c:pt>
                <c:pt idx="54">
                  <c:v>22.933907675881773</c:v>
                </c:pt>
                <c:pt idx="55">
                  <c:v>33.407685463985814</c:v>
                </c:pt>
                <c:pt idx="56">
                  <c:v>43.028835815721592</c:v>
                </c:pt>
                <c:pt idx="57">
                  <c:v>29.987503899447994</c:v>
                </c:pt>
                <c:pt idx="58">
                  <c:v>37.059968091396428</c:v>
                </c:pt>
                <c:pt idx="59">
                  <c:v>43.025708603641178</c:v>
                </c:pt>
                <c:pt idx="60">
                  <c:v>11.847986950214535</c:v>
                </c:pt>
                <c:pt idx="61">
                  <c:v>38.192695174549762</c:v>
                </c:pt>
                <c:pt idx="62">
                  <c:v>4.392828581912565</c:v>
                </c:pt>
                <c:pt idx="63">
                  <c:v>14.544035741757639</c:v>
                </c:pt>
                <c:pt idx="64">
                  <c:v>17.379284883179011</c:v>
                </c:pt>
                <c:pt idx="65">
                  <c:v>40.600254337370259</c:v>
                </c:pt>
                <c:pt idx="66">
                  <c:v>35.089826516602166</c:v>
                </c:pt>
                <c:pt idx="67">
                  <c:v>31.313084232357973</c:v>
                </c:pt>
                <c:pt idx="68">
                  <c:v>27.203975554486604</c:v>
                </c:pt>
                <c:pt idx="69">
                  <c:v>17.263176029122125</c:v>
                </c:pt>
                <c:pt idx="70">
                  <c:v>16.04153722166534</c:v>
                </c:pt>
                <c:pt idx="71">
                  <c:v>10.889833888043947</c:v>
                </c:pt>
                <c:pt idx="72">
                  <c:v>15.694464124196726</c:v>
                </c:pt>
                <c:pt idx="73">
                  <c:v>15.72187576845964</c:v>
                </c:pt>
                <c:pt idx="74">
                  <c:v>14.171905565641378</c:v>
                </c:pt>
                <c:pt idx="75">
                  <c:v>11.823756145418411</c:v>
                </c:pt>
                <c:pt idx="76">
                  <c:v>15.765853246515581</c:v>
                </c:pt>
                <c:pt idx="77">
                  <c:v>31.998640234121673</c:v>
                </c:pt>
                <c:pt idx="78">
                  <c:v>33.05277877361759</c:v>
                </c:pt>
                <c:pt idx="79">
                  <c:v>48.197495947862762</c:v>
                </c:pt>
                <c:pt idx="80">
                  <c:v>45.356909276256609</c:v>
                </c:pt>
                <c:pt idx="81">
                  <c:v>52.047706946675824</c:v>
                </c:pt>
                <c:pt idx="82">
                  <c:v>50.938122848408874</c:v>
                </c:pt>
                <c:pt idx="83">
                  <c:v>44.623543770200989</c:v>
                </c:pt>
                <c:pt idx="84">
                  <c:v>50.226196091627614</c:v>
                </c:pt>
                <c:pt idx="85">
                  <c:v>48.927568597353442</c:v>
                </c:pt>
                <c:pt idx="86">
                  <c:v>38.311448400921023</c:v>
                </c:pt>
                <c:pt idx="87">
                  <c:v>30.177096414309283</c:v>
                </c:pt>
                <c:pt idx="88">
                  <c:v>8.4873030412534849</c:v>
                </c:pt>
                <c:pt idx="89">
                  <c:v>30.932480596982369</c:v>
                </c:pt>
                <c:pt idx="90">
                  <c:v>33.854154147887662</c:v>
                </c:pt>
                <c:pt idx="91">
                  <c:v>23.081657490554388</c:v>
                </c:pt>
                <c:pt idx="92">
                  <c:v>25.008553218109117</c:v>
                </c:pt>
                <c:pt idx="93">
                  <c:v>52.598980496562895</c:v>
                </c:pt>
                <c:pt idx="94">
                  <c:v>55.913966434184211</c:v>
                </c:pt>
                <c:pt idx="95">
                  <c:v>12.250305205518478</c:v>
                </c:pt>
                <c:pt idx="96">
                  <c:v>41.879977307684335</c:v>
                </c:pt>
                <c:pt idx="97">
                  <c:v>34.500945735769321</c:v>
                </c:pt>
                <c:pt idx="98">
                  <c:v>38.419170298367028</c:v>
                </c:pt>
                <c:pt idx="99">
                  <c:v>57.858455433856136</c:v>
                </c:pt>
                <c:pt idx="100">
                  <c:v>48.591129348303987</c:v>
                </c:pt>
                <c:pt idx="101">
                  <c:v>39.410068643997093</c:v>
                </c:pt>
                <c:pt idx="102">
                  <c:v>7.9032722150371049</c:v>
                </c:pt>
                <c:pt idx="103">
                  <c:v>42.725863317829322</c:v>
                </c:pt>
                <c:pt idx="104">
                  <c:v>48.969094316285933</c:v>
                </c:pt>
                <c:pt idx="105">
                  <c:v>47.257409105463125</c:v>
                </c:pt>
                <c:pt idx="106">
                  <c:v>57.728351760885495</c:v>
                </c:pt>
                <c:pt idx="107">
                  <c:v>39.935722939988011</c:v>
                </c:pt>
                <c:pt idx="108">
                  <c:v>9.5477811753053903</c:v>
                </c:pt>
                <c:pt idx="109">
                  <c:v>10.927042273933461</c:v>
                </c:pt>
                <c:pt idx="110">
                  <c:v>10.101528615490318</c:v>
                </c:pt>
                <c:pt idx="111">
                  <c:v>29.566014286665627</c:v>
                </c:pt>
                <c:pt idx="112">
                  <c:v>10.231323757932646</c:v>
                </c:pt>
                <c:pt idx="113">
                  <c:v>32.468120662835162</c:v>
                </c:pt>
                <c:pt idx="114">
                  <c:v>49.970426109458721</c:v>
                </c:pt>
                <c:pt idx="115">
                  <c:v>58.179521946902589</c:v>
                </c:pt>
                <c:pt idx="116">
                  <c:v>43.829103884586168</c:v>
                </c:pt>
                <c:pt idx="117">
                  <c:v>21.818216887689953</c:v>
                </c:pt>
                <c:pt idx="118">
                  <c:v>43.911538083288107</c:v>
                </c:pt>
                <c:pt idx="119">
                  <c:v>46.681671865139975</c:v>
                </c:pt>
                <c:pt idx="120">
                  <c:v>50.600622281761837</c:v>
                </c:pt>
                <c:pt idx="121">
                  <c:v>32.531845922811144</c:v>
                </c:pt>
                <c:pt idx="122">
                  <c:v>38.766724831527732</c:v>
                </c:pt>
                <c:pt idx="123">
                  <c:v>21.506196184235417</c:v>
                </c:pt>
                <c:pt idx="124">
                  <c:v>45.084759798888683</c:v>
                </c:pt>
                <c:pt idx="125">
                  <c:v>41.24856097989116</c:v>
                </c:pt>
                <c:pt idx="126">
                  <c:v>56.096054793719546</c:v>
                </c:pt>
                <c:pt idx="127">
                  <c:v>53.391242377385325</c:v>
                </c:pt>
                <c:pt idx="128">
                  <c:v>55.877643331762144</c:v>
                </c:pt>
                <c:pt idx="129">
                  <c:v>55.526820084927458</c:v>
                </c:pt>
                <c:pt idx="130">
                  <c:v>59.946364032556687</c:v>
                </c:pt>
                <c:pt idx="131">
                  <c:v>43.712988363129853</c:v>
                </c:pt>
                <c:pt idx="132">
                  <c:v>44.469497510310156</c:v>
                </c:pt>
                <c:pt idx="133">
                  <c:v>53.810635727253604</c:v>
                </c:pt>
                <c:pt idx="134">
                  <c:v>56.937451031124006</c:v>
                </c:pt>
                <c:pt idx="135">
                  <c:v>54.279875254286232</c:v>
                </c:pt>
                <c:pt idx="136">
                  <c:v>57.809848684074474</c:v>
                </c:pt>
                <c:pt idx="137">
                  <c:v>55.618096662138946</c:v>
                </c:pt>
                <c:pt idx="138">
                  <c:v>58.710445861444065</c:v>
                </c:pt>
                <c:pt idx="139">
                  <c:v>53.195054977079231</c:v>
                </c:pt>
                <c:pt idx="140">
                  <c:v>53.112398234472273</c:v>
                </c:pt>
                <c:pt idx="141">
                  <c:v>40.200588497551657</c:v>
                </c:pt>
                <c:pt idx="142">
                  <c:v>20.960117399576191</c:v>
                </c:pt>
                <c:pt idx="143">
                  <c:v>18.175819170697661</c:v>
                </c:pt>
                <c:pt idx="144">
                  <c:v>42.639483469853708</c:v>
                </c:pt>
                <c:pt idx="145">
                  <c:v>25.856082892985892</c:v>
                </c:pt>
                <c:pt idx="146">
                  <c:v>48.104617958098387</c:v>
                </c:pt>
                <c:pt idx="147">
                  <c:v>57.970391620165543</c:v>
                </c:pt>
                <c:pt idx="148">
                  <c:v>62.489075261508759</c:v>
                </c:pt>
                <c:pt idx="149">
                  <c:v>53.218842781125197</c:v>
                </c:pt>
                <c:pt idx="150">
                  <c:v>56.524770035153352</c:v>
                </c:pt>
                <c:pt idx="151">
                  <c:v>59.059972187934818</c:v>
                </c:pt>
                <c:pt idx="152">
                  <c:v>47.448477865655967</c:v>
                </c:pt>
                <c:pt idx="153">
                  <c:v>57.833207872898761</c:v>
                </c:pt>
                <c:pt idx="154">
                  <c:v>26.117589192825367</c:v>
                </c:pt>
                <c:pt idx="155">
                  <c:v>36.033686666641962</c:v>
                </c:pt>
                <c:pt idx="156">
                  <c:v>50.756207470854669</c:v>
                </c:pt>
                <c:pt idx="157">
                  <c:v>26.462887826542612</c:v>
                </c:pt>
                <c:pt idx="158">
                  <c:v>21.63746184134849</c:v>
                </c:pt>
                <c:pt idx="159">
                  <c:v>49.453746260567634</c:v>
                </c:pt>
                <c:pt idx="160">
                  <c:v>60.360456462076193</c:v>
                </c:pt>
                <c:pt idx="161">
                  <c:v>59.025709659388554</c:v>
                </c:pt>
                <c:pt idx="162">
                  <c:v>45.169222624755768</c:v>
                </c:pt>
                <c:pt idx="163">
                  <c:v>57.200088678812186</c:v>
                </c:pt>
                <c:pt idx="164">
                  <c:v>52.175255092671314</c:v>
                </c:pt>
                <c:pt idx="165">
                  <c:v>56.92159289770462</c:v>
                </c:pt>
                <c:pt idx="166">
                  <c:v>54.711059251554971</c:v>
                </c:pt>
                <c:pt idx="167">
                  <c:v>54.792663149437587</c:v>
                </c:pt>
                <c:pt idx="168">
                  <c:v>58.389799294743653</c:v>
                </c:pt>
                <c:pt idx="169">
                  <c:v>59.588918123363584</c:v>
                </c:pt>
                <c:pt idx="170">
                  <c:v>33.188387949413098</c:v>
                </c:pt>
                <c:pt idx="171">
                  <c:v>24.787850321024511</c:v>
                </c:pt>
                <c:pt idx="172">
                  <c:v>41.467402441116505</c:v>
                </c:pt>
                <c:pt idx="173">
                  <c:v>44.29532868860575</c:v>
                </c:pt>
                <c:pt idx="174">
                  <c:v>42.33928378427985</c:v>
                </c:pt>
                <c:pt idx="175">
                  <c:v>37.264075267531233</c:v>
                </c:pt>
                <c:pt idx="176">
                  <c:v>12.504163158035313</c:v>
                </c:pt>
                <c:pt idx="177">
                  <c:v>13.65075361455426</c:v>
                </c:pt>
                <c:pt idx="178">
                  <c:v>61.980882161709836</c:v>
                </c:pt>
                <c:pt idx="179">
                  <c:v>58.85095048223954</c:v>
                </c:pt>
                <c:pt idx="180">
                  <c:v>14.633022797977169</c:v>
                </c:pt>
                <c:pt idx="181">
                  <c:v>52.685800679015856</c:v>
                </c:pt>
                <c:pt idx="182">
                  <c:v>58.697985022962222</c:v>
                </c:pt>
                <c:pt idx="183">
                  <c:v>48.916435577060987</c:v>
                </c:pt>
                <c:pt idx="184">
                  <c:v>46.426140292823284</c:v>
                </c:pt>
                <c:pt idx="185">
                  <c:v>58.17672995374317</c:v>
                </c:pt>
                <c:pt idx="186">
                  <c:v>49.965346849119364</c:v>
                </c:pt>
                <c:pt idx="187">
                  <c:v>57.394276612159018</c:v>
                </c:pt>
                <c:pt idx="188">
                  <c:v>60.367714785185662</c:v>
                </c:pt>
                <c:pt idx="189">
                  <c:v>59.596543023912986</c:v>
                </c:pt>
                <c:pt idx="190">
                  <c:v>58.844625060904086</c:v>
                </c:pt>
                <c:pt idx="191">
                  <c:v>57.294204421658385</c:v>
                </c:pt>
                <c:pt idx="192">
                  <c:v>57.405083651331203</c:v>
                </c:pt>
                <c:pt idx="193">
                  <c:v>56.734757420394608</c:v>
                </c:pt>
                <c:pt idx="194">
                  <c:v>56.134515942229029</c:v>
                </c:pt>
                <c:pt idx="195">
                  <c:v>54.26302442854179</c:v>
                </c:pt>
                <c:pt idx="196">
                  <c:v>55.767077543305746</c:v>
                </c:pt>
                <c:pt idx="197">
                  <c:v>55.330789787847067</c:v>
                </c:pt>
                <c:pt idx="198">
                  <c:v>57.34896442939926</c:v>
                </c:pt>
                <c:pt idx="199">
                  <c:v>46.011610598462092</c:v>
                </c:pt>
                <c:pt idx="200">
                  <c:v>46.478883601507107</c:v>
                </c:pt>
                <c:pt idx="201">
                  <c:v>54.670820501129811</c:v>
                </c:pt>
                <c:pt idx="202">
                  <c:v>43.582992973508119</c:v>
                </c:pt>
                <c:pt idx="203">
                  <c:v>48.712039485799522</c:v>
                </c:pt>
                <c:pt idx="204">
                  <c:v>54.641243985665433</c:v>
                </c:pt>
                <c:pt idx="205">
                  <c:v>27.922170550043699</c:v>
                </c:pt>
                <c:pt idx="206">
                  <c:v>58.711602889143748</c:v>
                </c:pt>
                <c:pt idx="207">
                  <c:v>58.726621651171868</c:v>
                </c:pt>
                <c:pt idx="208">
                  <c:v>47.130250731581562</c:v>
                </c:pt>
                <c:pt idx="209">
                  <c:v>31.88191437930762</c:v>
                </c:pt>
                <c:pt idx="210">
                  <c:v>53.668246317841763</c:v>
                </c:pt>
                <c:pt idx="211">
                  <c:v>56.568329418981065</c:v>
                </c:pt>
                <c:pt idx="212">
                  <c:v>55.586126471663725</c:v>
                </c:pt>
                <c:pt idx="213">
                  <c:v>55.812519433119654</c:v>
                </c:pt>
                <c:pt idx="214">
                  <c:v>53.48141754325264</c:v>
                </c:pt>
                <c:pt idx="215">
                  <c:v>50.190169896617874</c:v>
                </c:pt>
                <c:pt idx="216">
                  <c:v>46.700195054199938</c:v>
                </c:pt>
                <c:pt idx="217">
                  <c:v>51.179352458538879</c:v>
                </c:pt>
                <c:pt idx="218">
                  <c:v>54.403503270038868</c:v>
                </c:pt>
                <c:pt idx="219">
                  <c:v>55.282073058296042</c:v>
                </c:pt>
                <c:pt idx="220">
                  <c:v>53.437363064574441</c:v>
                </c:pt>
                <c:pt idx="221">
                  <c:v>51.241244251807352</c:v>
                </c:pt>
                <c:pt idx="222">
                  <c:v>47.157775520885849</c:v>
                </c:pt>
                <c:pt idx="223">
                  <c:v>49.496180123248266</c:v>
                </c:pt>
                <c:pt idx="224">
                  <c:v>34.480593060298951</c:v>
                </c:pt>
                <c:pt idx="225">
                  <c:v>35.852220469361043</c:v>
                </c:pt>
                <c:pt idx="226">
                  <c:v>41.113222930048728</c:v>
                </c:pt>
                <c:pt idx="227">
                  <c:v>34.53875198655772</c:v>
                </c:pt>
                <c:pt idx="228">
                  <c:v>23.74382656675861</c:v>
                </c:pt>
                <c:pt idx="229">
                  <c:v>41.320747684471556</c:v>
                </c:pt>
                <c:pt idx="230">
                  <c:v>42.788048091850989</c:v>
                </c:pt>
                <c:pt idx="231">
                  <c:v>50.962655445923772</c:v>
                </c:pt>
                <c:pt idx="232">
                  <c:v>34.358716360584914</c:v>
                </c:pt>
                <c:pt idx="233">
                  <c:v>26.772023567851964</c:v>
                </c:pt>
                <c:pt idx="234">
                  <c:v>47.894023384511755</c:v>
                </c:pt>
                <c:pt idx="235">
                  <c:v>49.488537344412329</c:v>
                </c:pt>
                <c:pt idx="236">
                  <c:v>35.315602085105738</c:v>
                </c:pt>
                <c:pt idx="237">
                  <c:v>44.371050400003867</c:v>
                </c:pt>
                <c:pt idx="238">
                  <c:v>52.283135226272805</c:v>
                </c:pt>
                <c:pt idx="239">
                  <c:v>51.315619204988778</c:v>
                </c:pt>
                <c:pt idx="240">
                  <c:v>34.601201244620356</c:v>
                </c:pt>
                <c:pt idx="241">
                  <c:v>50.246463359152841</c:v>
                </c:pt>
                <c:pt idx="242">
                  <c:v>23.650394046513515</c:v>
                </c:pt>
                <c:pt idx="243">
                  <c:v>45.59523407987146</c:v>
                </c:pt>
                <c:pt idx="244">
                  <c:v>41.826588134752164</c:v>
                </c:pt>
                <c:pt idx="245">
                  <c:v>34.926759404893183</c:v>
                </c:pt>
                <c:pt idx="246">
                  <c:v>50.662162575139547</c:v>
                </c:pt>
                <c:pt idx="247">
                  <c:v>42.832928964921962</c:v>
                </c:pt>
                <c:pt idx="248">
                  <c:v>48.581551802236554</c:v>
                </c:pt>
                <c:pt idx="249">
                  <c:v>37.802549037597416</c:v>
                </c:pt>
                <c:pt idx="250">
                  <c:v>41.400031003255357</c:v>
                </c:pt>
                <c:pt idx="251">
                  <c:v>23.049513601575782</c:v>
                </c:pt>
                <c:pt idx="252">
                  <c:v>48.698139717979124</c:v>
                </c:pt>
                <c:pt idx="253">
                  <c:v>49.275686572099694</c:v>
                </c:pt>
                <c:pt idx="254">
                  <c:v>34.513568923784369</c:v>
                </c:pt>
                <c:pt idx="255">
                  <c:v>12.239085631204764</c:v>
                </c:pt>
                <c:pt idx="256">
                  <c:v>40.619115100112325</c:v>
                </c:pt>
                <c:pt idx="257">
                  <c:v>44.62157437270838</c:v>
                </c:pt>
                <c:pt idx="258">
                  <c:v>29.711916984966635</c:v>
                </c:pt>
                <c:pt idx="259">
                  <c:v>51.387696842313346</c:v>
                </c:pt>
                <c:pt idx="260">
                  <c:v>49.689066419379245</c:v>
                </c:pt>
                <c:pt idx="261">
                  <c:v>48.413322483507429</c:v>
                </c:pt>
                <c:pt idx="262">
                  <c:v>49.877958814911565</c:v>
                </c:pt>
                <c:pt idx="263">
                  <c:v>48.667322070237333</c:v>
                </c:pt>
                <c:pt idx="264">
                  <c:v>47.40423809314786</c:v>
                </c:pt>
                <c:pt idx="265">
                  <c:v>29.953126352435184</c:v>
                </c:pt>
                <c:pt idx="266">
                  <c:v>18.77812151360887</c:v>
                </c:pt>
                <c:pt idx="267">
                  <c:v>33.244913897810846</c:v>
                </c:pt>
                <c:pt idx="268">
                  <c:v>35.856457386984125</c:v>
                </c:pt>
                <c:pt idx="269">
                  <c:v>16.207278339436073</c:v>
                </c:pt>
                <c:pt idx="270">
                  <c:v>18.624663051906875</c:v>
                </c:pt>
                <c:pt idx="271">
                  <c:v>25.546366566853813</c:v>
                </c:pt>
                <c:pt idx="272">
                  <c:v>31.220687313890647</c:v>
                </c:pt>
                <c:pt idx="273">
                  <c:v>37.446727859799786</c:v>
                </c:pt>
                <c:pt idx="274">
                  <c:v>41.747406002995859</c:v>
                </c:pt>
                <c:pt idx="275">
                  <c:v>37.973918877521214</c:v>
                </c:pt>
                <c:pt idx="276">
                  <c:v>42.734559878391323</c:v>
                </c:pt>
                <c:pt idx="277">
                  <c:v>44.080276283019224</c:v>
                </c:pt>
                <c:pt idx="278">
                  <c:v>12.865796693863414</c:v>
                </c:pt>
                <c:pt idx="279">
                  <c:v>31.454620678909208</c:v>
                </c:pt>
                <c:pt idx="280">
                  <c:v>17.142896922560968</c:v>
                </c:pt>
                <c:pt idx="281">
                  <c:v>40.332218740710523</c:v>
                </c:pt>
                <c:pt idx="282">
                  <c:v>33.241133995143599</c:v>
                </c:pt>
                <c:pt idx="283">
                  <c:v>24.171925137931712</c:v>
                </c:pt>
                <c:pt idx="284">
                  <c:v>30.195127883415864</c:v>
                </c:pt>
                <c:pt idx="285">
                  <c:v>24.919255985854484</c:v>
                </c:pt>
                <c:pt idx="286">
                  <c:v>21.152329738098516</c:v>
                </c:pt>
                <c:pt idx="287">
                  <c:v>39.182881096445506</c:v>
                </c:pt>
                <c:pt idx="288">
                  <c:v>35.190197365782964</c:v>
                </c:pt>
                <c:pt idx="289">
                  <c:v>21.351894557753923</c:v>
                </c:pt>
                <c:pt idx="290">
                  <c:v>36.252971597427823</c:v>
                </c:pt>
                <c:pt idx="291">
                  <c:v>16.696154018237291</c:v>
                </c:pt>
                <c:pt idx="292">
                  <c:v>6.9168859788380592</c:v>
                </c:pt>
                <c:pt idx="293">
                  <c:v>17.520768383265366</c:v>
                </c:pt>
                <c:pt idx="294">
                  <c:v>34.985698000900676</c:v>
                </c:pt>
                <c:pt idx="295">
                  <c:v>18.229879892705682</c:v>
                </c:pt>
                <c:pt idx="296">
                  <c:v>27.025364020197809</c:v>
                </c:pt>
                <c:pt idx="297">
                  <c:v>23.308049450975329</c:v>
                </c:pt>
                <c:pt idx="298">
                  <c:v>14.609633230237602</c:v>
                </c:pt>
                <c:pt idx="299">
                  <c:v>15.605642252823683</c:v>
                </c:pt>
                <c:pt idx="300">
                  <c:v>18.429630662137736</c:v>
                </c:pt>
                <c:pt idx="301">
                  <c:v>28.944549302091808</c:v>
                </c:pt>
                <c:pt idx="302">
                  <c:v>23.943677082890002</c:v>
                </c:pt>
                <c:pt idx="303">
                  <c:v>23.37641403534418</c:v>
                </c:pt>
                <c:pt idx="304">
                  <c:v>24.867926631428173</c:v>
                </c:pt>
                <c:pt idx="305">
                  <c:v>29.890548238014514</c:v>
                </c:pt>
                <c:pt idx="306">
                  <c:v>10.262452701434954</c:v>
                </c:pt>
                <c:pt idx="307">
                  <c:v>18.00069804346947</c:v>
                </c:pt>
                <c:pt idx="308">
                  <c:v>31.350870837065635</c:v>
                </c:pt>
                <c:pt idx="309">
                  <c:v>32.30095483773875</c:v>
                </c:pt>
                <c:pt idx="310">
                  <c:v>29.852104958050223</c:v>
                </c:pt>
                <c:pt idx="311">
                  <c:v>22.47503884408129</c:v>
                </c:pt>
                <c:pt idx="312">
                  <c:v>10.50849831495395</c:v>
                </c:pt>
                <c:pt idx="313">
                  <c:v>21.826965115054627</c:v>
                </c:pt>
                <c:pt idx="314">
                  <c:v>29.566400484351405</c:v>
                </c:pt>
                <c:pt idx="315">
                  <c:v>29.617679160087185</c:v>
                </c:pt>
                <c:pt idx="316">
                  <c:v>28.611213544103961</c:v>
                </c:pt>
                <c:pt idx="317">
                  <c:v>10.072598306984883</c:v>
                </c:pt>
                <c:pt idx="318">
                  <c:v>13.099162749464696</c:v>
                </c:pt>
                <c:pt idx="319">
                  <c:v>29.09089929988528</c:v>
                </c:pt>
                <c:pt idx="320">
                  <c:v>13.614402646242334</c:v>
                </c:pt>
                <c:pt idx="321">
                  <c:v>16.161437817715107</c:v>
                </c:pt>
                <c:pt idx="322">
                  <c:v>8.2763162239668731</c:v>
                </c:pt>
                <c:pt idx="323">
                  <c:v>16.545158335581771</c:v>
                </c:pt>
                <c:pt idx="324">
                  <c:v>3.496249572393753</c:v>
                </c:pt>
                <c:pt idx="325">
                  <c:v>8.6920469954443913</c:v>
                </c:pt>
                <c:pt idx="326">
                  <c:v>13.028642559685736</c:v>
                </c:pt>
                <c:pt idx="327">
                  <c:v>14.341453418118828</c:v>
                </c:pt>
                <c:pt idx="328">
                  <c:v>5.5528536694671358</c:v>
                </c:pt>
                <c:pt idx="329">
                  <c:v>11.132325454535739</c:v>
                </c:pt>
                <c:pt idx="330">
                  <c:v>15.838448375736375</c:v>
                </c:pt>
                <c:pt idx="331">
                  <c:v>11.48057369282526</c:v>
                </c:pt>
                <c:pt idx="332">
                  <c:v>15.9764996600257</c:v>
                </c:pt>
                <c:pt idx="333">
                  <c:v>4.4506077193275928</c:v>
                </c:pt>
                <c:pt idx="334">
                  <c:v>3.8299197822366198</c:v>
                </c:pt>
                <c:pt idx="335">
                  <c:v>6.3515921588074979</c:v>
                </c:pt>
                <c:pt idx="336">
                  <c:v>9.4885980592727801</c:v>
                </c:pt>
                <c:pt idx="337">
                  <c:v>18.845623436406257</c:v>
                </c:pt>
                <c:pt idx="338">
                  <c:v>25.657599625066538</c:v>
                </c:pt>
                <c:pt idx="339">
                  <c:v>11.879330563333975</c:v>
                </c:pt>
                <c:pt idx="340">
                  <c:v>21.562088371382199</c:v>
                </c:pt>
                <c:pt idx="341">
                  <c:v>4.4499955862221814</c:v>
                </c:pt>
                <c:pt idx="342">
                  <c:v>5.3846104298040656</c:v>
                </c:pt>
                <c:pt idx="343">
                  <c:v>12.6778278127404</c:v>
                </c:pt>
                <c:pt idx="344">
                  <c:v>17.715323470368492</c:v>
                </c:pt>
                <c:pt idx="345">
                  <c:v>6.168287235553974</c:v>
                </c:pt>
                <c:pt idx="346">
                  <c:v>5.8558058769713703</c:v>
                </c:pt>
                <c:pt idx="347">
                  <c:v>18.58832060491369</c:v>
                </c:pt>
                <c:pt idx="348">
                  <c:v>6.1643236001667434</c:v>
                </c:pt>
                <c:pt idx="349">
                  <c:v>5.2530242052935057</c:v>
                </c:pt>
                <c:pt idx="350">
                  <c:v>3.8391094439307309</c:v>
                </c:pt>
                <c:pt idx="351">
                  <c:v>23.065755870265402</c:v>
                </c:pt>
                <c:pt idx="352">
                  <c:v>18.665134585690581</c:v>
                </c:pt>
                <c:pt idx="353">
                  <c:v>4.9054862230145311</c:v>
                </c:pt>
                <c:pt idx="354">
                  <c:v>22.13532278533097</c:v>
                </c:pt>
                <c:pt idx="355">
                  <c:v>18.292760346414287</c:v>
                </c:pt>
                <c:pt idx="356">
                  <c:v>18.892807037915148</c:v>
                </c:pt>
                <c:pt idx="357">
                  <c:v>22.708821562297572</c:v>
                </c:pt>
                <c:pt idx="358">
                  <c:v>13.509119285065029</c:v>
                </c:pt>
                <c:pt idx="359">
                  <c:v>23.028385501096778</c:v>
                </c:pt>
                <c:pt idx="360">
                  <c:v>8.2962904480287669</c:v>
                </c:pt>
                <c:pt idx="361">
                  <c:v>22.122809606273847</c:v>
                </c:pt>
                <c:pt idx="362">
                  <c:v>10.872593405030532</c:v>
                </c:pt>
                <c:pt idx="363">
                  <c:v>14.318501613616073</c:v>
                </c:pt>
                <c:pt idx="364">
                  <c:v>13.287798829240696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27.2014</c:v>
                </c:pt>
                <c:pt idx="21">
                  <c:v>30.834800000000001</c:v>
                </c:pt>
                <c:pt idx="35">
                  <c:v>35.548400000000001</c:v>
                </c:pt>
                <c:pt idx="49">
                  <c:v>40.360199999999999</c:v>
                </c:pt>
                <c:pt idx="63">
                  <c:v>45.4666</c:v>
                </c:pt>
                <c:pt idx="77">
                  <c:v>50.573</c:v>
                </c:pt>
                <c:pt idx="91">
                  <c:v>55.483000000000004</c:v>
                </c:pt>
                <c:pt idx="105">
                  <c:v>59.214599999999997</c:v>
                </c:pt>
                <c:pt idx="119">
                  <c:v>61.669600000000003</c:v>
                </c:pt>
                <c:pt idx="133">
                  <c:v>63.142600000000002</c:v>
                </c:pt>
                <c:pt idx="147">
                  <c:v>63.7318</c:v>
                </c:pt>
                <c:pt idx="161">
                  <c:v>63.633600000000001</c:v>
                </c:pt>
                <c:pt idx="175">
                  <c:v>62.749799999999993</c:v>
                </c:pt>
                <c:pt idx="189">
                  <c:v>61.473199999999999</c:v>
                </c:pt>
                <c:pt idx="203">
                  <c:v>59.803800000000003</c:v>
                </c:pt>
                <c:pt idx="217">
                  <c:v>57.839800000000004</c:v>
                </c:pt>
                <c:pt idx="231">
                  <c:v>55.581200000000003</c:v>
                </c:pt>
                <c:pt idx="245">
                  <c:v>52.9298</c:v>
                </c:pt>
                <c:pt idx="259">
                  <c:v>49.1</c:v>
                </c:pt>
                <c:pt idx="273">
                  <c:v>44.4846</c:v>
                </c:pt>
                <c:pt idx="287">
                  <c:v>39.869199999999999</c:v>
                </c:pt>
                <c:pt idx="301">
                  <c:v>35.253799999999998</c:v>
                </c:pt>
                <c:pt idx="315">
                  <c:v>31.031200000000002</c:v>
                </c:pt>
                <c:pt idx="329">
                  <c:v>27.594200000000001</c:v>
                </c:pt>
                <c:pt idx="343">
                  <c:v>25.041</c:v>
                </c:pt>
                <c:pt idx="357">
                  <c:v>24.746400000000001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2952"/>
        <c:axId val="372532168"/>
      </c:lineChart>
      <c:dateAx>
        <c:axId val="372532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2168"/>
        <c:crosses val="autoZero"/>
        <c:auto val="1"/>
        <c:lblOffset val="100"/>
        <c:baseTimeUnit val="days"/>
        <c:majorUnit val="1"/>
        <c:majorTimeUnit val="months"/>
      </c:dateAx>
      <c:valAx>
        <c:axId val="3725321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2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3.6170165509940122E-2</c:v>
                </c:pt>
                <c:pt idx="1">
                  <c:v>3.6824371309404413E-2</c:v>
                </c:pt>
                <c:pt idx="2">
                  <c:v>3.7414885194446024E-2</c:v>
                </c:pt>
                <c:pt idx="3">
                  <c:v>3.8068246132289318E-2</c:v>
                </c:pt>
                <c:pt idx="4">
                  <c:v>3.8700108662394483E-2</c:v>
                </c:pt>
                <c:pt idx="5">
                  <c:v>3.9352597246409049E-2</c:v>
                </c:pt>
                <c:pt idx="6">
                  <c:v>3.9983616126908816E-2</c:v>
                </c:pt>
                <c:pt idx="7">
                  <c:v>4.0635233521843284E-2</c:v>
                </c:pt>
                <c:pt idx="8">
                  <c:v>4.1286408627212112E-2</c:v>
                </c:pt>
                <c:pt idx="9">
                  <c:v>4.1916157248208741E-2</c:v>
                </c:pt>
                <c:pt idx="10">
                  <c:v>4.2566462918226522E-2</c:v>
                </c:pt>
                <c:pt idx="11">
                  <c:v>4.3195370712064918E-2</c:v>
                </c:pt>
                <c:pt idx="12">
                  <c:v>4.3844808107583622E-2</c:v>
                </c:pt>
                <c:pt idx="13">
                  <c:v>4.4493804693225503E-2</c:v>
                </c:pt>
                <c:pt idx="14">
                  <c:v>4.5079616521063182E-2</c:v>
                </c:pt>
                <c:pt idx="15">
                  <c:v>4.5727774972424085E-2</c:v>
                </c:pt>
                <c:pt idx="16">
                  <c:v>4.6354606200409432E-2</c:v>
                </c:pt>
                <c:pt idx="17">
                  <c:v>4.7001899244192624E-2</c:v>
                </c:pt>
                <c:pt idx="18">
                  <c:v>4.7627893540261756E-2</c:v>
                </c:pt>
                <c:pt idx="19">
                  <c:v>4.8274322331941177E-2</c:v>
                </c:pt>
                <c:pt idx="20">
                  <c:v>4.8920312355853368E-2</c:v>
                </c:pt>
                <c:pt idx="21">
                  <c:v>4.9545046507054935E-2</c:v>
                </c:pt>
                <c:pt idx="22">
                  <c:v>5.0190174018628131E-2</c:v>
                </c:pt>
                <c:pt idx="23">
                  <c:v>5.0814074037886514E-2</c:v>
                </c:pt>
                <c:pt idx="24">
                  <c:v>5.1479115685447163E-2</c:v>
                </c:pt>
                <c:pt idx="25">
                  <c:v>5.2122930434925108E-2</c:v>
                </c:pt>
                <c:pt idx="26">
                  <c:v>5.2704064917793669E-2</c:v>
                </c:pt>
                <c:pt idx="27">
                  <c:v>5.3347048224974158E-2</c:v>
                </c:pt>
                <c:pt idx="28">
                  <c:v>5.3968874593461336E-2</c:v>
                </c:pt>
                <c:pt idx="29">
                  <c:v>5.4610999402808114E-2</c:v>
                </c:pt>
                <c:pt idx="30">
                  <c:v>5.5231995521762611E-2</c:v>
                </c:pt>
                <c:pt idx="31">
                  <c:v>5.5873262979523886E-2</c:v>
                </c:pt>
                <c:pt idx="32">
                  <c:v>5.6514095172807144E-2</c:v>
                </c:pt>
                <c:pt idx="33">
                  <c:v>5.7133841208371172E-2</c:v>
                </c:pt>
                <c:pt idx="34">
                  <c:v>5.7773817775942815E-2</c:v>
                </c:pt>
                <c:pt idx="35">
                  <c:v>5.8392736339590967E-2</c:v>
                </c:pt>
                <c:pt idx="36">
                  <c:v>5.9031858423864492E-2</c:v>
                </c:pt>
                <c:pt idx="37">
                  <c:v>5.9670546699846283E-2</c:v>
                </c:pt>
                <c:pt idx="38">
                  <c:v>6.0247053810436491E-2</c:v>
                </c:pt>
                <c:pt idx="39">
                  <c:v>6.088491726460743E-2</c:v>
                </c:pt>
                <c:pt idx="40">
                  <c:v>6.150179224544805E-2</c:v>
                </c:pt>
                <c:pt idx="41">
                  <c:v>6.2138804037705553E-2</c:v>
                </c:pt>
                <c:pt idx="42">
                  <c:v>6.2754855380002472E-2</c:v>
                </c:pt>
                <c:pt idx="43">
                  <c:v>6.3391016647467824E-2</c:v>
                </c:pt>
                <c:pt idx="44">
                  <c:v>6.4026746116315092E-2</c:v>
                </c:pt>
                <c:pt idx="45">
                  <c:v>6.4641557329201849E-2</c:v>
                </c:pt>
                <c:pt idx="46">
                  <c:v>6.5276437985388291E-2</c:v>
                </c:pt>
                <c:pt idx="47">
                  <c:v>6.5890428315231064E-2</c:v>
                </c:pt>
                <c:pt idx="48">
                  <c:v>6.6524461292073456E-2</c:v>
                </c:pt>
                <c:pt idx="49">
                  <c:v>6.7158063914888988E-2</c:v>
                </c:pt>
                <c:pt idx="50">
                  <c:v>6.7729980499360964E-2</c:v>
                </c:pt>
                <c:pt idx="51">
                  <c:v>6.8362764868135639E-2</c:v>
                </c:pt>
                <c:pt idx="52">
                  <c:v>6.8974727887511689E-2</c:v>
                </c:pt>
                <c:pt idx="53">
                  <c:v>6.9606667375861297E-2</c:v>
                </c:pt>
                <c:pt idx="54">
                  <c:v>7.0217813315041622E-2</c:v>
                </c:pt>
                <c:pt idx="55">
                  <c:v>7.0848909051032916E-2</c:v>
                </c:pt>
                <c:pt idx="56">
                  <c:v>7.1479576426668689E-2</c:v>
                </c:pt>
                <c:pt idx="57">
                  <c:v>7.2089492111159226E-2</c:v>
                </c:pt>
                <c:pt idx="58">
                  <c:v>7.2719317432934916E-2</c:v>
                </c:pt>
                <c:pt idx="59">
                  <c:v>7.3328418770788217E-2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5.458757906374035E-2</c:v>
                </c:pt>
                <c:pt idx="1">
                  <c:v>5.6476628794337166E-2</c:v>
                </c:pt>
                <c:pt idx="2">
                  <c:v>5.8141530150170574E-2</c:v>
                </c:pt>
                <c:pt idx="3">
                  <c:v>6.0143720239512456E-2</c:v>
                </c:pt>
                <c:pt idx="4">
                  <c:v>6.6607047182625414E-3</c:v>
                </c:pt>
                <c:pt idx="5">
                  <c:v>1.0009495776113989E-2</c:v>
                </c:pt>
                <c:pt idx="6">
                  <c:v>1.313085700518048E-2</c:v>
                </c:pt>
                <c:pt idx="7">
                  <c:v>1.6173568406996307E-2</c:v>
                </c:pt>
                <c:pt idx="8">
                  <c:v>1.9057787966346024E-2</c:v>
                </c:pt>
                <c:pt idx="9">
                  <c:v>2.1573590137228146E-2</c:v>
                </c:pt>
                <c:pt idx="10">
                  <c:v>2.3805361258992141E-2</c:v>
                </c:pt>
                <c:pt idx="11">
                  <c:v>2.6015727795686928E-2</c:v>
                </c:pt>
                <c:pt idx="12">
                  <c:v>2.8446668955066298E-2</c:v>
                </c:pt>
                <c:pt idx="13">
                  <c:v>3.0847104009494364E-2</c:v>
                </c:pt>
                <c:pt idx="14">
                  <c:v>3.2965395814420463E-2</c:v>
                </c:pt>
                <c:pt idx="15">
                  <c:v>3.5378051512030974E-2</c:v>
                </c:pt>
                <c:pt idx="16">
                  <c:v>3.8073359861612407E-2</c:v>
                </c:pt>
                <c:pt idx="17">
                  <c:v>4.1057350839298339E-2</c:v>
                </c:pt>
                <c:pt idx="18">
                  <c:v>4.348567393215607E-2</c:v>
                </c:pt>
                <c:pt idx="19">
                  <c:v>4.5576500563323449E-2</c:v>
                </c:pt>
                <c:pt idx="20">
                  <c:v>4.7444790218336926E-2</c:v>
                </c:pt>
                <c:pt idx="21">
                  <c:v>4.8796845004440564E-2</c:v>
                </c:pt>
                <c:pt idx="22">
                  <c:v>4.9635736036989883E-2</c:v>
                </c:pt>
                <c:pt idx="23">
                  <c:v>5.077964837683293E-2</c:v>
                </c:pt>
                <c:pt idx="24">
                  <c:v>5.2444993686297459E-2</c:v>
                </c:pt>
                <c:pt idx="25">
                  <c:v>5.4093260317043479E-2</c:v>
                </c:pt>
                <c:pt idx="26">
                  <c:v>5.5562654652085555E-2</c:v>
                </c:pt>
                <c:pt idx="27">
                  <c:v>5.7361712230781799E-2</c:v>
                </c:pt>
                <c:pt idx="28">
                  <c:v>6.6607047182625414E-3</c:v>
                </c:pt>
                <c:pt idx="29">
                  <c:v>1.0009495776113989E-2</c:v>
                </c:pt>
                <c:pt idx="30">
                  <c:v>1.313085700518048E-2</c:v>
                </c:pt>
                <c:pt idx="31">
                  <c:v>1.6173568406996307E-2</c:v>
                </c:pt>
                <c:pt idx="32">
                  <c:v>1.9057787966346024E-2</c:v>
                </c:pt>
                <c:pt idx="33">
                  <c:v>2.1573590137228146E-2</c:v>
                </c:pt>
                <c:pt idx="34">
                  <c:v>2.3805361258992141E-2</c:v>
                </c:pt>
                <c:pt idx="35">
                  <c:v>2.6015727795686928E-2</c:v>
                </c:pt>
                <c:pt idx="36">
                  <c:v>2.8446668955066298E-2</c:v>
                </c:pt>
                <c:pt idx="37">
                  <c:v>3.0847104009494364E-2</c:v>
                </c:pt>
                <c:pt idx="38">
                  <c:v>3.2965395814420463E-2</c:v>
                </c:pt>
                <c:pt idx="39">
                  <c:v>3.5378051512030974E-2</c:v>
                </c:pt>
                <c:pt idx="40">
                  <c:v>3.8073359861612407E-2</c:v>
                </c:pt>
                <c:pt idx="41">
                  <c:v>4.1057350839298339E-2</c:v>
                </c:pt>
                <c:pt idx="42">
                  <c:v>4.348567393215607E-2</c:v>
                </c:pt>
                <c:pt idx="43">
                  <c:v>4.5576500563323449E-2</c:v>
                </c:pt>
                <c:pt idx="44">
                  <c:v>4.7444790218336926E-2</c:v>
                </c:pt>
                <c:pt idx="45">
                  <c:v>4.8796845004440564E-2</c:v>
                </c:pt>
                <c:pt idx="46">
                  <c:v>4.9635736036989883E-2</c:v>
                </c:pt>
                <c:pt idx="47">
                  <c:v>5.077964837683293E-2</c:v>
                </c:pt>
                <c:pt idx="48">
                  <c:v>5.239095385366746E-2</c:v>
                </c:pt>
                <c:pt idx="49">
                  <c:v>5.4040914229963662E-2</c:v>
                </c:pt>
                <c:pt idx="50">
                  <c:v>5.5511769763279338E-2</c:v>
                </c:pt>
                <c:pt idx="51">
                  <c:v>5.7312209052574954E-2</c:v>
                </c:pt>
                <c:pt idx="52">
                  <c:v>6.6607047182625414E-3</c:v>
                </c:pt>
                <c:pt idx="53">
                  <c:v>1.0009495776113989E-2</c:v>
                </c:pt>
                <c:pt idx="54">
                  <c:v>1.313085700518048E-2</c:v>
                </c:pt>
                <c:pt idx="55">
                  <c:v>1.6173568406996307E-2</c:v>
                </c:pt>
                <c:pt idx="56">
                  <c:v>1.9057787966346024E-2</c:v>
                </c:pt>
                <c:pt idx="57">
                  <c:v>2.1573590137228146E-2</c:v>
                </c:pt>
                <c:pt idx="58">
                  <c:v>2.3805361258992141E-2</c:v>
                </c:pt>
                <c:pt idx="59">
                  <c:v>2.6015727795686928E-2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3.9610243284042633E-4</c:v>
                </c:pt>
                <c:pt idx="1">
                  <c:v>1.5940704174835892E-4</c:v>
                </c:pt>
                <c:pt idx="2">
                  <c:v>7.8425582369335802E-5</c:v>
                </c:pt>
                <c:pt idx="3">
                  <c:v>7.2160729546568929E-6</c:v>
                </c:pt>
                <c:pt idx="4">
                  <c:v>1.9604389711942472E-4</c:v>
                </c:pt>
                <c:pt idx="5">
                  <c:v>7.9989610793033999E-5</c:v>
                </c:pt>
                <c:pt idx="6">
                  <c:v>2.2009095347964242E-4</c:v>
                </c:pt>
                <c:pt idx="7">
                  <c:v>8.7534246705885964E-5</c:v>
                </c:pt>
                <c:pt idx="8">
                  <c:v>1.9975135012615004E-5</c:v>
                </c:pt>
                <c:pt idx="9">
                  <c:v>4.437344335249341E-4</c:v>
                </c:pt>
                <c:pt idx="10">
                  <c:v>4.0654523345141062E-4</c:v>
                </c:pt>
                <c:pt idx="11">
                  <c:v>6.4459845403314108E-4</c:v>
                </c:pt>
                <c:pt idx="12">
                  <c:v>5.097637189674716E-4</c:v>
                </c:pt>
                <c:pt idx="13">
                  <c:v>2.010414492224515E-4</c:v>
                </c:pt>
                <c:pt idx="14">
                  <c:v>1.1585992863226694E-4</c:v>
                </c:pt>
                <c:pt idx="15">
                  <c:v>9.7030618688882441E-6</c:v>
                </c:pt>
                <c:pt idx="16">
                  <c:v>2.428718688621947E-4</c:v>
                </c:pt>
                <c:pt idx="17">
                  <c:v>1.0576648095736827E-4</c:v>
                </c:pt>
                <c:pt idx="18">
                  <c:v>3.1906681455454432E-4</c:v>
                </c:pt>
                <c:pt idx="19">
                  <c:v>1.11429719063795E-4</c:v>
                </c:pt>
                <c:pt idx="20">
                  <c:v>5.702717961173327E-5</c:v>
                </c:pt>
                <c:pt idx="21">
                  <c:v>5.9966667947928382E-4</c:v>
                </c:pt>
                <c:pt idx="22">
                  <c:v>5.6193620653580416E-4</c:v>
                </c:pt>
                <c:pt idx="23">
                  <c:v>8.1552542902571501E-4</c:v>
                </c:pt>
                <c:pt idx="24">
                  <c:v>6.5524178661623697E-4</c:v>
                </c:pt>
                <c:pt idx="25">
                  <c:v>2.6937979323633272E-4</c:v>
                </c:pt>
                <c:pt idx="26">
                  <c:v>2.3246912327997714E-4</c:v>
                </c:pt>
                <c:pt idx="27">
                  <c:v>4.5062138877446679E-8</c:v>
                </c:pt>
                <c:pt idx="28">
                  <c:v>6.4990788501831246E-6</c:v>
                </c:pt>
                <c:pt idx="29">
                  <c:v>5.5054004459030325E-6</c:v>
                </c:pt>
                <c:pt idx="30">
                  <c:v>1.9922365959529167E-5</c:v>
                </c:pt>
                <c:pt idx="31">
                  <c:v>1.1655602746795813E-5</c:v>
                </c:pt>
                <c:pt idx="32">
                  <c:v>3.031744014147661E-7</c:v>
                </c:pt>
                <c:pt idx="33">
                  <c:v>3.2520873647210436E-5</c:v>
                </c:pt>
                <c:pt idx="34">
                  <c:v>3.7863292247639689E-5</c:v>
                </c:pt>
                <c:pt idx="35">
                  <c:v>6.4856865458950942E-5</c:v>
                </c:pt>
                <c:pt idx="36">
                  <c:v>5.1337119110797519E-5</c:v>
                </c:pt>
                <c:pt idx="37">
                  <c:v>2.3875535011230506E-5</c:v>
                </c:pt>
                <c:pt idx="38">
                  <c:v>1.9294745397399802E-6</c:v>
                </c:pt>
                <c:pt idx="39">
                  <c:v>1.1551803644347876E-6</c:v>
                </c:pt>
                <c:pt idx="40">
                  <c:v>3.8525898491295058E-5</c:v>
                </c:pt>
                <c:pt idx="41">
                  <c:v>1.6530067503256144E-5</c:v>
                </c:pt>
                <c:pt idx="42">
                  <c:v>4.6291474336173944E-5</c:v>
                </c:pt>
                <c:pt idx="43">
                  <c:v>2.4778307742372098E-5</c:v>
                </c:pt>
                <c:pt idx="44">
                  <c:v>6.2985765967120292E-7</c:v>
                </c:pt>
                <c:pt idx="45">
                  <c:v>6.6959305611050362E-5</c:v>
                </c:pt>
                <c:pt idx="46">
                  <c:v>7.7817816734918307E-5</c:v>
                </c:pt>
                <c:pt idx="47">
                  <c:v>1.3324339945902774E-4</c:v>
                </c:pt>
                <c:pt idx="48">
                  <c:v>1.0540027095561374E-4</c:v>
                </c:pt>
                <c:pt idx="49">
                  <c:v>4.8829383263441162E-5</c:v>
                </c:pt>
                <c:pt idx="50">
                  <c:v>3.9105124647650152E-6</c:v>
                </c:pt>
                <c:pt idx="51">
                  <c:v>2.2704840824865122E-6</c:v>
                </c:pt>
                <c:pt idx="52">
                  <c:v>7.1780376417150834E-5</c:v>
                </c:pt>
                <c:pt idx="53">
                  <c:v>2.9025148275177334E-5</c:v>
                </c:pt>
                <c:pt idx="54">
                  <c:v>8.055785817232214E-5</c:v>
                </c:pt>
                <c:pt idx="55">
                  <c:v>3.8723987345267897E-5</c:v>
                </c:pt>
                <c:pt idx="56">
                  <c:v>1.939002029396691E-6</c:v>
                </c:pt>
                <c:pt idx="57">
                  <c:v>1.4740642098843315E-4</c:v>
                </c:pt>
                <c:pt idx="58">
                  <c:v>1.4560529282971204E-4</c:v>
                </c:pt>
                <c:pt idx="59">
                  <c:v>2.4269005015989774E-4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531776"/>
        <c:axId val="372530992"/>
      </c:lineChart>
      <c:dateAx>
        <c:axId val="372531776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099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72530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177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1.5330789122347532E-4</c:v>
                </c:pt>
                <c:pt idx="6">
                  <c:v>8.100755444928609E-4</c:v>
                </c:pt>
                <c:pt idx="7">
                  <c:v>1.4882822361241832E-3</c:v>
                </c:pt>
                <c:pt idx="8">
                  <c:v>2.166028590531055E-3</c:v>
                </c:pt>
                <c:pt idx="9">
                  <c:v>2.8214741512629926E-3</c:v>
                </c:pt>
                <c:pt idx="10">
                  <c:v>3.4983155929440013E-3</c:v>
                </c:pt>
                <c:pt idx="11">
                  <c:v>4.1528860165024328E-3</c:v>
                </c:pt>
                <c:pt idx="12">
                  <c:v>4.828823753678213E-3</c:v>
                </c:pt>
                <c:pt idx="13">
                  <c:v>5.5043026936972828E-3</c:v>
                </c:pt>
                <c:pt idx="14">
                  <c:v>6.1140186171284583E-3</c:v>
                </c:pt>
                <c:pt idx="15">
                  <c:v>6.788625222734157E-3</c:v>
                </c:pt>
                <c:pt idx="16">
                  <c:v>7.4410343460141748E-3</c:v>
                </c:pt>
                <c:pt idx="17">
                  <c:v>8.1147402310209893E-3</c:v>
                </c:pt>
                <c:pt idx="18">
                  <c:v>8.7662782713150422E-3</c:v>
                </c:pt>
                <c:pt idx="19">
                  <c:v>9.4390846383460847E-3</c:v>
                </c:pt>
                <c:pt idx="20">
                  <c:v>1.0111434333658353E-2</c:v>
                </c:pt>
                <c:pt idx="21">
                  <c:v>1.076166080877905E-2</c:v>
                </c:pt>
                <c:pt idx="22">
                  <c:v>1.1433112796871647E-2</c:v>
                </c:pt>
                <c:pt idx="23">
                  <c:v>1.2082471103232573E-2</c:v>
                </c:pt>
                <c:pt idx="24">
                  <c:v>1.2753026582705385E-2</c:v>
                </c:pt>
                <c:pt idx="25">
                  <c:v>1.3423126918263972E-2</c:v>
                </c:pt>
                <c:pt idx="26">
                  <c:v>1.4027987885321114E-2</c:v>
                </c:pt>
                <c:pt idx="27">
                  <c:v>1.4697222832562806E-2</c:v>
                </c:pt>
                <c:pt idx="28">
                  <c:v>1.5344437048329551E-2</c:v>
                </c:pt>
                <c:pt idx="29">
                  <c:v>1.6012778447097809E-2</c:v>
                </c:pt>
                <c:pt idx="30">
                  <c:v>1.6659128516010369E-2</c:v>
                </c:pt>
                <c:pt idx="31">
                  <c:v>1.7326577559352629E-2</c:v>
                </c:pt>
                <c:pt idx="32">
                  <c:v>1.7993573567294363E-2</c:v>
                </c:pt>
                <c:pt idx="33">
                  <c:v>1.8638622514572045E-2</c:v>
                </c:pt>
                <c:pt idx="34">
                  <c:v>1.9304727963425306E-2</c:v>
                </c:pt>
                <c:pt idx="35">
                  <c:v>1.9948915654869781E-2</c:v>
                </c:pt>
                <c:pt idx="36">
                  <c:v>2.0635582797733032E-2</c:v>
                </c:pt>
                <c:pt idx="37">
                  <c:v>2.1300332796742594E-2</c:v>
                </c:pt>
                <c:pt idx="38">
                  <c:v>2.1900364323240828E-2</c:v>
                </c:pt>
                <c:pt idx="39">
                  <c:v>2.2564255843523728E-2</c:v>
                </c:pt>
                <c:pt idx="40">
                  <c:v>2.3206302454247041E-2</c:v>
                </c:pt>
                <c:pt idx="41">
                  <c:v>2.3869307560488329E-2</c:v>
                </c:pt>
                <c:pt idx="42">
                  <c:v>2.4510496924035396E-2</c:v>
                </c:pt>
                <c:pt idx="43">
                  <c:v>2.5172616799756464E-2</c:v>
                </c:pt>
                <c:pt idx="44">
                  <c:v>2.5834287257284427E-2</c:v>
                </c:pt>
                <c:pt idx="45">
                  <c:v>2.6474185887847779E-2</c:v>
                </c:pt>
                <c:pt idx="46">
                  <c:v>2.7134972896850518E-2</c:v>
                </c:pt>
                <c:pt idx="47">
                  <c:v>2.7774017148175623E-2</c:v>
                </c:pt>
                <c:pt idx="48">
                  <c:v>2.8433921888215141E-2</c:v>
                </c:pt>
                <c:pt idx="49">
                  <c:v>2.9093378713599405E-2</c:v>
                </c:pt>
                <c:pt idx="50">
                  <c:v>2.9688632397216641E-2</c:v>
                </c:pt>
                <c:pt idx="51">
                  <c:v>3.0347237579642639E-2</c:v>
                </c:pt>
                <c:pt idx="52">
                  <c:v>3.0984171795945259E-2</c:v>
                </c:pt>
                <c:pt idx="53">
                  <c:v>3.1641897622536996E-2</c:v>
                </c:pt>
                <c:pt idx="54">
                  <c:v>3.2277981417625168E-2</c:v>
                </c:pt>
                <c:pt idx="55">
                  <c:v>3.2934829062480242E-2</c:v>
                </c:pt>
                <c:pt idx="56">
                  <c:v>3.3591230867703437E-2</c:v>
                </c:pt>
                <c:pt idx="57">
                  <c:v>3.4226034207466949E-2</c:v>
                </c:pt>
                <c:pt idx="58">
                  <c:v>3.4881559598758938E-2</c:v>
                </c:pt>
                <c:pt idx="59">
                  <c:v>3.5515515362409711E-2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4.6431022939271712E-4</c:v>
                </c:pt>
                <c:pt idx="6">
                  <c:v>2.4409811293287236E-3</c:v>
                </c:pt>
                <c:pt idx="7">
                  <c:v>4.4235219949964192E-3</c:v>
                </c:pt>
                <c:pt idx="8">
                  <c:v>6.3297407202105097E-3</c:v>
                </c:pt>
                <c:pt idx="9">
                  <c:v>8.0482361801202697E-3</c:v>
                </c:pt>
                <c:pt idx="10">
                  <c:v>9.643645703789297E-3</c:v>
                </c:pt>
                <c:pt idx="11">
                  <c:v>1.1172709492835699E-2</c:v>
                </c:pt>
                <c:pt idx="12">
                  <c:v>1.2795470364212238E-2</c:v>
                </c:pt>
                <c:pt idx="13">
                  <c:v>1.4392634780729977E-2</c:v>
                </c:pt>
                <c:pt idx="14">
                  <c:v>1.5804027242006285E-2</c:v>
                </c:pt>
                <c:pt idx="15">
                  <c:v>1.7393019248029599E-2</c:v>
                </c:pt>
                <c:pt idx="16">
                  <c:v>1.9108365350724466E-2</c:v>
                </c:pt>
                <c:pt idx="17">
                  <c:v>2.0987295406685477E-2</c:v>
                </c:pt>
                <c:pt idx="18">
                  <c:v>2.257469335652959E-2</c:v>
                </c:pt>
                <c:pt idx="19">
                  <c:v>2.3995006470770259E-2</c:v>
                </c:pt>
                <c:pt idx="20">
                  <c:v>2.5291976611363797E-2</c:v>
                </c:pt>
                <c:pt idx="21">
                  <c:v>2.6295484055748303E-2</c:v>
                </c:pt>
                <c:pt idx="22">
                  <c:v>2.7018649850843481E-2</c:v>
                </c:pt>
                <c:pt idx="23">
                  <c:v>2.7887499386700789E-2</c:v>
                </c:pt>
                <c:pt idx="24">
                  <c:v>2.9014328587288998E-2</c:v>
                </c:pt>
                <c:pt idx="25">
                  <c:v>3.0158847882050904E-2</c:v>
                </c:pt>
                <c:pt idx="26">
                  <c:v>3.1179205326886873E-2</c:v>
                </c:pt>
                <c:pt idx="27">
                  <c:v>3.2937449511755881E-2</c:v>
                </c:pt>
                <c:pt idx="28">
                  <c:v>3.5701706956367839E-2</c:v>
                </c:pt>
                <c:pt idx="29">
                  <c:v>3.8753574703513129E-2</c:v>
                </c:pt>
                <c:pt idx="30">
                  <c:v>4.1280366526841784E-2</c:v>
                </c:pt>
                <c:pt idx="31">
                  <c:v>4.3496639489591774E-2</c:v>
                </c:pt>
                <c:pt idx="32">
                  <c:v>4.5500484253089876E-2</c:v>
                </c:pt>
                <c:pt idx="33">
                  <c:v>4.7000188737680658E-2</c:v>
                </c:pt>
                <c:pt idx="34">
                  <c:v>4.8006579340638705E-2</c:v>
                </c:pt>
                <c:pt idx="35">
                  <c:v>4.9296468181889486E-2</c:v>
                </c:pt>
                <c:pt idx="36">
                  <c:v>5.1102793913969678E-2</c:v>
                </c:pt>
                <c:pt idx="37">
                  <c:v>5.2887170691578035E-2</c:v>
                </c:pt>
                <c:pt idx="38">
                  <c:v>5.4480621028373762E-2</c:v>
                </c:pt>
                <c:pt idx="39">
                  <c:v>5.6415120448186293E-2</c:v>
                </c:pt>
                <c:pt idx="40">
                  <c:v>7.2016351308054798E-3</c:v>
                </c:pt>
                <c:pt idx="41">
                  <c:v>1.0048784539183489E-2</c:v>
                </c:pt>
                <c:pt idx="42">
                  <c:v>1.2694579462185033E-2</c:v>
                </c:pt>
                <c:pt idx="43">
                  <c:v>1.5269665097068671E-2</c:v>
                </c:pt>
                <c:pt idx="44">
                  <c:v>1.7714215735472411E-2</c:v>
                </c:pt>
                <c:pt idx="45">
                  <c:v>1.9842233974193449E-2</c:v>
                </c:pt>
                <c:pt idx="46">
                  <c:v>2.1722499647914645E-2</c:v>
                </c:pt>
                <c:pt idx="47">
                  <c:v>2.3604950117784192E-2</c:v>
                </c:pt>
                <c:pt idx="48">
                  <c:v>2.5696382573616009E-2</c:v>
                </c:pt>
                <c:pt idx="49">
                  <c:v>2.8231414057602319E-2</c:v>
                </c:pt>
                <c:pt idx="50">
                  <c:v>3.0946783342177493E-2</c:v>
                </c:pt>
                <c:pt idx="51">
                  <c:v>3.3966796260594526E-2</c:v>
                </c:pt>
                <c:pt idx="52">
                  <c:v>3.7198791421628546E-2</c:v>
                </c:pt>
                <c:pt idx="53">
                  <c:v>4.0706295078978397E-2</c:v>
                </c:pt>
                <c:pt idx="54">
                  <c:v>4.3616597060136271E-2</c:v>
                </c:pt>
                <c:pt idx="55">
                  <c:v>4.6166238710823641E-2</c:v>
                </c:pt>
                <c:pt idx="56">
                  <c:v>4.8449541135529003E-2</c:v>
                </c:pt>
                <c:pt idx="57">
                  <c:v>5.0153853574987375E-2</c:v>
                </c:pt>
                <c:pt idx="58">
                  <c:v>5.1298566191706862E-2</c:v>
                </c:pt>
                <c:pt idx="59">
                  <c:v>5.2712140833288783E-2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4.1435007733138547E-8</c:v>
                </c:pt>
                <c:pt idx="1">
                  <c:v>1.6878591957190173E-7</c:v>
                </c:pt>
                <c:pt idx="2">
                  <c:v>4.744141382850744E-8</c:v>
                </c:pt>
                <c:pt idx="3">
                  <c:v>1.005416582370877E-7</c:v>
                </c:pt>
                <c:pt idx="4">
                  <c:v>8.0996584275652909E-6</c:v>
                </c:pt>
                <c:pt idx="5">
                  <c:v>6.0563716986585196E-6</c:v>
                </c:pt>
                <c:pt idx="6">
                  <c:v>2.1240194479950102E-5</c:v>
                </c:pt>
                <c:pt idx="7">
                  <c:v>1.2311426017769877E-5</c:v>
                </c:pt>
                <c:pt idx="8">
                  <c:v>3.1950079776936114E-7</c:v>
                </c:pt>
                <c:pt idx="9">
                  <c:v>3.4241976507128217E-5</c:v>
                </c:pt>
                <c:pt idx="10">
                  <c:v>3.9860068594307075E-5</c:v>
                </c:pt>
                <c:pt idx="11">
                  <c:v>6.8274566339495717E-5</c:v>
                </c:pt>
                <c:pt idx="12">
                  <c:v>5.4038991407247624E-5</c:v>
                </c:pt>
                <c:pt idx="13">
                  <c:v>2.5122634171782563E-5</c:v>
                </c:pt>
                <c:pt idx="14">
                  <c:v>2.0284793388535445E-6</c:v>
                </c:pt>
                <c:pt idx="15">
                  <c:v>1.2106598837944286E-6</c:v>
                </c:pt>
                <c:pt idx="16">
                  <c:v>4.0126478068677251E-5</c:v>
                </c:pt>
                <c:pt idx="17">
                  <c:v>1.7081038756011629E-5</c:v>
                </c:pt>
                <c:pt idx="18">
                  <c:v>4.760930285659491E-5</c:v>
                </c:pt>
                <c:pt idx="19">
                  <c:v>2.5434131013346175E-5</c:v>
                </c:pt>
                <c:pt idx="20">
                  <c:v>6.461840560257979E-7</c:v>
                </c:pt>
                <c:pt idx="21">
                  <c:v>6.8680408470968109E-5</c:v>
                </c:pt>
                <c:pt idx="22">
                  <c:v>7.9814593081585679E-5</c:v>
                </c:pt>
                <c:pt idx="23">
                  <c:v>1.3666110033957248E-4</c:v>
                </c:pt>
                <c:pt idx="24">
                  <c:v>1.0810214325206389E-4</c:v>
                </c:pt>
                <c:pt idx="25">
                  <c:v>5.009593891690376E-5</c:v>
                </c:pt>
                <c:pt idx="26">
                  <c:v>4.3609294471760607E-6</c:v>
                </c:pt>
                <c:pt idx="27">
                  <c:v>2.3334586937173329E-6</c:v>
                </c:pt>
                <c:pt idx="28">
                  <c:v>7.3688431541984008E-5</c:v>
                </c:pt>
                <c:pt idx="29">
                  <c:v>2.9724410870936343E-5</c:v>
                </c:pt>
                <c:pt idx="30">
                  <c:v>8.2399822894194363E-5</c:v>
                </c:pt>
                <c:pt idx="31">
                  <c:v>3.9426401311730509E-5</c:v>
                </c:pt>
                <c:pt idx="32">
                  <c:v>2.0083019596102533E-6</c:v>
                </c:pt>
                <c:pt idx="33">
                  <c:v>1.5157430342863253E-4</c:v>
                </c:pt>
                <c:pt idx="34">
                  <c:v>1.4907616556284408E-4</c:v>
                </c:pt>
                <c:pt idx="35">
                  <c:v>2.4827991970209813E-4</c:v>
                </c:pt>
                <c:pt idx="36">
                  <c:v>1.9525745611110383E-4</c:v>
                </c:pt>
                <c:pt idx="37">
                  <c:v>8.3955085099751185E-5</c:v>
                </c:pt>
                <c:pt idx="38">
                  <c:v>2.3338313871890215E-5</c:v>
                </c:pt>
                <c:pt idx="39">
                  <c:v>3.5935500658422817E-6</c:v>
                </c:pt>
                <c:pt idx="40">
                  <c:v>1.1186768748893185E-4</c:v>
                </c:pt>
                <c:pt idx="41">
                  <c:v>4.3716315648815631E-5</c:v>
                </c:pt>
                <c:pt idx="42">
                  <c:v>1.1925664199042257E-4</c:v>
                </c:pt>
                <c:pt idx="43">
                  <c:v>5.3481363486176086E-5</c:v>
                </c:pt>
                <c:pt idx="44">
                  <c:v>3.3949598911836507E-6</c:v>
                </c:pt>
                <c:pt idx="45">
                  <c:v>2.349716059332298E-4</c:v>
                </c:pt>
                <c:pt idx="46">
                  <c:v>2.1852664249763073E-4</c:v>
                </c:pt>
                <c:pt idx="47">
                  <c:v>3.6013049319135907E-4</c:v>
                </c:pt>
                <c:pt idx="48">
                  <c:v>2.8255024663300618E-4</c:v>
                </c:pt>
                <c:pt idx="49">
                  <c:v>1.1783108874033658E-4</c:v>
                </c:pt>
                <c:pt idx="50">
                  <c:v>4.2662744893979478E-5</c:v>
                </c:pt>
                <c:pt idx="51">
                  <c:v>4.9395802593220417E-6</c:v>
                </c:pt>
                <c:pt idx="52">
                  <c:v>1.5160806094519693E-4</c:v>
                </c:pt>
                <c:pt idx="53">
                  <c:v>6.0634167818528648E-5</c:v>
                </c:pt>
                <c:pt idx="54">
                  <c:v>1.6819198598215515E-4</c:v>
                </c:pt>
                <c:pt idx="55">
                  <c:v>7.0404416159857401E-5</c:v>
                </c:pt>
                <c:pt idx="56">
                  <c:v>1.1604198020280126E-5</c:v>
                </c:pt>
                <c:pt idx="57">
                  <c:v>3.3924457695798111E-4</c:v>
                </c:pt>
                <c:pt idx="58">
                  <c:v>3.1245703901439104E-4</c:v>
                </c:pt>
                <c:pt idx="59">
                  <c:v>5.0228324882412077E-4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530208"/>
        <c:axId val="358957440"/>
      </c:lineChart>
      <c:dateAx>
        <c:axId val="372530208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95744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589574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020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33930" y="1095374"/>
            <a:ext cx="574579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8" sqref="M1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0">
        <f>Tmaj</f>
        <v>44926</v>
      </c>
      <c r="D2" s="1210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1" t="str">
        <f>Station</f>
        <v>Garderie Labège</v>
      </c>
      <c r="D3" s="1212"/>
      <c r="E3" s="1212"/>
      <c r="F3" s="1212"/>
      <c r="G3" s="1212"/>
      <c r="H3" s="1213"/>
      <c r="K3" s="21"/>
      <c r="L3" s="30"/>
      <c r="M3" s="30"/>
      <c r="N3" s="209" t="s">
        <v>166</v>
      </c>
      <c r="O3" s="716">
        <f>Salim_i</f>
        <v>7.0000000000000007E-2</v>
      </c>
      <c r="P3" s="450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4">
        <f>T0</f>
        <v>43259</v>
      </c>
      <c r="D4" s="1215"/>
      <c r="H4" s="33" t="s">
        <v>304</v>
      </c>
      <c r="I4" s="658">
        <f>Azi_pvG</f>
        <v>-39</v>
      </c>
      <c r="J4" s="658">
        <f>Azi_pvD</f>
        <v>51</v>
      </c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08">
        <f>Tservice</f>
        <v>43301</v>
      </c>
      <c r="D5" s="1209"/>
      <c r="E5" s="95"/>
      <c r="H5" s="33" t="s">
        <v>15</v>
      </c>
      <c r="I5" s="659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2">
        <f>Pc</f>
        <v>9</v>
      </c>
      <c r="D6" s="561"/>
      <c r="E6" s="132"/>
      <c r="F6" s="562"/>
      <c r="G6" s="562"/>
      <c r="H6" s="563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6"/>
      <c r="B7" s="535"/>
      <c r="C7" s="52"/>
      <c r="D7" s="827"/>
      <c r="E7" s="29"/>
      <c r="F7" s="535"/>
      <c r="G7" s="535"/>
      <c r="H7" s="694"/>
      <c r="I7" s="535"/>
      <c r="J7" s="22" t="s">
        <v>376</v>
      </c>
      <c r="K7" s="1216" t="s">
        <v>374</v>
      </c>
      <c r="L7" s="1217"/>
      <c r="M7" s="1198" t="b">
        <f>IF(K7="début",TRUE,FALSE)</f>
        <v>0</v>
      </c>
      <c r="N7" s="801"/>
      <c r="O7" s="30"/>
      <c r="P7" s="30"/>
      <c r="Q7" s="535"/>
      <c r="R7" s="535"/>
      <c r="S7" s="535"/>
      <c r="T7" s="535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Garderie Labège (kWh)</v>
      </c>
      <c r="B8" s="132"/>
      <c r="C8" s="133"/>
      <c r="D8" s="564"/>
      <c r="E8" s="561"/>
      <c r="F8" s="132"/>
      <c r="G8" s="132"/>
      <c r="H8" s="62"/>
      <c r="I8" s="132"/>
      <c r="J8" s="22" t="s">
        <v>115</v>
      </c>
      <c r="K8" s="558">
        <f>[1]!Inter_net</f>
        <v>2</v>
      </c>
      <c r="L8" s="559">
        <f>[1]!Inter_tai</f>
        <v>7</v>
      </c>
      <c r="N8" s="15"/>
    </row>
    <row r="9" spans="1:29" ht="15.75" x14ac:dyDescent="0.25">
      <c r="A9" s="29" t="s">
        <v>280</v>
      </c>
      <c r="B9" s="149">
        <f>AVERAGE(B11:B30)</f>
        <v>10439.467961194601</v>
      </c>
      <c r="C9" s="880">
        <f t="shared" ref="C9:J9" si="0">AVERAGE(C11:C30)</f>
        <v>329.45372075977536</v>
      </c>
      <c r="D9" s="881">
        <f t="shared" si="0"/>
        <v>0.67896350811792494</v>
      </c>
      <c r="E9" s="149">
        <f t="shared" si="0"/>
        <v>330.1326842678933</v>
      </c>
      <c r="F9" s="149">
        <f t="shared" si="0"/>
        <v>10769.600645462493</v>
      </c>
      <c r="G9" s="149">
        <f t="shared" si="0"/>
        <v>11192.972208990761</v>
      </c>
      <c r="H9" s="887">
        <f t="shared" si="0"/>
        <v>309.54839457665213</v>
      </c>
      <c r="I9" s="888">
        <f t="shared" si="0"/>
        <v>0.72390424472171</v>
      </c>
      <c r="J9" s="149">
        <f t="shared" si="0"/>
        <v>10129.168154113629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274</v>
      </c>
      <c r="N10" s="333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4615.3260000000028</v>
      </c>
      <c r="C11" s="143">
        <f>'2018'!Wh_Psa</f>
        <v>30.609239625815459</v>
      </c>
      <c r="D11" s="329">
        <f>'2018'!Wh_Pvg</f>
        <v>6.5772109419627092E-2</v>
      </c>
      <c r="E11" s="139">
        <f t="shared" ref="E11:E16" si="1">C11+D11</f>
        <v>30.675011735235085</v>
      </c>
      <c r="F11" s="139">
        <f t="shared" ref="F11:F16" si="2">B11+E11</f>
        <v>4646.0010117352376</v>
      </c>
      <c r="G11" s="139">
        <f>'2018'!F$9</f>
        <v>4656.7264910671083</v>
      </c>
      <c r="H11" s="145">
        <f>'2018'!Wh_gain_sa</f>
        <v>0</v>
      </c>
      <c r="I11" s="329">
        <f>'2018'!Wh_gain_vg</f>
        <v>0</v>
      </c>
      <c r="J11" s="139">
        <f>'2018'!Prod_an_s</f>
        <v>4615.3260000000028</v>
      </c>
      <c r="K11" s="858" t="str">
        <f>IF('2018'!Acti_net,'2018'!Tnet,"")</f>
        <v/>
      </c>
      <c r="L11" s="859" t="str">
        <f>IF('2018'!Acti_tai,'2018'!Ttai,"")</f>
        <v/>
      </c>
      <c r="M11" s="870">
        <v>0</v>
      </c>
      <c r="N11" s="871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4"/>
      <c r="T11" s="864"/>
    </row>
    <row r="12" spans="1:29" s="19" customFormat="1" ht="12.75" x14ac:dyDescent="0.2">
      <c r="A12" s="144">
        <f>'2019'!An</f>
        <v>2019</v>
      </c>
      <c r="B12" s="137">
        <f>'2019'!Prod_an</f>
        <v>11784.139000000005</v>
      </c>
      <c r="C12" s="145">
        <f>'2019'!Wh_Psa</f>
        <v>253.32286439712462</v>
      </c>
      <c r="D12" s="330">
        <f>'2019'!Wh_Pvg</f>
        <v>0.25578101805789927</v>
      </c>
      <c r="E12" s="137">
        <f t="shared" si="1"/>
        <v>253.57864541518251</v>
      </c>
      <c r="F12" s="137">
        <f t="shared" si="2"/>
        <v>12037.717645415187</v>
      </c>
      <c r="G12" s="137">
        <f>'2019'!F$9</f>
        <v>12138.62332403917</v>
      </c>
      <c r="H12" s="145">
        <f>'2019'!Wh_gain_sa</f>
        <v>0</v>
      </c>
      <c r="I12" s="330">
        <f>'2019'!Wh_gain_vg</f>
        <v>0</v>
      </c>
      <c r="J12" s="137">
        <f>'2019'!Prod_an_s</f>
        <v>11784.139000000005</v>
      </c>
      <c r="K12" s="860" t="str">
        <f>IF('2019'!Acti_net,'2019'!Tnet,"")</f>
        <v/>
      </c>
      <c r="L12" s="861" t="str">
        <f>IF('2019'!Acti_tai,'2019'!Ttai,"")</f>
        <v/>
      </c>
      <c r="M12" s="872">
        <f>O12+P11+(K11="")*M11</f>
        <v>0</v>
      </c>
      <c r="N12" s="873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864"/>
      <c r="T12" s="864"/>
    </row>
    <row r="13" spans="1:29" s="19" customFormat="1" ht="12.75" x14ac:dyDescent="0.2">
      <c r="A13" s="144">
        <f>'2020'!An</f>
        <v>2020</v>
      </c>
      <c r="B13" s="137">
        <f>'2020'!Prod_an</f>
        <v>11260.48499999999</v>
      </c>
      <c r="C13" s="145">
        <f>'2020'!Wh_Psa</f>
        <v>457.78952847373029</v>
      </c>
      <c r="D13" s="330">
        <f>'2020'!Wh_Pvg</f>
        <v>0.45840007211875244</v>
      </c>
      <c r="E13" s="137">
        <f t="shared" si="1"/>
        <v>458.24792854584905</v>
      </c>
      <c r="F13" s="137">
        <f t="shared" si="2"/>
        <v>11718.732928545838</v>
      </c>
      <c r="G13" s="137">
        <f>'2020'!F$9</f>
        <v>11911.80531723795</v>
      </c>
      <c r="H13" s="145">
        <f>'2020'!Wh_gain_sa</f>
        <v>0</v>
      </c>
      <c r="I13" s="330">
        <f>'2020'!Wh_gain_vg</f>
        <v>0</v>
      </c>
      <c r="J13" s="137">
        <f>'2020'!Prod_an_s</f>
        <v>11260.48499999999</v>
      </c>
      <c r="K13" s="860" t="str">
        <f>IF('2020'!Acti_net,'2020'!Tnet,"")</f>
        <v/>
      </c>
      <c r="L13" s="861" t="str">
        <f>IF('2020'!Acti_tai,'2020'!Ttai,"")</f>
        <v/>
      </c>
      <c r="M13" s="872">
        <f t="shared" ref="M13:M20" si="3">O13+P12+(K12="")*M12</f>
        <v>0</v>
      </c>
      <c r="N13" s="873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864"/>
      <c r="T13" s="864"/>
    </row>
    <row r="14" spans="1:29" s="19" customFormat="1" ht="12.75" x14ac:dyDescent="0.2">
      <c r="A14" s="144">
        <f>'2021'!An</f>
        <v>2021</v>
      </c>
      <c r="B14" s="137">
        <f>'2021'!Prod_an</f>
        <v>11120.094999999999</v>
      </c>
      <c r="C14" s="145">
        <f>'2021'!Wh_Psa</f>
        <v>280.10141859979717</v>
      </c>
      <c r="D14" s="330">
        <f>'2021'!Wh_Pvg</f>
        <v>0.65631323847225664</v>
      </c>
      <c r="E14" s="137">
        <f t="shared" si="1"/>
        <v>280.75773183826942</v>
      </c>
      <c r="F14" s="137">
        <f t="shared" si="2"/>
        <v>11400.852731838269</v>
      </c>
      <c r="G14" s="137">
        <f>'2021'!F$9</f>
        <v>11682.677758308591</v>
      </c>
      <c r="H14" s="145">
        <f>'2021'!Wh_gain_sa</f>
        <v>407.63927244838794</v>
      </c>
      <c r="I14" s="330">
        <f>'2021'!Wh_gain_vg</f>
        <v>-2.4040267854287145E-2</v>
      </c>
      <c r="J14" s="137">
        <f>'2021'!Prod_an_s</f>
        <v>10712.774155783294</v>
      </c>
      <c r="K14" s="860">
        <f>IF('2021'!Acti_net,'2021'!Tnet,"")</f>
        <v>44307</v>
      </c>
      <c r="L14" s="861" t="str">
        <f>IF('2021'!Acti_tai,'2021'!Ttai,"")</f>
        <v/>
      </c>
      <c r="M14" s="872">
        <f t="shared" si="3"/>
        <v>0</v>
      </c>
      <c r="N14" s="873">
        <f>Q14+R13+(L13="")*N13</f>
        <v>0</v>
      </c>
      <c r="O14" s="370">
        <f>+'2021'!$AJ$3</f>
        <v>0</v>
      </c>
      <c r="P14" s="370">
        <f>+'2021'!$AJ$4</f>
        <v>407.28757487148368</v>
      </c>
      <c r="Q14" s="370">
        <f>+'2021'!$AK$3</f>
        <v>0</v>
      </c>
      <c r="R14" s="370">
        <f>+'2021'!$AK$4</f>
        <v>-2.4040267854287145E-2</v>
      </c>
      <c r="S14" s="864"/>
      <c r="T14" s="864"/>
    </row>
    <row r="15" spans="1:29" s="19" customFormat="1" ht="12.75" x14ac:dyDescent="0.2">
      <c r="A15" s="364">
        <f>'2022'!An</f>
        <v>2022</v>
      </c>
      <c r="B15" s="365">
        <f>'2022'!Prod_an</f>
        <v>11067.523499999998</v>
      </c>
      <c r="C15" s="366">
        <f>'2022'!Wh_Psa</f>
        <v>471.85430734159564</v>
      </c>
      <c r="D15" s="367">
        <f>'2022'!Wh_Pvg</f>
        <v>1.0086186289503065</v>
      </c>
      <c r="E15" s="365">
        <f t="shared" si="1"/>
        <v>472.86292597054597</v>
      </c>
      <c r="F15" s="365">
        <f t="shared" si="2"/>
        <v>11540.386425970544</v>
      </c>
      <c r="G15" s="365">
        <f>'2022'!F$9</f>
        <v>11920.475349619277</v>
      </c>
      <c r="H15" s="366">
        <f>'2022'!Wh_gain_sa</f>
        <v>386.73051037232443</v>
      </c>
      <c r="I15" s="367">
        <f>'2022'!Wh_gain_vg</f>
        <v>-3.5250962824366794E-2</v>
      </c>
      <c r="J15" s="365">
        <f>'2022'!Prod_an_s</f>
        <v>10680.716387521483</v>
      </c>
      <c r="K15" s="862" t="str">
        <f>IF('2022'!Acti_net,'2022'!Tnet,"")</f>
        <v/>
      </c>
      <c r="L15" s="863" t="str">
        <f>IF('2022'!Acti_tai,'2022'!Ttai,"")</f>
        <v/>
      </c>
      <c r="M15" s="874">
        <f t="shared" si="3"/>
        <v>429.15362492458934</v>
      </c>
      <c r="N15" s="875">
        <f t="shared" ref="N15:N20" si="4">Q15+R14+(L14="")*N14</f>
        <v>-2.4040267854287145E-2</v>
      </c>
      <c r="O15" s="370">
        <f>+'2022'!$AJ$3</f>
        <v>21.866050053105639</v>
      </c>
      <c r="P15" s="370">
        <f>+'2022'!$AJ$4</f>
        <v>364.87784271008547</v>
      </c>
      <c r="Q15" s="370">
        <f>+'2022'!$AK$3</f>
        <v>0</v>
      </c>
      <c r="R15" s="370">
        <f>+'2022'!$AK$4</f>
        <v>-3.5250962824366794E-2</v>
      </c>
      <c r="S15" s="864"/>
      <c r="T15" s="864"/>
    </row>
    <row r="16" spans="1:29" s="19" customFormat="1" ht="12.75" x14ac:dyDescent="0.2">
      <c r="A16" s="362">
        <f>'2023'!An</f>
        <v>2023</v>
      </c>
      <c r="B16" s="363">
        <f>'2023'!Prod_an</f>
        <v>11145.978903943727</v>
      </c>
      <c r="C16" s="145">
        <f>'2023'!Wh_Psa</f>
        <v>300.59758114897966</v>
      </c>
      <c r="D16" s="330">
        <f>'2023'!Wh_Pvg</f>
        <v>1.345326818431783</v>
      </c>
      <c r="E16" s="363">
        <f t="shared" si="1"/>
        <v>301.94290796741143</v>
      </c>
      <c r="F16" s="363">
        <f t="shared" si="2"/>
        <v>11447.921811911139</v>
      </c>
      <c r="G16" s="363">
        <f>'2023'!F$9</f>
        <v>11920.308173794914</v>
      </c>
      <c r="H16" s="145">
        <f>'2023'!Wh_gain_sa</f>
        <v>509.8149023259366</v>
      </c>
      <c r="I16" s="330">
        <f>'2023'!Wh_gain_vg</f>
        <v>-6.1513973263664923E-2</v>
      </c>
      <c r="J16" s="363">
        <f>'2023'!Prod_an_s</f>
        <v>10636.338094810231</v>
      </c>
      <c r="K16" s="860">
        <f>IF('2023'!Acti_net,'2023'!Tnet,"")</f>
        <v>45046</v>
      </c>
      <c r="L16" s="861" t="str">
        <f>IF('2023'!Acti_tai,'2023'!Ttai,"")</f>
        <v/>
      </c>
      <c r="M16" s="872">
        <f t="shared" si="3"/>
        <v>863.71379454417547</v>
      </c>
      <c r="N16" s="873">
        <f t="shared" si="4"/>
        <v>-5.9291230678653939E-2</v>
      </c>
      <c r="O16" s="370">
        <f>+'2023'!$AJ$3</f>
        <v>69.682326909500631</v>
      </c>
      <c r="P16" s="370">
        <f>+'2023'!$AJ$4</f>
        <v>439.91880488288541</v>
      </c>
      <c r="Q16" s="370">
        <f>+'2023'!$AK$3</f>
        <v>0</v>
      </c>
      <c r="R16" s="370">
        <f>+'2023'!$AK$4</f>
        <v>-6.1513973263664923E-2</v>
      </c>
      <c r="S16" s="864"/>
      <c r="T16" s="864"/>
    </row>
    <row r="17" spans="1:30" s="19" customFormat="1" ht="12.75" x14ac:dyDescent="0.2">
      <c r="A17" s="362">
        <f>'2024'!An</f>
        <v>2024</v>
      </c>
      <c r="B17" s="363">
        <f>'2024'!Prod_an</f>
        <v>10902.683460804214</v>
      </c>
      <c r="C17" s="145">
        <f>'2024'!Wh_Psa</f>
        <v>468.284141479391</v>
      </c>
      <c r="D17" s="330">
        <f>'2024'!Wh_Pvg</f>
        <v>1.7931995356714305</v>
      </c>
      <c r="E17" s="363">
        <f>C17+D17</f>
        <v>470.07734101506242</v>
      </c>
      <c r="F17" s="363">
        <f>B17+E17</f>
        <v>11372.760801819277</v>
      </c>
      <c r="G17" s="363">
        <f>'2024'!F$9</f>
        <v>11936.801885089999</v>
      </c>
      <c r="H17" s="145">
        <f>'2024'!Wh_gain_sa</f>
        <v>422.26942384406073</v>
      </c>
      <c r="I17" s="330">
        <f>'2024'!Wh_gain_vg</f>
        <v>-6.9462079684137201E-2</v>
      </c>
      <c r="J17" s="363">
        <f>'2024'!Prod_an_s</f>
        <v>10480.352843234796</v>
      </c>
      <c r="K17" s="860" t="str">
        <f>IF('2024'!Acti_net,'2024'!Tnet,"")</f>
        <v/>
      </c>
      <c r="L17" s="861" t="str">
        <f>IF('2024'!Acti_tai,'2024'!Ttai,"")</f>
        <v/>
      </c>
      <c r="M17" s="872">
        <f t="shared" si="3"/>
        <v>439.91880488288541</v>
      </c>
      <c r="N17" s="873">
        <f t="shared" si="4"/>
        <v>-0.12080520394231886</v>
      </c>
      <c r="O17" s="370">
        <f>+'2024'!$AJ$3</f>
        <v>0</v>
      </c>
      <c r="P17" s="370">
        <f>+'2024'!$AJ$4</f>
        <v>422.26942384406073</v>
      </c>
      <c r="Q17" s="370">
        <f>+'2024'!$AK$3</f>
        <v>0</v>
      </c>
      <c r="R17" s="370">
        <f>+'2024'!$AK$4</f>
        <v>-6.9462079684137201E-2</v>
      </c>
      <c r="S17" s="864"/>
      <c r="T17" s="864"/>
    </row>
    <row r="18" spans="1:30" s="19" customFormat="1" ht="12.75" x14ac:dyDescent="0.2">
      <c r="A18" s="362">
        <f>'2025'!An</f>
        <v>2025</v>
      </c>
      <c r="B18" s="363">
        <f>'2025'!Prod_an</f>
        <v>10977.687180644647</v>
      </c>
      <c r="C18" s="145">
        <f>'2025'!Wh_Psa</f>
        <v>288.26934543682796</v>
      </c>
      <c r="D18" s="330">
        <f>'2025'!Wh_Pvg</f>
        <v>0.52410322121554764</v>
      </c>
      <c r="E18" s="363">
        <f>C18+D18</f>
        <v>288.79344865804353</v>
      </c>
      <c r="F18" s="363">
        <f>B18+E18</f>
        <v>11266.48062930269</v>
      </c>
      <c r="G18" s="363">
        <f>'2025'!F$9</f>
        <v>11920.682988630282</v>
      </c>
      <c r="H18" s="145">
        <f>'2025'!Wh_gain_sa</f>
        <v>493.87653993762865</v>
      </c>
      <c r="I18" s="330">
        <f>'2025'!Wh_gain_vg</f>
        <v>1.7309531358197427</v>
      </c>
      <c r="J18" s="363">
        <f>'2025'!Prod_an_s</f>
        <v>10482.044324060316</v>
      </c>
      <c r="K18" s="860">
        <f>IF('2025'!Acti_net,'2025'!Tnet,"")</f>
        <v>45777</v>
      </c>
      <c r="L18" s="861">
        <f>IF('2025'!Acti_tai,'2025'!Ttai,"")</f>
        <v>45747</v>
      </c>
      <c r="M18" s="872">
        <f t="shared" si="3"/>
        <v>945.2130117834115</v>
      </c>
      <c r="N18" s="873">
        <f t="shared" si="4"/>
        <v>-0.20291555000126793</v>
      </c>
      <c r="O18" s="370">
        <f>+'2025'!$AJ$3</f>
        <v>83.024783056465338</v>
      </c>
      <c r="P18" s="370">
        <f>+'2025'!$AJ$4</f>
        <v>410.69816931298521</v>
      </c>
      <c r="Q18" s="370">
        <f>+'2025'!$AK$3</f>
        <v>-1.2648266374811867E-2</v>
      </c>
      <c r="R18" s="370">
        <f>+'2025'!$AK$4</f>
        <v>1.7545023831918281</v>
      </c>
      <c r="S18" s="864"/>
      <c r="T18" s="864"/>
    </row>
    <row r="19" spans="1:30" s="19" customFormat="1" ht="12.75" x14ac:dyDescent="0.2">
      <c r="A19" s="362">
        <f>'2026'!An</f>
        <v>2026</v>
      </c>
      <c r="B19" s="363">
        <f>'2026'!Prod_an</f>
        <v>10716.929027914814</v>
      </c>
      <c r="C19" s="145">
        <f>'2026'!Wh_Psa</f>
        <v>460.13841736638472</v>
      </c>
      <c r="D19" s="330">
        <f>'2026'!Wh_Pvg</f>
        <v>0.2379976954451489</v>
      </c>
      <c r="E19" s="363">
        <f>C19+D19</f>
        <v>460.37641506182985</v>
      </c>
      <c r="F19" s="363">
        <f>B19+E19</f>
        <v>11177.305442976643</v>
      </c>
      <c r="G19" s="363">
        <f>'2026'!F$9</f>
        <v>11920.863003516939</v>
      </c>
      <c r="H19" s="145">
        <f>'2026'!Wh_gain_sa</f>
        <v>393.69132976295896</v>
      </c>
      <c r="I19" s="330">
        <f>'2026'!Wh_gain_vg</f>
        <v>2.6104651102257672</v>
      </c>
      <c r="J19" s="363">
        <f>'2026'!Prod_an_s</f>
        <v>10320.346513659309</v>
      </c>
      <c r="K19" s="860" t="str">
        <f>IF('2026'!Acti_net,'2026'!Tnet,"")</f>
        <v/>
      </c>
      <c r="L19" s="861" t="str">
        <f>IF('2026'!Acti_tai,'2026'!Ttai,"")</f>
        <v/>
      </c>
      <c r="M19" s="872">
        <f t="shared" si="3"/>
        <v>410.69816931298521</v>
      </c>
      <c r="N19" s="873">
        <f t="shared" si="4"/>
        <v>1.7545023831918281</v>
      </c>
      <c r="O19" s="370">
        <f>+'2026'!$AJ$3</f>
        <v>0</v>
      </c>
      <c r="P19" s="370">
        <f>+'2026'!$AJ$4</f>
        <v>393.69132976295896</v>
      </c>
      <c r="Q19" s="370">
        <f>+'2026'!$AK$3</f>
        <v>0</v>
      </c>
      <c r="R19" s="370">
        <f>+'2026'!$AK$4</f>
        <v>2.6104651102257672</v>
      </c>
      <c r="S19" s="864"/>
      <c r="T19" s="864"/>
    </row>
    <row r="20" spans="1:30" s="19" customFormat="1" ht="12.75" x14ac:dyDescent="0.2">
      <c r="A20" s="362">
        <f>'2027'!An</f>
        <v>2027</v>
      </c>
      <c r="B20" s="363">
        <f>'2027'!Prod_an</f>
        <v>10803.832538638611</v>
      </c>
      <c r="C20" s="145">
        <f>'2027'!Wh_Psa</f>
        <v>283.57036372810734</v>
      </c>
      <c r="D20" s="330">
        <f>'2027'!Wh_Pvg</f>
        <v>0.44412274339649793</v>
      </c>
      <c r="E20" s="363">
        <f>C20+D20</f>
        <v>284.01448647150386</v>
      </c>
      <c r="F20" s="363">
        <f>B20+E20</f>
        <v>11087.847025110115</v>
      </c>
      <c r="G20" s="363">
        <f>'2027'!F$9</f>
        <v>11920.757798603372</v>
      </c>
      <c r="H20" s="145">
        <f>'2027'!Wh_gain_sa</f>
        <v>481.46196707522375</v>
      </c>
      <c r="I20" s="330">
        <f>'2027'!Wh_gain_vg</f>
        <v>3.0878914847980461</v>
      </c>
      <c r="J20" s="363">
        <f>'2027'!Prod_an_s</f>
        <v>10319.159222066852</v>
      </c>
      <c r="K20" s="860">
        <f>IF('2027'!Acti_net,'2027'!Tnet,"")</f>
        <v>46507</v>
      </c>
      <c r="L20" s="861" t="str">
        <f>IF('2027'!Acti_tai,'2027'!Ttai,"")</f>
        <v/>
      </c>
      <c r="M20" s="872">
        <f t="shared" si="3"/>
        <v>881.95160535354955</v>
      </c>
      <c r="N20" s="873">
        <f t="shared" si="4"/>
        <v>4.3649674934175948</v>
      </c>
      <c r="O20" s="370">
        <f>+'2027'!$AJ$3</f>
        <v>77.562106277605409</v>
      </c>
      <c r="P20" s="370">
        <f>+'2027'!$AJ$4</f>
        <v>403.73839927820285</v>
      </c>
      <c r="Q20" s="370">
        <f>+'2027'!$AK$3</f>
        <v>0</v>
      </c>
      <c r="R20" s="370">
        <f>+'2027'!$AK$4</f>
        <v>3.0878914847980461</v>
      </c>
      <c r="S20" s="864"/>
      <c r="T20" s="864"/>
    </row>
    <row r="21" spans="1:30" s="19" customFormat="1" ht="12.75" x14ac:dyDescent="0.2">
      <c r="A21" s="709"/>
      <c r="B21" s="710"/>
      <c r="C21" s="711"/>
      <c r="D21" s="708"/>
      <c r="E21" s="710"/>
      <c r="F21" s="710"/>
      <c r="G21" s="710"/>
      <c r="H21" s="711"/>
      <c r="I21" s="708"/>
      <c r="J21" s="710"/>
      <c r="K21" s="876"/>
      <c r="L21" s="877"/>
      <c r="M21" s="866"/>
      <c r="N21" s="867"/>
      <c r="O21" s="10"/>
      <c r="P21" s="10"/>
      <c r="Q21" s="10"/>
      <c r="R21" s="10"/>
      <c r="S21" s="864"/>
      <c r="T21" s="864"/>
    </row>
    <row r="22" spans="1:30" s="19" customFormat="1" ht="12.75" x14ac:dyDescent="0.2">
      <c r="A22" s="709"/>
      <c r="B22" s="710"/>
      <c r="C22" s="711"/>
      <c r="D22" s="708"/>
      <c r="E22" s="710"/>
      <c r="F22" s="710"/>
      <c r="G22" s="710"/>
      <c r="H22" s="711"/>
      <c r="I22" s="708"/>
      <c r="J22" s="710"/>
      <c r="K22" s="876"/>
      <c r="L22" s="877"/>
      <c r="M22" s="866"/>
      <c r="N22" s="867"/>
      <c r="O22" s="10"/>
      <c r="P22" s="865"/>
      <c r="Q22" s="10"/>
      <c r="R22" s="865"/>
      <c r="S22" s="864"/>
      <c r="T22" s="864"/>
    </row>
    <row r="23" spans="1:30" s="19" customFormat="1" ht="12.75" x14ac:dyDescent="0.2">
      <c r="A23" s="709"/>
      <c r="B23" s="710"/>
      <c r="C23" s="711"/>
      <c r="D23" s="708"/>
      <c r="E23" s="710"/>
      <c r="F23" s="710"/>
      <c r="G23" s="710"/>
      <c r="H23" s="711"/>
      <c r="I23" s="708"/>
      <c r="J23" s="710"/>
      <c r="K23" s="876"/>
      <c r="L23" s="877"/>
      <c r="M23" s="866"/>
      <c r="N23" s="867"/>
      <c r="O23" s="10"/>
      <c r="P23" s="865"/>
      <c r="Q23" s="10"/>
      <c r="S23" s="864"/>
      <c r="T23" s="864"/>
    </row>
    <row r="24" spans="1:30" s="19" customFormat="1" ht="12.75" x14ac:dyDescent="0.2">
      <c r="A24" s="709"/>
      <c r="B24" s="710"/>
      <c r="C24" s="711"/>
      <c r="D24" s="708"/>
      <c r="E24" s="710"/>
      <c r="F24" s="710"/>
      <c r="G24" s="710"/>
      <c r="H24" s="711"/>
      <c r="I24" s="708"/>
      <c r="J24" s="710"/>
      <c r="K24" s="876"/>
      <c r="L24" s="877"/>
      <c r="M24" s="866"/>
      <c r="N24" s="867"/>
      <c r="O24" s="10"/>
      <c r="P24" s="865"/>
      <c r="Q24" s="10"/>
      <c r="R24" s="865"/>
      <c r="S24" s="864"/>
      <c r="T24" s="864"/>
    </row>
    <row r="25" spans="1:30" s="19" customFormat="1" ht="12.75" x14ac:dyDescent="0.2">
      <c r="A25" s="709"/>
      <c r="B25" s="710"/>
      <c r="C25" s="711"/>
      <c r="D25" s="708"/>
      <c r="E25" s="710"/>
      <c r="F25" s="710"/>
      <c r="G25" s="710"/>
      <c r="H25" s="711"/>
      <c r="I25" s="708"/>
      <c r="J25" s="710"/>
      <c r="K25" s="876"/>
      <c r="L25" s="877"/>
      <c r="M25" s="866"/>
      <c r="N25" s="867"/>
      <c r="O25" s="10"/>
      <c r="P25" s="865"/>
      <c r="Q25" s="10"/>
      <c r="R25" s="865"/>
      <c r="S25" s="864"/>
      <c r="T25" s="864"/>
    </row>
    <row r="26" spans="1:30" s="19" customFormat="1" ht="12.75" x14ac:dyDescent="0.2">
      <c r="A26" s="709"/>
      <c r="B26" s="710"/>
      <c r="C26" s="711"/>
      <c r="D26" s="708"/>
      <c r="E26" s="710"/>
      <c r="F26" s="710"/>
      <c r="G26" s="710"/>
      <c r="H26" s="711"/>
      <c r="I26" s="708"/>
      <c r="J26" s="710"/>
      <c r="K26" s="876"/>
      <c r="L26" s="877"/>
      <c r="M26" s="866"/>
      <c r="N26" s="867"/>
      <c r="O26" s="10"/>
      <c r="P26" s="865"/>
      <c r="Q26" s="10"/>
      <c r="R26" s="865"/>
      <c r="S26" s="864"/>
      <c r="T26" s="864"/>
    </row>
    <row r="27" spans="1:30" s="19" customFormat="1" ht="12.75" x14ac:dyDescent="0.2">
      <c r="A27" s="709"/>
      <c r="B27" s="710"/>
      <c r="C27" s="711"/>
      <c r="D27" s="708"/>
      <c r="E27" s="710"/>
      <c r="F27" s="710"/>
      <c r="G27" s="710"/>
      <c r="H27" s="711"/>
      <c r="I27" s="708"/>
      <c r="J27" s="710"/>
      <c r="K27" s="876"/>
      <c r="L27" s="877"/>
      <c r="M27" s="866"/>
      <c r="N27" s="867"/>
      <c r="O27" s="10"/>
      <c r="P27" s="865"/>
      <c r="Q27" s="10"/>
      <c r="R27" s="865"/>
      <c r="S27" s="864"/>
      <c r="T27" s="864"/>
    </row>
    <row r="28" spans="1:30" s="19" customFormat="1" ht="12.75" x14ac:dyDescent="0.2">
      <c r="A28" s="709"/>
      <c r="B28" s="710"/>
      <c r="C28" s="711"/>
      <c r="D28" s="708"/>
      <c r="E28" s="710"/>
      <c r="F28" s="710"/>
      <c r="G28" s="710"/>
      <c r="H28" s="711"/>
      <c r="I28" s="708"/>
      <c r="J28" s="710"/>
      <c r="K28" s="876"/>
      <c r="L28" s="877"/>
      <c r="M28" s="866"/>
      <c r="N28" s="867"/>
      <c r="O28" s="10"/>
      <c r="P28" s="10"/>
      <c r="Q28" s="10"/>
      <c r="R28" s="10"/>
      <c r="S28" s="864"/>
      <c r="T28" s="864"/>
    </row>
    <row r="29" spans="1:30" s="19" customFormat="1" ht="12.75" x14ac:dyDescent="0.2">
      <c r="A29" s="709"/>
      <c r="B29" s="710"/>
      <c r="C29" s="711"/>
      <c r="D29" s="708"/>
      <c r="E29" s="710"/>
      <c r="F29" s="710"/>
      <c r="G29" s="710"/>
      <c r="H29" s="711"/>
      <c r="I29" s="708"/>
      <c r="J29" s="710"/>
      <c r="K29" s="876"/>
      <c r="L29" s="877"/>
      <c r="M29" s="866"/>
      <c r="N29" s="867"/>
      <c r="O29" s="10"/>
      <c r="P29" s="10"/>
      <c r="Q29" s="10"/>
      <c r="R29" s="10"/>
      <c r="S29" s="864"/>
      <c r="T29" s="864"/>
    </row>
    <row r="30" spans="1:30" s="19" customFormat="1" ht="12.75" x14ac:dyDescent="0.2">
      <c r="A30" s="712"/>
      <c r="B30" s="713"/>
      <c r="C30" s="714"/>
      <c r="D30" s="715"/>
      <c r="E30" s="713"/>
      <c r="F30" s="713"/>
      <c r="G30" s="713"/>
      <c r="H30" s="714"/>
      <c r="I30" s="715"/>
      <c r="J30" s="713"/>
      <c r="K30" s="878"/>
      <c r="L30" s="879"/>
      <c r="M30" s="868"/>
      <c r="N30" s="869"/>
      <c r="O30" s="10"/>
      <c r="P30" s="10"/>
      <c r="Q30" s="10"/>
      <c r="R30" s="10"/>
      <c r="S30" s="864"/>
      <c r="T30" s="864"/>
      <c r="AD30" s="30"/>
    </row>
    <row r="31" spans="1:30" s="4" customFormat="1" x14ac:dyDescent="0.25">
      <c r="A31" s="882" t="s">
        <v>370</v>
      </c>
      <c r="B31" s="883">
        <f>SUM(B11:B15)/1000</f>
        <v>49.847568499999994</v>
      </c>
      <c r="C31" s="884">
        <f t="shared" ref="C31:J31" si="5">SUM(C11:C15)/1000</f>
        <v>1.4936773584380629</v>
      </c>
      <c r="D31" s="885">
        <f t="shared" si="5"/>
        <v>2.4448850670188422E-3</v>
      </c>
      <c r="E31" s="883">
        <f t="shared" si="5"/>
        <v>1.4961222435050821</v>
      </c>
      <c r="F31" s="883">
        <f t="shared" si="5"/>
        <v>51.343690743505071</v>
      </c>
      <c r="G31" s="883">
        <f t="shared" si="5"/>
        <v>52.3103082402721</v>
      </c>
      <c r="H31" s="884">
        <f t="shared" si="5"/>
        <v>0.79436978282071236</v>
      </c>
      <c r="I31" s="885">
        <f t="shared" si="5"/>
        <v>-5.9291230678653939E-5</v>
      </c>
      <c r="J31" s="883">
        <f t="shared" si="5"/>
        <v>49.053440543304774</v>
      </c>
      <c r="K31" s="1195" t="s">
        <v>10</v>
      </c>
      <c r="L31" s="3"/>
      <c r="M31" s="1196" t="s">
        <v>371</v>
      </c>
      <c r="N31" s="1196" t="s">
        <v>372</v>
      </c>
      <c r="O31" s="1196" t="s">
        <v>372</v>
      </c>
      <c r="P31" s="3"/>
      <c r="Q31" s="3"/>
      <c r="R31" s="77"/>
      <c r="S31" s="134"/>
      <c r="T31" s="77"/>
      <c r="U31" s="77"/>
      <c r="V31" s="77"/>
      <c r="W31" s="77"/>
      <c r="X31" s="886"/>
      <c r="Y31" s="3"/>
      <c r="Z31" s="3"/>
      <c r="AA31" s="3"/>
      <c r="AB31" s="3"/>
    </row>
    <row r="32" spans="1:30" ht="15.75" x14ac:dyDescent="0.25">
      <c r="A32" s="1199" t="s">
        <v>375</v>
      </c>
      <c r="B32" s="1200">
        <f>IF(K16&lt;&gt;"",B15-H16-C16+C15-D16+D15,B16)</f>
        <v>10728.628615677195</v>
      </c>
      <c r="J32" s="356" t="s">
        <v>254</v>
      </c>
      <c r="K32" s="68">
        <f>[2]!Inter_net</f>
        <v>2</v>
      </c>
      <c r="L32" s="68">
        <f>[2]!Inter_tai</f>
        <v>7</v>
      </c>
      <c r="M32" s="1197">
        <f>Inter_net</f>
        <v>2</v>
      </c>
      <c r="N32" s="1197">
        <f>CHOOSE(Inter_net,N33,N34,N35,N36)</f>
        <v>436.2854295154043</v>
      </c>
      <c r="O32" s="1201">
        <f>CHOOSE(Inter_net,O33,O34,O35,O36)</f>
        <v>4.0665535656428893E-2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42">
        <f t="shared" ref="B33:J33" si="6">AVERAGE(B35:B54)</f>
        <v>3.9446163530445812E-2</v>
      </c>
      <c r="C33" s="1143">
        <f t="shared" si="6"/>
        <v>3.5401387287649591E-2</v>
      </c>
      <c r="D33" s="1144">
        <f t="shared" si="6"/>
        <v>3.063927810836285E-4</v>
      </c>
      <c r="E33" s="1142">
        <f t="shared" si="6"/>
        <v>3.7536951858455854E-2</v>
      </c>
      <c r="F33" s="1143">
        <f t="shared" si="6"/>
        <v>2.9009862569501176E-2</v>
      </c>
      <c r="G33" s="1144">
        <f t="shared" si="6"/>
        <v>5.7879632379619128E-5</v>
      </c>
      <c r="H33" s="1145">
        <f t="shared" si="6"/>
        <v>2.8030551969637284E-2</v>
      </c>
      <c r="I33" s="1146">
        <f t="shared" si="6"/>
        <v>6.0740743109004985E-5</v>
      </c>
      <c r="J33" s="1147">
        <f t="shared" si="6"/>
        <v>6.3786799672531577E-2</v>
      </c>
      <c r="K33" s="342"/>
      <c r="L33" s="21"/>
      <c r="M33" s="370">
        <v>1</v>
      </c>
      <c r="N33" s="1202">
        <f>O33*$B$32</f>
        <v>436.2854295154043</v>
      </c>
      <c r="O33" s="1203">
        <f>AVERAGE(H19:H20)/AVERAGE(B19:B20)</f>
        <v>4.0665535656428893E-2</v>
      </c>
      <c r="P33" s="15"/>
    </row>
    <row r="34" spans="1:28" s="240" customFormat="1" ht="41.25" customHeight="1" x14ac:dyDescent="0.2">
      <c r="A34" s="174" t="s">
        <v>52</v>
      </c>
      <c r="B34" s="1148" t="s">
        <v>357</v>
      </c>
      <c r="C34" s="1149" t="s">
        <v>358</v>
      </c>
      <c r="D34" s="1150" t="s">
        <v>359</v>
      </c>
      <c r="E34" s="1148" t="s">
        <v>360</v>
      </c>
      <c r="F34" s="332" t="s">
        <v>361</v>
      </c>
      <c r="G34" s="333" t="s">
        <v>362</v>
      </c>
      <c r="H34" s="332" t="s">
        <v>363</v>
      </c>
      <c r="I34" s="333" t="s">
        <v>364</v>
      </c>
      <c r="J34" s="174" t="s">
        <v>365</v>
      </c>
      <c r="K34" s="332" t="s">
        <v>366</v>
      </c>
      <c r="L34" s="332" t="s">
        <v>367</v>
      </c>
      <c r="M34" s="370">
        <v>2</v>
      </c>
      <c r="N34" s="1204">
        <f>O34*$B$32</f>
        <v>436.2854295154043</v>
      </c>
      <c r="O34" s="1205">
        <f>AVERAGE(H19:H20)/AVERAGE(B19:B20)</f>
        <v>4.0665535656428893E-2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1">
        <f>'2018'!L$379</f>
        <v>4.5018144158672779E-3</v>
      </c>
      <c r="C35" s="1152">
        <f>'2018'!O$379</f>
        <v>1.2011766341845328E-2</v>
      </c>
      <c r="D35" s="1153">
        <f>'2018'!P$379</f>
        <v>6.5410876390041239E-5</v>
      </c>
      <c r="E35" s="1151">
        <f>'2018'!Wh_Ppv/Recap!B11</f>
        <v>2.3084459283426715E-3</v>
      </c>
      <c r="F35" s="1152">
        <f>'2018'!Wh_Psa/'2018'!D$9</f>
        <v>6.6168115946364887E-3</v>
      </c>
      <c r="G35" s="1153">
        <f>'2018'!Wh_Pvg/'2018'!E$9</f>
        <v>1.4124309609182243E-5</v>
      </c>
      <c r="H35" s="1154">
        <f>H11/'2018'!Z$9</f>
        <v>0</v>
      </c>
      <c r="I35" s="1155">
        <f>I11/'2018'!AA$9</f>
        <v>0</v>
      </c>
      <c r="J35" s="1156">
        <f>1-B11/G11</f>
        <v>8.8904708375128205E-3</v>
      </c>
      <c r="K35" s="858" t="str">
        <f>K11</f>
        <v/>
      </c>
      <c r="L35" s="1157">
        <f>(K35&lt;&gt;"")*('2018'!O$383-'2018'!O$381)</f>
        <v>0</v>
      </c>
      <c r="M35" s="370">
        <v>3</v>
      </c>
      <c r="N35" s="1204">
        <f>O35*$B$32</f>
        <v>451.95427008851283</v>
      </c>
      <c r="O35" s="1205">
        <f>AVERAGE(H18:H20)/AVERAGE(B18:B20)</f>
        <v>4.2126005688005196E-2</v>
      </c>
      <c r="P35" s="370"/>
      <c r="Q35" s="370"/>
      <c r="R35" s="370"/>
      <c r="S35" s="864"/>
      <c r="T35" s="864"/>
    </row>
    <row r="36" spans="1:28" s="19" customFormat="1" ht="12.75" x14ac:dyDescent="0.2">
      <c r="A36" s="144">
        <f t="shared" ref="A36:A44" si="7">A12</f>
        <v>2019</v>
      </c>
      <c r="B36" s="1142">
        <f>'2019'!L$379</f>
        <v>1.2428621106804427E-2</v>
      </c>
      <c r="C36" s="1143">
        <f>'2019'!O$379</f>
        <v>2.8461814484812623E-2</v>
      </c>
      <c r="D36" s="1144">
        <f>'2019'!P$379</f>
        <v>1.3092123884753874E-4</v>
      </c>
      <c r="E36" s="1142">
        <f>'2019'!Wh_Ppv/Recap!B12</f>
        <v>8.3819987309747424E-3</v>
      </c>
      <c r="F36" s="1143">
        <f>'2019'!Wh_Psa/'2019'!D$9</f>
        <v>2.1318245012230778E-2</v>
      </c>
      <c r="G36" s="1144">
        <f>'2019'!Wh_Pvg/'2019'!E$9</f>
        <v>2.1072123509646572E-5</v>
      </c>
      <c r="H36" s="1158">
        <f>H12/'2019'!Z$9</f>
        <v>0</v>
      </c>
      <c r="I36" s="1159">
        <f>I12/'2019'!AA$9</f>
        <v>0</v>
      </c>
      <c r="J36" s="1160">
        <f t="shared" ref="J36:J44" si="8">1-B12/G12</f>
        <v>2.9203008823673549E-2</v>
      </c>
      <c r="K36" s="860" t="str">
        <f t="shared" ref="K36:K44" si="9">K12</f>
        <v/>
      </c>
      <c r="L36" s="1161">
        <f>(K36&lt;&gt;"")*('2019'!O$383-'2019'!O$381)</f>
        <v>0</v>
      </c>
      <c r="M36" s="370">
        <v>4</v>
      </c>
      <c r="N36" s="1204">
        <f>O36*$B$32</f>
        <v>442.80375946469707</v>
      </c>
      <c r="O36" s="1205">
        <f>AVERAGE(H17:H20)/AVERAGE(B17:B20)</f>
        <v>4.1273099790000246E-2</v>
      </c>
      <c r="P36" s="370"/>
      <c r="Q36" s="370"/>
      <c r="R36" s="370"/>
      <c r="S36" s="864"/>
      <c r="T36" s="864"/>
    </row>
    <row r="37" spans="1:28" s="19" customFormat="1" ht="12.75" x14ac:dyDescent="0.2">
      <c r="A37" s="144">
        <f t="shared" si="7"/>
        <v>2020</v>
      </c>
      <c r="B37" s="1142">
        <f>'2020'!L$379</f>
        <v>2.0292309386050533E-2</v>
      </c>
      <c r="C37" s="1143">
        <f>'2020'!O$379</f>
        <v>5.0184846473721172E-2</v>
      </c>
      <c r="D37" s="1144">
        <f>'2020'!P$379</f>
        <v>2.3698528374981384E-4</v>
      </c>
      <c r="E37" s="1142">
        <f>'2020'!Wh_Ppv/Recap!B13</f>
        <v>1.6473918027598417E-2</v>
      </c>
      <c r="F37" s="1143">
        <f>'2020'!Wh_Psa/'2020'!D$9</f>
        <v>3.9995627830974871E-2</v>
      </c>
      <c r="G37" s="1144">
        <f>'2020'!Wh_Pvg/'2020'!E$9</f>
        <v>3.8484404403528296E-5</v>
      </c>
      <c r="H37" s="1158">
        <f>H13/'2020'!Z$9</f>
        <v>0</v>
      </c>
      <c r="I37" s="1159">
        <f>I13/'2020'!AA$9</f>
        <v>0</v>
      </c>
      <c r="J37" s="1160">
        <f t="shared" si="8"/>
        <v>5.4678556263458522E-2</v>
      </c>
      <c r="K37" s="860" t="str">
        <f t="shared" si="9"/>
        <v/>
      </c>
      <c r="L37" s="1161">
        <f>(K37&lt;&gt;"")*('2020'!O$383-'2020'!O$381)</f>
        <v>0</v>
      </c>
      <c r="M37" s="370"/>
      <c r="N37" s="1206" t="s">
        <v>373</v>
      </c>
      <c r="O37" s="1207"/>
      <c r="P37" s="370"/>
      <c r="Q37" s="370"/>
      <c r="R37" s="370"/>
      <c r="S37" s="864"/>
      <c r="T37" s="864"/>
    </row>
    <row r="38" spans="1:28" s="19" customFormat="1" ht="12.75" x14ac:dyDescent="0.2">
      <c r="A38" s="144">
        <f t="shared" si="7"/>
        <v>2021</v>
      </c>
      <c r="B38" s="1142">
        <f>'2021'!L$379</f>
        <v>2.8114669092890732E-2</v>
      </c>
      <c r="C38" s="1143">
        <f>'2021'!O$379</f>
        <v>2.4682532188756108E-2</v>
      </c>
      <c r="D38" s="1144">
        <f>'2021'!P$379</f>
        <v>3.4326219892773626E-4</v>
      </c>
      <c r="E38" s="1142">
        <f>'2021'!Wh_Ppv/Recap!B14</f>
        <v>2.4718158610383706E-2</v>
      </c>
      <c r="F38" s="1143">
        <f>'2021'!Wh_Psa/'2021'!D$9</f>
        <v>2.4581160282345516E-2</v>
      </c>
      <c r="G38" s="1144">
        <f>'2021'!Wh_Pvg/'2021'!E$9</f>
        <v>5.6181638145550227E-5</v>
      </c>
      <c r="H38" s="1158">
        <f>H14/'2021'!Z$9</f>
        <v>3.7134857928160438E-2</v>
      </c>
      <c r="I38" s="1159">
        <f>I14/'2021'!AA$9</f>
        <v>-2.0578917966908516E-6</v>
      </c>
      <c r="J38" s="1160">
        <f t="shared" si="8"/>
        <v>4.8155291958514312E-2</v>
      </c>
      <c r="K38" s="860">
        <f t="shared" si="9"/>
        <v>44307</v>
      </c>
      <c r="L38" s="1161">
        <f>(K38&lt;&gt;"")*('2021'!O$383-'2021'!O$381)</f>
        <v>5.1744622120926613E-2</v>
      </c>
      <c r="M38" s="370"/>
      <c r="N38" s="370"/>
      <c r="O38" s="370"/>
      <c r="P38" s="370"/>
      <c r="Q38" s="370"/>
      <c r="R38" s="370"/>
      <c r="S38" s="864"/>
      <c r="T38" s="864"/>
    </row>
    <row r="39" spans="1:28" s="19" customFormat="1" ht="12.75" x14ac:dyDescent="0.2">
      <c r="A39" s="364">
        <f t="shared" si="7"/>
        <v>2022</v>
      </c>
      <c r="B39" s="1162">
        <f>'2022'!L$379</f>
        <v>3.5853454813868924E-2</v>
      </c>
      <c r="C39" s="1163">
        <f>'2022'!O$379</f>
        <v>5.3668883254387734E-2</v>
      </c>
      <c r="D39" s="1164">
        <f>'2022'!P$379</f>
        <v>4.780670608090596E-4</v>
      </c>
      <c r="E39" s="1162">
        <f>'2022'!Wh_Ppv/Recap!B15</f>
        <v>3.293169673192823E-2</v>
      </c>
      <c r="F39" s="1163">
        <f>'2022'!Wh_Psa/'2022'!D$9</f>
        <v>4.1274884496331612E-2</v>
      </c>
      <c r="G39" s="1164">
        <f>'2022'!Wh_Pvg/'2022'!E$9</f>
        <v>8.4619993581648337E-5</v>
      </c>
      <c r="H39" s="1165">
        <f>H15/'2022'!Z$9</f>
        <v>3.505367580067504E-2</v>
      </c>
      <c r="I39" s="1166">
        <f>I15/'2022'!AA$9</f>
        <v>-2.9574471086750154E-6</v>
      </c>
      <c r="J39" s="1167">
        <f t="shared" si="8"/>
        <v>7.1553509789064051E-2</v>
      </c>
      <c r="K39" s="862" t="str">
        <f t="shared" si="9"/>
        <v/>
      </c>
      <c r="L39" s="1168">
        <f>(K39&lt;&gt;"")*('2022'!O$383-'2022'!O$381)</f>
        <v>0</v>
      </c>
      <c r="M39" s="370"/>
      <c r="N39" s="370"/>
      <c r="O39" s="370"/>
      <c r="P39" s="370"/>
      <c r="Q39" s="370"/>
      <c r="R39" s="370"/>
      <c r="S39" s="864"/>
      <c r="T39" s="864"/>
    </row>
    <row r="40" spans="1:28" s="19" customFormat="1" ht="12.75" x14ac:dyDescent="0.2">
      <c r="A40" s="1169">
        <f t="shared" si="7"/>
        <v>2023</v>
      </c>
      <c r="B40" s="1170">
        <f>'2023'!L$379</f>
        <v>4.3530619268910997E-2</v>
      </c>
      <c r="C40" s="1171">
        <f>'2023'!O$379</f>
        <v>2.7269919383865589E-2</v>
      </c>
      <c r="D40" s="1172">
        <f>'2023'!P$379</f>
        <v>6.130216776351374E-4</v>
      </c>
      <c r="E40" s="1170">
        <f>'2023'!Wh_Ppv/Recap!B16</f>
        <v>4.1260640166081552E-2</v>
      </c>
      <c r="F40" s="1171">
        <f>'2023'!Wh_Psa/'2023'!D$9</f>
        <v>2.5900479991032763E-2</v>
      </c>
      <c r="G40" s="1172">
        <f>'2023'!Wh_Pvg/'2023'!E$9</f>
        <v>1.1287369257796704E-4</v>
      </c>
      <c r="H40" s="1170">
        <f>H16/'2023'!Z$9</f>
        <v>4.6032816234965253E-2</v>
      </c>
      <c r="I40" s="1173">
        <f>I16/'2023'!AA$9</f>
        <v>-5.1610576792826116E-6</v>
      </c>
      <c r="J40" s="1172">
        <f t="shared" si="8"/>
        <v>6.4958829802189033E-2</v>
      </c>
      <c r="K40" s="860">
        <f t="shared" si="9"/>
        <v>45046</v>
      </c>
      <c r="L40" s="1161">
        <f>(K40&lt;&gt;"")*('2023'!O$383-'2023'!O$381)</f>
        <v>5.6194622336567759E-2</v>
      </c>
      <c r="M40" s="370"/>
      <c r="N40" s="370"/>
      <c r="O40" s="370"/>
      <c r="P40" s="370"/>
      <c r="Q40" s="370"/>
      <c r="R40" s="370"/>
      <c r="S40" s="864"/>
      <c r="T40" s="864"/>
    </row>
    <row r="41" spans="1:28" s="19" customFormat="1" ht="12.75" x14ac:dyDescent="0.2">
      <c r="A41" s="1169">
        <f t="shared" si="7"/>
        <v>2024</v>
      </c>
      <c r="B41" s="1170">
        <f>'2024'!L$379</f>
        <v>5.1146653126779795E-2</v>
      </c>
      <c r="C41" s="1171">
        <f>'2024'!O$379</f>
        <v>5.1597135990688082E-2</v>
      </c>
      <c r="D41" s="1172">
        <f>'2024'!P$379</f>
        <v>7.7480131598705476E-4</v>
      </c>
      <c r="E41" s="1170">
        <f>'2024'!Wh_Ppv/Recap!B17</f>
        <v>4.9588684187032363E-2</v>
      </c>
      <c r="F41" s="1171">
        <f>'2024'!Wh_Psa/'2024'!D$9</f>
        <v>4.0922005310600626E-2</v>
      </c>
      <c r="G41" s="1172">
        <f>'2024'!Wh_Pvg/'2024'!E$9</f>
        <v>1.5024916106101888E-4</v>
      </c>
      <c r="H41" s="1170">
        <f>H17/'2024'!Z$9</f>
        <v>3.8387714334744097E-2</v>
      </c>
      <c r="I41" s="1173">
        <f>I17/'2024'!AA$9</f>
        <v>-5.8201103616656122E-6</v>
      </c>
      <c r="J41" s="1172">
        <f t="shared" si="8"/>
        <v>8.6632787763486374E-2</v>
      </c>
      <c r="K41" s="860" t="str">
        <f t="shared" si="9"/>
        <v/>
      </c>
      <c r="L41" s="1161">
        <f>(K41&lt;&gt;"")*('2024'!O$383-'2024'!O$381)</f>
        <v>0</v>
      </c>
      <c r="M41" s="370"/>
      <c r="N41" s="370"/>
      <c r="O41" s="370"/>
      <c r="P41" s="370"/>
      <c r="Q41" s="370"/>
      <c r="R41" s="370"/>
      <c r="S41" s="864"/>
      <c r="T41" s="864"/>
    </row>
    <row r="42" spans="1:28" s="19" customFormat="1" ht="12.75" x14ac:dyDescent="0.2">
      <c r="A42" s="1169">
        <f t="shared" si="7"/>
        <v>2025</v>
      </c>
      <c r="B42" s="1170">
        <f>'2025'!L$379</f>
        <v>5.8722659990245618E-2</v>
      </c>
      <c r="C42" s="1171">
        <f>'2025'!O$379</f>
        <v>2.7269919383865589E-2</v>
      </c>
      <c r="D42" s="1172">
        <f>'2025'!P$379</f>
        <v>6.2136915708607332E-5</v>
      </c>
      <c r="E42" s="1170">
        <f>'2025'!Wh_Ppv/Recap!B18</f>
        <v>5.8064964472466389E-2</v>
      </c>
      <c r="F42" s="1171">
        <f>'2025'!Wh_Psa/'2025'!D$9</f>
        <v>2.4818485561223499E-2</v>
      </c>
      <c r="G42" s="1172">
        <f>'2025'!Wh_Pvg/'2025'!E$9</f>
        <v>4.3967970942671872E-5</v>
      </c>
      <c r="H42" s="1170">
        <f>H18/'2025'!Z$9</f>
        <v>4.4531227201319738E-2</v>
      </c>
      <c r="I42" s="1173">
        <f>I18/'2025'!AA$9</f>
        <v>1.4523710817267234E-4</v>
      </c>
      <c r="J42" s="1172">
        <f t="shared" si="8"/>
        <v>7.9105853992178621E-2</v>
      </c>
      <c r="K42" s="860">
        <f t="shared" si="9"/>
        <v>45777</v>
      </c>
      <c r="L42" s="1161">
        <f>(K42&lt;&gt;"")*('2025'!O$383-'2025'!O$381)</f>
        <v>5.3317896598044812E-2</v>
      </c>
      <c r="M42" s="370"/>
      <c r="N42" s="370"/>
      <c r="O42" s="370"/>
      <c r="P42" s="370"/>
      <c r="Q42" s="370"/>
      <c r="R42" s="370"/>
      <c r="S42" s="864"/>
      <c r="T42" s="864"/>
    </row>
    <row r="43" spans="1:28" s="19" customFormat="1" ht="12.75" x14ac:dyDescent="0.2">
      <c r="A43" s="1169">
        <f t="shared" si="7"/>
        <v>2026</v>
      </c>
      <c r="B43" s="1170">
        <f>'2026'!L$379</f>
        <v>6.6217724898313568E-2</v>
      </c>
      <c r="C43" s="1171">
        <f>'2026'!O$379</f>
        <v>5.1597135990688082E-2</v>
      </c>
      <c r="D43" s="1172">
        <f>'2026'!P$379</f>
        <v>1.2764727816610489E-4</v>
      </c>
      <c r="E43" s="1170">
        <f>'2026'!Wh_Ppv/Recap!B19</f>
        <v>6.6522890152335146E-2</v>
      </c>
      <c r="F43" s="1171">
        <f>'2026'!Wh_Psa/'2026'!D$9</f>
        <v>4.0257607275598538E-2</v>
      </c>
      <c r="G43" s="1172">
        <f>'2026'!Wh_Pvg/'2026'!E$9</f>
        <v>1.9965247544740128E-5</v>
      </c>
      <c r="H43" s="1170">
        <f>H19/'2026'!Z$9</f>
        <v>3.5767554078976263E-2</v>
      </c>
      <c r="I43" s="1173">
        <f>I19/'2026'!AA$9</f>
        <v>2.1904333685880326E-4</v>
      </c>
      <c r="J43" s="1172">
        <f t="shared" si="8"/>
        <v>0.10099386053232351</v>
      </c>
      <c r="K43" s="860" t="str">
        <f t="shared" si="9"/>
        <v/>
      </c>
      <c r="L43" s="1161">
        <f>(K43&lt;&gt;"")*('2026'!O$383-'2026'!O$381)</f>
        <v>0</v>
      </c>
      <c r="M43" s="370"/>
      <c r="N43" s="370"/>
      <c r="O43" s="370"/>
      <c r="P43" s="370"/>
      <c r="Q43" s="370"/>
      <c r="R43" s="370"/>
      <c r="S43" s="864"/>
      <c r="T43" s="864"/>
    </row>
    <row r="44" spans="1:28" s="19" customFormat="1" ht="12.75" x14ac:dyDescent="0.2">
      <c r="A44" s="1169">
        <f t="shared" si="7"/>
        <v>2027</v>
      </c>
      <c r="B44" s="1170">
        <f>'2027'!L$379</f>
        <v>7.365310920472623E-2</v>
      </c>
      <c r="C44" s="1171">
        <f>'2027'!O$379</f>
        <v>2.7269919383865589E-2</v>
      </c>
      <c r="D44" s="1172">
        <f>'2027'!P$379</f>
        <v>2.3167396461519087E-4</v>
      </c>
      <c r="E44" s="1170">
        <f>'2027'!Wh_Ppv/Recap!B20</f>
        <v>7.5118121577415306E-2</v>
      </c>
      <c r="F44" s="1171">
        <f>'2027'!Wh_Psa/'2027'!D$9</f>
        <v>2.4413318340037089E-2</v>
      </c>
      <c r="G44" s="1172">
        <f>'2027'!Wh_Pvg/'2027'!E$9</f>
        <v>3.7257782420237587E-5</v>
      </c>
      <c r="H44" s="1170">
        <f>H20/'2027'!Z$9</f>
        <v>4.3397674117532037E-2</v>
      </c>
      <c r="I44" s="1173">
        <f>I20/'2027'!AA$9</f>
        <v>2.5912349300488826E-4</v>
      </c>
      <c r="J44" s="1172">
        <f t="shared" si="8"/>
        <v>9.3695826962915008E-2</v>
      </c>
      <c r="K44" s="860">
        <f t="shared" si="9"/>
        <v>46507</v>
      </c>
      <c r="L44" s="1161">
        <f>(K44&lt;&gt;"")*('2027'!O$383-'2027'!O$381)</f>
        <v>5.3268828192966876E-2</v>
      </c>
      <c r="M44" s="370"/>
      <c r="N44" s="370"/>
      <c r="O44" s="370"/>
      <c r="P44" s="370"/>
      <c r="Q44" s="370"/>
      <c r="R44" s="370"/>
      <c r="S44" s="864"/>
      <c r="T44" s="864"/>
    </row>
    <row r="45" spans="1:28" s="19" customFormat="1" ht="12.75" x14ac:dyDescent="0.2">
      <c r="A45" s="709"/>
      <c r="B45" s="866"/>
      <c r="C45" s="1174"/>
      <c r="D45" s="1175"/>
      <c r="E45" s="866"/>
      <c r="F45" s="1174"/>
      <c r="G45" s="1175"/>
      <c r="H45" s="1176"/>
      <c r="I45" s="710"/>
      <c r="J45" s="1175"/>
      <c r="K45" s="876"/>
      <c r="L45" s="1175"/>
      <c r="M45" s="10"/>
      <c r="N45" s="10"/>
      <c r="O45" s="10"/>
      <c r="P45" s="10"/>
      <c r="Q45" s="10"/>
      <c r="R45" s="10"/>
      <c r="S45" s="864"/>
      <c r="T45" s="864"/>
    </row>
    <row r="46" spans="1:28" s="19" customFormat="1" ht="12.75" x14ac:dyDescent="0.2">
      <c r="A46" s="709"/>
      <c r="B46" s="866"/>
      <c r="C46" s="1174"/>
      <c r="D46" s="1175"/>
      <c r="E46" s="866"/>
      <c r="F46" s="1174"/>
      <c r="G46" s="1175"/>
      <c r="H46" s="1176"/>
      <c r="I46" s="710"/>
      <c r="J46" s="1175"/>
      <c r="K46" s="876"/>
      <c r="L46" s="1175"/>
      <c r="M46" s="10"/>
      <c r="N46" s="10"/>
      <c r="O46" s="10"/>
      <c r="P46" s="865"/>
      <c r="Q46" s="10"/>
      <c r="R46" s="865"/>
      <c r="S46" s="864"/>
      <c r="T46" s="864"/>
    </row>
    <row r="47" spans="1:28" s="19" customFormat="1" ht="12.75" x14ac:dyDescent="0.2">
      <c r="A47" s="709"/>
      <c r="B47" s="866"/>
      <c r="C47" s="1174"/>
      <c r="D47" s="1175"/>
      <c r="E47" s="866"/>
      <c r="F47" s="1174"/>
      <c r="G47" s="1175"/>
      <c r="H47" s="1176"/>
      <c r="I47" s="710"/>
      <c r="J47" s="1175"/>
      <c r="K47" s="876"/>
      <c r="L47" s="1175"/>
      <c r="M47" s="10"/>
      <c r="N47" s="10"/>
      <c r="O47" s="10"/>
      <c r="P47" s="865"/>
      <c r="Q47" s="10"/>
      <c r="S47" s="864"/>
      <c r="T47" s="864"/>
    </row>
    <row r="48" spans="1:28" s="19" customFormat="1" ht="12.75" x14ac:dyDescent="0.2">
      <c r="A48" s="709"/>
      <c r="B48" s="866"/>
      <c r="C48" s="1174"/>
      <c r="D48" s="1175"/>
      <c r="E48" s="866"/>
      <c r="F48" s="1174"/>
      <c r="G48" s="1175"/>
      <c r="H48" s="1176"/>
      <c r="I48" s="710"/>
      <c r="J48" s="1175"/>
      <c r="K48" s="876"/>
      <c r="L48" s="1175"/>
      <c r="M48" s="10"/>
      <c r="N48" s="10"/>
      <c r="O48" s="10"/>
      <c r="P48" s="865"/>
      <c r="Q48" s="10"/>
      <c r="R48" s="865"/>
      <c r="S48" s="864"/>
      <c r="T48" s="864"/>
    </row>
    <row r="49" spans="1:30" s="19" customFormat="1" ht="12.75" x14ac:dyDescent="0.2">
      <c r="A49" s="709"/>
      <c r="B49" s="866"/>
      <c r="C49" s="1174"/>
      <c r="D49" s="1175"/>
      <c r="E49" s="866"/>
      <c r="F49" s="1174"/>
      <c r="G49" s="1175"/>
      <c r="H49" s="1176"/>
      <c r="I49" s="710"/>
      <c r="J49" s="1175"/>
      <c r="K49" s="876"/>
      <c r="L49" s="1175"/>
      <c r="M49" s="10"/>
      <c r="N49" s="10"/>
      <c r="O49" s="10"/>
      <c r="P49" s="865"/>
      <c r="Q49" s="10"/>
      <c r="R49" s="865"/>
      <c r="S49" s="864"/>
      <c r="T49" s="864"/>
    </row>
    <row r="50" spans="1:30" s="19" customFormat="1" ht="12.75" x14ac:dyDescent="0.2">
      <c r="A50" s="709"/>
      <c r="B50" s="866"/>
      <c r="C50" s="1174"/>
      <c r="D50" s="1175"/>
      <c r="E50" s="866"/>
      <c r="F50" s="1174"/>
      <c r="G50" s="1175"/>
      <c r="H50" s="1176"/>
      <c r="I50" s="710"/>
      <c r="J50" s="1175"/>
      <c r="K50" s="876"/>
      <c r="L50" s="1175"/>
      <c r="M50" s="10"/>
      <c r="N50" s="10"/>
      <c r="O50" s="10"/>
      <c r="P50" s="865"/>
      <c r="Q50" s="10"/>
      <c r="R50" s="865"/>
      <c r="S50" s="864"/>
      <c r="T50" s="864"/>
    </row>
    <row r="51" spans="1:30" s="19" customFormat="1" ht="12.75" x14ac:dyDescent="0.2">
      <c r="A51" s="709"/>
      <c r="B51" s="866"/>
      <c r="C51" s="1174"/>
      <c r="D51" s="1175"/>
      <c r="E51" s="866"/>
      <c r="F51" s="1174"/>
      <c r="G51" s="1175"/>
      <c r="H51" s="1176"/>
      <c r="I51" s="710"/>
      <c r="J51" s="1175"/>
      <c r="K51" s="876"/>
      <c r="L51" s="1175"/>
      <c r="M51" s="10"/>
      <c r="N51" s="10"/>
      <c r="O51" s="10"/>
      <c r="P51" s="865"/>
      <c r="Q51" s="10"/>
      <c r="R51" s="865"/>
      <c r="S51" s="864"/>
      <c r="T51" s="864"/>
    </row>
    <row r="52" spans="1:30" s="19" customFormat="1" ht="12.75" x14ac:dyDescent="0.2">
      <c r="A52" s="709"/>
      <c r="B52" s="866"/>
      <c r="C52" s="1174"/>
      <c r="D52" s="1175"/>
      <c r="E52" s="866"/>
      <c r="F52" s="1174"/>
      <c r="G52" s="1175"/>
      <c r="H52" s="1176"/>
      <c r="I52" s="710"/>
      <c r="J52" s="1175"/>
      <c r="K52" s="876"/>
      <c r="L52" s="1175"/>
      <c r="M52" s="10"/>
      <c r="N52" s="10"/>
      <c r="O52" s="10"/>
      <c r="P52" s="10"/>
      <c r="Q52" s="10"/>
      <c r="R52" s="10"/>
      <c r="S52" s="864"/>
      <c r="T52" s="864"/>
    </row>
    <row r="53" spans="1:30" s="19" customFormat="1" ht="12.75" x14ac:dyDescent="0.2">
      <c r="A53" s="709"/>
      <c r="B53" s="866"/>
      <c r="C53" s="1174"/>
      <c r="D53" s="1175"/>
      <c r="E53" s="866"/>
      <c r="F53" s="1174"/>
      <c r="G53" s="1175"/>
      <c r="H53" s="1176"/>
      <c r="I53" s="710"/>
      <c r="J53" s="1175"/>
      <c r="K53" s="876"/>
      <c r="L53" s="1175"/>
      <c r="M53" s="10"/>
      <c r="N53" s="10"/>
      <c r="O53" s="10"/>
      <c r="P53" s="10"/>
      <c r="Q53" s="10"/>
      <c r="R53" s="10"/>
      <c r="S53" s="864"/>
      <c r="T53" s="864"/>
    </row>
    <row r="54" spans="1:30" s="19" customFormat="1" ht="12.75" x14ac:dyDescent="0.2">
      <c r="A54" s="712"/>
      <c r="B54" s="868"/>
      <c r="C54" s="713"/>
      <c r="D54" s="1177"/>
      <c r="E54" s="868"/>
      <c r="F54" s="713"/>
      <c r="G54" s="1177"/>
      <c r="H54" s="1178"/>
      <c r="I54" s="713"/>
      <c r="J54" s="1177"/>
      <c r="K54" s="878"/>
      <c r="L54" s="1177"/>
      <c r="M54" s="10"/>
      <c r="N54" s="10"/>
      <c r="O54" s="10"/>
      <c r="P54" s="10"/>
      <c r="Q54" s="10"/>
      <c r="R54" s="10"/>
      <c r="S54" s="864"/>
      <c r="T54" s="864"/>
      <c r="AD54" s="30"/>
    </row>
    <row r="55" spans="1:30" s="19" customFormat="1" ht="12.75" x14ac:dyDescent="0.2">
      <c r="A55" s="1179"/>
      <c r="B55" s="710"/>
      <c r="C55" s="711"/>
      <c r="D55" s="708"/>
      <c r="E55" s="710"/>
      <c r="F55" s="710"/>
      <c r="G55" s="710"/>
      <c r="H55" s="711"/>
      <c r="I55" s="708"/>
      <c r="J55" s="710"/>
      <c r="K55" s="1180"/>
      <c r="L55" s="1180"/>
      <c r="M55" s="710"/>
      <c r="N55" s="1181"/>
      <c r="O55" s="10"/>
      <c r="P55" s="10"/>
      <c r="Q55" s="10"/>
      <c r="R55" s="10"/>
      <c r="S55" s="864"/>
      <c r="T55" s="864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2.8863655920489681</v>
      </c>
      <c r="C57" s="369">
        <f t="shared" ref="C57:N57" si="10">MIN(C$61:C$80)</f>
        <v>3.8073096555277672</v>
      </c>
      <c r="D57" s="369">
        <f t="shared" si="10"/>
        <v>4.8393537453303592</v>
      </c>
      <c r="E57" s="369">
        <f t="shared" si="10"/>
        <v>5.7536383823323964</v>
      </c>
      <c r="F57" s="369">
        <f t="shared" si="10"/>
        <v>6.3283262533313973</v>
      </c>
      <c r="G57" s="369">
        <f t="shared" si="10"/>
        <v>6.323667763284889</v>
      </c>
      <c r="H57" s="369">
        <f t="shared" si="10"/>
        <v>6.0367906287663686</v>
      </c>
      <c r="I57" s="369">
        <f t="shared" si="10"/>
        <v>5.5814790156665568</v>
      </c>
      <c r="J57" s="369">
        <f t="shared" si="10"/>
        <v>4.8926183722133096</v>
      </c>
      <c r="K57" s="369">
        <f t="shared" si="10"/>
        <v>3.9080166275473678</v>
      </c>
      <c r="L57" s="369">
        <f t="shared" si="10"/>
        <v>2.9856603212069937</v>
      </c>
      <c r="M57" s="369">
        <f t="shared" si="10"/>
        <v>2.4752223272281686</v>
      </c>
      <c r="N57" s="369">
        <f t="shared" si="10"/>
        <v>4.6970435684431928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3.0285914918947086</v>
      </c>
      <c r="C58" s="369">
        <f t="shared" ref="C58:N58" si="11">AVERAGE(C$61:C$80)</f>
        <v>3.9964233002549241</v>
      </c>
      <c r="D58" s="369">
        <f t="shared" si="11"/>
        <v>5.0801179187776775</v>
      </c>
      <c r="E58" s="369">
        <f t="shared" si="11"/>
        <v>6.0408891038753127</v>
      </c>
      <c r="F58" s="369">
        <f t="shared" si="11"/>
        <v>6.5938378930473247</v>
      </c>
      <c r="G58" s="369">
        <f t="shared" si="11"/>
        <v>6.6316242287688683</v>
      </c>
      <c r="H58" s="369">
        <f t="shared" si="11"/>
        <v>6.329194388266199</v>
      </c>
      <c r="I58" s="369">
        <f t="shared" si="11"/>
        <v>5.8498578532708736</v>
      </c>
      <c r="J58" s="369">
        <f t="shared" si="11"/>
        <v>5.1246771530735939</v>
      </c>
      <c r="K58" s="369">
        <f t="shared" si="11"/>
        <v>4.0901090040885979</v>
      </c>
      <c r="L58" s="369">
        <f t="shared" si="11"/>
        <v>3.1227744242974582</v>
      </c>
      <c r="M58" s="369">
        <f t="shared" si="11"/>
        <v>2.589559283039506</v>
      </c>
      <c r="N58" s="369">
        <f t="shared" si="11"/>
        <v>4.8800536001712658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3.2058810057460327</v>
      </c>
      <c r="C59" s="369">
        <f t="shared" ref="C59:N59" si="12">MAX(C$61:C$80)</f>
        <v>4.2291671342628208</v>
      </c>
      <c r="D59" s="369">
        <f t="shared" si="12"/>
        <v>5.3761974557443795</v>
      </c>
      <c r="E59" s="369">
        <f t="shared" si="12"/>
        <v>6.3812797715987744</v>
      </c>
      <c r="F59" s="369">
        <f t="shared" si="12"/>
        <v>6.8251242975419215</v>
      </c>
      <c r="G59" s="369">
        <f t="shared" si="12"/>
        <v>7.0264124983319203</v>
      </c>
      <c r="H59" s="369">
        <f t="shared" si="12"/>
        <v>6.7120770747523029</v>
      </c>
      <c r="I59" s="369">
        <f t="shared" si="12"/>
        <v>6.2070220397434914</v>
      </c>
      <c r="J59" s="369">
        <f t="shared" si="12"/>
        <v>5.4410464310588829</v>
      </c>
      <c r="K59" s="369">
        <f t="shared" si="12"/>
        <v>4.344779462671827</v>
      </c>
      <c r="L59" s="369">
        <f t="shared" si="12"/>
        <v>3.3171428138457184</v>
      </c>
      <c r="M59" s="369">
        <f t="shared" si="12"/>
        <v>2.7491435021879473</v>
      </c>
      <c r="N59" s="369">
        <f t="shared" si="12"/>
        <v>5.113946260370299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7.0264124983319203</v>
      </c>
      <c r="H61" s="345">
        <f>AVERAGE('2018'!$V$196:$V$226)/Pc</f>
        <v>6.7120770747523029</v>
      </c>
      <c r="I61" s="345">
        <f>AVERAGE('2018'!$V$227:$V$257)/Pc</f>
        <v>6.2070220397434914</v>
      </c>
      <c r="J61" s="347">
        <f>AVERAGE('2018'!$V$258:$V$287)/Pc</f>
        <v>5.4410464310588829</v>
      </c>
      <c r="K61" s="348">
        <f>AVERAGE('2018'!$V$288:$V$318)/Pc</f>
        <v>4.344779462671827</v>
      </c>
      <c r="L61" s="345">
        <f>AVERAGE('2018'!$V$319:$V$348)/Pc</f>
        <v>3.3171428138457184</v>
      </c>
      <c r="M61" s="349">
        <f>AVERAGE('2018'!$V$349:$V$379)/Pc</f>
        <v>2.7491435021879473</v>
      </c>
      <c r="N61" s="353">
        <f t="shared" ref="N61:N66" si="13">AVERAGE(B61:M61)</f>
        <v>5.113946260370299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3.2058810057460327</v>
      </c>
      <c r="C62" s="350">
        <f>AVERAGE('2019'!$V$46:$V$73)/Pc</f>
        <v>4.2291671342628208</v>
      </c>
      <c r="D62" s="350">
        <f>AVERAGE('2019'!$V$74:$V$104)/Pc</f>
        <v>5.3761974557443795</v>
      </c>
      <c r="E62" s="351">
        <f>AVERAGE('2019'!$V$105:$V$134)/Pc</f>
        <v>6.3812797715987744</v>
      </c>
      <c r="F62" s="350">
        <f>AVERAGE('2019'!$V$135:$V$165)/Pc</f>
        <v>6.8251242975419215</v>
      </c>
      <c r="G62" s="350">
        <f>AVERAGE('2019'!$V$166:$V$195)/Pc</f>
        <v>6.827926158487557</v>
      </c>
      <c r="H62" s="350">
        <f>AVERAGE('2019'!$V$196:$V$226)/Pc</f>
        <v>6.5241830969432337</v>
      </c>
      <c r="I62" s="350">
        <f>AVERAGE('2019'!$V$227:$V$257)/Pc</f>
        <v>6.036544927435866</v>
      </c>
      <c r="J62" s="348">
        <f>AVERAGE('2019'!$V$258:$V$287)/Pc</f>
        <v>5.2947452653488911</v>
      </c>
      <c r="K62" s="348">
        <f>AVERAGE('2019'!$V$288:$V$318)/Pc</f>
        <v>4.2308503683821232</v>
      </c>
      <c r="L62" s="350">
        <f>AVERAGE('2019'!$V$319:$V$348)/Pc</f>
        <v>3.2328135292468474</v>
      </c>
      <c r="M62" s="352">
        <f>AVERAGE('2019'!$V$349:$V$379)/Pc</f>
        <v>2.6809904799391102</v>
      </c>
      <c r="N62" s="354">
        <f t="shared" si="13"/>
        <v>5.0704752908897968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3.1280262734348994</v>
      </c>
      <c r="C63" s="350">
        <f>AVERAGE('2020'!$V$46:$V$74)/Pc</f>
        <v>4.1470848385924173</v>
      </c>
      <c r="D63" s="350">
        <f>AVERAGE('2020'!$V$75:$V$105)/Pc</f>
        <v>5.2880684964225146</v>
      </c>
      <c r="E63" s="351">
        <f>AVERAGE('2020'!$V$106:$V$135)/Pc</f>
        <v>6.2528235488822128</v>
      </c>
      <c r="F63" s="350">
        <f>AVERAGE('2020'!$V$136:$V$166)/Pc</f>
        <v>6.6616116429832459</v>
      </c>
      <c r="G63" s="350">
        <f>AVERAGE('2020'!$V$167:$V$196)/Pc</f>
        <v>6.6443759804551892</v>
      </c>
      <c r="H63" s="350">
        <f>AVERAGE('2020'!$V$197:$V$227)/Pc</f>
        <v>6.3349571065224017</v>
      </c>
      <c r="I63" s="350">
        <f>AVERAGE('2020'!$V$228:$V$258)/Pc</f>
        <v>5.8505807682425601</v>
      </c>
      <c r="J63" s="348">
        <f>AVERAGE('2020'!$V$259:$V$288)/Pc</f>
        <v>5.1123990540654507</v>
      </c>
      <c r="K63" s="348">
        <f>AVERAGE('2020'!$V$289:$V$319)/Pc</f>
        <v>4.0733095836626756</v>
      </c>
      <c r="L63" s="350">
        <f>AVERAGE('2020'!$V$320:$V$349)/Pc</f>
        <v>3.1105402436263212</v>
      </c>
      <c r="M63" s="352">
        <f>AVERAGE('2020'!$V$350:$V$380)/Pc</f>
        <v>2.5980543812747752</v>
      </c>
      <c r="N63" s="355">
        <f t="shared" si="13"/>
        <v>4.9334859931803896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3.0321011925013504</v>
      </c>
      <c r="C64" s="350">
        <f>AVERAGE('2021'!$V$46:$V$73)/Pc</f>
        <v>3.9991750791051879</v>
      </c>
      <c r="D64" s="350">
        <f>AVERAGE('2021'!$V$74:$V$104)/Pc</f>
        <v>5.0826477535360715</v>
      </c>
      <c r="E64" s="351">
        <f>AVERAGE('2021'!$V$105:$V$134)/Pc</f>
        <v>6.1445219476095509</v>
      </c>
      <c r="F64" s="350">
        <f>AVERAGE('2021'!$V$135:$V$165)/Pc</f>
        <v>6.7976395001703667</v>
      </c>
      <c r="G64" s="350">
        <f>AVERAGE('2021'!$V$166:$V$195)/Pc</f>
        <v>6.7942048819750021</v>
      </c>
      <c r="H64" s="350">
        <f>AVERAGE('2021'!$V$196:$V$226)/Pc</f>
        <v>6.4847653213103786</v>
      </c>
      <c r="I64" s="350">
        <f>AVERAGE('2021'!$V$227:$V$257)/Pc</f>
        <v>5.9933954929760027</v>
      </c>
      <c r="J64" s="348">
        <f>AVERAGE('2021'!$V$258:$V$287)/Pc</f>
        <v>5.2510766362708416</v>
      </c>
      <c r="K64" s="348">
        <f>AVERAGE('2021'!$V$288:$V$318)/Pc</f>
        <v>4.1906385289355335</v>
      </c>
      <c r="L64" s="350">
        <f>AVERAGE('2021'!$V$319:$V$348)/Pc</f>
        <v>3.1983603717104638</v>
      </c>
      <c r="M64" s="352">
        <f>AVERAGE('2021'!$V$349:$V$379)/Pc</f>
        <v>2.6493793760439606</v>
      </c>
      <c r="N64" s="354">
        <f t="shared" si="13"/>
        <v>4.9681588401787256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6">
        <f>'2022'!An</f>
        <v>2022</v>
      </c>
      <c r="B65" s="547">
        <f>AVERAGE('2022'!$V$15:$V$45)/Pc</f>
        <v>3.0882074638636552</v>
      </c>
      <c r="C65" s="547">
        <f>AVERAGE('2022'!$V$46:$V$73)/Pc</f>
        <v>4.0704415516083721</v>
      </c>
      <c r="D65" s="547">
        <f>AVERAGE('2022'!$V$74:$V$104)/Pc</f>
        <v>5.1672859359465484</v>
      </c>
      <c r="E65" s="549">
        <f>AVERAGE('2022'!$V$105:$V$134)/Pc</f>
        <v>6.1245039745082277</v>
      </c>
      <c r="F65" s="547">
        <f>AVERAGE('2022'!$V$135:$V$165)/Pc</f>
        <v>6.5393100510662556</v>
      </c>
      <c r="G65" s="547">
        <f>AVERAGE('2022'!$V$166:$V$195)/Pc</f>
        <v>6.5313148994536103</v>
      </c>
      <c r="H65" s="547">
        <f>AVERAGE('2022'!$V$196:$V$226)/Pc</f>
        <v>6.2314061902907607</v>
      </c>
      <c r="I65" s="547">
        <f>AVERAGE('2022'!$V$227:$V$257)/Pc</f>
        <v>5.7590366152555799</v>
      </c>
      <c r="J65" s="547">
        <f>AVERAGE('2022'!$V$258:$V$287)/Pc</f>
        <v>5.0462464855893163</v>
      </c>
      <c r="K65" s="547">
        <f>AVERAGE('2022'!$V$288:$V$318)/Pc</f>
        <v>4.0284509488226465</v>
      </c>
      <c r="L65" s="547">
        <f>AVERAGE('2022'!$V$319:$V$348)/Pc</f>
        <v>3.0766246561287236</v>
      </c>
      <c r="M65" s="548">
        <f>AVERAGE('2022'!$V$349:$V$379)/Pc</f>
        <v>2.5495610585938944</v>
      </c>
      <c r="N65" s="554">
        <f t="shared" si="13"/>
        <v>4.8510324859272993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6">
        <v>2023</v>
      </c>
      <c r="B66" s="547">
        <f>AVERAGE('2023'!$V$15:$V$45)/Pc</f>
        <v>2.9724836572026359</v>
      </c>
      <c r="C66" s="547">
        <f>AVERAGE('2023'!$V$46:$V$73)/Pc</f>
        <v>3.9204657795029028</v>
      </c>
      <c r="D66" s="547">
        <f>AVERAGE('2023'!$V$74:$V$104)/Pc</f>
        <v>4.9823631009634912</v>
      </c>
      <c r="E66" s="549">
        <f>AVERAGE('2023'!$V$105:$V$134)/Pc</f>
        <v>5.923469087923884</v>
      </c>
      <c r="F66" s="547">
        <f>AVERAGE('2023'!$V$135:$V$165)/Pc</f>
        <v>6.6928539671262826</v>
      </c>
      <c r="G66" s="547">
        <f>AVERAGE('2023'!$V$166:$V$195)/Pc</f>
        <v>6.6863739955496833</v>
      </c>
      <c r="H66" s="547">
        <f>AVERAGE('2023'!$V$196:$V$226)/Pc</f>
        <v>6.3783913921078899</v>
      </c>
      <c r="I66" s="547">
        <f>AVERAGE('2023'!$V$227:$V$257)/Pc</f>
        <v>5.892612973913697</v>
      </c>
      <c r="J66" s="547">
        <f>AVERAGE('2023'!$V$258:$V$287)/Pc</f>
        <v>5.1605509962743685</v>
      </c>
      <c r="K66" s="547">
        <f>AVERAGE('2023'!$V$288:$V$318)/Pc</f>
        <v>4.1161603979843688</v>
      </c>
      <c r="L66" s="547">
        <f>AVERAGE('2023'!$V$319:$V$348)/Pc</f>
        <v>3.1403409316255364</v>
      </c>
      <c r="M66" s="548">
        <f>AVERAGE('2023'!$V$349:$V$379)/Pc</f>
        <v>2.6001626895012433</v>
      </c>
      <c r="N66" s="554">
        <f t="shared" si="13"/>
        <v>4.872185747472999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6">
        <v>2024</v>
      </c>
      <c r="B67" s="547">
        <f>AVERAGE('2024'!$V$15:$V$45)/Pc</f>
        <v>3.0299566145382673</v>
      </c>
      <c r="C67" s="547">
        <f>AVERAGE('2024'!$V$46:$V$73)/Pc</f>
        <v>3.9946843487973598</v>
      </c>
      <c r="D67" s="547">
        <f>AVERAGE('2024'!$V$74:$V$104)/Pc</f>
        <v>5.0745306116921309</v>
      </c>
      <c r="E67" s="549">
        <f>AVERAGE('2024'!$V$105:$V$134)/Pc</f>
        <v>6.0185753272329698</v>
      </c>
      <c r="F67" s="547">
        <f>AVERAGE('2024'!$V$135:$V$165)/Pc</f>
        <v>6.4293071291195751</v>
      </c>
      <c r="G67" s="547">
        <f>AVERAGE('2024'!$V$166:$V$195)/Pc</f>
        <v>6.4250520252280729</v>
      </c>
      <c r="H67" s="547">
        <f>AVERAGE('2024'!$V$196:$V$226)/Pc</f>
        <v>6.1326854595239002</v>
      </c>
      <c r="I67" s="547">
        <f>AVERAGE('2024'!$V$227:$V$257)/Pc</f>
        <v>5.6709787467805279</v>
      </c>
      <c r="J67" s="547">
        <f>AVERAGE('2024'!$V$258:$V$287)/Pc</f>
        <v>4.9710434821714067</v>
      </c>
      <c r="K67" s="547">
        <f>AVERAGE('2024'!$V$288:$V$318)/Pc</f>
        <v>3.9692530009015772</v>
      </c>
      <c r="L67" s="547">
        <f>AVERAGE('2024'!$V$319:$V$348)/Pc</f>
        <v>3.0323945928361558</v>
      </c>
      <c r="M67" s="548">
        <f>AVERAGE('2024'!$V$349:$V$379)/Pc</f>
        <v>2.513484058311136</v>
      </c>
      <c r="N67" s="554">
        <f>AVERAGE(B67:M67)</f>
        <v>4.7718287830944233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6">
        <v>2025</v>
      </c>
      <c r="B68" s="547">
        <f>AVERAGE('2025'!$V$15:$V$45)/Pc</f>
        <v>2.9312236760635666</v>
      </c>
      <c r="C68" s="547">
        <f>AVERAGE('2025'!$V$46:$V$73)/Pc</f>
        <v>3.8674200355156541</v>
      </c>
      <c r="D68" s="547">
        <f>AVERAGE('2025'!$V$74:$V$104)/Pc</f>
        <v>4.9160946404520338</v>
      </c>
      <c r="E68" s="549">
        <f>AVERAGE('2025'!$V$105:$V$134)/Pc</f>
        <v>5.8461071426629365</v>
      </c>
      <c r="F68" s="547">
        <f>AVERAGE('2025'!$V$135:$V$165)/Pc</f>
        <v>6.5876022682029927</v>
      </c>
      <c r="G68" s="547">
        <f>AVERAGE('2025'!$V$166:$V$195)/Pc</f>
        <v>6.5807339897911046</v>
      </c>
      <c r="H68" s="547">
        <f>AVERAGE('2025'!$V$196:$V$226)/Pc</f>
        <v>6.2783346079215585</v>
      </c>
      <c r="I68" s="547">
        <f>AVERAGE('2025'!$V$227:$V$257)/Pc</f>
        <v>5.7995546809973293</v>
      </c>
      <c r="J68" s="547">
        <f>AVERAGE('2025'!$V$258:$V$287)/Pc</f>
        <v>5.0788193698150348</v>
      </c>
      <c r="K68" s="547">
        <f>AVERAGE('2025'!$V$288:$V$318)/Pc</f>
        <v>4.0521345323865923</v>
      </c>
      <c r="L68" s="547">
        <f>AVERAGE('2025'!$V$319:$V$348)/Pc</f>
        <v>3.0916243694369085</v>
      </c>
      <c r="M68" s="548">
        <f>AVERAGE('2025'!$V$349:$V$379)/Pc</f>
        <v>2.5603243426320401</v>
      </c>
      <c r="N68" s="554">
        <f>AVERAGE(B68:M68)</f>
        <v>4.7991644713231469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6">
        <v>2026</v>
      </c>
      <c r="B69" s="547">
        <f>AVERAGE('2026'!$V$15:$V$45)/Pc</f>
        <v>2.9830779516530006</v>
      </c>
      <c r="C69" s="547">
        <f>AVERAGE('2026'!$V$46:$V$73)/Pc</f>
        <v>3.9320612793818404</v>
      </c>
      <c r="D69" s="547">
        <f>AVERAGE('2026'!$V$74:$V$104)/Pc</f>
        <v>4.99451952891157</v>
      </c>
      <c r="E69" s="549">
        <f>AVERAGE('2026'!$V$105:$V$134)/Pc</f>
        <v>5.9230827521268612</v>
      </c>
      <c r="F69" s="547">
        <f>AVERAGE('2026'!$V$135:$V$165)/Pc</f>
        <v>6.3283262533313973</v>
      </c>
      <c r="G69" s="547">
        <f>AVERAGE('2026'!$V$166:$V$195)/Pc</f>
        <v>6.323667763284889</v>
      </c>
      <c r="H69" s="547">
        <f>AVERAGE('2026'!$V$196:$V$226)/Pc</f>
        <v>6.0367906287663686</v>
      </c>
      <c r="I69" s="547">
        <f>AVERAGE('2026'!$V$227:$V$257)/Pc</f>
        <v>5.5814790156665568</v>
      </c>
      <c r="J69" s="547">
        <f>AVERAGE('2026'!$V$258:$V$287)/Pc</f>
        <v>4.8926183722133096</v>
      </c>
      <c r="K69" s="547">
        <f>AVERAGE('2026'!$V$288:$V$318)/Pc</f>
        <v>3.9080166275473678</v>
      </c>
      <c r="L69" s="547">
        <f>AVERAGE('2026'!$V$319:$V$348)/Pc</f>
        <v>2.9856603212069937</v>
      </c>
      <c r="M69" s="548">
        <f>AVERAGE('2026'!$V$349:$V$379)/Pc</f>
        <v>2.4752223272281686</v>
      </c>
      <c r="N69" s="554">
        <f>AVERAGE(B69:M69)</f>
        <v>4.6970435684431928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6">
        <v>2027</v>
      </c>
      <c r="B70" s="547">
        <f>AVERAGE('2027'!$V$15:$V$45)/Pc</f>
        <v>2.8863655920489681</v>
      </c>
      <c r="C70" s="547">
        <f>AVERAGE('2027'!$V$46:$V$73)/Pc</f>
        <v>3.8073096555277672</v>
      </c>
      <c r="D70" s="547">
        <f>AVERAGE('2027'!$V$74:$V$104)/Pc</f>
        <v>4.8393537453303592</v>
      </c>
      <c r="E70" s="549">
        <f>AVERAGE('2027'!$V$105:$V$134)/Pc</f>
        <v>5.7536383823323964</v>
      </c>
      <c r="F70" s="547">
        <f>AVERAGE('2027'!$V$135:$V$165)/Pc</f>
        <v>6.4827659278838734</v>
      </c>
      <c r="G70" s="547">
        <f>AVERAGE('2027'!$V$166:$V$195)/Pc</f>
        <v>6.4761800951316548</v>
      </c>
      <c r="H70" s="547">
        <f>AVERAGE('2027'!$V$196:$V$226)/Pc</f>
        <v>6.1783530045231903</v>
      </c>
      <c r="I70" s="547">
        <f>AVERAGE('2027'!$V$227:$V$257)/Pc</f>
        <v>5.7073732716971124</v>
      </c>
      <c r="J70" s="547">
        <f>AVERAGE('2027'!$V$258:$V$287)/Pc</f>
        <v>4.9982254379284408</v>
      </c>
      <c r="K70" s="547">
        <f>AVERAGE('2027'!$V$288:$V$318)/Pc</f>
        <v>3.9874965895912644</v>
      </c>
      <c r="L70" s="547">
        <f>AVERAGE('2027'!$V$319:$V$348)/Pc</f>
        <v>3.0422424133109138</v>
      </c>
      <c r="M70" s="548">
        <f>AVERAGE('2027'!$V$349:$V$379)/Pc</f>
        <v>2.5192706146827808</v>
      </c>
      <c r="N70" s="554">
        <f>AVERAGE(B70:M70)</f>
        <v>4.7232145608323934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6"/>
      <c r="B71" s="547"/>
      <c r="C71" s="547"/>
      <c r="D71" s="547"/>
      <c r="E71" s="549"/>
      <c r="F71" s="547"/>
      <c r="G71" s="547"/>
      <c r="H71" s="547"/>
      <c r="I71" s="547"/>
      <c r="J71" s="547"/>
      <c r="K71" s="547"/>
      <c r="L71" s="547"/>
      <c r="M71" s="548"/>
      <c r="N71" s="554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6"/>
      <c r="B72" s="547"/>
      <c r="C72" s="547"/>
      <c r="D72" s="547"/>
      <c r="E72" s="549"/>
      <c r="F72" s="547"/>
      <c r="G72" s="547"/>
      <c r="H72" s="547"/>
      <c r="I72" s="547"/>
      <c r="J72" s="547"/>
      <c r="K72" s="547"/>
      <c r="L72" s="547"/>
      <c r="M72" s="548"/>
      <c r="N72" s="554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6"/>
      <c r="B73" s="547"/>
      <c r="C73" s="547"/>
      <c r="D73" s="547"/>
      <c r="E73" s="549"/>
      <c r="F73" s="547"/>
      <c r="G73" s="547"/>
      <c r="H73" s="547"/>
      <c r="I73" s="547"/>
      <c r="J73" s="547"/>
      <c r="K73" s="547"/>
      <c r="L73" s="547"/>
      <c r="M73" s="548"/>
      <c r="N73" s="554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6"/>
      <c r="B74" s="547"/>
      <c r="C74" s="547"/>
      <c r="D74" s="547"/>
      <c r="E74" s="549"/>
      <c r="F74" s="547"/>
      <c r="G74" s="547"/>
      <c r="H74" s="547"/>
      <c r="I74" s="547"/>
      <c r="J74" s="547"/>
      <c r="K74" s="547"/>
      <c r="L74" s="547"/>
      <c r="M74" s="548"/>
      <c r="N74" s="554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6"/>
      <c r="B75" s="547"/>
      <c r="C75" s="547"/>
      <c r="D75" s="547"/>
      <c r="E75" s="549"/>
      <c r="F75" s="547"/>
      <c r="G75" s="547"/>
      <c r="H75" s="547"/>
      <c r="I75" s="547"/>
      <c r="J75" s="547"/>
      <c r="K75" s="547"/>
      <c r="L75" s="547"/>
      <c r="M75" s="548"/>
      <c r="N75" s="554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6"/>
      <c r="B76" s="547"/>
      <c r="C76" s="547"/>
      <c r="D76" s="547"/>
      <c r="E76" s="549"/>
      <c r="F76" s="547"/>
      <c r="G76" s="547"/>
      <c r="H76" s="547"/>
      <c r="I76" s="547"/>
      <c r="J76" s="547"/>
      <c r="K76" s="547"/>
      <c r="L76" s="547"/>
      <c r="M76" s="548"/>
      <c r="N76" s="554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6"/>
      <c r="B77" s="547"/>
      <c r="C77" s="547"/>
      <c r="D77" s="547"/>
      <c r="E77" s="549"/>
      <c r="F77" s="547"/>
      <c r="G77" s="547"/>
      <c r="H77" s="547"/>
      <c r="I77" s="547"/>
      <c r="J77" s="547"/>
      <c r="K77" s="547"/>
      <c r="L77" s="547"/>
      <c r="M77" s="548"/>
      <c r="N77" s="554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6"/>
      <c r="B78" s="547"/>
      <c r="C78" s="547"/>
      <c r="D78" s="547"/>
      <c r="E78" s="549"/>
      <c r="F78" s="547"/>
      <c r="G78" s="547"/>
      <c r="H78" s="547"/>
      <c r="I78" s="547"/>
      <c r="J78" s="547"/>
      <c r="K78" s="547"/>
      <c r="L78" s="547"/>
      <c r="M78" s="548"/>
      <c r="N78" s="554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6"/>
      <c r="B79" s="547"/>
      <c r="C79" s="547"/>
      <c r="D79" s="547"/>
      <c r="E79" s="549"/>
      <c r="F79" s="547"/>
      <c r="G79" s="547"/>
      <c r="H79" s="547"/>
      <c r="I79" s="547"/>
      <c r="J79" s="547"/>
      <c r="K79" s="547"/>
      <c r="L79" s="547"/>
      <c r="M79" s="548"/>
      <c r="N79" s="554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0"/>
      <c r="B80" s="551"/>
      <c r="C80" s="551"/>
      <c r="D80" s="551"/>
      <c r="E80" s="552"/>
      <c r="F80" s="551"/>
      <c r="G80" s="551"/>
      <c r="H80" s="551"/>
      <c r="I80" s="551"/>
      <c r="J80" s="551"/>
      <c r="K80" s="551"/>
      <c r="L80" s="551"/>
      <c r="M80" s="553"/>
      <c r="N80" s="555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6" priority="5" stopIfTrue="1">
      <formula>K12&lt;&gt;""</formula>
    </cfRule>
  </conditionalFormatting>
  <conditionalFormatting sqref="N12:N30">
    <cfRule type="expression" dxfId="45" priority="4" stopIfTrue="1">
      <formula>$L12&lt;&gt;""</formula>
    </cfRule>
  </conditionalFormatting>
  <conditionalFormatting sqref="M55">
    <cfRule type="expression" dxfId="44" priority="3" stopIfTrue="1">
      <formula>K55&lt;&gt;""</formula>
    </cfRule>
  </conditionalFormatting>
  <conditionalFormatting sqref="N55">
    <cfRule type="expression" dxfId="43" priority="2" stopIfTrue="1">
      <formula>$L55&lt;&gt;""</formula>
    </cfRule>
  </conditionalFormatting>
  <conditionalFormatting sqref="L36:L54">
    <cfRule type="expression" dxfId="42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'2022'!An+1</f>
        <v>2023</v>
      </c>
      <c r="K1" s="1271"/>
      <c r="L1" s="113" t="str">
        <f>"Calcul pertes et enveloppes en "&amp;TEXT(An,0)</f>
        <v>Calcul pertes et enveloppes en 2023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2023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69.682326909500631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439.91880488288541</v>
      </c>
      <c r="AK4" s="834">
        <f>AM12-AK12</f>
        <v>-6.1513973263664923E-2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509.8149023259366</v>
      </c>
      <c r="AA5" s="237">
        <f>Wh_Pvg_s-Wh_Pvg</f>
        <v>-6.1513973263664923E-2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2864.0448088082485</v>
      </c>
      <c r="AK5" s="516">
        <f>SUMIF(AK15:AK380,"VRAI",Wh)</f>
        <v>0</v>
      </c>
      <c r="AL5" s="516">
        <f>SUMIF(AJ15:AJ380,"VRAI",Wh_s)</f>
        <v>2794.3601981755737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8281.9340951354843</v>
      </c>
      <c r="AK6" s="516">
        <f>SUMIF(AK15:AK380,"FAUX",Wh)</f>
        <v>11145.978903943727</v>
      </c>
      <c r="AL6" s="516">
        <f>SUMIF(AJ15:AJ380,"FAUX",Wh_s)</f>
        <v>7841.9778966346521</v>
      </c>
      <c r="AM6" s="516">
        <f>SUMIF(AK15:AK380,"FAUX",Wh_s)</f>
        <v>10636.338094810231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2975.0284453802201</v>
      </c>
      <c r="AK7" s="516">
        <f>SUMIF(AK15:AK380,"VRAI",Wh_sa)</f>
        <v>0</v>
      </c>
      <c r="AL7" s="516">
        <f>SUMIF(AJ15:AJ380,"VRAI",Wh_pvt_s)</f>
        <v>2902.645690367598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8630.8406834178568</v>
      </c>
      <c r="AK8" s="516">
        <f>SUMIF(AK15:AK380,"FAUX",Wh_sa)</f>
        <v>11918.869558577648</v>
      </c>
      <c r="AL8" s="516">
        <f>SUMIF(AJ15:AJ380,"FAUX",Wh_pvt_s)</f>
        <v>8172.3860809602565</v>
      </c>
      <c r="AM8" s="516">
        <f>SUMIF(AK15:AK380,"FAUX",Wh_sa_s)</f>
        <v>11918.869558577648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11605.869128798086</v>
      </c>
      <c r="E9" s="184">
        <f>SUM(E$15:E$380)</f>
        <v>11918.869558577648</v>
      </c>
      <c r="F9" s="184">
        <f>SUM(F$15:F$380)</f>
        <v>11920.308173794914</v>
      </c>
      <c r="H9" s="1272">
        <f>+SUM(Wh)</f>
        <v>11145.978903943727</v>
      </c>
      <c r="I9" s="1273"/>
      <c r="J9" s="1274"/>
      <c r="K9" s="191"/>
      <c r="L9" s="232"/>
      <c r="M9" s="232"/>
      <c r="N9" s="232"/>
      <c r="O9" s="223">
        <f>Tnet_2023</f>
        <v>45046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10636.338094810231</v>
      </c>
      <c r="Y9" s="1267"/>
      <c r="Z9" s="516">
        <f>SUM(Z$15:Z$380)</f>
        <v>11075.031771327849</v>
      </c>
      <c r="AA9" s="516">
        <f>SUM(AA$15:AA$380)</f>
        <v>11918.869558577648</v>
      </c>
      <c r="AB9" s="516">
        <f>F9</f>
        <v>11920.308173794914</v>
      </c>
      <c r="AC9" s="325">
        <f>IF(An_Tnet,Tnet,'2022'!Tnet_s)</f>
        <v>45046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3157.8352485403911</v>
      </c>
      <c r="AK9" s="516">
        <f>SUMIF(AK15:AK380,"VRAI",Wh_hp)</f>
        <v>0</v>
      </c>
      <c r="AL9" s="516">
        <f>SUMIF(AJ15:AJ380,"VRAI",Wh_sa_s)</f>
        <v>3157.8352485403911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5.0000000000000001E-3</v>
      </c>
      <c r="P10" s="421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IF(OR(Inflex,GainD),'2022'!Resal_s+('2022'!Salim-'2022'!Resal_s)*(1-EXP(('2022'!Tnet_s-Tnet)/('2022'!Tau_j))),IF(Acti_net,'2022'!Resal+('2022'!Salim-'2022'!Resal)*(1-EXP(('2022'!Tnet-Tnet)/'2022'!Tau_j)),'2022'!Resal_s))</f>
        <v>6.0663936996518744E-2</v>
      </c>
      <c r="AD10" s="428"/>
      <c r="AE10" s="428"/>
      <c r="AF10" s="260"/>
      <c r="AG10" s="261"/>
      <c r="AH10" s="262"/>
      <c r="AI10" s="473"/>
      <c r="AJ10" s="516">
        <f>SUMIF(AJ15:AJ380,"FAUX",Wh_sa)</f>
        <v>8761.0343100372538</v>
      </c>
      <c r="AK10" s="516">
        <f>SUMIF(AK15:AK380,"FAUX",Wh_hp)</f>
        <v>11920.308173794914</v>
      </c>
      <c r="AL10" s="516">
        <f>SUMIF(AJ15:AJ380,"FAUX",Wh_sa_s)</f>
        <v>8761.0343100372538</v>
      </c>
      <c r="AM10" s="516">
        <f>SUMIF(AK15:AK380,"FAUX",Wh_hp)</f>
        <v>11920.308173794914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459.89022485435817</v>
      </c>
      <c r="E11" s="51">
        <f>(E$9-D$9)*Prod_an/D$9</f>
        <v>300.59758114897966</v>
      </c>
      <c r="F11" s="186">
        <f>(F$9-E$9)*Prod_an/E$9</f>
        <v>1.345326818431783</v>
      </c>
      <c r="G11" s="185" t="s">
        <v>6</v>
      </c>
      <c r="K11" s="194"/>
      <c r="L11" s="211">
        <f>Tvie_2023</f>
        <v>43259</v>
      </c>
      <c r="M11" s="844"/>
      <c r="N11" s="844"/>
      <c r="O11" s="202">
        <f>IF(An_Tnet,Salim_2023,'2022'!Salim)</f>
        <v>0.105</v>
      </c>
      <c r="P11" s="256">
        <f>Ttai_2023</f>
        <v>43101</v>
      </c>
      <c r="Q11" s="272">
        <f>Dens_2023</f>
        <v>0.5</v>
      </c>
      <c r="R11" s="277"/>
      <c r="S11" s="230"/>
      <c r="T11" s="230"/>
      <c r="U11" s="266">
        <f>Htf_2023</f>
        <v>0.99738892309801586</v>
      </c>
      <c r="V11" s="428"/>
      <c r="W11" s="519"/>
      <c r="X11" s="526" t="s">
        <v>43</v>
      </c>
      <c r="Y11" s="50">
        <f>Z$9-Prod_an_s</f>
        <v>438.69367651761786</v>
      </c>
      <c r="Z11" s="51">
        <f>(AA$9-Z$9)*Prod_an_s/Z$9</f>
        <v>810.41248347491626</v>
      </c>
      <c r="AA11" s="186">
        <f>(AB$9-AA$9)*Prod_an_s/AA$9</f>
        <v>1.2838128451681181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175.98718305323811</v>
      </c>
      <c r="AK11" s="834">
        <f>IF($AK7=0,0,($AK9-$AK7)*$AK5/$AK7)</f>
        <v>0</v>
      </c>
      <c r="AL11" s="833">
        <f>IF($AL7=0,0,($AL9-$AL7)*$AL5/$AL7)</f>
        <v>245.66950996273874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Pspv_2023</f>
        <v>0</v>
      </c>
      <c r="M12" s="212"/>
      <c r="N12" s="212"/>
      <c r="O12" s="205">
        <f>IF(An_Tnet,Tau_2023*365,'2022'!Tau_j)</f>
        <v>973.33333333333326</v>
      </c>
      <c r="P12" s="281">
        <f>INDEX(Croivg,MIN(MAX(Ttai-$A$15,0)+1,366))</f>
        <v>2.3909964587625958E-6</v>
      </c>
      <c r="Q12" s="280">
        <f>'2022'!Df</f>
        <v>0.5</v>
      </c>
      <c r="R12" s="278"/>
      <c r="S12" s="279"/>
      <c r="T12" s="279"/>
      <c r="U12" s="267">
        <f>'2022'!Hdf</f>
        <v>0.49738892309801586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0.5</v>
      </c>
      <c r="AF12" s="203"/>
      <c r="AG12" s="203"/>
      <c r="AH12" s="203"/>
      <c r="AI12" s="297">
        <f>'2022'!Hdf_s</f>
        <v>0.49738892309801586</v>
      </c>
      <c r="AJ12" s="833">
        <f>IF($AJ8=0,0,($AJ10-$AJ8)*$AJ6/$AJ8)</f>
        <v>124.93047604738413</v>
      </c>
      <c r="AK12" s="834">
        <f>IF($AK8=0,0,($AK10-$AK8)*$AK6/$AK8)</f>
        <v>1.345326818431783</v>
      </c>
      <c r="AL12" s="833">
        <f>IF($AL8=0,0,($AL10-$AL8)*$AL6/$AL8)</f>
        <v>564.84928093026952</v>
      </c>
      <c r="AM12" s="834">
        <f>IF($AM8=0,0,($AM10-$AM8)*$AM6/$AM8)</f>
        <v>1.2838128451681181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300.91765910062225</v>
      </c>
      <c r="AK13" s="73">
        <f>+AK11+AK12</f>
        <v>1.345326818431783</v>
      </c>
      <c r="AL13" s="73">
        <f>+AL11+AL12</f>
        <v>810.51879089300826</v>
      </c>
      <c r="AM13" s="73">
        <f>+AM11+AM12</f>
        <v>1.2838128451681181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2023</v>
      </c>
      <c r="W14" s="838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22.367832023306605</v>
      </c>
      <c r="C15" s="841"/>
      <c r="D15" s="393">
        <f t="shared" ref="D15:D78" si="0">Wh/(1-Ppv)</f>
        <v>23.200126639094851</v>
      </c>
      <c r="E15" s="400">
        <f t="shared" ref="E15:E79" si="1">Wh_pvt/(1-Psa)</f>
        <v>24.517451977935501</v>
      </c>
      <c r="F15" s="400">
        <f t="shared" ref="F15:F78" si="2">Wh_sa/(1-Pvg*MEDIAN((-Sdif+Wh/Env_an)/Csdif,0,1))</f>
        <v>24.528295524742848</v>
      </c>
      <c r="G15" s="123">
        <f>+Wh_hp/MaxiM</f>
        <v>0.95105727077822177</v>
      </c>
      <c r="H15" s="414" t="b">
        <f>Wh_hp&gt;='2022'!Maxi_hp</f>
        <v>0</v>
      </c>
      <c r="I15" s="396">
        <f>IF(H15,Wh_hp,'2022'!Maxi_hp)</f>
        <v>24.528525019852513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3.5874572097625346E-2</v>
      </c>
      <c r="M15" s="845"/>
      <c r="N15" s="845"/>
      <c r="O15" s="48">
        <f>IF(t&lt;Tnet,'2022'!Resal+('2022'!Salim-'2022'!Resal)*(1-EXP(('2022'!Tnet-t)/('2022'!Tau_j))),Resal+(Salim-Resal)*(1-EXP((Tnet-t)/(Tau_j))))*Salcycl</f>
        <v>5.3730107844248177E-2</v>
      </c>
      <c r="P15" s="302">
        <f>(INDEX(Models!$BJ15:$BT15,,T15)*(1-R15)+INDEX(Models!$BJ15:$BT15,,T15+1)*R15-ERP_i)*Q15*Ramure*Pc/MaxiM</f>
        <v>4.7529337045168534E-4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0.49739011859624521</v>
      </c>
      <c r="S15" s="81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0.49739011859624521</v>
      </c>
      <c r="V15" s="382">
        <f t="shared" ref="V15:V78" si="9">MaxiM*(1-Ppv)*(1-Pvg)*(1-Psa)</f>
        <v>23.518130339752464</v>
      </c>
      <c r="W15" s="402">
        <f t="shared" ref="W15:W78" si="10">Wh*(A15&gt;Tmaj)</f>
        <v>22.367832023306605</v>
      </c>
      <c r="X15" s="156">
        <f t="shared" ref="X15:X78" si="11">t</f>
        <v>44927</v>
      </c>
      <c r="Y15" s="385">
        <f t="shared" ref="Y15:Y78" si="12">Wh_pvt_s*(1-Ppv)</f>
        <v>21.774661374753364</v>
      </c>
      <c r="Z15" s="385">
        <f>Wh_sa_s*(1-Psa_s)</f>
        <v>22.58488443990943</v>
      </c>
      <c r="AA15" s="386">
        <f t="shared" ref="AA15:AA78" si="13">Wh_hp*(1-Pvg_s*MEDIAN((-Sdif+Wh/Env_an)/Csdif,0,1))</f>
        <v>24.517451977935501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7.8824159205666433E-2</v>
      </c>
      <c r="AD15" s="231">
        <f>(INDEX(Models!$BJ15:$BT15,,AH15)*(1-AF15)+INDEX(Models!$BJ15:$BT15,,AH15+1)*AF15-ERP_i)*AE15*Ramure*Pc/MaxiM</f>
        <v>4.7529337045168534E-4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0.49739011859624521</v>
      </c>
      <c r="AG15" s="81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0.49739011859624521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16.083258115252249</v>
      </c>
      <c r="C16" s="841"/>
      <c r="D16" s="393">
        <f t="shared" si="0"/>
        <v>16.682072603966034</v>
      </c>
      <c r="E16" s="385">
        <f t="shared" si="1"/>
        <v>17.630438118969973</v>
      </c>
      <c r="F16" s="385">
        <f t="shared" si="2"/>
        <v>17.63494738400901</v>
      </c>
      <c r="G16" s="110">
        <f t="shared" ref="G16:G79" si="21">+Wh_hp/MaxiM</f>
        <v>0.67892727149478405</v>
      </c>
      <c r="H16" s="414" t="b">
        <f>Wh_hp&gt;='2022'!Maxi_hp</f>
        <v>0</v>
      </c>
      <c r="I16" s="390">
        <f>IF(H16,Wh_hp,'2022'!Maxi_hp)</f>
        <v>24.297474136240545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3.5895688918859081E-2</v>
      </c>
      <c r="M16" s="845"/>
      <c r="N16" s="845"/>
      <c r="O16" s="48">
        <f>IF(t&lt;Tnet,'2022'!Resal+('2022'!Salim-'2022'!Resal)*(1-EXP(('2022'!Tnet-t)/('2022'!Tau_j))),Resal+(Salim-Resal)*(1-EXP((Tnet-t)/(Tau_j))))*Salcycl</f>
        <v>5.3791375381847042E-2</v>
      </c>
      <c r="P16" s="169">
        <f>(INDEX(Models!$BJ16:$BT16,,T16)*(1-R16)+INDEX(Models!$BJ16:$BT16,,T16+1)*R16-ERP_i)*Q16*Ramure*Pc/MaxiM</f>
        <v>4.7217748817013773E-4</v>
      </c>
      <c r="Q16" s="305">
        <f t="shared" si="4"/>
        <v>0.5</v>
      </c>
      <c r="R16" s="177">
        <f t="shared" si="5"/>
        <v>0.49741933321023946</v>
      </c>
      <c r="S16" s="811">
        <f t="shared" si="6"/>
        <v>0</v>
      </c>
      <c r="T16" s="176">
        <f t="shared" si="7"/>
        <v>6</v>
      </c>
      <c r="U16" s="251">
        <f t="shared" si="8"/>
        <v>0.49741933321023946</v>
      </c>
      <c r="V16" s="383">
        <f t="shared" si="9"/>
        <v>23.684091425940569</v>
      </c>
      <c r="W16" s="402">
        <f t="shared" si="10"/>
        <v>16.083258115252249</v>
      </c>
      <c r="X16" s="157">
        <f t="shared" si="11"/>
        <v>44928</v>
      </c>
      <c r="Y16" s="385">
        <f t="shared" si="12"/>
        <v>15.65732086443318</v>
      </c>
      <c r="Z16" s="385">
        <f t="shared" ref="Z16:Z78" si="22">Wh_sa_s*(1-Psa_s)</f>
        <v>16.24027678797033</v>
      </c>
      <c r="AA16" s="386">
        <f t="shared" si="13"/>
        <v>17.630438118969973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7.8850072903398793E-2</v>
      </c>
      <c r="AD16" s="231">
        <f>(INDEX(Models!$BJ16:$BT16,,AH16)*(1-AF16)+INDEX(Models!$BJ16:$BT16,,AH16+1)*AF16-ERP_i)*AE16*Ramure*Pc/MaxiM</f>
        <v>4.7217748817013773E-4</v>
      </c>
      <c r="AE16" s="305">
        <f t="shared" si="15"/>
        <v>0.5</v>
      </c>
      <c r="AF16" s="177">
        <f t="shared" ref="AF16:AF78" si="23">(Hp_vg_s-AG16)/(INDEX(Echel_vg,AH16+1)-AG16)</f>
        <v>0.49741933321023946</v>
      </c>
      <c r="AG16" s="811">
        <f t="shared" ref="AG16:AG79" si="24">INDEX(Echel_vg,AH16)</f>
        <v>0</v>
      </c>
      <c r="AH16" s="176">
        <f t="shared" si="16"/>
        <v>6</v>
      </c>
      <c r="AI16" s="225">
        <f t="shared" si="17"/>
        <v>0.49741933321023946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17.307576050590928</v>
      </c>
      <c r="C17" s="841"/>
      <c r="D17" s="393">
        <f t="shared" si="0"/>
        <v>17.952367747240061</v>
      </c>
      <c r="E17" s="385">
        <f t="shared" si="1"/>
        <v>18.974177931804842</v>
      </c>
      <c r="F17" s="385">
        <f t="shared" si="2"/>
        <v>18.979585321230154</v>
      </c>
      <c r="G17" s="110">
        <f t="shared" si="21"/>
        <v>0.72533283529676607</v>
      </c>
      <c r="H17" s="414" t="b">
        <f>Wh_hp&gt;='2022'!Maxi_hp</f>
        <v>0</v>
      </c>
      <c r="I17" s="390">
        <f>IF(H17,Wh_hp,'2022'!Maxi_hp)</f>
        <v>27.383515682442006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3.5916805277580233E-2</v>
      </c>
      <c r="M17" s="845"/>
      <c r="N17" s="845"/>
      <c r="O17" s="48">
        <f>IF(t&lt;Tnet,'2022'!Resal+('2022'!Salim-'2022'!Resal)*(1-EXP(('2022'!Tnet-t)/('2022'!Tau_j))),Resal+(Salim-Resal)*(1-EXP((Tnet-t)/(Tau_j))))*Salcycl</f>
        <v>5.3852672207316418E-2</v>
      </c>
      <c r="P17" s="169">
        <f>(INDEX(Models!$BJ17:$BT17,,T17)*(1-R17)+INDEX(Models!$BJ17:$BT17,,T17+1)*R17-ERP_i)*Q17*Ramure*Pc/MaxiM</f>
        <v>4.687419930276542E-4</v>
      </c>
      <c r="Q17" s="305">
        <f t="shared" si="4"/>
        <v>0.5</v>
      </c>
      <c r="R17" s="177">
        <f t="shared" si="5"/>
        <v>0.49744976980572908</v>
      </c>
      <c r="S17" s="811">
        <f t="shared" si="6"/>
        <v>0</v>
      </c>
      <c r="T17" s="176">
        <f t="shared" si="7"/>
        <v>6</v>
      </c>
      <c r="U17" s="251">
        <f t="shared" si="8"/>
        <v>0.49744976980572908</v>
      </c>
      <c r="V17" s="383">
        <f t="shared" si="9"/>
        <v>23.857176373026487</v>
      </c>
      <c r="W17" s="402">
        <f t="shared" si="10"/>
        <v>17.307576050590928</v>
      </c>
      <c r="X17" s="157">
        <f t="shared" si="11"/>
        <v>44929</v>
      </c>
      <c r="Y17" s="385">
        <f t="shared" si="12"/>
        <v>16.849829939691769</v>
      </c>
      <c r="Z17" s="385">
        <f t="shared" si="22"/>
        <v>17.477568359173812</v>
      </c>
      <c r="AA17" s="386">
        <f t="shared" si="13"/>
        <v>18.974177931804842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7.8876121959538914E-2</v>
      </c>
      <c r="AD17" s="231">
        <f>(INDEX(Models!$BJ17:$BT17,,AH17)*(1-AF17)+INDEX(Models!$BJ17:$BT17,,AH17+1)*AF17-ERP_i)*AE17*Ramure*Pc/MaxiM</f>
        <v>4.687419930276542E-4</v>
      </c>
      <c r="AE17" s="305">
        <f t="shared" si="15"/>
        <v>0.5</v>
      </c>
      <c r="AF17" s="177">
        <f>(Hp_vg_s-AG17)/(INDEX(Echel_vg,AH17+1)-AG17)</f>
        <v>0.49744976980572908</v>
      </c>
      <c r="AG17" s="811">
        <f>INDEX(Echel_vg,AH17)</f>
        <v>0</v>
      </c>
      <c r="AH17" s="176">
        <f t="shared" si="16"/>
        <v>6</v>
      </c>
      <c r="AI17" s="225">
        <f t="shared" si="17"/>
        <v>0.49744976980572908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18.287446766309515</v>
      </c>
      <c r="C18" s="841"/>
      <c r="D18" s="393">
        <f t="shared" si="0"/>
        <v>18.969158903724843</v>
      </c>
      <c r="E18" s="385">
        <f t="shared" si="1"/>
        <v>20.050141983108393</v>
      </c>
      <c r="F18" s="385">
        <f t="shared" si="2"/>
        <v>20.056281842419427</v>
      </c>
      <c r="G18" s="110">
        <f t="shared" si="21"/>
        <v>0.76070635666960817</v>
      </c>
      <c r="H18" s="414" t="b">
        <f>Wh_hp&gt;='2022'!Maxi_hp</f>
        <v>0</v>
      </c>
      <c r="I18" s="390">
        <f>IF(H18,Wh_hp,'2022'!Maxi_hp)</f>
        <v>24.454097030053351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3.5937921173798903E-2</v>
      </c>
      <c r="M18" s="845"/>
      <c r="N18" s="845"/>
      <c r="O18" s="48">
        <f>IF(t&lt;Tnet,'2022'!Resal+('2022'!Salim-'2022'!Resal)*(1-EXP(('2022'!Tnet-t)/('2022'!Tau_j))),Resal+(Salim-Resal)*(1-EXP((Tnet-t)/(Tau_j))))*Salcycl</f>
        <v>5.3913986259760321E-2</v>
      </c>
      <c r="P18" s="169">
        <f>(INDEX(Models!$BJ18:$BT18,,T18)*(1-R18)+INDEX(Models!$BJ18:$BT18,,T18+1)*R18-ERP_i)*Q18*Ramure*Pc/MaxiM</f>
        <v>4.6501595910478262E-4</v>
      </c>
      <c r="Q18" s="305">
        <f t="shared" si="4"/>
        <v>0.5</v>
      </c>
      <c r="R18" s="177">
        <f t="shared" si="5"/>
        <v>0.49748147933702419</v>
      </c>
      <c r="S18" s="811">
        <f t="shared" si="6"/>
        <v>0</v>
      </c>
      <c r="T18" s="176">
        <f t="shared" si="7"/>
        <v>6</v>
      </c>
      <c r="U18" s="251">
        <f t="shared" si="8"/>
        <v>0.49748147933702419</v>
      </c>
      <c r="V18" s="383">
        <f t="shared" si="9"/>
        <v>24.036265932102982</v>
      </c>
      <c r="W18" s="402">
        <f t="shared" si="10"/>
        <v>18.287446766309515</v>
      </c>
      <c r="X18" s="157">
        <f t="shared" si="11"/>
        <v>44930</v>
      </c>
      <c r="Y18" s="385">
        <f t="shared" si="12"/>
        <v>17.804433346577301</v>
      </c>
      <c r="Z18" s="385">
        <f>Wh_sa_s*(1-Psa_s)</f>
        <v>18.468139902624511</v>
      </c>
      <c r="AA18" s="386">
        <f t="shared" si="13"/>
        <v>20.050141983108393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7.8902288164176979E-2</v>
      </c>
      <c r="AD18" s="231">
        <f>(INDEX(Models!$BJ18:$BT18,,AH18)*(1-AF18)+INDEX(Models!$BJ18:$BT18,,AH18+1)*AF18-ERP_i)*AE18*Ramure*Pc/MaxiM</f>
        <v>4.6501595910478262E-4</v>
      </c>
      <c r="AE18" s="305">
        <f t="shared" si="15"/>
        <v>0.5</v>
      </c>
      <c r="AF18" s="177">
        <f t="shared" si="23"/>
        <v>0.49748147933702419</v>
      </c>
      <c r="AG18" s="811">
        <f t="shared" si="24"/>
        <v>0</v>
      </c>
      <c r="AH18" s="176">
        <f t="shared" si="16"/>
        <v>6</v>
      </c>
      <c r="AI18" s="225">
        <f t="shared" si="17"/>
        <v>0.49748147933702419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14.559975565693865</v>
      </c>
      <c r="C19" s="841"/>
      <c r="D19" s="393">
        <f t="shared" si="0"/>
        <v>15.103067316203132</v>
      </c>
      <c r="E19" s="385">
        <f t="shared" si="1"/>
        <v>15.964770717626111</v>
      </c>
      <c r="F19" s="385">
        <f t="shared" si="2"/>
        <v>15.967937798692034</v>
      </c>
      <c r="G19" s="110">
        <f t="shared" si="21"/>
        <v>0.6009911281546283</v>
      </c>
      <c r="H19" s="414" t="b">
        <f>Wh_hp&gt;='2022'!Maxi_hp</f>
        <v>0</v>
      </c>
      <c r="I19" s="390">
        <f>IF(H19,Wh_hp,'2022'!Maxi_hp)</f>
        <v>27.046839831733369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3.5959036607525308E-2</v>
      </c>
      <c r="M19" s="845"/>
      <c r="N19" s="845"/>
      <c r="O19" s="48">
        <f>IF(t&lt;Tnet,'2022'!Resal+('2022'!Salim-'2022'!Resal)*(1-EXP(('2022'!Tnet-t)/('2022'!Tau_j))),Resal+(Salim-Resal)*(1-EXP((Tnet-t)/(Tau_j))))*Salcycl</f>
        <v>5.3975307047260321E-2</v>
      </c>
      <c r="P19" s="169">
        <f>(INDEX(Models!$BJ19:$BT19,,T19)*(1-R19)+INDEX(Models!$BJ19:$BT19,,T19+1)*R19-ERP_i)*Q19*Ramure*Pc/MaxiM</f>
        <v>4.6102752578839143E-4</v>
      </c>
      <c r="Q19" s="305">
        <f t="shared" si="4"/>
        <v>0.5</v>
      </c>
      <c r="R19" s="177">
        <f t="shared" si="5"/>
        <v>0.49751451486958587</v>
      </c>
      <c r="S19" s="811">
        <f t="shared" si="6"/>
        <v>0</v>
      </c>
      <c r="T19" s="176">
        <f t="shared" si="7"/>
        <v>6</v>
      </c>
      <c r="U19" s="251">
        <f t="shared" si="8"/>
        <v>0.49751451486958587</v>
      </c>
      <c r="V19" s="383">
        <f t="shared" si="9"/>
        <v>24.220241200471708</v>
      </c>
      <c r="W19" s="402">
        <f t="shared" si="10"/>
        <v>14.559975565693865</v>
      </c>
      <c r="X19" s="157">
        <f t="shared" si="11"/>
        <v>44931</v>
      </c>
      <c r="Y19" s="385">
        <f t="shared" si="12"/>
        <v>14.175927778328312</v>
      </c>
      <c r="Z19" s="385">
        <f t="shared" si="22"/>
        <v>14.704694423401893</v>
      </c>
      <c r="AA19" s="386">
        <f t="shared" si="13"/>
        <v>15.964770717626111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7.8928555662438241E-2</v>
      </c>
      <c r="AD19" s="231">
        <f>(INDEX(Models!$BJ19:$BT19,,AH19)*(1-AF19)+INDEX(Models!$BJ19:$BT19,,AH19+1)*AF19-ERP_i)*AE19*Ramure*Pc/MaxiM</f>
        <v>4.6102752578839143E-4</v>
      </c>
      <c r="AE19" s="305">
        <f t="shared" si="15"/>
        <v>0.5</v>
      </c>
      <c r="AF19" s="177">
        <f t="shared" si="23"/>
        <v>0.49751451486958587</v>
      </c>
      <c r="AG19" s="811">
        <f t="shared" si="24"/>
        <v>0</v>
      </c>
      <c r="AH19" s="176">
        <f t="shared" si="16"/>
        <v>6</v>
      </c>
      <c r="AI19" s="225">
        <f t="shared" si="17"/>
        <v>0.49751451486958587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20.996014360473715</v>
      </c>
      <c r="C20" s="841"/>
      <c r="D20" s="393">
        <f t="shared" si="0"/>
        <v>21.7796494489805</v>
      </c>
      <c r="E20" s="385">
        <f t="shared" si="1"/>
        <v>23.023776647674765</v>
      </c>
      <c r="F20" s="385">
        <f t="shared" si="2"/>
        <v>23.032196773106211</v>
      </c>
      <c r="G20" s="110">
        <f t="shared" si="21"/>
        <v>0.86013243271160766</v>
      </c>
      <c r="H20" s="414" t="b">
        <f>Wh_hp&gt;='2022'!Maxi_hp</f>
        <v>0</v>
      </c>
      <c r="I20" s="390">
        <f>IF(H20,Wh_hp,'2022'!Maxi_hp)</f>
        <v>26.739364860323523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3.5980151578769548E-2</v>
      </c>
      <c r="M20" s="845"/>
      <c r="N20" s="845"/>
      <c r="O20" s="48">
        <f>IF(t&lt;Tnet,'2022'!Resal+('2022'!Salim-'2022'!Resal)*(1-EXP(('2022'!Tnet-t)/('2022'!Tau_j))),Resal+(Salim-Resal)*(1-EXP((Tnet-t)/(Tau_j))))*Salcycl</f>
        <v>5.4036625603728343E-2</v>
      </c>
      <c r="P20" s="169">
        <f>(INDEX(Models!$BJ20:$BT20,,T20)*(1-R20)+INDEX(Models!$BJ20:$BT20,,T20+1)*R20-ERP_i)*Q20*Ramure*Pc/MaxiM</f>
        <v>4.56803748477505E-4</v>
      </c>
      <c r="Q20" s="305">
        <f t="shared" si="4"/>
        <v>0.5</v>
      </c>
      <c r="R20" s="177">
        <f t="shared" si="5"/>
        <v>0.49754893166633657</v>
      </c>
      <c r="S20" s="811">
        <f t="shared" si="6"/>
        <v>0</v>
      </c>
      <c r="T20" s="176">
        <f t="shared" si="7"/>
        <v>6</v>
      </c>
      <c r="U20" s="251">
        <f t="shared" si="8"/>
        <v>0.49754893166633657</v>
      </c>
      <c r="V20" s="383">
        <f t="shared" si="9"/>
        <v>24.407983631439194</v>
      </c>
      <c r="W20" s="402">
        <f t="shared" si="10"/>
        <v>20.996014360473715</v>
      </c>
      <c r="X20" s="157">
        <f t="shared" si="11"/>
        <v>44932</v>
      </c>
      <c r="Y20" s="385">
        <f t="shared" si="12"/>
        <v>20.44294360774154</v>
      </c>
      <c r="Z20" s="385">
        <f t="shared" si="22"/>
        <v>21.205936414297721</v>
      </c>
      <c r="AA20" s="386">
        <f t="shared" si="13"/>
        <v>23.023776647674765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7.895491088168774E-2</v>
      </c>
      <c r="AD20" s="231">
        <f>(INDEX(Models!$BJ20:$BT20,,AH20)*(1-AF20)+INDEX(Models!$BJ20:$BT20,,AH20+1)*AF20-ERP_i)*AE20*Ramure*Pc/MaxiM</f>
        <v>4.56803748477505E-4</v>
      </c>
      <c r="AE20" s="305">
        <f t="shared" si="15"/>
        <v>0.5</v>
      </c>
      <c r="AF20" s="177">
        <f t="shared" si="23"/>
        <v>0.49754893166633657</v>
      </c>
      <c r="AG20" s="811">
        <f t="shared" si="24"/>
        <v>0</v>
      </c>
      <c r="AH20" s="176">
        <f t="shared" si="16"/>
        <v>6</v>
      </c>
      <c r="AI20" s="225">
        <f t="shared" si="17"/>
        <v>0.49754893166633657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10.737240041594006</v>
      </c>
      <c r="C21" s="841"/>
      <c r="D21" s="393">
        <f t="shared" si="0"/>
        <v>11.138230439386724</v>
      </c>
      <c r="E21" s="385">
        <f t="shared" si="1"/>
        <v>11.7752469783597</v>
      </c>
      <c r="F21" s="385">
        <f t="shared" si="2"/>
        <v>11.776285806221994</v>
      </c>
      <c r="G21" s="110">
        <f t="shared" si="21"/>
        <v>0.43634303664290619</v>
      </c>
      <c r="H21" s="414" t="b">
        <f>Wh_hp&gt;='2022'!Maxi_hp</f>
        <v>0</v>
      </c>
      <c r="I21" s="390">
        <f>IF(H21,Wh_hp,'2022'!Maxi_hp)</f>
        <v>14.932480243717823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3.6001266087541728E-2</v>
      </c>
      <c r="M21" s="845"/>
      <c r="N21" s="845"/>
      <c r="O21" s="48">
        <f>IF(t&lt;Tnet,'2022'!Resal+('2022'!Salim-'2022'!Resal)*(1-EXP(('2022'!Tnet-t)/('2022'!Tau_j))),Resal+(Salim-Resal)*(1-EXP((Tnet-t)/(Tau_j))))*Salcycl</f>
        <v>5.4097934433449353E-2</v>
      </c>
      <c r="P21" s="169">
        <f>(INDEX(Models!$BJ21:$BT21,,T21)*(1-R21)+INDEX(Models!$BJ21:$BT21,,T21+1)*R21-ERP_i)*Q21*Ramure*Pc/MaxiM</f>
        <v>4.5237048193409447E-4</v>
      </c>
      <c r="Q21" s="305">
        <f t="shared" si="4"/>
        <v>0.5</v>
      </c>
      <c r="R21" s="177">
        <f t="shared" si="5"/>
        <v>0.49758478727739974</v>
      </c>
      <c r="S21" s="811">
        <f t="shared" si="6"/>
        <v>0</v>
      </c>
      <c r="T21" s="176">
        <f t="shared" si="7"/>
        <v>6</v>
      </c>
      <c r="U21" s="251">
        <f t="shared" si="8"/>
        <v>0.49758478727739974</v>
      </c>
      <c r="V21" s="383">
        <f t="shared" si="9"/>
        <v>24.598375027888018</v>
      </c>
      <c r="W21" s="402">
        <f t="shared" si="10"/>
        <v>10.737240041594006</v>
      </c>
      <c r="X21" s="157">
        <f t="shared" si="11"/>
        <v>44933</v>
      </c>
      <c r="Y21" s="385">
        <f t="shared" si="12"/>
        <v>10.454780435512253</v>
      </c>
      <c r="Z21" s="385">
        <f t="shared" si="22"/>
        <v>10.845222164432492</v>
      </c>
      <c r="AA21" s="386">
        <f t="shared" si="13"/>
        <v>11.7752469783597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7.8981342441172414E-2</v>
      </c>
      <c r="AD21" s="231">
        <f>(INDEX(Models!$BJ21:$BT21,,AH21)*(1-AF21)+INDEX(Models!$BJ21:$BT21,,AH21+1)*AF21-ERP_i)*AE21*Ramure*Pc/MaxiM</f>
        <v>4.5237048193409447E-4</v>
      </c>
      <c r="AE21" s="305">
        <f t="shared" si="15"/>
        <v>0.5</v>
      </c>
      <c r="AF21" s="177">
        <f t="shared" si="23"/>
        <v>0.49758478727739974</v>
      </c>
      <c r="AG21" s="811">
        <f t="shared" si="24"/>
        <v>0</v>
      </c>
      <c r="AH21" s="176">
        <f t="shared" si="16"/>
        <v>6</v>
      </c>
      <c r="AI21" s="225">
        <f t="shared" si="17"/>
        <v>0.49758478727739974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7.5322809670504807</v>
      </c>
      <c r="C22" s="841"/>
      <c r="D22" s="393">
        <f t="shared" si="0"/>
        <v>7.8137508712042161</v>
      </c>
      <c r="E22" s="385">
        <f t="shared" si="1"/>
        <v>8.2611694250510741</v>
      </c>
      <c r="F22" s="385">
        <f t="shared" si="2"/>
        <v>8.2611897158770553</v>
      </c>
      <c r="G22" s="110">
        <f t="shared" si="21"/>
        <v>0.30370457829084169</v>
      </c>
      <c r="H22" s="414" t="b">
        <f>Wh_hp&gt;='2022'!Maxi_hp</f>
        <v>0</v>
      </c>
      <c r="I22" s="390">
        <f>IF(H22,Wh_hp,'2022'!Maxi_hp)</f>
        <v>20.323342747491672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3.602238013385195E-2</v>
      </c>
      <c r="M22" s="845"/>
      <c r="N22" s="845"/>
      <c r="O22" s="48">
        <f>IF(t&lt;Tnet,'2022'!Resal+('2022'!Salim-'2022'!Resal)*(1-EXP(('2022'!Tnet-t)/('2022'!Tau_j))),Resal+(Salim-Resal)*(1-EXP((Tnet-t)/(Tau_j))))*Salcycl</f>
        <v>5.4159227444253902E-2</v>
      </c>
      <c r="P22" s="169">
        <f>(INDEX(Models!$BJ22:$BT22,,T22)*(1-R22)+INDEX(Models!$BJ22:$BT22,,T22+1)*R22-ERP_i)*Q22*Ramure*Pc/MaxiM</f>
        <v>4.4775229280232936E-4</v>
      </c>
      <c r="Q22" s="305">
        <f t="shared" si="4"/>
        <v>0.5</v>
      </c>
      <c r="R22" s="177">
        <f t="shared" si="5"/>
        <v>0.49762214163339691</v>
      </c>
      <c r="S22" s="811">
        <f t="shared" si="6"/>
        <v>0</v>
      </c>
      <c r="T22" s="176">
        <f t="shared" si="7"/>
        <v>6</v>
      </c>
      <c r="U22" s="251">
        <f t="shared" si="8"/>
        <v>0.49762214163339691</v>
      </c>
      <c r="V22" s="383">
        <f t="shared" si="9"/>
        <v>24.790297550393472</v>
      </c>
      <c r="W22" s="402">
        <f t="shared" si="10"/>
        <v>7.5322809670504807</v>
      </c>
      <c r="X22" s="157">
        <f t="shared" si="11"/>
        <v>44934</v>
      </c>
      <c r="Y22" s="385">
        <f t="shared" si="12"/>
        <v>7.3343969841248748</v>
      </c>
      <c r="Z22" s="385">
        <f t="shared" si="22"/>
        <v>7.6084722642661387</v>
      </c>
      <c r="AA22" s="386">
        <f t="shared" si="13"/>
        <v>8.2611694250510741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7.9007841045567295E-2</v>
      </c>
      <c r="AD22" s="231">
        <f>(INDEX(Models!$BJ22:$BT22,,AH22)*(1-AF22)+INDEX(Models!$BJ22:$BT22,,AH22+1)*AF22-ERP_i)*AE22*Ramure*Pc/MaxiM</f>
        <v>4.4775229280232936E-4</v>
      </c>
      <c r="AE22" s="305">
        <f t="shared" si="15"/>
        <v>0.5</v>
      </c>
      <c r="AF22" s="177">
        <f t="shared" si="23"/>
        <v>0.49762214163339691</v>
      </c>
      <c r="AG22" s="811">
        <f t="shared" si="24"/>
        <v>0</v>
      </c>
      <c r="AH22" s="176">
        <f t="shared" si="16"/>
        <v>6</v>
      </c>
      <c r="AI22" s="225">
        <f t="shared" si="17"/>
        <v>0.49762214163339691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2.223315849200707</v>
      </c>
      <c r="C23" s="841"/>
      <c r="D23" s="393">
        <f t="shared" si="0"/>
        <v>2.3064483041619934</v>
      </c>
      <c r="E23" s="385">
        <f t="shared" si="1"/>
        <v>2.4386744519687875</v>
      </c>
      <c r="F23" s="385">
        <f t="shared" si="2"/>
        <v>2.4386744519687875</v>
      </c>
      <c r="G23" s="110">
        <f t="shared" si="21"/>
        <v>8.8942772779861928E-2</v>
      </c>
      <c r="H23" s="414" t="b">
        <f>Wh_hp&gt;='2022'!Maxi_hp</f>
        <v>0</v>
      </c>
      <c r="I23" s="390">
        <f>IF(H23,Wh_hp,'2022'!Maxi_hp)</f>
        <v>26.033603222307448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3.6043493717710318E-2</v>
      </c>
      <c r="M23" s="845"/>
      <c r="N23" s="845"/>
      <c r="O23" s="48">
        <f>IF(t&lt;Tnet,'2022'!Resal+('2022'!Salim-'2022'!Resal)*(1-EXP(('2022'!Tnet-t)/('2022'!Tau_j))),Resal+(Salim-Resal)*(1-EXP((Tnet-t)/(Tau_j))))*Salcycl</f>
        <v>5.4220499870347751E-2</v>
      </c>
      <c r="P23" s="169">
        <f>(INDEX(Models!$BJ23:$BT23,,T23)*(1-R23)+INDEX(Models!$BJ23:$BT23,,T23+1)*R23-ERP_i)*Q23*Ramure*Pc/MaxiM</f>
        <v>4.4291135106128122E-4</v>
      </c>
      <c r="Q23" s="305">
        <f t="shared" si="4"/>
        <v>0.5</v>
      </c>
      <c r="R23" s="177">
        <f t="shared" si="5"/>
        <v>0.49766105714243203</v>
      </c>
      <c r="S23" s="811">
        <f t="shared" si="6"/>
        <v>0</v>
      </c>
      <c r="T23" s="176">
        <f t="shared" si="7"/>
        <v>6</v>
      </c>
      <c r="U23" s="251">
        <f t="shared" si="8"/>
        <v>0.49766105714243203</v>
      </c>
      <c r="V23" s="383">
        <f t="shared" si="9"/>
        <v>24.986078665148984</v>
      </c>
      <c r="W23" s="402">
        <f t="shared" si="10"/>
        <v>2.223315849200707</v>
      </c>
      <c r="X23" s="157">
        <f t="shared" si="11"/>
        <v>44935</v>
      </c>
      <c r="Y23" s="385">
        <f t="shared" si="12"/>
        <v>2.1649839272070848</v>
      </c>
      <c r="Z23" s="385">
        <f t="shared" si="22"/>
        <v>2.2459352814130811</v>
      </c>
      <c r="AA23" s="386">
        <f t="shared" si="13"/>
        <v>2.4386744519687875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7.9034399364008773E-2</v>
      </c>
      <c r="AD23" s="231">
        <f>(INDEX(Models!$BJ23:$BT23,,AH23)*(1-AF23)+INDEX(Models!$BJ23:$BT23,,AH23+1)*AF23-ERP_i)*AE23*Ramure*Pc/MaxiM</f>
        <v>4.4291135106128122E-4</v>
      </c>
      <c r="AE23" s="305">
        <f t="shared" si="15"/>
        <v>0.5</v>
      </c>
      <c r="AF23" s="177">
        <f t="shared" si="23"/>
        <v>0.49766105714243203</v>
      </c>
      <c r="AG23" s="811">
        <f t="shared" si="24"/>
        <v>0</v>
      </c>
      <c r="AH23" s="176">
        <f t="shared" si="16"/>
        <v>6</v>
      </c>
      <c r="AI23" s="225">
        <f t="shared" si="17"/>
        <v>0.49766105714243203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1.7257268387092859</v>
      </c>
      <c r="C24" s="841"/>
      <c r="D24" s="393">
        <f t="shared" si="0"/>
        <v>1.7902930538222037</v>
      </c>
      <c r="E24" s="385">
        <f t="shared" si="1"/>
        <v>1.89305118135134</v>
      </c>
      <c r="F24" s="385">
        <f t="shared" si="2"/>
        <v>1.89305118135134</v>
      </c>
      <c r="G24" s="110">
        <f t="shared" si="21"/>
        <v>6.8482096046299415E-2</v>
      </c>
      <c r="H24" s="414" t="b">
        <f>Wh_hp&gt;='2022'!Maxi_hp</f>
        <v>0</v>
      </c>
      <c r="I24" s="390">
        <f>IF(H24,Wh_hp,'2022'!Maxi_hp)</f>
        <v>13.230713123965954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3.6064606839127045E-2</v>
      </c>
      <c r="M24" s="845"/>
      <c r="N24" s="845"/>
      <c r="O24" s="48">
        <f>IF(t&lt;Tnet,'2022'!Resal+('2022'!Salim-'2022'!Resal)*(1-EXP(('2022'!Tnet-t)/('2022'!Tau_j))),Resal+(Salim-Resal)*(1-EXP((Tnet-t)/(Tau_j))))*Salcycl</f>
        <v>5.4281748185901216E-2</v>
      </c>
      <c r="P24" s="169">
        <f>(INDEX(Models!$BJ24:$BT24,,T24)*(1-R24)+INDEX(Models!$BJ24:$BT24,,T24+1)*R24-ERP_i)*Q24*Ramure*Pc/MaxiM</f>
        <v>4.3729131536827948E-4</v>
      </c>
      <c r="Q24" s="305">
        <f t="shared" si="4"/>
        <v>0.5</v>
      </c>
      <c r="R24" s="177">
        <f t="shared" si="5"/>
        <v>0.49770159879090159</v>
      </c>
      <c r="S24" s="811">
        <f t="shared" si="6"/>
        <v>0</v>
      </c>
      <c r="T24" s="176">
        <f t="shared" si="7"/>
        <v>6</v>
      </c>
      <c r="U24" s="251">
        <f t="shared" si="8"/>
        <v>0.49770159879090159</v>
      </c>
      <c r="V24" s="383">
        <f t="shared" si="9"/>
        <v>25.188659415211237</v>
      </c>
      <c r="W24" s="402">
        <f t="shared" si="10"/>
        <v>1.7257268387092859</v>
      </c>
      <c r="X24" s="157">
        <f t="shared" si="11"/>
        <v>44936</v>
      </c>
      <c r="Y24" s="385">
        <f t="shared" si="12"/>
        <v>1.6805101577935289</v>
      </c>
      <c r="Z24" s="385">
        <f t="shared" si="22"/>
        <v>1.7433846393822219</v>
      </c>
      <c r="AA24" s="386">
        <f t="shared" si="13"/>
        <v>1.89305118135134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7.9061011896297301E-2</v>
      </c>
      <c r="AD24" s="231">
        <f>(INDEX(Models!$BJ24:$BT24,,AH24)*(1-AF24)+INDEX(Models!$BJ24:$BT24,,AH24+1)*AF24-ERP_i)*AE24*Ramure*Pc/MaxiM</f>
        <v>4.3729131536827948E-4</v>
      </c>
      <c r="AE24" s="305">
        <f t="shared" si="15"/>
        <v>0.5</v>
      </c>
      <c r="AF24" s="177">
        <f t="shared" si="23"/>
        <v>0.49770159879090159</v>
      </c>
      <c r="AG24" s="811">
        <f t="shared" si="24"/>
        <v>0</v>
      </c>
      <c r="AH24" s="176">
        <f t="shared" si="16"/>
        <v>6</v>
      </c>
      <c r="AI24" s="225">
        <f t="shared" si="17"/>
        <v>0.49770159879090159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24.869675378846498</v>
      </c>
      <c r="C25" s="841"/>
      <c r="D25" s="393">
        <f t="shared" si="0"/>
        <v>25.80071265869973</v>
      </c>
      <c r="E25" s="385">
        <f t="shared" si="1"/>
        <v>27.283372132270816</v>
      </c>
      <c r="F25" s="385">
        <f t="shared" si="2"/>
        <v>27.294780320491757</v>
      </c>
      <c r="G25" s="110">
        <f t="shared" si="21"/>
        <v>0.9791923016069537</v>
      </c>
      <c r="H25" s="414" t="b">
        <f>Wh_hp&gt;='2022'!Maxi_hp</f>
        <v>0</v>
      </c>
      <c r="I25" s="390">
        <f>IF(H25,Wh_hp,'2022'!Maxi_hp)</f>
        <v>27.813177241518638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3.6085719498112234E-2</v>
      </c>
      <c r="M25" s="845"/>
      <c r="N25" s="845"/>
      <c r="O25" s="48">
        <f>IF(t&lt;Tnet,'2022'!Resal+('2022'!Salim-'2022'!Resal)*(1-EXP(('2022'!Tnet-t)/('2022'!Tau_j))),Resal+(Salim-Resal)*(1-EXP((Tnet-t)/(Tau_j))))*Salcycl</f>
        <v>5.4342970010565331E-2</v>
      </c>
      <c r="P25" s="169">
        <f>(INDEX(Models!$BJ25:$BT25,,T25)*(1-R25)+INDEX(Models!$BJ25:$BT25,,T25+1)*R25-ERP_i)*Q25*Ramure*Pc/MaxiM</f>
        <v>4.3075898427625371E-4</v>
      </c>
      <c r="Q25" s="305">
        <f t="shared" si="4"/>
        <v>0.5</v>
      </c>
      <c r="R25" s="177">
        <f t="shared" si="5"/>
        <v>0.49774383424826757</v>
      </c>
      <c r="S25" s="811">
        <f t="shared" si="6"/>
        <v>0</v>
      </c>
      <c r="T25" s="176">
        <f t="shared" si="7"/>
        <v>6</v>
      </c>
      <c r="U25" s="251">
        <f t="shared" si="8"/>
        <v>0.49774383424826757</v>
      </c>
      <c r="V25" s="383">
        <f t="shared" si="9"/>
        <v>25.397827326380092</v>
      </c>
      <c r="W25" s="402">
        <f t="shared" si="10"/>
        <v>24.869675378846498</v>
      </c>
      <c r="X25" s="157">
        <f t="shared" si="11"/>
        <v>44937</v>
      </c>
      <c r="Y25" s="385">
        <f t="shared" si="12"/>
        <v>24.218918543503442</v>
      </c>
      <c r="Z25" s="385">
        <f t="shared" si="22"/>
        <v>25.125593668861523</v>
      </c>
      <c r="AA25" s="386">
        <f t="shared" si="13"/>
        <v>27.283372132270816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7.9087674828034582E-2</v>
      </c>
      <c r="AD25" s="231">
        <f>(INDEX(Models!$BJ25:$BT25,,AH25)*(1-AF25)+INDEX(Models!$BJ25:$BT25,,AH25+1)*AF25-ERP_i)*AE25*Ramure*Pc/MaxiM</f>
        <v>4.3075898427625371E-4</v>
      </c>
      <c r="AE25" s="305">
        <f t="shared" si="15"/>
        <v>0.5</v>
      </c>
      <c r="AF25" s="177">
        <f t="shared" si="23"/>
        <v>0.49774383424826757</v>
      </c>
      <c r="AG25" s="811">
        <f t="shared" si="24"/>
        <v>0</v>
      </c>
      <c r="AH25" s="176">
        <f t="shared" si="16"/>
        <v>6</v>
      </c>
      <c r="AI25" s="225">
        <f t="shared" si="17"/>
        <v>0.49774383424826757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21.21909890876622</v>
      </c>
      <c r="C26" s="841"/>
      <c r="D26" s="393">
        <f t="shared" si="0"/>
        <v>22.01395300484673</v>
      </c>
      <c r="E26" s="385">
        <f t="shared" si="1"/>
        <v>23.280509671191133</v>
      </c>
      <c r="F26" s="385">
        <f t="shared" si="2"/>
        <v>23.287952210652939</v>
      </c>
      <c r="G26" s="110">
        <f t="shared" si="21"/>
        <v>0.82835253411499865</v>
      </c>
      <c r="H26" s="414" t="b">
        <f>Wh_hp&gt;='2022'!Maxi_hp</f>
        <v>0</v>
      </c>
      <c r="I26" s="390">
        <f>IF(H26,Wh_hp,'2022'!Maxi_hp)</f>
        <v>27.969146072299974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3.61068316946761E-2</v>
      </c>
      <c r="M26" s="845"/>
      <c r="N26" s="845"/>
      <c r="O26" s="48">
        <f>IF(t&lt;Tnet,'2022'!Resal+('2022'!Salim-'2022'!Resal)*(1-EXP(('2022'!Tnet-t)/('2022'!Tau_j))),Resal+(Salim-Resal)*(1-EXP((Tnet-t)/(Tau_j))))*Salcycl</f>
        <v>5.4404164008132701E-2</v>
      </c>
      <c r="P26" s="169">
        <f>(INDEX(Models!$BJ26:$BT26,,T26)*(1-R26)+INDEX(Models!$BJ26:$BT26,,T26+1)*R26-ERP_i)*Q26*Ramure*Pc/MaxiM</f>
        <v>4.2334401016396752E-4</v>
      </c>
      <c r="Q26" s="305">
        <f t="shared" si="4"/>
        <v>0.5</v>
      </c>
      <c r="R26" s="177">
        <f t="shared" si="5"/>
        <v>0.49778783397593868</v>
      </c>
      <c r="S26" s="811">
        <f t="shared" si="6"/>
        <v>0</v>
      </c>
      <c r="T26" s="176">
        <f t="shared" si="7"/>
        <v>6</v>
      </c>
      <c r="U26" s="251">
        <f t="shared" si="8"/>
        <v>0.49778783397593868</v>
      </c>
      <c r="V26" s="383">
        <f t="shared" si="9"/>
        <v>25.613365943149315</v>
      </c>
      <c r="W26" s="402">
        <f t="shared" si="10"/>
        <v>21.21909890876622</v>
      </c>
      <c r="X26" s="157">
        <f t="shared" si="11"/>
        <v>44938</v>
      </c>
      <c r="Y26" s="385">
        <f t="shared" si="12"/>
        <v>20.664603402413942</v>
      </c>
      <c r="Z26" s="385">
        <f t="shared" si="22"/>
        <v>21.438686445662409</v>
      </c>
      <c r="AA26" s="386">
        <f t="shared" si="13"/>
        <v>23.280509671191133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7.9114385876522267E-2</v>
      </c>
      <c r="AD26" s="231">
        <f>(INDEX(Models!$BJ26:$BT26,,AH26)*(1-AF26)+INDEX(Models!$BJ26:$BT26,,AH26+1)*AF26-ERP_i)*AE26*Ramure*Pc/MaxiM</f>
        <v>4.2334401016396752E-4</v>
      </c>
      <c r="AE26" s="305">
        <f t="shared" si="15"/>
        <v>0.5</v>
      </c>
      <c r="AF26" s="177">
        <f t="shared" si="23"/>
        <v>0.49778783397593868</v>
      </c>
      <c r="AG26" s="811">
        <f t="shared" si="24"/>
        <v>0</v>
      </c>
      <c r="AH26" s="176">
        <f t="shared" si="16"/>
        <v>6</v>
      </c>
      <c r="AI26" s="225">
        <f t="shared" si="17"/>
        <v>0.49778783397593868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5.1099028720542581</v>
      </c>
      <c r="C27" s="841"/>
      <c r="D27" s="393">
        <f t="shared" si="0"/>
        <v>5.3014327339584488</v>
      </c>
      <c r="E27" s="385">
        <f t="shared" si="1"/>
        <v>5.6068094602207603</v>
      </c>
      <c r="F27" s="385">
        <f t="shared" si="2"/>
        <v>5.6068094602207603</v>
      </c>
      <c r="G27" s="110">
        <f t="shared" si="21"/>
        <v>0.19770738288981396</v>
      </c>
      <c r="H27" s="414" t="b">
        <f>Wh_hp&gt;='2022'!Maxi_hp</f>
        <v>0</v>
      </c>
      <c r="I27" s="390">
        <f>IF(H27,Wh_hp,'2022'!Maxi_hp)</f>
        <v>16.029400800100351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3.6127943428828524E-2</v>
      </c>
      <c r="M27" s="845"/>
      <c r="N27" s="845"/>
      <c r="O27" s="48">
        <f>IF(t&lt;Tnet,'2022'!Resal+('2022'!Salim-'2022'!Resal)*(1-EXP(('2022'!Tnet-t)/('2022'!Tau_j))),Resal+(Salim-Resal)*(1-EXP((Tnet-t)/(Tau_j))))*Salcycl</f>
        <v>5.4465329779601168E-2</v>
      </c>
      <c r="P27" s="169">
        <f>(INDEX(Models!$BJ27:$BT27,,T27)*(1-R27)+INDEX(Models!$BJ27:$BT27,,T27+1)*R27-ERP_i)*Q27*Ramure*Pc/MaxiM</f>
        <v>4.1507628184658162E-4</v>
      </c>
      <c r="Q27" s="305">
        <f t="shared" si="4"/>
        <v>0.5</v>
      </c>
      <c r="R27" s="177">
        <f t="shared" si="5"/>
        <v>0.49783367134040779</v>
      </c>
      <c r="S27" s="811">
        <f t="shared" si="6"/>
        <v>0</v>
      </c>
      <c r="T27" s="176">
        <f t="shared" si="7"/>
        <v>6</v>
      </c>
      <c r="U27" s="251">
        <f t="shared" si="8"/>
        <v>0.49783367134040779</v>
      </c>
      <c r="V27" s="383">
        <f t="shared" si="9"/>
        <v>25.835058852689343</v>
      </c>
      <c r="W27" s="402">
        <f t="shared" si="10"/>
        <v>5.1099028720542581</v>
      </c>
      <c r="X27" s="157">
        <f t="shared" si="11"/>
        <v>44939</v>
      </c>
      <c r="Y27" s="385">
        <f t="shared" si="12"/>
        <v>4.9765486772404497</v>
      </c>
      <c r="Z27" s="385">
        <f t="shared" si="22"/>
        <v>5.1630801446239305</v>
      </c>
      <c r="AA27" s="386">
        <f t="shared" si="13"/>
        <v>5.6068094602207603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7.9141144129295737E-2</v>
      </c>
      <c r="AD27" s="231">
        <f>(INDEX(Models!$BJ27:$BT27,,AH27)*(1-AF27)+INDEX(Models!$BJ27:$BT27,,AH27+1)*AF27-ERP_i)*AE27*Ramure*Pc/MaxiM</f>
        <v>4.1507628184658162E-4</v>
      </c>
      <c r="AE27" s="305">
        <f t="shared" si="15"/>
        <v>0.5</v>
      </c>
      <c r="AF27" s="177">
        <f t="shared" si="23"/>
        <v>0.49783367134040779</v>
      </c>
      <c r="AG27" s="811">
        <f t="shared" si="24"/>
        <v>0</v>
      </c>
      <c r="AH27" s="176">
        <f t="shared" si="16"/>
        <v>6</v>
      </c>
      <c r="AI27" s="225">
        <f t="shared" si="17"/>
        <v>0.49783367134040779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25.262855644622952</v>
      </c>
      <c r="C28" s="841"/>
      <c r="D28" s="393">
        <f t="shared" si="0"/>
        <v>26.210334458690653</v>
      </c>
      <c r="E28" s="385">
        <f t="shared" si="1"/>
        <v>27.721912422413002</v>
      </c>
      <c r="F28" s="385">
        <f t="shared" si="2"/>
        <v>27.732677883758818</v>
      </c>
      <c r="G28" s="110">
        <f t="shared" si="21"/>
        <v>0.96929388767531721</v>
      </c>
      <c r="H28" s="414" t="b">
        <f>Wh_hp&gt;='2022'!Maxi_hp</f>
        <v>0</v>
      </c>
      <c r="I28" s="390">
        <f>IF(H28,Wh_hp,'2022'!Maxi_hp)</f>
        <v>27.813666688911876</v>
      </c>
      <c r="J28" s="85">
        <f>IF(H28,An,'2022'!An_max)</f>
        <v>2020</v>
      </c>
      <c r="K28" s="197">
        <f t="shared" si="3"/>
        <v>44940</v>
      </c>
      <c r="L28" s="147">
        <f>IF(t&lt;Tvie,1-EXP((T0-t)*PertePVj)+'2022'!Pspv,1-EXP((T0-t)*PertePVj)+Pspv)</f>
        <v>3.614905470057983E-2</v>
      </c>
      <c r="M28" s="845"/>
      <c r="N28" s="845"/>
      <c r="O28" s="48">
        <f>IF(t&lt;Tnet,'2022'!Resal+('2022'!Salim-'2022'!Resal)*(1-EXP(('2022'!Tnet-t)/('2022'!Tau_j))),Resal+(Salim-Resal)*(1-EXP((Tnet-t)/(Tau_j))))*Salcycl</f>
        <v>5.4526467751923512E-2</v>
      </c>
      <c r="P28" s="169">
        <f>(INDEX(Models!$BJ28:$BT28,,T28)*(1-R28)+INDEX(Models!$BJ28:$BT28,,T28+1)*R28-ERP_i)*Q28*Ramure*Pc/MaxiM</f>
        <v>4.0598577837893193E-4</v>
      </c>
      <c r="Q28" s="305">
        <f t="shared" si="4"/>
        <v>0.5</v>
      </c>
      <c r="R28" s="177">
        <f t="shared" si="5"/>
        <v>0.49788142273079727</v>
      </c>
      <c r="S28" s="811">
        <f t="shared" si="6"/>
        <v>0</v>
      </c>
      <c r="T28" s="176">
        <f t="shared" si="7"/>
        <v>6</v>
      </c>
      <c r="U28" s="251">
        <f t="shared" si="8"/>
        <v>0.49788142273079727</v>
      </c>
      <c r="V28" s="383">
        <f t="shared" si="9"/>
        <v>26.062689695969617</v>
      </c>
      <c r="W28" s="402">
        <f t="shared" si="10"/>
        <v>25.262855644622952</v>
      </c>
      <c r="X28" s="157">
        <f t="shared" si="11"/>
        <v>44940</v>
      </c>
      <c r="Y28" s="385">
        <f t="shared" si="12"/>
        <v>24.604440380136364</v>
      </c>
      <c r="Z28" s="385">
        <f t="shared" si="22"/>
        <v>25.527225449255535</v>
      </c>
      <c r="AA28" s="386">
        <f t="shared" si="13"/>
        <v>27.721912422413002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7.9167949877190877E-2</v>
      </c>
      <c r="AD28" s="231">
        <f>(INDEX(Models!$BJ28:$BT28,,AH28)*(1-AF28)+INDEX(Models!$BJ28:$BT28,,AH28+1)*AF28-ERP_i)*AE28*Ramure*Pc/MaxiM</f>
        <v>4.0598577837893193E-4</v>
      </c>
      <c r="AE28" s="305">
        <f t="shared" si="15"/>
        <v>0.5</v>
      </c>
      <c r="AF28" s="177">
        <f t="shared" si="23"/>
        <v>0.49788142273079727</v>
      </c>
      <c r="AG28" s="811">
        <f t="shared" si="24"/>
        <v>0</v>
      </c>
      <c r="AH28" s="176">
        <f t="shared" si="16"/>
        <v>6</v>
      </c>
      <c r="AI28" s="225">
        <f t="shared" si="17"/>
        <v>0.49788142273079727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26.845392920437874</v>
      </c>
      <c r="C29" s="841"/>
      <c r="D29" s="393">
        <f t="shared" si="0"/>
        <v>27.852834556258731</v>
      </c>
      <c r="E29" s="385">
        <f t="shared" si="1"/>
        <v>29.461041487772654</v>
      </c>
      <c r="F29" s="385">
        <f t="shared" si="2"/>
        <v>29.472715702164695</v>
      </c>
      <c r="G29" s="110">
        <f t="shared" si="21"/>
        <v>1.020891005371974</v>
      </c>
      <c r="H29" s="414" t="b">
        <f>Wh_hp&gt;='2022'!Maxi_hp</f>
        <v>1</v>
      </c>
      <c r="I29" s="390">
        <f>IF(H29,Wh_hp,'2022'!Maxi_hp)</f>
        <v>29.472715702164695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3.6170165509940122E-2</v>
      </c>
      <c r="M29" s="845"/>
      <c r="N29" s="845"/>
      <c r="O29" s="48">
        <f>IF(t&lt;Tnet,'2022'!Resal+('2022'!Salim-'2022'!Resal)*(1-EXP(('2022'!Tnet-t)/('2022'!Tau_j))),Resal+(Salim-Resal)*(1-EXP((Tnet-t)/(Tau_j))))*Salcycl</f>
        <v>5.458757906374035E-2</v>
      </c>
      <c r="P29" s="169">
        <f>(INDEX(Models!$BJ29:$BT29,,T29)*(1-R29)+INDEX(Models!$BJ29:$BT29,,T29+1)*R29-ERP_i)*Q29*Ramure*Pc/MaxiM</f>
        <v>3.9610243284042633E-4</v>
      </c>
      <c r="Q29" s="305">
        <f t="shared" si="4"/>
        <v>0.5</v>
      </c>
      <c r="R29" s="177">
        <f t="shared" si="5"/>
        <v>0.49793116768096962</v>
      </c>
      <c r="S29" s="811">
        <f t="shared" si="6"/>
        <v>0</v>
      </c>
      <c r="T29" s="176">
        <f t="shared" si="7"/>
        <v>6</v>
      </c>
      <c r="U29" s="251">
        <f t="shared" si="8"/>
        <v>0.49793116768096962</v>
      </c>
      <c r="V29" s="383">
        <f t="shared" si="9"/>
        <v>26.296042162362305</v>
      </c>
      <c r="W29" s="402">
        <f t="shared" si="10"/>
        <v>26.845392920437874</v>
      </c>
      <c r="X29" s="157">
        <f t="shared" si="11"/>
        <v>44941</v>
      </c>
      <c r="Y29" s="385">
        <f t="shared" si="12"/>
        <v>26.146660156427203</v>
      </c>
      <c r="Z29" s="385">
        <f t="shared" si="22"/>
        <v>27.127880068436351</v>
      </c>
      <c r="AA29" s="386">
        <f t="shared" si="13"/>
        <v>29.461041487772654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7.9194804443849881E-2</v>
      </c>
      <c r="AD29" s="231">
        <f>(INDEX(Models!$BJ29:$BT29,,AH29)*(1-AF29)+INDEX(Models!$BJ29:$BT29,,AH29+1)*AF29-ERP_i)*AE29*Ramure*Pc/MaxiM</f>
        <v>3.9610243284042633E-4</v>
      </c>
      <c r="AE29" s="305">
        <f t="shared" si="15"/>
        <v>0.5</v>
      </c>
      <c r="AF29" s="177">
        <f t="shared" si="23"/>
        <v>0.49793116768096962</v>
      </c>
      <c r="AG29" s="811">
        <f t="shared" si="24"/>
        <v>0</v>
      </c>
      <c r="AH29" s="176">
        <f t="shared" si="16"/>
        <v>6</v>
      </c>
      <c r="AI29" s="225">
        <f t="shared" si="17"/>
        <v>0.49793116768096962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26.366244776953522</v>
      </c>
      <c r="C30" s="841"/>
      <c r="D30" s="393">
        <f t="shared" si="0"/>
        <v>27.356304333513556</v>
      </c>
      <c r="E30" s="385">
        <f t="shared" si="1"/>
        <v>28.937711656712246</v>
      </c>
      <c r="F30" s="385">
        <f t="shared" si="2"/>
        <v>28.948768324446398</v>
      </c>
      <c r="G30" s="110">
        <f t="shared" si="21"/>
        <v>0.99364052697403527</v>
      </c>
      <c r="H30" s="414" t="b">
        <f>Wh_hp&gt;='2022'!Maxi_hp</f>
        <v>0</v>
      </c>
      <c r="I30" s="390">
        <f>IF(H30,Wh_hp,'2022'!Maxi_hp)</f>
        <v>29.178076379468706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3.6191275856919614E-2</v>
      </c>
      <c r="M30" s="845"/>
      <c r="N30" s="845"/>
      <c r="O30" s="48">
        <f>IF(t&lt;Tnet,'2022'!Resal+('2022'!Salim-'2022'!Resal)*(1-EXP(('2022'!Tnet-t)/('2022'!Tau_j))),Resal+(Salim-Resal)*(1-EXP((Tnet-t)/(Tau_j))))*Salcycl</f>
        <v>5.464866544939375E-2</v>
      </c>
      <c r="P30" s="169">
        <f>(INDEX(Models!$BJ30:$BT30,,T30)*(1-R30)+INDEX(Models!$BJ30:$BT30,,T30+1)*R30-ERP_i)*Q30*Ramure*Pc/MaxiM</f>
        <v>3.8543892415879359E-4</v>
      </c>
      <c r="Q30" s="305">
        <f t="shared" si="4"/>
        <v>0.5</v>
      </c>
      <c r="R30" s="177">
        <f t="shared" si="5"/>
        <v>0.4979829889963629</v>
      </c>
      <c r="S30" s="811">
        <f t="shared" si="6"/>
        <v>0</v>
      </c>
      <c r="T30" s="176">
        <f t="shared" si="7"/>
        <v>6</v>
      </c>
      <c r="U30" s="251">
        <f t="shared" si="8"/>
        <v>0.4979829889963629</v>
      </c>
      <c r="V30" s="383">
        <f t="shared" si="9"/>
        <v>26.534900449235206</v>
      </c>
      <c r="W30" s="402">
        <f t="shared" si="10"/>
        <v>26.366244776953522</v>
      </c>
      <c r="X30" s="157">
        <f t="shared" si="11"/>
        <v>44942</v>
      </c>
      <c r="Y30" s="385">
        <f t="shared" si="12"/>
        <v>25.680892269145616</v>
      </c>
      <c r="Z30" s="385">
        <f t="shared" si="22"/>
        <v>26.645216655388158</v>
      </c>
      <c r="AA30" s="386">
        <f t="shared" si="13"/>
        <v>28.937711656712246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7.9221710013560584E-2</v>
      </c>
      <c r="AD30" s="231">
        <f>(INDEX(Models!$BJ30:$BT30,,AH30)*(1-AF30)+INDEX(Models!$BJ30:$BT30,,AH30+1)*AF30-ERP_i)*AE30*Ramure*Pc/MaxiM</f>
        <v>3.8543892415879359E-4</v>
      </c>
      <c r="AE30" s="305">
        <f t="shared" si="15"/>
        <v>0.5</v>
      </c>
      <c r="AF30" s="177">
        <f t="shared" si="23"/>
        <v>0.4979829889963629</v>
      </c>
      <c r="AG30" s="811">
        <f t="shared" si="24"/>
        <v>0</v>
      </c>
      <c r="AH30" s="176">
        <f t="shared" si="16"/>
        <v>6</v>
      </c>
      <c r="AI30" s="225">
        <f t="shared" si="17"/>
        <v>0.4979829889963629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13.49651738560765</v>
      </c>
      <c r="C31" s="841"/>
      <c r="D31" s="393">
        <f t="shared" si="0"/>
        <v>14.003621945268232</v>
      </c>
      <c r="E31" s="385">
        <f t="shared" si="1"/>
        <v>14.814097189711855</v>
      </c>
      <c r="F31" s="385">
        <f t="shared" si="2"/>
        <v>14.815713663472089</v>
      </c>
      <c r="G31" s="110">
        <f t="shared" si="21"/>
        <v>0.50386187441179742</v>
      </c>
      <c r="H31" s="414" t="b">
        <f>Wh_hp&gt;='2022'!Maxi_hp</f>
        <v>0</v>
      </c>
      <c r="I31" s="390">
        <f>IF(H31,Wh_hp,'2022'!Maxi_hp)</f>
        <v>14.816853446814875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3.6212385741528186E-2</v>
      </c>
      <c r="M31" s="845"/>
      <c r="N31" s="845"/>
      <c r="O31" s="48">
        <f>IF(t&lt;Tnet,'2022'!Resal+('2022'!Salim-'2022'!Resal)*(1-EXP(('2022'!Tnet-t)/('2022'!Tau_j))),Resal+(Salim-Resal)*(1-EXP((Tnet-t)/(Tau_j))))*Salcycl</f>
        <v>5.4709729122506677E-2</v>
      </c>
      <c r="P31" s="169">
        <f>(INDEX(Models!$BJ31:$BT31,,T31)*(1-R31)+INDEX(Models!$BJ31:$BT31,,T31+1)*R31-ERP_i)*Q31*Ramure*Pc/MaxiM</f>
        <v>3.7438922608063721E-4</v>
      </c>
      <c r="Q31" s="305">
        <f t="shared" si="4"/>
        <v>0.5</v>
      </c>
      <c r="R31" s="177">
        <f t="shared" si="5"/>
        <v>0.49803697288571702</v>
      </c>
      <c r="S31" s="811">
        <f t="shared" si="6"/>
        <v>0</v>
      </c>
      <c r="T31" s="176">
        <f t="shared" si="7"/>
        <v>6</v>
      </c>
      <c r="U31" s="251">
        <f t="shared" si="8"/>
        <v>0.49803697288571702</v>
      </c>
      <c r="V31" s="383">
        <f t="shared" si="9"/>
        <v>26.779038605277606</v>
      </c>
      <c r="W31" s="402">
        <f t="shared" si="10"/>
        <v>13.49651738560765</v>
      </c>
      <c r="X31" s="157">
        <f t="shared" si="11"/>
        <v>44943</v>
      </c>
      <c r="Y31" s="385">
        <f t="shared" si="12"/>
        <v>13.146159146362896</v>
      </c>
      <c r="Z31" s="385">
        <f t="shared" si="22"/>
        <v>13.640099698186528</v>
      </c>
      <c r="AA31" s="386">
        <f t="shared" si="13"/>
        <v>14.814097189711855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7.9248669459293763E-2</v>
      </c>
      <c r="AD31" s="231">
        <f>(INDEX(Models!$BJ31:$BT31,,AH31)*(1-AF31)+INDEX(Models!$BJ31:$BT31,,AH31+1)*AF31-ERP_i)*AE31*Ramure*Pc/MaxiM</f>
        <v>3.7438922608063721E-4</v>
      </c>
      <c r="AE31" s="305">
        <f t="shared" si="15"/>
        <v>0.5</v>
      </c>
      <c r="AF31" s="177">
        <f t="shared" si="23"/>
        <v>0.49803697288571702</v>
      </c>
      <c r="AG31" s="811">
        <f t="shared" si="24"/>
        <v>0</v>
      </c>
      <c r="AH31" s="176">
        <f t="shared" si="16"/>
        <v>6</v>
      </c>
      <c r="AI31" s="225">
        <f t="shared" si="17"/>
        <v>0.49803697288571702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3.5632911623072507</v>
      </c>
      <c r="C32" s="841"/>
      <c r="D32" s="393">
        <f t="shared" si="0"/>
        <v>3.6972556572847206</v>
      </c>
      <c r="E32" s="385">
        <f t="shared" si="1"/>
        <v>3.9114910440198809</v>
      </c>
      <c r="F32" s="385">
        <f t="shared" si="2"/>
        <v>3.9114910440198809</v>
      </c>
      <c r="G32" s="110">
        <f t="shared" si="21"/>
        <v>0.13178800100404908</v>
      </c>
      <c r="H32" s="414" t="b">
        <f>Wh_hp&gt;='2022'!Maxi_hp</f>
        <v>0</v>
      </c>
      <c r="I32" s="390">
        <f>IF(H32,Wh_hp,'2022'!Maxi_hp)</f>
        <v>28.469265740450702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3.6233495163776164E-2</v>
      </c>
      <c r="M32" s="845"/>
      <c r="N32" s="845"/>
      <c r="O32" s="48">
        <f>IF(t&lt;Tnet,'2022'!Resal+('2022'!Salim-'2022'!Resal)*(1-EXP(('2022'!Tnet-t)/('2022'!Tau_j))),Resal+(Salim-Resal)*(1-EXP((Tnet-t)/(Tau_j))))*Salcycl</f>
        <v>5.4770772660388947E-2</v>
      </c>
      <c r="P32" s="169">
        <f>(INDEX(Models!$BJ32:$BT32,,T32)*(1-R32)+INDEX(Models!$BJ32:$BT32,,T32+1)*R32-ERP_i)*Q32*Ramure*Pc/MaxiM</f>
        <v>3.6297275644698907E-4</v>
      </c>
      <c r="Q32" s="305">
        <f t="shared" si="4"/>
        <v>0.5</v>
      </c>
      <c r="R32" s="177">
        <f t="shared" si="5"/>
        <v>0.4980932090978587</v>
      </c>
      <c r="S32" s="811">
        <f t="shared" si="6"/>
        <v>0</v>
      </c>
      <c r="T32" s="176">
        <f t="shared" si="7"/>
        <v>6</v>
      </c>
      <c r="U32" s="251">
        <f t="shared" si="8"/>
        <v>0.4980932090978587</v>
      </c>
      <c r="V32" s="383">
        <f t="shared" si="9"/>
        <v>27.028240488924368</v>
      </c>
      <c r="W32" s="402">
        <f t="shared" si="10"/>
        <v>3.5632911623072507</v>
      </c>
      <c r="X32" s="157">
        <f t="shared" si="11"/>
        <v>44944</v>
      </c>
      <c r="Y32" s="385">
        <f t="shared" si="12"/>
        <v>3.4709134202462248</v>
      </c>
      <c r="Z32" s="385">
        <f t="shared" si="22"/>
        <v>3.6014049075466148</v>
      </c>
      <c r="AA32" s="386">
        <f t="shared" si="13"/>
        <v>3.9114910440198809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7.9275686172756071E-2</v>
      </c>
      <c r="AD32" s="231">
        <f>(INDEX(Models!$BJ32:$BT32,,AH32)*(1-AF32)+INDEX(Models!$BJ32:$BT32,,AH32+1)*AF32-ERP_i)*AE32*Ramure*Pc/MaxiM</f>
        <v>3.6297275644698907E-4</v>
      </c>
      <c r="AE32" s="305">
        <f t="shared" si="15"/>
        <v>0.5</v>
      </c>
      <c r="AF32" s="177">
        <f t="shared" si="23"/>
        <v>0.4980932090978587</v>
      </c>
      <c r="AG32" s="811">
        <f t="shared" si="24"/>
        <v>0</v>
      </c>
      <c r="AH32" s="176">
        <f t="shared" si="16"/>
        <v>6</v>
      </c>
      <c r="AI32" s="225">
        <f t="shared" si="17"/>
        <v>0.4980932090978587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10.306862037708054</v>
      </c>
      <c r="C33" s="841"/>
      <c r="D33" s="393">
        <f t="shared" si="0"/>
        <v>10.694590170608393</v>
      </c>
      <c r="E33" s="385">
        <f t="shared" si="1"/>
        <v>11.315012669760065</v>
      </c>
      <c r="F33" s="385">
        <f t="shared" si="2"/>
        <v>11.315454280098699</v>
      </c>
      <c r="G33" s="110">
        <f t="shared" si="21"/>
        <v>0.37766786784171391</v>
      </c>
      <c r="H33" s="414" t="b">
        <f>Wh_hp&gt;='2022'!Maxi_hp</f>
        <v>0</v>
      </c>
      <c r="I33" s="390">
        <f>IF(H33,Wh_hp,'2022'!Maxi_hp)</f>
        <v>30.474199442688686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3.625460412367365E-2</v>
      </c>
      <c r="M33" s="845"/>
      <c r="N33" s="845"/>
      <c r="O33" s="48">
        <f>IF(t&lt;Tnet,'2022'!Resal+('2022'!Salim-'2022'!Resal)*(1-EXP(('2022'!Tnet-t)/('2022'!Tau_j))),Resal+(Salim-Resal)*(1-EXP((Tnet-t)/(Tau_j))))*Salcycl</f>
        <v>5.4831798890493687E-2</v>
      </c>
      <c r="P33" s="169">
        <f>(INDEX(Models!$BJ33:$BT33,,T33)*(1-R33)+INDEX(Models!$BJ33:$BT33,,T33+1)*R33-ERP_i)*Q33*Ramure*Pc/MaxiM</f>
        <v>3.5120840366695516E-4</v>
      </c>
      <c r="Q33" s="305">
        <f t="shared" si="4"/>
        <v>0.5</v>
      </c>
      <c r="R33" s="177">
        <f t="shared" si="5"/>
        <v>0.4981517910637196</v>
      </c>
      <c r="S33" s="811">
        <f t="shared" si="6"/>
        <v>0</v>
      </c>
      <c r="T33" s="176">
        <f t="shared" si="7"/>
        <v>6</v>
      </c>
      <c r="U33" s="251">
        <f t="shared" si="8"/>
        <v>0.4981517910637196</v>
      </c>
      <c r="V33" s="383">
        <f t="shared" si="9"/>
        <v>27.282290024487541</v>
      </c>
      <c r="W33" s="402">
        <f t="shared" si="10"/>
        <v>10.306862037708054</v>
      </c>
      <c r="X33" s="157">
        <f t="shared" si="11"/>
        <v>44945</v>
      </c>
      <c r="Y33" s="385">
        <f t="shared" si="12"/>
        <v>10.040011269804454</v>
      </c>
      <c r="Z33" s="385">
        <f t="shared" si="22"/>
        <v>10.417700891504802</v>
      </c>
      <c r="AA33" s="386">
        <f t="shared" si="13"/>
        <v>11.315012669760065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7.9302763898212295E-2</v>
      </c>
      <c r="AD33" s="231">
        <f>(INDEX(Models!$BJ33:$BT33,,AH33)*(1-AF33)+INDEX(Models!$BJ33:$BT33,,AH33+1)*AF33-ERP_i)*AE33*Ramure*Pc/MaxiM</f>
        <v>3.5120840366695516E-4</v>
      </c>
      <c r="AE33" s="305">
        <f t="shared" si="15"/>
        <v>0.5</v>
      </c>
      <c r="AF33" s="177">
        <f t="shared" si="23"/>
        <v>0.4981517910637196</v>
      </c>
      <c r="AG33" s="811">
        <f t="shared" si="24"/>
        <v>0</v>
      </c>
      <c r="AH33" s="176">
        <f t="shared" si="16"/>
        <v>6</v>
      </c>
      <c r="AI33" s="225">
        <f t="shared" si="17"/>
        <v>0.4981517910637196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6.4837079215651743</v>
      </c>
      <c r="C34" s="841"/>
      <c r="D34" s="393">
        <f t="shared" si="0"/>
        <v>6.7277622930933818</v>
      </c>
      <c r="E34" s="385">
        <f t="shared" si="1"/>
        <v>7.1185177404549655</v>
      </c>
      <c r="F34" s="385">
        <f t="shared" si="2"/>
        <v>7.1185177404549655</v>
      </c>
      <c r="G34" s="110">
        <f t="shared" si="21"/>
        <v>0.23534061874079121</v>
      </c>
      <c r="H34" s="414" t="b">
        <f>Wh_hp&gt;='2022'!Maxi_hp</f>
        <v>0</v>
      </c>
      <c r="I34" s="390">
        <f>IF(H34,Wh_hp,'2022'!Maxi_hp)</f>
        <v>12.344744575403277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3.6275712621230638E-2</v>
      </c>
      <c r="M34" s="845"/>
      <c r="N34" s="845"/>
      <c r="O34" s="48">
        <f>IF(t&lt;Tnet,'2022'!Resal+('2022'!Salim-'2022'!Resal)*(1-EXP(('2022'!Tnet-t)/('2022'!Tau_j))),Resal+(Salim-Resal)*(1-EXP((Tnet-t)/(Tau_j))))*Salcycl</f>
        <v>5.4892810780100498E-2</v>
      </c>
      <c r="P34" s="169">
        <f>(INDEX(Models!$BJ34:$BT34,,T34)*(1-R34)+INDEX(Models!$BJ34:$BT34,,T34+1)*R34-ERP_i)*Q34*Ramure*Pc/MaxiM</f>
        <v>3.3911637763640493E-4</v>
      </c>
      <c r="Q34" s="305">
        <f t="shared" si="4"/>
        <v>0.5</v>
      </c>
      <c r="R34" s="177">
        <f t="shared" si="5"/>
        <v>0.49821281604376222</v>
      </c>
      <c r="S34" s="811">
        <f t="shared" si="6"/>
        <v>0</v>
      </c>
      <c r="T34" s="176">
        <f t="shared" si="7"/>
        <v>6</v>
      </c>
      <c r="U34" s="251">
        <f t="shared" si="8"/>
        <v>0.49821281604376222</v>
      </c>
      <c r="V34" s="383">
        <f t="shared" si="9"/>
        <v>27.540971145146955</v>
      </c>
      <c r="W34" s="402">
        <f t="shared" si="10"/>
        <v>6.4837079215651743</v>
      </c>
      <c r="X34" s="157">
        <f t="shared" si="11"/>
        <v>44946</v>
      </c>
      <c r="Y34" s="385">
        <f t="shared" si="12"/>
        <v>6.3160623958813158</v>
      </c>
      <c r="Z34" s="385">
        <f t="shared" si="22"/>
        <v>6.5538063931753285</v>
      </c>
      <c r="AA34" s="386">
        <f t="shared" si="13"/>
        <v>7.1185177404549655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7.9329906571749986E-2</v>
      </c>
      <c r="AD34" s="231">
        <f>(INDEX(Models!$BJ34:$BT34,,AH34)*(1-AF34)+INDEX(Models!$BJ34:$BT34,,AH34+1)*AF34-ERP_i)*AE34*Ramure*Pc/MaxiM</f>
        <v>3.3911637763640493E-4</v>
      </c>
      <c r="AE34" s="305">
        <f t="shared" si="15"/>
        <v>0.5</v>
      </c>
      <c r="AF34" s="177">
        <f t="shared" si="23"/>
        <v>0.49821281604376222</v>
      </c>
      <c r="AG34" s="811">
        <f t="shared" si="24"/>
        <v>0</v>
      </c>
      <c r="AH34" s="176">
        <f t="shared" si="16"/>
        <v>6</v>
      </c>
      <c r="AI34" s="225">
        <f t="shared" si="17"/>
        <v>0.49821281604376222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20.710291853581971</v>
      </c>
      <c r="C35" s="841"/>
      <c r="D35" s="393">
        <f t="shared" si="0"/>
        <v>21.490322225241027</v>
      </c>
      <c r="E35" s="385">
        <f t="shared" si="1"/>
        <v>22.739970260599613</v>
      </c>
      <c r="F35" s="385">
        <f t="shared" si="2"/>
        <v>22.744692873039817</v>
      </c>
      <c r="G35" s="110">
        <f t="shared" si="21"/>
        <v>0.7447768169066219</v>
      </c>
      <c r="H35" s="414" t="b">
        <f>Wh_hp&gt;='2022'!Maxi_hp</f>
        <v>0</v>
      </c>
      <c r="I35" s="390">
        <f>IF(H35,Wh_hp,'2022'!Maxi_hp)</f>
        <v>22.745493436016041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3.6296820656457451E-2</v>
      </c>
      <c r="M35" s="845"/>
      <c r="N35" s="845"/>
      <c r="O35" s="48">
        <f>IF(t&lt;Tnet,'2022'!Resal+('2022'!Salim-'2022'!Resal)*(1-EXP(('2022'!Tnet-t)/('2022'!Tau_j))),Resal+(Salim-Resal)*(1-EXP((Tnet-t)/(Tau_j))))*Salcycl</f>
        <v>5.495381133034228E-2</v>
      </c>
      <c r="P35" s="169">
        <f>(INDEX(Models!$BJ35:$BT35,,T35)*(1-R35)+INDEX(Models!$BJ35:$BT35,,T35+1)*R35-ERP_i)*Q35*Ramure*Pc/MaxiM</f>
        <v>3.2671683197140345E-4</v>
      </c>
      <c r="Q35" s="305">
        <f t="shared" si="4"/>
        <v>0.5</v>
      </c>
      <c r="R35" s="177">
        <f t="shared" si="5"/>
        <v>0.49827638528099844</v>
      </c>
      <c r="S35" s="811">
        <f t="shared" si="6"/>
        <v>0</v>
      </c>
      <c r="T35" s="176">
        <f t="shared" si="7"/>
        <v>6</v>
      </c>
      <c r="U35" s="251">
        <f t="shared" si="8"/>
        <v>0.49827638528099844</v>
      </c>
      <c r="V35" s="383">
        <f t="shared" si="9"/>
        <v>27.804067833946398</v>
      </c>
      <c r="W35" s="402">
        <f t="shared" si="10"/>
        <v>20.710291853581971</v>
      </c>
      <c r="X35" s="157">
        <f t="shared" si="11"/>
        <v>44947</v>
      </c>
      <c r="Y35" s="385">
        <f t="shared" si="12"/>
        <v>20.175503593652735</v>
      </c>
      <c r="Z35" s="385">
        <f t="shared" si="22"/>
        <v>20.935391753502287</v>
      </c>
      <c r="AA35" s="386">
        <f t="shared" si="13"/>
        <v>22.739970260599613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7.9357118167565466E-2</v>
      </c>
      <c r="AD35" s="231">
        <f>(INDEX(Models!$BJ35:$BT35,,AH35)*(1-AF35)+INDEX(Models!$BJ35:$BT35,,AH35+1)*AF35-ERP_i)*AE35*Ramure*Pc/MaxiM</f>
        <v>3.2671683197140345E-4</v>
      </c>
      <c r="AE35" s="305">
        <f t="shared" si="15"/>
        <v>0.5</v>
      </c>
      <c r="AF35" s="177">
        <f t="shared" si="23"/>
        <v>0.49827638528099844</v>
      </c>
      <c r="AG35" s="811">
        <f t="shared" si="24"/>
        <v>0</v>
      </c>
      <c r="AH35" s="176">
        <f t="shared" si="16"/>
        <v>6</v>
      </c>
      <c r="AI35" s="225">
        <f t="shared" si="17"/>
        <v>0.49827638528099844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27.944095127431609</v>
      </c>
      <c r="C36" s="841"/>
      <c r="D36" s="393">
        <f t="shared" si="0"/>
        <v>28.99721385922237</v>
      </c>
      <c r="E36" s="385">
        <f t="shared" si="1"/>
        <v>30.685363078567981</v>
      </c>
      <c r="F36" s="385">
        <f t="shared" si="2"/>
        <v>30.69493970387509</v>
      </c>
      <c r="G36" s="110">
        <f t="shared" si="21"/>
        <v>0.99546420616090348</v>
      </c>
      <c r="H36" s="414" t="b">
        <f>Wh_hp&gt;='2022'!Maxi_hp</f>
        <v>0</v>
      </c>
      <c r="I36" s="390">
        <f>IF(H36,Wh_hp,'2022'!Maxi_hp)</f>
        <v>30.694958235093285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3.6317928229364083E-2</v>
      </c>
      <c r="M36" s="845"/>
      <c r="N36" s="845"/>
      <c r="O36" s="48">
        <f>IF(t&lt;Tnet,'2022'!Resal+('2022'!Salim-'2022'!Resal)*(1-EXP(('2022'!Tnet-t)/('2022'!Tau_j))),Resal+(Salim-Resal)*(1-EXP((Tnet-t)/(Tau_j))))*Salcycl</f>
        <v>5.5014803475624784E-2</v>
      </c>
      <c r="P36" s="169">
        <f>(INDEX(Models!$BJ36:$BT36,,T36)*(1-R36)+INDEX(Models!$BJ36:$BT36,,T36+1)*R36-ERP_i)*Q36*Ramure*Pc/MaxiM</f>
        <v>3.1402751571672549E-4</v>
      </c>
      <c r="Q36" s="305">
        <f t="shared" si="4"/>
        <v>0.5</v>
      </c>
      <c r="R36" s="177">
        <f t="shared" si="5"/>
        <v>0.49834260415978049</v>
      </c>
      <c r="S36" s="811">
        <f t="shared" si="6"/>
        <v>0</v>
      </c>
      <c r="T36" s="176">
        <f t="shared" si="7"/>
        <v>6</v>
      </c>
      <c r="U36" s="251">
        <f t="shared" si="8"/>
        <v>0.49834260415978049</v>
      </c>
      <c r="V36" s="383">
        <f t="shared" si="9"/>
        <v>28.071364195046737</v>
      </c>
      <c r="W36" s="402">
        <f t="shared" si="10"/>
        <v>27.944095127431609</v>
      </c>
      <c r="X36" s="157">
        <f t="shared" si="11"/>
        <v>44948</v>
      </c>
      <c r="Y36" s="385">
        <f t="shared" si="12"/>
        <v>27.223463315067836</v>
      </c>
      <c r="Z36" s="385">
        <f t="shared" si="22"/>
        <v>28.249423863461931</v>
      </c>
      <c r="AA36" s="386">
        <f t="shared" si="13"/>
        <v>30.685363078567981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7.938440255274079E-2</v>
      </c>
      <c r="AD36" s="231">
        <f>(INDEX(Models!$BJ36:$BT36,,AH36)*(1-AF36)+INDEX(Models!$BJ36:$BT36,,AH36+1)*AF36-ERP_i)*AE36*Ramure*Pc/MaxiM</f>
        <v>3.1402751571672549E-4</v>
      </c>
      <c r="AE36" s="305">
        <f t="shared" si="15"/>
        <v>0.5</v>
      </c>
      <c r="AF36" s="177">
        <f t="shared" si="23"/>
        <v>0.49834260415978049</v>
      </c>
      <c r="AG36" s="811">
        <f t="shared" si="24"/>
        <v>0</v>
      </c>
      <c r="AH36" s="176">
        <f t="shared" si="16"/>
        <v>6</v>
      </c>
      <c r="AI36" s="225">
        <f t="shared" si="17"/>
        <v>0.49834260415978049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28.008807531605935</v>
      </c>
      <c r="C37" s="841"/>
      <c r="D37" s="393">
        <f t="shared" si="0"/>
        <v>29.065001653861628</v>
      </c>
      <c r="E37" s="385">
        <f t="shared" si="1"/>
        <v>30.759082417346306</v>
      </c>
      <c r="F37" s="385">
        <f t="shared" si="2"/>
        <v>30.768187705514809</v>
      </c>
      <c r="G37" s="110">
        <f t="shared" si="21"/>
        <v>0.98812379257200689</v>
      </c>
      <c r="H37" s="414" t="b">
        <f>Wh_hp&gt;='2022'!Maxi_hp</f>
        <v>0</v>
      </c>
      <c r="I37" s="390">
        <f>IF(H37,Wh_hp,'2022'!Maxi_hp)</f>
        <v>30.768234513818296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3.6339035339960635E-2</v>
      </c>
      <c r="M37" s="845"/>
      <c r="N37" s="845"/>
      <c r="O37" s="48">
        <f>IF(t&lt;Tnet,'2022'!Resal+('2022'!Salim-'2022'!Resal)*(1-EXP(('2022'!Tnet-t)/('2022'!Tau_j))),Resal+(Salim-Resal)*(1-EXP((Tnet-t)/(Tau_j))))*Salcycl</f>
        <v>5.5075789989408624E-2</v>
      </c>
      <c r="P37" s="169">
        <f>(INDEX(Models!$BJ37:$BT37,,T37)*(1-R37)+INDEX(Models!$BJ37:$BT37,,T37+1)*R37-ERP_i)*Q37*Ramure*Pc/MaxiM</f>
        <v>3.0103712642383693E-4</v>
      </c>
      <c r="Q37" s="305">
        <f t="shared" si="4"/>
        <v>0.5</v>
      </c>
      <c r="R37" s="177">
        <f t="shared" si="5"/>
        <v>0.49841158237055783</v>
      </c>
      <c r="S37" s="811">
        <f t="shared" si="6"/>
        <v>0</v>
      </c>
      <c r="T37" s="176">
        <f t="shared" si="7"/>
        <v>6</v>
      </c>
      <c r="U37" s="251">
        <f t="shared" si="8"/>
        <v>0.49841158237055783</v>
      </c>
      <c r="V37" s="383">
        <f t="shared" si="9"/>
        <v>28.345299150218217</v>
      </c>
      <c r="W37" s="402">
        <f t="shared" si="10"/>
        <v>28.008807531605935</v>
      </c>
      <c r="X37" s="157">
        <f t="shared" si="11"/>
        <v>44949</v>
      </c>
      <c r="Y37" s="385">
        <f t="shared" si="12"/>
        <v>27.287456986470083</v>
      </c>
      <c r="Z37" s="385">
        <f t="shared" si="22"/>
        <v>28.316449443499625</v>
      </c>
      <c r="AA37" s="386">
        <f t="shared" si="13"/>
        <v>30.759082417346306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7.9411763351860593E-2</v>
      </c>
      <c r="AD37" s="231">
        <f>(INDEX(Models!$BJ37:$BT37,,AH37)*(1-AF37)+INDEX(Models!$BJ37:$BT37,,AH37+1)*AF37-ERP_i)*AE37*Ramure*Pc/MaxiM</f>
        <v>3.0103712642383693E-4</v>
      </c>
      <c r="AE37" s="305">
        <f t="shared" si="15"/>
        <v>0.5</v>
      </c>
      <c r="AF37" s="177">
        <f t="shared" si="23"/>
        <v>0.49841158237055783</v>
      </c>
      <c r="AG37" s="811">
        <f t="shared" si="24"/>
        <v>0</v>
      </c>
      <c r="AH37" s="176">
        <f t="shared" si="16"/>
        <v>6</v>
      </c>
      <c r="AI37" s="225">
        <f t="shared" si="17"/>
        <v>0.49841158237055783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28.638554323948405</v>
      </c>
      <c r="C38" s="841"/>
      <c r="D38" s="393">
        <f t="shared" si="0"/>
        <v>29.719146718399259</v>
      </c>
      <c r="E38" s="385">
        <f t="shared" si="1"/>
        <v>31.453384872701548</v>
      </c>
      <c r="F38" s="385">
        <f t="shared" si="2"/>
        <v>31.46244680579083</v>
      </c>
      <c r="G38" s="110">
        <f t="shared" si="21"/>
        <v>1.0003758637461395</v>
      </c>
      <c r="H38" s="414" t="b">
        <f>Wh_hp&gt;='2022'!Maxi_hp</f>
        <v>1</v>
      </c>
      <c r="I38" s="390">
        <f>IF(H38,Wh_hp,'2022'!Maxi_hp)</f>
        <v>31.46244680579083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3.6360141988257433E-2</v>
      </c>
      <c r="M38" s="845"/>
      <c r="N38" s="845"/>
      <c r="O38" s="48">
        <f>IF(t&lt;Tnet,'2022'!Resal+('2022'!Salim-'2022'!Resal)*(1-EXP(('2022'!Tnet-t)/('2022'!Tau_j))),Resal+(Salim-Resal)*(1-EXP((Tnet-t)/(Tau_j))))*Salcycl</f>
        <v>5.5136773397239026E-2</v>
      </c>
      <c r="P38" s="169">
        <f>(INDEX(Models!$BJ38:$BT38,,T38)*(1-R38)+INDEX(Models!$BJ38:$BT38,,T38+1)*R38-ERP_i)*Q38*Ramure*Pc/MaxiM</f>
        <v>2.8802378738115896E-4</v>
      </c>
      <c r="Q38" s="305">
        <f t="shared" si="4"/>
        <v>0.5</v>
      </c>
      <c r="R38" s="177">
        <f t="shared" si="5"/>
        <v>0.49848343408078727</v>
      </c>
      <c r="S38" s="811">
        <f t="shared" si="6"/>
        <v>0</v>
      </c>
      <c r="T38" s="176">
        <f t="shared" si="7"/>
        <v>6</v>
      </c>
      <c r="U38" s="251">
        <f t="shared" si="8"/>
        <v>0.49848343408078727</v>
      </c>
      <c r="V38" s="383">
        <f t="shared" si="9"/>
        <v>28.627794173986459</v>
      </c>
      <c r="W38" s="402">
        <f t="shared" si="10"/>
        <v>28.638554323948405</v>
      </c>
      <c r="X38" s="157">
        <f t="shared" si="11"/>
        <v>44950</v>
      </c>
      <c r="Y38" s="385">
        <f t="shared" si="12"/>
        <v>27.901954089811301</v>
      </c>
      <c r="Z38" s="385">
        <f t="shared" si="22"/>
        <v>28.954753020885629</v>
      </c>
      <c r="AA38" s="386">
        <f t="shared" si="13"/>
        <v>31.453384872701548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7.9439203822685794E-2</v>
      </c>
      <c r="AD38" s="231">
        <f>(INDEX(Models!$BJ38:$BT38,,AH38)*(1-AF38)+INDEX(Models!$BJ38:$BT38,,AH38+1)*AF38-ERP_i)*AE38*Ramure*Pc/MaxiM</f>
        <v>2.8802378738115896E-4</v>
      </c>
      <c r="AE38" s="305">
        <f t="shared" si="15"/>
        <v>0.5</v>
      </c>
      <c r="AF38" s="177">
        <f t="shared" si="23"/>
        <v>0.49848343408078727</v>
      </c>
      <c r="AG38" s="811">
        <f t="shared" si="24"/>
        <v>0</v>
      </c>
      <c r="AH38" s="176">
        <f t="shared" si="16"/>
        <v>6</v>
      </c>
      <c r="AI38" s="225">
        <f t="shared" si="17"/>
        <v>0.49848343408078727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27.274799118417846</v>
      </c>
      <c r="C39" s="841"/>
      <c r="D39" s="393">
        <f t="shared" si="0"/>
        <v>28.304554126558052</v>
      </c>
      <c r="E39" s="385">
        <f t="shared" si="1"/>
        <v>29.958178341812573</v>
      </c>
      <c r="F39" s="385">
        <f t="shared" si="2"/>
        <v>29.965762571226907</v>
      </c>
      <c r="G39" s="110">
        <f t="shared" si="21"/>
        <v>0.94316081221940762</v>
      </c>
      <c r="H39" s="414" t="b">
        <f>Wh_hp&gt;='2022'!Maxi_hp</f>
        <v>0</v>
      </c>
      <c r="I39" s="390">
        <f>IF(H39,Wh_hp,'2022'!Maxi_hp)</f>
        <v>29.965963471414504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3.6381248174264358E-2</v>
      </c>
      <c r="M39" s="845"/>
      <c r="N39" s="845"/>
      <c r="O39" s="48">
        <f>IF(t&lt;Tnet,'2022'!Resal+('2022'!Salim-'2022'!Resal)*(1-EXP(('2022'!Tnet-t)/('2022'!Tau_j))),Resal+(Salim-Resal)*(1-EXP((Tnet-t)/(Tau_j))))*Salcycl</f>
        <v>5.5197755897813089E-2</v>
      </c>
      <c r="P39" s="169">
        <f>(INDEX(Models!$BJ39:$BT39,,T39)*(1-R39)+INDEX(Models!$BJ39:$BT39,,T39+1)*R39-ERP_i)*Q39*Ramure*Pc/MaxiM</f>
        <v>2.7545480294619831E-4</v>
      </c>
      <c r="Q39" s="305">
        <f t="shared" si="4"/>
        <v>0.5</v>
      </c>
      <c r="R39" s="177">
        <f t="shared" si="5"/>
        <v>0.4985582781121955</v>
      </c>
      <c r="S39" s="811">
        <f t="shared" si="6"/>
        <v>0</v>
      </c>
      <c r="T39" s="176">
        <f t="shared" si="7"/>
        <v>6</v>
      </c>
      <c r="U39" s="251">
        <f t="shared" si="8"/>
        <v>0.4985582781121955</v>
      </c>
      <c r="V39" s="383">
        <f t="shared" si="9"/>
        <v>28.917856628755239</v>
      </c>
      <c r="W39" s="402">
        <f t="shared" si="10"/>
        <v>27.274799118417846</v>
      </c>
      <c r="X39" s="157">
        <f t="shared" si="11"/>
        <v>44951</v>
      </c>
      <c r="Y39" s="385">
        <f t="shared" si="12"/>
        <v>26.574196099350733</v>
      </c>
      <c r="Z39" s="385">
        <f t="shared" si="22"/>
        <v>27.577499969776955</v>
      </c>
      <c r="AA39" s="386">
        <f t="shared" si="13"/>
        <v>29.958178341812573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7.9466726743959271E-2</v>
      </c>
      <c r="AD39" s="231">
        <f>(INDEX(Models!$BJ39:$BT39,,AH39)*(1-AF39)+INDEX(Models!$BJ39:$BT39,,AH39+1)*AF39-ERP_i)*AE39*Ramure*Pc/MaxiM</f>
        <v>2.7545480294619831E-4</v>
      </c>
      <c r="AE39" s="305">
        <f t="shared" si="15"/>
        <v>0.5</v>
      </c>
      <c r="AF39" s="177">
        <f t="shared" si="23"/>
        <v>0.4985582781121955</v>
      </c>
      <c r="AG39" s="811">
        <f t="shared" si="24"/>
        <v>0</v>
      </c>
      <c r="AH39" s="176">
        <f t="shared" si="16"/>
        <v>6</v>
      </c>
      <c r="AI39" s="225">
        <f t="shared" si="17"/>
        <v>0.4985582781121955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28.2481912467331</v>
      </c>
      <c r="C40" s="841"/>
      <c r="D40" s="393">
        <f t="shared" si="0"/>
        <v>29.315338576224264</v>
      </c>
      <c r="E40" s="385">
        <f t="shared" si="1"/>
        <v>31.030018265825618</v>
      </c>
      <c r="F40" s="385">
        <f t="shared" si="2"/>
        <v>31.037805423354605</v>
      </c>
      <c r="G40" s="110">
        <f t="shared" si="21"/>
        <v>0.96691138946848965</v>
      </c>
      <c r="H40" s="414" t="b">
        <f>Wh_hp&gt;='2022'!Maxi_hp</f>
        <v>0</v>
      </c>
      <c r="I40" s="390">
        <f>IF(H40,Wh_hp,'2022'!Maxi_hp)</f>
        <v>31.037921449908918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3.6402353897991735E-2</v>
      </c>
      <c r="M40" s="845"/>
      <c r="N40" s="845"/>
      <c r="O40" s="48">
        <f>IF(t&lt;Tnet,'2022'!Resal+('2022'!Salim-'2022'!Resal)*(1-EXP(('2022'!Tnet-t)/('2022'!Tau_j))),Resal+(Salim-Resal)*(1-EXP((Tnet-t)/(Tau_j))))*Salcycl</f>
        <v>5.5258739292776526E-2</v>
      </c>
      <c r="P40" s="169">
        <f>(INDEX(Models!$BJ40:$BT40,,T40)*(1-R40)+INDEX(Models!$BJ40:$BT40,,T40+1)*R40-ERP_i)*Q40*Ramure*Pc/MaxiM</f>
        <v>2.6333587166922498E-4</v>
      </c>
      <c r="Q40" s="305">
        <f t="shared" si="4"/>
        <v>0.5</v>
      </c>
      <c r="R40" s="177">
        <f t="shared" si="5"/>
        <v>0.49863623812458818</v>
      </c>
      <c r="S40" s="811">
        <f t="shared" si="6"/>
        <v>0</v>
      </c>
      <c r="T40" s="176">
        <f t="shared" si="7"/>
        <v>6</v>
      </c>
      <c r="U40" s="251">
        <f t="shared" si="8"/>
        <v>0.49863623812458818</v>
      </c>
      <c r="V40" s="383">
        <f t="shared" si="9"/>
        <v>29.21450710782953</v>
      </c>
      <c r="W40" s="402">
        <f t="shared" si="10"/>
        <v>28.2481912467331</v>
      </c>
      <c r="X40" s="157">
        <f t="shared" si="11"/>
        <v>44952</v>
      </c>
      <c r="Y40" s="385">
        <f t="shared" si="12"/>
        <v>27.523535987483065</v>
      </c>
      <c r="Z40" s="385">
        <f t="shared" si="22"/>
        <v>28.563307619962131</v>
      </c>
      <c r="AA40" s="386">
        <f t="shared" si="13"/>
        <v>31.030018265825618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7.9494334316269399E-2</v>
      </c>
      <c r="AD40" s="231">
        <f>(INDEX(Models!$BJ40:$BT40,,AH40)*(1-AF40)+INDEX(Models!$BJ40:$BT40,,AH40+1)*AF40-ERP_i)*AE40*Ramure*Pc/MaxiM</f>
        <v>2.6333587166922498E-4</v>
      </c>
      <c r="AE40" s="305">
        <f t="shared" si="15"/>
        <v>0.5</v>
      </c>
      <c r="AF40" s="177">
        <f t="shared" si="23"/>
        <v>0.49863623812458818</v>
      </c>
      <c r="AG40" s="811">
        <f t="shared" si="24"/>
        <v>0</v>
      </c>
      <c r="AH40" s="176">
        <f t="shared" si="16"/>
        <v>6</v>
      </c>
      <c r="AI40" s="225">
        <f t="shared" si="17"/>
        <v>0.49863623812458818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26.319362559825784</v>
      </c>
      <c r="C41" s="841"/>
      <c r="D41" s="393">
        <f t="shared" si="0"/>
        <v>27.314241727872268</v>
      </c>
      <c r="E41" s="385">
        <f t="shared" si="1"/>
        <v>28.91374198082827</v>
      </c>
      <c r="F41" s="385">
        <f t="shared" si="2"/>
        <v>28.919893941458771</v>
      </c>
      <c r="G41" s="110">
        <f t="shared" si="21"/>
        <v>0.89164025649277134</v>
      </c>
      <c r="H41" s="414" t="b">
        <f>Wh_hp&gt;='2022'!Maxi_hp</f>
        <v>0</v>
      </c>
      <c r="I41" s="390">
        <f>IF(H41,Wh_hp,'2022'!Maxi_hp)</f>
        <v>28.920232617261767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3.6423459159449445E-2</v>
      </c>
      <c r="M41" s="845"/>
      <c r="N41" s="845"/>
      <c r="O41" s="48">
        <f>IF(t&lt;Tnet,'2022'!Resal+('2022'!Salim-'2022'!Resal)*(1-EXP(('2022'!Tnet-t)/('2022'!Tau_j))),Resal+(Salim-Resal)*(1-EXP((Tnet-t)/(Tau_j))))*Salcycl</f>
        <v>5.5319724925835423E-2</v>
      </c>
      <c r="P41" s="169">
        <f>(INDEX(Models!$BJ41:$BT41,,T41)*(1-R41)+INDEX(Models!$BJ41:$BT41,,T41+1)*R41-ERP_i)*Q41*Ramure*Pc/MaxiM</f>
        <v>2.5167013307705101E-4</v>
      </c>
      <c r="Q41" s="305">
        <f t="shared" si="4"/>
        <v>0.5</v>
      </c>
      <c r="R41" s="177">
        <f t="shared" si="5"/>
        <v>0.49871744280640995</v>
      </c>
      <c r="S41" s="811">
        <f t="shared" si="6"/>
        <v>0</v>
      </c>
      <c r="T41" s="176">
        <f t="shared" si="7"/>
        <v>6</v>
      </c>
      <c r="U41" s="251">
        <f t="shared" si="8"/>
        <v>0.49871744280640995</v>
      </c>
      <c r="V41" s="383">
        <f t="shared" si="9"/>
        <v>29.516766562904504</v>
      </c>
      <c r="W41" s="402">
        <f t="shared" si="10"/>
        <v>26.319362559825784</v>
      </c>
      <c r="X41" s="157">
        <f t="shared" si="11"/>
        <v>44953</v>
      </c>
      <c r="Y41" s="385">
        <f t="shared" si="12"/>
        <v>25.645071788420076</v>
      </c>
      <c r="Z41" s="385">
        <f t="shared" si="22"/>
        <v>26.614462579225179</v>
      </c>
      <c r="AA41" s="386">
        <f t="shared" si="13"/>
        <v>28.91374198082827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7.9522028076741635E-2</v>
      </c>
      <c r="AD41" s="231">
        <f>(INDEX(Models!$BJ41:$BT41,,AH41)*(1-AF41)+INDEX(Models!$BJ41:$BT41,,AH41+1)*AF41-ERP_i)*AE41*Ramure*Pc/MaxiM</f>
        <v>2.5167013307705101E-4</v>
      </c>
      <c r="AE41" s="305">
        <f t="shared" si="15"/>
        <v>0.5</v>
      </c>
      <c r="AF41" s="177">
        <f t="shared" si="23"/>
        <v>0.49871744280640995</v>
      </c>
      <c r="AG41" s="811">
        <f t="shared" si="24"/>
        <v>0</v>
      </c>
      <c r="AH41" s="176">
        <f t="shared" si="16"/>
        <v>6</v>
      </c>
      <c r="AI41" s="225">
        <f t="shared" si="17"/>
        <v>0.49871744280640995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4.2989968744126816</v>
      </c>
      <c r="C42" s="841"/>
      <c r="D42" s="393">
        <f t="shared" si="0"/>
        <v>4.4615978630919013</v>
      </c>
      <c r="E42" s="385">
        <f t="shared" si="1"/>
        <v>4.7231704110603703</v>
      </c>
      <c r="F42" s="385">
        <f t="shared" si="2"/>
        <v>4.7231704110603703</v>
      </c>
      <c r="G42" s="110">
        <f t="shared" si="21"/>
        <v>0.14411254951422572</v>
      </c>
      <c r="H42" s="414" t="b">
        <f>Wh_hp&gt;='2022'!Maxi_hp</f>
        <v>0</v>
      </c>
      <c r="I42" s="390">
        <f>IF(H42,Wh_hp,'2022'!Maxi_hp)</f>
        <v>18.517028420857695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3.6444563958647924E-2</v>
      </c>
      <c r="M42" s="845"/>
      <c r="N42" s="845"/>
      <c r="O42" s="48">
        <f>IF(t&lt;Tnet,'2022'!Resal+('2022'!Salim-'2022'!Resal)*(1-EXP(('2022'!Tnet-t)/('2022'!Tau_j))),Resal+(Salim-Resal)*(1-EXP((Tnet-t)/(Tau_j))))*Salcycl</f>
        <v>5.5380713631661041E-2</v>
      </c>
      <c r="P42" s="169">
        <f>(INDEX(Models!$BJ42:$BT42,,T42)*(1-R42)+INDEX(Models!$BJ42:$BT42,,T42+1)*R42-ERP_i)*Q42*Ramure*Pc/MaxiM</f>
        <v>2.4045844307590109E-4</v>
      </c>
      <c r="Q42" s="305">
        <f t="shared" si="4"/>
        <v>0.5</v>
      </c>
      <c r="R42" s="177">
        <f t="shared" si="5"/>
        <v>0.49880202607225588</v>
      </c>
      <c r="S42" s="811">
        <f t="shared" si="6"/>
        <v>0</v>
      </c>
      <c r="T42" s="176">
        <f t="shared" si="7"/>
        <v>6</v>
      </c>
      <c r="U42" s="251">
        <f t="shared" si="8"/>
        <v>0.49880202607225588</v>
      </c>
      <c r="V42" s="383">
        <f t="shared" si="9"/>
        <v>29.823656293674887</v>
      </c>
      <c r="W42" s="402">
        <f t="shared" si="10"/>
        <v>4.2989968744126816</v>
      </c>
      <c r="X42" s="157">
        <f t="shared" si="11"/>
        <v>44954</v>
      </c>
      <c r="Y42" s="385">
        <f t="shared" si="12"/>
        <v>4.1890024393989433</v>
      </c>
      <c r="Z42" s="385">
        <f t="shared" si="22"/>
        <v>4.3474431077976581</v>
      </c>
      <c r="AA42" s="386">
        <f t="shared" si="13"/>
        <v>4.7231704110603703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7.9549808828167992E-2</v>
      </c>
      <c r="AD42" s="231">
        <f>(INDEX(Models!$BJ42:$BT42,,AH42)*(1-AF42)+INDEX(Models!$BJ42:$BT42,,AH42+1)*AF42-ERP_i)*AE42*Ramure*Pc/MaxiM</f>
        <v>2.4045844307590109E-4</v>
      </c>
      <c r="AE42" s="305">
        <f t="shared" si="15"/>
        <v>0.5</v>
      </c>
      <c r="AF42" s="177">
        <f t="shared" si="23"/>
        <v>0.49880202607225588</v>
      </c>
      <c r="AG42" s="811">
        <f t="shared" si="24"/>
        <v>0</v>
      </c>
      <c r="AH42" s="176">
        <f t="shared" si="16"/>
        <v>6</v>
      </c>
      <c r="AI42" s="225">
        <f t="shared" si="17"/>
        <v>0.49880202607225588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9.4268686072466128</v>
      </c>
      <c r="C43" s="841"/>
      <c r="D43" s="393">
        <f t="shared" si="0"/>
        <v>9.783635410864246</v>
      </c>
      <c r="E43" s="385">
        <f t="shared" si="1"/>
        <v>10.357894763988599</v>
      </c>
      <c r="F43" s="385">
        <f t="shared" si="2"/>
        <v>10.357938370181106</v>
      </c>
      <c r="G43" s="110">
        <f t="shared" si="21"/>
        <v>0.31275904366863921</v>
      </c>
      <c r="H43" s="414" t="b">
        <f>Wh_hp&gt;='2022'!Maxi_hp</f>
        <v>0</v>
      </c>
      <c r="I43" s="390">
        <f>IF(H43,Wh_hp,'2022'!Maxi_hp)</f>
        <v>20.355528257182332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3.6465668295597053E-2</v>
      </c>
      <c r="M43" s="845"/>
      <c r="N43" s="845"/>
      <c r="O43" s="48">
        <f>IF(t&lt;Tnet,'2022'!Resal+('2022'!Salim-'2022'!Resal)*(1-EXP(('2022'!Tnet-t)/('2022'!Tau_j))),Resal+(Salim-Resal)*(1-EXP((Tnet-t)/(Tau_j))))*Salcycl</f>
        <v>5.5441705694953193E-2</v>
      </c>
      <c r="P43" s="169">
        <f>(INDEX(Models!$BJ43:$BT43,,T43)*(1-R43)+INDEX(Models!$BJ43:$BT43,,T43+1)*R43-ERP_i)*Q43*Ramure*Pc/MaxiM</f>
        <v>2.2969964113206474E-4</v>
      </c>
      <c r="Q43" s="305">
        <f t="shared" si="4"/>
        <v>0.5</v>
      </c>
      <c r="R43" s="177">
        <f t="shared" si="5"/>
        <v>0.49889012726754117</v>
      </c>
      <c r="S43" s="811">
        <f t="shared" si="6"/>
        <v>0</v>
      </c>
      <c r="T43" s="176">
        <f t="shared" si="7"/>
        <v>6</v>
      </c>
      <c r="U43" s="251">
        <f t="shared" si="8"/>
        <v>0.49889012726754117</v>
      </c>
      <c r="V43" s="383">
        <f t="shared" si="9"/>
        <v>30.134197962317415</v>
      </c>
      <c r="W43" s="402">
        <f t="shared" si="10"/>
        <v>9.4268686072466128</v>
      </c>
      <c r="X43" s="157">
        <f t="shared" si="11"/>
        <v>44955</v>
      </c>
      <c r="Y43" s="385">
        <f t="shared" si="12"/>
        <v>9.1859870993058603</v>
      </c>
      <c r="Z43" s="385">
        <f t="shared" si="22"/>
        <v>9.5336375643789477</v>
      </c>
      <c r="AA43" s="386">
        <f t="shared" si="13"/>
        <v>10.357894763988599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7.9577676583021006E-2</v>
      </c>
      <c r="AD43" s="231">
        <f>(INDEX(Models!$BJ43:$BT43,,AH43)*(1-AF43)+INDEX(Models!$BJ43:$BT43,,AH43+1)*AF43-ERP_i)*AE43*Ramure*Pc/MaxiM</f>
        <v>2.2969964113206474E-4</v>
      </c>
      <c r="AE43" s="305">
        <f t="shared" si="15"/>
        <v>0.5</v>
      </c>
      <c r="AF43" s="177">
        <f t="shared" si="23"/>
        <v>0.49889012726754117</v>
      </c>
      <c r="AG43" s="811">
        <f t="shared" si="24"/>
        <v>0</v>
      </c>
      <c r="AH43" s="176">
        <f t="shared" si="16"/>
        <v>6</v>
      </c>
      <c r="AI43" s="225">
        <f t="shared" si="17"/>
        <v>0.49889012726754117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4.4838844258420263</v>
      </c>
      <c r="C44" s="841"/>
      <c r="D44" s="393">
        <f t="shared" si="0"/>
        <v>4.6536822706024967</v>
      </c>
      <c r="E44" s="385">
        <f t="shared" si="1"/>
        <v>4.9271525441548043</v>
      </c>
      <c r="F44" s="385">
        <f t="shared" si="2"/>
        <v>4.9271525441548043</v>
      </c>
      <c r="G44" s="110">
        <f t="shared" si="21"/>
        <v>0.14723420398793252</v>
      </c>
      <c r="H44" s="414" t="b">
        <f>Wh_hp&gt;='2022'!Maxi_hp</f>
        <v>0</v>
      </c>
      <c r="I44" s="390">
        <f>IF(H44,Wh_hp,'2022'!Maxi_hp)</f>
        <v>12.271638358981564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3.6486772170307047E-2</v>
      </c>
      <c r="M44" s="845"/>
      <c r="N44" s="845"/>
      <c r="O44" s="48">
        <f>IF(t&lt;Tnet,'2022'!Resal+('2022'!Salim-'2022'!Resal)*(1-EXP(('2022'!Tnet-t)/('2022'!Tau_j))),Resal+(Salim-Resal)*(1-EXP((Tnet-t)/(Tau_j))))*Salcycl</f>
        <v>5.5502700819915075E-2</v>
      </c>
      <c r="P44" s="169">
        <f>(INDEX(Models!$BJ44:$BT44,,T44)*(1-R44)+INDEX(Models!$BJ44:$BT44,,T44+1)*R44-ERP_i)*Q44*Ramure*Pc/MaxiM</f>
        <v>2.1965739538064142E-4</v>
      </c>
      <c r="Q44" s="305">
        <f t="shared" si="4"/>
        <v>0.5</v>
      </c>
      <c r="R44" s="177">
        <f t="shared" si="5"/>
        <v>0.49898189138053461</v>
      </c>
      <c r="S44" s="811">
        <f t="shared" si="6"/>
        <v>0</v>
      </c>
      <c r="T44" s="176">
        <f t="shared" si="7"/>
        <v>6</v>
      </c>
      <c r="U44" s="251">
        <f t="shared" si="8"/>
        <v>0.49898189138053461</v>
      </c>
      <c r="V44" s="383">
        <f t="shared" si="9"/>
        <v>30.447405467246465</v>
      </c>
      <c r="W44" s="402">
        <f t="shared" si="10"/>
        <v>4.4838844258420263</v>
      </c>
      <c r="X44" s="157">
        <f t="shared" si="11"/>
        <v>44956</v>
      </c>
      <c r="Y44" s="385">
        <f t="shared" si="12"/>
        <v>4.3694587401306864</v>
      </c>
      <c r="Z44" s="385">
        <f t="shared" si="22"/>
        <v>4.5349234591961576</v>
      </c>
      <c r="AA44" s="386">
        <f t="shared" si="13"/>
        <v>4.9271525441548043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7.9605630522634557E-2</v>
      </c>
      <c r="AD44" s="231">
        <f>(INDEX(Models!$BJ44:$BT44,,AH44)*(1-AF44)+INDEX(Models!$BJ44:$BT44,,AH44+1)*AF44-ERP_i)*AE44*Ramure*Pc/MaxiM</f>
        <v>2.1965739538064142E-4</v>
      </c>
      <c r="AE44" s="305">
        <f t="shared" si="15"/>
        <v>0.5</v>
      </c>
      <c r="AF44" s="177">
        <f t="shared" si="23"/>
        <v>0.49898189138053461</v>
      </c>
      <c r="AG44" s="811">
        <f t="shared" si="24"/>
        <v>0</v>
      </c>
      <c r="AH44" s="176">
        <f t="shared" si="16"/>
        <v>6</v>
      </c>
      <c r="AI44" s="225">
        <f t="shared" si="17"/>
        <v>0.49898189138053461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9.1709478763410814</v>
      </c>
      <c r="C45" s="841"/>
      <c r="D45" s="393">
        <f t="shared" si="0"/>
        <v>9.5184461231463811</v>
      </c>
      <c r="E45" s="385">
        <f t="shared" si="1"/>
        <v>10.078441610197464</v>
      </c>
      <c r="F45" s="385">
        <f t="shared" si="2"/>
        <v>10.078441610197464</v>
      </c>
      <c r="G45" s="110">
        <f t="shared" si="21"/>
        <v>0.29806024574623541</v>
      </c>
      <c r="H45" s="414" t="b">
        <f>Wh_hp&gt;='2022'!Maxi_hp</f>
        <v>0</v>
      </c>
      <c r="I45" s="390">
        <f>IF(H45,Wh_hp,'2022'!Maxi_hp)</f>
        <v>23.585730416186674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3.6507875582788007E-2</v>
      </c>
      <c r="M45" s="845"/>
      <c r="N45" s="845"/>
      <c r="O45" s="48">
        <f>IF(t&lt;Tnet,'2022'!Resal+('2022'!Salim-'2022'!Resal)*(1-EXP(('2022'!Tnet-t)/('2022'!Tau_j))),Resal+(Salim-Resal)*(1-EXP((Tnet-t)/(Tau_j))))*Salcycl</f>
        <v>5.5563698110278781E-2</v>
      </c>
      <c r="P45" s="169">
        <f>(INDEX(Models!$BJ45:$BT45,,T45)*(1-R45)+INDEX(Models!$BJ45:$BT45,,T45+1)*R45-ERP_i)*Q45*Ramure*Pc/MaxiM</f>
        <v>2.1033392374886198E-4</v>
      </c>
      <c r="Q45" s="305">
        <f t="shared" si="4"/>
        <v>0.5</v>
      </c>
      <c r="R45" s="177">
        <f t="shared" si="5"/>
        <v>0.49907746926196467</v>
      </c>
      <c r="S45" s="811">
        <f t="shared" si="6"/>
        <v>0</v>
      </c>
      <c r="T45" s="176">
        <f t="shared" si="7"/>
        <v>6</v>
      </c>
      <c r="U45" s="251">
        <f t="shared" si="8"/>
        <v>0.49907746926196467</v>
      </c>
      <c r="V45" s="383">
        <f t="shared" si="9"/>
        <v>30.762300728612221</v>
      </c>
      <c r="W45" s="402">
        <f t="shared" si="10"/>
        <v>9.1709478763410814</v>
      </c>
      <c r="X45" s="157">
        <f t="shared" si="11"/>
        <v>44957</v>
      </c>
      <c r="Y45" s="385">
        <f t="shared" si="12"/>
        <v>8.9372164455254914</v>
      </c>
      <c r="Z45" s="385">
        <f t="shared" si="22"/>
        <v>9.2758583272606927</v>
      </c>
      <c r="AA45" s="386">
        <f t="shared" si="13"/>
        <v>10.078441610197464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7.9633668971670193E-2</v>
      </c>
      <c r="AD45" s="231">
        <f>(INDEX(Models!$BJ45:$BT45,,AH45)*(1-AF45)+INDEX(Models!$BJ45:$BT45,,AH45+1)*AF45-ERP_i)*AE45*Ramure*Pc/MaxiM</f>
        <v>2.1033392374886198E-4</v>
      </c>
      <c r="AE45" s="305">
        <f t="shared" si="15"/>
        <v>0.5</v>
      </c>
      <c r="AF45" s="177">
        <f t="shared" si="23"/>
        <v>0.49907746926196467</v>
      </c>
      <c r="AG45" s="811">
        <f t="shared" si="24"/>
        <v>0</v>
      </c>
      <c r="AH45" s="176">
        <f t="shared" si="16"/>
        <v>6</v>
      </c>
      <c r="AI45" s="225">
        <f t="shared" si="17"/>
        <v>0.49907746926196467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13.314188003240968</v>
      </c>
      <c r="C46" s="841"/>
      <c r="D46" s="393">
        <f t="shared" si="0"/>
        <v>13.818981273530381</v>
      </c>
      <c r="E46" s="385">
        <f t="shared" si="1"/>
        <v>14.632933766771821</v>
      </c>
      <c r="F46" s="385">
        <f t="shared" si="2"/>
        <v>14.633475266172111</v>
      </c>
      <c r="G46" s="110">
        <f t="shared" si="21"/>
        <v>0.42834271782605282</v>
      </c>
      <c r="H46" s="414" t="b">
        <f>Wh_hp&gt;='2022'!Maxi_hp</f>
        <v>0</v>
      </c>
      <c r="I46" s="390">
        <f>IF(H46,Wh_hp,'2022'!Maxi_hp)</f>
        <v>27.944973498874095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3.6528978533050149E-2</v>
      </c>
      <c r="M46" s="845"/>
      <c r="N46" s="845"/>
      <c r="O46" s="48">
        <f>IF(t&lt;Tnet,'2022'!Resal+('2022'!Salim-'2022'!Resal)*(1-EXP(('2022'!Tnet-t)/('2022'!Tau_j))),Resal+(Salim-Resal)*(1-EXP((Tnet-t)/(Tau_j))))*Salcycl</f>
        <v>5.5624696059907462E-2</v>
      </c>
      <c r="P46" s="169">
        <f>(INDEX(Models!$BJ46:$BT46,,T46)*(1-R46)+INDEX(Models!$BJ46:$BT46,,T46+1)*R46-ERP_i)*Q46*Ramure*Pc/MaxiM</f>
        <v>2.0171518214156216E-4</v>
      </c>
      <c r="Q46" s="305">
        <f t="shared" si="4"/>
        <v>0.5</v>
      </c>
      <c r="R46" s="177">
        <f t="shared" si="5"/>
        <v>0.49917701785240515</v>
      </c>
      <c r="S46" s="811">
        <f t="shared" si="6"/>
        <v>0</v>
      </c>
      <c r="T46" s="176">
        <f t="shared" si="7"/>
        <v>6</v>
      </c>
      <c r="U46" s="251">
        <f t="shared" si="8"/>
        <v>0.49917701785240515</v>
      </c>
      <c r="V46" s="383">
        <f t="shared" si="9"/>
        <v>31.077906485910145</v>
      </c>
      <c r="W46" s="402">
        <f t="shared" si="10"/>
        <v>13.314188003240968</v>
      </c>
      <c r="X46" s="157">
        <f t="shared" si="11"/>
        <v>44958</v>
      </c>
      <c r="Y46" s="385">
        <f t="shared" si="12"/>
        <v>12.975303262943218</v>
      </c>
      <c r="Z46" s="385">
        <f t="shared" si="22"/>
        <v>13.467248078917246</v>
      </c>
      <c r="AA46" s="386">
        <f t="shared" si="13"/>
        <v>14.632933766771821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7.9661789387825394E-2</v>
      </c>
      <c r="AD46" s="231">
        <f>(INDEX(Models!$BJ46:$BT46,,AH46)*(1-AF46)+INDEX(Models!$BJ46:$BT46,,AH46+1)*AF46-ERP_i)*AE46*Ramure*Pc/MaxiM</f>
        <v>2.0171518214156216E-4</v>
      </c>
      <c r="AE46" s="305">
        <f t="shared" si="15"/>
        <v>0.5</v>
      </c>
      <c r="AF46" s="177">
        <f t="shared" si="23"/>
        <v>0.49917701785240515</v>
      </c>
      <c r="AG46" s="811">
        <f t="shared" si="24"/>
        <v>0</v>
      </c>
      <c r="AH46" s="176">
        <f t="shared" si="16"/>
        <v>6</v>
      </c>
      <c r="AI46" s="225">
        <f t="shared" si="17"/>
        <v>0.49917701785240515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5.3486131782283435</v>
      </c>
      <c r="C47" s="841"/>
      <c r="D47" s="393">
        <f t="shared" si="0"/>
        <v>5.551521747904677</v>
      </c>
      <c r="E47" s="385">
        <f t="shared" si="1"/>
        <v>5.8788919156787101</v>
      </c>
      <c r="F47" s="385">
        <f t="shared" si="2"/>
        <v>5.8788919156787101</v>
      </c>
      <c r="G47" s="110">
        <f t="shared" si="21"/>
        <v>0.17034163071694319</v>
      </c>
      <c r="H47" s="414" t="b">
        <f>Wh_hp&gt;='2022'!Maxi_hp</f>
        <v>0</v>
      </c>
      <c r="I47" s="390">
        <f>IF(H47,Wh_hp,'2022'!Maxi_hp)</f>
        <v>29.540538398179784</v>
      </c>
      <c r="J47" s="85">
        <f>IF(H47,An,'2022'!An_max)</f>
        <v>2020</v>
      </c>
      <c r="K47" s="197">
        <f t="shared" si="3"/>
        <v>44959</v>
      </c>
      <c r="L47" s="147">
        <f>IF(t&lt;Tvie,1-EXP((T0-t)*PertePVj)+'2022'!Pspv,1-EXP((T0-t)*PertePVj)+Pspv)</f>
        <v>3.6550081021103464E-2</v>
      </c>
      <c r="M47" s="845"/>
      <c r="N47" s="845"/>
      <c r="O47" s="48">
        <f>IF(t&lt;Tnet,'2022'!Resal+('2022'!Salim-'2022'!Resal)*(1-EXP(('2022'!Tnet-t)/('2022'!Tau_j))),Resal+(Salim-Resal)*(1-EXP((Tnet-t)/(Tau_j))))*Salcycl</f>
        <v>5.5685692553889728E-2</v>
      </c>
      <c r="P47" s="169">
        <f>(INDEX(Models!$BJ47:$BT47,,T47)*(1-R47)+INDEX(Models!$BJ47:$BT47,,T47+1)*R47-ERP_i)*Q47*Ramure*Pc/MaxiM</f>
        <v>1.9378645137905606E-4</v>
      </c>
      <c r="Q47" s="305">
        <f t="shared" si="4"/>
        <v>0.5</v>
      </c>
      <c r="R47" s="177">
        <f t="shared" si="5"/>
        <v>0.49928070041765005</v>
      </c>
      <c r="S47" s="811">
        <f t="shared" si="6"/>
        <v>0</v>
      </c>
      <c r="T47" s="176">
        <f t="shared" si="7"/>
        <v>6</v>
      </c>
      <c r="U47" s="251">
        <f t="shared" si="8"/>
        <v>0.49928070041765005</v>
      </c>
      <c r="V47" s="383">
        <f t="shared" si="9"/>
        <v>31.393245837518176</v>
      </c>
      <c r="W47" s="402">
        <f t="shared" si="10"/>
        <v>5.3486131782283435</v>
      </c>
      <c r="X47" s="157">
        <f t="shared" si="11"/>
        <v>44959</v>
      </c>
      <c r="Y47" s="385">
        <f t="shared" si="12"/>
        <v>5.2126524161118697</v>
      </c>
      <c r="Z47" s="385">
        <f t="shared" si="22"/>
        <v>5.4104030873098736</v>
      </c>
      <c r="AA47" s="386">
        <f t="shared" si="13"/>
        <v>5.8788919156787101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7.9689988366583114E-2</v>
      </c>
      <c r="AD47" s="231">
        <f>(INDEX(Models!$BJ47:$BT47,,AH47)*(1-AF47)+INDEX(Models!$BJ47:$BT47,,AH47+1)*AF47-ERP_i)*AE47*Ramure*Pc/MaxiM</f>
        <v>1.9378645137905606E-4</v>
      </c>
      <c r="AE47" s="305">
        <f t="shared" si="15"/>
        <v>0.5</v>
      </c>
      <c r="AF47" s="177">
        <f t="shared" si="23"/>
        <v>0.49928070041765005</v>
      </c>
      <c r="AG47" s="811">
        <f t="shared" si="24"/>
        <v>0</v>
      </c>
      <c r="AH47" s="176">
        <f t="shared" si="16"/>
        <v>6</v>
      </c>
      <c r="AI47" s="225">
        <f t="shared" si="17"/>
        <v>0.49928070041765005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10.08152702817962</v>
      </c>
      <c r="C48" s="841"/>
      <c r="D48" s="393">
        <f t="shared" si="0"/>
        <v>10.464215778871599</v>
      </c>
      <c r="E48" s="385">
        <f t="shared" si="1"/>
        <v>11.082000572633438</v>
      </c>
      <c r="F48" s="385">
        <f t="shared" si="2"/>
        <v>11.082053597167748</v>
      </c>
      <c r="G48" s="110">
        <f t="shared" si="21"/>
        <v>0.31789781198998684</v>
      </c>
      <c r="H48" s="414" t="b">
        <f>Wh_hp&gt;='2022'!Maxi_hp</f>
        <v>0</v>
      </c>
      <c r="I48" s="390">
        <f>IF(H48,Wh_hp,'2022'!Maxi_hp)</f>
        <v>27.40840746637317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3.6571183046958056E-2</v>
      </c>
      <c r="M48" s="845"/>
      <c r="N48" s="845"/>
      <c r="O48" s="48">
        <f>IF(t&lt;Tnet,'2022'!Resal+('2022'!Salim-'2022'!Resal)*(1-EXP(('2022'!Tnet-t)/('2022'!Tau_j))),Resal+(Salim-Resal)*(1-EXP((Tnet-t)/(Tau_j))))*Salcycl</f>
        <v>5.5746684879933527E-2</v>
      </c>
      <c r="P48" s="169">
        <f>(INDEX(Models!$BJ48:$BT48,,T48)*(1-R48)+INDEX(Models!$BJ48:$BT48,,T48+1)*R48-ERP_i)*Q48*Ramure*Pc/MaxiM</f>
        <v>1.8653259594376083E-4</v>
      </c>
      <c r="Q48" s="305">
        <f t="shared" si="4"/>
        <v>0.5</v>
      </c>
      <c r="R48" s="177">
        <f t="shared" si="5"/>
        <v>0.49938868679228304</v>
      </c>
      <c r="S48" s="811">
        <f t="shared" si="6"/>
        <v>0</v>
      </c>
      <c r="T48" s="176">
        <f t="shared" si="7"/>
        <v>6</v>
      </c>
      <c r="U48" s="251">
        <f t="shared" si="8"/>
        <v>0.49938868679228304</v>
      </c>
      <c r="V48" s="383">
        <f t="shared" si="9"/>
        <v>31.70734224372783</v>
      </c>
      <c r="W48" s="402">
        <f t="shared" si="10"/>
        <v>10.08152702817962</v>
      </c>
      <c r="X48" s="157">
        <f t="shared" si="11"/>
        <v>44960</v>
      </c>
      <c r="Y48" s="385">
        <f t="shared" si="12"/>
        <v>9.8255892460685388</v>
      </c>
      <c r="Z48" s="385">
        <f t="shared" si="22"/>
        <v>10.198562751260786</v>
      </c>
      <c r="AA48" s="386">
        <f t="shared" si="13"/>
        <v>11.082000572633438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7.9718261660648729E-2</v>
      </c>
      <c r="AD48" s="231">
        <f>(INDEX(Models!$BJ48:$BT48,,AH48)*(1-AF48)+INDEX(Models!$BJ48:$BT48,,AH48+1)*AF48-ERP_i)*AE48*Ramure*Pc/MaxiM</f>
        <v>1.8653259594376083E-4</v>
      </c>
      <c r="AE48" s="305">
        <f t="shared" si="15"/>
        <v>0.5</v>
      </c>
      <c r="AF48" s="177">
        <f t="shared" si="23"/>
        <v>0.49938868679228304</v>
      </c>
      <c r="AG48" s="811">
        <f t="shared" si="24"/>
        <v>0</v>
      </c>
      <c r="AH48" s="176">
        <f t="shared" si="16"/>
        <v>6</v>
      </c>
      <c r="AI48" s="225">
        <f t="shared" si="17"/>
        <v>0.49938868679228304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9.9827725880292046</v>
      </c>
      <c r="C49" s="841"/>
      <c r="D49" s="393">
        <f t="shared" si="0"/>
        <v>10.361939632167589</v>
      </c>
      <c r="E49" s="385">
        <f t="shared" si="1"/>
        <v>10.974395046633546</v>
      </c>
      <c r="F49" s="385">
        <f t="shared" si="2"/>
        <v>10.974428262518886</v>
      </c>
      <c r="G49" s="110">
        <f t="shared" si="21"/>
        <v>0.31171923182270544</v>
      </c>
      <c r="H49" s="414" t="b">
        <f>Wh_hp&gt;='2022'!Maxi_hp</f>
        <v>0</v>
      </c>
      <c r="I49" s="390">
        <f>IF(H49,Wh_hp,'2022'!Maxi_hp)</f>
        <v>27.911356460515268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3.6592284610624248E-2</v>
      </c>
      <c r="M49" s="845"/>
      <c r="N49" s="845"/>
      <c r="O49" s="48">
        <f>IF(t&lt;Tnet,'2022'!Resal+('2022'!Salim-'2022'!Resal)*(1-EXP(('2022'!Tnet-t)/('2022'!Tau_j))),Resal+(Salim-Resal)*(1-EXP((Tnet-t)/(Tau_j))))*Salcycl</f>
        <v>5.580766974976286E-2</v>
      </c>
      <c r="P49" s="169">
        <f>(INDEX(Models!$BJ49:$BT49,,T49)*(1-R49)+INDEX(Models!$BJ49:$BT49,,T49+1)*R49-ERP_i)*Q49*Ramure*Pc/MaxiM</f>
        <v>1.7993829750890091E-4</v>
      </c>
      <c r="Q49" s="305">
        <f t="shared" si="4"/>
        <v>0.5</v>
      </c>
      <c r="R49" s="177">
        <f t="shared" si="5"/>
        <v>0.49950115363164899</v>
      </c>
      <c r="S49" s="811">
        <f t="shared" si="6"/>
        <v>0</v>
      </c>
      <c r="T49" s="176">
        <f t="shared" si="7"/>
        <v>6</v>
      </c>
      <c r="U49" s="251">
        <f t="shared" si="8"/>
        <v>0.49950115363164899</v>
      </c>
      <c r="V49" s="383">
        <f t="shared" si="9"/>
        <v>32.019219525523468</v>
      </c>
      <c r="W49" s="402">
        <f t="shared" si="10"/>
        <v>9.9827725880292046</v>
      </c>
      <c r="X49" s="157">
        <f t="shared" si="11"/>
        <v>44961</v>
      </c>
      <c r="Y49" s="385">
        <f t="shared" si="12"/>
        <v>9.7296706181279689</v>
      </c>
      <c r="Z49" s="385">
        <f t="shared" si="22"/>
        <v>10.099224308366241</v>
      </c>
      <c r="AA49" s="386">
        <f t="shared" si="13"/>
        <v>10.974395046633546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7.9746604213575226E-2</v>
      </c>
      <c r="AD49" s="231">
        <f>(INDEX(Models!$BJ49:$BT49,,AH49)*(1-AF49)+INDEX(Models!$BJ49:$BT49,,AH49+1)*AF49-ERP_i)*AE49*Ramure*Pc/MaxiM</f>
        <v>1.7993829750890091E-4</v>
      </c>
      <c r="AE49" s="305">
        <f t="shared" si="15"/>
        <v>0.5</v>
      </c>
      <c r="AF49" s="177">
        <f t="shared" si="23"/>
        <v>0.49950115363164899</v>
      </c>
      <c r="AG49" s="811">
        <f t="shared" si="24"/>
        <v>0</v>
      </c>
      <c r="AH49" s="176">
        <f t="shared" si="16"/>
        <v>6</v>
      </c>
      <c r="AI49" s="225">
        <f t="shared" si="17"/>
        <v>0.49950115363164899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9.6587146011600211</v>
      </c>
      <c r="C50" s="841"/>
      <c r="D50" s="393">
        <f t="shared" si="0"/>
        <v>10.025792820776848</v>
      </c>
      <c r="E50" s="385">
        <f t="shared" si="1"/>
        <v>10.619065609831701</v>
      </c>
      <c r="F50" s="385">
        <f t="shared" si="2"/>
        <v>10.619065609831701</v>
      </c>
      <c r="G50" s="110">
        <f t="shared" si="21"/>
        <v>0.29872133794641681</v>
      </c>
      <c r="H50" s="414" t="b">
        <f>Wh_hp&gt;='2022'!Maxi_hp</f>
        <v>0</v>
      </c>
      <c r="I50" s="390">
        <f>IF(H50,Wh_hp,'2022'!Maxi_hp)</f>
        <v>35.533389786711119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3.6613385712112034E-2</v>
      </c>
      <c r="M50" s="845"/>
      <c r="N50" s="845"/>
      <c r="O50" s="48">
        <f>IF(t&lt;Tnet,'2022'!Resal+('2022'!Salim-'2022'!Resal)*(1-EXP(('2022'!Tnet-t)/('2022'!Tau_j))),Resal+(Salim-Resal)*(1-EXP((Tnet-t)/(Tau_j))))*Salcycl</f>
        <v>5.5868643330122127E-2</v>
      </c>
      <c r="P50" s="169">
        <f>(INDEX(Models!$BJ50:$BT50,,T50)*(1-R50)+INDEX(Models!$BJ50:$BT50,,T50+1)*R50-ERP_i)*Q50*Ramure*Pc/MaxiM</f>
        <v>1.7398826467059027E-4</v>
      </c>
      <c r="Q50" s="305">
        <f t="shared" si="4"/>
        <v>0.5</v>
      </c>
      <c r="R50" s="177">
        <f t="shared" si="5"/>
        <v>0.49961828467242986</v>
      </c>
      <c r="S50" s="811">
        <f t="shared" si="6"/>
        <v>0</v>
      </c>
      <c r="T50" s="176">
        <f t="shared" si="7"/>
        <v>6</v>
      </c>
      <c r="U50" s="251">
        <f t="shared" si="8"/>
        <v>0.49961828467242986</v>
      </c>
      <c r="V50" s="383">
        <f t="shared" si="9"/>
        <v>32.32790186518195</v>
      </c>
      <c r="W50" s="402">
        <f t="shared" si="10"/>
        <v>9.6587146011600211</v>
      </c>
      <c r="X50" s="157">
        <f t="shared" si="11"/>
        <v>44962</v>
      </c>
      <c r="Y50" s="385">
        <f t="shared" si="12"/>
        <v>9.4141461169310379</v>
      </c>
      <c r="Z50" s="385">
        <f t="shared" si="22"/>
        <v>9.7719295424192154</v>
      </c>
      <c r="AA50" s="386">
        <f t="shared" si="13"/>
        <v>10.619065609831701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7.9775010206939681E-2</v>
      </c>
      <c r="AD50" s="231">
        <f>(INDEX(Models!$BJ50:$BT50,,AH50)*(1-AF50)+INDEX(Models!$BJ50:$BT50,,AH50+1)*AF50-ERP_i)*AE50*Ramure*Pc/MaxiM</f>
        <v>1.7398826467059027E-4</v>
      </c>
      <c r="AE50" s="305">
        <f t="shared" si="15"/>
        <v>0.5</v>
      </c>
      <c r="AF50" s="177">
        <f t="shared" si="23"/>
        <v>0.49961828467242986</v>
      </c>
      <c r="AG50" s="811">
        <f t="shared" si="24"/>
        <v>0</v>
      </c>
      <c r="AH50" s="176">
        <f t="shared" si="16"/>
        <v>6</v>
      </c>
      <c r="AI50" s="225">
        <f t="shared" si="17"/>
        <v>0.49961828467242986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22.097890783836849</v>
      </c>
      <c r="C51" s="841"/>
      <c r="D51" s="393">
        <f t="shared" si="0"/>
        <v>22.938220717643482</v>
      </c>
      <c r="E51" s="385">
        <f t="shared" si="1"/>
        <v>24.297150666745075</v>
      </c>
      <c r="F51" s="385">
        <f t="shared" si="2"/>
        <v>24.299358656602831</v>
      </c>
      <c r="G51" s="110">
        <f t="shared" si="21"/>
        <v>0.67708154895713446</v>
      </c>
      <c r="H51" s="414" t="b">
        <f>Wh_hp&gt;='2022'!Maxi_hp</f>
        <v>0</v>
      </c>
      <c r="I51" s="390">
        <f>IF(H51,Wh_hp,'2022'!Maxi_hp)</f>
        <v>37.103452774243969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3.6634486351431517E-2</v>
      </c>
      <c r="M51" s="845"/>
      <c r="N51" s="845"/>
      <c r="O51" s="48">
        <f>IF(t&lt;Tnet,'2022'!Resal+('2022'!Salim-'2022'!Resal)*(1-EXP(('2022'!Tnet-t)/('2022'!Tau_j))),Resal+(Salim-Resal)*(1-EXP((Tnet-t)/(Tau_j))))*Salcycl</f>
        <v>5.5929601282899727E-2</v>
      </c>
      <c r="P51" s="169">
        <f>(INDEX(Models!$BJ51:$BT51,,T51)*(1-R51)+INDEX(Models!$BJ51:$BT51,,T51+1)*R51-ERP_i)*Q51*Ramure*Pc/MaxiM</f>
        <v>1.6865699274922603E-4</v>
      </c>
      <c r="Q51" s="305">
        <f t="shared" si="4"/>
        <v>0.5</v>
      </c>
      <c r="R51" s="177">
        <f t="shared" si="5"/>
        <v>0.49974027100202401</v>
      </c>
      <c r="S51" s="811">
        <f t="shared" si="6"/>
        <v>0</v>
      </c>
      <c r="T51" s="176">
        <f t="shared" si="7"/>
        <v>6</v>
      </c>
      <c r="U51" s="251">
        <f t="shared" si="8"/>
        <v>0.49974027100202401</v>
      </c>
      <c r="V51" s="383">
        <f t="shared" si="9"/>
        <v>32.634431773743529</v>
      </c>
      <c r="W51" s="402">
        <f t="shared" si="10"/>
        <v>22.097890783836849</v>
      </c>
      <c r="X51" s="157">
        <f t="shared" si="11"/>
        <v>44963</v>
      </c>
      <c r="Y51" s="385">
        <f t="shared" si="12"/>
        <v>21.539074181635115</v>
      </c>
      <c r="Z51" s="385">
        <f t="shared" si="22"/>
        <v>22.358153656611456</v>
      </c>
      <c r="AA51" s="386">
        <f t="shared" si="13"/>
        <v>24.297150666745075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7.9803473120306057E-2</v>
      </c>
      <c r="AD51" s="231">
        <f>(INDEX(Models!$BJ51:$BT51,,AH51)*(1-AF51)+INDEX(Models!$BJ51:$BT51,,AH51+1)*AF51-ERP_i)*AE51*Ramure*Pc/MaxiM</f>
        <v>1.6865699274922603E-4</v>
      </c>
      <c r="AE51" s="305">
        <f t="shared" si="15"/>
        <v>0.5</v>
      </c>
      <c r="AF51" s="177">
        <f t="shared" si="23"/>
        <v>0.49974027100202401</v>
      </c>
      <c r="AG51" s="811">
        <f t="shared" si="24"/>
        <v>0</v>
      </c>
      <c r="AH51" s="176">
        <f t="shared" si="16"/>
        <v>6</v>
      </c>
      <c r="AI51" s="225">
        <f t="shared" si="17"/>
        <v>0.49974027100202401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9.4823176090418997</v>
      </c>
      <c r="C52" s="841"/>
      <c r="D52" s="393">
        <f t="shared" si="0"/>
        <v>9.8431230580062348</v>
      </c>
      <c r="E52" s="385">
        <f t="shared" si="1"/>
        <v>10.426932634380355</v>
      </c>
      <c r="F52" s="385">
        <f t="shared" si="2"/>
        <v>10.426932634380355</v>
      </c>
      <c r="G52" s="110">
        <f t="shared" si="21"/>
        <v>0.28781363850644875</v>
      </c>
      <c r="H52" s="414" t="b">
        <f>Wh_hp&gt;='2022'!Maxi_hp</f>
        <v>0</v>
      </c>
      <c r="I52" s="390">
        <f>IF(H52,Wh_hp,'2022'!Maxi_hp)</f>
        <v>25.358898167859724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3.6655586528592798E-2</v>
      </c>
      <c r="M52" s="845"/>
      <c r="N52" s="845"/>
      <c r="O52" s="48">
        <f>IF(t&lt;Tnet,'2022'!Resal+('2022'!Salim-'2022'!Resal)*(1-EXP(('2022'!Tnet-t)/('2022'!Tau_j))),Resal+(Salim-Resal)*(1-EXP((Tnet-t)/(Tau_j))))*Salcycl</f>
        <v>5.5990538813797036E-2</v>
      </c>
      <c r="P52" s="169">
        <f>(INDEX(Models!$BJ52:$BT52,,T52)*(1-R52)+INDEX(Models!$BJ52:$BT52,,T52+1)*R52-ERP_i)*Q52*Ramure*Pc/MaxiM</f>
        <v>1.6439159900503254E-4</v>
      </c>
      <c r="Q52" s="305">
        <f t="shared" si="4"/>
        <v>0.5</v>
      </c>
      <c r="R52" s="177">
        <f t="shared" si="5"/>
        <v>0.49986731133692547</v>
      </c>
      <c r="S52" s="811">
        <f t="shared" si="6"/>
        <v>0</v>
      </c>
      <c r="T52" s="176">
        <f t="shared" si="7"/>
        <v>6</v>
      </c>
      <c r="U52" s="251">
        <f t="shared" si="8"/>
        <v>0.49986731133692547</v>
      </c>
      <c r="V52" s="383">
        <f t="shared" si="9"/>
        <v>32.940616868909949</v>
      </c>
      <c r="W52" s="402">
        <f t="shared" si="10"/>
        <v>9.4823176090418997</v>
      </c>
      <c r="X52" s="157">
        <f t="shared" si="11"/>
        <v>44964</v>
      </c>
      <c r="Y52" s="385">
        <f t="shared" si="12"/>
        <v>9.2428367755261451</v>
      </c>
      <c r="Z52" s="385">
        <f t="shared" si="22"/>
        <v>9.5945298963427064</v>
      </c>
      <c r="AA52" s="386">
        <f t="shared" si="13"/>
        <v>10.426932634380355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7.9831985803092059E-2</v>
      </c>
      <c r="AD52" s="231">
        <f>(INDEX(Models!$BJ52:$BT52,,AH52)*(1-AF52)+INDEX(Models!$BJ52:$BT52,,AH52+1)*AF52-ERP_i)*AE52*Ramure*Pc/MaxiM</f>
        <v>1.6439159900503254E-4</v>
      </c>
      <c r="AE52" s="305">
        <f t="shared" si="15"/>
        <v>0.5</v>
      </c>
      <c r="AF52" s="177">
        <f t="shared" si="23"/>
        <v>0.49986731133692547</v>
      </c>
      <c r="AG52" s="811">
        <f t="shared" si="24"/>
        <v>0</v>
      </c>
      <c r="AH52" s="176">
        <f t="shared" si="16"/>
        <v>6</v>
      </c>
      <c r="AI52" s="225">
        <f t="shared" si="17"/>
        <v>0.49986731133692547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33.236602852861438</v>
      </c>
      <c r="C53" s="841"/>
      <c r="D53" s="393">
        <f t="shared" si="0"/>
        <v>34.502022714739716</v>
      </c>
      <c r="E53" s="385">
        <f t="shared" si="1"/>
        <v>36.550744997045861</v>
      </c>
      <c r="F53" s="385">
        <f t="shared" si="2"/>
        <v>36.556625192491857</v>
      </c>
      <c r="G53" s="110">
        <f t="shared" si="21"/>
        <v>0.99969740936096374</v>
      </c>
      <c r="H53" s="414" t="b">
        <f>Wh_hp&gt;='2022'!Maxi_hp</f>
        <v>0</v>
      </c>
      <c r="I53" s="390">
        <f>IF(H53,Wh_hp,'2022'!Maxi_hp)</f>
        <v>36.556625907813178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3.6676686243606094E-2</v>
      </c>
      <c r="M53" s="845"/>
      <c r="N53" s="845"/>
      <c r="O53" s="48">
        <f>IF(t&lt;Tnet,'2022'!Resal+('2022'!Salim-'2022'!Resal)*(1-EXP(('2022'!Tnet-t)/('2022'!Tau_j))),Resal+(Salim-Resal)*(1-EXP((Tnet-t)/(Tau_j))))*Salcycl</f>
        <v>5.6051450728890173E-2</v>
      </c>
      <c r="P53" s="169">
        <f>(INDEX(Models!$BJ53:$BT53,,T53)*(1-R53)+INDEX(Models!$BJ53:$BT53,,T53+1)*R53-ERP_i)*Q53*Ramure*Pc/MaxiM</f>
        <v>1.6092124958178741E-4</v>
      </c>
      <c r="Q53" s="305">
        <f t="shared" si="4"/>
        <v>0.5</v>
      </c>
      <c r="R53" s="177">
        <f t="shared" si="5"/>
        <v>0.49999961231029172</v>
      </c>
      <c r="S53" s="811">
        <f t="shared" si="6"/>
        <v>0</v>
      </c>
      <c r="T53" s="176">
        <f t="shared" si="7"/>
        <v>6</v>
      </c>
      <c r="U53" s="251">
        <f t="shared" si="8"/>
        <v>0.49999961231029172</v>
      </c>
      <c r="V53" s="383">
        <f t="shared" si="9"/>
        <v>33.246660669320534</v>
      </c>
      <c r="W53" s="402">
        <f t="shared" si="10"/>
        <v>33.236602852861438</v>
      </c>
      <c r="X53" s="157">
        <f t="shared" si="11"/>
        <v>44965</v>
      </c>
      <c r="Y53" s="385">
        <f t="shared" si="12"/>
        <v>32.398280400300102</v>
      </c>
      <c r="Z53" s="385">
        <f t="shared" si="22"/>
        <v>33.631782743807868</v>
      </c>
      <c r="AA53" s="386">
        <f t="shared" si="13"/>
        <v>36.550744997045861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7.9860540557351506E-2</v>
      </c>
      <c r="AD53" s="231">
        <f>(INDEX(Models!$BJ53:$BT53,,AH53)*(1-AF53)+INDEX(Models!$BJ53:$BT53,,AH53+1)*AF53-ERP_i)*AE53*Ramure*Pc/MaxiM</f>
        <v>1.6092124958178741E-4</v>
      </c>
      <c r="AE53" s="305">
        <f t="shared" si="15"/>
        <v>0.5</v>
      </c>
      <c r="AF53" s="177">
        <f t="shared" si="23"/>
        <v>0.49999961231029172</v>
      </c>
      <c r="AG53" s="811">
        <f t="shared" si="24"/>
        <v>0</v>
      </c>
      <c r="AH53" s="176">
        <f t="shared" si="16"/>
        <v>6</v>
      </c>
      <c r="AI53" s="225">
        <f t="shared" si="17"/>
        <v>0.49999961231029172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33.455529889503325</v>
      </c>
      <c r="C54" s="841"/>
      <c r="D54" s="393">
        <f t="shared" si="0"/>
        <v>34.730045655242421</v>
      </c>
      <c r="E54" s="385">
        <f t="shared" si="1"/>
        <v>36.794680992468287</v>
      </c>
      <c r="F54" s="385">
        <f t="shared" si="2"/>
        <v>36.800479579691157</v>
      </c>
      <c r="G54" s="110">
        <f t="shared" si="21"/>
        <v>0.99710155932976519</v>
      </c>
      <c r="H54" s="414" t="b">
        <f>Wh_hp&gt;='2022'!Maxi_hp</f>
        <v>0</v>
      </c>
      <c r="I54" s="390">
        <f>IF(H54,Wh_hp,'2022'!Maxi_hp)</f>
        <v>36.800486280884854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3.6697785496481505E-2</v>
      </c>
      <c r="M54" s="845"/>
      <c r="N54" s="845"/>
      <c r="O54" s="48">
        <f>IF(t&lt;Tnet,'2022'!Resal+('2022'!Salim-'2022'!Resal)*(1-EXP(('2022'!Tnet-t)/('2022'!Tau_j))),Resal+(Salim-Resal)*(1-EXP((Tnet-t)/(Tau_j))))*Salcycl</f>
        <v>5.6112331498362207E-2</v>
      </c>
      <c r="P54" s="169">
        <f>(INDEX(Models!$BJ54:$BT54,,T54)*(1-R54)+INDEX(Models!$BJ54:$BT54,,T54+1)*R54-ERP_i)*Q54*Ramure*Pc/MaxiM</f>
        <v>1.5822324773740346E-4</v>
      </c>
      <c r="Q54" s="305">
        <f t="shared" si="4"/>
        <v>0.5</v>
      </c>
      <c r="R54" s="177">
        <f t="shared" si="5"/>
        <v>0.50013738876888281</v>
      </c>
      <c r="S54" s="811">
        <f t="shared" si="6"/>
        <v>0</v>
      </c>
      <c r="T54" s="176">
        <f t="shared" si="7"/>
        <v>6</v>
      </c>
      <c r="U54" s="251">
        <f t="shared" si="8"/>
        <v>0.50013738876888281</v>
      </c>
      <c r="V54" s="383">
        <f t="shared" si="9"/>
        <v>33.552758653083451</v>
      </c>
      <c r="W54" s="402">
        <f t="shared" si="10"/>
        <v>33.455529889503325</v>
      </c>
      <c r="X54" s="157">
        <f t="shared" si="11"/>
        <v>44966</v>
      </c>
      <c r="Y54" s="385">
        <f t="shared" si="12"/>
        <v>32.612775615084942</v>
      </c>
      <c r="Z54" s="385">
        <f t="shared" si="22"/>
        <v>33.855185967669989</v>
      </c>
      <c r="AA54" s="386">
        <f t="shared" si="13"/>
        <v>36.794680992468287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7.9889129230390626E-2</v>
      </c>
      <c r="AD54" s="231">
        <f>(INDEX(Models!$BJ54:$BT54,,AH54)*(1-AF54)+INDEX(Models!$BJ54:$BT54,,AH54+1)*AF54-ERP_i)*AE54*Ramure*Pc/MaxiM</f>
        <v>1.5822324773740346E-4</v>
      </c>
      <c r="AE54" s="305">
        <f t="shared" si="15"/>
        <v>0.5</v>
      </c>
      <c r="AF54" s="177">
        <f t="shared" si="23"/>
        <v>0.50013738876888281</v>
      </c>
      <c r="AG54" s="811">
        <f t="shared" si="24"/>
        <v>0</v>
      </c>
      <c r="AH54" s="176">
        <f t="shared" si="16"/>
        <v>6</v>
      </c>
      <c r="AI54" s="225">
        <f t="shared" si="17"/>
        <v>0.50013738876888281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31.101381354073322</v>
      </c>
      <c r="C55" s="841"/>
      <c r="D55" s="393">
        <f t="shared" si="0"/>
        <v>32.28692107294156</v>
      </c>
      <c r="E55" s="385">
        <f t="shared" si="1"/>
        <v>34.208522399344645</v>
      </c>
      <c r="F55" s="385">
        <f t="shared" si="2"/>
        <v>34.213246997896235</v>
      </c>
      <c r="G55" s="110">
        <f t="shared" si="21"/>
        <v>0.9185362285966433</v>
      </c>
      <c r="H55" s="414" t="b">
        <f>Wh_hp&gt;='2022'!Maxi_hp</f>
        <v>0</v>
      </c>
      <c r="I55" s="390">
        <f>IF(H55,Wh_hp,'2022'!Maxi_hp)</f>
        <v>34.213417729613788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3.6718884287229026E-2</v>
      </c>
      <c r="M55" s="845"/>
      <c r="N55" s="845"/>
      <c r="O55" s="48">
        <f>IF(t&lt;Tnet,'2022'!Resal+('2022'!Salim-'2022'!Resal)*(1-EXP(('2022'!Tnet-t)/('2022'!Tau_j))),Resal+(Salim-Resal)*(1-EXP((Tnet-t)/(Tau_j))))*Salcycl</f>
        <v>5.6173175326622617E-2</v>
      </c>
      <c r="P55" s="169">
        <f>(INDEX(Models!$BJ55:$BT55,,T55)*(1-R55)+INDEX(Models!$BJ55:$BT55,,T55+1)*R55-ERP_i)*Q55*Ramure*Pc/MaxiM</f>
        <v>1.5627582099983454E-4</v>
      </c>
      <c r="Q55" s="305">
        <f t="shared" si="4"/>
        <v>0.5</v>
      </c>
      <c r="R55" s="177">
        <f t="shared" si="5"/>
        <v>0.50028086407954531</v>
      </c>
      <c r="S55" s="811">
        <f t="shared" si="6"/>
        <v>0</v>
      </c>
      <c r="T55" s="176">
        <f t="shared" si="7"/>
        <v>6</v>
      </c>
      <c r="U55" s="251">
        <f t="shared" si="8"/>
        <v>0.50028086407954531</v>
      </c>
      <c r="V55" s="383">
        <f t="shared" si="9"/>
        <v>33.859106245926</v>
      </c>
      <c r="W55" s="402">
        <f t="shared" si="10"/>
        <v>31.101381354073322</v>
      </c>
      <c r="X55" s="157">
        <f t="shared" si="11"/>
        <v>44967</v>
      </c>
      <c r="Y55" s="385">
        <f t="shared" si="12"/>
        <v>30.318940290923123</v>
      </c>
      <c r="Z55" s="385">
        <f t="shared" si="22"/>
        <v>31.474654487012241</v>
      </c>
      <c r="AA55" s="386">
        <f t="shared" si="13"/>
        <v>34.208522399344645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7.9917743316056722E-2</v>
      </c>
      <c r="AD55" s="231">
        <f>(INDEX(Models!$BJ55:$BT55,,AH55)*(1-AF55)+INDEX(Models!$BJ55:$BT55,,AH55+1)*AF55-ERP_i)*AE55*Ramure*Pc/MaxiM</f>
        <v>1.5627582099983454E-4</v>
      </c>
      <c r="AE55" s="305">
        <f t="shared" si="15"/>
        <v>0.5</v>
      </c>
      <c r="AF55" s="177">
        <f t="shared" si="23"/>
        <v>0.50028086407954531</v>
      </c>
      <c r="AG55" s="811">
        <f t="shared" si="24"/>
        <v>0</v>
      </c>
      <c r="AH55" s="176">
        <f t="shared" si="16"/>
        <v>6</v>
      </c>
      <c r="AI55" s="225">
        <f t="shared" si="17"/>
        <v>0.50028086407954531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17.362246703527248</v>
      </c>
      <c r="C56" s="841"/>
      <c r="D56" s="393">
        <f t="shared" si="0"/>
        <v>18.024465243223432</v>
      </c>
      <c r="E56" s="385">
        <f t="shared" si="1"/>
        <v>19.098446849340561</v>
      </c>
      <c r="F56" s="385">
        <f t="shared" si="2"/>
        <v>19.099327578459356</v>
      </c>
      <c r="G56" s="110">
        <f t="shared" si="21"/>
        <v>0.5081193730344602</v>
      </c>
      <c r="H56" s="414" t="b">
        <f>Wh_hp&gt;='2022'!Maxi_hp</f>
        <v>0</v>
      </c>
      <c r="I56" s="390">
        <f>IF(H56,Wh_hp,'2022'!Maxi_hp)</f>
        <v>30.625815125737557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3.6739982615858979E-2</v>
      </c>
      <c r="M56" s="845"/>
      <c r="N56" s="845"/>
      <c r="O56" s="48">
        <f>IF(t&lt;Tnet,'2022'!Resal+('2022'!Salim-'2022'!Resal)*(1-EXP(('2022'!Tnet-t)/('2022'!Tau_j))),Resal+(Salim-Resal)*(1-EXP((Tnet-t)/(Tau_j))))*Salcycl</f>
        <v>5.6233976227978689E-2</v>
      </c>
      <c r="P56" s="169">
        <f>(INDEX(Models!$BJ56:$BT56,,T56)*(1-R56)+INDEX(Models!$BJ56:$BT56,,T56+1)*R56-ERP_i)*Q56*Ramure*Pc/MaxiM</f>
        <v>1.5505803988717152E-4</v>
      </c>
      <c r="Q56" s="305">
        <f t="shared" si="4"/>
        <v>0.5</v>
      </c>
      <c r="R56" s="177">
        <f t="shared" si="5"/>
        <v>0.50043027044540656</v>
      </c>
      <c r="S56" s="811">
        <f t="shared" si="6"/>
        <v>0</v>
      </c>
      <c r="T56" s="176">
        <f t="shared" si="7"/>
        <v>6</v>
      </c>
      <c r="U56" s="251">
        <f t="shared" si="8"/>
        <v>0.50043027044540656</v>
      </c>
      <c r="V56" s="383">
        <f t="shared" si="9"/>
        <v>34.165898819453275</v>
      </c>
      <c r="W56" s="402">
        <f t="shared" si="10"/>
        <v>17.362246703527248</v>
      </c>
      <c r="X56" s="157">
        <f t="shared" si="11"/>
        <v>44968</v>
      </c>
      <c r="Y56" s="385">
        <f t="shared" si="12"/>
        <v>16.926015168610864</v>
      </c>
      <c r="Z56" s="385">
        <f t="shared" si="22"/>
        <v>17.571595273491866</v>
      </c>
      <c r="AA56" s="386">
        <f t="shared" si="13"/>
        <v>19.098446849340561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7.9946374063470715E-2</v>
      </c>
      <c r="AD56" s="231">
        <f>(INDEX(Models!$BJ56:$BT56,,AH56)*(1-AF56)+INDEX(Models!$BJ56:$BT56,,AH56+1)*AF56-ERP_i)*AE56*Ramure*Pc/MaxiM</f>
        <v>1.5505803988717152E-4</v>
      </c>
      <c r="AE56" s="305">
        <f t="shared" si="15"/>
        <v>0.5</v>
      </c>
      <c r="AF56" s="177">
        <f t="shared" si="23"/>
        <v>0.50043027044540656</v>
      </c>
      <c r="AG56" s="811">
        <f t="shared" si="24"/>
        <v>0</v>
      </c>
      <c r="AH56" s="176">
        <f t="shared" si="16"/>
        <v>6</v>
      </c>
      <c r="AI56" s="225">
        <f t="shared" si="17"/>
        <v>0.50043027044540656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26.378069022069958</v>
      </c>
      <c r="C57" s="841"/>
      <c r="D57" s="393">
        <f t="shared" si="0"/>
        <v>27.384762479572416</v>
      </c>
      <c r="E57" s="385">
        <f t="shared" si="1"/>
        <v>29.018342161679538</v>
      </c>
      <c r="F57" s="385">
        <f t="shared" si="2"/>
        <v>29.021322750873242</v>
      </c>
      <c r="G57" s="110">
        <f t="shared" si="21"/>
        <v>0.76513351000084306</v>
      </c>
      <c r="H57" s="414" t="b">
        <f>Wh_hp&gt;='2022'!Maxi_hp</f>
        <v>0</v>
      </c>
      <c r="I57" s="390">
        <f>IF(H57,Wh_hp,'2022'!Maxi_hp)</f>
        <v>38.463815462769276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3.6761080482381359E-2</v>
      </c>
      <c r="M57" s="845"/>
      <c r="N57" s="845"/>
      <c r="O57" s="48">
        <f>IF(t&lt;Tnet,'2022'!Resal+('2022'!Salim-'2022'!Resal)*(1-EXP(('2022'!Tnet-t)/('2022'!Tau_j))),Resal+(Salim-Resal)*(1-EXP((Tnet-t)/(Tau_j))))*Salcycl</f>
        <v>5.6294728106982023E-2</v>
      </c>
      <c r="P57" s="169">
        <f>(INDEX(Models!$BJ57:$BT57,,T57)*(1-R57)+INDEX(Models!$BJ57:$BT57,,T57+1)*R57-ERP_i)*Q57*Ramure*Pc/MaxiM</f>
        <v>1.5454974301249823E-4</v>
      </c>
      <c r="Q57" s="305">
        <f t="shared" si="4"/>
        <v>0.5</v>
      </c>
      <c r="R57" s="177">
        <f t="shared" si="5"/>
        <v>0.50058584923192939</v>
      </c>
      <c r="S57" s="811">
        <f t="shared" si="6"/>
        <v>0</v>
      </c>
      <c r="T57" s="176">
        <f t="shared" si="7"/>
        <v>6</v>
      </c>
      <c r="U57" s="251">
        <f t="shared" si="8"/>
        <v>0.50058584923192939</v>
      </c>
      <c r="V57" s="383">
        <f t="shared" si="9"/>
        <v>34.473331687913372</v>
      </c>
      <c r="W57" s="402">
        <f t="shared" si="10"/>
        <v>26.378069022069958</v>
      </c>
      <c r="X57" s="157">
        <f t="shared" si="11"/>
        <v>44969</v>
      </c>
      <c r="Y57" s="385">
        <f t="shared" si="12"/>
        <v>25.716167263957438</v>
      </c>
      <c r="Z57" s="385">
        <f t="shared" si="22"/>
        <v>26.69759988190247</v>
      </c>
      <c r="AA57" s="386">
        <f t="shared" si="13"/>
        <v>29.018342161679538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7.9975012591923661E-2</v>
      </c>
      <c r="AD57" s="231">
        <f>(INDEX(Models!$BJ57:$BT57,,AH57)*(1-AF57)+INDEX(Models!$BJ57:$BT57,,AH57+1)*AF57-ERP_i)*AE57*Ramure*Pc/MaxiM</f>
        <v>1.5454974301249823E-4</v>
      </c>
      <c r="AE57" s="305">
        <f t="shared" si="15"/>
        <v>0.5</v>
      </c>
      <c r="AF57" s="177">
        <f t="shared" si="23"/>
        <v>0.50058584923192939</v>
      </c>
      <c r="AG57" s="811">
        <f t="shared" si="24"/>
        <v>0</v>
      </c>
      <c r="AH57" s="176">
        <f t="shared" si="16"/>
        <v>6</v>
      </c>
      <c r="AI57" s="225">
        <f t="shared" si="17"/>
        <v>0.50058584923192939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31.182004686716791</v>
      </c>
      <c r="C58" s="841"/>
      <c r="D58" s="393">
        <f t="shared" si="0"/>
        <v>32.372744742520347</v>
      </c>
      <c r="E58" s="385">
        <f t="shared" si="1"/>
        <v>34.306078363369558</v>
      </c>
      <c r="F58" s="385">
        <f t="shared" si="2"/>
        <v>34.310617298962924</v>
      </c>
      <c r="G58" s="110">
        <f t="shared" si="21"/>
        <v>0.89648850871429087</v>
      </c>
      <c r="H58" s="414" t="b">
        <f>Wh_hp&gt;='2022'!Maxi_hp</f>
        <v>0</v>
      </c>
      <c r="I58" s="390">
        <f>IF(H58,Wh_hp,'2022'!Maxi_hp)</f>
        <v>39.79279391744533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3.6782177886806267E-2</v>
      </c>
      <c r="M58" s="845"/>
      <c r="N58" s="845"/>
      <c r="O58" s="48">
        <f>IF(t&lt;Tnet,'2022'!Resal+('2022'!Salim-'2022'!Resal)*(1-EXP(('2022'!Tnet-t)/('2022'!Tau_j))),Resal+(Salim-Resal)*(1-EXP((Tnet-t)/(Tau_j))))*Salcycl</f>
        <v>5.6355424842541531E-2</v>
      </c>
      <c r="P58" s="169">
        <f>(INDEX(Models!$BJ58:$BT58,,T58)*(1-R58)+INDEX(Models!$BJ58:$BT58,,T58+1)*R58-ERP_i)*Q58*Ramure*Pc/MaxiM</f>
        <v>1.5524101161008632E-4</v>
      </c>
      <c r="Q58" s="305">
        <f t="shared" si="4"/>
        <v>0.5</v>
      </c>
      <c r="R58" s="177">
        <f t="shared" si="5"/>
        <v>0.50074785130296862</v>
      </c>
      <c r="S58" s="811">
        <f t="shared" si="6"/>
        <v>0</v>
      </c>
      <c r="T58" s="176">
        <f t="shared" si="7"/>
        <v>6</v>
      </c>
      <c r="U58" s="251">
        <f t="shared" si="8"/>
        <v>0.50074785130296862</v>
      </c>
      <c r="V58" s="383">
        <f t="shared" si="9"/>
        <v>34.781582380439708</v>
      </c>
      <c r="W58" s="402">
        <f t="shared" si="10"/>
        <v>31.182004686716791</v>
      </c>
      <c r="X58" s="157">
        <f t="shared" si="11"/>
        <v>44970</v>
      </c>
      <c r="Y58" s="385">
        <f t="shared" si="12"/>
        <v>30.400567387720507</v>
      </c>
      <c r="Z58" s="385">
        <f t="shared" si="22"/>
        <v>31.561466876749655</v>
      </c>
      <c r="AA58" s="386">
        <f t="shared" si="13"/>
        <v>34.306078363369558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8.0003650010619459E-2</v>
      </c>
      <c r="AD58" s="231">
        <f>(INDEX(Models!$BJ58:$BT58,,AH58)*(1-AF58)+INDEX(Models!$BJ58:$BT58,,AH58+1)*AF58-ERP_i)*AE58*Ramure*Pc/MaxiM</f>
        <v>1.5524101161008632E-4</v>
      </c>
      <c r="AE58" s="305">
        <f t="shared" si="15"/>
        <v>0.5</v>
      </c>
      <c r="AF58" s="177">
        <f t="shared" si="23"/>
        <v>0.50074785130296862</v>
      </c>
      <c r="AG58" s="811">
        <f t="shared" si="24"/>
        <v>0</v>
      </c>
      <c r="AH58" s="176">
        <f t="shared" si="16"/>
        <v>6</v>
      </c>
      <c r="AI58" s="225">
        <f t="shared" si="17"/>
        <v>0.50074785130296862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15.272309573253578</v>
      </c>
      <c r="C59" s="841"/>
      <c r="D59" s="393">
        <f t="shared" si="0"/>
        <v>15.855857037454637</v>
      </c>
      <c r="E59" s="385">
        <f t="shared" si="1"/>
        <v>16.803864893836511</v>
      </c>
      <c r="F59" s="385">
        <f t="shared" si="2"/>
        <v>16.804374115681295</v>
      </c>
      <c r="G59" s="110">
        <f t="shared" si="21"/>
        <v>0.43516685231753927</v>
      </c>
      <c r="H59" s="414" t="b">
        <f>Wh_hp&gt;='2022'!Maxi_hp</f>
        <v>0</v>
      </c>
      <c r="I59" s="390">
        <f>IF(H59,Wh_hp,'2022'!Maxi_hp)</f>
        <v>40.073233720515397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3.6803274829143917E-2</v>
      </c>
      <c r="M59" s="845"/>
      <c r="N59" s="845"/>
      <c r="O59" s="48">
        <f>IF(t&lt;Tnet,'2022'!Resal+('2022'!Salim-'2022'!Resal)*(1-EXP(('2022'!Tnet-t)/('2022'!Tau_j))),Resal+(Salim-Resal)*(1-EXP((Tnet-t)/(Tau_j))))*Salcycl</f>
        <v>5.6416060374872054E-2</v>
      </c>
      <c r="P59" s="169">
        <f>(INDEX(Models!$BJ59:$BT59,,T59)*(1-R59)+INDEX(Models!$BJ59:$BT59,,T59+1)*R59-ERP_i)*Q59*Ramure*Pc/MaxiM</f>
        <v>1.5686843653411328E-4</v>
      </c>
      <c r="Q59" s="305">
        <f t="shared" si="4"/>
        <v>0.5</v>
      </c>
      <c r="R59" s="177">
        <f t="shared" si="5"/>
        <v>0.5009165373669503</v>
      </c>
      <c r="S59" s="811">
        <f t="shared" si="6"/>
        <v>0</v>
      </c>
      <c r="T59" s="176">
        <f t="shared" si="7"/>
        <v>6</v>
      </c>
      <c r="U59" s="251">
        <f t="shared" si="8"/>
        <v>0.5009165373669503</v>
      </c>
      <c r="V59" s="383">
        <f t="shared" si="9"/>
        <v>35.090854199537446</v>
      </c>
      <c r="W59" s="402">
        <f t="shared" si="10"/>
        <v>15.272309573253578</v>
      </c>
      <c r="X59" s="157">
        <f t="shared" si="11"/>
        <v>44971</v>
      </c>
      <c r="Y59" s="385">
        <f t="shared" si="12"/>
        <v>14.890070999261237</v>
      </c>
      <c r="Z59" s="385">
        <f t="shared" si="22"/>
        <v>15.459013314876014</v>
      </c>
      <c r="AA59" s="386">
        <f t="shared" si="13"/>
        <v>16.803864893836511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8.0032277541922825E-2</v>
      </c>
      <c r="AD59" s="231">
        <f>(INDEX(Models!$BJ59:$BT59,,AH59)*(1-AF59)+INDEX(Models!$BJ59:$BT59,,AH59+1)*AF59-ERP_i)*AE59*Ramure*Pc/MaxiM</f>
        <v>1.5686843653411328E-4</v>
      </c>
      <c r="AE59" s="305">
        <f t="shared" si="15"/>
        <v>0.5</v>
      </c>
      <c r="AF59" s="177">
        <f t="shared" si="23"/>
        <v>0.5009165373669503</v>
      </c>
      <c r="AG59" s="811">
        <f t="shared" si="24"/>
        <v>0</v>
      </c>
      <c r="AH59" s="176">
        <f t="shared" si="16"/>
        <v>6</v>
      </c>
      <c r="AI59" s="225">
        <f t="shared" si="17"/>
        <v>0.5009165373669503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19.201616650500512</v>
      </c>
      <c r="C60" s="841"/>
      <c r="D60" s="393">
        <f t="shared" si="0"/>
        <v>19.935737656282328</v>
      </c>
      <c r="E60" s="385">
        <f t="shared" si="1"/>
        <v>21.129034282222214</v>
      </c>
      <c r="F60" s="385">
        <f t="shared" si="2"/>
        <v>21.130200667652598</v>
      </c>
      <c r="G60" s="110">
        <f t="shared" si="21"/>
        <v>0.54234145852443172</v>
      </c>
      <c r="H60" s="414" t="b">
        <f>Wh_hp&gt;='2022'!Maxi_hp</f>
        <v>0</v>
      </c>
      <c r="I60" s="390">
        <f>IF(H60,Wh_hp,'2022'!Maxi_hp)</f>
        <v>40.326165520091415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3.6824371309404413E-2</v>
      </c>
      <c r="M60" s="845"/>
      <c r="N60" s="845"/>
      <c r="O60" s="48">
        <f>IF(t&lt;Tnet,'2022'!Resal+('2022'!Salim-'2022'!Resal)*(1-EXP(('2022'!Tnet-t)/('2022'!Tau_j))),Resal+(Salim-Resal)*(1-EXP((Tnet-t)/(Tau_j))))*Salcycl</f>
        <v>5.6476628794337166E-2</v>
      </c>
      <c r="P60" s="169">
        <f>(INDEX(Models!$BJ60:$BT60,,T60)*(1-R60)+INDEX(Models!$BJ60:$BT60,,T60+1)*R60-ERP_i)*Q60*Ramure*Pc/MaxiM</f>
        <v>1.5940704174835892E-4</v>
      </c>
      <c r="Q60" s="305">
        <f t="shared" si="4"/>
        <v>0.5</v>
      </c>
      <c r="R60" s="177">
        <f t="shared" si="5"/>
        <v>0.50109217833328068</v>
      </c>
      <c r="S60" s="811">
        <f t="shared" si="6"/>
        <v>0</v>
      </c>
      <c r="T60" s="176">
        <f t="shared" si="7"/>
        <v>6</v>
      </c>
      <c r="U60" s="251">
        <f t="shared" si="8"/>
        <v>0.50109217833328068</v>
      </c>
      <c r="V60" s="383">
        <f t="shared" si="9"/>
        <v>35.401342259755253</v>
      </c>
      <c r="W60" s="402">
        <f t="shared" si="10"/>
        <v>19.201616650500512</v>
      </c>
      <c r="X60" s="157">
        <f t="shared" si="11"/>
        <v>44972</v>
      </c>
      <c r="Y60" s="385">
        <f t="shared" si="12"/>
        <v>18.721654105756993</v>
      </c>
      <c r="Z60" s="385">
        <f t="shared" si="22"/>
        <v>19.437425063597637</v>
      </c>
      <c r="AA60" s="386">
        <f t="shared" si="13"/>
        <v>21.129034282222214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8.0060886646763682E-2</v>
      </c>
      <c r="AD60" s="231">
        <f>(INDEX(Models!$BJ60:$BT60,,AH60)*(1-AF60)+INDEX(Models!$BJ60:$BT60,,AH60+1)*AF60-ERP_i)*AE60*Ramure*Pc/MaxiM</f>
        <v>1.5940704174835892E-4</v>
      </c>
      <c r="AE60" s="305">
        <f t="shared" si="15"/>
        <v>0.5</v>
      </c>
      <c r="AF60" s="177">
        <f t="shared" si="23"/>
        <v>0.50109217833328068</v>
      </c>
      <c r="AG60" s="811">
        <f t="shared" si="24"/>
        <v>0</v>
      </c>
      <c r="AH60" s="176">
        <f t="shared" si="16"/>
        <v>6</v>
      </c>
      <c r="AI60" s="225">
        <f t="shared" si="17"/>
        <v>0.50109217833328068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10.058678876014262</v>
      </c>
      <c r="C61" s="841"/>
      <c r="D61" s="393">
        <f t="shared" si="0"/>
        <v>10.443473539085261</v>
      </c>
      <c r="E61" s="385">
        <f t="shared" si="1"/>
        <v>11.069299926390332</v>
      </c>
      <c r="F61" s="385">
        <f t="shared" si="2"/>
        <v>11.069299926390332</v>
      </c>
      <c r="G61" s="110">
        <f t="shared" si="21"/>
        <v>0.28160538063026497</v>
      </c>
      <c r="H61" s="414" t="b">
        <f>Wh_hp&gt;='2022'!Maxi_hp</f>
        <v>0</v>
      </c>
      <c r="I61" s="390">
        <f>IF(H61,Wh_hp,'2022'!Maxi_hp)</f>
        <v>40.772992464506032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3.6845467327597858E-2</v>
      </c>
      <c r="M61" s="845"/>
      <c r="N61" s="845"/>
      <c r="O61" s="48">
        <f>IF(t&lt;Tnet,'2022'!Resal+('2022'!Salim-'2022'!Resal)*(1-EXP(('2022'!Tnet-t)/('2022'!Tau_j))),Resal+(Salim-Resal)*(1-EXP((Tnet-t)/(Tau_j))))*Salcycl</f>
        <v>5.6537124431242286E-2</v>
      </c>
      <c r="P61" s="169">
        <f>(INDEX(Models!$BJ61:$BT61,,T61)*(1-R61)+INDEX(Models!$BJ61:$BT61,,T61+1)*R61-ERP_i)*Q61*Ramure*Pc/MaxiM</f>
        <v>1.6283257111455917E-4</v>
      </c>
      <c r="Q61" s="305">
        <f t="shared" si="4"/>
        <v>0.5</v>
      </c>
      <c r="R61" s="177">
        <f t="shared" si="5"/>
        <v>0.50127505567906883</v>
      </c>
      <c r="S61" s="811">
        <f t="shared" si="6"/>
        <v>0</v>
      </c>
      <c r="T61" s="176">
        <f t="shared" si="7"/>
        <v>6</v>
      </c>
      <c r="U61" s="251">
        <f t="shared" si="8"/>
        <v>0.50127505567906883</v>
      </c>
      <c r="V61" s="383">
        <f t="shared" si="9"/>
        <v>35.713241604127234</v>
      </c>
      <c r="W61" s="402">
        <f t="shared" si="10"/>
        <v>10.058678876014262</v>
      </c>
      <c r="X61" s="157">
        <f t="shared" si="11"/>
        <v>44973</v>
      </c>
      <c r="Y61" s="385">
        <f t="shared" si="12"/>
        <v>9.8075768152480087</v>
      </c>
      <c r="Z61" s="385">
        <f t="shared" si="22"/>
        <v>10.182765571414137</v>
      </c>
      <c r="AA61" s="386">
        <f t="shared" si="13"/>
        <v>11.069299926390332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8.0089469150854575E-2</v>
      </c>
      <c r="AD61" s="231">
        <f>(INDEX(Models!$BJ61:$BT61,,AH61)*(1-AF61)+INDEX(Models!$BJ61:$BT61,,AH61+1)*AF61-ERP_i)*AE61*Ramure*Pc/MaxiM</f>
        <v>1.6283257111455917E-4</v>
      </c>
      <c r="AE61" s="305">
        <f t="shared" si="15"/>
        <v>0.5</v>
      </c>
      <c r="AF61" s="177">
        <f t="shared" si="23"/>
        <v>0.50127505567906883</v>
      </c>
      <c r="AG61" s="811">
        <f t="shared" si="24"/>
        <v>0</v>
      </c>
      <c r="AH61" s="176">
        <f t="shared" si="16"/>
        <v>6</v>
      </c>
      <c r="AI61" s="225">
        <f t="shared" si="17"/>
        <v>0.50127505567906883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10.882607226005602</v>
      </c>
      <c r="C62" s="841"/>
      <c r="D62" s="393">
        <f t="shared" si="0"/>
        <v>11.299168740926909</v>
      </c>
      <c r="E62" s="385">
        <f t="shared" si="1"/>
        <v>11.977039750595905</v>
      </c>
      <c r="F62" s="385">
        <f t="shared" si="2"/>
        <v>11.97704567028598</v>
      </c>
      <c r="G62" s="110">
        <f t="shared" si="21"/>
        <v>0.30201988056668816</v>
      </c>
      <c r="H62" s="414" t="b">
        <f>Wh_hp&gt;='2022'!Maxi_hp</f>
        <v>0</v>
      </c>
      <c r="I62" s="390">
        <f>IF(H62,Wh_hp,'2022'!Maxi_hp)</f>
        <v>41.216821259374889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3.6866562883734355E-2</v>
      </c>
      <c r="M62" s="845"/>
      <c r="N62" s="845"/>
      <c r="O62" s="48">
        <f>IF(t&lt;Tnet,'2022'!Resal+('2022'!Salim-'2022'!Resal)*(1-EXP(('2022'!Tnet-t)/('2022'!Tau_j))),Resal+(Salim-Resal)*(1-EXP((Tnet-t)/(Tau_j))))*Salcycl</f>
        <v>5.659754194564396E-2</v>
      </c>
      <c r="P62" s="169">
        <f>(INDEX(Models!$BJ62:$BT62,,T62)*(1-R62)+INDEX(Models!$BJ62:$BT62,,T62+1)*R62-ERP_i)*Q62*Ramure*Pc/MaxiM</f>
        <v>1.6712142370217233E-4</v>
      </c>
      <c r="Q62" s="305">
        <f t="shared" si="4"/>
        <v>0.5</v>
      </c>
      <c r="R62" s="177">
        <f t="shared" si="5"/>
        <v>0.50146546182622509</v>
      </c>
      <c r="S62" s="811">
        <f t="shared" si="6"/>
        <v>0</v>
      </c>
      <c r="T62" s="176">
        <f t="shared" si="7"/>
        <v>6</v>
      </c>
      <c r="U62" s="251">
        <f t="shared" si="8"/>
        <v>0.50146546182622509</v>
      </c>
      <c r="V62" s="383">
        <f t="shared" si="9"/>
        <v>36.026747201677168</v>
      </c>
      <c r="W62" s="402">
        <f t="shared" si="10"/>
        <v>10.882607226005602</v>
      </c>
      <c r="X62" s="157">
        <f t="shared" si="11"/>
        <v>44974</v>
      </c>
      <c r="Y62" s="385">
        <f t="shared" si="12"/>
        <v>10.611287076655552</v>
      </c>
      <c r="Z62" s="385">
        <f t="shared" si="22"/>
        <v>11.01746307181172</v>
      </c>
      <c r="AA62" s="386">
        <f t="shared" si="13"/>
        <v>11.977039750595905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8.0118017370397476E-2</v>
      </c>
      <c r="AD62" s="231">
        <f>(INDEX(Models!$BJ62:$BT62,,AH62)*(1-AF62)+INDEX(Models!$BJ62:$BT62,,AH62+1)*AF62-ERP_i)*AE62*Ramure*Pc/MaxiM</f>
        <v>1.6712142370217233E-4</v>
      </c>
      <c r="AE62" s="305">
        <f t="shared" si="15"/>
        <v>0.5</v>
      </c>
      <c r="AF62" s="177">
        <f t="shared" si="23"/>
        <v>0.50146546182622509</v>
      </c>
      <c r="AG62" s="811">
        <f t="shared" si="24"/>
        <v>0</v>
      </c>
      <c r="AH62" s="176">
        <f t="shared" si="16"/>
        <v>6</v>
      </c>
      <c r="AI62" s="225">
        <f t="shared" si="17"/>
        <v>0.50146546182622509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27.714170827774833</v>
      </c>
      <c r="C63" s="841"/>
      <c r="D63" s="393">
        <f t="shared" si="0"/>
        <v>28.775636671403703</v>
      </c>
      <c r="E63" s="385">
        <f t="shared" si="1"/>
        <v>30.503924241276881</v>
      </c>
      <c r="F63" s="385">
        <f t="shared" si="2"/>
        <v>30.50739693318366</v>
      </c>
      <c r="G63" s="110">
        <f t="shared" si="21"/>
        <v>0.76254775365830441</v>
      </c>
      <c r="H63" s="414" t="b">
        <f>Wh_hp&gt;='2022'!Maxi_hp</f>
        <v>0</v>
      </c>
      <c r="I63" s="390">
        <f>IF(H63,Wh_hp,'2022'!Maxi_hp)</f>
        <v>40.739227562492772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3.6887657977824007E-2</v>
      </c>
      <c r="M63" s="845"/>
      <c r="N63" s="845"/>
      <c r="O63" s="48">
        <f>IF(t&lt;Tnet,'2022'!Resal+('2022'!Salim-'2022'!Resal)*(1-EXP(('2022'!Tnet-t)/('2022'!Tau_j))),Resal+(Salim-Resal)*(1-EXP((Tnet-t)/(Tau_j))))*Salcycl</f>
        <v>5.6657876416258475E-2</v>
      </c>
      <c r="P63" s="169">
        <f>(INDEX(Models!$BJ63:$BT63,,T63)*(1-R63)+INDEX(Models!$BJ63:$BT63,,T63+1)*R63-ERP_i)*Q63*Ramure*Pc/MaxiM</f>
        <v>1.7225059640054455E-4</v>
      </c>
      <c r="Q63" s="305">
        <f t="shared" si="4"/>
        <v>0.5</v>
      </c>
      <c r="R63" s="177">
        <f t="shared" si="5"/>
        <v>0.50166370052897347</v>
      </c>
      <c r="S63" s="811">
        <f t="shared" si="6"/>
        <v>0</v>
      </c>
      <c r="T63" s="176">
        <f t="shared" si="7"/>
        <v>6</v>
      </c>
      <c r="U63" s="251">
        <f t="shared" si="8"/>
        <v>0.50166370052897347</v>
      </c>
      <c r="V63" s="383">
        <f t="shared" si="9"/>
        <v>36.342053941978463</v>
      </c>
      <c r="W63" s="402">
        <f t="shared" si="10"/>
        <v>27.714170827774833</v>
      </c>
      <c r="X63" s="157">
        <f t="shared" si="11"/>
        <v>44975</v>
      </c>
      <c r="Y63" s="385">
        <f t="shared" si="12"/>
        <v>27.024104751093677</v>
      </c>
      <c r="Z63" s="385">
        <f t="shared" si="22"/>
        <v>28.059140737780556</v>
      </c>
      <c r="AA63" s="386">
        <f t="shared" si="13"/>
        <v>30.503924241276881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8.0146524235990793E-2</v>
      </c>
      <c r="AD63" s="231">
        <f>(INDEX(Models!$BJ63:$BT63,,AH63)*(1-AF63)+INDEX(Models!$BJ63:$BT63,,AH63+1)*AF63-ERP_i)*AE63*Ramure*Pc/MaxiM</f>
        <v>1.7225059640054455E-4</v>
      </c>
      <c r="AE63" s="305">
        <f t="shared" si="15"/>
        <v>0.5</v>
      </c>
      <c r="AF63" s="177">
        <f t="shared" si="23"/>
        <v>0.50166370052897347</v>
      </c>
      <c r="AG63" s="811">
        <f t="shared" si="24"/>
        <v>0</v>
      </c>
      <c r="AH63" s="176">
        <f t="shared" si="16"/>
        <v>6</v>
      </c>
      <c r="AI63" s="225">
        <f t="shared" si="17"/>
        <v>0.50166370052897347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20.084839891106196</v>
      </c>
      <c r="C64" s="841"/>
      <c r="D64" s="393">
        <f t="shared" si="0"/>
        <v>20.854555521643476</v>
      </c>
      <c r="E64" s="385">
        <f t="shared" si="1"/>
        <v>22.108508643696393</v>
      </c>
      <c r="F64" s="385">
        <f t="shared" si="2"/>
        <v>22.109903816518258</v>
      </c>
      <c r="G64" s="110">
        <f t="shared" si="21"/>
        <v>0.54781452560990052</v>
      </c>
      <c r="H64" s="414" t="b">
        <f>Wh_hp&gt;='2022'!Maxi_hp</f>
        <v>0</v>
      </c>
      <c r="I64" s="390">
        <f>IF(H64,Wh_hp,'2022'!Maxi_hp)</f>
        <v>38.479174675338513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3.6908752609876916E-2</v>
      </c>
      <c r="M64" s="845"/>
      <c r="N64" s="845"/>
      <c r="O64" s="48">
        <f>IF(t&lt;Tnet,'2022'!Resal+('2022'!Salim-'2022'!Resal)*(1-EXP(('2022'!Tnet-t)/('2022'!Tau_j))),Resal+(Salim-Resal)*(1-EXP((Tnet-t)/(Tau_j))))*Salcycl</f>
        <v>5.6718123427581112E-2</v>
      </c>
      <c r="P64" s="169">
        <f>(INDEX(Models!$BJ64:$BT64,,T64)*(1-R64)+INDEX(Models!$BJ64:$BT64,,T64+1)*R64-ERP_i)*Q64*Ramure*Pc/MaxiM</f>
        <v>1.7819763366340194E-4</v>
      </c>
      <c r="Q64" s="305">
        <f t="shared" si="4"/>
        <v>0.5</v>
      </c>
      <c r="R64" s="177">
        <f t="shared" si="5"/>
        <v>0.50187008727178239</v>
      </c>
      <c r="S64" s="811">
        <f t="shared" si="6"/>
        <v>0</v>
      </c>
      <c r="T64" s="176">
        <f t="shared" si="7"/>
        <v>6</v>
      </c>
      <c r="U64" s="251">
        <f t="shared" si="8"/>
        <v>0.50187008727178239</v>
      </c>
      <c r="V64" s="383">
        <f t="shared" si="9"/>
        <v>36.659356631231816</v>
      </c>
      <c r="W64" s="402">
        <f t="shared" si="10"/>
        <v>20.084839891106196</v>
      </c>
      <c r="X64" s="157">
        <f t="shared" si="11"/>
        <v>44976</v>
      </c>
      <c r="Y64" s="385">
        <f t="shared" si="12"/>
        <v>19.585384437899531</v>
      </c>
      <c r="Z64" s="385">
        <f t="shared" si="22"/>
        <v>20.335959329890997</v>
      </c>
      <c r="AA64" s="386">
        <f t="shared" si="13"/>
        <v>22.108508643696393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8.0174983413491774E-2</v>
      </c>
      <c r="AD64" s="231">
        <f>(INDEX(Models!$BJ64:$BT64,,AH64)*(1-AF64)+INDEX(Models!$BJ64:$BT64,,AH64+1)*AF64-ERP_i)*AE64*Ramure*Pc/MaxiM</f>
        <v>1.7819763366340194E-4</v>
      </c>
      <c r="AE64" s="305">
        <f t="shared" si="15"/>
        <v>0.5</v>
      </c>
      <c r="AF64" s="177">
        <f t="shared" si="23"/>
        <v>0.50187008727178239</v>
      </c>
      <c r="AG64" s="811">
        <f t="shared" si="24"/>
        <v>0</v>
      </c>
      <c r="AH64" s="176">
        <f t="shared" si="16"/>
        <v>6</v>
      </c>
      <c r="AI64" s="225">
        <f t="shared" si="17"/>
        <v>0.50187008727178239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19.157851819367384</v>
      </c>
      <c r="C65" s="841"/>
      <c r="D65" s="393">
        <f t="shared" si="0"/>
        <v>19.892477983365676</v>
      </c>
      <c r="E65" s="385">
        <f t="shared" si="1"/>
        <v>21.089927790818113</v>
      </c>
      <c r="F65" s="385">
        <f t="shared" si="2"/>
        <v>21.091142958524678</v>
      </c>
      <c r="G65" s="110">
        <f t="shared" si="21"/>
        <v>0.51800790550606657</v>
      </c>
      <c r="H65" s="414" t="b">
        <f>Wh_hp&gt;='2022'!Maxi_hp</f>
        <v>0</v>
      </c>
      <c r="I65" s="390">
        <f>IF(H65,Wh_hp,'2022'!Maxi_hp)</f>
        <v>40.655100676030095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3.6929846779903297E-2</v>
      </c>
      <c r="M65" s="845"/>
      <c r="N65" s="845"/>
      <c r="O65" s="48">
        <f>IF(t&lt;Tnet,'2022'!Resal+('2022'!Salim-'2022'!Resal)*(1-EXP(('2022'!Tnet-t)/('2022'!Tau_j))),Resal+(Salim-Resal)*(1-EXP((Tnet-t)/(Tau_j))))*Salcycl</f>
        <v>5.6778279154363412E-2</v>
      </c>
      <c r="P65" s="169">
        <f>(INDEX(Models!$BJ65:$BT65,,T65)*(1-R65)+INDEX(Models!$BJ65:$BT65,,T65+1)*R65-ERP_i)*Q65*Ramure*Pc/MaxiM</f>
        <v>1.8493985274215801E-4</v>
      </c>
      <c r="Q65" s="305">
        <f t="shared" si="4"/>
        <v>0.5</v>
      </c>
      <c r="R65" s="177">
        <f t="shared" si="5"/>
        <v>0.50208494967769268</v>
      </c>
      <c r="S65" s="811">
        <f t="shared" si="6"/>
        <v>0</v>
      </c>
      <c r="T65" s="176">
        <f t="shared" si="7"/>
        <v>6</v>
      </c>
      <c r="U65" s="251">
        <f t="shared" si="8"/>
        <v>0.50208494967769268</v>
      </c>
      <c r="V65" s="383">
        <f t="shared" si="9"/>
        <v>36.978996277695948</v>
      </c>
      <c r="W65" s="402">
        <f t="shared" si="10"/>
        <v>19.157851819367384</v>
      </c>
      <c r="X65" s="157">
        <f t="shared" si="11"/>
        <v>44977</v>
      </c>
      <c r="Y65" s="385">
        <f t="shared" si="12"/>
        <v>18.68206253099995</v>
      </c>
      <c r="Z65" s="385">
        <f t="shared" si="22"/>
        <v>19.39844409935775</v>
      </c>
      <c r="AA65" s="386">
        <f t="shared" si="13"/>
        <v>21.089927790818113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8.0203389420649418E-2</v>
      </c>
      <c r="AD65" s="231">
        <f>(INDEX(Models!$BJ65:$BT65,,AH65)*(1-AF65)+INDEX(Models!$BJ65:$BT65,,AH65+1)*AF65-ERP_i)*AE65*Ramure*Pc/MaxiM</f>
        <v>1.8493985274215801E-4</v>
      </c>
      <c r="AE65" s="305">
        <f t="shared" si="15"/>
        <v>0.5</v>
      </c>
      <c r="AF65" s="177">
        <f t="shared" si="23"/>
        <v>0.50208494967769268</v>
      </c>
      <c r="AG65" s="811">
        <f t="shared" si="24"/>
        <v>0</v>
      </c>
      <c r="AH65" s="176">
        <f t="shared" si="16"/>
        <v>6</v>
      </c>
      <c r="AI65" s="225">
        <f t="shared" si="17"/>
        <v>0.50208494967769268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21.178703324652503</v>
      </c>
      <c r="C66" s="841"/>
      <c r="D66" s="393">
        <f t="shared" si="0"/>
        <v>21.991302639745424</v>
      </c>
      <c r="E66" s="385">
        <f t="shared" si="1"/>
        <v>23.316578252413571</v>
      </c>
      <c r="F66" s="385">
        <f t="shared" si="2"/>
        <v>23.318288167036332</v>
      </c>
      <c r="G66" s="110">
        <f t="shared" si="21"/>
        <v>0.56771096215806638</v>
      </c>
      <c r="H66" s="414" t="b">
        <f>Wh_hp&gt;='2022'!Maxi_hp</f>
        <v>0</v>
      </c>
      <c r="I66" s="390">
        <f>IF(H66,Wh_hp,'2022'!Maxi_hp)</f>
        <v>38.737384022485628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3.6950940487913253E-2</v>
      </c>
      <c r="M66" s="845"/>
      <c r="N66" s="845"/>
      <c r="O66" s="48">
        <f>IF(t&lt;Tnet,'2022'!Resal+('2022'!Salim-'2022'!Resal)*(1-EXP(('2022'!Tnet-t)/('2022'!Tau_j))),Resal+(Salim-Resal)*(1-EXP((Tnet-t)/(Tau_j))))*Salcycl</f>
        <v>5.6838340442640328E-2</v>
      </c>
      <c r="P66" s="169">
        <f>(INDEX(Models!$BJ66:$BT66,,T66)*(1-R66)+INDEX(Models!$BJ66:$BT66,,T66+1)*R66-ERP_i)*Q66*Ramure*Pc/MaxiM</f>
        <v>1.9169051849441657E-4</v>
      </c>
      <c r="Q66" s="305">
        <f t="shared" si="4"/>
        <v>0.5</v>
      </c>
      <c r="R66" s="177">
        <f t="shared" si="5"/>
        <v>0.50230862792697928</v>
      </c>
      <c r="S66" s="811">
        <f t="shared" si="6"/>
        <v>0</v>
      </c>
      <c r="T66" s="176">
        <f t="shared" si="7"/>
        <v>6</v>
      </c>
      <c r="U66" s="251">
        <f t="shared" si="8"/>
        <v>0.50230862792697928</v>
      </c>
      <c r="V66" s="383">
        <f t="shared" si="9"/>
        <v>37.301017271158642</v>
      </c>
      <c r="W66" s="402">
        <f t="shared" si="10"/>
        <v>21.178703324652503</v>
      </c>
      <c r="X66" s="157">
        <f t="shared" si="11"/>
        <v>44978</v>
      </c>
      <c r="Y66" s="385">
        <f t="shared" si="12"/>
        <v>20.653404383519806</v>
      </c>
      <c r="Z66" s="385">
        <f t="shared" si="22"/>
        <v>21.445848661109249</v>
      </c>
      <c r="AA66" s="386">
        <f t="shared" si="13"/>
        <v>23.316578252413571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8.0231737738391234E-2</v>
      </c>
      <c r="AD66" s="231">
        <f>(INDEX(Models!$BJ66:$BT66,,AH66)*(1-AF66)+INDEX(Models!$BJ66:$BT66,,AH66+1)*AF66-ERP_i)*AE66*Ramure*Pc/MaxiM</f>
        <v>1.9169051849441657E-4</v>
      </c>
      <c r="AE66" s="305">
        <f t="shared" si="15"/>
        <v>0.5</v>
      </c>
      <c r="AF66" s="177">
        <f t="shared" si="23"/>
        <v>0.50230862792697928</v>
      </c>
      <c r="AG66" s="811">
        <f t="shared" si="24"/>
        <v>0</v>
      </c>
      <c r="AH66" s="176">
        <f t="shared" si="16"/>
        <v>6</v>
      </c>
      <c r="AI66" s="225">
        <f t="shared" si="17"/>
        <v>0.50230862792697928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32.73448544873542</v>
      </c>
      <c r="C67" s="841"/>
      <c r="D67" s="393">
        <f t="shared" si="0"/>
        <v>33.991209596597457</v>
      </c>
      <c r="E67" s="385">
        <f t="shared" si="1"/>
        <v>36.041934578972999</v>
      </c>
      <c r="F67" s="385">
        <f t="shared" si="2"/>
        <v>36.047747646453573</v>
      </c>
      <c r="G67" s="110">
        <f t="shared" si="21"/>
        <v>0.86998425747632013</v>
      </c>
      <c r="H67" s="414" t="b">
        <f>Wh_hp&gt;='2022'!Maxi_hp</f>
        <v>0</v>
      </c>
      <c r="I67" s="390">
        <f>IF(H67,Wh_hp,'2022'!Maxi_hp)</f>
        <v>40.196901311599696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3.6972033733916776E-2</v>
      </c>
      <c r="M67" s="845"/>
      <c r="N67" s="845"/>
      <c r="O67" s="48">
        <f>IF(t&lt;Tnet,'2022'!Resal+('2022'!Salim-'2022'!Resal)*(1-EXP(('2022'!Tnet-t)/('2022'!Tau_j))),Resal+(Salim-Resal)*(1-EXP((Tnet-t)/(Tau_j))))*Salcycl</f>
        <v>5.6898304886551197E-2</v>
      </c>
      <c r="P67" s="169">
        <f>(INDEX(Models!$BJ67:$BT67,,T67)*(1-R67)+INDEX(Models!$BJ67:$BT67,,T67+1)*R67-ERP_i)*Q67*Ramure*Pc/MaxiM</f>
        <v>1.9803321096846963E-4</v>
      </c>
      <c r="Q67" s="305">
        <f t="shared" si="4"/>
        <v>0.5</v>
      </c>
      <c r="R67" s="177">
        <f t="shared" si="5"/>
        <v>0.50254147518604853</v>
      </c>
      <c r="S67" s="811">
        <f t="shared" si="6"/>
        <v>0</v>
      </c>
      <c r="T67" s="176">
        <f t="shared" si="7"/>
        <v>6</v>
      </c>
      <c r="U67" s="251">
        <f t="shared" si="8"/>
        <v>0.50254147518604853</v>
      </c>
      <c r="V67" s="383">
        <f t="shared" si="9"/>
        <v>37.62514232658669</v>
      </c>
      <c r="W67" s="402">
        <f t="shared" si="10"/>
        <v>32.73448544873542</v>
      </c>
      <c r="X67" s="157">
        <f t="shared" si="11"/>
        <v>44979</v>
      </c>
      <c r="Y67" s="385">
        <f t="shared" si="12"/>
        <v>31.923614374794131</v>
      </c>
      <c r="Z67" s="385">
        <f t="shared" si="22"/>
        <v>33.149208011653613</v>
      </c>
      <c r="AA67" s="386">
        <f t="shared" si="13"/>
        <v>36.041934578972999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8.0260024915727257E-2</v>
      </c>
      <c r="AD67" s="231">
        <f>(INDEX(Models!$BJ67:$BT67,,AH67)*(1-AF67)+INDEX(Models!$BJ67:$BT67,,AH67+1)*AF67-ERP_i)*AE67*Ramure*Pc/MaxiM</f>
        <v>1.9803321096846963E-4</v>
      </c>
      <c r="AE67" s="305">
        <f t="shared" si="15"/>
        <v>0.5</v>
      </c>
      <c r="AF67" s="177">
        <f t="shared" si="23"/>
        <v>0.50254147518604853</v>
      </c>
      <c r="AG67" s="811">
        <f t="shared" si="24"/>
        <v>0</v>
      </c>
      <c r="AH67" s="176">
        <f t="shared" si="16"/>
        <v>6</v>
      </c>
      <c r="AI67" s="225">
        <f t="shared" si="17"/>
        <v>0.50254147518604853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33.870543022543096</v>
      </c>
      <c r="C68" s="841"/>
      <c r="D68" s="393">
        <f t="shared" si="0"/>
        <v>35.171652409990322</v>
      </c>
      <c r="E68" s="385">
        <f t="shared" si="1"/>
        <v>37.295962198799067</v>
      </c>
      <c r="F68" s="385">
        <f t="shared" si="2"/>
        <v>37.302402341449337</v>
      </c>
      <c r="G68" s="110">
        <f t="shared" si="21"/>
        <v>0.89245109472388739</v>
      </c>
      <c r="H68" s="414" t="b">
        <f>Wh_hp&gt;='2022'!Maxi_hp</f>
        <v>0</v>
      </c>
      <c r="I68" s="390">
        <f>IF(H68,Wh_hp,'2022'!Maxi_hp)</f>
        <v>40.899659056750139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3.6993126517924191E-2</v>
      </c>
      <c r="M68" s="845"/>
      <c r="N68" s="845"/>
      <c r="O68" s="48">
        <f>IF(t&lt;Tnet,'2022'!Resal+('2022'!Salim-'2022'!Resal)*(1-EXP(('2022'!Tnet-t)/('2022'!Tau_j))),Resal+(Salim-Resal)*(1-EXP((Tnet-t)/(Tau_j))))*Salcycl</f>
        <v>5.6958170900257565E-2</v>
      </c>
      <c r="P68" s="169">
        <f>(INDEX(Models!$BJ68:$BT68,,T68)*(1-R68)+INDEX(Models!$BJ68:$BT68,,T68+1)*R68-ERP_i)*Q68*Ramure*Pc/MaxiM</f>
        <v>2.039781825595596E-4</v>
      </c>
      <c r="Q68" s="305">
        <f t="shared" si="4"/>
        <v>0.5</v>
      </c>
      <c r="R68" s="177">
        <f t="shared" si="5"/>
        <v>0.50278385804642645</v>
      </c>
      <c r="S68" s="811">
        <f t="shared" si="6"/>
        <v>0</v>
      </c>
      <c r="T68" s="176">
        <f t="shared" si="7"/>
        <v>6</v>
      </c>
      <c r="U68" s="251">
        <f t="shared" si="8"/>
        <v>0.50278385804642645</v>
      </c>
      <c r="V68" s="383">
        <f t="shared" si="9"/>
        <v>37.951078586419662</v>
      </c>
      <c r="W68" s="402">
        <f t="shared" si="10"/>
        <v>33.870543022543096</v>
      </c>
      <c r="X68" s="157">
        <f t="shared" si="11"/>
        <v>44980</v>
      </c>
      <c r="Y68" s="385">
        <f t="shared" si="12"/>
        <v>33.032613698153504</v>
      </c>
      <c r="Z68" s="385">
        <f t="shared" si="22"/>
        <v>34.301534711494803</v>
      </c>
      <c r="AA68" s="386">
        <f t="shared" si="13"/>
        <v>37.295962198799067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8.0288248667323106E-2</v>
      </c>
      <c r="AD68" s="231">
        <f>(INDEX(Models!$BJ68:$BT68,,AH68)*(1-AF68)+INDEX(Models!$BJ68:$BT68,,AH68+1)*AF68-ERP_i)*AE68*Ramure*Pc/MaxiM</f>
        <v>2.039781825595596E-4</v>
      </c>
      <c r="AE68" s="305">
        <f t="shared" si="15"/>
        <v>0.5</v>
      </c>
      <c r="AF68" s="177">
        <f t="shared" si="23"/>
        <v>0.50278385804642645</v>
      </c>
      <c r="AG68" s="811">
        <f t="shared" si="24"/>
        <v>0</v>
      </c>
      <c r="AH68" s="176">
        <f t="shared" si="16"/>
        <v>6</v>
      </c>
      <c r="AI68" s="225">
        <f t="shared" si="17"/>
        <v>0.50278385804642645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20.823450602625055</v>
      </c>
      <c r="C69" s="841"/>
      <c r="D69" s="393">
        <f t="shared" si="0"/>
        <v>21.623840154254633</v>
      </c>
      <c r="E69" s="385">
        <f t="shared" si="1"/>
        <v>22.931337742996135</v>
      </c>
      <c r="F69" s="385">
        <f t="shared" si="2"/>
        <v>22.933012722164953</v>
      </c>
      <c r="G69" s="110">
        <f t="shared" si="21"/>
        <v>0.54392387241119633</v>
      </c>
      <c r="H69" s="414" t="b">
        <f>Wh_hp&gt;='2022'!Maxi_hp</f>
        <v>0</v>
      </c>
      <c r="I69" s="390">
        <f>IF(H69,Wh_hp,'2022'!Maxi_hp)</f>
        <v>41.03378848015074</v>
      </c>
      <c r="J69" s="85">
        <f>IF(H69,An,'2022'!An_max)</f>
        <v>2019</v>
      </c>
      <c r="K69" s="197">
        <f t="shared" si="3"/>
        <v>44981</v>
      </c>
      <c r="L69" s="147">
        <f>IF(t&lt;Tvie,1-EXP((T0-t)*PertePVj)+'2022'!Pspv,1-EXP((T0-t)*PertePVj)+Pspv)</f>
        <v>3.7014218839945379E-2</v>
      </c>
      <c r="M69" s="845"/>
      <c r="N69" s="845"/>
      <c r="O69" s="48">
        <f>IF(t&lt;Tnet,'2022'!Resal+('2022'!Salim-'2022'!Resal)*(1-EXP(('2022'!Tnet-t)/('2022'!Tau_j))),Resal+(Salim-Resal)*(1-EXP((Tnet-t)/(Tau_j))))*Salcycl</f>
        <v>5.70179377843252E-2</v>
      </c>
      <c r="P69" s="169">
        <f>(INDEX(Models!$BJ69:$BT69,,T69)*(1-R69)+INDEX(Models!$BJ69:$BT69,,T69+1)*R69-ERP_i)*Q69*Ramure*Pc/MaxiM</f>
        <v>2.0953657231076198E-4</v>
      </c>
      <c r="Q69" s="305">
        <f t="shared" si="4"/>
        <v>0.5</v>
      </c>
      <c r="R69" s="177">
        <f t="shared" si="5"/>
        <v>0.50303615697364468</v>
      </c>
      <c r="S69" s="811">
        <f t="shared" si="6"/>
        <v>0</v>
      </c>
      <c r="T69" s="176">
        <f t="shared" si="7"/>
        <v>6</v>
      </c>
      <c r="U69" s="251">
        <f t="shared" si="8"/>
        <v>0.50303615697364468</v>
      </c>
      <c r="V69" s="383">
        <f t="shared" si="9"/>
        <v>38.2785332245546</v>
      </c>
      <c r="W69" s="402">
        <f t="shared" si="10"/>
        <v>20.823450602625055</v>
      </c>
      <c r="X69" s="157">
        <f t="shared" si="11"/>
        <v>44981</v>
      </c>
      <c r="Y69" s="385">
        <f t="shared" si="12"/>
        <v>20.308960918971756</v>
      </c>
      <c r="Z69" s="385">
        <f t="shared" si="22"/>
        <v>21.089575065694842</v>
      </c>
      <c r="AA69" s="386">
        <f t="shared" si="13"/>
        <v>22.931337742996135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8.0316407962889913E-2</v>
      </c>
      <c r="AD69" s="231">
        <f>(INDEX(Models!$BJ69:$BT69,,AH69)*(1-AF69)+INDEX(Models!$BJ69:$BT69,,AH69+1)*AF69-ERP_i)*AE69*Ramure*Pc/MaxiM</f>
        <v>2.0953657231076198E-4</v>
      </c>
      <c r="AE69" s="305">
        <f t="shared" si="15"/>
        <v>0.5</v>
      </c>
      <c r="AF69" s="177">
        <f t="shared" si="23"/>
        <v>0.50303615697364468</v>
      </c>
      <c r="AG69" s="811">
        <f t="shared" si="24"/>
        <v>0</v>
      </c>
      <c r="AH69" s="176">
        <f t="shared" si="16"/>
        <v>6</v>
      </c>
      <c r="AI69" s="225">
        <f t="shared" si="17"/>
        <v>0.50303615697364468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30.329109450752458</v>
      </c>
      <c r="C70" s="841"/>
      <c r="D70" s="393">
        <f t="shared" si="0"/>
        <v>31.495557197220862</v>
      </c>
      <c r="E70" s="385">
        <f t="shared" si="1"/>
        <v>33.402067222589579</v>
      </c>
      <c r="F70" s="385">
        <f t="shared" si="2"/>
        <v>33.407043143642873</v>
      </c>
      <c r="G70" s="110">
        <f t="shared" si="21"/>
        <v>0.78552974019446253</v>
      </c>
      <c r="H70" s="414" t="b">
        <f>Wh_hp&gt;='2022'!Maxi_hp</f>
        <v>0</v>
      </c>
      <c r="I70" s="390">
        <f>IF(H70,Wh_hp,'2022'!Maxi_hp)</f>
        <v>42.028165575806206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3.7035310699990664E-2</v>
      </c>
      <c r="M70" s="845"/>
      <c r="N70" s="845"/>
      <c r="O70" s="48">
        <f>IF(t&lt;Tnet,'2022'!Resal+('2022'!Salim-'2022'!Resal)*(1-EXP(('2022'!Tnet-t)/('2022'!Tau_j))),Resal+(Salim-Resal)*(1-EXP((Tnet-t)/(Tau_j))))*Salcycl</f>
        <v>5.7077605786008359E-2</v>
      </c>
      <c r="P70" s="169">
        <f>(INDEX(Models!$BJ70:$BT70,,T70)*(1-R70)+INDEX(Models!$BJ70:$BT70,,T70+1)*R70-ERP_i)*Q70*Ramure*Pc/MaxiM</f>
        <v>2.1471946960343664E-4</v>
      </c>
      <c r="Q70" s="305">
        <f t="shared" si="4"/>
        <v>0.5</v>
      </c>
      <c r="R70" s="177">
        <f t="shared" si="5"/>
        <v>0.50329876676578078</v>
      </c>
      <c r="S70" s="811">
        <f t="shared" si="6"/>
        <v>0</v>
      </c>
      <c r="T70" s="176">
        <f t="shared" si="7"/>
        <v>6</v>
      </c>
      <c r="U70" s="251">
        <f t="shared" si="8"/>
        <v>0.50329876676578078</v>
      </c>
      <c r="V70" s="383">
        <f t="shared" si="9"/>
        <v>38.60721347604489</v>
      </c>
      <c r="W70" s="402">
        <f t="shared" si="10"/>
        <v>30.329109450752458</v>
      </c>
      <c r="X70" s="157">
        <f t="shared" si="11"/>
        <v>44982</v>
      </c>
      <c r="Y70" s="385">
        <f t="shared" si="12"/>
        <v>29.580729435835643</v>
      </c>
      <c r="Z70" s="385">
        <f t="shared" si="22"/>
        <v>30.718394728822542</v>
      </c>
      <c r="AA70" s="386">
        <f t="shared" si="13"/>
        <v>33.402067222589579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8.0344503107642684E-2</v>
      </c>
      <c r="AD70" s="231">
        <f>(INDEX(Models!$BJ70:$BT70,,AH70)*(1-AF70)+INDEX(Models!$BJ70:$BT70,,AH70+1)*AF70-ERP_i)*AE70*Ramure*Pc/MaxiM</f>
        <v>2.1471946960343664E-4</v>
      </c>
      <c r="AE70" s="305">
        <f t="shared" si="15"/>
        <v>0.5</v>
      </c>
      <c r="AF70" s="177">
        <f t="shared" si="23"/>
        <v>0.50329876676578078</v>
      </c>
      <c r="AG70" s="811">
        <f t="shared" si="24"/>
        <v>0</v>
      </c>
      <c r="AH70" s="176">
        <f t="shared" si="16"/>
        <v>6</v>
      </c>
      <c r="AI70" s="225">
        <f t="shared" si="17"/>
        <v>0.50329876676578078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39.058324012576534</v>
      </c>
      <c r="C71" s="841"/>
      <c r="D71" s="393">
        <f t="shared" si="0"/>
        <v>40.561382928010694</v>
      </c>
      <c r="E71" s="385">
        <f t="shared" si="1"/>
        <v>43.019389355614713</v>
      </c>
      <c r="F71" s="385">
        <f t="shared" si="2"/>
        <v>43.028835815721585</v>
      </c>
      <c r="G71" s="110">
        <f t="shared" si="21"/>
        <v>1.0031203719459276</v>
      </c>
      <c r="H71" s="414" t="b">
        <f>Wh_hp&gt;='2022'!Maxi_hp</f>
        <v>1</v>
      </c>
      <c r="I71" s="390">
        <f>IF(H71,Wh_hp,'2022'!Maxi_hp)</f>
        <v>43.028835815721585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3.705640209807004E-2</v>
      </c>
      <c r="M71" s="845"/>
      <c r="N71" s="845"/>
      <c r="O71" s="48">
        <f>IF(t&lt;Tnet,'2022'!Resal+('2022'!Salim-'2022'!Resal)*(1-EXP(('2022'!Tnet-t)/('2022'!Tau_j))),Resal+(Salim-Resal)*(1-EXP((Tnet-t)/(Tau_j))))*Salcycl</f>
        <v>5.7137176152948076E-2</v>
      </c>
      <c r="P71" s="169">
        <f>(INDEX(Models!$BJ71:$BT71,,T71)*(1-R71)+INDEX(Models!$BJ71:$BT71,,T71+1)*R71-ERP_i)*Q71*Ramure*Pc/MaxiM</f>
        <v>2.1953789657084552E-4</v>
      </c>
      <c r="Q71" s="305">
        <f t="shared" si="4"/>
        <v>0.5</v>
      </c>
      <c r="R71" s="177">
        <f t="shared" si="5"/>
        <v>0.50357209702134609</v>
      </c>
      <c r="S71" s="811">
        <f t="shared" si="6"/>
        <v>0</v>
      </c>
      <c r="T71" s="176">
        <f t="shared" si="7"/>
        <v>6</v>
      </c>
      <c r="U71" s="251">
        <f t="shared" si="8"/>
        <v>0.50357209702134609</v>
      </c>
      <c r="V71" s="383">
        <f t="shared" si="9"/>
        <v>38.936826631093425</v>
      </c>
      <c r="W71" s="402">
        <f t="shared" si="10"/>
        <v>39.058324012576534</v>
      </c>
      <c r="X71" s="157">
        <f t="shared" si="11"/>
        <v>44983</v>
      </c>
      <c r="Y71" s="385">
        <f t="shared" si="12"/>
        <v>38.0957935328452</v>
      </c>
      <c r="Z71" s="385">
        <f t="shared" si="22"/>
        <v>39.561811943969154</v>
      </c>
      <c r="AA71" s="386">
        <f t="shared" si="13"/>
        <v>43.019389355614713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8.0372535813186444E-2</v>
      </c>
      <c r="AD71" s="231">
        <f>(INDEX(Models!$BJ71:$BT71,,AH71)*(1-AF71)+INDEX(Models!$BJ71:$BT71,,AH71+1)*AF71-ERP_i)*AE71*Ramure*Pc/MaxiM</f>
        <v>2.1953789657084552E-4</v>
      </c>
      <c r="AE71" s="305">
        <f t="shared" si="15"/>
        <v>0.5</v>
      </c>
      <c r="AF71" s="177">
        <f t="shared" si="23"/>
        <v>0.50357209702134609</v>
      </c>
      <c r="AG71" s="811">
        <f t="shared" si="24"/>
        <v>0</v>
      </c>
      <c r="AH71" s="176">
        <f t="shared" si="16"/>
        <v>6</v>
      </c>
      <c r="AI71" s="225">
        <f t="shared" si="17"/>
        <v>0.50357209702134609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27.219831108935374</v>
      </c>
      <c r="C72" s="841"/>
      <c r="D72" s="393">
        <f t="shared" si="0"/>
        <v>28.267935282461895</v>
      </c>
      <c r="E72" s="385">
        <f t="shared" si="1"/>
        <v>29.98285413160432</v>
      </c>
      <c r="F72" s="385">
        <f t="shared" si="2"/>
        <v>29.986606723893257</v>
      </c>
      <c r="G72" s="110">
        <f t="shared" si="21"/>
        <v>0.69312869161218638</v>
      </c>
      <c r="H72" s="414" t="b">
        <f>Wh_hp&gt;='2022'!Maxi_hp</f>
        <v>0</v>
      </c>
      <c r="I72" s="390">
        <f>IF(H72,Wh_hp,'2022'!Maxi_hp)</f>
        <v>42.246597609719124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3.707749303419372E-2</v>
      </c>
      <c r="M72" s="845"/>
      <c r="N72" s="845"/>
      <c r="O72" s="48">
        <f>IF(t&lt;Tnet,'2022'!Resal+('2022'!Salim-'2022'!Resal)*(1-EXP(('2022'!Tnet-t)/('2022'!Tau_j))),Resal+(Salim-Resal)*(1-EXP((Tnet-t)/(Tau_j))))*Salcycl</f>
        <v>5.7196651179874262E-2</v>
      </c>
      <c r="P72" s="169">
        <f>(INDEX(Models!$BJ72:$BT72,,T72)*(1-R72)+INDEX(Models!$BJ72:$BT72,,T72+1)*R72-ERP_i)*Q72*Ramure*Pc/MaxiM</f>
        <v>2.2278840191661519E-4</v>
      </c>
      <c r="Q72" s="305">
        <f t="shared" si="4"/>
        <v>0.5</v>
      </c>
      <c r="R72" s="177">
        <f t="shared" si="5"/>
        <v>0.50385657261615624</v>
      </c>
      <c r="S72" s="811">
        <f t="shared" si="6"/>
        <v>0</v>
      </c>
      <c r="T72" s="176">
        <f t="shared" si="7"/>
        <v>6</v>
      </c>
      <c r="U72" s="251">
        <f t="shared" si="8"/>
        <v>0.50385657261615624</v>
      </c>
      <c r="V72" s="383">
        <f t="shared" si="9"/>
        <v>39.267127727726951</v>
      </c>
      <c r="W72" s="402">
        <f t="shared" si="10"/>
        <v>27.219831108935374</v>
      </c>
      <c r="X72" s="157">
        <f t="shared" si="11"/>
        <v>44984</v>
      </c>
      <c r="Y72" s="385">
        <f t="shared" si="12"/>
        <v>26.549908692175908</v>
      </c>
      <c r="Z72" s="385">
        <f t="shared" si="22"/>
        <v>27.57221739040596</v>
      </c>
      <c r="AA72" s="386">
        <f t="shared" si="13"/>
        <v>29.98285413160432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8.040050925830157E-2</v>
      </c>
      <c r="AD72" s="231">
        <f>(INDEX(Models!$BJ72:$BT72,,AH72)*(1-AF72)+INDEX(Models!$BJ72:$BT72,,AH72+1)*AF72-ERP_i)*AE72*Ramure*Pc/MaxiM</f>
        <v>2.2278840191661519E-4</v>
      </c>
      <c r="AE72" s="305">
        <f t="shared" si="15"/>
        <v>0.5</v>
      </c>
      <c r="AF72" s="177">
        <f t="shared" si="23"/>
        <v>0.50385657261615624</v>
      </c>
      <c r="AG72" s="811">
        <f t="shared" si="24"/>
        <v>0</v>
      </c>
      <c r="AH72" s="176">
        <f t="shared" si="16"/>
        <v>6</v>
      </c>
      <c r="AI72" s="225">
        <f t="shared" si="17"/>
        <v>0.50385657261615624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33.63548468850535</v>
      </c>
      <c r="C73" s="841"/>
      <c r="D73" s="393">
        <f t="shared" si="0"/>
        <v>34.931389768910769</v>
      </c>
      <c r="E73" s="385">
        <f t="shared" si="1"/>
        <v>37.052891387160777</v>
      </c>
      <c r="F73" s="385">
        <f t="shared" si="2"/>
        <v>37.059408832191146</v>
      </c>
      <c r="G73" s="110">
        <f t="shared" si="21"/>
        <v>0.84938626898220904</v>
      </c>
      <c r="H73" s="414" t="b">
        <f>Wh_hp&gt;='2022'!Maxi_hp</f>
        <v>0</v>
      </c>
      <c r="I73" s="390">
        <f>IF(H73,Wh_hp,'2022'!Maxi_hp)</f>
        <v>37.059968091396428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3.7098583508371696E-2</v>
      </c>
      <c r="M73" s="845"/>
      <c r="N73" s="845"/>
      <c r="O73" s="48">
        <f>IF(t&lt;Tnet,'2022'!Resal+('2022'!Salim-'2022'!Resal)*(1-EXP(('2022'!Tnet-t)/('2022'!Tau_j))),Resal+(Salim-Resal)*(1-EXP((Tnet-t)/(Tau_j))))*Salcycl</f>
        <v>5.7256034247981272E-2</v>
      </c>
      <c r="P73" s="169">
        <f>(INDEX(Models!$BJ73:$BT73,,T73)*(1-R73)+INDEX(Models!$BJ73:$BT73,,T73+1)*R73-ERP_i)*Q73*Ramure*Pc/MaxiM</f>
        <v>2.2406125364175477E-4</v>
      </c>
      <c r="Q73" s="305">
        <f t="shared" si="4"/>
        <v>0.5</v>
      </c>
      <c r="R73" s="177">
        <f t="shared" si="5"/>
        <v>0.5041526341887439</v>
      </c>
      <c r="S73" s="811">
        <f t="shared" si="6"/>
        <v>0</v>
      </c>
      <c r="T73" s="176">
        <f t="shared" si="7"/>
        <v>6</v>
      </c>
      <c r="U73" s="251">
        <f t="shared" si="8"/>
        <v>0.5041526341887439</v>
      </c>
      <c r="V73" s="383">
        <f t="shared" si="9"/>
        <v>39.597842018491804</v>
      </c>
      <c r="W73" s="402">
        <f t="shared" si="10"/>
        <v>33.63548468850535</v>
      </c>
      <c r="X73" s="157">
        <f t="shared" si="11"/>
        <v>44985</v>
      </c>
      <c r="Y73" s="385">
        <f t="shared" si="12"/>
        <v>32.80873349386588</v>
      </c>
      <c r="Z73" s="385">
        <f t="shared" si="22"/>
        <v>34.072785574878345</v>
      </c>
      <c r="AA73" s="386">
        <f t="shared" si="13"/>
        <v>37.052891387160777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8.042842813921576E-2</v>
      </c>
      <c r="AD73" s="231">
        <f>(INDEX(Models!$BJ73:$BT73,,AH73)*(1-AF73)+INDEX(Models!$BJ73:$BT73,,AH73+1)*AF73-ERP_i)*AE73*Ramure*Pc/MaxiM</f>
        <v>2.2406125364175477E-4</v>
      </c>
      <c r="AE73" s="305">
        <f t="shared" si="15"/>
        <v>0.5</v>
      </c>
      <c r="AF73" s="177">
        <f t="shared" si="23"/>
        <v>0.5041526341887439</v>
      </c>
      <c r="AG73" s="811">
        <f t="shared" si="24"/>
        <v>0</v>
      </c>
      <c r="AH73" s="176">
        <f t="shared" si="16"/>
        <v>6</v>
      </c>
      <c r="AI73" s="225">
        <f t="shared" si="17"/>
        <v>0.5041526341887439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39.045576640034177</v>
      </c>
      <c r="C74" s="841"/>
      <c r="D74" s="393">
        <f t="shared" si="0"/>
        <v>40.550809447730572</v>
      </c>
      <c r="E74" s="385">
        <f t="shared" si="1"/>
        <v>43.016303046030792</v>
      </c>
      <c r="F74" s="385">
        <f t="shared" si="2"/>
        <v>43.025611521600013</v>
      </c>
      <c r="G74" s="110">
        <f t="shared" si="21"/>
        <v>0.9778761505639284</v>
      </c>
      <c r="H74" s="414" t="b">
        <f>Wh_hp&gt;='2022'!Maxi_hp</f>
        <v>0</v>
      </c>
      <c r="I74" s="390">
        <f>IF(H74,Wh_hp,'2022'!Maxi_hp)</f>
        <v>43.025708603641178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3.7119673520614183E-2</v>
      </c>
      <c r="M74" s="845"/>
      <c r="N74" s="845"/>
      <c r="O74" s="48">
        <f>IF(t&lt;Tnet,'2022'!Resal+('2022'!Salim-'2022'!Resal)*(1-EXP(('2022'!Tnet-t)/('2022'!Tau_j))),Resal+(Salim-Resal)*(1-EXP((Tnet-t)/(Tau_j))))*Salcycl</f>
        <v>5.7315329856727798E-2</v>
      </c>
      <c r="P74" s="169">
        <f>(INDEX(Models!$BJ74:$BT74,,T74)*(1-R74)+INDEX(Models!$BJ74:$BT74,,T74+1)*R74-ERP_i)*Q74*Ramure*Pc/MaxiM</f>
        <v>2.2340596970046734E-4</v>
      </c>
      <c r="Q74" s="305">
        <f t="shared" si="4"/>
        <v>0.5</v>
      </c>
      <c r="R74" s="177">
        <f t="shared" si="5"/>
        <v>0.5044607386338027</v>
      </c>
      <c r="S74" s="811">
        <f t="shared" si="6"/>
        <v>0</v>
      </c>
      <c r="T74" s="176">
        <f t="shared" si="7"/>
        <v>6</v>
      </c>
      <c r="U74" s="251">
        <f t="shared" si="8"/>
        <v>0.5044607386338027</v>
      </c>
      <c r="V74" s="383">
        <f t="shared" si="9"/>
        <v>39.928677009527767</v>
      </c>
      <c r="W74" s="402">
        <f t="shared" si="10"/>
        <v>39.045576640034177</v>
      </c>
      <c r="X74" s="157">
        <f t="shared" si="11"/>
        <v>44986</v>
      </c>
      <c r="Y74" s="385">
        <f t="shared" si="12"/>
        <v>38.087088079154917</v>
      </c>
      <c r="Z74" s="385">
        <f t="shared" si="22"/>
        <v>39.555370518799691</v>
      </c>
      <c r="AA74" s="386">
        <f t="shared" si="13"/>
        <v>43.016303046030792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8.045629870906465E-2</v>
      </c>
      <c r="AD74" s="231">
        <f>(INDEX(Models!$BJ74:$BT74,,AH74)*(1-AF74)+INDEX(Models!$BJ74:$BT74,,AH74+1)*AF74-ERP_i)*AE74*Ramure*Pc/MaxiM</f>
        <v>2.2340596970046734E-4</v>
      </c>
      <c r="AE74" s="305">
        <f t="shared" si="15"/>
        <v>0.5</v>
      </c>
      <c r="AF74" s="177">
        <f t="shared" si="23"/>
        <v>0.5044607386338027</v>
      </c>
      <c r="AG74" s="811">
        <f t="shared" si="24"/>
        <v>0</v>
      </c>
      <c r="AH74" s="176">
        <f t="shared" si="16"/>
        <v>6</v>
      </c>
      <c r="AI74" s="225">
        <f t="shared" si="17"/>
        <v>0.5044607386338027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10.752643476503371</v>
      </c>
      <c r="C75" s="841"/>
      <c r="D75" s="393">
        <f t="shared" si="0"/>
        <v>11.167409590209385</v>
      </c>
      <c r="E75" s="385">
        <f t="shared" si="1"/>
        <v>11.847133466378555</v>
      </c>
      <c r="F75" s="385">
        <f t="shared" si="2"/>
        <v>11.847133466378555</v>
      </c>
      <c r="G75" s="110">
        <f t="shared" si="21"/>
        <v>0.2670254521821851</v>
      </c>
      <c r="H75" s="414" t="b">
        <f>Wh_hp&gt;='2022'!Maxi_hp</f>
        <v>0</v>
      </c>
      <c r="I75" s="390">
        <f>IF(H75,Wh_hp,'2022'!Maxi_hp)</f>
        <v>29.154269715170336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3.7140763070931393E-2</v>
      </c>
      <c r="M75" s="845"/>
      <c r="N75" s="845"/>
      <c r="O75" s="48">
        <f>IF(t&lt;Tnet,'2022'!Resal+('2022'!Salim-'2022'!Resal)*(1-EXP(('2022'!Tnet-t)/('2022'!Tau_j))),Resal+(Salim-Resal)*(1-EXP((Tnet-t)/(Tau_j))))*Salcycl</f>
        <v>5.7374543647894675E-2</v>
      </c>
      <c r="P75" s="169">
        <f>(INDEX(Models!$BJ75:$BT75,,T75)*(1-R75)+INDEX(Models!$BJ75:$BT75,,T75+1)*R75-ERP_i)*Q75*Ramure*Pc/MaxiM</f>
        <v>2.2087045933322181E-4</v>
      </c>
      <c r="Q75" s="305">
        <f t="shared" si="4"/>
        <v>0.5</v>
      </c>
      <c r="R75" s="177">
        <f t="shared" si="5"/>
        <v>0.50478135960306425</v>
      </c>
      <c r="S75" s="811">
        <f t="shared" si="6"/>
        <v>0</v>
      </c>
      <c r="T75" s="176">
        <f t="shared" si="7"/>
        <v>6</v>
      </c>
      <c r="U75" s="251">
        <f t="shared" si="8"/>
        <v>0.50478135960306425</v>
      </c>
      <c r="V75" s="383">
        <f t="shared" si="9"/>
        <v>40.259340251449203</v>
      </c>
      <c r="W75" s="402">
        <f t="shared" si="10"/>
        <v>10.752643476503371</v>
      </c>
      <c r="X75" s="157">
        <f t="shared" si="11"/>
        <v>44987</v>
      </c>
      <c r="Y75" s="385">
        <f t="shared" si="12"/>
        <v>10.489029621791111</v>
      </c>
      <c r="Z75" s="385">
        <f t="shared" si="22"/>
        <v>10.893627250484395</v>
      </c>
      <c r="AA75" s="386">
        <f t="shared" si="13"/>
        <v>11.847133466378555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8.0484128806360952E-2</v>
      </c>
      <c r="AD75" s="231">
        <f>(INDEX(Models!$BJ75:$BT75,,AH75)*(1-AF75)+INDEX(Models!$BJ75:$BT75,,AH75+1)*AF75-ERP_i)*AE75*Ramure*Pc/MaxiM</f>
        <v>2.2087045933322181E-4</v>
      </c>
      <c r="AE75" s="305">
        <f t="shared" si="15"/>
        <v>0.5</v>
      </c>
      <c r="AF75" s="177">
        <f t="shared" si="23"/>
        <v>0.50478135960306425</v>
      </c>
      <c r="AG75" s="811">
        <f t="shared" si="24"/>
        <v>0</v>
      </c>
      <c r="AH75" s="176">
        <f t="shared" si="16"/>
        <v>6</v>
      </c>
      <c r="AI75" s="225">
        <f t="shared" si="17"/>
        <v>0.50478135960306425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34.654894462835287</v>
      </c>
      <c r="C76" s="841"/>
      <c r="D76" s="393">
        <f t="shared" si="0"/>
        <v>35.992440204571203</v>
      </c>
      <c r="E76" s="385">
        <f t="shared" si="1"/>
        <v>38.185578598914482</v>
      </c>
      <c r="F76" s="385">
        <f t="shared" si="2"/>
        <v>38.192120133983238</v>
      </c>
      <c r="G76" s="110">
        <f t="shared" si="21"/>
        <v>0.85375019336387337</v>
      </c>
      <c r="H76" s="414" t="b">
        <f>Wh_hp&gt;='2022'!Maxi_hp</f>
        <v>0</v>
      </c>
      <c r="I76" s="390">
        <f>IF(H76,Wh_hp,'2022'!Maxi_hp)</f>
        <v>39.010447727103518</v>
      </c>
      <c r="J76" s="85">
        <f>IF(H76,An,'2022'!An_max)</f>
        <v>2019</v>
      </c>
      <c r="K76" s="197">
        <f t="shared" si="3"/>
        <v>44988</v>
      </c>
      <c r="L76" s="147">
        <f>IF(t&lt;Tvie,1-EXP((T0-t)*PertePVj)+'2022'!Pspv,1-EXP((T0-t)*PertePVj)+Pspv)</f>
        <v>3.7161852159333209E-2</v>
      </c>
      <c r="M76" s="845"/>
      <c r="N76" s="845"/>
      <c r="O76" s="48">
        <f>IF(t&lt;Tnet,'2022'!Resal+('2022'!Salim-'2022'!Resal)*(1-EXP(('2022'!Tnet-t)/('2022'!Tau_j))),Resal+(Salim-Resal)*(1-EXP((Tnet-t)/(Tau_j))))*Salcycl</f>
        <v>5.7433682421814243E-2</v>
      </c>
      <c r="P76" s="169">
        <f>(INDEX(Models!$BJ76:$BT76,,T76)*(1-R76)+INDEX(Models!$BJ76:$BT76,,T76+1)*R76-ERP_i)*Q76*Ramure*Pc/MaxiM</f>
        <v>2.1650093222176737E-4</v>
      </c>
      <c r="Q76" s="305">
        <f t="shared" si="4"/>
        <v>0.5</v>
      </c>
      <c r="R76" s="177">
        <f t="shared" si="5"/>
        <v>0.50511498801292209</v>
      </c>
      <c r="S76" s="811">
        <f t="shared" si="6"/>
        <v>0</v>
      </c>
      <c r="T76" s="176">
        <f t="shared" si="7"/>
        <v>6</v>
      </c>
      <c r="U76" s="251">
        <f t="shared" si="8"/>
        <v>0.50511498801292209</v>
      </c>
      <c r="V76" s="383">
        <f t="shared" si="9"/>
        <v>40.589539336998129</v>
      </c>
      <c r="W76" s="402">
        <f t="shared" si="10"/>
        <v>34.654894462835287</v>
      </c>
      <c r="X76" s="157">
        <f t="shared" si="11"/>
        <v>44988</v>
      </c>
      <c r="Y76" s="385">
        <f t="shared" si="12"/>
        <v>33.80638741822483</v>
      </c>
      <c r="Z76" s="385">
        <f t="shared" si="22"/>
        <v>35.111184048992634</v>
      </c>
      <c r="AA76" s="386">
        <f t="shared" si="13"/>
        <v>38.185578598914482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8.0511927872404881E-2</v>
      </c>
      <c r="AD76" s="231">
        <f>(INDEX(Models!$BJ76:$BT76,,AH76)*(1-AF76)+INDEX(Models!$BJ76:$BT76,,AH76+1)*AF76-ERP_i)*AE76*Ramure*Pc/MaxiM</f>
        <v>2.1650093222176737E-4</v>
      </c>
      <c r="AE76" s="305">
        <f t="shared" si="15"/>
        <v>0.5</v>
      </c>
      <c r="AF76" s="177">
        <f t="shared" si="23"/>
        <v>0.50511498801292209</v>
      </c>
      <c r="AG76" s="811">
        <f t="shared" si="24"/>
        <v>0</v>
      </c>
      <c r="AH76" s="176">
        <f t="shared" si="16"/>
        <v>6</v>
      </c>
      <c r="AI76" s="225">
        <f t="shared" si="17"/>
        <v>0.50511498801292209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3.9860401553880762</v>
      </c>
      <c r="C77" s="841"/>
      <c r="D77" s="393">
        <f t="shared" si="0"/>
        <v>4.1399766624839334</v>
      </c>
      <c r="E77" s="385">
        <f t="shared" si="1"/>
        <v>4.3925144137557259</v>
      </c>
      <c r="F77" s="385">
        <f t="shared" si="2"/>
        <v>4.3925144137557259</v>
      </c>
      <c r="G77" s="110">
        <f t="shared" si="21"/>
        <v>9.7392494619042272E-2</v>
      </c>
      <c r="H77" s="414" t="b">
        <f>Wh_hp&gt;='2022'!Maxi_hp</f>
        <v>0</v>
      </c>
      <c r="I77" s="390">
        <f>IF(H77,Wh_hp,'2022'!Maxi_hp)</f>
        <v>30.286197485540761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3.7182940785829843E-2</v>
      </c>
      <c r="M77" s="845"/>
      <c r="N77" s="845"/>
      <c r="O77" s="48">
        <f>IF(t&lt;Tnet,'2022'!Resal+('2022'!Salim-'2022'!Resal)*(1-EXP(('2022'!Tnet-t)/('2022'!Tau_j))),Resal+(Salim-Resal)*(1-EXP((Tnet-t)/(Tau_j))))*Salcycl</f>
        <v>5.7492754145766295E-2</v>
      </c>
      <c r="P77" s="169">
        <f>(INDEX(Models!$BJ77:$BT77,,T77)*(1-R77)+INDEX(Models!$BJ77:$BT77,,T77+1)*R77-ERP_i)*Q77*Ramure*Pc/MaxiM</f>
        <v>2.1034181066062403E-4</v>
      </c>
      <c r="Q77" s="305">
        <f t="shared" si="4"/>
        <v>0.5</v>
      </c>
      <c r="R77" s="177">
        <f t="shared" si="5"/>
        <v>0.50546213255802042</v>
      </c>
      <c r="S77" s="811">
        <f t="shared" si="6"/>
        <v>0</v>
      </c>
      <c r="T77" s="176">
        <f t="shared" si="7"/>
        <v>6</v>
      </c>
      <c r="U77" s="251">
        <f t="shared" si="8"/>
        <v>0.50546213255802042</v>
      </c>
      <c r="V77" s="383">
        <f t="shared" si="9"/>
        <v>40.918981899712378</v>
      </c>
      <c r="W77" s="402">
        <f t="shared" si="10"/>
        <v>3.9860401553880762</v>
      </c>
      <c r="X77" s="157">
        <f t="shared" si="11"/>
        <v>44989</v>
      </c>
      <c r="Y77" s="385">
        <f t="shared" si="12"/>
        <v>3.888570263488869</v>
      </c>
      <c r="Z77" s="385">
        <f t="shared" si="22"/>
        <v>4.0387425900644445</v>
      </c>
      <c r="AA77" s="386">
        <f t="shared" si="13"/>
        <v>4.3925144137557259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8.0539706957682367E-2</v>
      </c>
      <c r="AD77" s="231">
        <f>(INDEX(Models!$BJ77:$BT77,,AH77)*(1-AF77)+INDEX(Models!$BJ77:$BT77,,AH77+1)*AF77-ERP_i)*AE77*Ramure*Pc/MaxiM</f>
        <v>2.1034181066062403E-4</v>
      </c>
      <c r="AE77" s="305">
        <f t="shared" si="15"/>
        <v>0.5</v>
      </c>
      <c r="AF77" s="177">
        <f t="shared" si="23"/>
        <v>0.50546213255802042</v>
      </c>
      <c r="AG77" s="811">
        <f t="shared" si="24"/>
        <v>0</v>
      </c>
      <c r="AH77" s="176">
        <f t="shared" si="16"/>
        <v>6</v>
      </c>
      <c r="AI77" s="225">
        <f t="shared" si="17"/>
        <v>0.50546213255802042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13.196066542328161</v>
      </c>
      <c r="C78" s="841"/>
      <c r="D78" s="393">
        <f t="shared" si="0"/>
        <v>13.705984382072966</v>
      </c>
      <c r="E78" s="385">
        <f t="shared" si="1"/>
        <v>14.542957285120034</v>
      </c>
      <c r="F78" s="385">
        <f t="shared" si="2"/>
        <v>14.543041084817695</v>
      </c>
      <c r="G78" s="110">
        <f t="shared" si="21"/>
        <v>0.31986207644329784</v>
      </c>
      <c r="H78" s="414" t="b">
        <f>Wh_hp&gt;='2022'!Maxi_hp</f>
        <v>0</v>
      </c>
      <c r="I78" s="390">
        <f>IF(H78,Wh_hp,'2022'!Maxi_hp)</f>
        <v>44.531611979407565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3.7204028950431511E-2</v>
      </c>
      <c r="M78" s="845"/>
      <c r="N78" s="845"/>
      <c r="O78" s="48">
        <f>IF(t&lt;Tnet,'2022'!Resal+('2022'!Salim-'2022'!Resal)*(1-EXP(('2022'!Tnet-t)/('2022'!Tau_j))),Resal+(Salim-Resal)*(1-EXP((Tnet-t)/(Tau_j))))*Salcycl</f>
        <v>5.7551767954612358E-2</v>
      </c>
      <c r="P78" s="169">
        <f>(INDEX(Models!$BJ78:$BT78,,T78)*(1-R78)+INDEX(Models!$BJ78:$BT78,,T78+1)*R78-ERP_i)*Q78*Ramure*Pc/MaxiM</f>
        <v>2.0243564409673355E-4</v>
      </c>
      <c r="Q78" s="305">
        <f t="shared" si="4"/>
        <v>0.5</v>
      </c>
      <c r="R78" s="177">
        <f t="shared" si="5"/>
        <v>0.50582332022991605</v>
      </c>
      <c r="S78" s="811">
        <f t="shared" si="6"/>
        <v>0</v>
      </c>
      <c r="T78" s="176">
        <f t="shared" si="7"/>
        <v>6</v>
      </c>
      <c r="U78" s="251">
        <f t="shared" si="8"/>
        <v>0.50582332022991605</v>
      </c>
      <c r="V78" s="383">
        <f t="shared" si="9"/>
        <v>41.247375612728824</v>
      </c>
      <c r="W78" s="402">
        <f t="shared" si="10"/>
        <v>13.196066542328161</v>
      </c>
      <c r="X78" s="157">
        <f t="shared" si="11"/>
        <v>44990</v>
      </c>
      <c r="Y78" s="385">
        <f t="shared" si="12"/>
        <v>12.873802846118958</v>
      </c>
      <c r="Z78" s="385">
        <f t="shared" si="22"/>
        <v>13.371267883563011</v>
      </c>
      <c r="AA78" s="386">
        <f t="shared" si="13"/>
        <v>14.542957285120034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8.0567478717404009E-2</v>
      </c>
      <c r="AD78" s="231">
        <f>(INDEX(Models!$BJ78:$BT78,,AH78)*(1-AF78)+INDEX(Models!$BJ78:$BT78,,AH78+1)*AF78-ERP_i)*AE78*Ramure*Pc/MaxiM</f>
        <v>2.0243564409673355E-4</v>
      </c>
      <c r="AE78" s="305">
        <f t="shared" si="15"/>
        <v>0.5</v>
      </c>
      <c r="AF78" s="177">
        <f t="shared" si="23"/>
        <v>0.50582332022991605</v>
      </c>
      <c r="AG78" s="811">
        <f t="shared" si="24"/>
        <v>0</v>
      </c>
      <c r="AH78" s="176">
        <f t="shared" si="16"/>
        <v>6</v>
      </c>
      <c r="AI78" s="225">
        <f t="shared" si="17"/>
        <v>0.50582332022991605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15.767071732017904</v>
      </c>
      <c r="C79" s="841"/>
      <c r="D79" s="393">
        <f t="shared" ref="D79:D142" si="25">Wh/(1-Ppv)</f>
        <v>16.3766961568498</v>
      </c>
      <c r="E79" s="385">
        <f t="shared" si="1"/>
        <v>17.377846660818175</v>
      </c>
      <c r="F79" s="385">
        <f t="shared" ref="F79:F142" si="26">Wh_sa/(1-Pvg*MEDIAN((-Sdif+Wh/Env_an)/Csdif,0,1))</f>
        <v>17.378225968749771</v>
      </c>
      <c r="G79" s="110">
        <f t="shared" si="21"/>
        <v>0.37917391202369594</v>
      </c>
      <c r="H79" s="414" t="b">
        <f>Wh_hp&gt;='2022'!Maxi_hp</f>
        <v>0</v>
      </c>
      <c r="I79" s="390">
        <f>IF(H79,Wh_hp,'2022'!Maxi_hp)</f>
        <v>23.382336400970807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3.7225116653148205E-2</v>
      </c>
      <c r="M79" s="845"/>
      <c r="N79" s="845"/>
      <c r="O79" s="48">
        <f>IF(t&lt;Tnet,'2022'!Resal+('2022'!Salim-'2022'!Resal)*(1-EXP(('2022'!Tnet-t)/('2022'!Tau_j))),Resal+(Salim-Resal)*(1-EXP((Tnet-t)/(Tau_j))))*Salcycl</f>
        <v>5.7610734143814804E-2</v>
      </c>
      <c r="P79" s="169">
        <f>(INDEX(Models!$BJ79:$BT79,,T79)*(1-R79)+INDEX(Models!$BJ79:$BT79,,T79+1)*R79-ERP_i)*Q79*Ramure*Pc/MaxiM</f>
        <v>1.9281768047713064E-4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0.50619909683981412</v>
      </c>
      <c r="S79" s="81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0.50619909683981412</v>
      </c>
      <c r="V79" s="383">
        <f t="shared" ref="V79:V142" si="33">MaxiM*(1-Ppv)*(1-Pvg)*(1-Psa)</f>
        <v>41.575580874529031</v>
      </c>
      <c r="W79" s="402">
        <f t="shared" ref="W79:W142" si="34">Wh*(A79&gt;Tmaj)</f>
        <v>15.767071732017904</v>
      </c>
      <c r="X79" s="157">
        <f t="shared" ref="X79:X142" si="35">t</f>
        <v>44991</v>
      </c>
      <c r="Y79" s="385">
        <f t="shared" ref="Y79:Y142" si="36">Wh_pvt_s*(1-Ppv)</f>
        <v>15.382518724061942</v>
      </c>
      <c r="Z79" s="385">
        <f t="shared" ref="Z79:Z142" si="37">Wh_sa_s*(1-Psa_s)</f>
        <v>15.977274636193636</v>
      </c>
      <c r="AA79" s="386">
        <f t="shared" ref="AA79:AA142" si="38">Wh_hp*(1-Pvg_s*MEDIAN((-Sdif+Wh/Env_an)/Csdif,0,1))</f>
        <v>17.377846660818175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8.0595257396441855E-2</v>
      </c>
      <c r="AD79" s="231">
        <f>(INDEX(Models!$BJ79:$BT79,,AH79)*(1-AF79)+INDEX(Models!$BJ79:$BT79,,AH79+1)*AF79-ERP_i)*AE79*Ramure*Pc/MaxiM</f>
        <v>1.9281768047713064E-4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0.50619909683981412</v>
      </c>
      <c r="AG79" s="811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0.50619909683981412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36.827892219210483</v>
      </c>
      <c r="C80" s="841"/>
      <c r="D80" s="393">
        <f t="shared" si="25"/>
        <v>38.252658538627379</v>
      </c>
      <c r="E80" s="385">
        <f t="shared" ref="E80:E143" si="47">Wh_pvt/(1-Psa)</f>
        <v>40.593682579822797</v>
      </c>
      <c r="F80" s="385">
        <f t="shared" si="26"/>
        <v>40.599787313463331</v>
      </c>
      <c r="G80" s="110">
        <f t="shared" ref="G80:G143" si="48">+Wh_hp/MaxiM</f>
        <v>0.87882505744530903</v>
      </c>
      <c r="H80" s="414" t="b">
        <f>Wh_hp&gt;='2022'!Maxi_hp</f>
        <v>0</v>
      </c>
      <c r="I80" s="390">
        <f>IF(H80,Wh_hp,'2022'!Maxi_hp)</f>
        <v>42.685529835046331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3.7246203893990137E-2</v>
      </c>
      <c r="M80" s="845"/>
      <c r="N80" s="845"/>
      <c r="O80" s="48">
        <f>IF(t&lt;Tnet,'2022'!Resal+('2022'!Salim-'2022'!Resal)*(1-EXP(('2022'!Tnet-t)/('2022'!Tau_j))),Resal+(Salim-Resal)*(1-EXP((Tnet-t)/(Tau_j))))*Salcycl</f>
        <v>5.7669664155058149E-2</v>
      </c>
      <c r="P80" s="169">
        <f>(INDEX(Models!$BJ80:$BT80,,T80)*(1-R80)+INDEX(Models!$BJ80:$BT80,,T80+1)*R80-ERP_i)*Q80*Ramure*Pc/MaxiM</f>
        <v>1.818330920664132E-4</v>
      </c>
      <c r="Q80" s="305">
        <f t="shared" si="28"/>
        <v>0.5</v>
      </c>
      <c r="R80" s="177">
        <f t="shared" si="29"/>
        <v>0.50659002754424975</v>
      </c>
      <c r="S80" s="811">
        <f t="shared" si="30"/>
        <v>0</v>
      </c>
      <c r="T80" s="176">
        <f t="shared" si="31"/>
        <v>6</v>
      </c>
      <c r="U80" s="251">
        <f t="shared" si="32"/>
        <v>0.50659002754424975</v>
      </c>
      <c r="V80" s="383">
        <f t="shared" si="33"/>
        <v>41.904509641600761</v>
      </c>
      <c r="W80" s="402">
        <f t="shared" si="34"/>
        <v>36.827892219210483</v>
      </c>
      <c r="X80" s="157">
        <f t="shared" si="35"/>
        <v>44992</v>
      </c>
      <c r="Y80" s="385">
        <f t="shared" si="36"/>
        <v>35.930834030545782</v>
      </c>
      <c r="Z80" s="385">
        <f t="shared" si="37"/>
        <v>37.320895722118138</v>
      </c>
      <c r="AA80" s="386">
        <f t="shared" si="38"/>
        <v>40.593682579822797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8.06230588040171E-2</v>
      </c>
      <c r="AD80" s="231">
        <f>(INDEX(Models!$BJ80:$BT80,,AH80)*(1-AF80)+INDEX(Models!$BJ80:$BT80,,AH80+1)*AF80-ERP_i)*AE80*Ramure*Pc/MaxiM</f>
        <v>1.818330920664132E-4</v>
      </c>
      <c r="AE80" s="305">
        <f t="shared" si="40"/>
        <v>0.5</v>
      </c>
      <c r="AF80" s="177">
        <f t="shared" si="41"/>
        <v>0.50659002754424975</v>
      </c>
      <c r="AG80" s="811">
        <f t="shared" ref="AG80:AG143" si="49">INDEX(Echel_vg,AH80)</f>
        <v>0</v>
      </c>
      <c r="AH80" s="176">
        <f t="shared" si="42"/>
        <v>6</v>
      </c>
      <c r="AI80" s="225">
        <f t="shared" si="43"/>
        <v>0.50659002754424975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31.827705062658897</v>
      </c>
      <c r="C81" s="841"/>
      <c r="D81" s="393">
        <f t="shared" si="25"/>
        <v>33.059752467439303</v>
      </c>
      <c r="E81" s="385">
        <f t="shared" si="47"/>
        <v>35.085169128923887</v>
      </c>
      <c r="F81" s="385">
        <f t="shared" si="26"/>
        <v>35.089038942877174</v>
      </c>
      <c r="G81" s="110">
        <f t="shared" si="48"/>
        <v>0.75355981003201777</v>
      </c>
      <c r="H81" s="414" t="b">
        <f>Wh_hp&gt;='2022'!Maxi_hp</f>
        <v>0</v>
      </c>
      <c r="I81" s="390">
        <f>IF(H81,Wh_hp,'2022'!Maxi_hp)</f>
        <v>35.089826516602166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3.7267290672967301E-2</v>
      </c>
      <c r="M81" s="845"/>
      <c r="N81" s="845"/>
      <c r="O81" s="48">
        <f>IF(t&lt;Tnet,'2022'!Resal+('2022'!Salim-'2022'!Resal)*(1-EXP(('2022'!Tnet-t)/('2022'!Tau_j))),Resal+(Salim-Resal)*(1-EXP((Tnet-t)/(Tau_j))))*Salcycl</f>
        <v>5.7728570554754825E-2</v>
      </c>
      <c r="P81" s="169">
        <f>(INDEX(Models!$BJ81:$BT81,,T81)*(1-R81)+INDEX(Models!$BJ81:$BT81,,T81+1)*R81-ERP_i)*Q81*Ramure*Pc/MaxiM</f>
        <v>1.7019188848123651E-4</v>
      </c>
      <c r="Q81" s="305">
        <f t="shared" si="28"/>
        <v>0.5</v>
      </c>
      <c r="R81" s="177">
        <f t="shared" si="29"/>
        <v>0.50699669737245978</v>
      </c>
      <c r="S81" s="811">
        <f t="shared" si="30"/>
        <v>0</v>
      </c>
      <c r="T81" s="176">
        <f t="shared" si="31"/>
        <v>6</v>
      </c>
      <c r="U81" s="251">
        <f t="shared" si="32"/>
        <v>0.50699669737245978</v>
      </c>
      <c r="V81" s="383">
        <f t="shared" si="33"/>
        <v>42.233937833980974</v>
      </c>
      <c r="W81" s="402">
        <f t="shared" si="34"/>
        <v>31.827705062658897</v>
      </c>
      <c r="X81" s="157">
        <f t="shared" si="35"/>
        <v>44993</v>
      </c>
      <c r="Y81" s="385">
        <f t="shared" si="36"/>
        <v>31.053442862829161</v>
      </c>
      <c r="Z81" s="385">
        <f t="shared" si="37"/>
        <v>32.255518652249876</v>
      </c>
      <c r="AA81" s="386">
        <f t="shared" si="38"/>
        <v>35.085169128923887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8.0650900278581711E-2</v>
      </c>
      <c r="AD81" s="231">
        <f>(INDEX(Models!$BJ81:$BT81,,AH81)*(1-AF81)+INDEX(Models!$BJ81:$BT81,,AH81+1)*AF81-ERP_i)*AE81*Ramure*Pc/MaxiM</f>
        <v>1.7019188848123651E-4</v>
      </c>
      <c r="AE81" s="305">
        <f t="shared" si="40"/>
        <v>0.5</v>
      </c>
      <c r="AF81" s="177">
        <f t="shared" si="41"/>
        <v>0.50699669737245978</v>
      </c>
      <c r="AG81" s="811">
        <f t="shared" si="49"/>
        <v>0</v>
      </c>
      <c r="AH81" s="176">
        <f t="shared" si="42"/>
        <v>6</v>
      </c>
      <c r="AI81" s="225">
        <f t="shared" si="43"/>
        <v>0.50699669737245978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28.400268207195989</v>
      </c>
      <c r="C82" s="841"/>
      <c r="D82" s="393">
        <f t="shared" si="25"/>
        <v>29.500285992603661</v>
      </c>
      <c r="E82" s="385">
        <f t="shared" si="47"/>
        <v>31.309587762387153</v>
      </c>
      <c r="F82" s="385">
        <f t="shared" si="26"/>
        <v>31.312181787625224</v>
      </c>
      <c r="G82" s="110">
        <f t="shared" si="48"/>
        <v>0.66719190685702812</v>
      </c>
      <c r="H82" s="414" t="b">
        <f>Wh_hp&gt;='2022'!Maxi_hp</f>
        <v>0</v>
      </c>
      <c r="I82" s="390">
        <f>IF(H82,Wh_hp,'2022'!Maxi_hp)</f>
        <v>44.010087492548095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3.7288376990089911E-2</v>
      </c>
      <c r="M82" s="845"/>
      <c r="N82" s="845"/>
      <c r="O82" s="48">
        <f>IF(t&lt;Tnet,'2022'!Resal+('2022'!Salim-'2022'!Resal)*(1-EXP(('2022'!Tnet-t)/('2022'!Tau_j))),Resal+(Salim-Resal)*(1-EXP((Tnet-t)/(Tau_j))))*Salcycl</f>
        <v>5.7787467005779122E-2</v>
      </c>
      <c r="P82" s="169">
        <f>(INDEX(Models!$BJ82:$BT82,,T82)*(1-R82)+INDEX(Models!$BJ82:$BT82,,T82+1)*R82-ERP_i)*Q82*Ramure*Pc/MaxiM</f>
        <v>1.5790888485309065E-4</v>
      </c>
      <c r="Q82" s="305">
        <f t="shared" si="28"/>
        <v>0.5</v>
      </c>
      <c r="R82" s="177">
        <f t="shared" si="29"/>
        <v>0.50741971175404676</v>
      </c>
      <c r="S82" s="811">
        <f t="shared" si="30"/>
        <v>0</v>
      </c>
      <c r="T82" s="176">
        <f t="shared" si="31"/>
        <v>6</v>
      </c>
      <c r="U82" s="251">
        <f t="shared" si="32"/>
        <v>0.50741971175404676</v>
      </c>
      <c r="V82" s="383">
        <f t="shared" si="33"/>
        <v>42.563670024775853</v>
      </c>
      <c r="W82" s="402">
        <f t="shared" si="34"/>
        <v>28.400268207195989</v>
      </c>
      <c r="X82" s="157">
        <f t="shared" si="35"/>
        <v>44994</v>
      </c>
      <c r="Y82" s="385">
        <f t="shared" si="36"/>
        <v>27.710275246835575</v>
      </c>
      <c r="Z82" s="385">
        <f t="shared" si="37"/>
        <v>28.783567773077905</v>
      </c>
      <c r="AA82" s="386">
        <f t="shared" si="38"/>
        <v>31.309587762387153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8.0678800643418438E-2</v>
      </c>
      <c r="AD82" s="231">
        <f>(INDEX(Models!$BJ82:$BT82,,AH82)*(1-AF82)+INDEX(Models!$BJ82:$BT82,,AH82+1)*AF82-ERP_i)*AE82*Ramure*Pc/MaxiM</f>
        <v>1.5790888485309065E-4</v>
      </c>
      <c r="AE82" s="305">
        <f t="shared" si="40"/>
        <v>0.5</v>
      </c>
      <c r="AF82" s="177">
        <f t="shared" si="41"/>
        <v>0.50741971175404676</v>
      </c>
      <c r="AG82" s="811">
        <f t="shared" si="49"/>
        <v>0</v>
      </c>
      <c r="AH82" s="176">
        <f t="shared" si="42"/>
        <v>6</v>
      </c>
      <c r="AI82" s="225">
        <f t="shared" si="43"/>
        <v>0.50741971175404676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24.671809838296273</v>
      </c>
      <c r="C83" s="841"/>
      <c r="D83" s="393">
        <f t="shared" si="25"/>
        <v>25.627975851115455</v>
      </c>
      <c r="E83" s="385">
        <f t="shared" si="47"/>
        <v>27.201482844199955</v>
      </c>
      <c r="F83" s="385">
        <f t="shared" si="26"/>
        <v>27.203033480534778</v>
      </c>
      <c r="G83" s="110">
        <f t="shared" si="48"/>
        <v>0.57513685041069573</v>
      </c>
      <c r="H83" s="414" t="b">
        <f>Wh_hp&gt;='2022'!Maxi_hp</f>
        <v>0</v>
      </c>
      <c r="I83" s="390">
        <f>IF(H83,Wh_hp,'2022'!Maxi_hp)</f>
        <v>43.468612982947825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3.7309462845368069E-2</v>
      </c>
      <c r="M83" s="845"/>
      <c r="N83" s="845"/>
      <c r="O83" s="48">
        <f>IF(t&lt;Tnet,'2022'!Resal+('2022'!Salim-'2022'!Resal)*(1-EXP(('2022'!Tnet-t)/('2022'!Tau_j))),Resal+(Salim-Resal)*(1-EXP((Tnet-t)/(Tau_j))))*Salcycl</f>
        <v>5.7846368232826448E-2</v>
      </c>
      <c r="P83" s="169">
        <f>(INDEX(Models!$BJ83:$BT83,,T83)*(1-R83)+INDEX(Models!$BJ83:$BT83,,T83+1)*R83-ERP_i)*Q83*Ramure*Pc/MaxiM</f>
        <v>1.4499799902672469E-4</v>
      </c>
      <c r="Q83" s="305">
        <f t="shared" si="28"/>
        <v>0.5</v>
      </c>
      <c r="R83" s="177">
        <f t="shared" si="29"/>
        <v>0.50785969704538347</v>
      </c>
      <c r="S83" s="811">
        <f t="shared" si="30"/>
        <v>0</v>
      </c>
      <c r="T83" s="176">
        <f t="shared" si="31"/>
        <v>6</v>
      </c>
      <c r="U83" s="251">
        <f t="shared" si="32"/>
        <v>0.50785969704538347</v>
      </c>
      <c r="V83" s="383">
        <f t="shared" si="33"/>
        <v>42.893510795816297</v>
      </c>
      <c r="W83" s="402">
        <f t="shared" si="34"/>
        <v>24.671809838296273</v>
      </c>
      <c r="X83" s="157">
        <f t="shared" si="35"/>
        <v>44995</v>
      </c>
      <c r="Y83" s="385">
        <f t="shared" si="36"/>
        <v>24.073173143901247</v>
      </c>
      <c r="Z83" s="385">
        <f t="shared" si="37"/>
        <v>25.006138748442378</v>
      </c>
      <c r="AA83" s="386">
        <f t="shared" si="38"/>
        <v>27.201482844199955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8.0706780153556271E-2</v>
      </c>
      <c r="AD83" s="231">
        <f>(INDEX(Models!$BJ83:$BT83,,AH83)*(1-AF83)+INDEX(Models!$BJ83:$BT83,,AH83+1)*AF83-ERP_i)*AE83*Ramure*Pc/MaxiM</f>
        <v>1.4499799902672469E-4</v>
      </c>
      <c r="AE83" s="305">
        <f t="shared" si="40"/>
        <v>0.5</v>
      </c>
      <c r="AF83" s="177">
        <f t="shared" si="41"/>
        <v>0.50785969704538347</v>
      </c>
      <c r="AG83" s="811">
        <f t="shared" si="49"/>
        <v>0</v>
      </c>
      <c r="AH83" s="176">
        <f t="shared" si="42"/>
        <v>6</v>
      </c>
      <c r="AI83" s="225">
        <f t="shared" si="43"/>
        <v>0.50785969704538347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15.655479588819247</v>
      </c>
      <c r="C84" s="841"/>
      <c r="D84" s="393">
        <f t="shared" si="25"/>
        <v>16.262570252102424</v>
      </c>
      <c r="E84" s="385">
        <f t="shared" si="47"/>
        <v>17.26213944221065</v>
      </c>
      <c r="F84" s="385">
        <f t="shared" si="26"/>
        <v>17.262341106094187</v>
      </c>
      <c r="G84" s="110">
        <f t="shared" si="48"/>
        <v>0.36215691463091215</v>
      </c>
      <c r="H84" s="414" t="b">
        <f>Wh_hp&gt;='2022'!Maxi_hp</f>
        <v>0</v>
      </c>
      <c r="I84" s="390">
        <f>IF(H84,Wh_hp,'2022'!Maxi_hp)</f>
        <v>34.137173352401021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3.7330548238811878E-2</v>
      </c>
      <c r="M84" s="845"/>
      <c r="N84" s="845"/>
      <c r="O84" s="48">
        <f>IF(t&lt;Tnet,'2022'!Resal+('2022'!Salim-'2022'!Resal)*(1-EXP(('2022'!Tnet-t)/('2022'!Tau_j))),Resal+(Salim-Resal)*(1-EXP((Tnet-t)/(Tau_j))))*Salcycl</f>
        <v>5.790528998184355E-2</v>
      </c>
      <c r="P84" s="169">
        <f>(INDEX(Models!$BJ84:$BT84,,T84)*(1-R84)+INDEX(Models!$BJ84:$BT84,,T84+1)*R84-ERP_i)*Q84*Ramure*Pc/MaxiM</f>
        <v>1.3147221245506593E-4</v>
      </c>
      <c r="Q84" s="305">
        <f t="shared" si="28"/>
        <v>0.5</v>
      </c>
      <c r="R84" s="177">
        <f t="shared" si="29"/>
        <v>0.50831730105304829</v>
      </c>
      <c r="S84" s="811">
        <f t="shared" si="30"/>
        <v>0</v>
      </c>
      <c r="T84" s="176">
        <f t="shared" si="31"/>
        <v>6</v>
      </c>
      <c r="U84" s="251">
        <f t="shared" si="32"/>
        <v>0.50831730105304829</v>
      </c>
      <c r="V84" s="383">
        <f t="shared" si="33"/>
        <v>43.223264739724335</v>
      </c>
      <c r="W84" s="402">
        <f t="shared" si="34"/>
        <v>15.655479588819247</v>
      </c>
      <c r="X84" s="157">
        <f t="shared" si="35"/>
        <v>44996</v>
      </c>
      <c r="Y84" s="385">
        <f t="shared" si="36"/>
        <v>15.276103852553074</v>
      </c>
      <c r="Z84" s="385">
        <f t="shared" si="37"/>
        <v>15.868483023540106</v>
      </c>
      <c r="AA84" s="386">
        <f t="shared" si="38"/>
        <v>17.26213944221065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8.0734860434661548E-2</v>
      </c>
      <c r="AD84" s="231">
        <f>(INDEX(Models!$BJ84:$BT84,,AH84)*(1-AF84)+INDEX(Models!$BJ84:$BT84,,AH84+1)*AF84-ERP_i)*AE84*Ramure*Pc/MaxiM</f>
        <v>1.3147221245506593E-4</v>
      </c>
      <c r="AE84" s="305">
        <f t="shared" si="40"/>
        <v>0.5</v>
      </c>
      <c r="AF84" s="177">
        <f t="shared" si="41"/>
        <v>0.50831730105304829</v>
      </c>
      <c r="AG84" s="811">
        <f t="shared" si="49"/>
        <v>0</v>
      </c>
      <c r="AH84" s="176">
        <f t="shared" si="42"/>
        <v>6</v>
      </c>
      <c r="AI84" s="225">
        <f t="shared" si="43"/>
        <v>0.50831730105304829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14.546497969285667</v>
      </c>
      <c r="C85" s="841"/>
      <c r="D85" s="393">
        <f t="shared" si="25"/>
        <v>15.11091533577706</v>
      </c>
      <c r="E85" s="385">
        <f t="shared" si="47"/>
        <v>16.040702615924662</v>
      </c>
      <c r="F85" s="385">
        <f t="shared" si="26"/>
        <v>16.040794033956942</v>
      </c>
      <c r="G85" s="110">
        <f t="shared" si="48"/>
        <v>0.33396004719638811</v>
      </c>
      <c r="H85" s="414" t="b">
        <f>Wh_hp&gt;='2022'!Maxi_hp</f>
        <v>0</v>
      </c>
      <c r="I85" s="390">
        <f>IF(H85,Wh_hp,'2022'!Maxi_hp)</f>
        <v>42.294025676295831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3.7351633170431553E-2</v>
      </c>
      <c r="M85" s="845"/>
      <c r="N85" s="845"/>
      <c r="O85" s="48">
        <f>IF(t&lt;Tnet,'2022'!Resal+('2022'!Salim-'2022'!Resal)*(1-EXP(('2022'!Tnet-t)/('2022'!Tau_j))),Resal+(Salim-Resal)*(1-EXP((Tnet-t)/(Tau_j))))*Salcycl</f>
        <v>5.7964248974015746E-2</v>
      </c>
      <c r="P85" s="169">
        <f>(INDEX(Models!$BJ85:$BT85,,T85)*(1-R85)+INDEX(Models!$BJ85:$BT85,,T85+1)*R85-ERP_i)*Q85*Ramure*Pc/MaxiM</f>
        <v>1.173435316001965E-4</v>
      </c>
      <c r="Q85" s="305">
        <f t="shared" si="28"/>
        <v>0.5</v>
      </c>
      <c r="R85" s="177">
        <f t="shared" si="29"/>
        <v>0.5087931935524036</v>
      </c>
      <c r="S85" s="811">
        <f t="shared" si="30"/>
        <v>0</v>
      </c>
      <c r="T85" s="176">
        <f t="shared" si="31"/>
        <v>6</v>
      </c>
      <c r="U85" s="251">
        <f t="shared" si="32"/>
        <v>0.5087931935524036</v>
      </c>
      <c r="V85" s="383">
        <f t="shared" si="33"/>
        <v>43.552736462297823</v>
      </c>
      <c r="W85" s="402">
        <f t="shared" si="34"/>
        <v>14.546497969285667</v>
      </c>
      <c r="X85" s="157">
        <f t="shared" si="35"/>
        <v>44997</v>
      </c>
      <c r="Y85" s="385">
        <f t="shared" si="36"/>
        <v>14.194448779912921</v>
      </c>
      <c r="Z85" s="385">
        <f t="shared" si="37"/>
        <v>14.745206317299004</v>
      </c>
      <c r="AA85" s="386">
        <f t="shared" si="38"/>
        <v>16.040702615924662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8.0763064414618155E-2</v>
      </c>
      <c r="AD85" s="231">
        <f>(INDEX(Models!$BJ85:$BT85,,AH85)*(1-AF85)+INDEX(Models!$BJ85:$BT85,,AH85+1)*AF85-ERP_i)*AE85*Ramure*Pc/MaxiM</f>
        <v>1.173435316001965E-4</v>
      </c>
      <c r="AE85" s="305">
        <f t="shared" si="40"/>
        <v>0.5</v>
      </c>
      <c r="AF85" s="177">
        <f t="shared" si="41"/>
        <v>0.5087931935524036</v>
      </c>
      <c r="AG85" s="811">
        <f t="shared" si="49"/>
        <v>0</v>
      </c>
      <c r="AH85" s="176">
        <f t="shared" si="42"/>
        <v>6</v>
      </c>
      <c r="AI85" s="225">
        <f t="shared" si="43"/>
        <v>0.5087931935524036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9.8741662984094098</v>
      </c>
      <c r="C86" s="841"/>
      <c r="D86" s="393">
        <f t="shared" si="25"/>
        <v>10.257517607649868</v>
      </c>
      <c r="E86" s="385">
        <f t="shared" si="47"/>
        <v>10.889353423670668</v>
      </c>
      <c r="F86" s="385">
        <f t="shared" si="26"/>
        <v>10.889353423670668</v>
      </c>
      <c r="G86" s="110">
        <f t="shared" si="48"/>
        <v>0.2249946128077501</v>
      </c>
      <c r="H86" s="414" t="b">
        <f>Wh_hp&gt;='2022'!Maxi_hp</f>
        <v>0</v>
      </c>
      <c r="I86" s="390">
        <f>IF(H86,Wh_hp,'2022'!Maxi_hp)</f>
        <v>41.647039184319176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3.7372717640236974E-2</v>
      </c>
      <c r="M86" s="845"/>
      <c r="N86" s="845"/>
      <c r="O86" s="48">
        <f>IF(t&lt;Tnet,'2022'!Resal+('2022'!Salim-'2022'!Resal)*(1-EXP(('2022'!Tnet-t)/('2022'!Tau_j))),Resal+(Salim-Resal)*(1-EXP((Tnet-t)/(Tau_j))))*Salcycl</f>
        <v>5.8023262854831267E-2</v>
      </c>
      <c r="P86" s="169">
        <f>(INDEX(Models!$BJ86:$BT86,,T86)*(1-R86)+INDEX(Models!$BJ86:$BT86,,T86+1)*R86-ERP_i)*Q86*Ramure*Pc/MaxiM</f>
        <v>1.0325537457396893E-4</v>
      </c>
      <c r="Q86" s="305">
        <f t="shared" si="28"/>
        <v>0.5</v>
      </c>
      <c r="R86" s="177">
        <f t="shared" si="29"/>
        <v>0.50928806679924932</v>
      </c>
      <c r="S86" s="811">
        <f t="shared" si="30"/>
        <v>0</v>
      </c>
      <c r="T86" s="176">
        <f t="shared" si="31"/>
        <v>6</v>
      </c>
      <c r="U86" s="251">
        <f t="shared" si="32"/>
        <v>0.50928806679924932</v>
      </c>
      <c r="V86" s="383">
        <f t="shared" si="33"/>
        <v>43.881702830395824</v>
      </c>
      <c r="W86" s="402">
        <f t="shared" si="34"/>
        <v>9.8741662984094098</v>
      </c>
      <c r="X86" s="157">
        <f t="shared" si="35"/>
        <v>44998</v>
      </c>
      <c r="Y86" s="385">
        <f t="shared" si="36"/>
        <v>9.6355016647172338</v>
      </c>
      <c r="Z86" s="385">
        <f t="shared" si="37"/>
        <v>10.009587138541285</v>
      </c>
      <c r="AA86" s="386">
        <f t="shared" si="38"/>
        <v>10.889353423670668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8.0791416248552989E-2</v>
      </c>
      <c r="AD86" s="231">
        <f>(INDEX(Models!$BJ86:$BT86,,AH86)*(1-AF86)+INDEX(Models!$BJ86:$BT86,,AH86+1)*AF86-ERP_i)*AE86*Ramure*Pc/MaxiM</f>
        <v>1.0325537457396893E-4</v>
      </c>
      <c r="AE86" s="305">
        <f t="shared" si="40"/>
        <v>0.5</v>
      </c>
      <c r="AF86" s="177">
        <f t="shared" si="41"/>
        <v>0.50928806679924932</v>
      </c>
      <c r="AG86" s="811">
        <f t="shared" si="49"/>
        <v>0</v>
      </c>
      <c r="AH86" s="176">
        <f t="shared" si="42"/>
        <v>6</v>
      </c>
      <c r="AI86" s="225">
        <f t="shared" si="43"/>
        <v>0.50928806679924932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14.229515230704953</v>
      </c>
      <c r="C87" s="841"/>
      <c r="D87" s="393">
        <f t="shared" si="25"/>
        <v>14.782280910999408</v>
      </c>
      <c r="E87" s="385">
        <f t="shared" si="47"/>
        <v>15.693814542255593</v>
      </c>
      <c r="F87" s="385">
        <f t="shared" si="26"/>
        <v>15.693858798659852</v>
      </c>
      <c r="G87" s="110">
        <f t="shared" si="48"/>
        <v>0.32183434002635947</v>
      </c>
      <c r="H87" s="414" t="b">
        <f>Wh_hp&gt;='2022'!Maxi_hp</f>
        <v>0</v>
      </c>
      <c r="I87" s="390">
        <f>IF(H87,Wh_hp,'2022'!Maxi_hp)</f>
        <v>41.178376020580401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3.7393801648238467E-2</v>
      </c>
      <c r="M87" s="845"/>
      <c r="N87" s="845"/>
      <c r="O87" s="48">
        <f>IF(t&lt;Tnet,'2022'!Resal+('2022'!Salim-'2022'!Resal)*(1-EXP(('2022'!Tnet-t)/('2022'!Tau_j))),Resal+(Salim-Resal)*(1-EXP((Tnet-t)/(Tau_j))))*Salcycl</f>
        <v>5.8082350138768502E-2</v>
      </c>
      <c r="P87" s="169">
        <f>(INDEX(Models!$BJ87:$BT87,,T87)*(1-R87)+INDEX(Models!$BJ87:$BT87,,T87+1)*R87-ERP_i)*Q87*Ramure*Pc/MaxiM</f>
        <v>9.0291054696479652E-5</v>
      </c>
      <c r="Q87" s="305">
        <f t="shared" si="28"/>
        <v>0.5</v>
      </c>
      <c r="R87" s="177">
        <f t="shared" si="29"/>
        <v>0.50980263603228693</v>
      </c>
      <c r="S87" s="811">
        <f t="shared" si="30"/>
        <v>0</v>
      </c>
      <c r="T87" s="176">
        <f t="shared" si="31"/>
        <v>6</v>
      </c>
      <c r="U87" s="251">
        <f t="shared" si="32"/>
        <v>0.50980263603228693</v>
      </c>
      <c r="V87" s="383">
        <f t="shared" si="33"/>
        <v>44.20992040523997</v>
      </c>
      <c r="W87" s="402">
        <f t="shared" si="34"/>
        <v>14.229515230704953</v>
      </c>
      <c r="X87" s="157">
        <f t="shared" si="35"/>
        <v>44999</v>
      </c>
      <c r="Y87" s="385">
        <f t="shared" si="36"/>
        <v>13.886019279753116</v>
      </c>
      <c r="Z87" s="385">
        <f t="shared" si="37"/>
        <v>14.42544137314894</v>
      </c>
      <c r="AA87" s="386">
        <f t="shared" si="38"/>
        <v>15.693814542255593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8.081994123809462E-2</v>
      </c>
      <c r="AD87" s="231">
        <f>(INDEX(Models!$BJ87:$BT87,,AH87)*(1-AF87)+INDEX(Models!$BJ87:$BT87,,AH87+1)*AF87-ERP_i)*AE87*Ramure*Pc/MaxiM</f>
        <v>9.0291054696479652E-5</v>
      </c>
      <c r="AE87" s="305">
        <f t="shared" si="40"/>
        <v>0.5</v>
      </c>
      <c r="AF87" s="177">
        <f t="shared" si="41"/>
        <v>0.50980263603228693</v>
      </c>
      <c r="AG87" s="811">
        <f t="shared" si="49"/>
        <v>0</v>
      </c>
      <c r="AH87" s="176">
        <f t="shared" si="42"/>
        <v>6</v>
      </c>
      <c r="AI87" s="225">
        <f t="shared" si="43"/>
        <v>0.50980263603228693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14.253223220522058</v>
      </c>
      <c r="C88" s="841"/>
      <c r="D88" s="393">
        <f t="shared" si="25"/>
        <v>14.807234187702212</v>
      </c>
      <c r="E88" s="385">
        <f t="shared" si="47"/>
        <v>15.721294293890129</v>
      </c>
      <c r="F88" s="385">
        <f t="shared" si="26"/>
        <v>15.72132957341209</v>
      </c>
      <c r="G88" s="110">
        <f t="shared" si="48"/>
        <v>0.32000528559587516</v>
      </c>
      <c r="H88" s="414" t="b">
        <f>Wh_hp&gt;='2022'!Maxi_hp</f>
        <v>0</v>
      </c>
      <c r="I88" s="390">
        <f>IF(H88,Wh_hp,'2022'!Maxi_hp)</f>
        <v>31.428093358036886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3.7414885194446024E-2</v>
      </c>
      <c r="M88" s="845"/>
      <c r="N88" s="845"/>
      <c r="O88" s="48">
        <f>IF(t&lt;Tnet,'2022'!Resal+('2022'!Salim-'2022'!Resal)*(1-EXP(('2022'!Tnet-t)/('2022'!Tau_j))),Resal+(Salim-Resal)*(1-EXP((Tnet-t)/(Tau_j))))*Salcycl</f>
        <v>5.8141530150170574E-2</v>
      </c>
      <c r="P88" s="169">
        <f>(INDEX(Models!$BJ88:$BT88,,T88)*(1-R88)+INDEX(Models!$BJ88:$BT88,,T88+1)*R88-ERP_i)*Q88*Ramure*Pc/MaxiM</f>
        <v>7.8425582369335802E-5</v>
      </c>
      <c r="Q88" s="305">
        <f t="shared" si="28"/>
        <v>0.5</v>
      </c>
      <c r="R88" s="177">
        <f t="shared" si="29"/>
        <v>0.51033763996391857</v>
      </c>
      <c r="S88" s="811">
        <f t="shared" si="30"/>
        <v>0</v>
      </c>
      <c r="T88" s="176">
        <f t="shared" si="31"/>
        <v>6</v>
      </c>
      <c r="U88" s="251">
        <f t="shared" si="32"/>
        <v>0.51033763996391857</v>
      </c>
      <c r="V88" s="383">
        <f t="shared" si="33"/>
        <v>44.537193687992414</v>
      </c>
      <c r="W88" s="402">
        <f t="shared" si="34"/>
        <v>14.253223220522058</v>
      </c>
      <c r="X88" s="157">
        <f t="shared" si="35"/>
        <v>45000</v>
      </c>
      <c r="Y88" s="385">
        <f t="shared" si="36"/>
        <v>13.909594233044796</v>
      </c>
      <c r="Z88" s="385">
        <f t="shared" si="37"/>
        <v>14.450248626434027</v>
      </c>
      <c r="AA88" s="386">
        <f t="shared" si="38"/>
        <v>15.721294293890129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8.0848665745674425E-2</v>
      </c>
      <c r="AD88" s="231">
        <f>(INDEX(Models!$BJ88:$BT88,,AH88)*(1-AF88)+INDEX(Models!$BJ88:$BT88,,AH88+1)*AF88-ERP_i)*AE88*Ramure*Pc/MaxiM</f>
        <v>7.8425582369335802E-5</v>
      </c>
      <c r="AE88" s="305">
        <f t="shared" si="40"/>
        <v>0.5</v>
      </c>
      <c r="AF88" s="177">
        <f t="shared" si="41"/>
        <v>0.51033763996391857</v>
      </c>
      <c r="AG88" s="811">
        <f t="shared" si="49"/>
        <v>0</v>
      </c>
      <c r="AH88" s="176">
        <f t="shared" si="42"/>
        <v>6</v>
      </c>
      <c r="AI88" s="225">
        <f t="shared" si="43"/>
        <v>0.51033763996391857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12.847017071454152</v>
      </c>
      <c r="C89" s="841"/>
      <c r="D89" s="393">
        <f t="shared" si="25"/>
        <v>13.346662297865846</v>
      </c>
      <c r="E89" s="385">
        <f t="shared" si="47"/>
        <v>14.171452495664575</v>
      </c>
      <c r="F89" s="385">
        <f t="shared" si="26"/>
        <v>14.171452495664575</v>
      </c>
      <c r="G89" s="110">
        <f t="shared" si="48"/>
        <v>0.28633962246868938</v>
      </c>
      <c r="H89" s="414" t="b">
        <f>Wh_hp&gt;='2022'!Maxi_hp</f>
        <v>0</v>
      </c>
      <c r="I89" s="390">
        <f>IF(H89,Wh_hp,'2022'!Maxi_hp)</f>
        <v>50.491533478793343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3.7435968278869858E-2</v>
      </c>
      <c r="M89" s="845"/>
      <c r="N89" s="845"/>
      <c r="O89" s="48">
        <f>IF(t&lt;Tnet,'2022'!Resal+('2022'!Salim-'2022'!Resal)*(1-EXP(('2022'!Tnet-t)/('2022'!Tau_j))),Resal+(Salim-Resal)*(1-EXP((Tnet-t)/(Tau_j))))*Salcycl</f>
        <v>5.8200822960882366E-2</v>
      </c>
      <c r="P89" s="169">
        <f>(INDEX(Models!$BJ89:$BT89,,T89)*(1-R89)+INDEX(Models!$BJ89:$BT89,,T89+1)*R89-ERP_i)*Q89*Ramure*Pc/MaxiM</f>
        <v>6.7634654970385094E-5</v>
      </c>
      <c r="Q89" s="305">
        <f t="shared" si="28"/>
        <v>0.5</v>
      </c>
      <c r="R89" s="177">
        <f t="shared" si="29"/>
        <v>0.51089384125669046</v>
      </c>
      <c r="S89" s="811">
        <f t="shared" si="30"/>
        <v>0</v>
      </c>
      <c r="T89" s="176">
        <f t="shared" si="31"/>
        <v>6</v>
      </c>
      <c r="U89" s="251">
        <f t="shared" si="32"/>
        <v>0.51089384125669046</v>
      </c>
      <c r="V89" s="383">
        <f t="shared" si="33"/>
        <v>44.863327181664573</v>
      </c>
      <c r="W89" s="402">
        <f t="shared" si="34"/>
        <v>12.847017071454152</v>
      </c>
      <c r="X89" s="157">
        <f t="shared" si="35"/>
        <v>45001</v>
      </c>
      <c r="Y89" s="385">
        <f t="shared" si="36"/>
        <v>12.537684499719223</v>
      </c>
      <c r="Z89" s="385">
        <f t="shared" si="37"/>
        <v>13.02529918690291</v>
      </c>
      <c r="AA89" s="386">
        <f t="shared" si="38"/>
        <v>14.171452495664575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8.0877617104690047E-2</v>
      </c>
      <c r="AD89" s="231">
        <f>(INDEX(Models!$BJ89:$BT89,,AH89)*(1-AF89)+INDEX(Models!$BJ89:$BT89,,AH89+1)*AF89-ERP_i)*AE89*Ramure*Pc/MaxiM</f>
        <v>6.7634654970385094E-5</v>
      </c>
      <c r="AE89" s="305">
        <f t="shared" si="40"/>
        <v>0.5</v>
      </c>
      <c r="AF89" s="177">
        <f t="shared" si="41"/>
        <v>0.51089384125669046</v>
      </c>
      <c r="AG89" s="811">
        <f t="shared" si="49"/>
        <v>0</v>
      </c>
      <c r="AH89" s="176">
        <f t="shared" si="42"/>
        <v>6</v>
      </c>
      <c r="AI89" s="225">
        <f t="shared" si="43"/>
        <v>0.51089384125669046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10.717515976160394</v>
      </c>
      <c r="C90" s="841"/>
      <c r="D90" s="393">
        <f t="shared" si="25"/>
        <v>11.1345846813365</v>
      </c>
      <c r="E90" s="385">
        <f t="shared" si="47"/>
        <v>11.823420083264388</v>
      </c>
      <c r="F90" s="385">
        <f t="shared" si="26"/>
        <v>11.823420083264388</v>
      </c>
      <c r="G90" s="110">
        <f t="shared" si="48"/>
        <v>0.23716176309381334</v>
      </c>
      <c r="H90" s="414" t="b">
        <f>Wh_hp&gt;='2022'!Maxi_hp</f>
        <v>0</v>
      </c>
      <c r="I90" s="390">
        <f>IF(H90,Wh_hp,'2022'!Maxi_hp)</f>
        <v>27.136616542417517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3.7457050901520073E-2</v>
      </c>
      <c r="M90" s="845"/>
      <c r="N90" s="845"/>
      <c r="O90" s="48">
        <f>IF(t&lt;Tnet,'2022'!Resal+('2022'!Salim-'2022'!Resal)*(1-EXP(('2022'!Tnet-t)/('2022'!Tau_j))),Resal+(Salim-Resal)*(1-EXP((Tnet-t)/(Tau_j))))*Salcycl</f>
        <v>5.8260249325227616E-2</v>
      </c>
      <c r="P90" s="169">
        <f>(INDEX(Models!$BJ90:$BT90,,T90)*(1-R90)+INDEX(Models!$BJ90:$BT90,,T90+1)*R90-ERP_i)*Q90*Ramure*Pc/MaxiM</f>
        <v>5.7894702728865907E-5</v>
      </c>
      <c r="Q90" s="305">
        <f t="shared" si="28"/>
        <v>0.5</v>
      </c>
      <c r="R90" s="177">
        <f t="shared" si="29"/>
        <v>0.51147202698245475</v>
      </c>
      <c r="S90" s="811">
        <f t="shared" si="30"/>
        <v>0</v>
      </c>
      <c r="T90" s="176">
        <f t="shared" si="31"/>
        <v>6</v>
      </c>
      <c r="U90" s="251">
        <f t="shared" si="32"/>
        <v>0.51147202698245475</v>
      </c>
      <c r="V90" s="383">
        <f t="shared" si="33"/>
        <v>45.188125391527436</v>
      </c>
      <c r="W90" s="402">
        <f t="shared" si="34"/>
        <v>10.717515976160394</v>
      </c>
      <c r="X90" s="157">
        <f t="shared" si="35"/>
        <v>45002</v>
      </c>
      <c r="Y90" s="385">
        <f t="shared" si="36"/>
        <v>10.45978551439331</v>
      </c>
      <c r="Z90" s="385">
        <f t="shared" si="37"/>
        <v>10.866824721109817</v>
      </c>
      <c r="AA90" s="386">
        <f t="shared" si="38"/>
        <v>11.823420083264388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8.0906823526349828E-2</v>
      </c>
      <c r="AD90" s="231">
        <f>(INDEX(Models!$BJ90:$BT90,,AH90)*(1-AF90)+INDEX(Models!$BJ90:$BT90,,AH90+1)*AF90-ERP_i)*AE90*Ramure*Pc/MaxiM</f>
        <v>5.7894702728865907E-5</v>
      </c>
      <c r="AE90" s="305">
        <f t="shared" si="40"/>
        <v>0.5</v>
      </c>
      <c r="AF90" s="177">
        <f t="shared" si="41"/>
        <v>0.51147202698245475</v>
      </c>
      <c r="AG90" s="811">
        <f t="shared" si="49"/>
        <v>0</v>
      </c>
      <c r="AH90" s="176">
        <f t="shared" si="42"/>
        <v>6</v>
      </c>
      <c r="AI90" s="225">
        <f t="shared" si="43"/>
        <v>0.51147202698245475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14.289610523971936</v>
      </c>
      <c r="C91" s="841"/>
      <c r="D91" s="393">
        <f t="shared" si="25"/>
        <v>14.846011311344499</v>
      </c>
      <c r="E91" s="385">
        <f t="shared" si="47"/>
        <v>15.765449665364779</v>
      </c>
      <c r="F91" s="385">
        <f t="shared" si="26"/>
        <v>15.765465149669801</v>
      </c>
      <c r="G91" s="110">
        <f t="shared" si="48"/>
        <v>0.31396362241188785</v>
      </c>
      <c r="H91" s="414" t="b">
        <f>Wh_hp&gt;='2022'!Maxi_hp</f>
        <v>0</v>
      </c>
      <c r="I91" s="390">
        <f>IF(H91,Wh_hp,'2022'!Maxi_hp)</f>
        <v>35.441978382349127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3.747813306240666E-2</v>
      </c>
      <c r="M91" s="845"/>
      <c r="N91" s="845"/>
      <c r="O91" s="48">
        <f>IF(t&lt;Tnet,'2022'!Resal+('2022'!Salim-'2022'!Resal)*(1-EXP(('2022'!Tnet-t)/('2022'!Tau_j))),Resal+(Salim-Resal)*(1-EXP((Tnet-t)/(Tau_j))))*Salcycl</f>
        <v>5.8319830612900234E-2</v>
      </c>
      <c r="P91" s="169">
        <f>(INDEX(Models!$BJ91:$BT91,,T91)*(1-R91)+INDEX(Models!$BJ91:$BT91,,T91+1)*R91-ERP_i)*Q91*Ramure*Pc/MaxiM</f>
        <v>4.9182933761527123E-5</v>
      </c>
      <c r="Q91" s="305">
        <f t="shared" si="28"/>
        <v>0.5</v>
      </c>
      <c r="R91" s="177">
        <f t="shared" si="29"/>
        <v>0.51207300906108022</v>
      </c>
      <c r="S91" s="811">
        <f t="shared" si="30"/>
        <v>0</v>
      </c>
      <c r="T91" s="176">
        <f t="shared" si="31"/>
        <v>6</v>
      </c>
      <c r="U91" s="251">
        <f t="shared" si="32"/>
        <v>0.51207300906108022</v>
      </c>
      <c r="V91" s="383">
        <f t="shared" si="33"/>
        <v>45.511392827391504</v>
      </c>
      <c r="W91" s="402">
        <f t="shared" si="34"/>
        <v>14.289610523971936</v>
      </c>
      <c r="X91" s="157">
        <f t="shared" si="35"/>
        <v>45003</v>
      </c>
      <c r="Y91" s="385">
        <f t="shared" si="36"/>
        <v>13.946414660251932</v>
      </c>
      <c r="Z91" s="385">
        <f t="shared" si="37"/>
        <v>14.489452280834437</v>
      </c>
      <c r="AA91" s="386">
        <f t="shared" si="38"/>
        <v>15.765449665364779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8.0936314004007665E-2</v>
      </c>
      <c r="AD91" s="231">
        <f>(INDEX(Models!$BJ91:$BT91,,AH91)*(1-AF91)+INDEX(Models!$BJ91:$BT91,,AH91+1)*AF91-ERP_i)*AE91*Ramure*Pc/MaxiM</f>
        <v>4.9182933761527123E-5</v>
      </c>
      <c r="AE91" s="305">
        <f t="shared" si="40"/>
        <v>0.5</v>
      </c>
      <c r="AF91" s="177">
        <f t="shared" si="41"/>
        <v>0.51207300906108022</v>
      </c>
      <c r="AG91" s="811">
        <f t="shared" si="49"/>
        <v>0</v>
      </c>
      <c r="AH91" s="176">
        <f t="shared" si="42"/>
        <v>6</v>
      </c>
      <c r="AI91" s="225">
        <f t="shared" si="43"/>
        <v>0.51207300906108022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28.999792692024556</v>
      </c>
      <c r="C92" s="841"/>
      <c r="D92" s="393">
        <f t="shared" si="25"/>
        <v>30.129630164239128</v>
      </c>
      <c r="E92" s="385">
        <f t="shared" si="47"/>
        <v>31.997639180243219</v>
      </c>
      <c r="F92" s="385">
        <f t="shared" si="26"/>
        <v>31.998270035095405</v>
      </c>
      <c r="G92" s="110">
        <f t="shared" si="48"/>
        <v>0.63271449262062407</v>
      </c>
      <c r="H92" s="414" t="b">
        <f>Wh_hp&gt;='2022'!Maxi_hp</f>
        <v>0</v>
      </c>
      <c r="I92" s="390">
        <f>IF(H92,Wh_hp,'2022'!Maxi_hp)</f>
        <v>46.110957889709681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3.7499214761539834E-2</v>
      </c>
      <c r="M92" s="845"/>
      <c r="N92" s="845"/>
      <c r="O92" s="48">
        <f>IF(t&lt;Tnet,'2022'!Resal+('2022'!Salim-'2022'!Resal)*(1-EXP(('2022'!Tnet-t)/('2022'!Tau_j))),Resal+(Salim-Resal)*(1-EXP((Tnet-t)/(Tau_j))))*Salcycl</f>
        <v>5.8379588740330654E-2</v>
      </c>
      <c r="P92" s="169">
        <f>(INDEX(Models!$BJ92:$BT92,,T92)*(1-R92)+INDEX(Models!$BJ92:$BT92,,T92+1)*R92-ERP_i)*Q92*Ramure*Pc/MaxiM</f>
        <v>4.1477378199222824E-5</v>
      </c>
      <c r="Q92" s="305">
        <f t="shared" si="28"/>
        <v>0.5</v>
      </c>
      <c r="R92" s="177">
        <f t="shared" si="29"/>
        <v>0.51269762467528679</v>
      </c>
      <c r="S92" s="811">
        <f t="shared" si="30"/>
        <v>0</v>
      </c>
      <c r="T92" s="176">
        <f t="shared" si="31"/>
        <v>6</v>
      </c>
      <c r="U92" s="251">
        <f t="shared" si="32"/>
        <v>0.51269762467528679</v>
      </c>
      <c r="V92" s="383">
        <f t="shared" si="33"/>
        <v>45.832934003350999</v>
      </c>
      <c r="W92" s="402">
        <f t="shared" si="34"/>
        <v>28.999792692024556</v>
      </c>
      <c r="X92" s="157">
        <f t="shared" si="35"/>
        <v>45004</v>
      </c>
      <c r="Y92" s="385">
        <f t="shared" si="36"/>
        <v>28.304178339799602</v>
      </c>
      <c r="Z92" s="385">
        <f t="shared" si="37"/>
        <v>29.406914543749931</v>
      </c>
      <c r="AA92" s="386">
        <f t="shared" si="38"/>
        <v>31.997639180243219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8.0966118215775013E-2</v>
      </c>
      <c r="AD92" s="231">
        <f>(INDEX(Models!$BJ92:$BT92,,AH92)*(1-AF92)+INDEX(Models!$BJ92:$BT92,,AH92+1)*AF92-ERP_i)*AE92*Ramure*Pc/MaxiM</f>
        <v>4.1477378199222824E-5</v>
      </c>
      <c r="AE92" s="305">
        <f t="shared" si="40"/>
        <v>0.5</v>
      </c>
      <c r="AF92" s="177">
        <f t="shared" si="41"/>
        <v>0.51269762467528679</v>
      </c>
      <c r="AG92" s="811">
        <f t="shared" si="49"/>
        <v>0</v>
      </c>
      <c r="AH92" s="176">
        <f t="shared" si="42"/>
        <v>6</v>
      </c>
      <c r="AI92" s="225">
        <f t="shared" si="43"/>
        <v>0.51269762467528679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29.952705587256943</v>
      </c>
      <c r="C93" s="841"/>
      <c r="D93" s="393">
        <f t="shared" si="25"/>
        <v>31.120350343744636</v>
      </c>
      <c r="E93" s="385">
        <f t="shared" si="47"/>
        <v>33.051887656153845</v>
      </c>
      <c r="F93" s="385">
        <f t="shared" si="26"/>
        <v>33.052460313285358</v>
      </c>
      <c r="G93" s="110">
        <f t="shared" si="48"/>
        <v>0.64894567228767186</v>
      </c>
      <c r="H93" s="414" t="b">
        <f>Wh_hp&gt;='2022'!Maxi_hp</f>
        <v>0</v>
      </c>
      <c r="I93" s="390">
        <f>IF(H93,Wh_hp,'2022'!Maxi_hp)</f>
        <v>51.145293953169229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3.7520295998929698E-2</v>
      </c>
      <c r="M93" s="845"/>
      <c r="N93" s="845"/>
      <c r="O93" s="48">
        <f>IF(t&lt;Tnet,'2022'!Resal+('2022'!Salim-'2022'!Resal)*(1-EXP(('2022'!Tnet-t)/('2022'!Tau_j))),Resal+(Salim-Resal)*(1-EXP((Tnet-t)/(Tau_j))))*Salcycl</f>
        <v>5.8439546101070591E-2</v>
      </c>
      <c r="P93" s="169">
        <f>(INDEX(Models!$BJ93:$BT93,,T93)*(1-R93)+INDEX(Models!$BJ93:$BT93,,T93+1)*R93-ERP_i)*Q93*Ramure*Pc/MaxiM</f>
        <v>3.4754978744491452E-5</v>
      </c>
      <c r="Q93" s="305">
        <f t="shared" si="28"/>
        <v>0.5</v>
      </c>
      <c r="R93" s="177">
        <f t="shared" si="29"/>
        <v>0.5133467366579082</v>
      </c>
      <c r="S93" s="811">
        <f t="shared" si="30"/>
        <v>0</v>
      </c>
      <c r="T93" s="176">
        <f t="shared" si="31"/>
        <v>6</v>
      </c>
      <c r="U93" s="251">
        <f t="shared" si="32"/>
        <v>0.5133467366579082</v>
      </c>
      <c r="V93" s="383">
        <f t="shared" si="33"/>
        <v>46.155147962814503</v>
      </c>
      <c r="W93" s="402">
        <f t="shared" si="34"/>
        <v>29.952705587256943</v>
      </c>
      <c r="X93" s="157">
        <f t="shared" si="35"/>
        <v>45005</v>
      </c>
      <c r="Y93" s="385">
        <f t="shared" si="36"/>
        <v>29.235136364681814</v>
      </c>
      <c r="Z93" s="385">
        <f t="shared" si="37"/>
        <v>30.37480815766823</v>
      </c>
      <c r="AA93" s="386">
        <f t="shared" si="38"/>
        <v>33.051887656153845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8.0996266426168098E-2</v>
      </c>
      <c r="AD93" s="231">
        <f>(INDEX(Models!$BJ93:$BT93,,AH93)*(1-AF93)+INDEX(Models!$BJ93:$BT93,,AH93+1)*AF93-ERP_i)*AE93*Ramure*Pc/MaxiM</f>
        <v>3.4754978744491452E-5</v>
      </c>
      <c r="AE93" s="305">
        <f t="shared" si="40"/>
        <v>0.5</v>
      </c>
      <c r="AF93" s="177">
        <f t="shared" si="41"/>
        <v>0.5133467366579082</v>
      </c>
      <c r="AG93" s="811">
        <f t="shared" si="49"/>
        <v>0</v>
      </c>
      <c r="AH93" s="176">
        <f t="shared" si="42"/>
        <v>6</v>
      </c>
      <c r="AI93" s="225">
        <f t="shared" si="43"/>
        <v>0.5133467366579082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43.67318233746014</v>
      </c>
      <c r="C94" s="841"/>
      <c r="D94" s="393">
        <f t="shared" si="25"/>
        <v>45.376685587897335</v>
      </c>
      <c r="E94" s="385">
        <f t="shared" si="47"/>
        <v>48.196146954698243</v>
      </c>
      <c r="F94" s="385">
        <f t="shared" si="26"/>
        <v>48.197426766723268</v>
      </c>
      <c r="G94" s="110">
        <f t="shared" si="48"/>
        <v>0.93961180074785433</v>
      </c>
      <c r="H94" s="414" t="b">
        <f>Wh_hp&gt;='2022'!Maxi_hp</f>
        <v>0</v>
      </c>
      <c r="I94" s="390">
        <f>IF(H94,Wh_hp,'2022'!Maxi_hp)</f>
        <v>51.378117175877115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3.7541376774586355E-2</v>
      </c>
      <c r="M94" s="845"/>
      <c r="N94" s="845"/>
      <c r="O94" s="48">
        <f>IF(t&lt;Tnet,'2022'!Resal+('2022'!Salim-'2022'!Resal)*(1-EXP(('2022'!Tnet-t)/('2022'!Tau_j))),Resal+(Salim-Resal)*(1-EXP((Tnet-t)/(Tau_j))))*Salcycl</f>
        <v>5.8499725495713403E-2</v>
      </c>
      <c r="P94" s="169">
        <f>(INDEX(Models!$BJ94:$BT94,,T94)*(1-R94)+INDEX(Models!$BJ94:$BT94,,T94+1)*R94-ERP_i)*Q94*Ramure*Pc/MaxiM</f>
        <v>2.9060448129040189E-5</v>
      </c>
      <c r="Q94" s="305">
        <f t="shared" si="28"/>
        <v>0.5</v>
      </c>
      <c r="R94" s="177">
        <f t="shared" si="29"/>
        <v>0.51402123384760845</v>
      </c>
      <c r="S94" s="811">
        <f t="shared" si="30"/>
        <v>0</v>
      </c>
      <c r="T94" s="176">
        <f t="shared" si="31"/>
        <v>6</v>
      </c>
      <c r="U94" s="251">
        <f t="shared" si="32"/>
        <v>0.51402123384760845</v>
      </c>
      <c r="V94" s="383">
        <f t="shared" si="33"/>
        <v>46.479910974817557</v>
      </c>
      <c r="W94" s="402">
        <f t="shared" si="34"/>
        <v>43.67318233746014</v>
      </c>
      <c r="X94" s="157">
        <f t="shared" si="35"/>
        <v>45006</v>
      </c>
      <c r="Y94" s="385">
        <f t="shared" si="36"/>
        <v>42.628223992236094</v>
      </c>
      <c r="Z94" s="385">
        <f t="shared" si="37"/>
        <v>44.290967906110502</v>
      </c>
      <c r="AA94" s="386">
        <f t="shared" si="38"/>
        <v>48.196146954698243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8.1026789387508402E-2</v>
      </c>
      <c r="AD94" s="231">
        <f>(INDEX(Models!$BJ94:$BT94,,AH94)*(1-AF94)+INDEX(Models!$BJ94:$BT94,,AH94+1)*AF94-ERP_i)*AE94*Ramure*Pc/MaxiM</f>
        <v>2.9060448129040189E-5</v>
      </c>
      <c r="AE94" s="305">
        <f t="shared" si="40"/>
        <v>0.5</v>
      </c>
      <c r="AF94" s="177">
        <f t="shared" si="41"/>
        <v>0.51402123384760845</v>
      </c>
      <c r="AG94" s="811">
        <f t="shared" si="49"/>
        <v>0</v>
      </c>
      <c r="AH94" s="176">
        <f t="shared" si="42"/>
        <v>6</v>
      </c>
      <c r="AI94" s="225">
        <f t="shared" si="43"/>
        <v>0.51402123384760845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41.095934465945284</v>
      </c>
      <c r="C95" s="841"/>
      <c r="D95" s="393">
        <f t="shared" si="25"/>
        <v>42.699845583356542</v>
      </c>
      <c r="E95" s="385">
        <f t="shared" si="47"/>
        <v>45.355893513707933</v>
      </c>
      <c r="F95" s="385">
        <f t="shared" si="26"/>
        <v>45.356795942103339</v>
      </c>
      <c r="G95" s="110">
        <f t="shared" si="48"/>
        <v>0.87799710575306023</v>
      </c>
      <c r="H95" s="414" t="b">
        <f>Wh_hp&gt;='2022'!Maxi_hp</f>
        <v>0</v>
      </c>
      <c r="I95" s="390">
        <f>IF(H95,Wh_hp,'2022'!Maxi_hp)</f>
        <v>50.23936086110939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3.7562457088519907E-2</v>
      </c>
      <c r="M95" s="845"/>
      <c r="N95" s="845"/>
      <c r="O95" s="48">
        <f>IF(t&lt;Tnet,'2022'!Resal+('2022'!Salim-'2022'!Resal)*(1-EXP(('2022'!Tnet-t)/('2022'!Tau_j))),Resal+(Salim-Resal)*(1-EXP((Tnet-t)/(Tau_j))))*Salcycl</f>
        <v>5.8560150061835972E-2</v>
      </c>
      <c r="P95" s="169">
        <f>(INDEX(Models!$BJ95:$BT95,,T95)*(1-R95)+INDEX(Models!$BJ95:$BT95,,T95+1)*R95-ERP_i)*Q95*Ramure*Pc/MaxiM</f>
        <v>2.4095724556404819E-5</v>
      </c>
      <c r="Q95" s="305">
        <f t="shared" si="28"/>
        <v>0.5</v>
      </c>
      <c r="R95" s="177">
        <f t="shared" si="29"/>
        <v>0.51472203140878314</v>
      </c>
      <c r="S95" s="811">
        <f t="shared" si="30"/>
        <v>0</v>
      </c>
      <c r="T95" s="176">
        <f t="shared" si="31"/>
        <v>6</v>
      </c>
      <c r="U95" s="251">
        <f t="shared" si="32"/>
        <v>0.51472203140878314</v>
      </c>
      <c r="V95" s="383">
        <f t="shared" si="33"/>
        <v>46.806261216933585</v>
      </c>
      <c r="W95" s="402">
        <f t="shared" si="34"/>
        <v>41.095934465945284</v>
      </c>
      <c r="X95" s="157">
        <f t="shared" si="35"/>
        <v>45007</v>
      </c>
      <c r="Y95" s="385">
        <f t="shared" si="36"/>
        <v>40.11386578930545</v>
      </c>
      <c r="Z95" s="385">
        <f t="shared" si="37"/>
        <v>41.679448276671096</v>
      </c>
      <c r="AA95" s="386">
        <f t="shared" si="38"/>
        <v>45.355893513707933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8.1057718241747498E-2</v>
      </c>
      <c r="AD95" s="231">
        <f>(INDEX(Models!$BJ95:$BT95,,AH95)*(1-AF95)+INDEX(Models!$BJ95:$BT95,,AH95+1)*AF95-ERP_i)*AE95*Ramure*Pc/MaxiM</f>
        <v>2.4095724556404819E-5</v>
      </c>
      <c r="AE95" s="305">
        <f t="shared" si="40"/>
        <v>0.5</v>
      </c>
      <c r="AF95" s="177">
        <f t="shared" si="41"/>
        <v>0.51472203140878314</v>
      </c>
      <c r="AG95" s="811">
        <f t="shared" si="49"/>
        <v>0</v>
      </c>
      <c r="AH95" s="176">
        <f t="shared" si="42"/>
        <v>6</v>
      </c>
      <c r="AI95" s="225">
        <f t="shared" si="43"/>
        <v>0.51472203140878314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47.154224039824442</v>
      </c>
      <c r="C96" s="841"/>
      <c r="D96" s="393">
        <f t="shared" si="25"/>
        <v>48.995654012332693</v>
      </c>
      <c r="E96" s="385">
        <f t="shared" si="47"/>
        <v>52.04667392372658</v>
      </c>
      <c r="F96" s="385">
        <f t="shared" si="26"/>
        <v>52.047706946675838</v>
      </c>
      <c r="G96" s="110">
        <f t="shared" si="48"/>
        <v>1.0004455446389744</v>
      </c>
      <c r="H96" s="414" t="b">
        <f>Wh_hp&gt;='2022'!Maxi_hp</f>
        <v>1</v>
      </c>
      <c r="I96" s="390">
        <f>IF(H96,Wh_hp,'2022'!Maxi_hp)</f>
        <v>52.047706946675838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3.7583536940740569E-2</v>
      </c>
      <c r="M96" s="845"/>
      <c r="N96" s="845"/>
      <c r="O96" s="48">
        <f>IF(t&lt;Tnet,'2022'!Resal+('2022'!Salim-'2022'!Resal)*(1-EXP(('2022'!Tnet-t)/('2022'!Tau_j))),Resal+(Salim-Resal)*(1-EXP((Tnet-t)/(Tau_j))))*Salcycl</f>
        <v>5.8620843204411056E-2</v>
      </c>
      <c r="P96" s="169">
        <f>(INDEX(Models!$BJ96:$BT96,,T96)*(1-R96)+INDEX(Models!$BJ96:$BT96,,T96+1)*R96-ERP_i)*Q96*Ramure*Pc/MaxiM</f>
        <v>1.9847616924047294E-5</v>
      </c>
      <c r="Q96" s="305">
        <f t="shared" si="28"/>
        <v>0.5</v>
      </c>
      <c r="R96" s="177">
        <f t="shared" si="29"/>
        <v>0.51545007111107777</v>
      </c>
      <c r="S96" s="811">
        <f t="shared" si="30"/>
        <v>0</v>
      </c>
      <c r="T96" s="176">
        <f t="shared" si="31"/>
        <v>6</v>
      </c>
      <c r="U96" s="251">
        <f t="shared" si="32"/>
        <v>0.51545007111107777</v>
      </c>
      <c r="V96" s="383">
        <f t="shared" si="33"/>
        <v>47.133224084516016</v>
      </c>
      <c r="W96" s="402">
        <f t="shared" si="34"/>
        <v>47.154224039824442</v>
      </c>
      <c r="X96" s="157">
        <f t="shared" si="35"/>
        <v>45008</v>
      </c>
      <c r="Y96" s="385">
        <f t="shared" si="36"/>
        <v>46.02877689924378</v>
      </c>
      <c r="Z96" s="385">
        <f t="shared" si="37"/>
        <v>47.826256787971865</v>
      </c>
      <c r="AA96" s="386">
        <f t="shared" si="38"/>
        <v>52.04667392372658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8.1089084423332361E-2</v>
      </c>
      <c r="AD96" s="231">
        <f>(INDEX(Models!$BJ96:$BT96,,AH96)*(1-AF96)+INDEX(Models!$BJ96:$BT96,,AH96+1)*AF96-ERP_i)*AE96*Ramure*Pc/MaxiM</f>
        <v>1.9847616924047294E-5</v>
      </c>
      <c r="AE96" s="305">
        <f t="shared" si="40"/>
        <v>0.5</v>
      </c>
      <c r="AF96" s="177">
        <f t="shared" si="41"/>
        <v>0.51545007111107777</v>
      </c>
      <c r="AG96" s="811">
        <f t="shared" si="49"/>
        <v>0</v>
      </c>
      <c r="AH96" s="176">
        <f t="shared" si="42"/>
        <v>6</v>
      </c>
      <c r="AI96" s="225">
        <f t="shared" si="43"/>
        <v>0.51545007111107777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46.145135859636618</v>
      </c>
      <c r="C97" s="841"/>
      <c r="D97" s="393">
        <f t="shared" si="25"/>
        <v>47.94820989656769</v>
      </c>
      <c r="E97" s="385">
        <f t="shared" si="47"/>
        <v>50.937304037743161</v>
      </c>
      <c r="F97" s="385">
        <f t="shared" si="26"/>
        <v>50.938101625107436</v>
      </c>
      <c r="G97" s="110">
        <f t="shared" si="48"/>
        <v>0.972298272113299</v>
      </c>
      <c r="H97" s="414" t="b">
        <f>Wh_hp&gt;='2022'!Maxi_hp</f>
        <v>0</v>
      </c>
      <c r="I97" s="390">
        <f>IF(H97,Wh_hp,'2022'!Maxi_hp)</f>
        <v>51.495753799818651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3.7604616331258334E-2</v>
      </c>
      <c r="M97" s="845"/>
      <c r="N97" s="845"/>
      <c r="O97" s="48">
        <f>IF(t&lt;Tnet,'2022'!Resal+('2022'!Salim-'2022'!Resal)*(1-EXP(('2022'!Tnet-t)/('2022'!Tau_j))),Resal+(Salim-Resal)*(1-EXP((Tnet-t)/(Tau_j))))*Salcycl</f>
        <v>5.8681828527097434E-2</v>
      </c>
      <c r="P97" s="169">
        <f>(INDEX(Models!$BJ97:$BT97,,T97)*(1-R97)+INDEX(Models!$BJ97:$BT97,,T97+1)*R97-ERP_i)*Q97*Ramure*Pc/MaxiM</f>
        <v>1.6303135918926436E-5</v>
      </c>
      <c r="Q97" s="305">
        <f t="shared" si="28"/>
        <v>0.5</v>
      </c>
      <c r="R97" s="177">
        <f t="shared" si="29"/>
        <v>0.51620632156363766</v>
      </c>
      <c r="S97" s="811">
        <f t="shared" si="30"/>
        <v>0</v>
      </c>
      <c r="T97" s="176">
        <f t="shared" si="31"/>
        <v>6</v>
      </c>
      <c r="U97" s="251">
        <f t="shared" si="32"/>
        <v>0.51620632156363766</v>
      </c>
      <c r="V97" s="383">
        <f t="shared" si="33"/>
        <v>47.459825252689896</v>
      </c>
      <c r="W97" s="402">
        <f t="shared" si="34"/>
        <v>46.145135859636618</v>
      </c>
      <c r="X97" s="157">
        <f t="shared" si="35"/>
        <v>45009</v>
      </c>
      <c r="Y97" s="385">
        <f t="shared" si="36"/>
        <v>45.04513063735449</v>
      </c>
      <c r="Z97" s="385">
        <f t="shared" si="37"/>
        <v>46.805223094107347</v>
      </c>
      <c r="AA97" s="386">
        <f t="shared" si="38"/>
        <v>50.937304037743161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8.1120919563666946E-2</v>
      </c>
      <c r="AD97" s="231">
        <f>(INDEX(Models!$BJ97:$BT97,,AH97)*(1-AF97)+INDEX(Models!$BJ97:$BT97,,AH97+1)*AF97-ERP_i)*AE97*Ramure*Pc/MaxiM</f>
        <v>1.6303135918926436E-5</v>
      </c>
      <c r="AE97" s="305">
        <f t="shared" si="40"/>
        <v>0.5</v>
      </c>
      <c r="AF97" s="177">
        <f t="shared" si="41"/>
        <v>0.51620632156363766</v>
      </c>
      <c r="AG97" s="811">
        <f t="shared" si="49"/>
        <v>0</v>
      </c>
      <c r="AH97" s="176">
        <f t="shared" si="42"/>
        <v>6</v>
      </c>
      <c r="AI97" s="225">
        <f t="shared" si="43"/>
        <v>0.51620632156363766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40.421350355280509</v>
      </c>
      <c r="C98" s="841"/>
      <c r="D98" s="393">
        <f t="shared" si="25"/>
        <v>42.001693266534637</v>
      </c>
      <c r="E98" s="385">
        <f t="shared" si="47"/>
        <v>44.622987193748628</v>
      </c>
      <c r="F98" s="385">
        <f t="shared" si="26"/>
        <v>44.623455240042979</v>
      </c>
      <c r="G98" s="110">
        <f t="shared" si="48"/>
        <v>0.84589628476460021</v>
      </c>
      <c r="H98" s="414" t="b">
        <f>Wh_hp&gt;='2022'!Maxi_hp</f>
        <v>0</v>
      </c>
      <c r="I98" s="390">
        <f>IF(H98,Wh_hp,'2022'!Maxi_hp)</f>
        <v>48.049790210842104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3.7625695260083303E-2</v>
      </c>
      <c r="M98" s="845"/>
      <c r="N98" s="845"/>
      <c r="O98" s="48">
        <f>IF(t&lt;Tnet,'2022'!Resal+('2022'!Salim-'2022'!Resal)*(1-EXP(('2022'!Tnet-t)/('2022'!Tau_j))),Resal+(Salim-Resal)*(1-EXP((Tnet-t)/(Tau_j))))*Salcycl</f>
        <v>5.8743129764768809E-2</v>
      </c>
      <c r="P98" s="169">
        <f>(INDEX(Models!$BJ98:$BT98,,T98)*(1-R98)+INDEX(Models!$BJ98:$BT98,,T98+1)*R98-ERP_i)*Q98*Ramure*Pc/MaxiM</f>
        <v>1.3449666785856751E-5</v>
      </c>
      <c r="Q98" s="305">
        <f t="shared" si="28"/>
        <v>0.5</v>
      </c>
      <c r="R98" s="177">
        <f t="shared" si="29"/>
        <v>0.51699177839888488</v>
      </c>
      <c r="S98" s="811">
        <f t="shared" si="30"/>
        <v>0</v>
      </c>
      <c r="T98" s="176">
        <f t="shared" si="31"/>
        <v>6</v>
      </c>
      <c r="U98" s="251">
        <f t="shared" si="32"/>
        <v>0.51699177839888488</v>
      </c>
      <c r="V98" s="383">
        <f t="shared" si="33"/>
        <v>47.785090677938385</v>
      </c>
      <c r="W98" s="402">
        <f t="shared" si="34"/>
        <v>40.421350355280509</v>
      </c>
      <c r="X98" s="157">
        <f t="shared" si="35"/>
        <v>45010</v>
      </c>
      <c r="Y98" s="385">
        <f t="shared" si="36"/>
        <v>39.458969555354436</v>
      </c>
      <c r="Z98" s="385">
        <f t="shared" si="37"/>
        <v>41.00168651740789</v>
      </c>
      <c r="AA98" s="386">
        <f t="shared" si="38"/>
        <v>44.622987193748628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8.1153255397658705E-2</v>
      </c>
      <c r="AD98" s="231">
        <f>(INDEX(Models!$BJ98:$BT98,,AH98)*(1-AF98)+INDEX(Models!$BJ98:$BT98,,AH98+1)*AF98-ERP_i)*AE98*Ramure*Pc/MaxiM</f>
        <v>1.3449666785856751E-5</v>
      </c>
      <c r="AE98" s="305">
        <f t="shared" si="40"/>
        <v>0.5</v>
      </c>
      <c r="AF98" s="177">
        <f t="shared" si="41"/>
        <v>0.51699177839888488</v>
      </c>
      <c r="AG98" s="811">
        <f t="shared" si="49"/>
        <v>0</v>
      </c>
      <c r="AH98" s="176">
        <f t="shared" si="42"/>
        <v>6</v>
      </c>
      <c r="AI98" s="225">
        <f t="shared" si="43"/>
        <v>0.51699177839888488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45.492492683508942</v>
      </c>
      <c r="C99" s="841"/>
      <c r="D99" s="393">
        <f t="shared" si="25"/>
        <v>47.272136094667502</v>
      </c>
      <c r="E99" s="385">
        <f t="shared" si="47"/>
        <v>50.22564354762941</v>
      </c>
      <c r="F99" s="385">
        <f t="shared" si="26"/>
        <v>50.226165869724539</v>
      </c>
      <c r="G99" s="110">
        <f t="shared" si="48"/>
        <v>0.94563084669617914</v>
      </c>
      <c r="H99" s="414" t="b">
        <f>Wh_hp&gt;='2022'!Maxi_hp</f>
        <v>0</v>
      </c>
      <c r="I99" s="390">
        <f>IF(H99,Wh_hp,'2022'!Maxi_hp)</f>
        <v>54.932815887950575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3.764677372722558E-2</v>
      </c>
      <c r="M99" s="845"/>
      <c r="N99" s="845"/>
      <c r="O99" s="48">
        <f>IF(t&lt;Tnet,'2022'!Resal+('2022'!Salim-'2022'!Resal)*(1-EXP(('2022'!Tnet-t)/('2022'!Tau_j))),Resal+(Salim-Resal)*(1-EXP((Tnet-t)/(Tau_j))))*Salcycl</f>
        <v>5.8804770717593109E-2</v>
      </c>
      <c r="P99" s="169">
        <f>(INDEX(Models!$BJ99:$BT99,,T99)*(1-R99)+INDEX(Models!$BJ99:$BT99,,T99+1)*R99-ERP_i)*Q99*Ramure*Pc/MaxiM</f>
        <v>1.1275130632839203E-5</v>
      </c>
      <c r="Q99" s="305">
        <f t="shared" si="28"/>
        <v>0.5</v>
      </c>
      <c r="R99" s="177">
        <f t="shared" si="29"/>
        <v>0.51780746440028846</v>
      </c>
      <c r="S99" s="811">
        <f t="shared" si="30"/>
        <v>0</v>
      </c>
      <c r="T99" s="176">
        <f t="shared" si="31"/>
        <v>6</v>
      </c>
      <c r="U99" s="251">
        <f t="shared" si="32"/>
        <v>0.51780746440028846</v>
      </c>
      <c r="V99" s="383">
        <f t="shared" si="33"/>
        <v>48.108046605037693</v>
      </c>
      <c r="W99" s="402">
        <f t="shared" si="34"/>
        <v>45.492492683508942</v>
      </c>
      <c r="X99" s="157">
        <f t="shared" si="35"/>
        <v>45011</v>
      </c>
      <c r="Y99" s="385">
        <f t="shared" si="36"/>
        <v>44.410694238422657</v>
      </c>
      <c r="Z99" s="385">
        <f t="shared" si="37"/>
        <v>46.148018239027195</v>
      </c>
      <c r="AA99" s="386">
        <f t="shared" si="38"/>
        <v>50.22564354762941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8.1186123672768215E-2</v>
      </c>
      <c r="AD99" s="231">
        <f>(INDEX(Models!$BJ99:$BT99,,AH99)*(1-AF99)+INDEX(Models!$BJ99:$BT99,,AH99+1)*AF99-ERP_i)*AE99*Ramure*Pc/MaxiM</f>
        <v>1.1275130632839203E-5</v>
      </c>
      <c r="AE99" s="305">
        <f t="shared" si="40"/>
        <v>0.5</v>
      </c>
      <c r="AF99" s="177">
        <f t="shared" si="41"/>
        <v>0.51780746440028846</v>
      </c>
      <c r="AG99" s="811">
        <f t="shared" si="49"/>
        <v>0</v>
      </c>
      <c r="AH99" s="176">
        <f t="shared" si="42"/>
        <v>6</v>
      </c>
      <c r="AI99" s="225">
        <f t="shared" si="43"/>
        <v>0.51780746440028846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44.312436207188966</v>
      </c>
      <c r="C100" s="841"/>
      <c r="D100" s="393">
        <f t="shared" si="25"/>
        <v>46.046924948911105</v>
      </c>
      <c r="E100" s="385">
        <f t="shared" si="47"/>
        <v>48.927105892002317</v>
      </c>
      <c r="F100" s="385">
        <f t="shared" si="26"/>
        <v>48.927528402607102</v>
      </c>
      <c r="G100" s="110">
        <f t="shared" si="48"/>
        <v>0.91502111612469528</v>
      </c>
      <c r="H100" s="414" t="b">
        <f>Wh_hp&gt;='2022'!Maxi_hp</f>
        <v>0</v>
      </c>
      <c r="I100" s="390">
        <f>IF(H100,Wh_hp,'2022'!Maxi_hp)</f>
        <v>54.175577399192605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3.766785173269549E-2</v>
      </c>
      <c r="M100" s="845"/>
      <c r="N100" s="845"/>
      <c r="O100" s="48">
        <f>IF(t&lt;Tnet,'2022'!Resal+('2022'!Salim-'2022'!Resal)*(1-EXP(('2022'!Tnet-t)/('2022'!Tau_j))),Resal+(Salim-Resal)*(1-EXP((Tnet-t)/(Tau_j))))*Salcycl</f>
        <v>5.8866775186921676E-2</v>
      </c>
      <c r="P100" s="169">
        <f>(INDEX(Models!$BJ100:$BT100,,T100)*(1-R100)+INDEX(Models!$BJ100:$BT100,,T100+1)*R100-ERP_i)*Q100*Ramure*Pc/MaxiM</f>
        <v>9.828598133495212E-6</v>
      </c>
      <c r="Q100" s="305">
        <f t="shared" si="28"/>
        <v>0.5</v>
      </c>
      <c r="R100" s="177">
        <f t="shared" si="29"/>
        <v>0.51865442956825303</v>
      </c>
      <c r="S100" s="811">
        <f t="shared" si="30"/>
        <v>0</v>
      </c>
      <c r="T100" s="176">
        <f t="shared" si="31"/>
        <v>6</v>
      </c>
      <c r="U100" s="251">
        <f t="shared" si="32"/>
        <v>0.51865442956825303</v>
      </c>
      <c r="V100" s="383">
        <f t="shared" si="33"/>
        <v>48.427716643897966</v>
      </c>
      <c r="W100" s="402">
        <f t="shared" si="34"/>
        <v>44.312436207188966</v>
      </c>
      <c r="X100" s="157">
        <f t="shared" si="35"/>
        <v>45012</v>
      </c>
      <c r="Y100" s="385">
        <f t="shared" si="36"/>
        <v>43.259975035468614</v>
      </c>
      <c r="Z100" s="385">
        <f t="shared" si="37"/>
        <v>44.953268072108926</v>
      </c>
      <c r="AA100" s="386">
        <f t="shared" si="38"/>
        <v>48.927105892002317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8.1219556060906459E-2</v>
      </c>
      <c r="AD100" s="231">
        <f>(INDEX(Models!$BJ100:$BT100,,AH100)*(1-AF100)+INDEX(Models!$BJ100:$BT100,,AH100+1)*AF100-ERP_i)*AE100*Ramure*Pc/MaxiM</f>
        <v>9.828598133495212E-6</v>
      </c>
      <c r="AE100" s="305">
        <f t="shared" si="40"/>
        <v>0.5</v>
      </c>
      <c r="AF100" s="177">
        <f t="shared" si="41"/>
        <v>0.51865442956825303</v>
      </c>
      <c r="AG100" s="811">
        <f t="shared" si="49"/>
        <v>0</v>
      </c>
      <c r="AH100" s="176">
        <f t="shared" si="42"/>
        <v>6</v>
      </c>
      <c r="AI100" s="225">
        <f t="shared" si="43"/>
        <v>0.51865442956825303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34.694700248002867</v>
      </c>
      <c r="C101" s="841"/>
      <c r="D101" s="393">
        <f t="shared" si="25"/>
        <v>36.053518766980666</v>
      </c>
      <c r="E101" s="385">
        <f t="shared" si="47"/>
        <v>38.311163729005948</v>
      </c>
      <c r="F101" s="385">
        <f t="shared" si="26"/>
        <v>38.311355744939078</v>
      </c>
      <c r="G101" s="110">
        <f t="shared" si="48"/>
        <v>0.71178359205954056</v>
      </c>
      <c r="H101" s="414" t="b">
        <f>Wh_hp&gt;='2022'!Maxi_hp</f>
        <v>0</v>
      </c>
      <c r="I101" s="390">
        <f>IF(H101,Wh_hp,'2022'!Maxi_hp)</f>
        <v>52.923988977147388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3.7688929276502803E-2</v>
      </c>
      <c r="M101" s="845"/>
      <c r="N101" s="845"/>
      <c r="O101" s="48">
        <f>IF(t&lt;Tnet,'2022'!Resal+('2022'!Salim-'2022'!Resal)*(1-EXP(('2022'!Tnet-t)/('2022'!Tau_j))),Resal+(Salim-Resal)*(1-EXP((Tnet-t)/(Tau_j))))*Salcycl</f>
        <v>5.892916691319363E-2</v>
      </c>
      <c r="P101" s="169">
        <f>(INDEX(Models!$BJ101:$BT101,,T101)*(1-R101)+INDEX(Models!$BJ101:$BT101,,T101+1)*R101-ERP_i)*Q101*Ramure*Pc/MaxiM</f>
        <v>8.5199317374626737E-6</v>
      </c>
      <c r="Q101" s="305">
        <f t="shared" si="28"/>
        <v>0.5</v>
      </c>
      <c r="R101" s="177">
        <f t="shared" si="29"/>
        <v>0.51953375111791733</v>
      </c>
      <c r="S101" s="811">
        <f t="shared" si="30"/>
        <v>0</v>
      </c>
      <c r="T101" s="176">
        <f t="shared" si="31"/>
        <v>6</v>
      </c>
      <c r="U101" s="251">
        <f t="shared" si="32"/>
        <v>0.51953375111791733</v>
      </c>
      <c r="V101" s="383">
        <f t="shared" si="33"/>
        <v>48.743155823299197</v>
      </c>
      <c r="W101" s="402">
        <f t="shared" si="34"/>
        <v>34.694700248002867</v>
      </c>
      <c r="X101" s="157">
        <f t="shared" si="35"/>
        <v>45013</v>
      </c>
      <c r="Y101" s="385">
        <f t="shared" si="36"/>
        <v>33.871660223432336</v>
      </c>
      <c r="Z101" s="385">
        <f t="shared" si="37"/>
        <v>35.198244365999557</v>
      </c>
      <c r="AA101" s="386">
        <f t="shared" si="38"/>
        <v>38.311163729005948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8.1253584073447307E-2</v>
      </c>
      <c r="AD101" s="231">
        <f>(INDEX(Models!$BJ101:$BT101,,AH101)*(1-AF101)+INDEX(Models!$BJ101:$BT101,,AH101+1)*AF101-ERP_i)*AE101*Ramure*Pc/MaxiM</f>
        <v>8.5199317374626737E-6</v>
      </c>
      <c r="AE101" s="305">
        <f t="shared" si="40"/>
        <v>0.5</v>
      </c>
      <c r="AF101" s="177">
        <f t="shared" si="41"/>
        <v>0.51953375111791733</v>
      </c>
      <c r="AG101" s="811">
        <f t="shared" si="49"/>
        <v>0</v>
      </c>
      <c r="AH101" s="176">
        <f t="shared" si="42"/>
        <v>6</v>
      </c>
      <c r="AI101" s="225">
        <f t="shared" si="43"/>
        <v>0.51953375111791733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27.325881844762758</v>
      </c>
      <c r="C102" s="841"/>
      <c r="D102" s="393">
        <f t="shared" si="25"/>
        <v>28.39672242809112</v>
      </c>
      <c r="E102" s="385">
        <f t="shared" si="47"/>
        <v>30.176918270809725</v>
      </c>
      <c r="F102" s="385">
        <f t="shared" si="26"/>
        <v>30.176999686097361</v>
      </c>
      <c r="G102" s="110">
        <f t="shared" si="48"/>
        <v>0.55706147982248666</v>
      </c>
      <c r="H102" s="414" t="b">
        <f>Wh_hp&gt;='2022'!Maxi_hp</f>
        <v>0</v>
      </c>
      <c r="I102" s="390">
        <f>IF(H102,Wh_hp,'2022'!Maxi_hp)</f>
        <v>54.418783965233558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3.7710006358657955E-2</v>
      </c>
      <c r="M102" s="845"/>
      <c r="N102" s="845"/>
      <c r="O102" s="48">
        <f>IF(t&lt;Tnet,'2022'!Resal+('2022'!Salim-'2022'!Resal)*(1-EXP(('2022'!Tnet-t)/('2022'!Tau_j))),Resal+(Salim-Resal)*(1-EXP((Tnet-t)/(Tau_j))))*Salcycl</f>
        <v>5.8991969516005792E-2</v>
      </c>
      <c r="P102" s="169">
        <f>(INDEX(Models!$BJ102:$BT102,,T102)*(1-R102)+INDEX(Models!$BJ102:$BT102,,T102+1)*R102-ERP_i)*Q102*Ramure*Pc/MaxiM</f>
        <v>7.3466028826589063E-6</v>
      </c>
      <c r="Q102" s="305">
        <f t="shared" si="28"/>
        <v>0.5</v>
      </c>
      <c r="R102" s="177">
        <f t="shared" si="29"/>
        <v>0.52044653340230373</v>
      </c>
      <c r="S102" s="811">
        <f t="shared" si="30"/>
        <v>0</v>
      </c>
      <c r="T102" s="176">
        <f t="shared" si="31"/>
        <v>6</v>
      </c>
      <c r="U102" s="251">
        <f t="shared" si="32"/>
        <v>0.52044653340230373</v>
      </c>
      <c r="V102" s="383">
        <f t="shared" si="33"/>
        <v>49.053391420836228</v>
      </c>
      <c r="W102" s="402">
        <f t="shared" si="34"/>
        <v>27.325881844762758</v>
      </c>
      <c r="X102" s="157">
        <f t="shared" si="35"/>
        <v>45014</v>
      </c>
      <c r="Y102" s="385">
        <f t="shared" si="36"/>
        <v>26.678421668863592</v>
      </c>
      <c r="Z102" s="385">
        <f t="shared" si="37"/>
        <v>27.723889726745913</v>
      </c>
      <c r="AA102" s="386">
        <f t="shared" si="38"/>
        <v>30.176918270809725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8.1288238979546068E-2</v>
      </c>
      <c r="AD102" s="231">
        <f>(INDEX(Models!$BJ102:$BT102,,AH102)*(1-AF102)+INDEX(Models!$BJ102:$BT102,,AH102+1)*AF102-ERP_i)*AE102*Ramure*Pc/MaxiM</f>
        <v>7.3466028826589063E-6</v>
      </c>
      <c r="AE102" s="305">
        <f t="shared" si="40"/>
        <v>0.5</v>
      </c>
      <c r="AF102" s="177">
        <f t="shared" si="41"/>
        <v>0.52044653340230373</v>
      </c>
      <c r="AG102" s="811">
        <f t="shared" si="49"/>
        <v>0</v>
      </c>
      <c r="AH102" s="176">
        <f t="shared" si="42"/>
        <v>6</v>
      </c>
      <c r="AI102" s="225">
        <f t="shared" si="43"/>
        <v>0.52044653340230373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7.6847266684698425</v>
      </c>
      <c r="C103" s="841"/>
      <c r="D103" s="393">
        <f t="shared" si="25"/>
        <v>7.986048943845808</v>
      </c>
      <c r="E103" s="385">
        <f t="shared" si="47"/>
        <v>8.4872662014537017</v>
      </c>
      <c r="F103" s="385">
        <f t="shared" si="26"/>
        <v>8.4872662014537017</v>
      </c>
      <c r="G103" s="110">
        <f t="shared" si="48"/>
        <v>0.15569438947883898</v>
      </c>
      <c r="H103" s="414" t="b">
        <f>Wh_hp&gt;='2022'!Maxi_hp</f>
        <v>0</v>
      </c>
      <c r="I103" s="390">
        <f>IF(H103,Wh_hp,'2022'!Maxi_hp)</f>
        <v>55.483183570295765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3.7731082979170827E-2</v>
      </c>
      <c r="M103" s="845"/>
      <c r="N103" s="845"/>
      <c r="O103" s="48">
        <f>IF(t&lt;Tnet,'2022'!Resal+('2022'!Salim-'2022'!Resal)*(1-EXP(('2022'!Tnet-t)/('2022'!Tau_j))),Resal+(Salim-Resal)*(1-EXP((Tnet-t)/(Tau_j))))*Salcycl</f>
        <v>5.9055206436442943E-2</v>
      </c>
      <c r="P103" s="169">
        <f>(INDEX(Models!$BJ103:$BT103,,T103)*(1-R103)+INDEX(Models!$BJ103:$BT103,,T103+1)*R103-ERP_i)*Q103*Ramure*Pc/MaxiM</f>
        <v>6.3062101889495595E-6</v>
      </c>
      <c r="Q103" s="305">
        <f t="shared" si="28"/>
        <v>0.5</v>
      </c>
      <c r="R103" s="177">
        <f t="shared" si="29"/>
        <v>0.52139390775392203</v>
      </c>
      <c r="S103" s="811">
        <f t="shared" si="30"/>
        <v>0</v>
      </c>
      <c r="T103" s="176">
        <f t="shared" si="31"/>
        <v>6</v>
      </c>
      <c r="U103" s="251">
        <f t="shared" si="32"/>
        <v>0.52139390775392203</v>
      </c>
      <c r="V103" s="383">
        <f t="shared" si="33"/>
        <v>49.357451046832232</v>
      </c>
      <c r="W103" s="402">
        <f t="shared" si="34"/>
        <v>7.6847266684698425</v>
      </c>
      <c r="X103" s="157">
        <f t="shared" si="35"/>
        <v>45015</v>
      </c>
      <c r="Y103" s="385">
        <f t="shared" si="36"/>
        <v>7.5028603697301532</v>
      </c>
      <c r="Z103" s="385">
        <f t="shared" si="37"/>
        <v>7.7970515694915115</v>
      </c>
      <c r="AA103" s="386">
        <f t="shared" si="38"/>
        <v>8.4872662014537017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8.1323551727877974E-2</v>
      </c>
      <c r="AD103" s="231">
        <f>(INDEX(Models!$BJ103:$BT103,,AH103)*(1-AF103)+INDEX(Models!$BJ103:$BT103,,AH103+1)*AF103-ERP_i)*AE103*Ramure*Pc/MaxiM</f>
        <v>6.3062101889495595E-6</v>
      </c>
      <c r="AE103" s="305">
        <f t="shared" si="40"/>
        <v>0.5</v>
      </c>
      <c r="AF103" s="177">
        <f t="shared" si="41"/>
        <v>0.52139390775392203</v>
      </c>
      <c r="AG103" s="811">
        <f t="shared" si="49"/>
        <v>0</v>
      </c>
      <c r="AH103" s="176">
        <f t="shared" si="42"/>
        <v>6</v>
      </c>
      <c r="AI103" s="225">
        <f t="shared" si="43"/>
        <v>0.52139390775392203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28.004934081576206</v>
      </c>
      <c r="C104" s="841"/>
      <c r="D104" s="393">
        <f t="shared" si="25"/>
        <v>29.103660088746324</v>
      </c>
      <c r="E104" s="385">
        <f t="shared" si="47"/>
        <v>30.932346410210215</v>
      </c>
      <c r="F104" s="385">
        <f t="shared" si="26"/>
        <v>30.932409364909336</v>
      </c>
      <c r="G104" s="110">
        <f t="shared" si="48"/>
        <v>0.56399555759929554</v>
      </c>
      <c r="H104" s="414" t="b">
        <f>Wh_hp&gt;='2022'!Maxi_hp</f>
        <v>0</v>
      </c>
      <c r="I104" s="390">
        <f>IF(H104,Wh_hp,'2022'!Maxi_hp)</f>
        <v>49.250450204262727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3.7752159138051744E-2</v>
      </c>
      <c r="M104" s="845"/>
      <c r="N104" s="845"/>
      <c r="O104" s="48">
        <f>IF(t&lt;Tnet,'2022'!Resal+('2022'!Salim-'2022'!Resal)*(1-EXP(('2022'!Tnet-t)/('2022'!Tau_j))),Resal+(Salim-Resal)*(1-EXP((Tnet-t)/(Tau_j))))*Salcycl</f>
        <v>5.9118900881708576E-2</v>
      </c>
      <c r="P104" s="169">
        <f>(INDEX(Models!$BJ104:$BT104,,T104)*(1-R104)+INDEX(Models!$BJ104:$BT104,,T104+1)*R104-ERP_i)*Q104*Ramure*Pc/MaxiM</f>
        <v>5.3965065204395507E-6</v>
      </c>
      <c r="Q104" s="305">
        <f t="shared" si="28"/>
        <v>0.5</v>
      </c>
      <c r="R104" s="177">
        <f t="shared" si="29"/>
        <v>0.52237703223758625</v>
      </c>
      <c r="S104" s="811">
        <f t="shared" si="30"/>
        <v>0</v>
      </c>
      <c r="T104" s="176">
        <f t="shared" si="31"/>
        <v>6</v>
      </c>
      <c r="U104" s="251">
        <f t="shared" si="32"/>
        <v>0.52237703223758625</v>
      </c>
      <c r="V104" s="383">
        <f t="shared" si="33"/>
        <v>49.654362648496459</v>
      </c>
      <c r="W104" s="402">
        <f t="shared" si="34"/>
        <v>28.004934081576206</v>
      </c>
      <c r="X104" s="157">
        <f t="shared" si="35"/>
        <v>45016</v>
      </c>
      <c r="Y104" s="385">
        <f t="shared" si="36"/>
        <v>27.342950337298188</v>
      </c>
      <c r="Z104" s="385">
        <f t="shared" si="37"/>
        <v>28.415704536998827</v>
      </c>
      <c r="AA104" s="386">
        <f t="shared" si="38"/>
        <v>30.932346410210215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8.135955287183412E-2</v>
      </c>
      <c r="AD104" s="231">
        <f>(INDEX(Models!$BJ104:$BT104,,AH104)*(1-AF104)+INDEX(Models!$BJ104:$BT104,,AH104+1)*AF104-ERP_i)*AE104*Ramure*Pc/MaxiM</f>
        <v>5.3965065204395507E-6</v>
      </c>
      <c r="AE104" s="305">
        <f t="shared" si="40"/>
        <v>0.5</v>
      </c>
      <c r="AF104" s="177">
        <f t="shared" si="41"/>
        <v>0.52237703223758625</v>
      </c>
      <c r="AG104" s="811">
        <f t="shared" si="49"/>
        <v>0</v>
      </c>
      <c r="AH104" s="176">
        <f t="shared" si="42"/>
        <v>6</v>
      </c>
      <c r="AI104" s="225">
        <f t="shared" si="43"/>
        <v>0.52237703223758625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30.647346061429513</v>
      </c>
      <c r="C105" s="841"/>
      <c r="D105" s="393">
        <f t="shared" si="25"/>
        <v>31.850440219446693</v>
      </c>
      <c r="E105" s="385">
        <f t="shared" si="47"/>
        <v>33.854025580570259</v>
      </c>
      <c r="F105" s="385">
        <f t="shared" si="26"/>
        <v>33.854095590979092</v>
      </c>
      <c r="G105" s="110">
        <f t="shared" si="48"/>
        <v>0.61364301640328234</v>
      </c>
      <c r="H105" s="414" t="b">
        <f>Wh_hp&gt;='2022'!Maxi_hp</f>
        <v>0</v>
      </c>
      <c r="I105" s="390">
        <f>IF(H105,Wh_hp,'2022'!Maxi_hp)</f>
        <v>50.405835504746996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3.7773234835310587E-2</v>
      </c>
      <c r="M105" s="845"/>
      <c r="N105" s="845"/>
      <c r="O105" s="48">
        <f>IF(t&lt;Tnet,'2022'!Resal+('2022'!Salim-'2022'!Resal)*(1-EXP(('2022'!Tnet-t)/('2022'!Tau_j))),Resal+(Salim-Resal)*(1-EXP((Tnet-t)/(Tau_j))))*Salcycl</f>
        <v>5.9183075772042806E-2</v>
      </c>
      <c r="P105" s="169">
        <f>(INDEX(Models!$BJ105:$BT105,,T105)*(1-R105)+INDEX(Models!$BJ105:$BT105,,T105+1)*R105-ERP_i)*Q105*Ramure*Pc/MaxiM</f>
        <v>4.6154245006633566E-6</v>
      </c>
      <c r="Q105" s="305">
        <f t="shared" si="28"/>
        <v>0.5</v>
      </c>
      <c r="R105" s="177">
        <f t="shared" si="29"/>
        <v>0.52339709130687151</v>
      </c>
      <c r="S105" s="811">
        <f t="shared" si="30"/>
        <v>0</v>
      </c>
      <c r="T105" s="176">
        <f t="shared" si="31"/>
        <v>6</v>
      </c>
      <c r="U105" s="251">
        <f t="shared" si="32"/>
        <v>0.52339709130687151</v>
      </c>
      <c r="V105" s="383">
        <f t="shared" si="33"/>
        <v>49.94315452203012</v>
      </c>
      <c r="W105" s="402">
        <f t="shared" si="34"/>
        <v>30.647346061429513</v>
      </c>
      <c r="X105" s="157">
        <f t="shared" si="35"/>
        <v>45017</v>
      </c>
      <c r="Y105" s="385">
        <f t="shared" si="36"/>
        <v>29.92374563539131</v>
      </c>
      <c r="Z105" s="385">
        <f t="shared" si="37"/>
        <v>31.098434089255175</v>
      </c>
      <c r="AA105" s="386">
        <f t="shared" si="38"/>
        <v>33.854025580570259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8.1396272498139535E-2</v>
      </c>
      <c r="AD105" s="231">
        <f>(INDEX(Models!$BJ105:$BT105,,AH105)*(1-AF105)+INDEX(Models!$BJ105:$BT105,,AH105+1)*AF105-ERP_i)*AE105*Ramure*Pc/MaxiM</f>
        <v>4.6154245006633566E-6</v>
      </c>
      <c r="AE105" s="305">
        <f t="shared" si="40"/>
        <v>0.5</v>
      </c>
      <c r="AF105" s="177">
        <f t="shared" si="41"/>
        <v>0.52339709130687151</v>
      </c>
      <c r="AG105" s="811">
        <f t="shared" si="49"/>
        <v>0</v>
      </c>
      <c r="AH105" s="176">
        <f t="shared" si="42"/>
        <v>6</v>
      </c>
      <c r="AI105" s="225">
        <f t="shared" si="43"/>
        <v>0.52339709130687151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20.893391012808227</v>
      </c>
      <c r="C106" s="841"/>
      <c r="D106" s="393">
        <f t="shared" si="25"/>
        <v>21.714058887293636</v>
      </c>
      <c r="E106" s="385">
        <f t="shared" si="47"/>
        <v>23.081591324880222</v>
      </c>
      <c r="F106" s="385">
        <f t="shared" si="26"/>
        <v>23.081606477676772</v>
      </c>
      <c r="G106" s="110">
        <f t="shared" si="48"/>
        <v>0.41601222855327402</v>
      </c>
      <c r="H106" s="414" t="b">
        <f>Wh_hp&gt;='2022'!Maxi_hp</f>
        <v>0</v>
      </c>
      <c r="I106" s="390">
        <f>IF(H106,Wh_hp,'2022'!Maxi_hp)</f>
        <v>45.758995612636852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3.7794310070957571E-2</v>
      </c>
      <c r="M106" s="845"/>
      <c r="N106" s="845"/>
      <c r="O106" s="48">
        <f>IF(t&lt;Tnet,'2022'!Resal+('2022'!Salim-'2022'!Resal)*(1-EXP(('2022'!Tnet-t)/('2022'!Tau_j))),Resal+(Salim-Resal)*(1-EXP((Tnet-t)/(Tau_j))))*Salcycl</f>
        <v>5.9247753689863174E-2</v>
      </c>
      <c r="P106" s="169">
        <f>(INDEX(Models!$BJ106:$BT106,,T106)*(1-R106)+INDEX(Models!$BJ106:$BT106,,T106+1)*R106-ERP_i)*Q106*Ramure*Pc/MaxiM</f>
        <v>3.9611007054593404E-6</v>
      </c>
      <c r="Q106" s="305">
        <f t="shared" si="28"/>
        <v>0.5</v>
      </c>
      <c r="R106" s="177">
        <f t="shared" si="29"/>
        <v>0.52445529535631086</v>
      </c>
      <c r="S106" s="811">
        <f t="shared" si="30"/>
        <v>0</v>
      </c>
      <c r="T106" s="176">
        <f t="shared" si="31"/>
        <v>6</v>
      </c>
      <c r="U106" s="251">
        <f t="shared" si="32"/>
        <v>0.52445529535631086</v>
      </c>
      <c r="V106" s="383">
        <f t="shared" si="33"/>
        <v>50.222855325323479</v>
      </c>
      <c r="W106" s="402">
        <f t="shared" si="34"/>
        <v>20.893391012808227</v>
      </c>
      <c r="X106" s="157">
        <f t="shared" si="35"/>
        <v>45018</v>
      </c>
      <c r="Y106" s="385">
        <f t="shared" si="36"/>
        <v>20.400657147841944</v>
      </c>
      <c r="Z106" s="385">
        <f t="shared" si="37"/>
        <v>21.201971014478602</v>
      </c>
      <c r="AA106" s="386">
        <f t="shared" si="38"/>
        <v>23.081591324880222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8.1433740158787446E-2</v>
      </c>
      <c r="AD106" s="231">
        <f>(INDEX(Models!$BJ106:$BT106,,AH106)*(1-AF106)+INDEX(Models!$BJ106:$BT106,,AH106+1)*AF106-ERP_i)*AE106*Ramure*Pc/MaxiM</f>
        <v>3.9611007054593404E-6</v>
      </c>
      <c r="AE106" s="305">
        <f t="shared" si="40"/>
        <v>0.5</v>
      </c>
      <c r="AF106" s="177">
        <f t="shared" si="41"/>
        <v>0.52445529535631086</v>
      </c>
      <c r="AG106" s="811">
        <f t="shared" si="49"/>
        <v>0</v>
      </c>
      <c r="AH106" s="176">
        <f t="shared" si="42"/>
        <v>6</v>
      </c>
      <c r="AI106" s="225">
        <f t="shared" si="43"/>
        <v>0.52445529535631086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22.635550209935257</v>
      </c>
      <c r="C107" s="841"/>
      <c r="D107" s="393">
        <f t="shared" si="25"/>
        <v>23.5251633142034</v>
      </c>
      <c r="E107" s="385">
        <f t="shared" si="47"/>
        <v>25.008490852549514</v>
      </c>
      <c r="F107" s="385">
        <f t="shared" si="26"/>
        <v>25.008509031148488</v>
      </c>
      <c r="G107" s="110">
        <f t="shared" si="48"/>
        <v>0.44827069852962681</v>
      </c>
      <c r="H107" s="414" t="b">
        <f>Wh_hp&gt;='2022'!Maxi_hp</f>
        <v>0</v>
      </c>
      <c r="I107" s="390">
        <f>IF(H107,Wh_hp,'2022'!Maxi_hp)</f>
        <v>53.35954700357199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3.7815384845002797E-2</v>
      </c>
      <c r="M107" s="845"/>
      <c r="N107" s="845"/>
      <c r="O107" s="48">
        <f>IF(t&lt;Tnet,'2022'!Resal+('2022'!Salim-'2022'!Resal)*(1-EXP(('2022'!Tnet-t)/('2022'!Tau_j))),Resal+(Salim-Resal)*(1-EXP((Tnet-t)/(Tau_j))))*Salcycl</f>
        <v>5.9312956831015465E-2</v>
      </c>
      <c r="P107" s="169">
        <f>(INDEX(Models!$BJ107:$BT107,,T107)*(1-R107)+INDEX(Models!$BJ107:$BT107,,T107+1)*R107-ERP_i)*Q107*Ramure*Pc/MaxiM</f>
        <v>3.4317193493961737E-6</v>
      </c>
      <c r="Q107" s="305">
        <f t="shared" si="28"/>
        <v>0.5</v>
      </c>
      <c r="R107" s="177">
        <f t="shared" si="29"/>
        <v>0.52555288016112445</v>
      </c>
      <c r="S107" s="811">
        <f t="shared" si="30"/>
        <v>0</v>
      </c>
      <c r="T107" s="176">
        <f t="shared" si="31"/>
        <v>6</v>
      </c>
      <c r="U107" s="251">
        <f t="shared" si="32"/>
        <v>0.52555288016112445</v>
      </c>
      <c r="V107" s="383">
        <f t="shared" si="33"/>
        <v>50.495133987086803</v>
      </c>
      <c r="W107" s="402">
        <f t="shared" si="34"/>
        <v>22.635550209935257</v>
      </c>
      <c r="X107" s="157">
        <f t="shared" si="35"/>
        <v>45019</v>
      </c>
      <c r="Y107" s="385">
        <f t="shared" si="36"/>
        <v>22.102342280713561</v>
      </c>
      <c r="Z107" s="385">
        <f t="shared" si="37"/>
        <v>22.970999465786637</v>
      </c>
      <c r="AA107" s="386">
        <f t="shared" si="38"/>
        <v>25.008490852549514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8.1471984806118891E-2</v>
      </c>
      <c r="AD107" s="231">
        <f>(INDEX(Models!$BJ107:$BT107,,AH107)*(1-AF107)+INDEX(Models!$BJ107:$BT107,,AH107+1)*AF107-ERP_i)*AE107*Ramure*Pc/MaxiM</f>
        <v>3.4317193493961737E-6</v>
      </c>
      <c r="AE107" s="305">
        <f t="shared" si="40"/>
        <v>0.5</v>
      </c>
      <c r="AF107" s="177">
        <f t="shared" si="41"/>
        <v>0.52555288016112445</v>
      </c>
      <c r="AG107" s="811">
        <f t="shared" si="49"/>
        <v>0</v>
      </c>
      <c r="AH107" s="176">
        <f t="shared" si="42"/>
        <v>6</v>
      </c>
      <c r="AI107" s="225">
        <f t="shared" si="43"/>
        <v>0.52555288016112445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47.603593403891928</v>
      </c>
      <c r="C108" s="841"/>
      <c r="D108" s="393">
        <f t="shared" si="25"/>
        <v>49.475573936429349</v>
      </c>
      <c r="E108" s="385">
        <f t="shared" si="47"/>
        <v>52.598824098934159</v>
      </c>
      <c r="F108" s="385">
        <f t="shared" si="26"/>
        <v>52.598971459912839</v>
      </c>
      <c r="G108" s="110">
        <f t="shared" si="48"/>
        <v>0.93777542138995118</v>
      </c>
      <c r="H108" s="414" t="b">
        <f>Wh_hp&gt;='2022'!Maxi_hp</f>
        <v>0</v>
      </c>
      <c r="I108" s="390">
        <f>IF(H108,Wh_hp,'2022'!Maxi_hp)</f>
        <v>56.536713073450201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3.783645915745637E-2</v>
      </c>
      <c r="M108" s="845"/>
      <c r="N108" s="845"/>
      <c r="O108" s="48">
        <f>IF(t&lt;Tnet,'2022'!Resal+('2022'!Salim-'2022'!Resal)*(1-EXP(('2022'!Tnet-t)/('2022'!Tau_j))),Resal+(Salim-Resal)*(1-EXP((Tnet-t)/(Tau_j))))*Salcycl</f>
        <v>5.9378706957977472E-2</v>
      </c>
      <c r="P108" s="169">
        <f>(INDEX(Models!$BJ108:$BT108,,T108)*(1-R108)+INDEX(Models!$BJ108:$BT108,,T108+1)*R108-ERP_i)*Q108*Ramure*Pc/MaxiM</f>
        <v>3.0749306992832898E-6</v>
      </c>
      <c r="Q108" s="305">
        <f t="shared" si="28"/>
        <v>0.5</v>
      </c>
      <c r="R108" s="177">
        <f t="shared" si="29"/>
        <v>0.52669110619597714</v>
      </c>
      <c r="S108" s="811">
        <f t="shared" si="30"/>
        <v>0</v>
      </c>
      <c r="T108" s="176">
        <f t="shared" si="31"/>
        <v>6</v>
      </c>
      <c r="U108" s="251">
        <f t="shared" si="32"/>
        <v>0.52669110619597714</v>
      </c>
      <c r="V108" s="383">
        <f t="shared" si="33"/>
        <v>50.762239344579612</v>
      </c>
      <c r="W108" s="402">
        <f t="shared" si="34"/>
        <v>47.603593403891928</v>
      </c>
      <c r="X108" s="157">
        <f t="shared" si="35"/>
        <v>45020</v>
      </c>
      <c r="Y108" s="385">
        <f t="shared" si="36"/>
        <v>46.483505712731407</v>
      </c>
      <c r="Z108" s="385">
        <f t="shared" si="37"/>
        <v>48.311439521005866</v>
      </c>
      <c r="AA108" s="386">
        <f t="shared" si="38"/>
        <v>52.598824098934159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8.1511034730815737E-2</v>
      </c>
      <c r="AD108" s="231">
        <f>(INDEX(Models!$BJ108:$BT108,,AH108)*(1-AF108)+INDEX(Models!$BJ108:$BT108,,AH108+1)*AF108-ERP_i)*AE108*Ramure*Pc/MaxiM</f>
        <v>3.0749306992832898E-6</v>
      </c>
      <c r="AE108" s="305">
        <f t="shared" si="40"/>
        <v>0.5</v>
      </c>
      <c r="AF108" s="177">
        <f t="shared" si="41"/>
        <v>0.52669110619597714</v>
      </c>
      <c r="AG108" s="811">
        <f t="shared" si="49"/>
        <v>0</v>
      </c>
      <c r="AH108" s="176">
        <f t="shared" si="42"/>
        <v>6</v>
      </c>
      <c r="AI108" s="225">
        <f t="shared" si="43"/>
        <v>0.52669110619597714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50.599083189836115</v>
      </c>
      <c r="C109" s="841"/>
      <c r="D109" s="393">
        <f t="shared" si="25"/>
        <v>52.590011277689619</v>
      </c>
      <c r="E109" s="385">
        <f t="shared" si="47"/>
        <v>55.913809075890391</v>
      </c>
      <c r="F109" s="385">
        <f t="shared" si="26"/>
        <v>55.913965313219165</v>
      </c>
      <c r="G109" s="110">
        <f t="shared" si="48"/>
        <v>0.99167068531888036</v>
      </c>
      <c r="H109" s="414" t="b">
        <f>Wh_hp&gt;='2022'!Maxi_hp</f>
        <v>0</v>
      </c>
      <c r="I109" s="390">
        <f>IF(H109,Wh_hp,'2022'!Maxi_hp)</f>
        <v>58.623693621493487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3.7857533008328503E-2</v>
      </c>
      <c r="M109" s="845"/>
      <c r="N109" s="845"/>
      <c r="O109" s="48">
        <f>IF(t&lt;Tnet,'2022'!Resal+('2022'!Salim-'2022'!Resal)*(1-EXP(('2022'!Tnet-t)/('2022'!Tau_j))),Resal+(Salim-Resal)*(1-EXP((Tnet-t)/(Tau_j))))*Salcycl</f>
        <v>5.9445025354818333E-2</v>
      </c>
      <c r="P109" s="169">
        <f>(INDEX(Models!$BJ109:$BT109,,T109)*(1-R109)+INDEX(Models!$BJ109:$BT109,,T109+1)*R109-ERP_i)*Q109*Ramure*Pc/MaxiM</f>
        <v>2.8278942305238294E-6</v>
      </c>
      <c r="Q109" s="305">
        <f t="shared" si="28"/>
        <v>0.5</v>
      </c>
      <c r="R109" s="177">
        <f t="shared" si="29"/>
        <v>0.5278712578239958</v>
      </c>
      <c r="S109" s="811">
        <f t="shared" si="30"/>
        <v>0</v>
      </c>
      <c r="T109" s="176">
        <f t="shared" si="31"/>
        <v>6</v>
      </c>
      <c r="U109" s="251">
        <f t="shared" si="32"/>
        <v>0.5278712578239958</v>
      </c>
      <c r="V109" s="383">
        <f t="shared" si="33"/>
        <v>51.024077081546785</v>
      </c>
      <c r="W109" s="402">
        <f t="shared" si="34"/>
        <v>50.599083189836115</v>
      </c>
      <c r="X109" s="157">
        <f t="shared" si="35"/>
        <v>45021</v>
      </c>
      <c r="Y109" s="385">
        <f t="shared" si="36"/>
        <v>49.40985140018001</v>
      </c>
      <c r="Z109" s="385">
        <f t="shared" si="37"/>
        <v>51.35398664469065</v>
      </c>
      <c r="AA109" s="386">
        <f t="shared" si="38"/>
        <v>55.913809075890391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8.1550917502522677E-2</v>
      </c>
      <c r="AD109" s="231">
        <f>(INDEX(Models!$BJ109:$BT109,,AH109)*(1-AF109)+INDEX(Models!$BJ109:$BT109,,AH109+1)*AF109-ERP_i)*AE109*Ramure*Pc/MaxiM</f>
        <v>2.8278942305238294E-6</v>
      </c>
      <c r="AE109" s="305">
        <f t="shared" si="40"/>
        <v>0.5</v>
      </c>
      <c r="AF109" s="177">
        <f t="shared" si="41"/>
        <v>0.5278712578239958</v>
      </c>
      <c r="AG109" s="811">
        <f t="shared" si="49"/>
        <v>0</v>
      </c>
      <c r="AH109" s="176">
        <f t="shared" si="42"/>
        <v>6</v>
      </c>
      <c r="AI109" s="225">
        <f t="shared" si="43"/>
        <v>0.5278712578239958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11.084839772305516</v>
      </c>
      <c r="C110" s="841"/>
      <c r="D110" s="393">
        <f t="shared" si="25"/>
        <v>11.52124861375518</v>
      </c>
      <c r="E110" s="385">
        <f t="shared" si="47"/>
        <v>12.250286862071588</v>
      </c>
      <c r="F110" s="385">
        <f t="shared" si="26"/>
        <v>12.250286862071588</v>
      </c>
      <c r="G110" s="110">
        <f t="shared" si="48"/>
        <v>0.21616012295751538</v>
      </c>
      <c r="H110" s="414" t="b">
        <f>Wh_hp&gt;='2022'!Maxi_hp</f>
        <v>0</v>
      </c>
      <c r="I110" s="390">
        <f>IF(H110,Wh_hp,'2022'!Maxi_hp)</f>
        <v>59.354429100482541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3.7878606397629189E-2</v>
      </c>
      <c r="M110" s="845"/>
      <c r="N110" s="845"/>
      <c r="O110" s="48">
        <f>IF(t&lt;Tnet,'2022'!Resal+('2022'!Salim-'2022'!Resal)*(1-EXP(('2022'!Tnet-t)/('2022'!Tau_j))),Resal+(Salim-Resal)*(1-EXP((Tnet-t)/(Tau_j))))*Salcycl</f>
        <v>5.9511932783680534E-2</v>
      </c>
      <c r="P110" s="169">
        <f>(INDEX(Models!$BJ110:$BT110,,T110)*(1-R110)+INDEX(Models!$BJ110:$BT110,,T110+1)*R110-ERP_i)*Q110*Ramure*Pc/MaxiM</f>
        <v>2.6897970697234364E-6</v>
      </c>
      <c r="Q110" s="305">
        <f t="shared" si="28"/>
        <v>0.5</v>
      </c>
      <c r="R110" s="177">
        <f t="shared" si="29"/>
        <v>0.52909464234703607</v>
      </c>
      <c r="S110" s="811">
        <f t="shared" si="30"/>
        <v>0</v>
      </c>
      <c r="T110" s="176">
        <f t="shared" si="31"/>
        <v>6</v>
      </c>
      <c r="U110" s="251">
        <f t="shared" si="32"/>
        <v>0.52909464234703607</v>
      </c>
      <c r="V110" s="383">
        <f t="shared" si="33"/>
        <v>51.280549828862803</v>
      </c>
      <c r="W110" s="402">
        <f t="shared" si="34"/>
        <v>11.084839772305516</v>
      </c>
      <c r="X110" s="157">
        <f t="shared" si="35"/>
        <v>45022</v>
      </c>
      <c r="Y110" s="385">
        <f t="shared" si="36"/>
        <v>10.824602299897654</v>
      </c>
      <c r="Z110" s="385">
        <f t="shared" si="37"/>
        <v>11.250765622587629</v>
      </c>
      <c r="AA110" s="386">
        <f t="shared" si="38"/>
        <v>12.250286862071588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8.159165991276511E-2</v>
      </c>
      <c r="AD110" s="231">
        <f>(INDEX(Models!$BJ110:$BT110,,AH110)*(1-AF110)+INDEX(Models!$BJ110:$BT110,,AH110+1)*AF110-ERP_i)*AE110*Ramure*Pc/MaxiM</f>
        <v>2.6897970697234364E-6</v>
      </c>
      <c r="AE110" s="305">
        <f t="shared" si="40"/>
        <v>0.5</v>
      </c>
      <c r="AF110" s="177">
        <f t="shared" si="41"/>
        <v>0.52909464234703607</v>
      </c>
      <c r="AG110" s="811">
        <f t="shared" si="49"/>
        <v>0</v>
      </c>
      <c r="AH110" s="176">
        <f t="shared" si="42"/>
        <v>6</v>
      </c>
      <c r="AI110" s="225">
        <f t="shared" si="43"/>
        <v>0.52909464234703607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37.892038049508976</v>
      </c>
      <c r="C111" s="841"/>
      <c r="D111" s="393">
        <f t="shared" si="25"/>
        <v>39.384705768457508</v>
      </c>
      <c r="E111" s="385">
        <f t="shared" si="47"/>
        <v>41.879886339266413</v>
      </c>
      <c r="F111" s="385">
        <f t="shared" si="26"/>
        <v>41.879955617889159</v>
      </c>
      <c r="G111" s="110">
        <f t="shared" si="48"/>
        <v>0.73531637188461452</v>
      </c>
      <c r="H111" s="414" t="b">
        <f>Wh_hp&gt;='2022'!Maxi_hp</f>
        <v>0</v>
      </c>
      <c r="I111" s="390">
        <f>IF(H111,Wh_hp,'2022'!Maxi_hp)</f>
        <v>56.351753523847592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3.7899679325368529E-2</v>
      </c>
      <c r="M111" s="845"/>
      <c r="N111" s="845"/>
      <c r="O111" s="48">
        <f>IF(t&lt;Tnet,'2022'!Resal+('2022'!Salim-'2022'!Resal)*(1-EXP(('2022'!Tnet-t)/('2022'!Tau_j))),Resal+(Salim-Resal)*(1-EXP((Tnet-t)/(Tau_j))))*Salcycl</f>
        <v>5.9579449442522393E-2</v>
      </c>
      <c r="P111" s="169">
        <f>(INDEX(Models!$BJ111:$BT111,,T111)*(1-R111)+INDEX(Models!$BJ111:$BT111,,T111+1)*R111-ERP_i)*Q111*Ramure*Pc/MaxiM</f>
        <v>2.6600226449658712E-6</v>
      </c>
      <c r="Q111" s="305">
        <f t="shared" si="28"/>
        <v>0.5</v>
      </c>
      <c r="R111" s="177">
        <f t="shared" si="29"/>
        <v>0.53036258890798504</v>
      </c>
      <c r="S111" s="811">
        <f t="shared" si="30"/>
        <v>0</v>
      </c>
      <c r="T111" s="176">
        <f t="shared" si="31"/>
        <v>6</v>
      </c>
      <c r="U111" s="251">
        <f t="shared" si="32"/>
        <v>0.53036258890798504</v>
      </c>
      <c r="V111" s="383">
        <f t="shared" si="33"/>
        <v>51.531560273005816</v>
      </c>
      <c r="W111" s="402">
        <f t="shared" si="34"/>
        <v>37.892038049508976</v>
      </c>
      <c r="X111" s="157">
        <f t="shared" si="35"/>
        <v>45023</v>
      </c>
      <c r="Y111" s="385">
        <f t="shared" si="36"/>
        <v>37.00343040878581</v>
      </c>
      <c r="Z111" s="385">
        <f t="shared" si="37"/>
        <v>38.46109351968488</v>
      </c>
      <c r="AA111" s="386">
        <f t="shared" si="38"/>
        <v>41.879886339266413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8.1633287919792824E-2</v>
      </c>
      <c r="AD111" s="231">
        <f>(INDEX(Models!$BJ111:$BT111,,AH111)*(1-AF111)+INDEX(Models!$BJ111:$BT111,,AH111+1)*AF111-ERP_i)*AE111*Ramure*Pc/MaxiM</f>
        <v>2.6600226449658712E-6</v>
      </c>
      <c r="AE111" s="305">
        <f t="shared" si="40"/>
        <v>0.5</v>
      </c>
      <c r="AF111" s="177">
        <f t="shared" si="41"/>
        <v>0.53036258890798504</v>
      </c>
      <c r="AG111" s="811">
        <f t="shared" si="49"/>
        <v>0</v>
      </c>
      <c r="AH111" s="176">
        <f t="shared" si="42"/>
        <v>6</v>
      </c>
      <c r="AI111" s="225">
        <f t="shared" si="43"/>
        <v>0.53036258890798504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31.212722538687895</v>
      </c>
      <c r="C112" s="841"/>
      <c r="D112" s="393">
        <f t="shared" si="25"/>
        <v>32.44298491710672</v>
      </c>
      <c r="E112" s="385">
        <f t="shared" si="47"/>
        <v>34.500879395824946</v>
      </c>
      <c r="F112" s="385">
        <f t="shared" si="26"/>
        <v>34.500920264347641</v>
      </c>
      <c r="G112" s="110">
        <f t="shared" si="48"/>
        <v>0.60282881038647795</v>
      </c>
      <c r="H112" s="414" t="b">
        <f>Wh_hp&gt;='2022'!Maxi_hp</f>
        <v>0</v>
      </c>
      <c r="I112" s="390">
        <f>IF(H112,Wh_hp,'2022'!Maxi_hp)</f>
        <v>55.793489046232402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3.7920751791556739E-2</v>
      </c>
      <c r="M112" s="845"/>
      <c r="N112" s="845"/>
      <c r="O112" s="48">
        <f>IF(t&lt;Tnet,'2022'!Resal+('2022'!Salim-'2022'!Resal)*(1-EXP(('2022'!Tnet-t)/('2022'!Tau_j))),Resal+(Salim-Resal)*(1-EXP((Tnet-t)/(Tau_j))))*Salcycl</f>
        <v>5.9647594923834313E-2</v>
      </c>
      <c r="P112" s="169">
        <f>(INDEX(Models!$BJ112:$BT112,,T112)*(1-R112)+INDEX(Models!$BJ112:$BT112,,T112+1)*R112-ERP_i)*Q112*Ramure*Pc/MaxiM</f>
        <v>2.7381533442580262E-6</v>
      </c>
      <c r="Q112" s="305">
        <f t="shared" si="28"/>
        <v>0.5</v>
      </c>
      <c r="R112" s="177">
        <f t="shared" si="29"/>
        <v>0.5316764472357286</v>
      </c>
      <c r="S112" s="811">
        <f t="shared" si="30"/>
        <v>0</v>
      </c>
      <c r="T112" s="176">
        <f t="shared" si="31"/>
        <v>6</v>
      </c>
      <c r="U112" s="251">
        <f t="shared" si="32"/>
        <v>0.5316764472357286</v>
      </c>
      <c r="V112" s="383">
        <f t="shared" si="33"/>
        <v>51.777011166476342</v>
      </c>
      <c r="W112" s="402">
        <f t="shared" si="34"/>
        <v>31.212722538687895</v>
      </c>
      <c r="X112" s="157">
        <f t="shared" si="35"/>
        <v>45024</v>
      </c>
      <c r="Y112" s="385">
        <f t="shared" si="36"/>
        <v>30.481548694226177</v>
      </c>
      <c r="Z112" s="385">
        <f t="shared" si="37"/>
        <v>31.682991552918384</v>
      </c>
      <c r="AA112" s="386">
        <f t="shared" si="38"/>
        <v>34.500879395824946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8.167582659494653E-2</v>
      </c>
      <c r="AD112" s="231">
        <f>(INDEX(Models!$BJ112:$BT112,,AH112)*(1-AF112)+INDEX(Models!$BJ112:$BT112,,AH112+1)*AF112-ERP_i)*AE112*Ramure*Pc/MaxiM</f>
        <v>2.7381533442580262E-6</v>
      </c>
      <c r="AE112" s="305">
        <f t="shared" si="40"/>
        <v>0.5</v>
      </c>
      <c r="AF112" s="177">
        <f t="shared" si="41"/>
        <v>0.5316764472357286</v>
      </c>
      <c r="AG112" s="811">
        <f t="shared" si="49"/>
        <v>0</v>
      </c>
      <c r="AH112" s="176">
        <f t="shared" si="42"/>
        <v>6</v>
      </c>
      <c r="AI112" s="225">
        <f t="shared" si="43"/>
        <v>0.5316764472357286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34.754196283746722</v>
      </c>
      <c r="C113" s="841"/>
      <c r="D113" s="393">
        <f t="shared" si="25"/>
        <v>36.124838542388332</v>
      </c>
      <c r="E113" s="385">
        <f t="shared" si="47"/>
        <v>38.419087696568539</v>
      </c>
      <c r="F113" s="385">
        <f t="shared" si="26"/>
        <v>38.419146775007128</v>
      </c>
      <c r="G113" s="110">
        <f t="shared" si="48"/>
        <v>0.66813307525363463</v>
      </c>
      <c r="H113" s="414" t="b">
        <f>Wh_hp&gt;='2022'!Maxi_hp</f>
        <v>0</v>
      </c>
      <c r="I113" s="390">
        <f>IF(H113,Wh_hp,'2022'!Maxi_hp)</f>
        <v>41.648731192226585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3.7941823796203811E-2</v>
      </c>
      <c r="M113" s="845"/>
      <c r="N113" s="845"/>
      <c r="O113" s="48">
        <f>IF(t&lt;Tnet,'2022'!Resal+('2022'!Salim-'2022'!Resal)*(1-EXP(('2022'!Tnet-t)/('2022'!Tau_j))),Resal+(Salim-Resal)*(1-EXP((Tnet-t)/(Tau_j))))*Salcycl</f>
        <v>5.9716388174025345E-2</v>
      </c>
      <c r="P113" s="169">
        <f>(INDEX(Models!$BJ113:$BT113,,T113)*(1-R113)+INDEX(Models!$BJ113:$BT113,,T113+1)*R113-ERP_i)*Q113*Ramure*Pc/MaxiM</f>
        <v>2.9239732927941721E-6</v>
      </c>
      <c r="Q113" s="305">
        <f t="shared" si="28"/>
        <v>0.5</v>
      </c>
      <c r="R113" s="177">
        <f t="shared" si="29"/>
        <v>0.53303758622329467</v>
      </c>
      <c r="S113" s="811">
        <f t="shared" si="30"/>
        <v>0</v>
      </c>
      <c r="T113" s="176">
        <f t="shared" si="31"/>
        <v>6</v>
      </c>
      <c r="U113" s="251">
        <f t="shared" si="32"/>
        <v>0.53303758622329467</v>
      </c>
      <c r="V113" s="383">
        <f t="shared" si="33"/>
        <v>52.016805324083457</v>
      </c>
      <c r="W113" s="402">
        <f t="shared" si="34"/>
        <v>34.754196283746722</v>
      </c>
      <c r="X113" s="157">
        <f t="shared" si="35"/>
        <v>45025</v>
      </c>
      <c r="Y113" s="385">
        <f t="shared" si="36"/>
        <v>33.940937912300654</v>
      </c>
      <c r="Z113" s="385">
        <f t="shared" si="37"/>
        <v>35.279506740672225</v>
      </c>
      <c r="AA113" s="386">
        <f t="shared" si="38"/>
        <v>38.419087696568539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8.1719300070124484E-2</v>
      </c>
      <c r="AD113" s="231">
        <f>(INDEX(Models!$BJ113:$BT113,,AH113)*(1-AF113)+INDEX(Models!$BJ113:$BT113,,AH113+1)*AF113-ERP_i)*AE113*Ramure*Pc/MaxiM</f>
        <v>2.9239732927941721E-6</v>
      </c>
      <c r="AE113" s="305">
        <f t="shared" si="40"/>
        <v>0.5</v>
      </c>
      <c r="AF113" s="177">
        <f t="shared" si="41"/>
        <v>0.53303758622329467</v>
      </c>
      <c r="AG113" s="811">
        <f t="shared" si="49"/>
        <v>0</v>
      </c>
      <c r="AH113" s="176">
        <f t="shared" si="42"/>
        <v>6</v>
      </c>
      <c r="AI113" s="225">
        <f t="shared" si="43"/>
        <v>0.53303758622329467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52.334009401698601</v>
      </c>
      <c r="C114" s="841"/>
      <c r="D114" s="393">
        <f t="shared" si="25"/>
        <v>54.39915898062717</v>
      </c>
      <c r="E114" s="385">
        <f t="shared" si="47"/>
        <v>57.858264346767939</v>
      </c>
      <c r="F114" s="385">
        <f t="shared" si="26"/>
        <v>57.858455433856136</v>
      </c>
      <c r="G114" s="110">
        <f t="shared" si="48"/>
        <v>1.0015917105821721</v>
      </c>
      <c r="H114" s="414" t="b">
        <f>Wh_hp&gt;='2022'!Maxi_hp</f>
        <v>0</v>
      </c>
      <c r="I114" s="390">
        <f>IF(H114,Wh_hp,'2022'!Maxi_hp)</f>
        <v>58.06042842516851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3.7962895339319846E-2</v>
      </c>
      <c r="M114" s="845"/>
      <c r="N114" s="845"/>
      <c r="O114" s="48">
        <f>IF(t&lt;Tnet,'2022'!Resal+('2022'!Salim-'2022'!Resal)*(1-EXP(('2022'!Tnet-t)/('2022'!Tau_j))),Resal+(Salim-Resal)*(1-EXP((Tnet-t)/(Tau_j))))*Salcycl</f>
        <v>5.9785847453165057E-2</v>
      </c>
      <c r="P114" s="169">
        <f>(INDEX(Models!$BJ114:$BT114,,T114)*(1-R114)+INDEX(Models!$BJ114:$BT114,,T114+1)*R114-ERP_i)*Q114*Ramure*Pc/MaxiM</f>
        <v>3.3026648700765739E-6</v>
      </c>
      <c r="Q114" s="305">
        <f t="shared" si="28"/>
        <v>0.5</v>
      </c>
      <c r="R114" s="177">
        <f t="shared" si="29"/>
        <v>0.53444739232963723</v>
      </c>
      <c r="S114" s="811">
        <f t="shared" si="30"/>
        <v>0</v>
      </c>
      <c r="T114" s="176">
        <f t="shared" si="31"/>
        <v>6</v>
      </c>
      <c r="U114" s="251">
        <f t="shared" si="32"/>
        <v>0.53444739232963723</v>
      </c>
      <c r="V114" s="383">
        <f t="shared" si="33"/>
        <v>52.250841184857272</v>
      </c>
      <c r="W114" s="402">
        <f t="shared" si="34"/>
        <v>52.334009401698601</v>
      </c>
      <c r="X114" s="157">
        <f t="shared" si="35"/>
        <v>45026</v>
      </c>
      <c r="Y114" s="385">
        <f t="shared" si="36"/>
        <v>51.110680879697945</v>
      </c>
      <c r="Z114" s="385">
        <f t="shared" si="37"/>
        <v>53.127556756477887</v>
      </c>
      <c r="AA114" s="386">
        <f t="shared" si="38"/>
        <v>57.858264346767939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8.1763731485912053E-2</v>
      </c>
      <c r="AD114" s="231">
        <f>(INDEX(Models!$BJ114:$BT114,,AH114)*(1-AF114)+INDEX(Models!$BJ114:$BT114,,AH114+1)*AF114-ERP_i)*AE114*Ramure*Pc/MaxiM</f>
        <v>3.3026648700765739E-6</v>
      </c>
      <c r="AE114" s="305">
        <f t="shared" si="40"/>
        <v>0.5</v>
      </c>
      <c r="AF114" s="177">
        <f t="shared" si="41"/>
        <v>0.53444739232963723</v>
      </c>
      <c r="AG114" s="811">
        <f t="shared" si="49"/>
        <v>0</v>
      </c>
      <c r="AH114" s="176">
        <f t="shared" si="42"/>
        <v>6</v>
      </c>
      <c r="AI114" s="225">
        <f t="shared" si="43"/>
        <v>0.53444739232963723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43.947306924872215</v>
      </c>
      <c r="C115" s="841"/>
      <c r="D115" s="393">
        <f t="shared" si="25"/>
        <v>45.68250984484181</v>
      </c>
      <c r="E115" s="385">
        <f t="shared" si="47"/>
        <v>48.590970503725885</v>
      </c>
      <c r="F115" s="385">
        <f t="shared" si="26"/>
        <v>48.591112843670444</v>
      </c>
      <c r="G115" s="110">
        <f t="shared" si="48"/>
        <v>0.83742539411096339</v>
      </c>
      <c r="H115" s="414" t="b">
        <f>Wh_hp&gt;='2022'!Maxi_hp</f>
        <v>0</v>
      </c>
      <c r="I115" s="390">
        <f>IF(H115,Wh_hp,'2022'!Maxi_hp)</f>
        <v>59.123099904366789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3.7983966420915061E-2</v>
      </c>
      <c r="M115" s="845"/>
      <c r="N115" s="845"/>
      <c r="O115" s="48">
        <f>IF(t&lt;Tnet,'2022'!Resal+('2022'!Salim-'2022'!Resal)*(1-EXP(('2022'!Tnet-t)/('2022'!Tau_j))),Resal+(Salim-Resal)*(1-EXP((Tnet-t)/(Tau_j))))*Salcycl</f>
        <v>5.9855990294761886E-2</v>
      </c>
      <c r="P115" s="169">
        <f>(INDEX(Models!$BJ115:$BT115,,T115)*(1-R115)+INDEX(Models!$BJ115:$BT115,,T115+1)*R115-ERP_i)*Q115*Ramure*Pc/MaxiM</f>
        <v>3.8154801948268643E-6</v>
      </c>
      <c r="Q115" s="305">
        <f t="shared" si="28"/>
        <v>0.5</v>
      </c>
      <c r="R115" s="177">
        <f t="shared" si="29"/>
        <v>0.53590726779553433</v>
      </c>
      <c r="S115" s="811">
        <f t="shared" si="30"/>
        <v>0</v>
      </c>
      <c r="T115" s="176">
        <f t="shared" si="31"/>
        <v>6</v>
      </c>
      <c r="U115" s="251">
        <f t="shared" si="32"/>
        <v>0.53590726779553433</v>
      </c>
      <c r="V115" s="383">
        <f t="shared" si="33"/>
        <v>52.479024747019629</v>
      </c>
      <c r="W115" s="402">
        <f t="shared" si="34"/>
        <v>43.947306924872215</v>
      </c>
      <c r="X115" s="157">
        <f t="shared" si="35"/>
        <v>45027</v>
      </c>
      <c r="Y115" s="385">
        <f t="shared" si="36"/>
        <v>42.921100378527839</v>
      </c>
      <c r="Z115" s="385">
        <f t="shared" si="37"/>
        <v>44.615784852196441</v>
      </c>
      <c r="AA115" s="386">
        <f t="shared" si="38"/>
        <v>48.590970503725885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8.1809142939934368E-2</v>
      </c>
      <c r="AD115" s="231">
        <f>(INDEX(Models!$BJ115:$BT115,,AH115)*(1-AF115)+INDEX(Models!$BJ115:$BT115,,AH115+1)*AF115-ERP_i)*AE115*Ramure*Pc/MaxiM</f>
        <v>3.8154801948268643E-6</v>
      </c>
      <c r="AE115" s="305">
        <f t="shared" si="40"/>
        <v>0.5</v>
      </c>
      <c r="AF115" s="177">
        <f t="shared" si="41"/>
        <v>0.53590726779553433</v>
      </c>
      <c r="AG115" s="811">
        <f t="shared" si="49"/>
        <v>0</v>
      </c>
      <c r="AH115" s="176">
        <f t="shared" si="42"/>
        <v>6</v>
      </c>
      <c r="AI115" s="225">
        <f t="shared" si="43"/>
        <v>0.53590726779553433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35.640212203226291</v>
      </c>
      <c r="C116" s="841"/>
      <c r="D116" s="393">
        <f t="shared" si="25"/>
        <v>37.048231618178704</v>
      </c>
      <c r="E116" s="385">
        <f t="shared" si="47"/>
        <v>39.409944818172498</v>
      </c>
      <c r="F116" s="385">
        <f t="shared" si="26"/>
        <v>39.410039354471422</v>
      </c>
      <c r="G116" s="110">
        <f t="shared" si="48"/>
        <v>0.6762673091609156</v>
      </c>
      <c r="H116" s="414" t="b">
        <f>Wh_hp&gt;='2022'!Maxi_hp</f>
        <v>0</v>
      </c>
      <c r="I116" s="390">
        <f>IF(H116,Wh_hp,'2022'!Maxi_hp)</f>
        <v>58.323508945597986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3.8005037040999556E-2</v>
      </c>
      <c r="M116" s="845"/>
      <c r="N116" s="845"/>
      <c r="O116" s="48">
        <f>IF(t&lt;Tnet,'2022'!Resal+('2022'!Salim-'2022'!Resal)*(1-EXP(('2022'!Tnet-t)/('2022'!Tau_j))),Resal+(Salim-Resal)*(1-EXP((Tnet-t)/(Tau_j))))*Salcycl</f>
        <v>5.9926833465262161E-2</v>
      </c>
      <c r="P116" s="169">
        <f>(INDEX(Models!$BJ116:$BT116,,T116)*(1-R116)+INDEX(Models!$BJ116:$BT116,,T116+1)*R116-ERP_i)*Q116*Ramure*Pc/MaxiM</f>
        <v>4.4626380971225909E-6</v>
      </c>
      <c r="Q116" s="305">
        <f t="shared" si="28"/>
        <v>0.5</v>
      </c>
      <c r="R116" s="177">
        <f t="shared" si="29"/>
        <v>0.53741862866416268</v>
      </c>
      <c r="S116" s="811">
        <f t="shared" si="30"/>
        <v>0</v>
      </c>
      <c r="T116" s="176">
        <f t="shared" si="31"/>
        <v>6</v>
      </c>
      <c r="U116" s="251">
        <f t="shared" si="32"/>
        <v>0.53741862866416268</v>
      </c>
      <c r="V116" s="383">
        <f t="shared" si="33"/>
        <v>52.701259049750007</v>
      </c>
      <c r="W116" s="402">
        <f t="shared" si="34"/>
        <v>35.640212203226291</v>
      </c>
      <c r="X116" s="157">
        <f t="shared" si="35"/>
        <v>45028</v>
      </c>
      <c r="Y116" s="385">
        <f t="shared" si="36"/>
        <v>34.808846802990622</v>
      </c>
      <c r="Z116" s="385">
        <f t="shared" si="37"/>
        <v>36.184021895418333</v>
      </c>
      <c r="AA116" s="386">
        <f t="shared" si="38"/>
        <v>39.409944818172498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8.1855555434998784E-2</v>
      </c>
      <c r="AD116" s="231">
        <f>(INDEX(Models!$BJ116:$BT116,,AH116)*(1-AF116)+INDEX(Models!$BJ116:$BT116,,AH116+1)*AF116-ERP_i)*AE116*Ramure*Pc/MaxiM</f>
        <v>4.4626380971225909E-6</v>
      </c>
      <c r="AE116" s="305">
        <f t="shared" si="40"/>
        <v>0.5</v>
      </c>
      <c r="AF116" s="177">
        <f t="shared" si="41"/>
        <v>0.53741862866416268</v>
      </c>
      <c r="AG116" s="811">
        <f t="shared" si="49"/>
        <v>0</v>
      </c>
      <c r="AH116" s="176">
        <f t="shared" si="42"/>
        <v>6</v>
      </c>
      <c r="AI116" s="225">
        <f t="shared" si="43"/>
        <v>0.53741862866416268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7.1465764663174109</v>
      </c>
      <c r="C117" s="841"/>
      <c r="D117" s="393">
        <f t="shared" si="25"/>
        <v>7.4290752792811299</v>
      </c>
      <c r="E117" s="385">
        <f t="shared" si="47"/>
        <v>7.903258061847434</v>
      </c>
      <c r="F117" s="385">
        <f t="shared" si="26"/>
        <v>7.903258061847434</v>
      </c>
      <c r="G117" s="110">
        <f t="shared" si="48"/>
        <v>0.13505071316389466</v>
      </c>
      <c r="H117" s="414" t="b">
        <f>Wh_hp&gt;='2022'!Maxi_hp</f>
        <v>0</v>
      </c>
      <c r="I117" s="390">
        <f>IF(H117,Wh_hp,'2022'!Maxi_hp)</f>
        <v>59.034851740298983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3.8026107199583326E-2</v>
      </c>
      <c r="M117" s="845"/>
      <c r="N117" s="845"/>
      <c r="O117" s="48">
        <f>IF(t&lt;Tnet,'2022'!Resal+('2022'!Salim-'2022'!Resal)*(1-EXP(('2022'!Tnet-t)/('2022'!Tau_j))),Resal+(Salim-Resal)*(1-EXP((Tnet-t)/(Tau_j))))*Salcycl</f>
        <v>5.9998392922963779E-2</v>
      </c>
      <c r="P117" s="169">
        <f>(INDEX(Models!$BJ117:$BT117,,T117)*(1-R117)+INDEX(Models!$BJ117:$BT117,,T117+1)*R117-ERP_i)*Q117*Ramure*Pc/MaxiM</f>
        <v>5.2446042401640828E-6</v>
      </c>
      <c r="Q117" s="305">
        <f t="shared" si="28"/>
        <v>0.5</v>
      </c>
      <c r="R117" s="177">
        <f t="shared" si="29"/>
        <v>0.53898290259708415</v>
      </c>
      <c r="S117" s="811">
        <f t="shared" si="30"/>
        <v>0</v>
      </c>
      <c r="T117" s="176">
        <f t="shared" si="31"/>
        <v>6</v>
      </c>
      <c r="U117" s="251">
        <f t="shared" si="32"/>
        <v>0.53898290259708415</v>
      </c>
      <c r="V117" s="383">
        <f t="shared" si="33"/>
        <v>52.917447216137894</v>
      </c>
      <c r="W117" s="402">
        <f t="shared" si="34"/>
        <v>7.1465764663174109</v>
      </c>
      <c r="X117" s="157">
        <f t="shared" si="35"/>
        <v>45029</v>
      </c>
      <c r="Y117" s="385">
        <f t="shared" si="36"/>
        <v>6.9800417833864365</v>
      </c>
      <c r="Z117" s="385">
        <f t="shared" si="37"/>
        <v>7.2559576051141388</v>
      </c>
      <c r="AA117" s="386">
        <f t="shared" si="38"/>
        <v>7.903258061847434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8.1902988826608583E-2</v>
      </c>
      <c r="AD117" s="231">
        <f>(INDEX(Models!$BJ117:$BT117,,AH117)*(1-AF117)+INDEX(Models!$BJ117:$BT117,,AH117+1)*AF117-ERP_i)*AE117*Ramure*Pc/MaxiM</f>
        <v>5.2446042401640828E-6</v>
      </c>
      <c r="AE117" s="305">
        <f t="shared" si="40"/>
        <v>0.5</v>
      </c>
      <c r="AF117" s="177">
        <f t="shared" si="41"/>
        <v>0.53898290259708415</v>
      </c>
      <c r="AG117" s="811">
        <f t="shared" si="49"/>
        <v>0</v>
      </c>
      <c r="AH117" s="176">
        <f t="shared" si="42"/>
        <v>6</v>
      </c>
      <c r="AI117" s="225">
        <f t="shared" si="43"/>
        <v>0.53898290259708415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38.631168240880797</v>
      </c>
      <c r="C118" s="841"/>
      <c r="D118" s="393">
        <f t="shared" si="25"/>
        <v>40.159108963633052</v>
      </c>
      <c r="E118" s="385">
        <f t="shared" si="47"/>
        <v>42.725669122618207</v>
      </c>
      <c r="F118" s="385">
        <f t="shared" si="26"/>
        <v>42.725829776724204</v>
      </c>
      <c r="G118" s="110">
        <f t="shared" si="48"/>
        <v>0.72713906984499932</v>
      </c>
      <c r="H118" s="414" t="b">
        <f>Wh_hp&gt;='2022'!Maxi_hp</f>
        <v>0</v>
      </c>
      <c r="I118" s="390">
        <f>IF(H118,Wh_hp,'2022'!Maxi_hp)</f>
        <v>57.514245582008527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3.8047176896676582E-2</v>
      </c>
      <c r="M118" s="845"/>
      <c r="N118" s="845"/>
      <c r="O118" s="48">
        <f>IF(t&lt;Tnet,'2022'!Resal+('2022'!Salim-'2022'!Resal)*(1-EXP(('2022'!Tnet-t)/('2022'!Tau_j))),Resal+(Salim-Resal)*(1-EXP((Tnet-t)/(Tau_j))))*Salcycl</f>
        <v>6.0070683776054935E-2</v>
      </c>
      <c r="P118" s="169">
        <f>(INDEX(Models!$BJ118:$BT118,,T118)*(1-R118)+INDEX(Models!$BJ118:$BT118,,T118+1)*R118-ERP_i)*Q118*Ramure*Pc/MaxiM</f>
        <v>6.1620935946588325E-6</v>
      </c>
      <c r="Q118" s="305">
        <f t="shared" si="28"/>
        <v>0.5</v>
      </c>
      <c r="R118" s="177">
        <f t="shared" si="29"/>
        <v>0.54060152647664772</v>
      </c>
      <c r="S118" s="811">
        <f t="shared" si="30"/>
        <v>0</v>
      </c>
      <c r="T118" s="176">
        <f t="shared" si="31"/>
        <v>6</v>
      </c>
      <c r="U118" s="251">
        <f t="shared" si="32"/>
        <v>0.54060152647664772</v>
      </c>
      <c r="V118" s="383">
        <f t="shared" si="33"/>
        <v>53.127492458345138</v>
      </c>
      <c r="W118" s="402">
        <f t="shared" si="34"/>
        <v>38.631168240880797</v>
      </c>
      <c r="X118" s="157">
        <f t="shared" si="35"/>
        <v>45030</v>
      </c>
      <c r="Y118" s="385">
        <f t="shared" si="36"/>
        <v>37.73186655796254</v>
      </c>
      <c r="Z118" s="385">
        <f t="shared" si="37"/>
        <v>39.224238082941575</v>
      </c>
      <c r="AA118" s="386">
        <f t="shared" si="38"/>
        <v>42.725669122618207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8.1951461769454947E-2</v>
      </c>
      <c r="AD118" s="231">
        <f>(INDEX(Models!$BJ118:$BT118,,AH118)*(1-AF118)+INDEX(Models!$BJ118:$BT118,,AH118+1)*AF118-ERP_i)*AE118*Ramure*Pc/MaxiM</f>
        <v>6.1620935946588325E-6</v>
      </c>
      <c r="AE118" s="305">
        <f t="shared" si="40"/>
        <v>0.5</v>
      </c>
      <c r="AF118" s="177">
        <f t="shared" si="41"/>
        <v>0.54060152647664772</v>
      </c>
      <c r="AG118" s="811">
        <f t="shared" si="49"/>
        <v>0</v>
      </c>
      <c r="AH118" s="176">
        <f t="shared" si="42"/>
        <v>6</v>
      </c>
      <c r="AI118" s="225">
        <f t="shared" si="43"/>
        <v>0.54060152647664772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44.271594843966575</v>
      </c>
      <c r="C119" s="841"/>
      <c r="D119" s="393">
        <f t="shared" si="25"/>
        <v>46.023633865875077</v>
      </c>
      <c r="E119" s="385">
        <f t="shared" si="47"/>
        <v>48.968799652648713</v>
      </c>
      <c r="F119" s="385">
        <f t="shared" si="26"/>
        <v>48.969067262588467</v>
      </c>
      <c r="G119" s="110">
        <f t="shared" si="48"/>
        <v>0.83012262791522684</v>
      </c>
      <c r="H119" s="414" t="b">
        <f>Wh_hp&gt;='2022'!Maxi_hp</f>
        <v>0</v>
      </c>
      <c r="I119" s="390">
        <f>IF(H119,Wh_hp,'2022'!Maxi_hp)</f>
        <v>58.00017289991299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3.8068246132289318E-2</v>
      </c>
      <c r="M119" s="845"/>
      <c r="N119" s="845"/>
      <c r="O119" s="48">
        <f>IF(t&lt;Tnet,'2022'!Resal+('2022'!Salim-'2022'!Resal)*(1-EXP(('2022'!Tnet-t)/('2022'!Tau_j))),Resal+(Salim-Resal)*(1-EXP((Tnet-t)/(Tau_j))))*Salcycl</f>
        <v>6.0143720239512456E-2</v>
      </c>
      <c r="P119" s="169">
        <f>(INDEX(Models!$BJ119:$BT119,,T119)*(1-R119)+INDEX(Models!$BJ119:$BT119,,T119+1)*R119-ERP_i)*Q119*Ramure*Pc/MaxiM</f>
        <v>7.2160729546568929E-6</v>
      </c>
      <c r="Q119" s="305">
        <f t="shared" si="28"/>
        <v>0.5</v>
      </c>
      <c r="R119" s="177">
        <f t="shared" si="29"/>
        <v>0.54227594378617927</v>
      </c>
      <c r="S119" s="811">
        <f t="shared" si="30"/>
        <v>0</v>
      </c>
      <c r="T119" s="176">
        <f t="shared" si="31"/>
        <v>6</v>
      </c>
      <c r="U119" s="251">
        <f t="shared" si="32"/>
        <v>0.54227594378617927</v>
      </c>
      <c r="V119" s="383">
        <f t="shared" si="33"/>
        <v>53.331298083631474</v>
      </c>
      <c r="W119" s="402">
        <f t="shared" si="34"/>
        <v>44.271594843966575</v>
      </c>
      <c r="X119" s="157">
        <f t="shared" si="35"/>
        <v>45031</v>
      </c>
      <c r="Y119" s="385">
        <f t="shared" si="36"/>
        <v>43.242015869316383</v>
      </c>
      <c r="Z119" s="385">
        <f t="shared" si="37"/>
        <v>44.953309520607867</v>
      </c>
      <c r="AA119" s="386">
        <f t="shared" si="38"/>
        <v>48.968799652648713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8.2000991662527847E-2</v>
      </c>
      <c r="AD119" s="231">
        <f>(INDEX(Models!$BJ119:$BT119,,AH119)*(1-AF119)+INDEX(Models!$BJ119:$BT119,,AH119+1)*AF119-ERP_i)*AE119*Ramure*Pc/MaxiM</f>
        <v>7.2160729546568929E-6</v>
      </c>
      <c r="AE119" s="305">
        <f t="shared" si="40"/>
        <v>0.5</v>
      </c>
      <c r="AF119" s="177">
        <f t="shared" si="41"/>
        <v>0.54227594378617927</v>
      </c>
      <c r="AG119" s="811">
        <f t="shared" si="49"/>
        <v>0</v>
      </c>
      <c r="AH119" s="176">
        <f t="shared" si="42"/>
        <v>6</v>
      </c>
      <c r="AI119" s="225">
        <f t="shared" si="43"/>
        <v>0.54227594378617927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42.719787321336639</v>
      </c>
      <c r="C120" s="841"/>
      <c r="D120" s="393">
        <f t="shared" si="25"/>
        <v>44.411386611409924</v>
      </c>
      <c r="E120" s="385">
        <f t="shared" si="47"/>
        <v>47.257091239917166</v>
      </c>
      <c r="F120" s="385">
        <f t="shared" si="26"/>
        <v>47.257373951616202</v>
      </c>
      <c r="G120" s="110">
        <f t="shared" si="48"/>
        <v>0.79806963068190395</v>
      </c>
      <c r="H120" s="414" t="b">
        <f>Wh_hp&gt;='2022'!Maxi_hp</f>
        <v>0</v>
      </c>
      <c r="I120" s="390">
        <f>IF(H120,Wh_hp,'2022'!Maxi_hp)</f>
        <v>52.848516926149152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3.8089314906431859E-2</v>
      </c>
      <c r="M120" s="845"/>
      <c r="N120" s="845"/>
      <c r="O120" s="48">
        <f>IF(t&lt;Tnet,'2022'!Resal+('2022'!Salim-'2022'!Resal)*(1-EXP(('2022'!Tnet-t)/('2022'!Tau_j))),Resal+(Salim-Resal)*(1-EXP((Tnet-t)/(Tau_j))))*Salcycl</f>
        <v>6.0217515590623751E-2</v>
      </c>
      <c r="P120" s="169">
        <f>(INDEX(Models!$BJ120:$BT120,,T120)*(1-R120)+INDEX(Models!$BJ120:$BT120,,T120+1)*R120-ERP_i)*Q120*Ramure*Pc/MaxiM</f>
        <v>8.4077634872997112E-6</v>
      </c>
      <c r="Q120" s="305">
        <f t="shared" si="28"/>
        <v>0.5</v>
      </c>
      <c r="R120" s="177">
        <f t="shared" si="29"/>
        <v>0.54400760175982166</v>
      </c>
      <c r="S120" s="811">
        <f t="shared" si="30"/>
        <v>0</v>
      </c>
      <c r="T120" s="176">
        <f t="shared" si="31"/>
        <v>6</v>
      </c>
      <c r="U120" s="251">
        <f t="shared" si="32"/>
        <v>0.54400760175982166</v>
      </c>
      <c r="V120" s="383">
        <f t="shared" si="33"/>
        <v>53.528767499229751</v>
      </c>
      <c r="W120" s="402">
        <f t="shared" si="34"/>
        <v>42.719787321336639</v>
      </c>
      <c r="X120" s="157">
        <f t="shared" si="35"/>
        <v>45032</v>
      </c>
      <c r="Y120" s="385">
        <f t="shared" si="36"/>
        <v>41.727273386684118</v>
      </c>
      <c r="Z120" s="385">
        <f t="shared" si="37"/>
        <v>43.379571547877312</v>
      </c>
      <c r="AA120" s="386">
        <f t="shared" si="38"/>
        <v>47.257091239917166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8.2051594592529281E-2</v>
      </c>
      <c r="AD120" s="231">
        <f>(INDEX(Models!$BJ120:$BT120,,AH120)*(1-AF120)+INDEX(Models!$BJ120:$BT120,,AH120+1)*AF120-ERP_i)*AE120*Ramure*Pc/MaxiM</f>
        <v>8.4077634872997112E-6</v>
      </c>
      <c r="AE120" s="305">
        <f t="shared" si="40"/>
        <v>0.5</v>
      </c>
      <c r="AF120" s="177">
        <f t="shared" si="41"/>
        <v>0.54400760175982166</v>
      </c>
      <c r="AG120" s="811">
        <f t="shared" si="49"/>
        <v>0</v>
      </c>
      <c r="AH120" s="176">
        <f t="shared" si="42"/>
        <v>6</v>
      </c>
      <c r="AI120" s="225">
        <f t="shared" si="43"/>
        <v>0.54400760175982166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52.17989159452538</v>
      </c>
      <c r="C121" s="841"/>
      <c r="D121" s="393">
        <f t="shared" si="25"/>
        <v>54.247276074310427</v>
      </c>
      <c r="E121" s="385">
        <f t="shared" si="47"/>
        <v>57.727805674834222</v>
      </c>
      <c r="F121" s="385">
        <f t="shared" si="26"/>
        <v>57.728344857695497</v>
      </c>
      <c r="G121" s="110">
        <f t="shared" si="48"/>
        <v>0.97134099053521894</v>
      </c>
      <c r="H121" s="414" t="b">
        <f>Wh_hp&gt;='2022'!Maxi_hp</f>
        <v>0</v>
      </c>
      <c r="I121" s="390">
        <f>IF(H121,Wh_hp,'2022'!Maxi_hp)</f>
        <v>57.728351760885495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3.8110383219114086E-2</v>
      </c>
      <c r="M121" s="845"/>
      <c r="N121" s="845"/>
      <c r="O121" s="48">
        <f>IF(t&lt;Tnet,'2022'!Resal+('2022'!Salim-'2022'!Resal)*(1-EXP(('2022'!Tnet-t)/('2022'!Tau_j))),Resal+(Salim-Resal)*(1-EXP((Tnet-t)/(Tau_j))))*Salcycl</f>
        <v>6.029208212293246E-2</v>
      </c>
      <c r="P121" s="169">
        <f>(INDEX(Models!$BJ121:$BT121,,T121)*(1-R121)+INDEX(Models!$BJ121:$BT121,,T121+1)*R121-ERP_i)*Q121*Ramure*Pc/MaxiM</f>
        <v>9.7387136778873517E-6</v>
      </c>
      <c r="Q121" s="305">
        <f t="shared" si="28"/>
        <v>0.5</v>
      </c>
      <c r="R121" s="177">
        <f t="shared" si="29"/>
        <v>0.54579794829449846</v>
      </c>
      <c r="S121" s="811">
        <f t="shared" si="30"/>
        <v>0</v>
      </c>
      <c r="T121" s="176">
        <f t="shared" si="31"/>
        <v>6</v>
      </c>
      <c r="U121" s="251">
        <f t="shared" si="32"/>
        <v>0.54579794829449846</v>
      </c>
      <c r="V121" s="383">
        <f t="shared" si="33"/>
        <v>53.719416042405115</v>
      </c>
      <c r="W121" s="402">
        <f t="shared" si="34"/>
        <v>52.17989159452538</v>
      </c>
      <c r="X121" s="157">
        <f t="shared" si="35"/>
        <v>45033</v>
      </c>
      <c r="Y121" s="385">
        <f t="shared" si="36"/>
        <v>50.968763972435063</v>
      </c>
      <c r="Z121" s="385">
        <f t="shared" si="37"/>
        <v>52.988163177194913</v>
      </c>
      <c r="AA121" s="386">
        <f t="shared" si="38"/>
        <v>57.727805674834222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8.2103285275322707E-2</v>
      </c>
      <c r="AD121" s="231">
        <f>(INDEX(Models!$BJ121:$BT121,,AH121)*(1-AF121)+INDEX(Models!$BJ121:$BT121,,AH121+1)*AF121-ERP_i)*AE121*Ramure*Pc/MaxiM</f>
        <v>9.7387136778873517E-6</v>
      </c>
      <c r="AE121" s="305">
        <f t="shared" si="40"/>
        <v>0.5</v>
      </c>
      <c r="AF121" s="177">
        <f t="shared" si="41"/>
        <v>0.54579794829449846</v>
      </c>
      <c r="AG121" s="811">
        <f t="shared" si="49"/>
        <v>0</v>
      </c>
      <c r="AH121" s="176">
        <f t="shared" si="42"/>
        <v>6</v>
      </c>
      <c r="AI121" s="225">
        <f t="shared" si="43"/>
        <v>0.54579794829449846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36.093753737671094</v>
      </c>
      <c r="C122" s="841"/>
      <c r="D122" s="393">
        <f t="shared" si="25"/>
        <v>37.52462202640416</v>
      </c>
      <c r="E122" s="385">
        <f t="shared" si="47"/>
        <v>39.935420789289189</v>
      </c>
      <c r="F122" s="385">
        <f t="shared" si="26"/>
        <v>39.935660187448207</v>
      </c>
      <c r="G122" s="110">
        <f t="shared" si="48"/>
        <v>0.66960193986936511</v>
      </c>
      <c r="H122" s="414" t="b">
        <f>Wh_hp&gt;='2022'!Maxi_hp</f>
        <v>0</v>
      </c>
      <c r="I122" s="390">
        <f>IF(H122,Wh_hp,'2022'!Maxi_hp)</f>
        <v>42.565319321773202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3.8131451070346212E-2</v>
      </c>
      <c r="M122" s="845"/>
      <c r="N122" s="845"/>
      <c r="O122" s="48">
        <f>IF(t&lt;Tnet,'2022'!Resal+('2022'!Salim-'2022'!Resal)*(1-EXP(('2022'!Tnet-t)/('2022'!Tau_j))),Resal+(Salim-Resal)*(1-EXP((Tnet-t)/(Tau_j))))*Salcycl</f>
        <v>6.0367431098450226E-2</v>
      </c>
      <c r="P122" s="169">
        <f>(INDEX(Models!$BJ122:$BT122,,T122)*(1-R122)+INDEX(Models!$BJ122:$BT122,,T122+1)*R122-ERP_i)*Q122*Ramure*Pc/MaxiM</f>
        <v>1.1353232189929983E-5</v>
      </c>
      <c r="Q122" s="305">
        <f t="shared" si="28"/>
        <v>0.5</v>
      </c>
      <c r="R122" s="177">
        <f t="shared" si="29"/>
        <v>0.54764842861722141</v>
      </c>
      <c r="S122" s="811">
        <f t="shared" si="30"/>
        <v>0</v>
      </c>
      <c r="T122" s="176">
        <f t="shared" si="31"/>
        <v>6</v>
      </c>
      <c r="U122" s="251">
        <f t="shared" si="32"/>
        <v>0.54764842861722141</v>
      </c>
      <c r="V122" s="383">
        <f t="shared" si="33"/>
        <v>53.903010391916531</v>
      </c>
      <c r="W122" s="402">
        <f t="shared" si="34"/>
        <v>36.093753737671094</v>
      </c>
      <c r="X122" s="157">
        <f t="shared" si="35"/>
        <v>45034</v>
      </c>
      <c r="Y122" s="385">
        <f t="shared" si="36"/>
        <v>35.256794648232173</v>
      </c>
      <c r="Z122" s="385">
        <f t="shared" si="37"/>
        <v>36.654483284088208</v>
      </c>
      <c r="AA122" s="386">
        <f t="shared" si="38"/>
        <v>39.935420789289189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8.2156076995210672E-2</v>
      </c>
      <c r="AD122" s="231">
        <f>(INDEX(Models!$BJ122:$BT122,,AH122)*(1-AF122)+INDEX(Models!$BJ122:$BT122,,AH122+1)*AF122-ERP_i)*AE122*Ramure*Pc/MaxiM</f>
        <v>1.1353232189929983E-5</v>
      </c>
      <c r="AE122" s="305">
        <f t="shared" si="40"/>
        <v>0.5</v>
      </c>
      <c r="AF122" s="177">
        <f t="shared" si="41"/>
        <v>0.54764842861722141</v>
      </c>
      <c r="AG122" s="811">
        <f t="shared" si="49"/>
        <v>0</v>
      </c>
      <c r="AH122" s="176">
        <f t="shared" si="42"/>
        <v>6</v>
      </c>
      <c r="AI122" s="225">
        <f t="shared" si="43"/>
        <v>0.54764842861722141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8.6283925334837406</v>
      </c>
      <c r="C123" s="841"/>
      <c r="D123" s="393">
        <f t="shared" si="25"/>
        <v>8.9706452416657445</v>
      </c>
      <c r="E123" s="385">
        <f t="shared" si="47"/>
        <v>9.5477450645788053</v>
      </c>
      <c r="F123" s="385">
        <f t="shared" si="26"/>
        <v>9.5477450645788053</v>
      </c>
      <c r="G123" s="110">
        <f t="shared" si="48"/>
        <v>0.15954702872556392</v>
      </c>
      <c r="H123" s="414" t="b">
        <f>Wh_hp&gt;='2022'!Maxi_hp</f>
        <v>0</v>
      </c>
      <c r="I123" s="390">
        <f>IF(H123,Wh_hp,'2022'!Maxi_hp)</f>
        <v>57.730407119667383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3.815251846013834E-2</v>
      </c>
      <c r="M123" s="845"/>
      <c r="N123" s="845"/>
      <c r="O123" s="48">
        <f>IF(t&lt;Tnet,'2022'!Resal+('2022'!Salim-'2022'!Resal)*(1-EXP(('2022'!Tnet-t)/('2022'!Tau_j))),Resal+(Salim-Resal)*(1-EXP((Tnet-t)/(Tau_j))))*Salcycl</f>
        <v>6.0443572698023106E-2</v>
      </c>
      <c r="P123" s="169">
        <f>(INDEX(Models!$BJ123:$BT123,,T123)*(1-R123)+INDEX(Models!$BJ123:$BT123,,T123+1)*R123-ERP_i)*Q123*Ramure*Pc/MaxiM</f>
        <v>1.3204585123599954E-5</v>
      </c>
      <c r="Q123" s="305">
        <f t="shared" si="28"/>
        <v>0.5</v>
      </c>
      <c r="R123" s="177">
        <f t="shared" si="29"/>
        <v>0.54956048170185823</v>
      </c>
      <c r="S123" s="811">
        <f t="shared" si="30"/>
        <v>0</v>
      </c>
      <c r="T123" s="176">
        <f t="shared" si="31"/>
        <v>6</v>
      </c>
      <c r="U123" s="251">
        <f t="shared" si="32"/>
        <v>0.54956048170185823</v>
      </c>
      <c r="V123" s="383">
        <f t="shared" si="33"/>
        <v>54.079845096842973</v>
      </c>
      <c r="W123" s="402">
        <f t="shared" si="34"/>
        <v>8.6283925334837406</v>
      </c>
      <c r="X123" s="157">
        <f t="shared" si="35"/>
        <v>45035</v>
      </c>
      <c r="Y123" s="385">
        <f t="shared" si="36"/>
        <v>8.4285012719354029</v>
      </c>
      <c r="Z123" s="385">
        <f t="shared" si="37"/>
        <v>8.7628251190530371</v>
      </c>
      <c r="AA123" s="386">
        <f t="shared" si="38"/>
        <v>9.5477450645788053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8.2209981541897681E-2</v>
      </c>
      <c r="AD123" s="231">
        <f>(INDEX(Models!$BJ123:$BT123,,AH123)*(1-AF123)+INDEX(Models!$BJ123:$BT123,,AH123+1)*AF123-ERP_i)*AE123*Ramure*Pc/MaxiM</f>
        <v>1.3204585123599954E-5</v>
      </c>
      <c r="AE123" s="305">
        <f t="shared" si="40"/>
        <v>0.5</v>
      </c>
      <c r="AF123" s="177">
        <f t="shared" si="41"/>
        <v>0.54956048170185823</v>
      </c>
      <c r="AG123" s="811">
        <f t="shared" si="49"/>
        <v>0</v>
      </c>
      <c r="AH123" s="176">
        <f t="shared" si="42"/>
        <v>6</v>
      </c>
      <c r="AI123" s="225">
        <f t="shared" si="43"/>
        <v>0.54956048170185823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9.8738099776875039</v>
      </c>
      <c r="C124" s="841"/>
      <c r="D124" s="393">
        <f t="shared" si="25"/>
        <v>10.265688098902679</v>
      </c>
      <c r="E124" s="385">
        <f t="shared" si="47"/>
        <v>10.92699550485619</v>
      </c>
      <c r="F124" s="385">
        <f t="shared" si="26"/>
        <v>10.92699550485619</v>
      </c>
      <c r="G124" s="110">
        <f t="shared" si="48"/>
        <v>0.18200221865382396</v>
      </c>
      <c r="H124" s="414" t="b">
        <f>Wh_hp&gt;='2022'!Maxi_hp</f>
        <v>0</v>
      </c>
      <c r="I124" s="390">
        <f>IF(H124,Wh_hp,'2022'!Maxi_hp)</f>
        <v>54.953153725787914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3.8173585388500464E-2</v>
      </c>
      <c r="M124" s="845"/>
      <c r="N124" s="845"/>
      <c r="O124" s="48">
        <f>IF(t&lt;Tnet,'2022'!Resal+('2022'!Salim-'2022'!Resal)*(1-EXP(('2022'!Tnet-t)/('2022'!Tau_j))),Resal+(Salim-Resal)*(1-EXP((Tnet-t)/(Tau_j))))*Salcycl</f>
        <v>6.0520515969793534E-2</v>
      </c>
      <c r="P124" s="169">
        <f>(INDEX(Models!$BJ124:$BT124,,T124)*(1-R124)+INDEX(Models!$BJ124:$BT124,,T124+1)*R124-ERP_i)*Q124*Ramure*Pc/MaxiM</f>
        <v>1.5295417603297864E-5</v>
      </c>
      <c r="Q124" s="305">
        <f t="shared" si="28"/>
        <v>0.5</v>
      </c>
      <c r="R124" s="177">
        <f t="shared" si="29"/>
        <v>0.55153553643052744</v>
      </c>
      <c r="S124" s="811">
        <f t="shared" si="30"/>
        <v>0</v>
      </c>
      <c r="T124" s="176">
        <f t="shared" si="31"/>
        <v>6</v>
      </c>
      <c r="U124" s="251">
        <f t="shared" si="32"/>
        <v>0.55153553643052744</v>
      </c>
      <c r="V124" s="383">
        <f t="shared" si="33"/>
        <v>54.250212039561362</v>
      </c>
      <c r="W124" s="402">
        <f t="shared" si="34"/>
        <v>9.8738099776875039</v>
      </c>
      <c r="X124" s="157">
        <f t="shared" si="35"/>
        <v>45036</v>
      </c>
      <c r="Y124" s="385">
        <f t="shared" si="36"/>
        <v>9.6452781179466935</v>
      </c>
      <c r="Z124" s="385">
        <f t="shared" si="37"/>
        <v>10.028086119721104</v>
      </c>
      <c r="AA124" s="386">
        <f t="shared" si="38"/>
        <v>10.92699550485619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8.226500914506564E-2</v>
      </c>
      <c r="AD124" s="231">
        <f>(INDEX(Models!$BJ124:$BT124,,AH124)*(1-AF124)+INDEX(Models!$BJ124:$BT124,,AH124+1)*AF124-ERP_i)*AE124*Ramure*Pc/MaxiM</f>
        <v>1.5295417603297864E-5</v>
      </c>
      <c r="AE124" s="305">
        <f t="shared" si="40"/>
        <v>0.5</v>
      </c>
      <c r="AF124" s="177">
        <f t="shared" si="41"/>
        <v>0.55153553643052744</v>
      </c>
      <c r="AG124" s="811">
        <f t="shared" si="49"/>
        <v>0</v>
      </c>
      <c r="AH124" s="176">
        <f t="shared" si="42"/>
        <v>6</v>
      </c>
      <c r="AI124" s="225">
        <f t="shared" si="43"/>
        <v>0.55153553643052744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9.1269053637795299</v>
      </c>
      <c r="C125" s="841"/>
      <c r="D125" s="393">
        <f t="shared" si="25"/>
        <v>9.489347695338223</v>
      </c>
      <c r="E125" s="385">
        <f t="shared" si="47"/>
        <v>10.101479888664375</v>
      </c>
      <c r="F125" s="385">
        <f t="shared" si="26"/>
        <v>10.101479888664375</v>
      </c>
      <c r="G125" s="110">
        <f t="shared" si="48"/>
        <v>0.16772663034624502</v>
      </c>
      <c r="H125" s="414" t="b">
        <f>Wh_hp&gt;='2022'!Maxi_hp</f>
        <v>0</v>
      </c>
      <c r="I125" s="390">
        <f>IF(H125,Wh_hp,'2022'!Maxi_hp)</f>
        <v>55.659407422413302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3.8194651855442907E-2</v>
      </c>
      <c r="M125" s="845"/>
      <c r="N125" s="845"/>
      <c r="O125" s="48">
        <f>IF(t&lt;Tnet,'2022'!Resal+('2022'!Salim-'2022'!Resal)*(1-EXP(('2022'!Tnet-t)/('2022'!Tau_j))),Resal+(Salim-Resal)*(1-EXP((Tnet-t)/(Tau_j))))*Salcycl</f>
        <v>6.0598268775753437E-2</v>
      </c>
      <c r="P125" s="169">
        <f>(INDEX(Models!$BJ125:$BT125,,T125)*(1-R125)+INDEX(Models!$BJ125:$BT125,,T125+1)*R125-ERP_i)*Q125*Ramure*Pc/MaxiM</f>
        <v>1.7628789924833048E-5</v>
      </c>
      <c r="Q125" s="305">
        <f t="shared" si="28"/>
        <v>0.5</v>
      </c>
      <c r="R125" s="177">
        <f t="shared" si="29"/>
        <v>0.55357500749600053</v>
      </c>
      <c r="S125" s="811">
        <f t="shared" si="30"/>
        <v>0</v>
      </c>
      <c r="T125" s="176">
        <f t="shared" si="31"/>
        <v>6</v>
      </c>
      <c r="U125" s="251">
        <f t="shared" si="32"/>
        <v>0.55357500749600053</v>
      </c>
      <c r="V125" s="383">
        <f t="shared" si="33"/>
        <v>54.414403059558829</v>
      </c>
      <c r="W125" s="402">
        <f t="shared" si="34"/>
        <v>9.1269053637795299</v>
      </c>
      <c r="X125" s="157">
        <f t="shared" si="35"/>
        <v>45037</v>
      </c>
      <c r="Y125" s="385">
        <f t="shared" si="36"/>
        <v>8.915853113642715</v>
      </c>
      <c r="Z125" s="385">
        <f t="shared" si="37"/>
        <v>9.2699142615941064</v>
      </c>
      <c r="AA125" s="386">
        <f t="shared" si="38"/>
        <v>10.101479888664375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8.2321168406564948E-2</v>
      </c>
      <c r="AD125" s="231">
        <f>(INDEX(Models!$BJ125:$BT125,,AH125)*(1-AF125)+INDEX(Models!$BJ125:$BT125,,AH125+1)*AF125-ERP_i)*AE125*Ramure*Pc/MaxiM</f>
        <v>1.7628789924833048E-5</v>
      </c>
      <c r="AE125" s="305">
        <f t="shared" si="40"/>
        <v>0.5</v>
      </c>
      <c r="AF125" s="177">
        <f t="shared" si="41"/>
        <v>0.55357500749600053</v>
      </c>
      <c r="AG125" s="811">
        <f t="shared" si="49"/>
        <v>0</v>
      </c>
      <c r="AH125" s="176">
        <f t="shared" si="42"/>
        <v>6</v>
      </c>
      <c r="AI125" s="225">
        <f t="shared" si="43"/>
        <v>0.55357500749600053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26.710461965216702</v>
      </c>
      <c r="C126" s="841"/>
      <c r="D126" s="393">
        <f t="shared" si="25"/>
        <v>27.771780493035493</v>
      </c>
      <c r="E126" s="385">
        <f t="shared" si="47"/>
        <v>29.565735849749274</v>
      </c>
      <c r="F126" s="385">
        <f t="shared" si="26"/>
        <v>29.56589754889773</v>
      </c>
      <c r="G126" s="110">
        <f t="shared" si="48"/>
        <v>0.48944002043064494</v>
      </c>
      <c r="H126" s="414" t="b">
        <f>Wh_hp&gt;='2022'!Maxi_hp</f>
        <v>0</v>
      </c>
      <c r="I126" s="390">
        <f>IF(H126,Wh_hp,'2022'!Maxi_hp)</f>
        <v>61.619887493232405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3.8215717860975662E-2</v>
      </c>
      <c r="M126" s="845"/>
      <c r="N126" s="845"/>
      <c r="O126" s="48">
        <f>IF(t&lt;Tnet,'2022'!Resal+('2022'!Salim-'2022'!Resal)*(1-EXP(('2022'!Tnet-t)/('2022'!Tau_j))),Resal+(Salim-Resal)*(1-EXP((Tnet-t)/(Tau_j))))*Salcycl</f>
        <v>6.0676837736443223E-2</v>
      </c>
      <c r="P126" s="169">
        <f>(INDEX(Models!$BJ126:$BT126,,T126)*(1-R126)+INDEX(Models!$BJ126:$BT126,,T126+1)*R126-ERP_i)*Q126*Ramure*Pc/MaxiM</f>
        <v>2.0208144344935876E-5</v>
      </c>
      <c r="Q126" s="305">
        <f t="shared" si="28"/>
        <v>0.5</v>
      </c>
      <c r="R126" s="177">
        <f t="shared" si="29"/>
        <v>0.55568029104288297</v>
      </c>
      <c r="S126" s="811">
        <f t="shared" si="30"/>
        <v>0</v>
      </c>
      <c r="T126" s="176">
        <f t="shared" si="31"/>
        <v>6</v>
      </c>
      <c r="U126" s="251">
        <f t="shared" si="32"/>
        <v>0.55568029104288297</v>
      </c>
      <c r="V126" s="383">
        <f t="shared" si="33"/>
        <v>54.572709957694329</v>
      </c>
      <c r="W126" s="402">
        <f t="shared" si="34"/>
        <v>26.710461965216702</v>
      </c>
      <c r="X126" s="157">
        <f t="shared" si="35"/>
        <v>45038</v>
      </c>
      <c r="Y126" s="385">
        <f t="shared" si="36"/>
        <v>26.093357494938676</v>
      </c>
      <c r="Z126" s="385">
        <f t="shared" si="37"/>
        <v>27.130155877476614</v>
      </c>
      <c r="AA126" s="386">
        <f t="shared" si="38"/>
        <v>29.565735849749274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8.2378466230304023E-2</v>
      </c>
      <c r="AD126" s="231">
        <f>(INDEX(Models!$BJ126:$BT126,,AH126)*(1-AF126)+INDEX(Models!$BJ126:$BT126,,AH126+1)*AF126-ERP_i)*AE126*Ramure*Pc/MaxiM</f>
        <v>2.0208144344935876E-5</v>
      </c>
      <c r="AE126" s="305">
        <f t="shared" si="40"/>
        <v>0.5</v>
      </c>
      <c r="AF126" s="177">
        <f t="shared" si="41"/>
        <v>0.55568029104288297</v>
      </c>
      <c r="AG126" s="811">
        <f t="shared" si="49"/>
        <v>0</v>
      </c>
      <c r="AH126" s="176">
        <f t="shared" si="42"/>
        <v>6</v>
      </c>
      <c r="AI126" s="225">
        <f t="shared" si="43"/>
        <v>0.55568029104288297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9.2422069123120778</v>
      </c>
      <c r="C127" s="841"/>
      <c r="D127" s="393">
        <f t="shared" si="25"/>
        <v>9.609648978918095</v>
      </c>
      <c r="E127" s="385">
        <f t="shared" si="47"/>
        <v>10.231261858926052</v>
      </c>
      <c r="F127" s="385">
        <f t="shared" si="26"/>
        <v>10.231261858926052</v>
      </c>
      <c r="G127" s="110">
        <f t="shared" si="48"/>
        <v>0.16887934780705632</v>
      </c>
      <c r="H127" s="414" t="b">
        <f>Wh_hp&gt;='2022'!Maxi_hp</f>
        <v>0</v>
      </c>
      <c r="I127" s="390">
        <f>IF(H127,Wh_hp,'2022'!Maxi_hp)</f>
        <v>61.960154457717145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3.8236783405108832E-2</v>
      </c>
      <c r="M127" s="845"/>
      <c r="N127" s="845"/>
      <c r="O127" s="48">
        <f>IF(t&lt;Tnet,'2022'!Resal+('2022'!Salim-'2022'!Resal)*(1-EXP(('2022'!Tnet-t)/('2022'!Tau_j))),Resal+(Salim-Resal)*(1-EXP((Tnet-t)/(Tau_j))))*Salcycl</f>
        <v>6.0756228173912193E-2</v>
      </c>
      <c r="P127" s="169">
        <f>(INDEX(Models!$BJ127:$BT127,,T127)*(1-R127)+INDEX(Models!$BJ127:$BT127,,T127+1)*R127-ERP_i)*Q127*Ramure*Pc/MaxiM</f>
        <v>2.3037232452621692E-5</v>
      </c>
      <c r="Q127" s="305">
        <f t="shared" si="28"/>
        <v>0.5</v>
      </c>
      <c r="R127" s="177">
        <f t="shared" si="29"/>
        <v>0.55785276004691631</v>
      </c>
      <c r="S127" s="811">
        <f t="shared" si="30"/>
        <v>0</v>
      </c>
      <c r="T127" s="176">
        <f t="shared" si="31"/>
        <v>6</v>
      </c>
      <c r="U127" s="251">
        <f t="shared" si="32"/>
        <v>0.55785276004691631</v>
      </c>
      <c r="V127" s="383">
        <f t="shared" si="33"/>
        <v>54.725424496558269</v>
      </c>
      <c r="W127" s="402">
        <f t="shared" si="34"/>
        <v>9.2422069123120778</v>
      </c>
      <c r="X127" s="157">
        <f t="shared" si="35"/>
        <v>45039</v>
      </c>
      <c r="Y127" s="385">
        <f t="shared" si="36"/>
        <v>9.0288679127335314</v>
      </c>
      <c r="Z127" s="385">
        <f t="shared" si="37"/>
        <v>9.3878282688956531</v>
      </c>
      <c r="AA127" s="386">
        <f t="shared" si="38"/>
        <v>10.231261858926052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8.2436907750001814E-2</v>
      </c>
      <c r="AD127" s="231">
        <f>(INDEX(Models!$BJ127:$BT127,,AH127)*(1-AF127)+INDEX(Models!$BJ127:$BT127,,AH127+1)*AF127-ERP_i)*AE127*Ramure*Pc/MaxiM</f>
        <v>2.3037232452621692E-5</v>
      </c>
      <c r="AE127" s="305">
        <f t="shared" si="40"/>
        <v>0.5</v>
      </c>
      <c r="AF127" s="177">
        <f t="shared" si="41"/>
        <v>0.55785276004691631</v>
      </c>
      <c r="AG127" s="811">
        <f t="shared" si="49"/>
        <v>0</v>
      </c>
      <c r="AH127" s="176">
        <f t="shared" si="42"/>
        <v>6</v>
      </c>
      <c r="AI127" s="225">
        <f t="shared" si="43"/>
        <v>0.55785276004691631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29.325893348233482</v>
      </c>
      <c r="C128" s="841"/>
      <c r="D128" s="393">
        <f t="shared" si="25"/>
        <v>30.492469631412501</v>
      </c>
      <c r="E128" s="385">
        <f t="shared" si="47"/>
        <v>32.467688336425539</v>
      </c>
      <c r="F128" s="385">
        <f t="shared" si="26"/>
        <v>32.467974618007922</v>
      </c>
      <c r="G128" s="110">
        <f t="shared" si="48"/>
        <v>0.53442443974879883</v>
      </c>
      <c r="H128" s="414" t="b">
        <f>Wh_hp&gt;='2022'!Maxi_hp</f>
        <v>0</v>
      </c>
      <c r="I128" s="390">
        <f>IF(H128,Wh_hp,'2022'!Maxi_hp)</f>
        <v>59.446721075347604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3.8257848487852408E-2</v>
      </c>
      <c r="M128" s="845"/>
      <c r="N128" s="845"/>
      <c r="O128" s="48">
        <f>IF(t&lt;Tnet,'2022'!Resal+('2022'!Salim-'2022'!Resal)*(1-EXP(('2022'!Tnet-t)/('2022'!Tau_j))),Resal+(Salim-Resal)*(1-EXP((Tnet-t)/(Tau_j))))*Salcycl</f>
        <v>6.0836444053118353E-2</v>
      </c>
      <c r="P128" s="169">
        <f>(INDEX(Models!$BJ128:$BT128,,T128)*(1-R128)+INDEX(Models!$BJ128:$BT128,,T128+1)*R128-ERP_i)*Q128*Ramure*Pc/MaxiM</f>
        <v>2.6327888357849692E-5</v>
      </c>
      <c r="Q128" s="305">
        <f t="shared" si="28"/>
        <v>0.5</v>
      </c>
      <c r="R128" s="177">
        <f t="shared" si="29"/>
        <v>0.56009375943349782</v>
      </c>
      <c r="S128" s="811">
        <f t="shared" si="30"/>
        <v>0</v>
      </c>
      <c r="T128" s="176">
        <f t="shared" si="31"/>
        <v>6</v>
      </c>
      <c r="U128" s="251">
        <f t="shared" si="32"/>
        <v>0.56009375943349782</v>
      </c>
      <c r="V128" s="383">
        <f t="shared" si="33"/>
        <v>54.872827008786153</v>
      </c>
      <c r="W128" s="402">
        <f t="shared" si="34"/>
        <v>29.325893348233482</v>
      </c>
      <c r="X128" s="157">
        <f t="shared" si="35"/>
        <v>45040</v>
      </c>
      <c r="Y128" s="385">
        <f t="shared" si="36"/>
        <v>28.649546425731067</v>
      </c>
      <c r="Z128" s="385">
        <f t="shared" si="37"/>
        <v>29.78921780716939</v>
      </c>
      <c r="AA128" s="386">
        <f t="shared" si="38"/>
        <v>32.467688336425539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8.2496496255052745E-2</v>
      </c>
      <c r="AD128" s="231">
        <f>(INDEX(Models!$BJ128:$BT128,,AH128)*(1-AF128)+INDEX(Models!$BJ128:$BT128,,AH128+1)*AF128-ERP_i)*AE128*Ramure*Pc/MaxiM</f>
        <v>2.6327888357849692E-5</v>
      </c>
      <c r="AE128" s="305">
        <f t="shared" si="40"/>
        <v>0.5</v>
      </c>
      <c r="AF128" s="177">
        <f t="shared" si="41"/>
        <v>0.56009375943349782</v>
      </c>
      <c r="AG128" s="811">
        <f t="shared" si="49"/>
        <v>0</v>
      </c>
      <c r="AH128" s="176">
        <f t="shared" si="42"/>
        <v>6</v>
      </c>
      <c r="AI128" s="225">
        <f t="shared" si="43"/>
        <v>0.56009375943349782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45.128969845423207</v>
      </c>
      <c r="C129" s="841"/>
      <c r="D129" s="393">
        <f t="shared" si="25"/>
        <v>46.925216115749187</v>
      </c>
      <c r="E129" s="385">
        <f t="shared" si="47"/>
        <v>49.969215177816089</v>
      </c>
      <c r="F129" s="385">
        <f t="shared" si="26"/>
        <v>49.970329429674386</v>
      </c>
      <c r="G129" s="110">
        <f t="shared" si="48"/>
        <v>0.82029350045813987</v>
      </c>
      <c r="H129" s="414" t="b">
        <f>Wh_hp&gt;='2022'!Maxi_hp</f>
        <v>0</v>
      </c>
      <c r="I129" s="390">
        <f>IF(H129,Wh_hp,'2022'!Maxi_hp)</f>
        <v>54.184367462537033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3.8278913109216717E-2</v>
      </c>
      <c r="M129" s="845"/>
      <c r="N129" s="845"/>
      <c r="O129" s="48">
        <f>IF(t&lt;Tnet,'2022'!Resal+('2022'!Salim-'2022'!Resal)*(1-EXP(('2022'!Tnet-t)/('2022'!Tau_j))),Resal+(Salim-Resal)*(1-EXP((Tnet-t)/(Tau_j))))*Salcycl</f>
        <v>6.0917487922009503E-2</v>
      </c>
      <c r="P129" s="169">
        <f>(INDEX(Models!$BJ129:$BT129,,T129)*(1-R129)+INDEX(Models!$BJ129:$BT129,,T129+1)*R129-ERP_i)*Q129*Ramure*Pc/MaxiM</f>
        <v>2.9999603899853246E-5</v>
      </c>
      <c r="Q129" s="305">
        <f t="shared" si="28"/>
        <v>0.5</v>
      </c>
      <c r="R129" s="177">
        <f t="shared" si="29"/>
        <v>0.56240460093846367</v>
      </c>
      <c r="S129" s="811">
        <f t="shared" si="30"/>
        <v>0</v>
      </c>
      <c r="T129" s="176">
        <f t="shared" si="31"/>
        <v>6</v>
      </c>
      <c r="U129" s="251">
        <f t="shared" si="32"/>
        <v>0.56240460093846367</v>
      </c>
      <c r="V129" s="383">
        <f t="shared" si="33"/>
        <v>55.01521377307963</v>
      </c>
      <c r="W129" s="402">
        <f t="shared" si="34"/>
        <v>45.128969845423207</v>
      </c>
      <c r="X129" s="157">
        <f t="shared" si="35"/>
        <v>45041</v>
      </c>
      <c r="Y129" s="385">
        <f t="shared" si="36"/>
        <v>44.089040557304749</v>
      </c>
      <c r="Z129" s="385">
        <f t="shared" si="37"/>
        <v>45.84389503181567</v>
      </c>
      <c r="AA129" s="386">
        <f t="shared" si="38"/>
        <v>49.969215177816089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8.2557233114837106E-2</v>
      </c>
      <c r="AD129" s="231">
        <f>(INDEX(Models!$BJ129:$BT129,,AH129)*(1-AF129)+INDEX(Models!$BJ129:$BT129,,AH129+1)*AF129-ERP_i)*AE129*Ramure*Pc/MaxiM</f>
        <v>2.9999603899853246E-5</v>
      </c>
      <c r="AE129" s="305">
        <f t="shared" si="40"/>
        <v>0.5</v>
      </c>
      <c r="AF129" s="177">
        <f t="shared" si="41"/>
        <v>0.56240460093846367</v>
      </c>
      <c r="AG129" s="811">
        <f t="shared" si="49"/>
        <v>0</v>
      </c>
      <c r="AH129" s="176">
        <f t="shared" si="42"/>
        <v>6</v>
      </c>
      <c r="AI129" s="225">
        <f t="shared" si="43"/>
        <v>0.56240460093846367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52.5365593301281</v>
      </c>
      <c r="C130" s="841"/>
      <c r="D130" s="393">
        <f t="shared" si="25"/>
        <v>54.628842766321554</v>
      </c>
      <c r="E130" s="385">
        <f t="shared" si="47"/>
        <v>58.177641727493253</v>
      </c>
      <c r="F130" s="385">
        <f t="shared" si="26"/>
        <v>58.179488942132991</v>
      </c>
      <c r="G130" s="110">
        <f t="shared" si="48"/>
        <v>0.95256025710331749</v>
      </c>
      <c r="H130" s="414" t="b">
        <f>Wh_hp&gt;='2022'!Maxi_hp</f>
        <v>0</v>
      </c>
      <c r="I130" s="390">
        <f>IF(H130,Wh_hp,'2022'!Maxi_hp)</f>
        <v>58.179521946902589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3.8299977269211749E-2</v>
      </c>
      <c r="M130" s="845"/>
      <c r="N130" s="845"/>
      <c r="O130" s="48">
        <f>IF(t&lt;Tnet,'2022'!Resal+('2022'!Salim-'2022'!Resal)*(1-EXP(('2022'!Tnet-t)/('2022'!Tau_j))),Resal+(Salim-Resal)*(1-EXP((Tnet-t)/(Tau_j))))*Salcycl</f>
        <v>6.0999360850589851E-2</v>
      </c>
      <c r="P130" s="169">
        <f>(INDEX(Models!$BJ130:$BT130,,T130)*(1-R130)+INDEX(Models!$BJ130:$BT130,,T130+1)*R130-ERP_i)*Q130*Ramure*Pc/MaxiM</f>
        <v>3.4058335256127769E-5</v>
      </c>
      <c r="Q130" s="305">
        <f t="shared" si="28"/>
        <v>0.5</v>
      </c>
      <c r="R130" s="177">
        <f t="shared" si="29"/>
        <v>0.56478655771632269</v>
      </c>
      <c r="S130" s="811">
        <f t="shared" si="30"/>
        <v>0</v>
      </c>
      <c r="T130" s="176">
        <f t="shared" si="31"/>
        <v>6</v>
      </c>
      <c r="U130" s="251">
        <f t="shared" si="32"/>
        <v>0.56478655771632269</v>
      </c>
      <c r="V130" s="383">
        <f t="shared" si="33"/>
        <v>55.152876342304289</v>
      </c>
      <c r="W130" s="402">
        <f t="shared" si="34"/>
        <v>52.5365593301281</v>
      </c>
      <c r="X130" s="157">
        <f t="shared" si="35"/>
        <v>45042</v>
      </c>
      <c r="Y130" s="385">
        <f t="shared" si="36"/>
        <v>51.326946054943953</v>
      </c>
      <c r="Z130" s="385">
        <f t="shared" si="37"/>
        <v>53.371056297990819</v>
      </c>
      <c r="AA130" s="386">
        <f t="shared" si="38"/>
        <v>58.177641727493253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8.2619117701894812E-2</v>
      </c>
      <c r="AD130" s="231">
        <f>(INDEX(Models!$BJ130:$BT130,,AH130)*(1-AF130)+INDEX(Models!$BJ130:$BT130,,AH130+1)*AF130-ERP_i)*AE130*Ramure*Pc/MaxiM</f>
        <v>3.4058335256127769E-5</v>
      </c>
      <c r="AE130" s="305">
        <f t="shared" si="40"/>
        <v>0.5</v>
      </c>
      <c r="AF130" s="177">
        <f t="shared" si="41"/>
        <v>0.56478655771632269</v>
      </c>
      <c r="AG130" s="811">
        <f t="shared" si="49"/>
        <v>0</v>
      </c>
      <c r="AH130" s="176">
        <f t="shared" si="42"/>
        <v>6</v>
      </c>
      <c r="AI130" s="225">
        <f t="shared" si="43"/>
        <v>0.56478655771632269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39.573892770762129</v>
      </c>
      <c r="C131" s="841"/>
      <c r="D131" s="393">
        <f t="shared" si="25"/>
        <v>41.150835628752723</v>
      </c>
      <c r="E131" s="385">
        <f t="shared" si="47"/>
        <v>43.827936371730189</v>
      </c>
      <c r="F131" s="385">
        <f t="shared" si="26"/>
        <v>43.828938973199229</v>
      </c>
      <c r="G131" s="110">
        <f t="shared" si="48"/>
        <v>0.71579057937052026</v>
      </c>
      <c r="H131" s="414" t="b">
        <f>Wh_hp&gt;='2022'!Maxi_hp</f>
        <v>0</v>
      </c>
      <c r="I131" s="390">
        <f>IF(H131,Wh_hp,'2022'!Maxi_hp)</f>
        <v>43.829103884586168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3.8321040967847608E-2</v>
      </c>
      <c r="M131" s="845"/>
      <c r="N131" s="845"/>
      <c r="O131" s="48">
        <f>IF(t&lt;Tnet,'2022'!Resal+('2022'!Salim-'2022'!Resal)*(1-EXP(('2022'!Tnet-t)/('2022'!Tau_j))),Resal+(Salim-Resal)*(1-EXP((Tnet-t)/(Tau_j))))*Salcycl</f>
        <v>6.1082062369339545E-2</v>
      </c>
      <c r="P131" s="169">
        <f>(INDEX(Models!$BJ131:$BT131,,T131)*(1-R131)+INDEX(Models!$BJ131:$BT131,,T131+1)*R131-ERP_i)*Q131*Ramure*Pc/MaxiM</f>
        <v>3.8510493528385113E-5</v>
      </c>
      <c r="Q131" s="305">
        <f t="shared" si="28"/>
        <v>0.5</v>
      </c>
      <c r="R131" s="177">
        <f t="shared" si="29"/>
        <v>0.56724085870345764</v>
      </c>
      <c r="S131" s="811">
        <f t="shared" si="30"/>
        <v>0</v>
      </c>
      <c r="T131" s="176">
        <f t="shared" si="31"/>
        <v>6</v>
      </c>
      <c r="U131" s="251">
        <f t="shared" si="32"/>
        <v>0.56724085870345764</v>
      </c>
      <c r="V131" s="383">
        <f t="shared" si="33"/>
        <v>55.286106233960616</v>
      </c>
      <c r="W131" s="402">
        <f t="shared" si="34"/>
        <v>39.573892770762129</v>
      </c>
      <c r="X131" s="157">
        <f t="shared" si="35"/>
        <v>45043</v>
      </c>
      <c r="Y131" s="385">
        <f t="shared" si="36"/>
        <v>38.663483659168513</v>
      </c>
      <c r="Z131" s="385">
        <f t="shared" si="37"/>
        <v>40.204148480153918</v>
      </c>
      <c r="AA131" s="386">
        <f t="shared" si="38"/>
        <v>43.827936371730189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8.2682147314462079E-2</v>
      </c>
      <c r="AD131" s="231">
        <f>(INDEX(Models!$BJ131:$BT131,,AH131)*(1-AF131)+INDEX(Models!$BJ131:$BT131,,AH131+1)*AF131-ERP_i)*AE131*Ramure*Pc/MaxiM</f>
        <v>3.8510493528385113E-5</v>
      </c>
      <c r="AE131" s="305">
        <f t="shared" si="40"/>
        <v>0.5</v>
      </c>
      <c r="AF131" s="177">
        <f t="shared" si="41"/>
        <v>0.56724085870345764</v>
      </c>
      <c r="AG131" s="811">
        <f t="shared" si="49"/>
        <v>0</v>
      </c>
      <c r="AH131" s="176">
        <f t="shared" si="42"/>
        <v>6</v>
      </c>
      <c r="AI131" s="225">
        <f t="shared" si="43"/>
        <v>0.56724085870345764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19.698051718554179</v>
      </c>
      <c r="C132" s="841"/>
      <c r="D132" s="393">
        <f t="shared" si="25"/>
        <v>20.483429507197677</v>
      </c>
      <c r="E132" s="385">
        <f t="shared" si="47"/>
        <v>21.817936473042781</v>
      </c>
      <c r="F132" s="385">
        <f t="shared" si="26"/>
        <v>21.818011434672027</v>
      </c>
      <c r="G132" s="110">
        <f t="shared" si="48"/>
        <v>0.35544881240689052</v>
      </c>
      <c r="H132" s="414" t="b">
        <f>Wh_hp&gt;='2022'!Maxi_hp</f>
        <v>0</v>
      </c>
      <c r="I132" s="390">
        <f>IF(H132,Wh_hp,'2022'!Maxi_hp)</f>
        <v>46.870510731346037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3.8342104205134397E-2</v>
      </c>
      <c r="M132" s="845"/>
      <c r="N132" s="845"/>
      <c r="O132" s="48">
        <f>IF(t&lt;Tnet,'2022'!Resal+('2022'!Salim-'2022'!Resal)*(1-EXP(('2022'!Tnet-t)/('2022'!Tau_j))),Resal+(Salim-Resal)*(1-EXP((Tnet-t)/(Tau_j))))*Salcycl</f>
        <v>6.1165590407413699E-2</v>
      </c>
      <c r="P132" s="169">
        <f>(INDEX(Models!$BJ132:$BT132,,T132)*(1-R132)+INDEX(Models!$BJ132:$BT132,,T132+1)*R132-ERP_i)*Q132*Ramure*Pc/MaxiM</f>
        <v>4.3362917612309456E-5</v>
      </c>
      <c r="Q132" s="305">
        <f t="shared" si="28"/>
        <v>0.5</v>
      </c>
      <c r="R132" s="177">
        <f t="shared" si="29"/>
        <v>0.56976868274633485</v>
      </c>
      <c r="S132" s="811">
        <f t="shared" si="30"/>
        <v>0</v>
      </c>
      <c r="T132" s="176">
        <f t="shared" si="31"/>
        <v>6</v>
      </c>
      <c r="U132" s="251">
        <f t="shared" si="32"/>
        <v>0.56976868274633485</v>
      </c>
      <c r="V132" s="383">
        <f t="shared" si="33"/>
        <v>55.415194934592712</v>
      </c>
      <c r="W132" s="402">
        <f t="shared" si="34"/>
        <v>19.698051718554179</v>
      </c>
      <c r="X132" s="157">
        <f t="shared" si="35"/>
        <v>45044</v>
      </c>
      <c r="Y132" s="385">
        <f t="shared" si="36"/>
        <v>19.245258056380742</v>
      </c>
      <c r="Z132" s="385">
        <f t="shared" si="37"/>
        <v>20.012582583199642</v>
      </c>
      <c r="AA132" s="386">
        <f t="shared" si="38"/>
        <v>21.817936473042781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8.2746317098949695E-2</v>
      </c>
      <c r="AD132" s="231">
        <f>(INDEX(Models!$BJ132:$BT132,,AH132)*(1-AF132)+INDEX(Models!$BJ132:$BT132,,AH132+1)*AF132-ERP_i)*AE132*Ramure*Pc/MaxiM</f>
        <v>4.3362917612309456E-5</v>
      </c>
      <c r="AE132" s="305">
        <f t="shared" si="40"/>
        <v>0.5</v>
      </c>
      <c r="AF132" s="177">
        <f t="shared" si="41"/>
        <v>0.56976868274633485</v>
      </c>
      <c r="AG132" s="811">
        <f t="shared" si="49"/>
        <v>0</v>
      </c>
      <c r="AH132" s="176">
        <f t="shared" si="42"/>
        <v>6</v>
      </c>
      <c r="AI132" s="225">
        <f t="shared" si="43"/>
        <v>0.56976868274633485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39.639232543032549</v>
      </c>
      <c r="C133" s="841"/>
      <c r="D133" s="393">
        <f t="shared" si="25"/>
        <v>41.220584717612148</v>
      </c>
      <c r="E133" s="385">
        <f t="shared" si="47"/>
        <v>43.910074180629181</v>
      </c>
      <c r="F133" s="385">
        <f t="shared" si="26"/>
        <v>43.911336022606328</v>
      </c>
      <c r="G133" s="110">
        <f t="shared" si="48"/>
        <v>0.713686254163307</v>
      </c>
      <c r="H133" s="414" t="b">
        <f>Wh_hp&gt;='2022'!Maxi_hp</f>
        <v>0</v>
      </c>
      <c r="I133" s="390">
        <f>IF(H133,Wh_hp,'2022'!Maxi_hp)</f>
        <v>52.731591737433121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3.836316698108222E-2</v>
      </c>
      <c r="M133" s="845"/>
      <c r="N133" s="845"/>
      <c r="O133" s="48">
        <f>IF(t&lt;Tnet,'2022'!Resal+('2022'!Salim-'2022'!Resal)*(1-EXP(('2022'!Tnet-t)/('2022'!Tau_j))),Resal+(Salim-Resal)*(1-EXP((Tnet-t)/(Tau_j))))*Salcycl</f>
        <v>6.1249941231105838E-2</v>
      </c>
      <c r="P133" s="169">
        <f>(INDEX(Models!$BJ133:$BT133,,T133)*(1-R133)+INDEX(Models!$BJ133:$BT133,,T133+1)*R133-ERP_i)*Q133*Ramure*Pc/MaxiM</f>
        <v>4.8622845276875102E-5</v>
      </c>
      <c r="Q133" s="305">
        <f t="shared" si="28"/>
        <v>0.5</v>
      </c>
      <c r="R133" s="177">
        <f t="shared" si="29"/>
        <v>0.57237115250746695</v>
      </c>
      <c r="S133" s="811">
        <f t="shared" si="30"/>
        <v>0</v>
      </c>
      <c r="T133" s="176">
        <f t="shared" si="31"/>
        <v>6</v>
      </c>
      <c r="U133" s="251">
        <f t="shared" si="32"/>
        <v>0.57237115250746695</v>
      </c>
      <c r="V133" s="383">
        <f t="shared" si="33"/>
        <v>55.540433902322619</v>
      </c>
      <c r="W133" s="402">
        <f t="shared" si="34"/>
        <v>39.639232543032549</v>
      </c>
      <c r="X133" s="157">
        <f t="shared" si="35"/>
        <v>45045</v>
      </c>
      <c r="Y133" s="385">
        <f t="shared" si="36"/>
        <v>38.728778914097894</v>
      </c>
      <c r="Z133" s="385">
        <f t="shared" si="37"/>
        <v>40.273809804595956</v>
      </c>
      <c r="AA133" s="386">
        <f t="shared" si="38"/>
        <v>43.910074180629181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8.2811619973016393E-2</v>
      </c>
      <c r="AD133" s="231">
        <f>(INDEX(Models!$BJ133:$BT133,,AH133)*(1-AF133)+INDEX(Models!$BJ133:$BT133,,AH133+1)*AF133-ERP_i)*AE133*Ramure*Pc/MaxiM</f>
        <v>4.8622845276875102E-5</v>
      </c>
      <c r="AE133" s="305">
        <f t="shared" si="40"/>
        <v>0.5</v>
      </c>
      <c r="AF133" s="177">
        <f t="shared" si="41"/>
        <v>0.57237115250746695</v>
      </c>
      <c r="AG133" s="811">
        <f t="shared" si="49"/>
        <v>0</v>
      </c>
      <c r="AH133" s="176">
        <f t="shared" si="42"/>
        <v>6</v>
      </c>
      <c r="AI133" s="225">
        <f t="shared" si="43"/>
        <v>0.57237115250746695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44.661124965922667</v>
      </c>
      <c r="C134" s="841"/>
      <c r="D134" s="393">
        <f t="shared" si="25"/>
        <v>46.443835808986712</v>
      </c>
      <c r="E134" s="385">
        <f t="shared" si="47"/>
        <v>46.679817170723453</v>
      </c>
      <c r="F134" s="385">
        <f t="shared" si="26"/>
        <v>46.681471880883684</v>
      </c>
      <c r="G134" s="110">
        <f t="shared" si="48"/>
        <v>0.75696083451398655</v>
      </c>
      <c r="H134" s="414" t="b">
        <f>Wh_hp&gt;='2022'!Maxi_hp</f>
        <v>0</v>
      </c>
      <c r="I134" s="390">
        <f>IF(H134,Wh_hp,'2022'!Maxi_hp)</f>
        <v>62.081683557920357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3.8384229295701178E-2</v>
      </c>
      <c r="M134" s="845"/>
      <c r="N134" s="845"/>
      <c r="O134" s="48">
        <f>IF(t&lt;Tnet,'2022'!Resal+('2022'!Salim-'2022'!Resal)*(1-EXP(('2022'!Tnet-t)/('2022'!Tau_j))),Resal+(Salim-Resal)*(1-EXP((Tnet-t)/(Tau_j))))*Salcycl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5.4297882257696985E-5</v>
      </c>
      <c r="Q134" s="305">
        <f t="shared" si="28"/>
        <v>0.5</v>
      </c>
      <c r="R134" s="177">
        <f t="shared" si="29"/>
        <v>0.57504932816474608</v>
      </c>
      <c r="S134" s="811">
        <f t="shared" si="30"/>
        <v>0</v>
      </c>
      <c r="T134" s="176">
        <f t="shared" si="31"/>
        <v>6</v>
      </c>
      <c r="U134" s="251">
        <f t="shared" si="32"/>
        <v>0.57504932816474608</v>
      </c>
      <c r="V134" s="383">
        <f t="shared" si="33"/>
        <v>58.999463367898635</v>
      </c>
      <c r="W134" s="402">
        <f t="shared" si="34"/>
        <v>44.661124965922667</v>
      </c>
      <c r="X134" s="157">
        <f t="shared" si="35"/>
        <v>45046</v>
      </c>
      <c r="Y134" s="385">
        <f t="shared" si="36"/>
        <v>42.134835008501618</v>
      </c>
      <c r="Z134" s="385">
        <f t="shared" si="37"/>
        <v>43.816705478573382</v>
      </c>
      <c r="AA134" s="386">
        <f t="shared" si="38"/>
        <v>46.679817170723453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6.1335109383113734E-2</v>
      </c>
      <c r="AD134" s="231">
        <f>(INDEX(Models!$BJ134:$BT134,,AH134)*(1-AF134)+INDEX(Models!$BJ134:$BT134,,AH134+1)*AF134-ERP_i)*AE134*Ramure*Pc/MaxiM</f>
        <v>5.4297882257696985E-5</v>
      </c>
      <c r="AE134" s="305">
        <f t="shared" si="40"/>
        <v>0.5</v>
      </c>
      <c r="AF134" s="177">
        <f t="shared" si="41"/>
        <v>0.57504932816474608</v>
      </c>
      <c r="AG134" s="811">
        <f t="shared" si="49"/>
        <v>0</v>
      </c>
      <c r="AH134" s="176">
        <f t="shared" si="42"/>
        <v>6</v>
      </c>
      <c r="AI134" s="225">
        <f t="shared" si="43"/>
        <v>0.57504932816474608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48.403796293210355</v>
      </c>
      <c r="C135" s="841"/>
      <c r="D135" s="393">
        <f t="shared" si="25"/>
        <v>50.337003570919862</v>
      </c>
      <c r="E135" s="385">
        <f t="shared" si="47"/>
        <v>50.598180860931684</v>
      </c>
      <c r="F135" s="385">
        <f t="shared" si="26"/>
        <v>50.600445422168512</v>
      </c>
      <c r="G135" s="110">
        <f t="shared" si="48"/>
        <v>0.81868274241114702</v>
      </c>
      <c r="H135" s="414" t="b">
        <f>Wh_hp&gt;='2022'!Maxi_hp</f>
        <v>0</v>
      </c>
      <c r="I135" s="390">
        <f>IF(H135,Wh_hp,'2022'!Maxi_hp)</f>
        <v>57.93362071879104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3.8405291149001486E-2</v>
      </c>
      <c r="M135" s="845"/>
      <c r="N135" s="845"/>
      <c r="O135" s="48">
        <f>IF(t&lt;Tnet,'2022'!Resal+('2022'!Salim-'2022'!Resal)*(1-EXP(('2022'!Tnet-t)/('2022'!Tau_j))),Resal+(Salim-Resal)*(1-EXP((Tnet-t)/(Tau_j))))*Salcycl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6.039698331134936E-5</v>
      </c>
      <c r="Q135" s="305">
        <f t="shared" si="28"/>
        <v>0.5</v>
      </c>
      <c r="R135" s="177">
        <f t="shared" si="29"/>
        <v>0.57780420092280615</v>
      </c>
      <c r="S135" s="811">
        <f t="shared" si="30"/>
        <v>0</v>
      </c>
      <c r="T135" s="176">
        <f t="shared" si="31"/>
        <v>6</v>
      </c>
      <c r="U135" s="251">
        <f t="shared" si="32"/>
        <v>0.57780420092280615</v>
      </c>
      <c r="V135" s="383">
        <f t="shared" si="33"/>
        <v>59.123072420427278</v>
      </c>
      <c r="W135" s="402">
        <f t="shared" si="34"/>
        <v>48.403796293210355</v>
      </c>
      <c r="X135" s="157">
        <f t="shared" si="35"/>
        <v>45047</v>
      </c>
      <c r="Y135" s="385">
        <f t="shared" si="36"/>
        <v>45.666913012386082</v>
      </c>
      <c r="Z135" s="385">
        <f t="shared" si="37"/>
        <v>47.490811453146506</v>
      </c>
      <c r="AA135" s="386">
        <f t="shared" si="38"/>
        <v>50.598180860931684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6.1412670473781197E-2</v>
      </c>
      <c r="AD135" s="231">
        <f>(INDEX(Models!$BJ135:$BT135,,AH135)*(1-AF135)+INDEX(Models!$BJ135:$BT135,,AH135+1)*AF135-ERP_i)*AE135*Ramure*Pc/MaxiM</f>
        <v>6.039698331134936E-5</v>
      </c>
      <c r="AE135" s="305">
        <f t="shared" si="40"/>
        <v>0.5</v>
      </c>
      <c r="AF135" s="177">
        <f t="shared" si="41"/>
        <v>0.57780420092280615</v>
      </c>
      <c r="AG135" s="811">
        <f t="shared" si="49"/>
        <v>0</v>
      </c>
      <c r="AH135" s="176">
        <f t="shared" si="42"/>
        <v>6</v>
      </c>
      <c r="AI135" s="225">
        <f t="shared" si="43"/>
        <v>0.57780420092280615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31.115976096909897</v>
      </c>
      <c r="C136" s="841"/>
      <c r="D136" s="393">
        <f t="shared" si="25"/>
        <v>32.35943100056349</v>
      </c>
      <c r="E136" s="385">
        <f t="shared" si="47"/>
        <v>32.53081424229309</v>
      </c>
      <c r="F136" s="385">
        <f t="shared" si="26"/>
        <v>32.531518653950577</v>
      </c>
      <c r="G136" s="110">
        <f t="shared" si="48"/>
        <v>0.5252161840395827</v>
      </c>
      <c r="H136" s="414" t="b">
        <f>Wh_hp&gt;='2022'!Maxi_hp</f>
        <v>0</v>
      </c>
      <c r="I136" s="390">
        <f>IF(H136,Wh_hp,'2022'!Maxi_hp)</f>
        <v>50.847443819946974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3.8426352540993025E-2</v>
      </c>
      <c r="M136" s="845"/>
      <c r="N136" s="845"/>
      <c r="O136" s="48">
        <f>IF(t&lt;Tnet,'2022'!Resal+('2022'!Salim-'2022'!Resal)*(1-EXP(('2022'!Tnet-t)/('2022'!Tau_j))),Resal+(Salim-Resal)*(1-EXP((Tnet-t)/(Tau_j))))*Salcycl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6.7293701273821776E-5</v>
      </c>
      <c r="Q136" s="305">
        <f t="shared" si="28"/>
        <v>0.5</v>
      </c>
      <c r="R136" s="177">
        <f t="shared" si="29"/>
        <v>0.58063668635824117</v>
      </c>
      <c r="S136" s="811">
        <f t="shared" si="30"/>
        <v>0</v>
      </c>
      <c r="T136" s="176">
        <f t="shared" si="31"/>
        <v>6</v>
      </c>
      <c r="U136" s="251">
        <f t="shared" si="32"/>
        <v>0.58063668635824117</v>
      </c>
      <c r="V136" s="383">
        <f t="shared" si="33"/>
        <v>59.241426412779525</v>
      </c>
      <c r="W136" s="402">
        <f t="shared" si="34"/>
        <v>31.115976096909897</v>
      </c>
      <c r="X136" s="157">
        <f t="shared" si="35"/>
        <v>45048</v>
      </c>
      <c r="Y136" s="385">
        <f t="shared" si="36"/>
        <v>29.357286054677758</v>
      </c>
      <c r="Z136" s="385">
        <f t="shared" si="37"/>
        <v>30.530460284821078</v>
      </c>
      <c r="AA136" s="386">
        <f t="shared" si="38"/>
        <v>32.53081424229309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6.1491050994701625E-2</v>
      </c>
      <c r="AD136" s="231">
        <f>(INDEX(Models!$BJ136:$BT136,,AH136)*(1-AF136)+INDEX(Models!$BJ136:$BT136,,AH136+1)*AF136-ERP_i)*AE136*Ramure*Pc/MaxiM</f>
        <v>6.7293701273821776E-5</v>
      </c>
      <c r="AE136" s="305">
        <f t="shared" si="40"/>
        <v>0.5</v>
      </c>
      <c r="AF136" s="177">
        <f t="shared" si="41"/>
        <v>0.58063668635824117</v>
      </c>
      <c r="AG136" s="811">
        <f t="shared" si="49"/>
        <v>0</v>
      </c>
      <c r="AH136" s="176">
        <f t="shared" si="42"/>
        <v>6</v>
      </c>
      <c r="AI136" s="225">
        <f t="shared" si="43"/>
        <v>0.58063668635824117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37.074274817199296</v>
      </c>
      <c r="C137" s="841"/>
      <c r="D137" s="393">
        <f t="shared" si="25"/>
        <v>38.556679412673603</v>
      </c>
      <c r="E137" s="385">
        <f t="shared" si="47"/>
        <v>38.765039635693789</v>
      </c>
      <c r="F137" s="385">
        <f t="shared" si="26"/>
        <v>38.766385347616016</v>
      </c>
      <c r="G137" s="110">
        <f t="shared" si="48"/>
        <v>0.62459797721755317</v>
      </c>
      <c r="H137" s="414" t="b">
        <f>Wh_hp&gt;='2022'!Maxi_hp</f>
        <v>0</v>
      </c>
      <c r="I137" s="390">
        <f>IF(H137,Wh_hp,'2022'!Maxi_hp)</f>
        <v>60.514631083164147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3.844741347168612E-2</v>
      </c>
      <c r="M137" s="845"/>
      <c r="N137" s="845"/>
      <c r="O137" s="48">
        <f>IF(t&lt;Tnet,'2022'!Resal+('2022'!Salim-'2022'!Resal)*(1-EXP(('2022'!Tnet-t)/('2022'!Tau_j))),Resal+(Salim-Resal)*(1-EXP((Tnet-t)/(Tau_j))))*Salcycl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7.4854079920611834E-5</v>
      </c>
      <c r="Q137" s="305">
        <f t="shared" si="28"/>
        <v>0.5</v>
      </c>
      <c r="R137" s="177">
        <f t="shared" si="29"/>
        <v>0.58354761762380492</v>
      </c>
      <c r="S137" s="811">
        <f t="shared" si="30"/>
        <v>0</v>
      </c>
      <c r="T137" s="176">
        <f t="shared" si="31"/>
        <v>6</v>
      </c>
      <c r="U137" s="251">
        <f t="shared" si="32"/>
        <v>0.58354761762380492</v>
      </c>
      <c r="V137" s="383">
        <f t="shared" si="33"/>
        <v>59.354637591078713</v>
      </c>
      <c r="W137" s="402">
        <f t="shared" si="34"/>
        <v>37.074274817199296</v>
      </c>
      <c r="X137" s="157">
        <f t="shared" si="35"/>
        <v>45049</v>
      </c>
      <c r="Y137" s="385">
        <f t="shared" si="36"/>
        <v>34.9796165888677</v>
      </c>
      <c r="Z137" s="385">
        <f t="shared" si="37"/>
        <v>36.378266856066212</v>
      </c>
      <c r="AA137" s="386">
        <f t="shared" si="38"/>
        <v>38.765039635693789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6.1570239629779824E-2</v>
      </c>
      <c r="AD137" s="231">
        <f>(INDEX(Models!$BJ137:$BT137,,AH137)*(1-AF137)+INDEX(Models!$BJ137:$BT137,,AH137+1)*AF137-ERP_i)*AE137*Ramure*Pc/MaxiM</f>
        <v>7.4854079920611834E-5</v>
      </c>
      <c r="AE137" s="305">
        <f t="shared" si="40"/>
        <v>0.5</v>
      </c>
      <c r="AF137" s="177">
        <f t="shared" si="41"/>
        <v>0.58354761762380492</v>
      </c>
      <c r="AG137" s="811">
        <f t="shared" si="49"/>
        <v>0</v>
      </c>
      <c r="AH137" s="176">
        <f t="shared" si="42"/>
        <v>6</v>
      </c>
      <c r="AI137" s="225">
        <f t="shared" si="43"/>
        <v>0.58354761762380492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20.56507371273409</v>
      </c>
      <c r="C138" s="841"/>
      <c r="D138" s="393">
        <f t="shared" si="25"/>
        <v>21.387830929502098</v>
      </c>
      <c r="E138" s="385">
        <f t="shared" si="47"/>
        <v>21.505717619781151</v>
      </c>
      <c r="F138" s="385">
        <f t="shared" si="26"/>
        <v>21.505834660760986</v>
      </c>
      <c r="G138" s="110">
        <f t="shared" si="48"/>
        <v>0.3458208083526933</v>
      </c>
      <c r="H138" s="414" t="b">
        <f>Wh_hp&gt;='2022'!Maxi_hp</f>
        <v>0</v>
      </c>
      <c r="I138" s="390">
        <f>IF(H138,Wh_hp,'2022'!Maxi_hp)</f>
        <v>57.253924122877009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3.8468473941090764E-2</v>
      </c>
      <c r="M138" s="845"/>
      <c r="N138" s="845"/>
      <c r="O138" s="48">
        <f>IF(t&lt;Tnet,'2022'!Resal+('2022'!Salim-'2022'!Resal)*(1-EXP(('2022'!Tnet-t)/('2022'!Tau_j))),Resal+(Salim-Resal)*(1-EXP((Tnet-t)/(Tau_j))))*Salcycl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8.3092624535359257E-5</v>
      </c>
      <c r="Q138" s="305">
        <f t="shared" si="28"/>
        <v>0.5</v>
      </c>
      <c r="R138" s="177">
        <f t="shared" si="29"/>
        <v>0.58653773854009539</v>
      </c>
      <c r="S138" s="811">
        <f t="shared" si="30"/>
        <v>0</v>
      </c>
      <c r="T138" s="176">
        <f t="shared" si="31"/>
        <v>6</v>
      </c>
      <c r="U138" s="251">
        <f t="shared" si="32"/>
        <v>0.58653773854009539</v>
      </c>
      <c r="V138" s="383">
        <f t="shared" si="33"/>
        <v>59.462809416051613</v>
      </c>
      <c r="W138" s="402">
        <f t="shared" si="34"/>
        <v>20.56507371273409</v>
      </c>
      <c r="X138" s="157">
        <f t="shared" si="35"/>
        <v>45050</v>
      </c>
      <c r="Y138" s="385">
        <f t="shared" si="36"/>
        <v>19.403595937061731</v>
      </c>
      <c r="Z138" s="385">
        <f t="shared" si="37"/>
        <v>20.179885330013558</v>
      </c>
      <c r="AA138" s="386">
        <f t="shared" si="38"/>
        <v>21.505717619781151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6.1650223127085159E-2</v>
      </c>
      <c r="AD138" s="231">
        <f>(INDEX(Models!$BJ138:$BT138,,AH138)*(1-AF138)+INDEX(Models!$BJ138:$BT138,,AH138+1)*AF138-ERP_i)*AE138*Ramure*Pc/MaxiM</f>
        <v>8.3092624535359257E-5</v>
      </c>
      <c r="AE138" s="305">
        <f t="shared" si="40"/>
        <v>0.5</v>
      </c>
      <c r="AF138" s="177">
        <f t="shared" si="41"/>
        <v>0.58653773854009539</v>
      </c>
      <c r="AG138" s="811">
        <f t="shared" si="49"/>
        <v>0</v>
      </c>
      <c r="AH138" s="176">
        <f t="shared" si="42"/>
        <v>6</v>
      </c>
      <c r="AI138" s="225">
        <f t="shared" si="43"/>
        <v>0.58653773854009539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43.104475658274396</v>
      </c>
      <c r="C139" s="841"/>
      <c r="D139" s="393">
        <f t="shared" si="25"/>
        <v>44.829959922659647</v>
      </c>
      <c r="E139" s="385">
        <f t="shared" si="47"/>
        <v>45.081896245236415</v>
      </c>
      <c r="F139" s="385">
        <f t="shared" si="26"/>
        <v>45.084407154225907</v>
      </c>
      <c r="G139" s="110">
        <f t="shared" si="48"/>
        <v>0.72361543119325888</v>
      </c>
      <c r="H139" s="414" t="b">
        <f>Wh_hp&gt;='2022'!Maxi_hp</f>
        <v>0</v>
      </c>
      <c r="I139" s="390">
        <f>IF(H139,Wh_hp,'2022'!Maxi_hp)</f>
        <v>60.369568048217943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3.8489533949217059E-2</v>
      </c>
      <c r="M139" s="845"/>
      <c r="N139" s="845"/>
      <c r="O139" s="48">
        <f>IF(t&lt;Tnet,'2022'!Resal+('2022'!Salim-'2022'!Resal)*(1-EXP(('2022'!Tnet-t)/('2022'!Tau_j))),Resal+(Salim-Resal)*(1-EXP((Tnet-t)/(Tau_j))))*Salcycl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9.2024596589476441E-5</v>
      </c>
      <c r="Q139" s="305">
        <f t="shared" si="28"/>
        <v>0.5</v>
      </c>
      <c r="R139" s="177">
        <f t="shared" si="29"/>
        <v>0.58960769660667178</v>
      </c>
      <c r="S139" s="811">
        <f t="shared" si="30"/>
        <v>0</v>
      </c>
      <c r="T139" s="176">
        <f t="shared" si="31"/>
        <v>6</v>
      </c>
      <c r="U139" s="251">
        <f t="shared" si="32"/>
        <v>0.58960769660667178</v>
      </c>
      <c r="V139" s="383">
        <f t="shared" si="33"/>
        <v>59.56604527855422</v>
      </c>
      <c r="W139" s="402">
        <f t="shared" si="34"/>
        <v>43.104475658274396</v>
      </c>
      <c r="X139" s="157">
        <f t="shared" si="35"/>
        <v>45051</v>
      </c>
      <c r="Y139" s="385">
        <f t="shared" si="36"/>
        <v>40.670879597161765</v>
      </c>
      <c r="Z139" s="385">
        <f t="shared" si="37"/>
        <v>42.298946327864208</v>
      </c>
      <c r="AA139" s="386">
        <f t="shared" si="38"/>
        <v>45.081896245236415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6.1730986252963235E-2</v>
      </c>
      <c r="AD139" s="231">
        <f>(INDEX(Models!$BJ139:$BT139,,AH139)*(1-AF139)+INDEX(Models!$BJ139:$BT139,,AH139+1)*AF139-ERP_i)*AE139*Ramure*Pc/MaxiM</f>
        <v>9.2024596589476441E-5</v>
      </c>
      <c r="AE139" s="305">
        <f t="shared" si="40"/>
        <v>0.5</v>
      </c>
      <c r="AF139" s="177">
        <f t="shared" si="41"/>
        <v>0.58960769660667178</v>
      </c>
      <c r="AG139" s="811">
        <f t="shared" si="49"/>
        <v>0</v>
      </c>
      <c r="AH139" s="176">
        <f t="shared" si="42"/>
        <v>6</v>
      </c>
      <c r="AI139" s="225">
        <f t="shared" si="43"/>
        <v>0.58960769660667178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39.431696481604639</v>
      </c>
      <c r="C140" s="841"/>
      <c r="D140" s="393">
        <f t="shared" si="25"/>
        <v>41.011056611619232</v>
      </c>
      <c r="E140" s="385">
        <f t="shared" si="47"/>
        <v>41.245963309114416</v>
      </c>
      <c r="F140" s="385">
        <f t="shared" si="26"/>
        <v>41.248125319934431</v>
      </c>
      <c r="G140" s="110">
        <f t="shared" si="48"/>
        <v>0.66085843930989685</v>
      </c>
      <c r="H140" s="414" t="b">
        <f>Wh_hp&gt;='2022'!Maxi_hp</f>
        <v>0</v>
      </c>
      <c r="I140" s="390">
        <f>IF(H140,Wh_hp,'2022'!Maxi_hp)</f>
        <v>64.189889106761925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3.8510593496075107E-2</v>
      </c>
      <c r="M140" s="845"/>
      <c r="N140" s="845"/>
      <c r="O140" s="48">
        <f>IF(t&lt;Tnet,'2022'!Resal+('2022'!Salim-'2022'!Resal)*(1-EXP(('2022'!Tnet-t)/('2022'!Tau_j))),Resal+(Salim-Resal)*(1-EXP((Tnet-t)/(Tau_j))))*Salcycl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1.0166597910284712E-4</v>
      </c>
      <c r="Q140" s="305">
        <f t="shared" si="28"/>
        <v>0.5</v>
      </c>
      <c r="R140" s="177">
        <f t="shared" si="29"/>
        <v>0.59275803596801313</v>
      </c>
      <c r="S140" s="811">
        <f t="shared" si="30"/>
        <v>0</v>
      </c>
      <c r="T140" s="176">
        <f t="shared" si="31"/>
        <v>6</v>
      </c>
      <c r="U140" s="251">
        <f t="shared" si="32"/>
        <v>0.59275803596801313</v>
      </c>
      <c r="V140" s="383">
        <f t="shared" si="33"/>
        <v>59.664448504401491</v>
      </c>
      <c r="W140" s="402">
        <f t="shared" si="34"/>
        <v>39.431696481604639</v>
      </c>
      <c r="X140" s="157">
        <f t="shared" si="35"/>
        <v>45052</v>
      </c>
      <c r="Y140" s="385">
        <f t="shared" si="36"/>
        <v>37.206223588111925</v>
      </c>
      <c r="Z140" s="385">
        <f t="shared" si="37"/>
        <v>38.696446717387772</v>
      </c>
      <c r="AA140" s="386">
        <f t="shared" si="38"/>
        <v>41.245963309114416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6.1812511751016729E-2</v>
      </c>
      <c r="AD140" s="231">
        <f>(INDEX(Models!$BJ140:$BT140,,AH140)*(1-AF140)+INDEX(Models!$BJ140:$BT140,,AH140+1)*AF140-ERP_i)*AE140*Ramure*Pc/MaxiM</f>
        <v>1.0166597910284712E-4</v>
      </c>
      <c r="AE140" s="305">
        <f t="shared" si="40"/>
        <v>0.5</v>
      </c>
      <c r="AF140" s="177">
        <f t="shared" si="41"/>
        <v>0.59275803596801313</v>
      </c>
      <c r="AG140" s="811">
        <f t="shared" si="49"/>
        <v>0</v>
      </c>
      <c r="AH140" s="176">
        <f t="shared" si="42"/>
        <v>6</v>
      </c>
      <c r="AI140" s="225">
        <f t="shared" si="43"/>
        <v>0.59275803596801313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53.616327969724757</v>
      </c>
      <c r="C141" s="841"/>
      <c r="D141" s="393">
        <f t="shared" si="25"/>
        <v>55.765047402436068</v>
      </c>
      <c r="E141" s="385">
        <f t="shared" si="47"/>
        <v>56.090495554610406</v>
      </c>
      <c r="F141" s="385">
        <f t="shared" si="26"/>
        <v>56.095857427687179</v>
      </c>
      <c r="G141" s="110">
        <f t="shared" si="48"/>
        <v>0.8972076735634269</v>
      </c>
      <c r="H141" s="414" t="b">
        <f>Wh_hp&gt;='2022'!Maxi_hp</f>
        <v>0</v>
      </c>
      <c r="I141" s="390">
        <f>IF(H141,Wh_hp,'2022'!Maxi_hp)</f>
        <v>60.114108347336412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3.8531652581675124E-2</v>
      </c>
      <c r="M141" s="845"/>
      <c r="N141" s="845"/>
      <c r="O141" s="48">
        <f>IF(t&lt;Tnet,'2022'!Resal+('2022'!Salim-'2022'!Resal)*(1-EXP(('2022'!Tnet-t)/('2022'!Tau_j))),Resal+(Salim-Resal)*(1-EXP((Tnet-t)/(Tau_j))))*Salcycl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1.1203343861636873E-4</v>
      </c>
      <c r="Q141" s="305">
        <f t="shared" si="28"/>
        <v>0.5</v>
      </c>
      <c r="R141" s="177">
        <f t="shared" si="29"/>
        <v>0.59598919037316545</v>
      </c>
      <c r="S141" s="811">
        <f t="shared" si="30"/>
        <v>0</v>
      </c>
      <c r="T141" s="176">
        <f t="shared" si="31"/>
        <v>6</v>
      </c>
      <c r="U141" s="251">
        <f t="shared" si="32"/>
        <v>0.59598919037316545</v>
      </c>
      <c r="V141" s="383">
        <f t="shared" si="33"/>
        <v>59.758122353460813</v>
      </c>
      <c r="W141" s="402">
        <f t="shared" si="34"/>
        <v>53.616327969724757</v>
      </c>
      <c r="X141" s="157">
        <f t="shared" si="35"/>
        <v>45053</v>
      </c>
      <c r="Y141" s="385">
        <f t="shared" si="36"/>
        <v>50.591297848305658</v>
      </c>
      <c r="Z141" s="385">
        <f t="shared" si="37"/>
        <v>52.618786654964012</v>
      </c>
      <c r="AA141" s="386">
        <f t="shared" si="38"/>
        <v>56.090495554610406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6.1894780306697331E-2</v>
      </c>
      <c r="AD141" s="231">
        <f>(INDEX(Models!$BJ141:$BT141,,AH141)*(1-AF141)+INDEX(Models!$BJ141:$BT141,,AH141+1)*AF141-ERP_i)*AE141*Ramure*Pc/MaxiM</f>
        <v>1.1203343861636873E-4</v>
      </c>
      <c r="AE141" s="305">
        <f t="shared" si="40"/>
        <v>0.5</v>
      </c>
      <c r="AF141" s="177">
        <f t="shared" si="41"/>
        <v>0.59598919037316545</v>
      </c>
      <c r="AG141" s="811">
        <f t="shared" si="49"/>
        <v>0</v>
      </c>
      <c r="AH141" s="176">
        <f t="shared" si="42"/>
        <v>6</v>
      </c>
      <c r="AI141" s="225">
        <f t="shared" si="43"/>
        <v>0.59598919037316545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51.024308189163037</v>
      </c>
      <c r="C142" s="841"/>
      <c r="D142" s="393">
        <f t="shared" si="25"/>
        <v>53.070312625424599</v>
      </c>
      <c r="E142" s="385">
        <f t="shared" si="47"/>
        <v>53.385780627343024</v>
      </c>
      <c r="F142" s="385">
        <f t="shared" si="26"/>
        <v>53.39094741806079</v>
      </c>
      <c r="G142" s="110">
        <f t="shared" si="48"/>
        <v>0.85255430539164112</v>
      </c>
      <c r="H142" s="414" t="b">
        <f>Wh_hp&gt;='2022'!Maxi_hp</f>
        <v>0</v>
      </c>
      <c r="I142" s="390">
        <f>IF(H142,Wh_hp,'2022'!Maxi_hp)</f>
        <v>60.745186891784464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3.8552711206026991E-2</v>
      </c>
      <c r="M142" s="845"/>
      <c r="N142" s="845"/>
      <c r="O142" s="48">
        <f>IF(t&lt;Tnet,'2022'!Resal+('2022'!Salim-'2022'!Resal)*(1-EXP(('2022'!Tnet-t)/('2022'!Tau_j))),Resal+(Salim-Resal)*(1-EXP((Tnet-t)/(Tau_j))))*Salcycl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1.2259112026610609E-4</v>
      </c>
      <c r="Q142" s="305">
        <f t="shared" si="28"/>
        <v>0.5</v>
      </c>
      <c r="R142" s="177">
        <f t="shared" si="29"/>
        <v>0.59930147617129836</v>
      </c>
      <c r="S142" s="811">
        <f t="shared" si="30"/>
        <v>0</v>
      </c>
      <c r="T142" s="176">
        <f t="shared" si="31"/>
        <v>6</v>
      </c>
      <c r="U142" s="251">
        <f t="shared" si="32"/>
        <v>0.59930147617129836</v>
      </c>
      <c r="V142" s="383">
        <f t="shared" si="33"/>
        <v>59.84720313572533</v>
      </c>
      <c r="W142" s="402">
        <f t="shared" si="34"/>
        <v>51.024308189163037</v>
      </c>
      <c r="X142" s="157">
        <f t="shared" si="35"/>
        <v>45054</v>
      </c>
      <c r="Y142" s="385">
        <f t="shared" si="36"/>
        <v>48.1464429598214</v>
      </c>
      <c r="Z142" s="385">
        <f t="shared" si="37"/>
        <v>50.077048966684039</v>
      </c>
      <c r="AA142" s="386">
        <f t="shared" si="38"/>
        <v>53.385780627343024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6.1977770518247849E-2</v>
      </c>
      <c r="AD142" s="231">
        <f>(INDEX(Models!$BJ142:$BT142,,AH142)*(1-AF142)+INDEX(Models!$BJ142:$BT142,,AH142+1)*AF142-ERP_i)*AE142*Ramure*Pc/MaxiM</f>
        <v>1.2259112026610609E-4</v>
      </c>
      <c r="AE142" s="305">
        <f t="shared" si="40"/>
        <v>0.5</v>
      </c>
      <c r="AF142" s="177">
        <f t="shared" si="41"/>
        <v>0.59930147617129836</v>
      </c>
      <c r="AG142" s="811">
        <f t="shared" si="49"/>
        <v>0</v>
      </c>
      <c r="AH142" s="176">
        <f t="shared" si="42"/>
        <v>6</v>
      </c>
      <c r="AI142" s="225">
        <f t="shared" si="43"/>
        <v>0.59930147617129836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53.392783574860864</v>
      </c>
      <c r="C143" s="841"/>
      <c r="D143" s="393">
        <f t="shared" ref="D143:D206" si="50">Wh/(1-Ppv)</f>
        <v>55.534976968358897</v>
      </c>
      <c r="E143" s="385">
        <f t="shared" si="47"/>
        <v>55.871115178882697</v>
      </c>
      <c r="F143" s="385">
        <f t="shared" ref="F143:F206" si="51">Wh_sa/(1-Pvg*MEDIAN((-Sdif+Wh/Env_an)/Csdif,0,1))</f>
        <v>55.877394408947396</v>
      </c>
      <c r="G143" s="110">
        <f t="shared" si="48"/>
        <v>0.89087376642051386</v>
      </c>
      <c r="H143" s="414" t="b">
        <f>Wh_hp&gt;='2022'!Maxi_hp</f>
        <v>0</v>
      </c>
      <c r="I143" s="390">
        <f>IF(H143,Wh_hp,'2022'!Maxi_hp)</f>
        <v>55.877643331762144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3.8573769369141031E-2</v>
      </c>
      <c r="M143" s="845"/>
      <c r="N143" s="845"/>
      <c r="O143" s="48">
        <f>IF(t&lt;Tnet,'2022'!Resal+('2022'!Salim-'2022'!Resal)*(1-EXP(('2022'!Tnet-t)/('2022'!Tau_j))),Resal+(Salim-Resal)*(1-EXP((Tnet-t)/(Tau_j))))*Salcycl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1.3312511370423645E-4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0.6026950853886438</v>
      </c>
      <c r="S143" s="81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0.6026950853886438</v>
      </c>
      <c r="V143" s="383">
        <f t="shared" ref="V143:V206" si="58">MaxiM*(1-Ppv)*(1-Pvg)*(1-Psa)</f>
        <v>59.931808033880756</v>
      </c>
      <c r="W143" s="402">
        <f t="shared" ref="W143:W206" si="59">Wh*(A143&gt;Tmaj)</f>
        <v>53.392783574860864</v>
      </c>
      <c r="X143" s="157">
        <f t="shared" ref="X143:X206" si="60">t</f>
        <v>45055</v>
      </c>
      <c r="Y143" s="385">
        <f t="shared" ref="Y143:Y206" si="61">Wh_pvt_s*(1-Ppv)</f>
        <v>50.382265093996047</v>
      </c>
      <c r="Z143" s="385">
        <f t="shared" ref="Z143:Z206" si="62">Wh_sa_s*(1-Psa_s)</f>
        <v>52.403672261923539</v>
      </c>
      <c r="AA143" s="386">
        <f t="shared" ref="AA143:AA206" si="63">Wh_hp*(1-Pvg_s*MEDIAN((-Sdif+Wh/Env_an)/Csdif,0,1))</f>
        <v>55.871115178882697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6.2061458874723252E-2</v>
      </c>
      <c r="AD143" s="231">
        <f>(INDEX(Models!$BJ143:$BT143,,AH143)*(1-AF143)+INDEX(Models!$BJ143:$BT143,,AH143+1)*AF143-ERP_i)*AE143*Ramure*Pc/MaxiM</f>
        <v>1.3312511370423645E-4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0.6026950853886438</v>
      </c>
      <c r="AG143" s="81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0.6026950853886438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53.050245788280954</v>
      </c>
      <c r="C144" s="841"/>
      <c r="D144" s="393">
        <f t="shared" si="50"/>
        <v>55.179904666687527</v>
      </c>
      <c r="E144" s="385">
        <f t="shared" ref="E144:E169" si="72">Wh_pvt/(1-Psa)</f>
        <v>55.519880689455483</v>
      </c>
      <c r="F144" s="385">
        <f t="shared" si="51"/>
        <v>55.526534718534592</v>
      </c>
      <c r="G144" s="110">
        <f t="shared" ref="G144:G169" si="73">+Wh_hp/MaxiM</f>
        <v>0.88397231219436645</v>
      </c>
      <c r="H144" s="414" t="b">
        <f>Wh_hp&gt;='2022'!Maxi_hp</f>
        <v>0</v>
      </c>
      <c r="I144" s="390">
        <f>IF(H144,Wh_hp,'2022'!Maxi_hp)</f>
        <v>55.526820084927458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3.8594827071027238E-2</v>
      </c>
      <c r="M144" s="845"/>
      <c r="N144" s="845"/>
      <c r="O144" s="48">
        <f>IF(t&lt;Tnet,'2022'!Resal+('2022'!Salim-'2022'!Resal)*(1-EXP(('2022'!Tnet-t)/('2022'!Tau_j))),Resal+(Salim-Resal)*(1-EXP((Tnet-t)/(Tau_j))))*Salcycl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1.4363962278251551E-4</v>
      </c>
      <c r="Q144" s="305">
        <f t="shared" si="53"/>
        <v>0.5</v>
      </c>
      <c r="R144" s="177">
        <f t="shared" si="54"/>
        <v>0.60617007893536201</v>
      </c>
      <c r="S144" s="811">
        <f t="shared" si="55"/>
        <v>0</v>
      </c>
      <c r="T144" s="176">
        <f t="shared" si="56"/>
        <v>6</v>
      </c>
      <c r="U144" s="251">
        <f t="shared" si="57"/>
        <v>0.60617007893536201</v>
      </c>
      <c r="V144" s="383">
        <f t="shared" si="58"/>
        <v>60.012041181065058</v>
      </c>
      <c r="W144" s="402">
        <f t="shared" si="59"/>
        <v>53.050245788280954</v>
      </c>
      <c r="X144" s="157">
        <f t="shared" si="60"/>
        <v>45056</v>
      </c>
      <c r="Y144" s="385">
        <f t="shared" si="61"/>
        <v>50.059936829524673</v>
      </c>
      <c r="Z144" s="385">
        <f t="shared" si="62"/>
        <v>52.069552192042373</v>
      </c>
      <c r="AA144" s="386">
        <f t="shared" si="63"/>
        <v>55.519880689455483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6.2145819741799481E-2</v>
      </c>
      <c r="AD144" s="231">
        <f>(INDEX(Models!$BJ144:$BT144,,AH144)*(1-AF144)+INDEX(Models!$BJ144:$BT144,,AH144+1)*AF144-ERP_i)*AE144*Ramure*Pc/MaxiM</f>
        <v>1.4363962278251551E-4</v>
      </c>
      <c r="AE144" s="305">
        <f t="shared" si="65"/>
        <v>0.5</v>
      </c>
      <c r="AF144" s="177">
        <f t="shared" si="66"/>
        <v>0.60617007893536201</v>
      </c>
      <c r="AG144" s="811">
        <f t="shared" ref="AG144:AG207" si="74">INDEX(Echel_vg,AH144)</f>
        <v>0</v>
      </c>
      <c r="AH144" s="176">
        <f t="shared" si="67"/>
        <v>6</v>
      </c>
      <c r="AI144" s="225">
        <f t="shared" si="68"/>
        <v>0.60617007893536201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57.264029466712273</v>
      </c>
      <c r="C145" s="841"/>
      <c r="D145" s="393">
        <f t="shared" si="50"/>
        <v>59.564151864225479</v>
      </c>
      <c r="E145" s="385">
        <f t="shared" si="72"/>
        <v>59.937609446189256</v>
      </c>
      <c r="F145" s="385">
        <f t="shared" si="51"/>
        <v>59.946229101028969</v>
      </c>
      <c r="G145" s="110">
        <f t="shared" si="73"/>
        <v>0.95299278381599928</v>
      </c>
      <c r="H145" s="414" t="b">
        <f>Wh_hp&gt;='2022'!Maxi_hp</f>
        <v>0</v>
      </c>
      <c r="I145" s="390">
        <f>IF(H145,Wh_hp,'2022'!Maxi_hp)</f>
        <v>59.946364032556687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3.8615884311695714E-2</v>
      </c>
      <c r="M145" s="845"/>
      <c r="N145" s="845"/>
      <c r="O145" s="48">
        <f>IF(t&lt;Tnet,'2022'!Resal+('2022'!Salim-'2022'!Resal)*(1-EXP(('2022'!Tnet-t)/('2022'!Tau_j))),Resal+(Salim-Resal)*(1-EXP((Tnet-t)/(Tau_j))))*Salcycl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1.5413849147368616E-4</v>
      </c>
      <c r="Q145" s="305">
        <f t="shared" si="53"/>
        <v>0.5</v>
      </c>
      <c r="R145" s="177">
        <f t="shared" si="54"/>
        <v>0.60972637999372625</v>
      </c>
      <c r="S145" s="811">
        <f t="shared" si="55"/>
        <v>0</v>
      </c>
      <c r="T145" s="176">
        <f t="shared" si="56"/>
        <v>6</v>
      </c>
      <c r="U145" s="251">
        <f t="shared" si="57"/>
        <v>0.60972637999372625</v>
      </c>
      <c r="V145" s="383">
        <f t="shared" si="58"/>
        <v>60.088006693010996</v>
      </c>
      <c r="W145" s="402">
        <f t="shared" si="59"/>
        <v>57.264029466712273</v>
      </c>
      <c r="X145" s="157">
        <f t="shared" si="60"/>
        <v>45057</v>
      </c>
      <c r="Y145" s="385">
        <f t="shared" si="61"/>
        <v>54.037134718707897</v>
      </c>
      <c r="Z145" s="385">
        <f t="shared" si="62"/>
        <v>56.207642540484386</v>
      </c>
      <c r="AA145" s="386">
        <f t="shared" si="63"/>
        <v>59.937609446189256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6.2230825356048805E-2</v>
      </c>
      <c r="AD145" s="231">
        <f>(INDEX(Models!$BJ145:$BT145,,AH145)*(1-AF145)+INDEX(Models!$BJ145:$BT145,,AH145+1)*AF145-ERP_i)*AE145*Ramure*Pc/MaxiM</f>
        <v>1.5413849147368616E-4</v>
      </c>
      <c r="AE145" s="305">
        <f t="shared" si="65"/>
        <v>0.5</v>
      </c>
      <c r="AF145" s="177">
        <f t="shared" si="66"/>
        <v>0.60972637999372625</v>
      </c>
      <c r="AG145" s="811">
        <f t="shared" si="74"/>
        <v>0</v>
      </c>
      <c r="AH145" s="176">
        <f t="shared" si="67"/>
        <v>6</v>
      </c>
      <c r="AI145" s="225">
        <f t="shared" si="68"/>
        <v>0.60972637999372625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41.753169445841394</v>
      </c>
      <c r="C146" s="841"/>
      <c r="D146" s="393">
        <f t="shared" si="50"/>
        <v>43.431218891676217</v>
      </c>
      <c r="E146" s="385">
        <f t="shared" si="72"/>
        <v>43.708247399359976</v>
      </c>
      <c r="F146" s="385">
        <f t="shared" si="51"/>
        <v>43.712298188010614</v>
      </c>
      <c r="G146" s="110">
        <f t="shared" si="73"/>
        <v>0.69398765881211077</v>
      </c>
      <c r="H146" s="414" t="b">
        <f>Wh_hp&gt;='2022'!Maxi_hp</f>
        <v>0</v>
      </c>
      <c r="I146" s="390">
        <f>IF(H146,Wh_hp,'2022'!Maxi_hp)</f>
        <v>59.238727729135654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3.8636941091156562E-2</v>
      </c>
      <c r="M146" s="845"/>
      <c r="N146" s="845"/>
      <c r="O146" s="48">
        <f>IF(t&lt;Tnet,'2022'!Resal+('2022'!Salim-'2022'!Resal)*(1-EXP(('2022'!Tnet-t)/('2022'!Tau_j))),Resal+(Salim-Resal)*(1-EXP((Tnet-t)/(Tau_j))))*Salcycl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1.6462519984195386E-4</v>
      </c>
      <c r="Q146" s="305">
        <f t="shared" si="53"/>
        <v>0.5</v>
      </c>
      <c r="R146" s="177">
        <f t="shared" si="54"/>
        <v>0.61336376764155509</v>
      </c>
      <c r="S146" s="811">
        <f t="shared" si="55"/>
        <v>0</v>
      </c>
      <c r="T146" s="176">
        <f t="shared" si="56"/>
        <v>6</v>
      </c>
      <c r="U146" s="251">
        <f t="shared" si="57"/>
        <v>0.61336376764155509</v>
      </c>
      <c r="V146" s="383">
        <f t="shared" si="58"/>
        <v>60.159808680943947</v>
      </c>
      <c r="W146" s="402">
        <f t="shared" si="59"/>
        <v>41.753169445841394</v>
      </c>
      <c r="X146" s="157">
        <f t="shared" si="60"/>
        <v>45058</v>
      </c>
      <c r="Y146" s="385">
        <f t="shared" si="61"/>
        <v>39.400988871673547</v>
      </c>
      <c r="Z146" s="385">
        <f t="shared" si="62"/>
        <v>40.984504768046797</v>
      </c>
      <c r="AA146" s="386">
        <f t="shared" si="63"/>
        <v>43.708247399359976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6.2316445828323526E-2</v>
      </c>
      <c r="AD146" s="231">
        <f>(INDEX(Models!$BJ146:$BT146,,AH146)*(1-AF146)+INDEX(Models!$BJ146:$BT146,,AH146+1)*AF146-ERP_i)*AE146*Ramure*Pc/MaxiM</f>
        <v>1.6462519984195386E-4</v>
      </c>
      <c r="AE146" s="305">
        <f t="shared" si="65"/>
        <v>0.5</v>
      </c>
      <c r="AF146" s="177">
        <f t="shared" si="66"/>
        <v>0.61336376764155509</v>
      </c>
      <c r="AG146" s="811">
        <f t="shared" si="74"/>
        <v>0</v>
      </c>
      <c r="AH146" s="176">
        <f t="shared" si="67"/>
        <v>6</v>
      </c>
      <c r="AI146" s="225">
        <f t="shared" si="68"/>
        <v>0.61336376764155509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42.469846085126889</v>
      </c>
      <c r="C147" s="841"/>
      <c r="D147" s="393">
        <f t="shared" si="50"/>
        <v>44.177666190264347</v>
      </c>
      <c r="E147" s="385">
        <f t="shared" si="72"/>
        <v>44.464263746994362</v>
      </c>
      <c r="F147" s="385">
        <f t="shared" si="51"/>
        <v>44.468770596719153</v>
      </c>
      <c r="G147" s="110">
        <f t="shared" si="73"/>
        <v>0.70510443412521495</v>
      </c>
      <c r="H147" s="414" t="b">
        <f>Wh_hp&gt;='2022'!Maxi_hp</f>
        <v>0</v>
      </c>
      <c r="I147" s="390">
        <f>IF(H147,Wh_hp,'2022'!Maxi_hp)</f>
        <v>65.408960512497771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3.8657997409419886E-2</v>
      </c>
      <c r="M147" s="845"/>
      <c r="N147" s="845"/>
      <c r="O147" s="48">
        <f>IF(t&lt;Tnet,'2022'!Resal+('2022'!Salim-'2022'!Resal)*(1-EXP(('2022'!Tnet-t)/('2022'!Tau_j))),Resal+(Salim-Resal)*(1-EXP((Tnet-t)/(Tau_j))))*Salcycl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1.7510286006743668E-4</v>
      </c>
      <c r="Q147" s="305">
        <f t="shared" si="53"/>
        <v>0.5</v>
      </c>
      <c r="R147" s="177">
        <f t="shared" si="54"/>
        <v>0.61708187076700716</v>
      </c>
      <c r="S147" s="811">
        <f t="shared" si="55"/>
        <v>0</v>
      </c>
      <c r="T147" s="176">
        <f t="shared" si="56"/>
        <v>6</v>
      </c>
      <c r="U147" s="251">
        <f t="shared" si="57"/>
        <v>0.61708187076700716</v>
      </c>
      <c r="V147" s="383">
        <f t="shared" si="58"/>
        <v>60.227551242445138</v>
      </c>
      <c r="W147" s="402">
        <f t="shared" si="59"/>
        <v>42.469846085126889</v>
      </c>
      <c r="X147" s="157">
        <f t="shared" si="60"/>
        <v>45059</v>
      </c>
      <c r="Y147" s="385">
        <f t="shared" si="61"/>
        <v>40.077940379371604</v>
      </c>
      <c r="Z147" s="385">
        <f t="shared" si="62"/>
        <v>41.68957589637342</v>
      </c>
      <c r="AA147" s="386">
        <f t="shared" si="63"/>
        <v>44.464263746994362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6.240264915684126E-2</v>
      </c>
      <c r="AD147" s="231">
        <f>(INDEX(Models!$BJ147:$BT147,,AH147)*(1-AF147)+INDEX(Models!$BJ147:$BT147,,AH147+1)*AF147-ERP_i)*AE147*Ramure*Pc/MaxiM</f>
        <v>1.7510286006743668E-4</v>
      </c>
      <c r="AE147" s="305">
        <f t="shared" si="65"/>
        <v>0.5</v>
      </c>
      <c r="AF147" s="177">
        <f t="shared" si="66"/>
        <v>0.61708187076700716</v>
      </c>
      <c r="AG147" s="811">
        <f t="shared" si="74"/>
        <v>0</v>
      </c>
      <c r="AH147" s="176">
        <f t="shared" si="67"/>
        <v>6</v>
      </c>
      <c r="AI147" s="225">
        <f t="shared" si="68"/>
        <v>0.61708187076700716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51.38232962704074</v>
      </c>
      <c r="C148" s="841"/>
      <c r="D148" s="393">
        <f t="shared" si="50"/>
        <v>53.449713960393773</v>
      </c>
      <c r="E148" s="385">
        <f t="shared" si="72"/>
        <v>53.80228552692467</v>
      </c>
      <c r="F148" s="385">
        <f t="shared" si="51"/>
        <v>53.810163365050478</v>
      </c>
      <c r="G148" s="110">
        <f t="shared" si="73"/>
        <v>0.8522006278565788</v>
      </c>
      <c r="H148" s="414" t="b">
        <f>Wh_hp&gt;='2022'!Maxi_hp</f>
        <v>0</v>
      </c>
      <c r="I148" s="390">
        <f>IF(H148,Wh_hp,'2022'!Maxi_hp)</f>
        <v>63.832836981428784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3.8679053266495789E-2</v>
      </c>
      <c r="M148" s="845"/>
      <c r="N148" s="845"/>
      <c r="O148" s="48">
        <f>IF(t&lt;Tnet,'2022'!Resal+('2022'!Salim-'2022'!Resal)*(1-EXP(('2022'!Tnet-t)/('2022'!Tau_j))),Resal+(Salim-Resal)*(1-EXP((Tnet-t)/(Tau_j))))*Salcycl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1.8557421250214211E-4</v>
      </c>
      <c r="Q148" s="305">
        <f t="shared" si="53"/>
        <v>0.5</v>
      </c>
      <c r="R148" s="177">
        <f t="shared" si="54"/>
        <v>0.62088016233260945</v>
      </c>
      <c r="S148" s="811">
        <f t="shared" si="55"/>
        <v>0</v>
      </c>
      <c r="T148" s="176">
        <f t="shared" si="56"/>
        <v>6</v>
      </c>
      <c r="U148" s="251">
        <f t="shared" si="57"/>
        <v>0.62088016233260945</v>
      </c>
      <c r="V148" s="383">
        <f t="shared" si="58"/>
        <v>60.291338470488917</v>
      </c>
      <c r="W148" s="402">
        <f t="shared" si="59"/>
        <v>51.38232962704074</v>
      </c>
      <c r="X148" s="157">
        <f t="shared" si="60"/>
        <v>45060</v>
      </c>
      <c r="Y148" s="385">
        <f t="shared" si="61"/>
        <v>48.48923323619249</v>
      </c>
      <c r="Z148" s="385">
        <f t="shared" si="62"/>
        <v>50.440212918438149</v>
      </c>
      <c r="AA148" s="386">
        <f t="shared" si="63"/>
        <v>53.80228552692467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6.2489401250510265E-2</v>
      </c>
      <c r="AD148" s="231">
        <f>(INDEX(Models!$BJ148:$BT148,,AH148)*(1-AF148)+INDEX(Models!$BJ148:$BT148,,AH148+1)*AF148-ERP_i)*AE148*Ramure*Pc/MaxiM</f>
        <v>1.8557421250214211E-4</v>
      </c>
      <c r="AE148" s="305">
        <f t="shared" si="65"/>
        <v>0.5</v>
      </c>
      <c r="AF148" s="177">
        <f t="shared" si="66"/>
        <v>0.62088016233260945</v>
      </c>
      <c r="AG148" s="811">
        <f t="shared" si="74"/>
        <v>0</v>
      </c>
      <c r="AH148" s="176">
        <f t="shared" si="67"/>
        <v>6</v>
      </c>
      <c r="AI148" s="225">
        <f t="shared" si="68"/>
        <v>0.62088016233260945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54.359908753039242</v>
      </c>
      <c r="C149" s="841"/>
      <c r="D149" s="393">
        <f t="shared" si="50"/>
        <v>56.548335480824697</v>
      </c>
      <c r="E149" s="385">
        <f t="shared" si="72"/>
        <v>56.927512834158122</v>
      </c>
      <c r="F149" s="385">
        <f t="shared" si="51"/>
        <v>56.937092137370726</v>
      </c>
      <c r="G149" s="110">
        <f t="shared" si="73"/>
        <v>0.90071052795709639</v>
      </c>
      <c r="H149" s="414" t="b">
        <f>Wh_hp&gt;='2022'!Maxi_hp</f>
        <v>0</v>
      </c>
      <c r="I149" s="390">
        <f>IF(H149,Wh_hp,'2022'!Maxi_hp)</f>
        <v>64.337487236928794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3.8700108662394483E-2</v>
      </c>
      <c r="M149" s="845"/>
      <c r="N149" s="845"/>
      <c r="O149" s="48">
        <f>IF(t&lt;Tnet,'2022'!Resal+('2022'!Salim-'2022'!Resal)*(1-EXP(('2022'!Tnet-t)/('2022'!Tau_j))),Resal+(Salim-Resal)*(1-EXP((Tnet-t)/(Tau_j))))*Salcycl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1.9604389711942472E-4</v>
      </c>
      <c r="Q149" s="305">
        <f t="shared" si="53"/>
        <v>0.5</v>
      </c>
      <c r="R149" s="177">
        <f t="shared" si="54"/>
        <v>0.62475795404764911</v>
      </c>
      <c r="S149" s="811">
        <f t="shared" si="55"/>
        <v>0</v>
      </c>
      <c r="T149" s="176">
        <f t="shared" si="56"/>
        <v>6</v>
      </c>
      <c r="U149" s="251">
        <f t="shared" si="57"/>
        <v>0.62475795404764911</v>
      </c>
      <c r="V149" s="383">
        <f t="shared" si="58"/>
        <v>60.350573898800562</v>
      </c>
      <c r="W149" s="402">
        <f t="shared" si="59"/>
        <v>54.359908753039242</v>
      </c>
      <c r="X149" s="157">
        <f t="shared" si="60"/>
        <v>45061</v>
      </c>
      <c r="Y149" s="385">
        <f t="shared" si="61"/>
        <v>51.299940658010264</v>
      </c>
      <c r="Z149" s="385">
        <f t="shared" si="62"/>
        <v>53.36517887943242</v>
      </c>
      <c r="AA149" s="386">
        <f t="shared" si="63"/>
        <v>56.927512834158122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6.2576665962968264E-2</v>
      </c>
      <c r="AD149" s="231">
        <f>(INDEX(Models!$BJ149:$BT149,,AH149)*(1-AF149)+INDEX(Models!$BJ149:$BT149,,AH149+1)*AF149-ERP_i)*AE149*Ramure*Pc/MaxiM</f>
        <v>1.9604389711942472E-4</v>
      </c>
      <c r="AE149" s="305">
        <f t="shared" si="65"/>
        <v>0.5</v>
      </c>
      <c r="AF149" s="177">
        <f t="shared" si="66"/>
        <v>0.62475795404764911</v>
      </c>
      <c r="AG149" s="811">
        <f t="shared" si="74"/>
        <v>0</v>
      </c>
      <c r="AH149" s="176">
        <f t="shared" si="67"/>
        <v>6</v>
      </c>
      <c r="AI149" s="225">
        <f t="shared" si="68"/>
        <v>0.62475795404764911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51.815961747985867</v>
      </c>
      <c r="C150" s="841"/>
      <c r="D150" s="393">
        <f t="shared" si="50"/>
        <v>53.903154616284176</v>
      </c>
      <c r="E150" s="385">
        <f t="shared" si="72"/>
        <v>54.270478579030268</v>
      </c>
      <c r="F150" s="385">
        <f t="shared" si="51"/>
        <v>54.279356224534844</v>
      </c>
      <c r="G150" s="110">
        <f t="shared" si="73"/>
        <v>0.8577761291987227</v>
      </c>
      <c r="H150" s="414" t="b">
        <f>Wh_hp&gt;='2022'!Maxi_hp</f>
        <v>0</v>
      </c>
      <c r="I150" s="390">
        <f>IF(H150,Wh_hp,'2022'!Maxi_hp)</f>
        <v>55.759884023555387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3.8721163597125852E-2</v>
      </c>
      <c r="M150" s="845"/>
      <c r="N150" s="845"/>
      <c r="O150" s="48">
        <f>IF(t&lt;Tnet,'2022'!Resal+('2022'!Salim-'2022'!Resal)*(1-EXP(('2022'!Tnet-t)/('2022'!Tau_j))),Resal+(Salim-Resal)*(1-EXP((Tnet-t)/(Tau_j))))*Salcycl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2.0524537417630179E-4</v>
      </c>
      <c r="Q150" s="305">
        <f t="shared" si="53"/>
        <v>0.5</v>
      </c>
      <c r="R150" s="177">
        <f t="shared" si="54"/>
        <v>0.62871439150877528</v>
      </c>
      <c r="S150" s="811">
        <f t="shared" si="55"/>
        <v>0</v>
      </c>
      <c r="T150" s="176">
        <f t="shared" si="56"/>
        <v>6</v>
      </c>
      <c r="U150" s="251">
        <f t="shared" si="57"/>
        <v>0.62871439150877528</v>
      </c>
      <c r="V150" s="383">
        <f t="shared" si="58"/>
        <v>60.404806557438121</v>
      </c>
      <c r="W150" s="402">
        <f t="shared" si="59"/>
        <v>51.815961747985867</v>
      </c>
      <c r="X150" s="157">
        <f t="shared" si="60"/>
        <v>45062</v>
      </c>
      <c r="Y150" s="385">
        <f t="shared" si="61"/>
        <v>48.899919231354161</v>
      </c>
      <c r="Z150" s="385">
        <f t="shared" si="62"/>
        <v>50.869651322335045</v>
      </c>
      <c r="AA150" s="386">
        <f t="shared" si="63"/>
        <v>54.270478579030268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6.2664405137736898E-2</v>
      </c>
      <c r="AD150" s="231">
        <f>(INDEX(Models!$BJ150:$BT150,,AH150)*(1-AF150)+INDEX(Models!$BJ150:$BT150,,AH150+1)*AF150-ERP_i)*AE150*Ramure*Pc/MaxiM</f>
        <v>2.0524537417630179E-4</v>
      </c>
      <c r="AE150" s="305">
        <f t="shared" si="65"/>
        <v>0.5</v>
      </c>
      <c r="AF150" s="177">
        <f t="shared" si="66"/>
        <v>0.62871439150877528</v>
      </c>
      <c r="AG150" s="811">
        <f t="shared" si="74"/>
        <v>0</v>
      </c>
      <c r="AH150" s="176">
        <f t="shared" si="67"/>
        <v>6</v>
      </c>
      <c r="AI150" s="225">
        <f t="shared" si="68"/>
        <v>0.62871439150877528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55.177441140284294</v>
      </c>
      <c r="C151" s="841"/>
      <c r="D151" s="393">
        <f t="shared" si="50"/>
        <v>57.401294613750736</v>
      </c>
      <c r="E151" s="385">
        <f t="shared" si="72"/>
        <v>57.798727968807867</v>
      </c>
      <c r="F151" s="385">
        <f t="shared" si="51"/>
        <v>57.809493068628896</v>
      </c>
      <c r="G151" s="110">
        <f t="shared" si="73"/>
        <v>0.91268949331018268</v>
      </c>
      <c r="H151" s="414" t="b">
        <f>Wh_hp&gt;='2022'!Maxi_hp</f>
        <v>0</v>
      </c>
      <c r="I151" s="390">
        <f>IF(H151,Wh_hp,'2022'!Maxi_hp)</f>
        <v>59.143869986274652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3.8742218070700218E-2</v>
      </c>
      <c r="M151" s="845"/>
      <c r="N151" s="845"/>
      <c r="O151" s="48">
        <f>IF(t&lt;Tnet,'2022'!Resal+('2022'!Salim-'2022'!Resal)*(1-EXP(('2022'!Tnet-t)/('2022'!Tau_j))),Resal+(Salim-Resal)*(1-EXP((Tnet-t)/(Tau_j))))*Salcycl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2.1274499008849221E-4</v>
      </c>
      <c r="Q151" s="305">
        <f t="shared" si="53"/>
        <v>0.5</v>
      </c>
      <c r="R151" s="177">
        <f t="shared" si="54"/>
        <v>0.63274844986874901</v>
      </c>
      <c r="S151" s="811">
        <f t="shared" si="55"/>
        <v>0</v>
      </c>
      <c r="T151" s="176">
        <f t="shared" si="56"/>
        <v>6</v>
      </c>
      <c r="U151" s="251">
        <f t="shared" si="57"/>
        <v>0.63274844986874901</v>
      </c>
      <c r="V151" s="383">
        <f t="shared" si="58"/>
        <v>60.454270061619376</v>
      </c>
      <c r="W151" s="402">
        <f t="shared" si="59"/>
        <v>55.177441140284294</v>
      </c>
      <c r="X151" s="157">
        <f t="shared" si="60"/>
        <v>45063</v>
      </c>
      <c r="Y151" s="385">
        <f t="shared" si="61"/>
        <v>52.072976591749331</v>
      </c>
      <c r="Z151" s="385">
        <f t="shared" si="62"/>
        <v>54.171708745219064</v>
      </c>
      <c r="AA151" s="386">
        <f t="shared" si="63"/>
        <v>57.798727968807867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6.2752578664814054E-2</v>
      </c>
      <c r="AD151" s="231">
        <f>(INDEX(Models!$BJ151:$BT151,,AH151)*(1-AF151)+INDEX(Models!$BJ151:$BT151,,AH151+1)*AF151-ERP_i)*AE151*Ramure*Pc/MaxiM</f>
        <v>2.1274499008849221E-4</v>
      </c>
      <c r="AE151" s="305">
        <f t="shared" si="65"/>
        <v>0.5</v>
      </c>
      <c r="AF151" s="177">
        <f t="shared" si="66"/>
        <v>0.63274844986874901</v>
      </c>
      <c r="AG151" s="811">
        <f t="shared" si="74"/>
        <v>0</v>
      </c>
      <c r="AH151" s="176">
        <f t="shared" si="67"/>
        <v>6</v>
      </c>
      <c r="AI151" s="225">
        <f t="shared" si="68"/>
        <v>0.63274844986874901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53.078733575452389</v>
      </c>
      <c r="C152" s="841"/>
      <c r="D152" s="393">
        <f t="shared" si="50"/>
        <v>55.219210870646869</v>
      </c>
      <c r="E152" s="385">
        <f t="shared" si="72"/>
        <v>55.607574378706857</v>
      </c>
      <c r="F152" s="385">
        <f t="shared" si="51"/>
        <v>55.617597573340845</v>
      </c>
      <c r="G152" s="110">
        <f t="shared" si="73"/>
        <v>0.87731281862661536</v>
      </c>
      <c r="H152" s="414" t="b">
        <f>Wh_hp&gt;='2022'!Maxi_hp</f>
        <v>0</v>
      </c>
      <c r="I152" s="390">
        <f>IF(H152,Wh_hp,'2022'!Maxi_hp)</f>
        <v>63.972000087795209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3.8763272083127576E-2</v>
      </c>
      <c r="M152" s="845"/>
      <c r="N152" s="845"/>
      <c r="O152" s="48">
        <f>IF(t&lt;Tnet,'2022'!Resal+('2022'!Salim-'2022'!Resal)*(1-EXP(('2022'!Tnet-t)/('2022'!Tau_j))),Resal+(Salim-Resal)*(1-EXP((Tnet-t)/(Tau_j))))*Salcycl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2.1850204462769886E-4</v>
      </c>
      <c r="Q152" s="305">
        <f t="shared" si="53"/>
        <v>0.5</v>
      </c>
      <c r="R152" s="177">
        <f t="shared" si="54"/>
        <v>0.63685893009270611</v>
      </c>
      <c r="S152" s="811">
        <f t="shared" si="55"/>
        <v>0</v>
      </c>
      <c r="T152" s="176">
        <f t="shared" si="56"/>
        <v>6</v>
      </c>
      <c r="U152" s="251">
        <f t="shared" si="57"/>
        <v>0.63685893009270611</v>
      </c>
      <c r="V152" s="383">
        <f t="shared" si="58"/>
        <v>60.499174206219514</v>
      </c>
      <c r="W152" s="402">
        <f t="shared" si="59"/>
        <v>53.078733575452389</v>
      </c>
      <c r="X152" s="157">
        <f t="shared" si="60"/>
        <v>45064</v>
      </c>
      <c r="Y152" s="385">
        <f t="shared" si="61"/>
        <v>50.093055292437661</v>
      </c>
      <c r="Z152" s="385">
        <f t="shared" si="62"/>
        <v>52.11313075915853</v>
      </c>
      <c r="AA152" s="386">
        <f t="shared" si="63"/>
        <v>55.607574378706857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6.2841144548941436E-2</v>
      </c>
      <c r="AD152" s="231">
        <f>(INDEX(Models!$BJ152:$BT152,,AH152)*(1-AF152)+INDEX(Models!$BJ152:$BT152,,AH152+1)*AF152-ERP_i)*AE152*Ramure*Pc/MaxiM</f>
        <v>2.1850204462769886E-4</v>
      </c>
      <c r="AE152" s="305">
        <f t="shared" si="65"/>
        <v>0.5</v>
      </c>
      <c r="AF152" s="177">
        <f t="shared" si="66"/>
        <v>0.63685893009270611</v>
      </c>
      <c r="AG152" s="811">
        <f t="shared" si="74"/>
        <v>0</v>
      </c>
      <c r="AH152" s="176">
        <f t="shared" si="67"/>
        <v>6</v>
      </c>
      <c r="AI152" s="225">
        <f t="shared" si="68"/>
        <v>0.63685893009270611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56.021727993091957</v>
      </c>
      <c r="C153" s="841"/>
      <c r="D153" s="393">
        <f t="shared" si="50"/>
        <v>58.28216235660868</v>
      </c>
      <c r="E153" s="385">
        <f t="shared" si="72"/>
        <v>58.698446978851706</v>
      </c>
      <c r="F153" s="385">
        <f t="shared" si="51"/>
        <v>58.710115921493887</v>
      </c>
      <c r="G153" s="110">
        <f t="shared" si="73"/>
        <v>0.925349354748639</v>
      </c>
      <c r="H153" s="414" t="b">
        <f>Wh_hp&gt;='2022'!Maxi_hp</f>
        <v>0</v>
      </c>
      <c r="I153" s="390">
        <f>IF(H153,Wh_hp,'2022'!Maxi_hp)</f>
        <v>63.050548226982031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3.8784325634417915E-2</v>
      </c>
      <c r="M153" s="845"/>
      <c r="N153" s="845"/>
      <c r="O153" s="48">
        <f>IF(t&lt;Tnet,'2022'!Resal+('2022'!Salim-'2022'!Resal)*(1-EXP(('2022'!Tnet-t)/('2022'!Tau_j))),Resal+(Salim-Resal)*(1-EXP((Tnet-t)/(Tau_j))))*Salcycl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2.2247368869653851E-4</v>
      </c>
      <c r="Q153" s="305">
        <f t="shared" si="53"/>
        <v>0.5</v>
      </c>
      <c r="R153" s="177">
        <f t="shared" si="54"/>
        <v>0.64104445586000258</v>
      </c>
      <c r="S153" s="811">
        <f t="shared" si="55"/>
        <v>0</v>
      </c>
      <c r="T153" s="176">
        <f t="shared" si="56"/>
        <v>6</v>
      </c>
      <c r="U153" s="251">
        <f t="shared" si="57"/>
        <v>0.64104445586000258</v>
      </c>
      <c r="V153" s="383">
        <f t="shared" si="58"/>
        <v>60.539728798066861</v>
      </c>
      <c r="W153" s="402">
        <f t="shared" si="59"/>
        <v>56.021727993091957</v>
      </c>
      <c r="X153" s="157">
        <f t="shared" si="60"/>
        <v>45065</v>
      </c>
      <c r="Y153" s="385">
        <f t="shared" si="61"/>
        <v>52.871235859681185</v>
      </c>
      <c r="Z153" s="385">
        <f t="shared" si="62"/>
        <v>55.004550247869247</v>
      </c>
      <c r="AA153" s="386">
        <f t="shared" si="63"/>
        <v>58.698446978851706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6.2930058989692117E-2</v>
      </c>
      <c r="AD153" s="231">
        <f>(INDEX(Models!$BJ153:$BT153,,AH153)*(1-AF153)+INDEX(Models!$BJ153:$BT153,,AH153+1)*AF153-ERP_i)*AE153*Ramure*Pc/MaxiM</f>
        <v>2.2247368869653851E-4</v>
      </c>
      <c r="AE153" s="305">
        <f t="shared" si="65"/>
        <v>0.5</v>
      </c>
      <c r="AF153" s="177">
        <f t="shared" si="66"/>
        <v>0.64104445586000258</v>
      </c>
      <c r="AG153" s="811">
        <f t="shared" si="74"/>
        <v>0</v>
      </c>
      <c r="AH153" s="176">
        <f t="shared" si="67"/>
        <v>6</v>
      </c>
      <c r="AI153" s="225">
        <f t="shared" si="68"/>
        <v>0.64104445586000258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50.753270442144583</v>
      </c>
      <c r="C154" s="841"/>
      <c r="D154" s="393">
        <f t="shared" si="50"/>
        <v>52.802283032753117</v>
      </c>
      <c r="E154" s="385">
        <f t="shared" si="72"/>
        <v>53.18521136685461</v>
      </c>
      <c r="F154" s="385">
        <f t="shared" si="51"/>
        <v>53.194391773170352</v>
      </c>
      <c r="G154" s="110">
        <f t="shared" si="73"/>
        <v>0.83779894357680629</v>
      </c>
      <c r="H154" s="414" t="b">
        <f>Wh_hp&gt;='2022'!Maxi_hp</f>
        <v>0</v>
      </c>
      <c r="I154" s="390">
        <f>IF(H154,Wh_hp,'2022'!Maxi_hp)</f>
        <v>62.803447200223168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3.8805378724581563E-2</v>
      </c>
      <c r="M154" s="845"/>
      <c r="N154" s="845"/>
      <c r="O154" s="48">
        <f>IF(t&lt;Tnet,'2022'!Resal+('2022'!Salim-'2022'!Resal)*(1-EXP(('2022'!Tnet-t)/('2022'!Tau_j))),Resal+(Salim-Resal)*(1-EXP((Tnet-t)/(Tau_j))))*Salcycl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2.246150960090091E-4</v>
      </c>
      <c r="Q154" s="305">
        <f t="shared" si="53"/>
        <v>0.5</v>
      </c>
      <c r="R154" s="177">
        <f t="shared" si="54"/>
        <v>0.64530347116766329</v>
      </c>
      <c r="S154" s="811">
        <f t="shared" si="55"/>
        <v>0</v>
      </c>
      <c r="T154" s="176">
        <f t="shared" si="56"/>
        <v>6</v>
      </c>
      <c r="U154" s="251">
        <f t="shared" si="57"/>
        <v>0.64530347116766329</v>
      </c>
      <c r="V154" s="383">
        <f t="shared" si="58"/>
        <v>60.576143640256674</v>
      </c>
      <c r="W154" s="402">
        <f t="shared" si="59"/>
        <v>50.753270442144583</v>
      </c>
      <c r="X154" s="157">
        <f t="shared" si="60"/>
        <v>45066</v>
      </c>
      <c r="Y154" s="385">
        <f t="shared" si="61"/>
        <v>47.89970929495756</v>
      </c>
      <c r="Z154" s="385">
        <f t="shared" si="62"/>
        <v>49.833517827429134</v>
      </c>
      <c r="AA154" s="386">
        <f t="shared" si="63"/>
        <v>53.18521136685461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6.3019276473427241E-2</v>
      </c>
      <c r="AD154" s="231">
        <f>(INDEX(Models!$BJ154:$BT154,,AH154)*(1-AF154)+INDEX(Models!$BJ154:$BT154,,AH154+1)*AF154-ERP_i)*AE154*Ramure*Pc/MaxiM</f>
        <v>2.246150960090091E-4</v>
      </c>
      <c r="AE154" s="305">
        <f t="shared" si="65"/>
        <v>0.5</v>
      </c>
      <c r="AF154" s="177">
        <f t="shared" si="66"/>
        <v>0.64530347116766329</v>
      </c>
      <c r="AG154" s="811">
        <f t="shared" si="74"/>
        <v>0</v>
      </c>
      <c r="AH154" s="176">
        <f t="shared" si="67"/>
        <v>6</v>
      </c>
      <c r="AI154" s="225">
        <f t="shared" si="68"/>
        <v>0.64530347116766329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50.667787392667215</v>
      </c>
      <c r="C155" s="841"/>
      <c r="D155" s="393">
        <f t="shared" si="50"/>
        <v>52.71450344189455</v>
      </c>
      <c r="E155" s="385">
        <f t="shared" si="72"/>
        <v>53.102574420346123</v>
      </c>
      <c r="F155" s="385">
        <f t="shared" si="51"/>
        <v>53.111719627463359</v>
      </c>
      <c r="G155" s="110">
        <f t="shared" si="73"/>
        <v>0.83593901395819803</v>
      </c>
      <c r="H155" s="414" t="b">
        <f>Wh_hp&gt;='2022'!Maxi_hp</f>
        <v>0</v>
      </c>
      <c r="I155" s="390">
        <f>IF(H155,Wh_hp,'2022'!Maxi_hp)</f>
        <v>61.178268574854386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3.882643135362851E-2</v>
      </c>
      <c r="M155" s="845"/>
      <c r="N155" s="845"/>
      <c r="O155" s="48">
        <f>IF(t&lt;Tnet,'2022'!Resal+('2022'!Salim-'2022'!Resal)*(1-EXP(('2022'!Tnet-t)/('2022'!Tau_j))),Resal+(Salim-Resal)*(1-EXP((Tnet-t)/(Tau_j))))*Salcycl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2.2487964659172169E-4</v>
      </c>
      <c r="Q155" s="305">
        <f t="shared" si="53"/>
        <v>0.5</v>
      </c>
      <c r="R155" s="177">
        <f t="shared" si="54"/>
        <v>0.64963423868860615</v>
      </c>
      <c r="S155" s="811">
        <f t="shared" si="55"/>
        <v>0</v>
      </c>
      <c r="T155" s="176">
        <f t="shared" si="56"/>
        <v>6</v>
      </c>
      <c r="U155" s="251">
        <f t="shared" si="57"/>
        <v>0.64963423868860615</v>
      </c>
      <c r="V155" s="383">
        <f t="shared" si="58"/>
        <v>60.608628528874505</v>
      </c>
      <c r="W155" s="402">
        <f t="shared" si="59"/>
        <v>50.667787392667215</v>
      </c>
      <c r="X155" s="157">
        <f t="shared" si="60"/>
        <v>45067</v>
      </c>
      <c r="Y155" s="385">
        <f t="shared" si="61"/>
        <v>47.819670449696602</v>
      </c>
      <c r="Z155" s="385">
        <f t="shared" si="62"/>
        <v>49.751337333424004</v>
      </c>
      <c r="AA155" s="386">
        <f t="shared" si="63"/>
        <v>53.102574420346123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6.3108749877069895E-2</v>
      </c>
      <c r="AD155" s="231">
        <f>(INDEX(Models!$BJ155:$BT155,,AH155)*(1-AF155)+INDEX(Models!$BJ155:$BT155,,AH155+1)*AF155-ERP_i)*AE155*Ramure*Pc/MaxiM</f>
        <v>2.2487964659172169E-4</v>
      </c>
      <c r="AE155" s="305">
        <f t="shared" si="65"/>
        <v>0.5</v>
      </c>
      <c r="AF155" s="177">
        <f t="shared" si="66"/>
        <v>0.64963423868860615</v>
      </c>
      <c r="AG155" s="811">
        <f t="shared" si="74"/>
        <v>0</v>
      </c>
      <c r="AH155" s="176">
        <f t="shared" si="67"/>
        <v>6</v>
      </c>
      <c r="AI155" s="225">
        <f t="shared" si="68"/>
        <v>0.64963423868860615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38.347177179067117</v>
      </c>
      <c r="C156" s="841"/>
      <c r="D156" s="393">
        <f t="shared" si="50"/>
        <v>39.897078269708352</v>
      </c>
      <c r="E156" s="385">
        <f t="shared" si="72"/>
        <v>40.195167961936029</v>
      </c>
      <c r="F156" s="385">
        <f t="shared" si="51"/>
        <v>40.199431585269572</v>
      </c>
      <c r="G156" s="110">
        <f t="shared" si="73"/>
        <v>0.63232738085247453</v>
      </c>
      <c r="H156" s="414" t="b">
        <f>Wh_hp&gt;='2022'!Maxi_hp</f>
        <v>0</v>
      </c>
      <c r="I156" s="390">
        <f>IF(H156,Wh_hp,'2022'!Maxi_hp)</f>
        <v>62.875998222350205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3.8847483521568749E-2</v>
      </c>
      <c r="M156" s="845"/>
      <c r="N156" s="845"/>
      <c r="O156" s="48">
        <f>IF(t&lt;Tnet,'2022'!Resal+('2022'!Salim-'2022'!Resal)*(1-EXP(('2022'!Tnet-t)/('2022'!Tau_j))),Resal+(Salim-Resal)*(1-EXP((Tnet-t)/(Tau_j))))*Salcycl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2.2335408446197958E-4</v>
      </c>
      <c r="Q156" s="305">
        <f t="shared" si="53"/>
        <v>0.5</v>
      </c>
      <c r="R156" s="177">
        <f t="shared" si="54"/>
        <v>0.6540348389341617</v>
      </c>
      <c r="S156" s="811">
        <f t="shared" si="55"/>
        <v>0</v>
      </c>
      <c r="T156" s="176">
        <f t="shared" si="56"/>
        <v>6</v>
      </c>
      <c r="U156" s="251">
        <f t="shared" si="57"/>
        <v>0.6540348389341617</v>
      </c>
      <c r="V156" s="383">
        <f t="shared" si="58"/>
        <v>60.637385054491325</v>
      </c>
      <c r="W156" s="402">
        <f t="shared" si="59"/>
        <v>38.347177179067117</v>
      </c>
      <c r="X156" s="157">
        <f t="shared" si="60"/>
        <v>45068</v>
      </c>
      <c r="Y156" s="385">
        <f t="shared" si="61"/>
        <v>36.192098461140709</v>
      </c>
      <c r="Z156" s="385">
        <f t="shared" si="62"/>
        <v>37.654896429699853</v>
      </c>
      <c r="AA156" s="386">
        <f t="shared" si="63"/>
        <v>40.195167961936029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6.319843058354066E-2</v>
      </c>
      <c r="AD156" s="231">
        <f>(INDEX(Models!$BJ156:$BT156,,AH156)*(1-AF156)+INDEX(Models!$BJ156:$BT156,,AH156+1)*AF156-ERP_i)*AE156*Ramure*Pc/MaxiM</f>
        <v>2.2335408446197958E-4</v>
      </c>
      <c r="AE156" s="305">
        <f t="shared" si="65"/>
        <v>0.5</v>
      </c>
      <c r="AF156" s="177">
        <f t="shared" si="66"/>
        <v>0.6540348389341617</v>
      </c>
      <c r="AG156" s="811">
        <f t="shared" si="74"/>
        <v>0</v>
      </c>
      <c r="AH156" s="176">
        <f t="shared" si="67"/>
        <v>6</v>
      </c>
      <c r="AI156" s="225">
        <f t="shared" si="68"/>
        <v>0.6540348389341617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19.992615967312894</v>
      </c>
      <c r="C157" s="841"/>
      <c r="D157" s="393">
        <f t="shared" si="50"/>
        <v>20.801125236352689</v>
      </c>
      <c r="E157" s="385">
        <f t="shared" si="72"/>
        <v>20.958824035758596</v>
      </c>
      <c r="F157" s="385">
        <f t="shared" si="51"/>
        <v>20.959019353299595</v>
      </c>
      <c r="G157" s="110">
        <f t="shared" si="73"/>
        <v>0.32950115104005256</v>
      </c>
      <c r="H157" s="414" t="b">
        <f>Wh_hp&gt;='2022'!Maxi_hp</f>
        <v>0</v>
      </c>
      <c r="I157" s="390">
        <f>IF(H157,Wh_hp,'2022'!Maxi_hp)</f>
        <v>58.76828057791041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3.8868535228412493E-2</v>
      </c>
      <c r="M157" s="845"/>
      <c r="N157" s="845"/>
      <c r="O157" s="48">
        <f>IF(t&lt;Tnet,'2022'!Resal+('2022'!Salim-'2022'!Resal)*(1-EXP(('2022'!Tnet-t)/('2022'!Tau_j))),Resal+(Salim-Resal)*(1-EXP((Tnet-t)/(Tau_j))))*Salcycl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2.2059999303075903E-4</v>
      </c>
      <c r="Q157" s="305">
        <f t="shared" si="53"/>
        <v>0.5</v>
      </c>
      <c r="R157" s="177">
        <f t="shared" si="54"/>
        <v>0.65850317026593408</v>
      </c>
      <c r="S157" s="811">
        <f t="shared" si="55"/>
        <v>0</v>
      </c>
      <c r="T157" s="176">
        <f t="shared" si="56"/>
        <v>6</v>
      </c>
      <c r="U157" s="251">
        <f t="shared" si="57"/>
        <v>0.65850317026593408</v>
      </c>
      <c r="V157" s="383">
        <f t="shared" si="58"/>
        <v>60.662585868124182</v>
      </c>
      <c r="W157" s="402">
        <f t="shared" si="59"/>
        <v>19.992615967312894</v>
      </c>
      <c r="X157" s="157">
        <f t="shared" si="60"/>
        <v>45069</v>
      </c>
      <c r="Y157" s="385">
        <f t="shared" si="61"/>
        <v>18.869294638667824</v>
      </c>
      <c r="Z157" s="385">
        <f t="shared" si="62"/>
        <v>19.632376350463257</v>
      </c>
      <c r="AA157" s="386">
        <f t="shared" si="63"/>
        <v>20.958824035758596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6.3288268608593601E-2</v>
      </c>
      <c r="AD157" s="231">
        <f>(INDEX(Models!$BJ157:$BT157,,AH157)*(1-AF157)+INDEX(Models!$BJ157:$BT157,,AH157+1)*AF157-ERP_i)*AE157*Ramure*Pc/MaxiM</f>
        <v>2.2059999303075903E-4</v>
      </c>
      <c r="AE157" s="305">
        <f t="shared" si="65"/>
        <v>0.5</v>
      </c>
      <c r="AF157" s="177">
        <f t="shared" si="66"/>
        <v>0.65850317026593408</v>
      </c>
      <c r="AG157" s="811">
        <f t="shared" si="74"/>
        <v>0</v>
      </c>
      <c r="AH157" s="176">
        <f t="shared" si="67"/>
        <v>6</v>
      </c>
      <c r="AI157" s="225">
        <f t="shared" si="68"/>
        <v>0.65850317026593408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17.334698482282622</v>
      </c>
      <c r="C158" s="841"/>
      <c r="D158" s="393">
        <f t="shared" si="50"/>
        <v>18.036115557930898</v>
      </c>
      <c r="E158" s="385">
        <f t="shared" si="72"/>
        <v>18.174833714643679</v>
      </c>
      <c r="F158" s="385">
        <f t="shared" si="51"/>
        <v>18.174833714643679</v>
      </c>
      <c r="G158" s="110">
        <f t="shared" si="73"/>
        <v>0.28559123535512948</v>
      </c>
      <c r="H158" s="414" t="b">
        <f>Wh_hp&gt;='2022'!Maxi_hp</f>
        <v>0</v>
      </c>
      <c r="I158" s="390">
        <f>IF(H158,Wh_hp,'2022'!Maxi_hp)</f>
        <v>30.554357090064354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3.8889586474169957E-2</v>
      </c>
      <c r="M158" s="845"/>
      <c r="N158" s="845"/>
      <c r="O158" s="48">
        <f>IF(t&lt;Tnet,'2022'!Resal+('2022'!Salim-'2022'!Resal)*(1-EXP(('2022'!Tnet-t)/('2022'!Tau_j))),Resal+(Salim-Resal)*(1-EXP((Tnet-t)/(Tau_j))))*Salcycl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2.1658063893777461E-4</v>
      </c>
      <c r="Q158" s="305">
        <f t="shared" si="53"/>
        <v>0.5</v>
      </c>
      <c r="R158" s="177">
        <f t="shared" si="54"/>
        <v>0.66303694979676364</v>
      </c>
      <c r="S158" s="811">
        <f t="shared" si="55"/>
        <v>0</v>
      </c>
      <c r="T158" s="176">
        <f t="shared" si="56"/>
        <v>6</v>
      </c>
      <c r="U158" s="251">
        <f t="shared" si="57"/>
        <v>0.66303694979676364</v>
      </c>
      <c r="V158" s="383">
        <f t="shared" si="58"/>
        <v>60.684439775116715</v>
      </c>
      <c r="W158" s="402">
        <f t="shared" si="59"/>
        <v>17.334698482282622</v>
      </c>
      <c r="X158" s="157">
        <f t="shared" si="60"/>
        <v>45070</v>
      </c>
      <c r="Y158" s="385">
        <f t="shared" si="61"/>
        <v>16.360929936147915</v>
      </c>
      <c r="Z158" s="385">
        <f t="shared" si="62"/>
        <v>17.022945236986772</v>
      </c>
      <c r="AA158" s="386">
        <f t="shared" si="63"/>
        <v>18.174833714643679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6.33782127386847E-2</v>
      </c>
      <c r="AD158" s="231">
        <f>(INDEX(Models!$BJ158:$BT158,,AH158)*(1-AF158)+INDEX(Models!$BJ158:$BT158,,AH158+1)*AF158-ERP_i)*AE158*Ramure*Pc/MaxiM</f>
        <v>2.1658063893777461E-4</v>
      </c>
      <c r="AE158" s="305">
        <f t="shared" si="65"/>
        <v>0.5</v>
      </c>
      <c r="AF158" s="177">
        <f t="shared" si="66"/>
        <v>0.66303694979676364</v>
      </c>
      <c r="AG158" s="811">
        <f t="shared" si="74"/>
        <v>0</v>
      </c>
      <c r="AH158" s="176">
        <f t="shared" si="67"/>
        <v>6</v>
      </c>
      <c r="AI158" s="225">
        <f t="shared" si="68"/>
        <v>0.66303694979676364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40.657576684012795</v>
      </c>
      <c r="C159" s="841"/>
      <c r="D159" s="393">
        <f t="shared" si="50"/>
        <v>42.303638204934678</v>
      </c>
      <c r="E159" s="385">
        <f t="shared" si="72"/>
        <v>42.633651834770269</v>
      </c>
      <c r="F159" s="385">
        <f t="shared" si="51"/>
        <v>42.638410225008485</v>
      </c>
      <c r="G159" s="110">
        <f t="shared" si="73"/>
        <v>0.66971023088394643</v>
      </c>
      <c r="H159" s="414" t="b">
        <f>Wh_hp&gt;='2022'!Maxi_hp</f>
        <v>0</v>
      </c>
      <c r="I159" s="390">
        <f>IF(H159,Wh_hp,'2022'!Maxi_hp)</f>
        <v>59.691953884707942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3.8910637258851022E-2</v>
      </c>
      <c r="M159" s="845"/>
      <c r="N159" s="845"/>
      <c r="O159" s="48">
        <f>IF(t&lt;Tnet,'2022'!Resal+('2022'!Salim-'2022'!Resal)*(1-EXP(('2022'!Tnet-t)/('2022'!Tau_j))),Resal+(Salim-Resal)*(1-EXP((Tnet-t)/(Tau_j))))*Salcycl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2.1125996830312856E-4</v>
      </c>
      <c r="Q159" s="305">
        <f t="shared" si="53"/>
        <v>0.5</v>
      </c>
      <c r="R159" s="177">
        <f t="shared" si="54"/>
        <v>0.66763371521448067</v>
      </c>
      <c r="S159" s="811">
        <f t="shared" si="55"/>
        <v>0</v>
      </c>
      <c r="T159" s="176">
        <f t="shared" si="56"/>
        <v>6</v>
      </c>
      <c r="U159" s="251">
        <f t="shared" si="57"/>
        <v>0.66763371521448067</v>
      </c>
      <c r="V159" s="383">
        <f t="shared" si="58"/>
        <v>60.703155440194834</v>
      </c>
      <c r="W159" s="402">
        <f t="shared" si="59"/>
        <v>40.657576684012795</v>
      </c>
      <c r="X159" s="157">
        <f t="shared" si="60"/>
        <v>45071</v>
      </c>
      <c r="Y159" s="385">
        <f t="shared" si="61"/>
        <v>38.374155253799927</v>
      </c>
      <c r="Z159" s="385">
        <f t="shared" si="62"/>
        <v>39.927770238088954</v>
      </c>
      <c r="AA159" s="386">
        <f t="shared" si="63"/>
        <v>42.633651834770269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6.3468210679398188E-2</v>
      </c>
      <c r="AD159" s="231">
        <f>(INDEX(Models!$BJ159:$BT159,,AH159)*(1-AF159)+INDEX(Models!$BJ159:$BT159,,AH159+1)*AF159-ERP_i)*AE159*Ramure*Pc/MaxiM</f>
        <v>2.1125996830312856E-4</v>
      </c>
      <c r="AE159" s="305">
        <f t="shared" si="65"/>
        <v>0.5</v>
      </c>
      <c r="AF159" s="177">
        <f t="shared" si="66"/>
        <v>0.66763371521448067</v>
      </c>
      <c r="AG159" s="811">
        <f t="shared" si="74"/>
        <v>0</v>
      </c>
      <c r="AH159" s="176">
        <f t="shared" si="67"/>
        <v>6</v>
      </c>
      <c r="AI159" s="225">
        <f t="shared" si="68"/>
        <v>0.66763371521448067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24.652565607294221</v>
      </c>
      <c r="C160" s="841"/>
      <c r="D160" s="393">
        <f t="shared" si="50"/>
        <v>25.651210521426457</v>
      </c>
      <c r="E160" s="385">
        <f t="shared" si="72"/>
        <v>25.854138980708743</v>
      </c>
      <c r="F160" s="385">
        <f t="shared" si="51"/>
        <v>25.854940115351042</v>
      </c>
      <c r="G160" s="110">
        <f t="shared" si="73"/>
        <v>0.40594063086623711</v>
      </c>
      <c r="H160" s="414" t="b">
        <f>Wh_hp&gt;='2022'!Maxi_hp</f>
        <v>0</v>
      </c>
      <c r="I160" s="390">
        <f>IF(H160,Wh_hp,'2022'!Maxi_hp)</f>
        <v>61.991403277896538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3.893168758246579E-2</v>
      </c>
      <c r="M160" s="845"/>
      <c r="N160" s="845"/>
      <c r="O160" s="48">
        <f>IF(t&lt;Tnet,'2022'!Resal+('2022'!Salim-'2022'!Resal)*(1-EXP(('2022'!Tnet-t)/('2022'!Tau_j))),Resal+(Salim-Resal)*(1-EXP((Tnet-t)/(Tau_j))))*Salcycl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2.0460139038782556E-4</v>
      </c>
      <c r="Q160" s="305">
        <f t="shared" si="53"/>
        <v>0.5</v>
      </c>
      <c r="R160" s="177">
        <f t="shared" si="54"/>
        <v>0.672290827555313</v>
      </c>
      <c r="S160" s="811">
        <f t="shared" si="55"/>
        <v>0</v>
      </c>
      <c r="T160" s="176">
        <f t="shared" si="56"/>
        <v>6</v>
      </c>
      <c r="U160" s="251">
        <f t="shared" si="57"/>
        <v>0.672290827555313</v>
      </c>
      <c r="V160" s="383">
        <f t="shared" si="58"/>
        <v>60.718941464523027</v>
      </c>
      <c r="W160" s="402">
        <f t="shared" si="59"/>
        <v>24.652565607294221</v>
      </c>
      <c r="X160" s="157">
        <f t="shared" si="60"/>
        <v>45072</v>
      </c>
      <c r="Y160" s="385">
        <f t="shared" si="61"/>
        <v>23.26832515913258</v>
      </c>
      <c r="Z160" s="385">
        <f t="shared" si="62"/>
        <v>24.210896206328883</v>
      </c>
      <c r="AA160" s="386">
        <f t="shared" si="63"/>
        <v>25.854138980708743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6.3558209213850692E-2</v>
      </c>
      <c r="AD160" s="231">
        <f>(INDEX(Models!$BJ160:$BT160,,AH160)*(1-AF160)+INDEX(Models!$BJ160:$BT160,,AH160+1)*AF160-ERP_i)*AE160*Ramure*Pc/MaxiM</f>
        <v>2.0460139038782556E-4</v>
      </c>
      <c r="AE160" s="305">
        <f t="shared" si="65"/>
        <v>0.5</v>
      </c>
      <c r="AF160" s="177">
        <f t="shared" si="66"/>
        <v>0.672290827555313</v>
      </c>
      <c r="AG160" s="811">
        <f t="shared" si="74"/>
        <v>0</v>
      </c>
      <c r="AH160" s="176">
        <f t="shared" si="67"/>
        <v>6</v>
      </c>
      <c r="AI160" s="225">
        <f t="shared" si="68"/>
        <v>0.672290827555313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45.856269606497804</v>
      </c>
      <c r="C161" s="841"/>
      <c r="D161" s="393">
        <f t="shared" si="50"/>
        <v>47.714895399199641</v>
      </c>
      <c r="E161" s="385">
        <f t="shared" si="72"/>
        <v>48.097622262805665</v>
      </c>
      <c r="F161" s="385">
        <f t="shared" si="51"/>
        <v>48.103769242265088</v>
      </c>
      <c r="G161" s="110">
        <f t="shared" si="73"/>
        <v>0.75500741452757503</v>
      </c>
      <c r="H161" s="414" t="b">
        <f>Wh_hp&gt;='2022'!Maxi_hp</f>
        <v>0</v>
      </c>
      <c r="I161" s="390">
        <f>IF(H161,Wh_hp,'2022'!Maxi_hp)</f>
        <v>62.096546618278133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3.8952737445024588E-2</v>
      </c>
      <c r="M161" s="845"/>
      <c r="N161" s="845"/>
      <c r="O161" s="48">
        <f>IF(t&lt;Tnet,'2022'!Resal+('2022'!Salim-'2022'!Resal)*(1-EXP(('2022'!Tnet-t)/('2022'!Tau_j))),Resal+(Salim-Resal)*(1-EXP((Tnet-t)/(Tau_j))))*Salcycl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1.9656792209612529E-4</v>
      </c>
      <c r="Q161" s="305">
        <f t="shared" si="53"/>
        <v>0.5</v>
      </c>
      <c r="R161" s="177">
        <f t="shared" si="54"/>
        <v>0.67700547494628882</v>
      </c>
      <c r="S161" s="811">
        <f t="shared" si="55"/>
        <v>0</v>
      </c>
      <c r="T161" s="176">
        <f t="shared" si="56"/>
        <v>6</v>
      </c>
      <c r="U161" s="251">
        <f t="shared" si="57"/>
        <v>0.67700547494628882</v>
      </c>
      <c r="V161" s="383">
        <f t="shared" si="58"/>
        <v>60.732006375513407</v>
      </c>
      <c r="W161" s="402">
        <f t="shared" si="59"/>
        <v>45.856269606497804</v>
      </c>
      <c r="X161" s="157">
        <f t="shared" si="60"/>
        <v>45073</v>
      </c>
      <c r="Y161" s="385">
        <f t="shared" si="61"/>
        <v>43.282010308983757</v>
      </c>
      <c r="Z161" s="385">
        <f t="shared" si="62"/>
        <v>45.036297376173913</v>
      </c>
      <c r="AA161" s="386">
        <f t="shared" si="63"/>
        <v>48.097622262805665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6.3648154370389731E-2</v>
      </c>
      <c r="AD161" s="231">
        <f>(INDEX(Models!$BJ161:$BT161,,AH161)*(1-AF161)+INDEX(Models!$BJ161:$BT161,,AH161+1)*AF161-ERP_i)*AE161*Ramure*Pc/MaxiM</f>
        <v>1.9656792209612529E-4</v>
      </c>
      <c r="AE161" s="305">
        <f t="shared" si="65"/>
        <v>0.5</v>
      </c>
      <c r="AF161" s="177">
        <f t="shared" si="66"/>
        <v>0.67700547494628882</v>
      </c>
      <c r="AG161" s="811">
        <f t="shared" si="74"/>
        <v>0</v>
      </c>
      <c r="AH161" s="176">
        <f t="shared" si="67"/>
        <v>6</v>
      </c>
      <c r="AI161" s="225">
        <f t="shared" si="68"/>
        <v>0.67700547494628882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55.252370493755166</v>
      </c>
      <c r="C162" s="841"/>
      <c r="D162" s="393">
        <f t="shared" si="50"/>
        <v>57.49309408788428</v>
      </c>
      <c r="E162" s="385">
        <f t="shared" si="72"/>
        <v>57.960582923721098</v>
      </c>
      <c r="F162" s="385">
        <f t="shared" si="51"/>
        <v>57.970029775332137</v>
      </c>
      <c r="G162" s="110">
        <f t="shared" si="73"/>
        <v>0.90959348041848564</v>
      </c>
      <c r="H162" s="414" t="b">
        <f>Wh_hp&gt;='2022'!Maxi_hp</f>
        <v>0</v>
      </c>
      <c r="I162" s="390">
        <f>IF(H162,Wh_hp,'2022'!Maxi_hp)</f>
        <v>61.293375317013549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3.8973786846537295E-2</v>
      </c>
      <c r="M162" s="845"/>
      <c r="N162" s="845"/>
      <c r="O162" s="48">
        <f>IF(t&lt;Tnet,'2022'!Resal+('2022'!Salim-'2022'!Resal)*(1-EXP(('2022'!Tnet-t)/('2022'!Tau_j))),Resal+(Salim-Resal)*(1-EXP((Tnet-t)/(Tau_j))))*Salcycl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1.8712233871414139E-4</v>
      </c>
      <c r="Q162" s="305">
        <f t="shared" si="53"/>
        <v>0.5</v>
      </c>
      <c r="R162" s="177">
        <f t="shared" si="54"/>
        <v>0.68177467732783126</v>
      </c>
      <c r="S162" s="811">
        <f t="shared" si="55"/>
        <v>0</v>
      </c>
      <c r="T162" s="176">
        <f t="shared" si="56"/>
        <v>6</v>
      </c>
      <c r="U162" s="251">
        <f t="shared" si="57"/>
        <v>0.68177467732783126</v>
      </c>
      <c r="V162" s="383">
        <f t="shared" si="58"/>
        <v>60.742558617740805</v>
      </c>
      <c r="W162" s="402">
        <f t="shared" si="59"/>
        <v>55.252370493755166</v>
      </c>
      <c r="X162" s="157">
        <f t="shared" si="60"/>
        <v>45074</v>
      </c>
      <c r="Y162" s="385">
        <f t="shared" si="61"/>
        <v>52.151328887626939</v>
      </c>
      <c r="Z162" s="385">
        <f t="shared" si="62"/>
        <v>54.266291776267174</v>
      </c>
      <c r="AA162" s="386">
        <f t="shared" si="63"/>
        <v>57.960582923721098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6.3737991598804167E-2</v>
      </c>
      <c r="AD162" s="231">
        <f>(INDEX(Models!$BJ162:$BT162,,AH162)*(1-AF162)+INDEX(Models!$BJ162:$BT162,,AH162+1)*AF162-ERP_i)*AE162*Ramure*Pc/MaxiM</f>
        <v>1.8712233871414139E-4</v>
      </c>
      <c r="AE162" s="305">
        <f t="shared" si="65"/>
        <v>0.5</v>
      </c>
      <c r="AF162" s="177">
        <f t="shared" si="66"/>
        <v>0.68177467732783126</v>
      </c>
      <c r="AG162" s="811">
        <f t="shared" si="74"/>
        <v>0</v>
      </c>
      <c r="AH162" s="176">
        <f t="shared" si="67"/>
        <v>6</v>
      </c>
      <c r="AI162" s="225">
        <f t="shared" si="68"/>
        <v>0.68177467732783126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59.551179626505892</v>
      </c>
      <c r="C163" s="841"/>
      <c r="D163" s="393">
        <f t="shared" si="50"/>
        <v>61.967595850824864</v>
      </c>
      <c r="E163" s="385">
        <f t="shared" si="72"/>
        <v>62.478292729567386</v>
      </c>
      <c r="F163" s="385">
        <f t="shared" si="51"/>
        <v>62.488994471785169</v>
      </c>
      <c r="G163" s="110">
        <f t="shared" si="73"/>
        <v>0.980253122519266</v>
      </c>
      <c r="H163" s="414" t="b">
        <f>Wh_hp&gt;='2022'!Maxi_hp</f>
        <v>0</v>
      </c>
      <c r="I163" s="390">
        <f>IF(H163,Wh_hp,'2022'!Maxi_hp)</f>
        <v>62.489075261508759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3.8994835787014126E-2</v>
      </c>
      <c r="M163" s="845"/>
      <c r="N163" s="845"/>
      <c r="O163" s="48">
        <f>IF(t&lt;Tnet,'2022'!Resal+('2022'!Salim-'2022'!Resal)*(1-EXP(('2022'!Tnet-t)/('2022'!Tau_j))),Resal+(Salim-Resal)*(1-EXP((Tnet-t)/(Tau_j))))*Salcycl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1.7622817114664076E-4</v>
      </c>
      <c r="Q163" s="305">
        <f t="shared" si="53"/>
        <v>0.5</v>
      </c>
      <c r="R163" s="177">
        <f t="shared" si="54"/>
        <v>0.68659529215905324</v>
      </c>
      <c r="S163" s="811">
        <f t="shared" si="55"/>
        <v>0</v>
      </c>
      <c r="T163" s="176">
        <f t="shared" si="56"/>
        <v>6</v>
      </c>
      <c r="U163" s="251">
        <f t="shared" si="57"/>
        <v>0.68659529215905324</v>
      </c>
      <c r="V163" s="383">
        <f t="shared" si="58"/>
        <v>60.75051660648181</v>
      </c>
      <c r="W163" s="402">
        <f t="shared" si="59"/>
        <v>59.551179626505892</v>
      </c>
      <c r="X163" s="157">
        <f t="shared" si="60"/>
        <v>45075</v>
      </c>
      <c r="Y163" s="385">
        <f t="shared" si="61"/>
        <v>56.209623672833118</v>
      </c>
      <c r="Z163" s="385">
        <f t="shared" si="62"/>
        <v>58.490449131837835</v>
      </c>
      <c r="AA163" s="386">
        <f t="shared" si="63"/>
        <v>62.478292729567386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6.3827665954168E-2</v>
      </c>
      <c r="AD163" s="231">
        <f>(INDEX(Models!$BJ163:$BT163,,AH163)*(1-AF163)+INDEX(Models!$BJ163:$BT163,,AH163+1)*AF163-ERP_i)*AE163*Ramure*Pc/MaxiM</f>
        <v>1.7622817114664076E-4</v>
      </c>
      <c r="AE163" s="305">
        <f t="shared" si="65"/>
        <v>0.5</v>
      </c>
      <c r="AF163" s="177">
        <f t="shared" si="66"/>
        <v>0.68659529215905324</v>
      </c>
      <c r="AG163" s="811">
        <f t="shared" si="74"/>
        <v>0</v>
      </c>
      <c r="AH163" s="176">
        <f t="shared" si="67"/>
        <v>6</v>
      </c>
      <c r="AI163" s="225">
        <f t="shared" si="68"/>
        <v>0.68659529215905324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50.711991036258318</v>
      </c>
      <c r="C164" s="841"/>
      <c r="D164" s="393">
        <f t="shared" si="50"/>
        <v>52.77089413444574</v>
      </c>
      <c r="E164" s="385">
        <f t="shared" si="72"/>
        <v>53.211611347222764</v>
      </c>
      <c r="F164" s="385">
        <f t="shared" si="51"/>
        <v>53.218301290599015</v>
      </c>
      <c r="G164" s="110">
        <f t="shared" si="73"/>
        <v>0.83465658166846357</v>
      </c>
      <c r="H164" s="414" t="b">
        <f>Wh_hp&gt;='2022'!Maxi_hp</f>
        <v>0</v>
      </c>
      <c r="I164" s="390">
        <f>IF(H164,Wh_hp,'2022'!Maxi_hp)</f>
        <v>57.223999787813696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3.9015884266465184E-2</v>
      </c>
      <c r="M164" s="845"/>
      <c r="N164" s="845"/>
      <c r="O164" s="48">
        <f>IF(t&lt;Tnet,'2022'!Resal+('2022'!Salim-'2022'!Resal)*(1-EXP(('2022'!Tnet-t)/('2022'!Tau_j))),Resal+(Salim-Resal)*(1-EXP((Tnet-t)/(Tau_j))))*Salcycl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1.645728549459904E-4</v>
      </c>
      <c r="Q164" s="305">
        <f t="shared" si="53"/>
        <v>0.5</v>
      </c>
      <c r="R164" s="177">
        <f t="shared" si="54"/>
        <v>0.69146402109914074</v>
      </c>
      <c r="S164" s="811">
        <f t="shared" si="55"/>
        <v>0</v>
      </c>
      <c r="T164" s="176">
        <f t="shared" si="56"/>
        <v>6</v>
      </c>
      <c r="U164" s="251">
        <f t="shared" si="57"/>
        <v>0.69146402109914074</v>
      </c>
      <c r="V164" s="383">
        <f t="shared" si="58"/>
        <v>60.755550206235604</v>
      </c>
      <c r="W164" s="402">
        <f t="shared" si="59"/>
        <v>50.711991036258318</v>
      </c>
      <c r="X164" s="157">
        <f t="shared" si="60"/>
        <v>45076</v>
      </c>
      <c r="Y164" s="385">
        <f t="shared" si="61"/>
        <v>47.867078421897872</v>
      </c>
      <c r="Z164" s="385">
        <f t="shared" si="62"/>
        <v>49.810478277635376</v>
      </c>
      <c r="AA164" s="386">
        <f t="shared" si="63"/>
        <v>53.211611347222764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6.3917122287350206E-2</v>
      </c>
      <c r="AD164" s="231">
        <f>(INDEX(Models!$BJ164:$BT164,,AH164)*(1-AF164)+INDEX(Models!$BJ164:$BT164,,AH164+1)*AF164-ERP_i)*AE164*Ramure*Pc/MaxiM</f>
        <v>1.645728549459904E-4</v>
      </c>
      <c r="AE164" s="305">
        <f t="shared" si="65"/>
        <v>0.5</v>
      </c>
      <c r="AF164" s="177">
        <f t="shared" si="66"/>
        <v>0.69146402109914074</v>
      </c>
      <c r="AG164" s="811">
        <f t="shared" si="74"/>
        <v>0</v>
      </c>
      <c r="AH164" s="176">
        <f t="shared" si="67"/>
        <v>6</v>
      </c>
      <c r="AI164" s="225">
        <f t="shared" si="68"/>
        <v>0.69146402109914074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53.85516500977586</v>
      </c>
      <c r="C165" s="841"/>
      <c r="D165" s="393">
        <f t="shared" si="50"/>
        <v>56.042908223131121</v>
      </c>
      <c r="E165" s="385">
        <f t="shared" si="72"/>
        <v>56.517127026573768</v>
      </c>
      <c r="F165" s="385">
        <f t="shared" si="51"/>
        <v>56.524399102759837</v>
      </c>
      <c r="G165" s="110">
        <f t="shared" si="73"/>
        <v>0.88637365040666583</v>
      </c>
      <c r="H165" s="414" t="b">
        <f>Wh_hp&gt;='2022'!Maxi_hp</f>
        <v>0</v>
      </c>
      <c r="I165" s="390">
        <f>IF(H165,Wh_hp,'2022'!Maxi_hp)</f>
        <v>63.126585406149495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3.9036932284900461E-2</v>
      </c>
      <c r="M165" s="845"/>
      <c r="N165" s="845"/>
      <c r="O165" s="48">
        <f>IF(t&lt;Tnet,'2022'!Resal+('2022'!Salim-'2022'!Resal)*(1-EXP(('2022'!Tnet-t)/('2022'!Tau_j))),Resal+(Salim-Resal)*(1-EXP((Tnet-t)/(Tau_j))))*Salcycl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1.5357824300004592E-4</v>
      </c>
      <c r="Q165" s="305">
        <f t="shared" si="53"/>
        <v>0.5</v>
      </c>
      <c r="R165" s="177">
        <f t="shared" si="54"/>
        <v>0.69637741764876748</v>
      </c>
      <c r="S165" s="811">
        <f t="shared" si="55"/>
        <v>0</v>
      </c>
      <c r="T165" s="176">
        <f t="shared" si="56"/>
        <v>6</v>
      </c>
      <c r="U165" s="251">
        <f t="shared" si="57"/>
        <v>0.69637741764876748</v>
      </c>
      <c r="V165" s="383">
        <f t="shared" si="58"/>
        <v>60.757472314221928</v>
      </c>
      <c r="W165" s="402">
        <f t="shared" si="59"/>
        <v>53.85516500977586</v>
      </c>
      <c r="X165" s="157">
        <f t="shared" si="60"/>
        <v>45077</v>
      </c>
      <c r="Y165" s="385">
        <f t="shared" si="61"/>
        <v>50.834633518877496</v>
      </c>
      <c r="Z165" s="385">
        <f t="shared" si="62"/>
        <v>52.899674531455183</v>
      </c>
      <c r="AA165" s="386">
        <f t="shared" si="63"/>
        <v>56.517127026573768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6.4006305441139943E-2</v>
      </c>
      <c r="AD165" s="231">
        <f>(INDEX(Models!$BJ165:$BT165,,AH165)*(1-AF165)+INDEX(Models!$BJ165:$BT165,,AH165+1)*AF165-ERP_i)*AE165*Ramure*Pc/MaxiM</f>
        <v>1.5357824300004592E-4</v>
      </c>
      <c r="AE165" s="305">
        <f t="shared" si="65"/>
        <v>0.5</v>
      </c>
      <c r="AF165" s="177">
        <f t="shared" si="66"/>
        <v>0.69637741764876748</v>
      </c>
      <c r="AG165" s="811">
        <f t="shared" si="74"/>
        <v>0</v>
      </c>
      <c r="AH165" s="176">
        <f t="shared" si="67"/>
        <v>6</v>
      </c>
      <c r="AI165" s="225">
        <f t="shared" si="68"/>
        <v>0.69637741764876748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56.263425090131932</v>
      </c>
      <c r="C166" s="841"/>
      <c r="D166" s="393">
        <f t="shared" si="50"/>
        <v>58.55028077646174</v>
      </c>
      <c r="E166" s="385">
        <f t="shared" si="72"/>
        <v>59.052168579901974</v>
      </c>
      <c r="F166" s="385">
        <f t="shared" si="51"/>
        <v>59.059735769391466</v>
      </c>
      <c r="G166" s="110">
        <f t="shared" si="73"/>
        <v>0.92603867371995729</v>
      </c>
      <c r="H166" s="414" t="b">
        <f>Wh_hp&gt;='2022'!Maxi_hp</f>
        <v>0</v>
      </c>
      <c r="I166" s="390">
        <f>IF(H166,Wh_hp,'2022'!Maxi_hp)</f>
        <v>64.729267905613341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3.9057979842330059E-2</v>
      </c>
      <c r="M166" s="845"/>
      <c r="N166" s="845"/>
      <c r="O166" s="48">
        <f>IF(t&lt;Tnet,'2022'!Resal+('2022'!Salim-'2022'!Resal)*(1-EXP(('2022'!Tnet-t)/('2022'!Tau_j))),Resal+(Salim-Resal)*(1-EXP((Tnet-t)/(Tau_j))))*Salcycl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1.432617537798902E-4</v>
      </c>
      <c r="Q166" s="305">
        <f t="shared" si="53"/>
        <v>0.5</v>
      </c>
      <c r="R166" s="177">
        <f t="shared" si="54"/>
        <v>0.70133189572584986</v>
      </c>
      <c r="S166" s="811">
        <f t="shared" si="55"/>
        <v>0</v>
      </c>
      <c r="T166" s="176">
        <f t="shared" si="56"/>
        <v>6</v>
      </c>
      <c r="U166" s="251">
        <f t="shared" si="57"/>
        <v>0.70133189572584986</v>
      </c>
      <c r="V166" s="383">
        <f t="shared" si="58"/>
        <v>60.756181232284717</v>
      </c>
      <c r="W166" s="402">
        <f t="shared" si="59"/>
        <v>56.263425090131932</v>
      </c>
      <c r="X166" s="157">
        <f t="shared" si="60"/>
        <v>45078</v>
      </c>
      <c r="Y166" s="385">
        <f t="shared" si="61"/>
        <v>53.108584771626901</v>
      </c>
      <c r="Z166" s="385">
        <f t="shared" si="62"/>
        <v>55.267210359801858</v>
      </c>
      <c r="AA166" s="386">
        <f t="shared" si="63"/>
        <v>59.052168579901974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6.4095160450861E-2</v>
      </c>
      <c r="AD166" s="231">
        <f>(INDEX(Models!$BJ166:$BT166,,AH166)*(1-AF166)+INDEX(Models!$BJ166:$BT166,,AH166+1)*AF166-ERP_i)*AE166*Ramure*Pc/MaxiM</f>
        <v>1.432617537798902E-4</v>
      </c>
      <c r="AE166" s="305">
        <f t="shared" si="65"/>
        <v>0.5</v>
      </c>
      <c r="AF166" s="177">
        <f t="shared" si="66"/>
        <v>0.70133189572584986</v>
      </c>
      <c r="AG166" s="811">
        <f t="shared" si="74"/>
        <v>0</v>
      </c>
      <c r="AH166" s="176">
        <f t="shared" si="67"/>
        <v>6</v>
      </c>
      <c r="AI166" s="225">
        <f t="shared" si="68"/>
        <v>0.70133189572584986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45.197372738869014</v>
      </c>
      <c r="C167" s="841"/>
      <c r="D167" s="393">
        <f t="shared" si="50"/>
        <v>47.035473265696695</v>
      </c>
      <c r="E167" s="385">
        <f t="shared" si="72"/>
        <v>47.443840734569108</v>
      </c>
      <c r="F167" s="385">
        <f t="shared" si="51"/>
        <v>47.447862463817835</v>
      </c>
      <c r="G167" s="110">
        <f t="shared" si="73"/>
        <v>0.74393401421533034</v>
      </c>
      <c r="H167" s="414" t="b">
        <f>Wh_hp&gt;='2022'!Maxi_hp</f>
        <v>0</v>
      </c>
      <c r="I167" s="390">
        <f>IF(H167,Wh_hp,'2022'!Maxi_hp)</f>
        <v>63.739845271535835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3.9079026938764194E-2</v>
      </c>
      <c r="M167" s="845"/>
      <c r="N167" s="845"/>
      <c r="O167" s="48">
        <f>IF(t&lt;Tnet,'2022'!Resal+('2022'!Salim-'2022'!Resal)*(1-EXP(('2022'!Tnet-t)/('2022'!Tau_j))),Resal+(Salim-Resal)*(1-EXP((Tnet-t)/(Tau_j))))*Salcycl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1.3364115434458807E-4</v>
      </c>
      <c r="Q167" s="305">
        <f t="shared" si="53"/>
        <v>0.5</v>
      </c>
      <c r="R167" s="177">
        <f t="shared" si="54"/>
        <v>0.70632373914026236</v>
      </c>
      <c r="S167" s="811">
        <f t="shared" si="55"/>
        <v>0</v>
      </c>
      <c r="T167" s="176">
        <f t="shared" si="56"/>
        <v>6</v>
      </c>
      <c r="U167" s="251">
        <f t="shared" si="57"/>
        <v>0.70632373914026236</v>
      </c>
      <c r="V167" s="383">
        <f t="shared" si="58"/>
        <v>60.75157532034752</v>
      </c>
      <c r="W167" s="402">
        <f t="shared" si="59"/>
        <v>45.197372738869014</v>
      </c>
      <c r="X167" s="157">
        <f t="shared" si="60"/>
        <v>45079</v>
      </c>
      <c r="Y167" s="385">
        <f t="shared" si="61"/>
        <v>42.663663804851645</v>
      </c>
      <c r="Z167" s="385">
        <f t="shared" si="62"/>
        <v>44.398722684693503</v>
      </c>
      <c r="AA167" s="386">
        <f t="shared" si="63"/>
        <v>47.443840734569108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6.4183632748282801E-2</v>
      </c>
      <c r="AD167" s="231">
        <f>(INDEX(Models!$BJ167:$BT167,,AH167)*(1-AF167)+INDEX(Models!$BJ167:$BT167,,AH167+1)*AF167-ERP_i)*AE167*Ramure*Pc/MaxiM</f>
        <v>1.3364115434458807E-4</v>
      </c>
      <c r="AE167" s="305">
        <f t="shared" si="65"/>
        <v>0.5</v>
      </c>
      <c r="AF167" s="177">
        <f t="shared" si="66"/>
        <v>0.70632373914026236</v>
      </c>
      <c r="AG167" s="811">
        <f t="shared" si="74"/>
        <v>0</v>
      </c>
      <c r="AH167" s="176">
        <f t="shared" si="67"/>
        <v>6</v>
      </c>
      <c r="AI167" s="225">
        <f t="shared" si="68"/>
        <v>0.70632373914026236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55.081378344314544</v>
      </c>
      <c r="C168" s="841"/>
      <c r="D168" s="393">
        <f t="shared" si="50"/>
        <v>57.322700137149646</v>
      </c>
      <c r="E168" s="385">
        <f t="shared" si="72"/>
        <v>57.826699476413268</v>
      </c>
      <c r="F168" s="385">
        <f t="shared" si="51"/>
        <v>57.832952631916704</v>
      </c>
      <c r="G168" s="110">
        <f t="shared" si="73"/>
        <v>0.90677052332406449</v>
      </c>
      <c r="H168" s="414" t="b">
        <f>Wh_hp&gt;='2022'!Maxi_hp</f>
        <v>0</v>
      </c>
      <c r="I168" s="390">
        <f>IF(H168,Wh_hp,'2022'!Maxi_hp)</f>
        <v>57.833207872898761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3.9100073574212968E-2</v>
      </c>
      <c r="M168" s="845"/>
      <c r="N168" s="845"/>
      <c r="O168" s="48">
        <f>IF(t&lt;Tnet,'2022'!Resal+('2022'!Salim-'2022'!Resal)*(1-EXP(('2022'!Tnet-t)/('2022'!Tau_j))),Resal+(Salim-Resal)*(1-EXP((Tnet-t)/(Tau_j))))*Salcycl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1.2473451624747339E-4</v>
      </c>
      <c r="Q168" s="305">
        <f t="shared" si="53"/>
        <v>0.5</v>
      </c>
      <c r="R168" s="177">
        <f t="shared" si="54"/>
        <v>0.71134911192253425</v>
      </c>
      <c r="S168" s="811">
        <f t="shared" si="55"/>
        <v>0</v>
      </c>
      <c r="T168" s="176">
        <f t="shared" si="56"/>
        <v>6</v>
      </c>
      <c r="U168" s="251">
        <f t="shared" si="57"/>
        <v>0.71134911192253425</v>
      </c>
      <c r="V168" s="383">
        <f t="shared" si="58"/>
        <v>60.743552996697019</v>
      </c>
      <c r="W168" s="402">
        <f t="shared" si="59"/>
        <v>55.081378344314544</v>
      </c>
      <c r="X168" s="157">
        <f t="shared" si="60"/>
        <v>45080</v>
      </c>
      <c r="Y168" s="385">
        <f t="shared" si="61"/>
        <v>51.994372875694495</v>
      </c>
      <c r="Z168" s="385">
        <f t="shared" si="62"/>
        <v>54.110081024873679</v>
      </c>
      <c r="AA168" s="386">
        <f t="shared" si="63"/>
        <v>57.826699476413268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6.4271668367577306E-2</v>
      </c>
      <c r="AD168" s="231">
        <f>(INDEX(Models!$BJ168:$BT168,,AH168)*(1-AF168)+INDEX(Models!$BJ168:$BT168,,AH168+1)*AF168-ERP_i)*AE168*Ramure*Pc/MaxiM</f>
        <v>1.2473451624747339E-4</v>
      </c>
      <c r="AE168" s="305">
        <f t="shared" si="65"/>
        <v>0.5</v>
      </c>
      <c r="AF168" s="177">
        <f t="shared" si="66"/>
        <v>0.71134911192253425</v>
      </c>
      <c r="AG168" s="811">
        <f t="shared" si="74"/>
        <v>0</v>
      </c>
      <c r="AH168" s="176">
        <f t="shared" si="67"/>
        <v>6</v>
      </c>
      <c r="AI168" s="225">
        <f t="shared" si="68"/>
        <v>0.71134911192253425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24.873292644096725</v>
      </c>
      <c r="C169" s="841"/>
      <c r="D169" s="393">
        <f t="shared" si="50"/>
        <v>25.88598121502184</v>
      </c>
      <c r="E169" s="385">
        <f t="shared" si="72"/>
        <v>26.116431208603668</v>
      </c>
      <c r="F169" s="385">
        <f t="shared" si="51"/>
        <v>26.116907660105319</v>
      </c>
      <c r="G169" s="110">
        <f t="shared" si="73"/>
        <v>0.40951791329557724</v>
      </c>
      <c r="H169" s="414" t="b">
        <f>Wh_hp&gt;='2022'!Maxi_hp</f>
        <v>0</v>
      </c>
      <c r="I169" s="390">
        <f>IF(H169,Wh_hp,'2022'!Maxi_hp)</f>
        <v>59.953702782585943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3.9121119748686262E-2</v>
      </c>
      <c r="M169" s="845"/>
      <c r="N169" s="845"/>
      <c r="O169" s="48">
        <f>IF(t&lt;Tnet,'2022'!Resal+('2022'!Salim-'2022'!Resal)*(1-EXP(('2022'!Tnet-t)/('2022'!Tau_j))),Resal+(Salim-Resal)*(1-EXP((Tnet-t)/(Tau_j))))*Salcycl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1.1656017076234077E-4</v>
      </c>
      <c r="Q169" s="305">
        <f t="shared" si="53"/>
        <v>0.5</v>
      </c>
      <c r="R169" s="177">
        <f t="shared" si="54"/>
        <v>0.71640406945219404</v>
      </c>
      <c r="S169" s="811">
        <f t="shared" si="55"/>
        <v>0</v>
      </c>
      <c r="T169" s="176">
        <f t="shared" si="56"/>
        <v>6</v>
      </c>
      <c r="U169" s="251">
        <f t="shared" si="57"/>
        <v>0.71640406945219404</v>
      </c>
      <c r="V169" s="383">
        <f t="shared" si="58"/>
        <v>60.732012742238823</v>
      </c>
      <c r="W169" s="402">
        <f t="shared" si="59"/>
        <v>24.873292644096725</v>
      </c>
      <c r="X169" s="157">
        <f t="shared" si="60"/>
        <v>45081</v>
      </c>
      <c r="Y169" s="385">
        <f t="shared" si="61"/>
        <v>23.479650255484245</v>
      </c>
      <c r="Z169" s="385">
        <f t="shared" si="62"/>
        <v>24.435598219562536</v>
      </c>
      <c r="AA169" s="386">
        <f t="shared" si="63"/>
        <v>26.116431208603668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6.4359214152024197E-2</v>
      </c>
      <c r="AD169" s="231">
        <f>(INDEX(Models!$BJ169:$BT169,,AH169)*(1-AF169)+INDEX(Models!$BJ169:$BT169,,AH169+1)*AF169-ERP_i)*AE169*Ramure*Pc/MaxiM</f>
        <v>1.1656017076234077E-4</v>
      </c>
      <c r="AE169" s="305">
        <f t="shared" si="65"/>
        <v>0.5</v>
      </c>
      <c r="AF169" s="177">
        <f t="shared" si="66"/>
        <v>0.71640406945219404</v>
      </c>
      <c r="AG169" s="811">
        <f t="shared" si="74"/>
        <v>0</v>
      </c>
      <c r="AH169" s="176">
        <f t="shared" si="67"/>
        <v>6</v>
      </c>
      <c r="AI169" s="225">
        <f t="shared" si="68"/>
        <v>0.71640406945219404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34.311953642971055</v>
      </c>
      <c r="C170" s="841"/>
      <c r="D170" s="393">
        <f t="shared" si="50"/>
        <v>35.709708980492294</v>
      </c>
      <c r="E170" s="385">
        <f t="shared" ref="E170:E232" si="75">Wh_pvt/(1-Psa)</f>
        <v>36.031548513002292</v>
      </c>
      <c r="F170" s="385">
        <f t="shared" si="51"/>
        <v>36.033039811706907</v>
      </c>
      <c r="G170" s="110">
        <f t="shared" ref="G170:G232" si="76">+Wh_hp/MaxiM</f>
        <v>0.5650758755117804</v>
      </c>
      <c r="H170" s="414" t="b">
        <f>Wh_hp&gt;='2022'!Maxi_hp</f>
        <v>0</v>
      </c>
      <c r="I170" s="390">
        <f>IF(H170,Wh_hp,'2022'!Maxi_hp)</f>
        <v>43.180770881481472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3.9142165462194511E-2</v>
      </c>
      <c r="M170" s="845"/>
      <c r="N170" s="845"/>
      <c r="O170" s="48">
        <f>IF(t&lt;Tnet,'2022'!Resal+('2022'!Salim-'2022'!Resal)*(1-EXP(('2022'!Tnet-t)/('2022'!Tau_j))),Resal+(Salim-Resal)*(1-EXP((Tnet-t)/(Tau_j))))*Salcycl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1.0927698878687908E-4</v>
      </c>
      <c r="Q170" s="305">
        <f t="shared" si="53"/>
        <v>0.5</v>
      </c>
      <c r="R170" s="177">
        <f t="shared" si="54"/>
        <v>0.72148457032246605</v>
      </c>
      <c r="S170" s="811">
        <f t="shared" si="55"/>
        <v>0</v>
      </c>
      <c r="T170" s="176">
        <f t="shared" si="56"/>
        <v>6</v>
      </c>
      <c r="U170" s="251">
        <f t="shared" si="57"/>
        <v>0.72148457032246605</v>
      </c>
      <c r="V170" s="383">
        <f t="shared" si="58"/>
        <v>60.71684457712319</v>
      </c>
      <c r="W170" s="402">
        <f t="shared" si="59"/>
        <v>34.311953642971055</v>
      </c>
      <c r="X170" s="157">
        <f t="shared" si="60"/>
        <v>45082</v>
      </c>
      <c r="Y170" s="385">
        <f t="shared" si="61"/>
        <v>32.389990556462223</v>
      </c>
      <c r="Z170" s="385">
        <f t="shared" si="62"/>
        <v>33.709451484092384</v>
      </c>
      <c r="AA170" s="386">
        <f t="shared" si="63"/>
        <v>36.031548513002292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6.4446217960129115E-2</v>
      </c>
      <c r="AD170" s="231">
        <f>(INDEX(Models!$BJ170:$BT170,,AH170)*(1-AF170)+INDEX(Models!$BJ170:$BT170,,AH170+1)*AF170-ERP_i)*AE170*Ramure*Pc/MaxiM</f>
        <v>1.0927698878687908E-4</v>
      </c>
      <c r="AE170" s="305">
        <f t="shared" si="65"/>
        <v>0.5</v>
      </c>
      <c r="AF170" s="177">
        <f t="shared" si="66"/>
        <v>0.72148457032246605</v>
      </c>
      <c r="AG170" s="811">
        <f t="shared" si="74"/>
        <v>0</v>
      </c>
      <c r="AH170" s="176">
        <f t="shared" si="67"/>
        <v>6</v>
      </c>
      <c r="AI170" s="225">
        <f t="shared" si="68"/>
        <v>0.72148457032246605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48.32364883679864</v>
      </c>
      <c r="C171" s="841"/>
      <c r="D171" s="393">
        <f t="shared" si="50"/>
        <v>50.293295776846392</v>
      </c>
      <c r="E171" s="385">
        <f t="shared" si="75"/>
        <v>50.752110811217882</v>
      </c>
      <c r="F171" s="385">
        <f t="shared" si="51"/>
        <v>50.755807634961521</v>
      </c>
      <c r="G171" s="110">
        <f t="shared" si="76"/>
        <v>0.79610922646497861</v>
      </c>
      <c r="H171" s="414" t="b">
        <f>Wh_hp&gt;='2022'!Maxi_hp</f>
        <v>0</v>
      </c>
      <c r="I171" s="390">
        <f>IF(H171,Wh_hp,'2022'!Maxi_hp)</f>
        <v>62.343880742671914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3.9163210714747487E-2</v>
      </c>
      <c r="M171" s="845"/>
      <c r="N171" s="845"/>
      <c r="O171" s="48">
        <f>IF(t&lt;Tnet,'2022'!Resal+('2022'!Salim-'2022'!Resal)*(1-EXP(('2022'!Tnet-t)/('2022'!Tau_j))),Resal+(Salim-Resal)*(1-EXP((Tnet-t)/(Tau_j))))*Salcycl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1.0276444441247822E-4</v>
      </c>
      <c r="Q171" s="305">
        <f t="shared" si="53"/>
        <v>0.5</v>
      </c>
      <c r="R171" s="177">
        <f t="shared" si="54"/>
        <v>0.72658648886960597</v>
      </c>
      <c r="S171" s="811">
        <f t="shared" si="55"/>
        <v>0</v>
      </c>
      <c r="T171" s="176">
        <f t="shared" si="56"/>
        <v>6</v>
      </c>
      <c r="U171" s="251">
        <f t="shared" si="57"/>
        <v>0.72658648886960597</v>
      </c>
      <c r="V171" s="383">
        <f t="shared" si="58"/>
        <v>60.69795556745197</v>
      </c>
      <c r="W171" s="402">
        <f t="shared" si="59"/>
        <v>48.32364883679864</v>
      </c>
      <c r="X171" s="157">
        <f t="shared" si="60"/>
        <v>45083</v>
      </c>
      <c r="Y171" s="385">
        <f t="shared" si="61"/>
        <v>45.61759413045155</v>
      </c>
      <c r="Z171" s="385">
        <f t="shared" si="62"/>
        <v>47.476943679878843</v>
      </c>
      <c r="AA171" s="386">
        <f t="shared" si="63"/>
        <v>50.752110811217882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6.4532628869795078E-2</v>
      </c>
      <c r="AD171" s="231">
        <f>(INDEX(Models!$BJ171:$BT171,,AH171)*(1-AF171)+INDEX(Models!$BJ171:$BT171,,AH171+1)*AF171-ERP_i)*AE171*Ramure*Pc/MaxiM</f>
        <v>1.0276444441247822E-4</v>
      </c>
      <c r="AE171" s="305">
        <f t="shared" si="65"/>
        <v>0.5</v>
      </c>
      <c r="AF171" s="177">
        <f t="shared" si="66"/>
        <v>0.72658648886960597</v>
      </c>
      <c r="AG171" s="811">
        <f t="shared" si="74"/>
        <v>0</v>
      </c>
      <c r="AH171" s="176">
        <f t="shared" si="67"/>
        <v>6</v>
      </c>
      <c r="AI171" s="225">
        <f t="shared" si="68"/>
        <v>0.72658648886960597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25.192415452348595</v>
      </c>
      <c r="C172" s="841"/>
      <c r="D172" s="393">
        <f t="shared" si="50"/>
        <v>26.219819561371928</v>
      </c>
      <c r="E172" s="385">
        <f t="shared" si="75"/>
        <v>26.461903686958689</v>
      </c>
      <c r="F172" s="385">
        <f t="shared" si="51"/>
        <v>26.462326309803792</v>
      </c>
      <c r="G172" s="110">
        <f t="shared" si="76"/>
        <v>0.41516722856470339</v>
      </c>
      <c r="H172" s="414" t="b">
        <f>Wh_hp&gt;='2022'!Maxi_hp</f>
        <v>0</v>
      </c>
      <c r="I172" s="390">
        <f>IF(H172,Wh_hp,'2022'!Maxi_hp)</f>
        <v>54.813719171232592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3.9184255506355403E-2</v>
      </c>
      <c r="M172" s="845"/>
      <c r="N172" s="845"/>
      <c r="O172" s="48">
        <f>IF(t&lt;Tnet,'2022'!Resal+('2022'!Salim-'2022'!Resal)*(1-EXP(('2022'!Tnet-t)/('2022'!Tau_j))),Resal+(Salim-Resal)*(1-EXP((Tnet-t)/(Tau_j))))*Salcycl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9.704365655563855E-5</v>
      </c>
      <c r="Q172" s="305">
        <f t="shared" si="53"/>
        <v>0.5</v>
      </c>
      <c r="R172" s="177">
        <f t="shared" si="54"/>
        <v>0.73170562828743191</v>
      </c>
      <c r="S172" s="811">
        <f t="shared" si="55"/>
        <v>0</v>
      </c>
      <c r="T172" s="176">
        <f t="shared" si="56"/>
        <v>6</v>
      </c>
      <c r="U172" s="251">
        <f t="shared" si="57"/>
        <v>0.73170562828743191</v>
      </c>
      <c r="V172" s="383">
        <f t="shared" si="58"/>
        <v>60.675244248290738</v>
      </c>
      <c r="W172" s="402">
        <f t="shared" si="59"/>
        <v>25.192415452348595</v>
      </c>
      <c r="X172" s="157">
        <f t="shared" si="60"/>
        <v>45084</v>
      </c>
      <c r="Y172" s="385">
        <f t="shared" si="61"/>
        <v>23.782090053602868</v>
      </c>
      <c r="Z172" s="385">
        <f t="shared" si="62"/>
        <v>24.751977879105389</v>
      </c>
      <c r="AA172" s="386">
        <f t="shared" si="63"/>
        <v>26.461903686958689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6.4618397379172909E-2</v>
      </c>
      <c r="AD172" s="231">
        <f>(INDEX(Models!$BJ172:$BT172,,AH172)*(1-AF172)+INDEX(Models!$BJ172:$BT172,,AH172+1)*AF172-ERP_i)*AE172*Ramure*Pc/MaxiM</f>
        <v>9.704365655563855E-5</v>
      </c>
      <c r="AE172" s="305">
        <f t="shared" si="65"/>
        <v>0.5</v>
      </c>
      <c r="AF172" s="177">
        <f t="shared" si="66"/>
        <v>0.73170562828743191</v>
      </c>
      <c r="AG172" s="811">
        <f t="shared" si="74"/>
        <v>0</v>
      </c>
      <c r="AH172" s="176">
        <f t="shared" si="67"/>
        <v>6</v>
      </c>
      <c r="AI172" s="225">
        <f t="shared" si="68"/>
        <v>0.73170562828743191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20.596152843652021</v>
      </c>
      <c r="C173" s="841"/>
      <c r="D173" s="393">
        <f t="shared" si="50"/>
        <v>21.436580405947772</v>
      </c>
      <c r="E173" s="385">
        <f t="shared" si="75"/>
        <v>21.63686009134419</v>
      </c>
      <c r="F173" s="385">
        <f t="shared" si="51"/>
        <v>21.636972863452236</v>
      </c>
      <c r="G173" s="110">
        <f t="shared" si="76"/>
        <v>0.3395685870237149</v>
      </c>
      <c r="H173" s="414" t="b">
        <f>Wh_hp&gt;='2022'!Maxi_hp</f>
        <v>0</v>
      </c>
      <c r="I173" s="390">
        <f>IF(H173,Wh_hp,'2022'!Maxi_hp)</f>
        <v>64.469263284236831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3.9205299837028473E-2</v>
      </c>
      <c r="M173" s="845"/>
      <c r="N173" s="845"/>
      <c r="O173" s="48">
        <f>IF(t&lt;Tnet,'2022'!Resal+('2022'!Salim-'2022'!Resal)*(1-EXP(('2022'!Tnet-t)/('2022'!Tau_j))),Resal+(Salim-Resal)*(1-EXP((Tnet-t)/(Tau_j))))*Salcycl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9.2135886865668141E-5</v>
      </c>
      <c r="Q173" s="305">
        <f t="shared" si="53"/>
        <v>0.5</v>
      </c>
      <c r="R173" s="177">
        <f t="shared" si="54"/>
        <v>0.73683773424069843</v>
      </c>
      <c r="S173" s="811">
        <f t="shared" si="55"/>
        <v>0</v>
      </c>
      <c r="T173" s="176">
        <f t="shared" si="56"/>
        <v>6</v>
      </c>
      <c r="U173" s="251">
        <f t="shared" si="57"/>
        <v>0.73683773424069843</v>
      </c>
      <c r="V173" s="383">
        <f t="shared" si="58"/>
        <v>60.648609217255405</v>
      </c>
      <c r="W173" s="402">
        <f t="shared" si="59"/>
        <v>20.596152843652021</v>
      </c>
      <c r="X173" s="157">
        <f t="shared" si="60"/>
        <v>45085</v>
      </c>
      <c r="Y173" s="385">
        <f t="shared" si="61"/>
        <v>19.443487092477945</v>
      </c>
      <c r="Z173" s="385">
        <f t="shared" si="62"/>
        <v>20.236880042302388</v>
      </c>
      <c r="AA173" s="386">
        <f t="shared" si="63"/>
        <v>21.63686009134419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6.4703475602814656E-2</v>
      </c>
      <c r="AD173" s="231">
        <f>(INDEX(Models!$BJ173:$BT173,,AH173)*(1-AF173)+INDEX(Models!$BJ173:$BT173,,AH173+1)*AF173-ERP_i)*AE173*Ramure*Pc/MaxiM</f>
        <v>9.2135886865668141E-5</v>
      </c>
      <c r="AE173" s="305">
        <f t="shared" si="65"/>
        <v>0.5</v>
      </c>
      <c r="AF173" s="177">
        <f t="shared" si="66"/>
        <v>0.73683773424069843</v>
      </c>
      <c r="AG173" s="811">
        <f t="shared" si="74"/>
        <v>0</v>
      </c>
      <c r="AH173" s="176">
        <f t="shared" si="67"/>
        <v>6</v>
      </c>
      <c r="AI173" s="225">
        <f t="shared" si="68"/>
        <v>0.73683773424069843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47.065758324603834</v>
      </c>
      <c r="C174" s="841"/>
      <c r="D174" s="393">
        <f t="shared" si="50"/>
        <v>48.987353073552214</v>
      </c>
      <c r="E174" s="385">
        <f t="shared" si="75"/>
        <v>49.450423376131759</v>
      </c>
      <c r="F174" s="385">
        <f t="shared" si="51"/>
        <v>49.453387460396364</v>
      </c>
      <c r="G174" s="110">
        <f t="shared" si="76"/>
        <v>0.77641086783072732</v>
      </c>
      <c r="H174" s="414" t="b">
        <f>Wh_hp&gt;='2022'!Maxi_hp</f>
        <v>0</v>
      </c>
      <c r="I174" s="390">
        <f>IF(H174,Wh_hp,'2022'!Maxi_hp)</f>
        <v>60.601331416290115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3.9226343706776579E-2</v>
      </c>
      <c r="M174" s="845"/>
      <c r="N174" s="845"/>
      <c r="O174" s="48">
        <f>IF(t&lt;Tnet,'2022'!Resal+('2022'!Salim-'2022'!Resal)*(1-EXP(('2022'!Tnet-t)/('2022'!Tau_j))),Resal+(Salim-Resal)*(1-EXP((Tnet-t)/(Tau_j))))*Salcycl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8.8062492356938448E-5</v>
      </c>
      <c r="Q174" s="305">
        <f t="shared" si="53"/>
        <v>0.5</v>
      </c>
      <c r="R174" s="177">
        <f t="shared" si="54"/>
        <v>0.74197850888500438</v>
      </c>
      <c r="S174" s="811">
        <f t="shared" si="55"/>
        <v>0</v>
      </c>
      <c r="T174" s="176">
        <f t="shared" si="56"/>
        <v>6</v>
      </c>
      <c r="U174" s="251">
        <f t="shared" si="57"/>
        <v>0.74197850888500438</v>
      </c>
      <c r="V174" s="383">
        <f t="shared" si="58"/>
        <v>60.617949135454325</v>
      </c>
      <c r="W174" s="402">
        <f t="shared" si="59"/>
        <v>47.065758324603834</v>
      </c>
      <c r="X174" s="157">
        <f t="shared" si="60"/>
        <v>45086</v>
      </c>
      <c r="Y174" s="385">
        <f t="shared" si="61"/>
        <v>44.432551840928411</v>
      </c>
      <c r="Z174" s="385">
        <f t="shared" si="62"/>
        <v>46.246638373031963</v>
      </c>
      <c r="AA174" s="386">
        <f t="shared" si="63"/>
        <v>49.450423376131759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6.4787817461764582E-2</v>
      </c>
      <c r="AD174" s="231">
        <f>(INDEX(Models!$BJ174:$BT174,,AH174)*(1-AF174)+INDEX(Models!$BJ174:$BT174,,AH174+1)*AF174-ERP_i)*AE174*Ramure*Pc/MaxiM</f>
        <v>8.8062492356938448E-5</v>
      </c>
      <c r="AE174" s="305">
        <f t="shared" si="65"/>
        <v>0.5</v>
      </c>
      <c r="AF174" s="177">
        <f t="shared" si="66"/>
        <v>0.74197850888500438</v>
      </c>
      <c r="AG174" s="811">
        <f t="shared" si="74"/>
        <v>0</v>
      </c>
      <c r="AH174" s="176">
        <f t="shared" si="67"/>
        <v>6</v>
      </c>
      <c r="AI174" s="225">
        <f t="shared" si="68"/>
        <v>0.74197850888500438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57.437557235060723</v>
      </c>
      <c r="C175" s="841"/>
      <c r="D175" s="393">
        <f t="shared" si="50"/>
        <v>59.783919881956486</v>
      </c>
      <c r="E175" s="385">
        <f t="shared" si="75"/>
        <v>60.355617955777014</v>
      </c>
      <c r="F175" s="385">
        <f t="shared" si="51"/>
        <v>60.360359356093497</v>
      </c>
      <c r="G175" s="110">
        <f t="shared" si="76"/>
        <v>0.94807192537116658</v>
      </c>
      <c r="H175" s="414" t="b">
        <f>Wh_hp&gt;='2022'!Maxi_hp</f>
        <v>0</v>
      </c>
      <c r="I175" s="390">
        <f>IF(H175,Wh_hp,'2022'!Maxi_hp)</f>
        <v>61.199848181326935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3.9247387115610044E-2</v>
      </c>
      <c r="M175" s="845"/>
      <c r="N175" s="845"/>
      <c r="O175" s="48">
        <f>IF(t&lt;Tnet,'2022'!Resal+('2022'!Salim-'2022'!Resal)*(1-EXP(('2022'!Tnet-t)/('2022'!Tau_j))),Resal+(Salim-Resal)*(1-EXP((Tnet-t)/(Tau_j))))*Salcycl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8.484488021770679E-5</v>
      </c>
      <c r="Q175" s="305">
        <f t="shared" si="53"/>
        <v>0.5</v>
      </c>
      <c r="R175" s="177">
        <f t="shared" si="54"/>
        <v>0.74712362519601583</v>
      </c>
      <c r="S175" s="811">
        <f t="shared" si="55"/>
        <v>0</v>
      </c>
      <c r="T175" s="176">
        <f t="shared" si="56"/>
        <v>6</v>
      </c>
      <c r="U175" s="251">
        <f t="shared" si="57"/>
        <v>0.74712362519601583</v>
      </c>
      <c r="V175" s="383">
        <f t="shared" si="58"/>
        <v>60.583162729102035</v>
      </c>
      <c r="W175" s="402">
        <f t="shared" si="59"/>
        <v>57.437557235060723</v>
      </c>
      <c r="X175" s="157">
        <f t="shared" si="60"/>
        <v>45087</v>
      </c>
      <c r="Y175" s="385">
        <f t="shared" si="61"/>
        <v>54.225132836031946</v>
      </c>
      <c r="Z175" s="385">
        <f t="shared" si="62"/>
        <v>56.440265796661443</v>
      </c>
      <c r="AA175" s="386">
        <f t="shared" si="63"/>
        <v>60.355617955777014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6.4871378866245361E-2</v>
      </c>
      <c r="AD175" s="231">
        <f>(INDEX(Models!$BJ175:$BT175,,AH175)*(1-AF175)+INDEX(Models!$BJ175:$BT175,,AH175+1)*AF175-ERP_i)*AE175*Ramure*Pc/MaxiM</f>
        <v>8.484488021770679E-5</v>
      </c>
      <c r="AE175" s="305">
        <f t="shared" si="65"/>
        <v>0.5</v>
      </c>
      <c r="AF175" s="177">
        <f t="shared" si="66"/>
        <v>0.74712362519601583</v>
      </c>
      <c r="AG175" s="811">
        <f t="shared" si="74"/>
        <v>0</v>
      </c>
      <c r="AH175" s="176">
        <f t="shared" si="67"/>
        <v>6</v>
      </c>
      <c r="AI175" s="225">
        <f t="shared" si="68"/>
        <v>0.74712362519601583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56.160332473021271</v>
      </c>
      <c r="C176" s="841"/>
      <c r="D176" s="393">
        <f t="shared" si="50"/>
        <v>58.45579996578595</v>
      </c>
      <c r="E176" s="385">
        <f t="shared" si="75"/>
        <v>59.021216065168666</v>
      </c>
      <c r="F176" s="385">
        <f t="shared" si="51"/>
        <v>59.025582206897326</v>
      </c>
      <c r="G176" s="110">
        <f t="shared" si="76"/>
        <v>0.92758514694479666</v>
      </c>
      <c r="H176" s="414" t="b">
        <f>Wh_hp&gt;='2022'!Maxi_hp</f>
        <v>0</v>
      </c>
      <c r="I176" s="390">
        <f>IF(H176,Wh_hp,'2022'!Maxi_hp)</f>
        <v>59.025709659388554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3.9268430063538751E-2</v>
      </c>
      <c r="M176" s="845"/>
      <c r="N176" s="845"/>
      <c r="O176" s="48">
        <f>IF(t&lt;Tnet,'2022'!Resal+('2022'!Salim-'2022'!Resal)*(1-EXP(('2022'!Tnet-t)/('2022'!Tau_j))),Resal+(Salim-Resal)*(1-EXP((Tnet-t)/(Tau_j))))*Salcycl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8.2504465414888318E-5</v>
      </c>
      <c r="Q176" s="305">
        <f t="shared" si="53"/>
        <v>0.5</v>
      </c>
      <c r="R176" s="177">
        <f t="shared" si="54"/>
        <v>0.75226874150702738</v>
      </c>
      <c r="S176" s="811">
        <f t="shared" si="55"/>
        <v>0</v>
      </c>
      <c r="T176" s="176">
        <f t="shared" si="56"/>
        <v>6</v>
      </c>
      <c r="U176" s="251">
        <f t="shared" si="57"/>
        <v>0.75226874150702738</v>
      </c>
      <c r="V176" s="383">
        <f t="shared" si="58"/>
        <v>60.544148796038975</v>
      </c>
      <c r="W176" s="402">
        <f t="shared" si="59"/>
        <v>56.160332473021271</v>
      </c>
      <c r="X176" s="157">
        <f t="shared" si="60"/>
        <v>45088</v>
      </c>
      <c r="Y176" s="385">
        <f t="shared" si="61"/>
        <v>53.020416786144544</v>
      </c>
      <c r="Z176" s="385">
        <f t="shared" si="62"/>
        <v>55.187545038882291</v>
      </c>
      <c r="AA176" s="386">
        <f t="shared" si="63"/>
        <v>59.021216065168666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6.4954117889631471E-2</v>
      </c>
      <c r="AD176" s="231">
        <f>(INDEX(Models!$BJ176:$BT176,,AH176)*(1-AF176)+INDEX(Models!$BJ176:$BT176,,AH176+1)*AF176-ERP_i)*AE176*Ramure*Pc/MaxiM</f>
        <v>8.2504465414888318E-5</v>
      </c>
      <c r="AE176" s="305">
        <f t="shared" si="65"/>
        <v>0.5</v>
      </c>
      <c r="AF176" s="177">
        <f t="shared" si="66"/>
        <v>0.75226874150702738</v>
      </c>
      <c r="AG176" s="811">
        <f t="shared" si="74"/>
        <v>0</v>
      </c>
      <c r="AH176" s="176">
        <f t="shared" si="67"/>
        <v>6</v>
      </c>
      <c r="AI176" s="225">
        <f t="shared" si="68"/>
        <v>0.75226874150702738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42.971761377586276</v>
      </c>
      <c r="C177" s="841"/>
      <c r="D177" s="393">
        <f t="shared" si="50"/>
        <v>44.729145928765064</v>
      </c>
      <c r="E177" s="385">
        <f t="shared" si="75"/>
        <v>45.166697460202236</v>
      </c>
      <c r="F177" s="385">
        <f t="shared" si="51"/>
        <v>45.168843516853464</v>
      </c>
      <c r="G177" s="110">
        <f t="shared" si="76"/>
        <v>0.71025114569867887</v>
      </c>
      <c r="H177" s="414" t="b">
        <f>Wh_hp&gt;='2022'!Maxi_hp</f>
        <v>0</v>
      </c>
      <c r="I177" s="390">
        <f>IF(H177,Wh_hp,'2022'!Maxi_hp)</f>
        <v>58.244062693126686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3.9289472550572913E-2</v>
      </c>
      <c r="M177" s="845"/>
      <c r="N177" s="845"/>
      <c r="O177" s="48">
        <f>IF(t&lt;Tnet,'2022'!Resal+('2022'!Salim-'2022'!Resal)*(1-EXP(('2022'!Tnet-t)/('2022'!Tau_j))),Resal+(Salim-Resal)*(1-EXP((Tnet-t)/(Tau_j))))*Salcycl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8.1063475650268175E-5</v>
      </c>
      <c r="Q177" s="305">
        <f t="shared" si="53"/>
        <v>0.5</v>
      </c>
      <c r="R177" s="177">
        <f t="shared" si="54"/>
        <v>0.75740951615133323</v>
      </c>
      <c r="S177" s="811">
        <f t="shared" si="55"/>
        <v>0</v>
      </c>
      <c r="T177" s="176">
        <f t="shared" si="56"/>
        <v>6</v>
      </c>
      <c r="U177" s="251">
        <f t="shared" si="57"/>
        <v>0.75740951615133323</v>
      </c>
      <c r="V177" s="383">
        <f t="shared" si="58"/>
        <v>60.500176308239283</v>
      </c>
      <c r="W177" s="402">
        <f t="shared" si="59"/>
        <v>42.971761377586276</v>
      </c>
      <c r="X177" s="157">
        <f t="shared" si="60"/>
        <v>45089</v>
      </c>
      <c r="Y177" s="385">
        <f t="shared" si="61"/>
        <v>40.570071930539626</v>
      </c>
      <c r="Z177" s="385">
        <f t="shared" si="62"/>
        <v>42.229236353065033</v>
      </c>
      <c r="AA177" s="386">
        <f t="shared" si="63"/>
        <v>45.166697460202236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6.5035994932449687E-2</v>
      </c>
      <c r="AD177" s="231">
        <f>(INDEX(Models!$BJ177:$BT177,,AH177)*(1-AF177)+INDEX(Models!$BJ177:$BT177,,AH177+1)*AF177-ERP_i)*AE177*Ramure*Pc/MaxiM</f>
        <v>8.1063475650268175E-5</v>
      </c>
      <c r="AE177" s="305">
        <f t="shared" si="65"/>
        <v>0.5</v>
      </c>
      <c r="AF177" s="177">
        <f t="shared" si="66"/>
        <v>0.75740951615133323</v>
      </c>
      <c r="AG177" s="811">
        <f t="shared" si="74"/>
        <v>0</v>
      </c>
      <c r="AH177" s="176">
        <f t="shared" si="67"/>
        <v>6</v>
      </c>
      <c r="AI177" s="225">
        <f t="shared" si="68"/>
        <v>0.75740951615133323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54.409363522214981</v>
      </c>
      <c r="C178" s="841"/>
      <c r="D178" s="393">
        <f t="shared" si="50"/>
        <v>56.635743752563663</v>
      </c>
      <c r="E178" s="385">
        <f t="shared" si="75"/>
        <v>57.19597591023193</v>
      </c>
      <c r="F178" s="385">
        <f t="shared" si="51"/>
        <v>57.199926014292345</v>
      </c>
      <c r="G178" s="110">
        <f t="shared" si="76"/>
        <v>0.90004911397029264</v>
      </c>
      <c r="H178" s="414" t="b">
        <f>Wh_hp&gt;='2022'!Maxi_hp</f>
        <v>0</v>
      </c>
      <c r="I178" s="390">
        <f>IF(H178,Wh_hp,'2022'!Maxi_hp)</f>
        <v>66.115436428019962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3.9310514576722633E-2</v>
      </c>
      <c r="M178" s="845"/>
      <c r="N178" s="845"/>
      <c r="O178" s="48">
        <f>IF(t&lt;Tnet,'2022'!Resal+('2022'!Salim-'2022'!Resal)*(1-EXP(('2022'!Tnet-t)/('2022'!Tau_j))),Resal+(Salim-Resal)*(1-EXP((Tnet-t)/(Tau_j))))*Salcycl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8.0559510351600077E-5</v>
      </c>
      <c r="Q178" s="305">
        <f t="shared" si="53"/>
        <v>0.5</v>
      </c>
      <c r="R178" s="177">
        <f t="shared" si="54"/>
        <v>0.76254162210459975</v>
      </c>
      <c r="S178" s="811">
        <f t="shared" si="55"/>
        <v>0</v>
      </c>
      <c r="T178" s="176">
        <f t="shared" si="56"/>
        <v>6</v>
      </c>
      <c r="U178" s="251">
        <f t="shared" si="57"/>
        <v>0.76254162210459975</v>
      </c>
      <c r="V178" s="383">
        <f t="shared" si="58"/>
        <v>60.450854110740003</v>
      </c>
      <c r="W178" s="402">
        <f t="shared" si="59"/>
        <v>54.409363522214981</v>
      </c>
      <c r="X178" s="157">
        <f t="shared" si="60"/>
        <v>45090</v>
      </c>
      <c r="Y178" s="385">
        <f t="shared" si="61"/>
        <v>51.369553066666271</v>
      </c>
      <c r="Z178" s="385">
        <f t="shared" si="62"/>
        <v>53.471547098314474</v>
      </c>
      <c r="AA178" s="386">
        <f t="shared" si="63"/>
        <v>57.19597591023193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6.5116972875204959E-2</v>
      </c>
      <c r="AD178" s="231">
        <f>(INDEX(Models!$BJ178:$BT178,,AH178)*(1-AF178)+INDEX(Models!$BJ178:$BT178,,AH178+1)*AF178-ERP_i)*AE178*Ramure*Pc/MaxiM</f>
        <v>8.0559510351600077E-5</v>
      </c>
      <c r="AE178" s="305">
        <f t="shared" si="65"/>
        <v>0.5</v>
      </c>
      <c r="AF178" s="177">
        <f t="shared" si="66"/>
        <v>0.76254162210459975</v>
      </c>
      <c r="AG178" s="811">
        <f t="shared" si="74"/>
        <v>0</v>
      </c>
      <c r="AH178" s="176">
        <f t="shared" si="67"/>
        <v>6</v>
      </c>
      <c r="AI178" s="225">
        <f t="shared" si="68"/>
        <v>0.76254162210459975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49.623573122530559</v>
      </c>
      <c r="C179" s="841"/>
      <c r="D179" s="393">
        <f t="shared" si="50"/>
        <v>51.655254671678904</v>
      </c>
      <c r="E179" s="385">
        <f t="shared" si="75"/>
        <v>52.171876177864569</v>
      </c>
      <c r="F179" s="385">
        <f t="shared" si="51"/>
        <v>52.174994362412129</v>
      </c>
      <c r="G179" s="110">
        <f t="shared" si="76"/>
        <v>0.82161123380261714</v>
      </c>
      <c r="H179" s="414" t="b">
        <f>Wh_hp&gt;='2022'!Maxi_hp</f>
        <v>0</v>
      </c>
      <c r="I179" s="390">
        <f>IF(H179,Wh_hp,'2022'!Maxi_hp)</f>
        <v>57.514759839675243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3.9331556141998014E-2</v>
      </c>
      <c r="M179" s="845"/>
      <c r="N179" s="845"/>
      <c r="O179" s="48">
        <f>IF(t&lt;Tnet,'2022'!Resal+('2022'!Salim-'2022'!Resal)*(1-EXP(('2022'!Tnet-t)/('2022'!Tau_j))),Resal+(Salim-Resal)*(1-EXP((Tnet-t)/(Tau_j))))*Salcycl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8.0200398676632612E-5</v>
      </c>
      <c r="Q179" s="305">
        <f t="shared" si="53"/>
        <v>0.5</v>
      </c>
      <c r="R179" s="177">
        <f t="shared" si="54"/>
        <v>0.76766076152242579</v>
      </c>
      <c r="S179" s="811">
        <f t="shared" si="55"/>
        <v>0</v>
      </c>
      <c r="T179" s="176">
        <f t="shared" si="56"/>
        <v>6</v>
      </c>
      <c r="U179" s="251">
        <f t="shared" si="57"/>
        <v>0.76766076152242579</v>
      </c>
      <c r="V179" s="383">
        <f t="shared" si="58"/>
        <v>60.396641247713291</v>
      </c>
      <c r="W179" s="402">
        <f t="shared" si="59"/>
        <v>49.623573122530559</v>
      </c>
      <c r="X179" s="157">
        <f t="shared" si="60"/>
        <v>45091</v>
      </c>
      <c r="Y179" s="385">
        <f t="shared" si="61"/>
        <v>46.852208740976266</v>
      </c>
      <c r="Z179" s="385">
        <f t="shared" si="62"/>
        <v>48.770425468353963</v>
      </c>
      <c r="AA179" s="386">
        <f t="shared" si="63"/>
        <v>52.171876177864569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6.5197017218901032E-2</v>
      </c>
      <c r="AD179" s="231">
        <f>(INDEX(Models!$BJ179:$BT179,,AH179)*(1-AF179)+INDEX(Models!$BJ179:$BT179,,AH179+1)*AF179-ERP_i)*AE179*Ramure*Pc/MaxiM</f>
        <v>8.0200398676632612E-5</v>
      </c>
      <c r="AE179" s="305">
        <f t="shared" si="65"/>
        <v>0.5</v>
      </c>
      <c r="AF179" s="177">
        <f t="shared" si="66"/>
        <v>0.76766076152242579</v>
      </c>
      <c r="AG179" s="811">
        <f t="shared" si="74"/>
        <v>0</v>
      </c>
      <c r="AH179" s="176">
        <f t="shared" si="67"/>
        <v>6</v>
      </c>
      <c r="AI179" s="225">
        <f t="shared" si="68"/>
        <v>0.76766076152242579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54.130397558855712</v>
      </c>
      <c r="C180" s="841"/>
      <c r="D180" s="393">
        <f t="shared" si="50"/>
        <v>56.347831060279596</v>
      </c>
      <c r="E180" s="385">
        <f t="shared" si="75"/>
        <v>56.917547006629221</v>
      </c>
      <c r="F180" s="385">
        <f t="shared" si="51"/>
        <v>56.921430952597326</v>
      </c>
      <c r="G180" s="110">
        <f t="shared" si="76"/>
        <v>0.89710973978714237</v>
      </c>
      <c r="H180" s="414" t="b">
        <f>Wh_hp&gt;='2022'!Maxi_hp</f>
        <v>0</v>
      </c>
      <c r="I180" s="390">
        <f>IF(H180,Wh_hp,'2022'!Maxi_hp)</f>
        <v>56.92159289770462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3.9352597246409049E-2</v>
      </c>
      <c r="M180" s="845"/>
      <c r="N180" s="845"/>
      <c r="O180" s="48">
        <f>IF(t&lt;Tnet,'2022'!Resal+('2022'!Salim-'2022'!Resal)*(1-EXP(('2022'!Tnet-t)/('2022'!Tau_j))),Resal+(Salim-Resal)*(1-EXP((Tnet-t)/(Tau_j))))*Salcycl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7.9989610793033999E-5</v>
      </c>
      <c r="Q180" s="305">
        <f t="shared" si="53"/>
        <v>0.5</v>
      </c>
      <c r="R180" s="177">
        <f t="shared" si="54"/>
        <v>0.77276268006956572</v>
      </c>
      <c r="S180" s="811">
        <f t="shared" si="55"/>
        <v>0</v>
      </c>
      <c r="T180" s="176">
        <f t="shared" si="56"/>
        <v>6</v>
      </c>
      <c r="U180" s="251">
        <f t="shared" si="57"/>
        <v>0.77276268006956572</v>
      </c>
      <c r="V180" s="383">
        <f t="shared" si="58"/>
        <v>60.337948357304761</v>
      </c>
      <c r="W180" s="402">
        <f t="shared" si="59"/>
        <v>54.130397558855712</v>
      </c>
      <c r="X180" s="157">
        <f t="shared" si="60"/>
        <v>45092</v>
      </c>
      <c r="Y180" s="385">
        <f t="shared" si="61"/>
        <v>51.108547308203697</v>
      </c>
      <c r="Z180" s="385">
        <f t="shared" si="62"/>
        <v>53.202191732061756</v>
      </c>
      <c r="AA180" s="386">
        <f t="shared" si="63"/>
        <v>56.917547006629221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6.527609621220562E-2</v>
      </c>
      <c r="AD180" s="231">
        <f>(INDEX(Models!$BJ180:$BT180,,AH180)*(1-AF180)+INDEX(Models!$BJ180:$BT180,,AH180+1)*AF180-ERP_i)*AE180*Ramure*Pc/MaxiM</f>
        <v>7.9989610793033999E-5</v>
      </c>
      <c r="AE180" s="305">
        <f t="shared" si="65"/>
        <v>0.5</v>
      </c>
      <c r="AF180" s="177">
        <f t="shared" si="66"/>
        <v>0.77276268006956572</v>
      </c>
      <c r="AG180" s="811">
        <f t="shared" si="74"/>
        <v>0</v>
      </c>
      <c r="AH180" s="176">
        <f t="shared" si="67"/>
        <v>6</v>
      </c>
      <c r="AI180" s="225">
        <f t="shared" si="68"/>
        <v>0.77276268006956572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52.021652058340017</v>
      </c>
      <c r="C181" s="841"/>
      <c r="D181" s="393">
        <f t="shared" si="50"/>
        <v>54.153887619816587</v>
      </c>
      <c r="E181" s="385">
        <f t="shared" si="75"/>
        <v>54.707336567370426</v>
      </c>
      <c r="F181" s="385">
        <f t="shared" si="51"/>
        <v>54.710854200212061</v>
      </c>
      <c r="G181" s="110">
        <f t="shared" si="76"/>
        <v>0.86305563196469448</v>
      </c>
      <c r="H181" s="414" t="b">
        <f>Wh_hp&gt;='2022'!Maxi_hp</f>
        <v>0</v>
      </c>
      <c r="I181" s="390">
        <f>IF(H181,Wh_hp,'2022'!Maxi_hp)</f>
        <v>64.761857489550721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3.9373637889965951E-2</v>
      </c>
      <c r="M181" s="845"/>
      <c r="N181" s="845"/>
      <c r="O181" s="48">
        <f>IF(t&lt;Tnet,'2022'!Resal+('2022'!Salim-'2022'!Resal)*(1-EXP(('2022'!Tnet-t)/('2022'!Tau_j))),Resal+(Salim-Resal)*(1-EXP((Tnet-t)/(Tau_j))))*Salcycl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7.9930648363935134E-5</v>
      </c>
      <c r="Q181" s="305">
        <f t="shared" si="53"/>
        <v>0.5</v>
      </c>
      <c r="R181" s="177">
        <f t="shared" si="54"/>
        <v>0.77784318093983762</v>
      </c>
      <c r="S181" s="811">
        <f t="shared" si="55"/>
        <v>0</v>
      </c>
      <c r="T181" s="176">
        <f t="shared" si="56"/>
        <v>6</v>
      </c>
      <c r="U181" s="251">
        <f t="shared" si="57"/>
        <v>0.77784318093983762</v>
      </c>
      <c r="V181" s="383">
        <f t="shared" si="58"/>
        <v>60.275185846252235</v>
      </c>
      <c r="W181" s="402">
        <f t="shared" si="59"/>
        <v>52.021652058340017</v>
      </c>
      <c r="X181" s="157">
        <f t="shared" si="60"/>
        <v>45093</v>
      </c>
      <c r="Y181" s="385">
        <f t="shared" si="61"/>
        <v>49.118731194549078</v>
      </c>
      <c r="Z181" s="385">
        <f t="shared" si="62"/>
        <v>51.131983393271504</v>
      </c>
      <c r="AA181" s="386">
        <f t="shared" si="63"/>
        <v>54.707336567370426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6.5354180964302372E-2</v>
      </c>
      <c r="AD181" s="231">
        <f>(INDEX(Models!$BJ181:$BT181,,AH181)*(1-AF181)+INDEX(Models!$BJ181:$BT181,,AH181+1)*AF181-ERP_i)*AE181*Ramure*Pc/MaxiM</f>
        <v>7.9930648363935134E-5</v>
      </c>
      <c r="AE181" s="305">
        <f t="shared" si="65"/>
        <v>0.5</v>
      </c>
      <c r="AF181" s="177">
        <f t="shared" si="66"/>
        <v>0.77784318093983762</v>
      </c>
      <c r="AG181" s="811">
        <f t="shared" si="74"/>
        <v>0</v>
      </c>
      <c r="AH181" s="176">
        <f t="shared" si="67"/>
        <v>6</v>
      </c>
      <c r="AI181" s="225">
        <f t="shared" si="68"/>
        <v>0.77784318093983762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52.092465945044395</v>
      </c>
      <c r="C182" s="841"/>
      <c r="D182" s="393">
        <f t="shared" si="50"/>
        <v>54.228791737826405</v>
      </c>
      <c r="E182" s="385">
        <f t="shared" si="75"/>
        <v>54.788922031401491</v>
      </c>
      <c r="F182" s="385">
        <f t="shared" si="51"/>
        <v>54.792462490762631</v>
      </c>
      <c r="G182" s="110">
        <f t="shared" si="76"/>
        <v>0.86518406493115607</v>
      </c>
      <c r="H182" s="414" t="b">
        <f>Wh_hp&gt;='2022'!Maxi_hp</f>
        <v>0</v>
      </c>
      <c r="I182" s="390">
        <f>IF(H182,Wh_hp,'2022'!Maxi_hp)</f>
        <v>62.682408537874828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3.9394678072678713E-2</v>
      </c>
      <c r="M182" s="845"/>
      <c r="N182" s="845"/>
      <c r="O182" s="48">
        <f>IF(t&lt;Tnet,'2022'!Resal+('2022'!Salim-'2022'!Resal)*(1-EXP(('2022'!Tnet-t)/('2022'!Tau_j))),Resal+(Salim-Resal)*(1-EXP((Tnet-t)/(Tau_j))))*Salcycl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8.0027026369647539E-5</v>
      </c>
      <c r="Q182" s="305">
        <f t="shared" si="53"/>
        <v>0.5</v>
      </c>
      <c r="R182" s="177">
        <f t="shared" si="54"/>
        <v>0.78289813846949752</v>
      </c>
      <c r="S182" s="811">
        <f t="shared" si="55"/>
        <v>0</v>
      </c>
      <c r="T182" s="176">
        <f t="shared" si="56"/>
        <v>6</v>
      </c>
      <c r="U182" s="251">
        <f t="shared" si="57"/>
        <v>0.78289813846949752</v>
      </c>
      <c r="V182" s="383">
        <f t="shared" si="58"/>
        <v>60.208763887789218</v>
      </c>
      <c r="W182" s="402">
        <f t="shared" si="59"/>
        <v>52.092465945044395</v>
      </c>
      <c r="X182" s="157">
        <f t="shared" si="60"/>
        <v>45094</v>
      </c>
      <c r="Y182" s="385">
        <f t="shared" si="61"/>
        <v>49.186848948930901</v>
      </c>
      <c r="Z182" s="385">
        <f t="shared" si="62"/>
        <v>51.204014620952037</v>
      </c>
      <c r="AA182" s="386">
        <f t="shared" si="63"/>
        <v>54.788922031401491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6.5431245542571848E-2</v>
      </c>
      <c r="AD182" s="231">
        <f>(INDEX(Models!$BJ182:$BT182,,AH182)*(1-AF182)+INDEX(Models!$BJ182:$BT182,,AH182+1)*AF182-ERP_i)*AE182*Ramure*Pc/MaxiM</f>
        <v>8.0027026369647539E-5</v>
      </c>
      <c r="AE182" s="305">
        <f t="shared" si="65"/>
        <v>0.5</v>
      </c>
      <c r="AF182" s="177">
        <f t="shared" si="66"/>
        <v>0.78289813846949752</v>
      </c>
      <c r="AG182" s="811">
        <f t="shared" si="74"/>
        <v>0</v>
      </c>
      <c r="AH182" s="176">
        <f t="shared" si="67"/>
        <v>6</v>
      </c>
      <c r="AI182" s="225">
        <f t="shared" si="68"/>
        <v>0.78289813846949752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55.504841986600759</v>
      </c>
      <c r="C183" s="841"/>
      <c r="D183" s="393">
        <f t="shared" si="50"/>
        <v>57.782375804822721</v>
      </c>
      <c r="E183" s="385">
        <f t="shared" si="75"/>
        <v>58.385505995725083</v>
      </c>
      <c r="F183" s="385">
        <f t="shared" si="51"/>
        <v>58.389677614446427</v>
      </c>
      <c r="G183" s="110">
        <f t="shared" si="76"/>
        <v>0.92293297380706896</v>
      </c>
      <c r="H183" s="414" t="b">
        <f>Wh_hp&gt;='2022'!Maxi_hp</f>
        <v>0</v>
      </c>
      <c r="I183" s="390">
        <f>IF(H183,Wh_hp,'2022'!Maxi_hp)</f>
        <v>60.904385564297691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3.9415717794557548E-2</v>
      </c>
      <c r="M183" s="845"/>
      <c r="N183" s="845"/>
      <c r="O183" s="48">
        <f>IF(t&lt;Tnet,'2022'!Resal+('2022'!Salim-'2022'!Resal)*(1-EXP(('2022'!Tnet-t)/('2022'!Tau_j))),Resal+(Salim-Resal)*(1-EXP((Tnet-t)/(Tau_j))))*Salcycl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8.0282255123171044E-5</v>
      </c>
      <c r="Q183" s="305">
        <f t="shared" si="53"/>
        <v>0.5</v>
      </c>
      <c r="R183" s="177">
        <f t="shared" si="54"/>
        <v>0.7879235112517694</v>
      </c>
      <c r="S183" s="811">
        <f t="shared" si="55"/>
        <v>0</v>
      </c>
      <c r="T183" s="176">
        <f t="shared" si="56"/>
        <v>6</v>
      </c>
      <c r="U183" s="251">
        <f t="shared" si="57"/>
        <v>0.7879235112517694</v>
      </c>
      <c r="V183" s="383">
        <f t="shared" si="58"/>
        <v>60.139092421765</v>
      </c>
      <c r="W183" s="402">
        <f t="shared" si="59"/>
        <v>55.504841986600759</v>
      </c>
      <c r="X183" s="157">
        <f t="shared" si="60"/>
        <v>45095</v>
      </c>
      <c r="Y183" s="385">
        <f t="shared" si="61"/>
        <v>52.410276742569025</v>
      </c>
      <c r="Z183" s="385">
        <f t="shared" si="62"/>
        <v>54.560831062359519</v>
      </c>
      <c r="AA183" s="386">
        <f t="shared" si="63"/>
        <v>58.385505995725083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6.5507267054354307E-2</v>
      </c>
      <c r="AD183" s="231">
        <f>(INDEX(Models!$BJ183:$BT183,,AH183)*(1-AF183)+INDEX(Models!$BJ183:$BT183,,AH183+1)*AF183-ERP_i)*AE183*Ramure*Pc/MaxiM</f>
        <v>8.0282255123171044E-5</v>
      </c>
      <c r="AE183" s="305">
        <f t="shared" si="65"/>
        <v>0.5</v>
      </c>
      <c r="AF183" s="177">
        <f t="shared" si="66"/>
        <v>0.7879235112517694</v>
      </c>
      <c r="AG183" s="811">
        <f t="shared" si="74"/>
        <v>0</v>
      </c>
      <c r="AH183" s="176">
        <f t="shared" si="67"/>
        <v>6</v>
      </c>
      <c r="AI183" s="225">
        <f t="shared" si="68"/>
        <v>0.7879235112517694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56.637254156714917</v>
      </c>
      <c r="C184" s="841"/>
      <c r="D184" s="393">
        <f t="shared" si="50"/>
        <v>58.96254574879039</v>
      </c>
      <c r="E184" s="385">
        <f t="shared" si="75"/>
        <v>59.584408647931674</v>
      </c>
      <c r="F184" s="385">
        <f t="shared" si="51"/>
        <v>59.5888261928636</v>
      </c>
      <c r="G184" s="110">
        <f t="shared" si="76"/>
        <v>0.94290171275516543</v>
      </c>
      <c r="H184" s="414" t="b">
        <f>Wh_hp&gt;='2022'!Maxi_hp</f>
        <v>0</v>
      </c>
      <c r="I184" s="390">
        <f>IF(H184,Wh_hp,'2022'!Maxi_hp)</f>
        <v>59.588918123363584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3.9436757055612337E-2</v>
      </c>
      <c r="M184" s="845"/>
      <c r="N184" s="845"/>
      <c r="O184" s="48">
        <f>IF(t&lt;Tnet,'2022'!Resal+('2022'!Salim-'2022'!Resal)*(1-EXP(('2022'!Tnet-t)/('2022'!Tau_j))),Resal+(Salim-Resal)*(1-EXP((Tnet-t)/(Tau_j))))*Salcycl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8.0717073687360311E-5</v>
      </c>
      <c r="Q184" s="305">
        <f t="shared" si="53"/>
        <v>0.5</v>
      </c>
      <c r="R184" s="177">
        <f t="shared" si="54"/>
        <v>0.7929153546661819</v>
      </c>
      <c r="S184" s="811">
        <f t="shared" si="55"/>
        <v>0</v>
      </c>
      <c r="T184" s="176">
        <f t="shared" si="56"/>
        <v>6</v>
      </c>
      <c r="U184" s="251">
        <f t="shared" si="57"/>
        <v>0.7929153546661819</v>
      </c>
      <c r="V184" s="383">
        <f t="shared" si="58"/>
        <v>60.0665801145919</v>
      </c>
      <c r="W184" s="402">
        <f t="shared" si="59"/>
        <v>56.637254156714917</v>
      </c>
      <c r="X184" s="157">
        <f t="shared" si="60"/>
        <v>45096</v>
      </c>
      <c r="Y184" s="385">
        <f t="shared" si="61"/>
        <v>53.481020816241866</v>
      </c>
      <c r="Z184" s="385">
        <f t="shared" si="62"/>
        <v>55.676730511057229</v>
      </c>
      <c r="AA184" s="386">
        <f t="shared" si="63"/>
        <v>59.584408647931674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6.5582225712163558E-2</v>
      </c>
      <c r="AD184" s="231">
        <f>(INDEX(Models!$BJ184:$BT184,,AH184)*(1-AF184)+INDEX(Models!$BJ184:$BT184,,AH184+1)*AF184-ERP_i)*AE184*Ramure*Pc/MaxiM</f>
        <v>8.0717073687360311E-5</v>
      </c>
      <c r="AE184" s="305">
        <f t="shared" si="65"/>
        <v>0.5</v>
      </c>
      <c r="AF184" s="177">
        <f t="shared" si="66"/>
        <v>0.7929153546661819</v>
      </c>
      <c r="AG184" s="811">
        <f t="shared" si="74"/>
        <v>0</v>
      </c>
      <c r="AH184" s="176">
        <f t="shared" si="67"/>
        <v>6</v>
      </c>
      <c r="AI184" s="225">
        <f t="shared" si="68"/>
        <v>0.7929153546661819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31.5415176275148</v>
      </c>
      <c r="C185" s="841"/>
      <c r="D185" s="393">
        <f t="shared" si="50"/>
        <v>32.837201209309306</v>
      </c>
      <c r="E185" s="385">
        <f t="shared" si="75"/>
        <v>33.187093498249126</v>
      </c>
      <c r="F185" s="385">
        <f t="shared" si="51"/>
        <v>33.187962406708792</v>
      </c>
      <c r="G185" s="110">
        <f t="shared" si="76"/>
        <v>0.52573624976475897</v>
      </c>
      <c r="H185" s="414" t="b">
        <f>Wh_hp&gt;='2022'!Maxi_hp</f>
        <v>0</v>
      </c>
      <c r="I185" s="390">
        <f>IF(H185,Wh_hp,'2022'!Maxi_hp)</f>
        <v>58.208712843769881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3.9457795855853406E-2</v>
      </c>
      <c r="M185" s="845"/>
      <c r="N185" s="845"/>
      <c r="O185" s="48">
        <f>IF(t&lt;Tnet,'2022'!Resal+('2022'!Salim-'2022'!Resal)*(1-EXP(('2022'!Tnet-t)/('2022'!Tau_j))),Resal+(Salim-Resal)*(1-EXP((Tnet-t)/(Tau_j))))*Salcycl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8.1177288910796314E-5</v>
      </c>
      <c r="Q185" s="305">
        <f t="shared" si="53"/>
        <v>0.5</v>
      </c>
      <c r="R185" s="177">
        <f t="shared" si="54"/>
        <v>0.79786983274326428</v>
      </c>
      <c r="S185" s="811">
        <f t="shared" si="55"/>
        <v>0</v>
      </c>
      <c r="T185" s="176">
        <f t="shared" si="56"/>
        <v>6</v>
      </c>
      <c r="U185" s="251">
        <f t="shared" si="57"/>
        <v>0.79786983274326428</v>
      </c>
      <c r="V185" s="383">
        <f t="shared" si="58"/>
        <v>59.991645893725241</v>
      </c>
      <c r="W185" s="402">
        <f t="shared" si="59"/>
        <v>31.5415176275148</v>
      </c>
      <c r="X185" s="157">
        <f t="shared" si="60"/>
        <v>45097</v>
      </c>
      <c r="Y185" s="385">
        <f t="shared" si="61"/>
        <v>29.784644630414384</v>
      </c>
      <c r="Z185" s="385">
        <f t="shared" si="62"/>
        <v>31.008158206804481</v>
      </c>
      <c r="AA185" s="386">
        <f t="shared" si="63"/>
        <v>33.187093498249126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6.5656104881845201E-2</v>
      </c>
      <c r="AD185" s="231">
        <f>(INDEX(Models!$BJ185:$BT185,,AH185)*(1-AF185)+INDEX(Models!$BJ185:$BT185,,AH185+1)*AF185-ERP_i)*AE185*Ramure*Pc/MaxiM</f>
        <v>8.1177288910796314E-5</v>
      </c>
      <c r="AE185" s="305">
        <f t="shared" si="65"/>
        <v>0.5</v>
      </c>
      <c r="AF185" s="177">
        <f t="shared" si="66"/>
        <v>0.79786983274326428</v>
      </c>
      <c r="AG185" s="811">
        <f t="shared" si="74"/>
        <v>0</v>
      </c>
      <c r="AH185" s="176">
        <f t="shared" si="67"/>
        <v>6</v>
      </c>
      <c r="AI185" s="225">
        <f t="shared" si="68"/>
        <v>0.79786983274326428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23.555062537829368</v>
      </c>
      <c r="C186" s="841"/>
      <c r="D186" s="393">
        <f t="shared" si="50"/>
        <v>24.523210290837593</v>
      </c>
      <c r="E186" s="385">
        <f t="shared" si="75"/>
        <v>24.787173439937614</v>
      </c>
      <c r="F186" s="385">
        <f t="shared" si="51"/>
        <v>24.787442787735412</v>
      </c>
      <c r="G186" s="110">
        <f t="shared" si="76"/>
        <v>0.39311546634199135</v>
      </c>
      <c r="H186" s="414" t="b">
        <f>Wh_hp&gt;='2022'!Maxi_hp</f>
        <v>0</v>
      </c>
      <c r="I186" s="390">
        <f>IF(H186,Wh_hp,'2022'!Maxi_hp)</f>
        <v>54.428674381419142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3.9478834195290746E-2</v>
      </c>
      <c r="M186" s="845"/>
      <c r="N186" s="845"/>
      <c r="O186" s="48">
        <f>IF(t&lt;Tnet,'2022'!Resal+('2022'!Salim-'2022'!Resal)*(1-EXP(('2022'!Tnet-t)/('2022'!Tau_j))),Resal+(Salim-Resal)*(1-EXP((Tnet-t)/(Tau_j))))*Salcycl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8.1663525175246844E-5</v>
      </c>
      <c r="Q186" s="305">
        <f t="shared" si="53"/>
        <v>0.5</v>
      </c>
      <c r="R186" s="177">
        <f t="shared" si="54"/>
        <v>0.80278322929289092</v>
      </c>
      <c r="S186" s="811">
        <f t="shared" si="55"/>
        <v>0</v>
      </c>
      <c r="T186" s="176">
        <f t="shared" si="56"/>
        <v>6</v>
      </c>
      <c r="U186" s="251">
        <f t="shared" si="57"/>
        <v>0.80278322929289092</v>
      </c>
      <c r="V186" s="383">
        <f t="shared" si="58"/>
        <v>59.914699123435589</v>
      </c>
      <c r="W186" s="402">
        <f t="shared" si="59"/>
        <v>23.555062537829368</v>
      </c>
      <c r="X186" s="157">
        <f t="shared" si="60"/>
        <v>45098</v>
      </c>
      <c r="Y186" s="385">
        <f t="shared" si="61"/>
        <v>22.243691541705321</v>
      </c>
      <c r="Z186" s="385">
        <f t="shared" si="62"/>
        <v>23.157940015897424</v>
      </c>
      <c r="AA186" s="386">
        <f t="shared" si="63"/>
        <v>24.787173439937614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6.5728891113301949E-2</v>
      </c>
      <c r="AD186" s="231">
        <f>(INDEX(Models!$BJ186:$BT186,,AH186)*(1-AF186)+INDEX(Models!$BJ186:$BT186,,AH186+1)*AF186-ERP_i)*AE186*Ramure*Pc/MaxiM</f>
        <v>8.1663525175246844E-5</v>
      </c>
      <c r="AE186" s="305">
        <f t="shared" si="65"/>
        <v>0.5</v>
      </c>
      <c r="AF186" s="177">
        <f t="shared" si="66"/>
        <v>0.80278322929289092</v>
      </c>
      <c r="AG186" s="811">
        <f t="shared" si="74"/>
        <v>0</v>
      </c>
      <c r="AH186" s="176">
        <f t="shared" si="67"/>
        <v>6</v>
      </c>
      <c r="AI186" s="225">
        <f t="shared" si="68"/>
        <v>0.80278322929289092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39.399050021948767</v>
      </c>
      <c r="C187" s="841"/>
      <c r="D187" s="393">
        <f t="shared" si="50"/>
        <v>41.019307417501466</v>
      </c>
      <c r="E187" s="385">
        <f t="shared" si="75"/>
        <v>41.465272459781453</v>
      </c>
      <c r="F187" s="385">
        <f t="shared" si="51"/>
        <v>41.467017394849805</v>
      </c>
      <c r="G187" s="110">
        <f t="shared" si="76"/>
        <v>0.65842255737946553</v>
      </c>
      <c r="H187" s="414" t="b">
        <f>Wh_hp&gt;='2022'!Maxi_hp</f>
        <v>0</v>
      </c>
      <c r="I187" s="390">
        <f>IF(H187,Wh_hp,'2022'!Maxi_hp)</f>
        <v>63.004166310746122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3.9499872073934461E-2</v>
      </c>
      <c r="M187" s="845"/>
      <c r="N187" s="845"/>
      <c r="O187" s="48">
        <f>IF(t&lt;Tnet,'2022'!Resal+('2022'!Salim-'2022'!Resal)*(1-EXP(('2022'!Tnet-t)/('2022'!Tau_j))),Resal+(Salim-Resal)*(1-EXP((Tnet-t)/(Tau_j))))*Salcycl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8.2176414330419767E-5</v>
      </c>
      <c r="Q187" s="305">
        <f t="shared" si="53"/>
        <v>0.5</v>
      </c>
      <c r="R187" s="177">
        <f t="shared" si="54"/>
        <v>0.80765195823297853</v>
      </c>
      <c r="S187" s="811">
        <f t="shared" si="55"/>
        <v>0</v>
      </c>
      <c r="T187" s="176">
        <f t="shared" si="56"/>
        <v>6</v>
      </c>
      <c r="U187" s="251">
        <f t="shared" si="57"/>
        <v>0.80765195823297853</v>
      </c>
      <c r="V187" s="383">
        <f t="shared" si="58"/>
        <v>59.836148923066034</v>
      </c>
      <c r="W187" s="402">
        <f t="shared" si="59"/>
        <v>39.399050021948767</v>
      </c>
      <c r="X187" s="157">
        <f t="shared" si="60"/>
        <v>45099</v>
      </c>
      <c r="Y187" s="385">
        <f t="shared" si="61"/>
        <v>37.206733747827961</v>
      </c>
      <c r="Z187" s="385">
        <f t="shared" si="62"/>
        <v>38.736833724494772</v>
      </c>
      <c r="AA187" s="386">
        <f t="shared" si="63"/>
        <v>41.465272459781453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6.5800574153542124E-2</v>
      </c>
      <c r="AD187" s="231">
        <f>(INDEX(Models!$BJ187:$BT187,,AH187)*(1-AF187)+INDEX(Models!$BJ187:$BT187,,AH187+1)*AF187-ERP_i)*AE187*Ramure*Pc/MaxiM</f>
        <v>8.2176414330419767E-5</v>
      </c>
      <c r="AE187" s="305">
        <f t="shared" si="65"/>
        <v>0.5</v>
      </c>
      <c r="AF187" s="177">
        <f t="shared" si="66"/>
        <v>0.80765195823297853</v>
      </c>
      <c r="AG187" s="811">
        <f t="shared" si="74"/>
        <v>0</v>
      </c>
      <c r="AH187" s="176">
        <f t="shared" si="67"/>
        <v>6</v>
      </c>
      <c r="AI187" s="225">
        <f t="shared" si="68"/>
        <v>0.80765195823297853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42.080312674753728</v>
      </c>
      <c r="C188" s="841"/>
      <c r="D188" s="393">
        <f t="shared" si="50"/>
        <v>43.811794645616217</v>
      </c>
      <c r="E188" s="385">
        <f t="shared" si="75"/>
        <v>44.292855114190374</v>
      </c>
      <c r="F188" s="385">
        <f t="shared" si="51"/>
        <v>44.294970736948081</v>
      </c>
      <c r="G188" s="110">
        <f t="shared" si="76"/>
        <v>0.70417292168521872</v>
      </c>
      <c r="H188" s="414" t="b">
        <f>Wh_hp&gt;='2022'!Maxi_hp</f>
        <v>0</v>
      </c>
      <c r="I188" s="390">
        <f>IF(H188,Wh_hp,'2022'!Maxi_hp)</f>
        <v>55.386626209177535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3.9520909491794654E-2</v>
      </c>
      <c r="M188" s="845"/>
      <c r="N188" s="845"/>
      <c r="O188" s="48">
        <f>IF(t&lt;Tnet,'2022'!Resal+('2022'!Salim-'2022'!Resal)*(1-EXP(('2022'!Tnet-t)/('2022'!Tau_j))),Resal+(Salim-Resal)*(1-EXP((Tnet-t)/(Tau_j))))*Salcycl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8.2715745456105966E-5</v>
      </c>
      <c r="Q188" s="305">
        <f t="shared" si="53"/>
        <v>0.5</v>
      </c>
      <c r="R188" s="177">
        <f t="shared" si="54"/>
        <v>0.8124725730642004</v>
      </c>
      <c r="S188" s="811">
        <f t="shared" si="55"/>
        <v>0</v>
      </c>
      <c r="T188" s="176">
        <f t="shared" si="56"/>
        <v>6</v>
      </c>
      <c r="U188" s="251">
        <f t="shared" si="57"/>
        <v>0.8124725730642004</v>
      </c>
      <c r="V188" s="383">
        <f t="shared" si="58"/>
        <v>59.756404215750827</v>
      </c>
      <c r="W188" s="402">
        <f t="shared" si="59"/>
        <v>42.080312674753728</v>
      </c>
      <c r="X188" s="157">
        <f t="shared" si="60"/>
        <v>45100</v>
      </c>
      <c r="Y188" s="385">
        <f t="shared" si="61"/>
        <v>39.740047070484415</v>
      </c>
      <c r="Z188" s="385">
        <f t="shared" si="62"/>
        <v>41.375233946485288</v>
      </c>
      <c r="AA188" s="386">
        <f t="shared" si="63"/>
        <v>44.292855114190374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6.5871146941944306E-2</v>
      </c>
      <c r="AD188" s="231">
        <f>(INDEX(Models!$BJ188:$BT188,,AH188)*(1-AF188)+INDEX(Models!$BJ188:$BT188,,AH188+1)*AF188-ERP_i)*AE188*Ramure*Pc/MaxiM</f>
        <v>8.2715745456105966E-5</v>
      </c>
      <c r="AE188" s="305">
        <f t="shared" si="65"/>
        <v>0.5</v>
      </c>
      <c r="AF188" s="177">
        <f t="shared" si="66"/>
        <v>0.8124725730642004</v>
      </c>
      <c r="AG188" s="811">
        <f t="shared" si="74"/>
        <v>0</v>
      </c>
      <c r="AH188" s="176">
        <f t="shared" si="67"/>
        <v>6</v>
      </c>
      <c r="AI188" s="225">
        <f t="shared" si="68"/>
        <v>0.8124725730642004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40.217004327108533</v>
      </c>
      <c r="C189" s="841"/>
      <c r="D189" s="393">
        <f t="shared" si="50"/>
        <v>41.872733721596163</v>
      </c>
      <c r="E189" s="385">
        <f t="shared" si="75"/>
        <v>42.337020729589575</v>
      </c>
      <c r="F189" s="385">
        <f t="shared" si="51"/>
        <v>42.338904257689691</v>
      </c>
      <c r="G189" s="110">
        <f t="shared" si="76"/>
        <v>0.6738978683198994</v>
      </c>
      <c r="H189" s="414" t="b">
        <f>Wh_hp&gt;='2022'!Maxi_hp</f>
        <v>0</v>
      </c>
      <c r="I189" s="390">
        <f>IF(H189,Wh_hp,'2022'!Maxi_hp)</f>
        <v>62.031075143124923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3.9541946448881427E-2</v>
      </c>
      <c r="M189" s="845"/>
      <c r="N189" s="845"/>
      <c r="O189" s="48">
        <f>IF(t&lt;Tnet,'2022'!Resal+('2022'!Salim-'2022'!Resal)*(1-EXP(('2022'!Tnet-t)/('2022'!Tau_j))),Resal+(Salim-Resal)*(1-EXP((Tnet-t)/(Tau_j))))*Salcycl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8.3281238025804312E-5</v>
      </c>
      <c r="Q189" s="305">
        <f t="shared" si="53"/>
        <v>0.5</v>
      </c>
      <c r="R189" s="177">
        <f t="shared" si="54"/>
        <v>0.81724177544574284</v>
      </c>
      <c r="S189" s="811">
        <f t="shared" si="55"/>
        <v>0</v>
      </c>
      <c r="T189" s="176">
        <f t="shared" si="56"/>
        <v>6</v>
      </c>
      <c r="U189" s="251">
        <f t="shared" si="57"/>
        <v>0.81724177544574284</v>
      </c>
      <c r="V189" s="383">
        <f t="shared" si="58"/>
        <v>59.675873685909806</v>
      </c>
      <c r="W189" s="402">
        <f t="shared" si="59"/>
        <v>40.217004327108533</v>
      </c>
      <c r="X189" s="157">
        <f t="shared" si="60"/>
        <v>45101</v>
      </c>
      <c r="Y189" s="385">
        <f t="shared" si="61"/>
        <v>37.981594127547488</v>
      </c>
      <c r="Z189" s="385">
        <f t="shared" si="62"/>
        <v>39.545291943898505</v>
      </c>
      <c r="AA189" s="386">
        <f t="shared" si="63"/>
        <v>42.337020729589575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6.594060558776918E-2</v>
      </c>
      <c r="AD189" s="231">
        <f>(INDEX(Models!$BJ189:$BT189,,AH189)*(1-AF189)+INDEX(Models!$BJ189:$BT189,,AH189+1)*AF189-ERP_i)*AE189*Ramure*Pc/MaxiM</f>
        <v>8.3281238025804312E-5</v>
      </c>
      <c r="AE189" s="305">
        <f t="shared" si="65"/>
        <v>0.5</v>
      </c>
      <c r="AF189" s="177">
        <f t="shared" si="66"/>
        <v>0.81724177544574284</v>
      </c>
      <c r="AG189" s="811">
        <f t="shared" si="74"/>
        <v>0</v>
      </c>
      <c r="AH189" s="176">
        <f t="shared" si="67"/>
        <v>6</v>
      </c>
      <c r="AI189" s="225">
        <f t="shared" si="68"/>
        <v>0.81724177544574284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35.391895723545687</v>
      </c>
      <c r="C190" s="841"/>
      <c r="D190" s="393">
        <f t="shared" si="50"/>
        <v>36.849783062377007</v>
      </c>
      <c r="E190" s="385">
        <f t="shared" si="75"/>
        <v>37.262343929770111</v>
      </c>
      <c r="F190" s="385">
        <f t="shared" si="51"/>
        <v>37.263656047436143</v>
      </c>
      <c r="G190" s="110">
        <f t="shared" si="76"/>
        <v>0.59384501699888825</v>
      </c>
      <c r="H190" s="414" t="b">
        <f>Wh_hp&gt;='2022'!Maxi_hp</f>
        <v>0</v>
      </c>
      <c r="I190" s="390">
        <f>IF(H190,Wh_hp,'2022'!Maxi_hp)</f>
        <v>59.517932616441065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3.9562982945204772E-2</v>
      </c>
      <c r="M190" s="845"/>
      <c r="N190" s="845"/>
      <c r="O190" s="48">
        <f>IF(t&lt;Tnet,'2022'!Resal+('2022'!Salim-'2022'!Resal)*(1-EXP(('2022'!Tnet-t)/('2022'!Tau_j))),Resal+(Salim-Resal)*(1-EXP((Tnet-t)/(Tau_j))))*Salcycl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8.3873413554211155E-5</v>
      </c>
      <c r="Q190" s="305">
        <f t="shared" si="53"/>
        <v>0.5</v>
      </c>
      <c r="R190" s="177">
        <f t="shared" si="54"/>
        <v>0.82195642283671866</v>
      </c>
      <c r="S190" s="811">
        <f t="shared" si="55"/>
        <v>0</v>
      </c>
      <c r="T190" s="176">
        <f t="shared" si="56"/>
        <v>6</v>
      </c>
      <c r="U190" s="251">
        <f t="shared" si="57"/>
        <v>0.82195642283671866</v>
      </c>
      <c r="V190" s="383">
        <f t="shared" si="58"/>
        <v>59.59496572422033</v>
      </c>
      <c r="W190" s="402">
        <f t="shared" si="59"/>
        <v>35.391895723545687</v>
      </c>
      <c r="X190" s="157">
        <f t="shared" si="60"/>
        <v>45102</v>
      </c>
      <c r="Y190" s="385">
        <f t="shared" si="61"/>
        <v>33.425797298692814</v>
      </c>
      <c r="Z190" s="385">
        <f t="shared" si="62"/>
        <v>34.802695757389571</v>
      </c>
      <c r="AA190" s="386">
        <f t="shared" si="63"/>
        <v>37.262343929770111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6.6008949330088815E-2</v>
      </c>
      <c r="AD190" s="231">
        <f>(INDEX(Models!$BJ190:$BT190,,AH190)*(1-AF190)+INDEX(Models!$BJ190:$BT190,,AH190+1)*AF190-ERP_i)*AE190*Ramure*Pc/MaxiM</f>
        <v>8.3873413554211155E-5</v>
      </c>
      <c r="AE190" s="305">
        <f t="shared" si="65"/>
        <v>0.5</v>
      </c>
      <c r="AF190" s="177">
        <f t="shared" si="66"/>
        <v>0.82195642283671866</v>
      </c>
      <c r="AG190" s="811">
        <f t="shared" si="74"/>
        <v>0</v>
      </c>
      <c r="AH190" s="176">
        <f t="shared" si="67"/>
        <v>6</v>
      </c>
      <c r="AI190" s="225">
        <f t="shared" si="68"/>
        <v>0.82195642283671866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11.874740080252661</v>
      </c>
      <c r="C191" s="841"/>
      <c r="D191" s="393">
        <f t="shared" si="50"/>
        <v>12.364163357268165</v>
      </c>
      <c r="E191" s="385">
        <f t="shared" si="75"/>
        <v>12.503918511188436</v>
      </c>
      <c r="F191" s="385">
        <f t="shared" si="51"/>
        <v>12.503918511188436</v>
      </c>
      <c r="G191" s="110">
        <f t="shared" si="76"/>
        <v>0.19951477810877533</v>
      </c>
      <c r="H191" s="414" t="b">
        <f>Wh_hp&gt;='2022'!Maxi_hp</f>
        <v>0</v>
      </c>
      <c r="I191" s="390">
        <f>IF(H191,Wh_hp,'2022'!Maxi_hp)</f>
        <v>61.557220620707511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3.9584018980774904E-2</v>
      </c>
      <c r="M191" s="845"/>
      <c r="N191" s="845"/>
      <c r="O191" s="48">
        <f>IF(t&lt;Tnet,'2022'!Resal+('2022'!Salim-'2022'!Resal)*(1-EXP(('2022'!Tnet-t)/('2022'!Tau_j))),Resal+(Salim-Resal)*(1-EXP((Tnet-t)/(Tau_j))))*Salcycl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8.4494225396395078E-5</v>
      </c>
      <c r="Q191" s="305">
        <f t="shared" si="53"/>
        <v>0.5</v>
      </c>
      <c r="R191" s="177">
        <f t="shared" si="54"/>
        <v>0.82661353517755098</v>
      </c>
      <c r="S191" s="811">
        <f t="shared" si="55"/>
        <v>0</v>
      </c>
      <c r="T191" s="176">
        <f t="shared" si="56"/>
        <v>6</v>
      </c>
      <c r="U191" s="251">
        <f t="shared" si="57"/>
        <v>0.82661353517755098</v>
      </c>
      <c r="V191" s="383">
        <f t="shared" si="58"/>
        <v>59.513068885625316</v>
      </c>
      <c r="W191" s="402">
        <f t="shared" si="59"/>
        <v>11.874740080252661</v>
      </c>
      <c r="X191" s="157">
        <f t="shared" si="60"/>
        <v>45103</v>
      </c>
      <c r="Y191" s="385">
        <f t="shared" si="61"/>
        <v>11.215456746132594</v>
      </c>
      <c r="Z191" s="385">
        <f t="shared" si="62"/>
        <v>11.677707334930414</v>
      </c>
      <c r="AA191" s="386">
        <f t="shared" si="63"/>
        <v>12.503918511188436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6.6076180480441657E-2</v>
      </c>
      <c r="AD191" s="231">
        <f>(INDEX(Models!$BJ191:$BT191,,AH191)*(1-AF191)+INDEX(Models!$BJ191:$BT191,,AH191+1)*AF191-ERP_i)*AE191*Ramure*Pc/MaxiM</f>
        <v>8.4494225396395078E-5</v>
      </c>
      <c r="AE191" s="305">
        <f t="shared" si="65"/>
        <v>0.5</v>
      </c>
      <c r="AF191" s="177">
        <f t="shared" si="66"/>
        <v>0.82661353517755098</v>
      </c>
      <c r="AG191" s="811">
        <f t="shared" si="74"/>
        <v>0</v>
      </c>
      <c r="AH191" s="176">
        <f t="shared" si="67"/>
        <v>6</v>
      </c>
      <c r="AI191" s="225">
        <f t="shared" si="68"/>
        <v>0.82661353517755098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12.961952154269087</v>
      </c>
      <c r="C192" s="841"/>
      <c r="D192" s="393">
        <f t="shared" si="50"/>
        <v>13.496481021431526</v>
      </c>
      <c r="E192" s="385">
        <f t="shared" si="75"/>
        <v>13.650483105898918</v>
      </c>
      <c r="F192" s="385">
        <f t="shared" si="51"/>
        <v>13.650483105898918</v>
      </c>
      <c r="G192" s="110">
        <f t="shared" si="76"/>
        <v>0.21808852642693094</v>
      </c>
      <c r="H192" s="414" t="b">
        <f>Wh_hp&gt;='2022'!Maxi_hp</f>
        <v>0</v>
      </c>
      <c r="I192" s="390">
        <f>IF(H192,Wh_hp,'2022'!Maxi_hp)</f>
        <v>61.321800192772599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3.9605054555601815E-2</v>
      </c>
      <c r="M192" s="845"/>
      <c r="N192" s="845"/>
      <c r="O192" s="48">
        <f>IF(t&lt;Tnet,'2022'!Resal+('2022'!Salim-'2022'!Resal)*(1-EXP(('2022'!Tnet-t)/('2022'!Tau_j))),Resal+(Salim-Resal)*(1-EXP((Tnet-t)/(Tau_j))))*Salcycl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8.5311928237427254E-5</v>
      </c>
      <c r="Q192" s="305">
        <f t="shared" si="53"/>
        <v>0.5</v>
      </c>
      <c r="R192" s="177">
        <f t="shared" si="54"/>
        <v>0.83121030059526813</v>
      </c>
      <c r="S192" s="811">
        <f t="shared" si="55"/>
        <v>0</v>
      </c>
      <c r="T192" s="176">
        <f t="shared" si="56"/>
        <v>6</v>
      </c>
      <c r="U192" s="251">
        <f t="shared" si="57"/>
        <v>0.83121030059526813</v>
      </c>
      <c r="V192" s="383">
        <f t="shared" si="58"/>
        <v>59.429290286298148</v>
      </c>
      <c r="W192" s="402">
        <f t="shared" si="59"/>
        <v>12.961952154269087</v>
      </c>
      <c r="X192" s="157">
        <f t="shared" si="60"/>
        <v>45104</v>
      </c>
      <c r="Y192" s="385">
        <f t="shared" si="61"/>
        <v>12.242738959872424</v>
      </c>
      <c r="Z192" s="385">
        <f t="shared" si="62"/>
        <v>12.747608697802351</v>
      </c>
      <c r="AA192" s="386">
        <f t="shared" si="63"/>
        <v>13.650483105898918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6.6142304348656991E-2</v>
      </c>
      <c r="AD192" s="231">
        <f>(INDEX(Models!$BJ192:$BT192,,AH192)*(1-AF192)+INDEX(Models!$BJ192:$BT192,,AH192+1)*AF192-ERP_i)*AE192*Ramure*Pc/MaxiM</f>
        <v>8.5311928237427254E-5</v>
      </c>
      <c r="AE192" s="305">
        <f t="shared" si="65"/>
        <v>0.5</v>
      </c>
      <c r="AF192" s="177">
        <f t="shared" si="66"/>
        <v>0.83121030059526813</v>
      </c>
      <c r="AG192" s="811">
        <f t="shared" si="74"/>
        <v>0</v>
      </c>
      <c r="AH192" s="176">
        <f t="shared" si="67"/>
        <v>6</v>
      </c>
      <c r="AI192" s="225">
        <f t="shared" si="68"/>
        <v>0.83121030059526813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58.842012076052534</v>
      </c>
      <c r="C193" s="841"/>
      <c r="D193" s="393">
        <f t="shared" si="50"/>
        <v>61.269898570875199</v>
      </c>
      <c r="E193" s="385">
        <f t="shared" si="75"/>
        <v>61.975582032097456</v>
      </c>
      <c r="F193" s="385">
        <f t="shared" si="51"/>
        <v>61.98086709488291</v>
      </c>
      <c r="G193" s="110">
        <f t="shared" si="76"/>
        <v>0.99154616956044672</v>
      </c>
      <c r="H193" s="414" t="b">
        <f>Wh_hp&gt;='2022'!Maxi_hp</f>
        <v>0</v>
      </c>
      <c r="I193" s="390">
        <f>IF(H193,Wh_hp,'2022'!Maxi_hp)</f>
        <v>61.980882161709836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3.9626089669695719E-2</v>
      </c>
      <c r="M193" s="845"/>
      <c r="N193" s="845"/>
      <c r="O193" s="48">
        <f>IF(t&lt;Tnet,'2022'!Resal+('2022'!Salim-'2022'!Resal)*(1-EXP(('2022'!Tnet-t)/('2022'!Tau_j))),Resal+(Salim-Resal)*(1-EXP((Tnet-t)/(Tau_j))))*Salcycl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8.6311509933598447E-5</v>
      </c>
      <c r="Q193" s="305">
        <f t="shared" si="53"/>
        <v>0.5</v>
      </c>
      <c r="R193" s="177">
        <f t="shared" si="54"/>
        <v>0.83574408012609758</v>
      </c>
      <c r="S193" s="811">
        <f t="shared" si="55"/>
        <v>0</v>
      </c>
      <c r="T193" s="176">
        <f t="shared" si="56"/>
        <v>6</v>
      </c>
      <c r="U193" s="251">
        <f t="shared" si="57"/>
        <v>0.83574408012609758</v>
      </c>
      <c r="V193" s="383">
        <f t="shared" si="58"/>
        <v>59.34363174327278</v>
      </c>
      <c r="W193" s="402">
        <f t="shared" si="59"/>
        <v>58.842012076052534</v>
      </c>
      <c r="X193" s="157">
        <f t="shared" si="60"/>
        <v>45105</v>
      </c>
      <c r="Y193" s="385">
        <f t="shared" si="61"/>
        <v>55.579089569524434</v>
      </c>
      <c r="Z193" s="385">
        <f t="shared" si="62"/>
        <v>57.872344273085211</v>
      </c>
      <c r="AA193" s="386">
        <f t="shared" si="63"/>
        <v>61.975582032097456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6.6207329152425831E-2</v>
      </c>
      <c r="AD193" s="231">
        <f>(INDEX(Models!$BJ193:$BT193,,AH193)*(1-AF193)+INDEX(Models!$BJ193:$BT193,,AH193+1)*AF193-ERP_i)*AE193*Ramure*Pc/MaxiM</f>
        <v>8.6311509933598447E-5</v>
      </c>
      <c r="AE193" s="305">
        <f t="shared" si="65"/>
        <v>0.5</v>
      </c>
      <c r="AF193" s="177">
        <f t="shared" si="66"/>
        <v>0.83574408012609758</v>
      </c>
      <c r="AG193" s="811">
        <f t="shared" si="74"/>
        <v>0</v>
      </c>
      <c r="AH193" s="176">
        <f t="shared" si="67"/>
        <v>6</v>
      </c>
      <c r="AI193" s="225">
        <f t="shared" si="68"/>
        <v>0.83574408012609758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55.86365728846917</v>
      </c>
      <c r="C194" s="841"/>
      <c r="D194" s="393">
        <f t="shared" si="50"/>
        <v>58.169927641536972</v>
      </c>
      <c r="E194" s="385">
        <f t="shared" si="75"/>
        <v>58.846123683607331</v>
      </c>
      <c r="F194" s="385">
        <f t="shared" si="51"/>
        <v>58.850851784316269</v>
      </c>
      <c r="G194" s="110">
        <f t="shared" si="76"/>
        <v>0.9427428266629454</v>
      </c>
      <c r="H194" s="414" t="b">
        <f>Wh_hp&gt;='2022'!Maxi_hp</f>
        <v>0</v>
      </c>
      <c r="I194" s="390">
        <f>IF(H194,Wh_hp,'2022'!Maxi_hp)</f>
        <v>58.85095048223954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3.9647124323066607E-2</v>
      </c>
      <c r="M194" s="845"/>
      <c r="N194" s="845"/>
      <c r="O194" s="48">
        <f>IF(t&lt;Tnet,'2022'!Resal+('2022'!Salim-'2022'!Resal)*(1-EXP(('2022'!Tnet-t)/('2022'!Tau_j))),Resal+(Salim-Resal)*(1-EXP((Tnet-t)/(Tau_j))))*Salcycl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8.7496404787888908E-5</v>
      </c>
      <c r="Q194" s="305">
        <f t="shared" si="53"/>
        <v>0.5</v>
      </c>
      <c r="R194" s="177">
        <f t="shared" si="54"/>
        <v>0.84021241145786996</v>
      </c>
      <c r="S194" s="811">
        <f t="shared" si="55"/>
        <v>0</v>
      </c>
      <c r="T194" s="176">
        <f t="shared" si="56"/>
        <v>6</v>
      </c>
      <c r="U194" s="251">
        <f t="shared" si="57"/>
        <v>0.84021241145786996</v>
      </c>
      <c r="V194" s="383">
        <f t="shared" si="58"/>
        <v>59.256093937347757</v>
      </c>
      <c r="W194" s="402">
        <f t="shared" si="59"/>
        <v>55.86365728846917</v>
      </c>
      <c r="X194" s="157">
        <f t="shared" si="60"/>
        <v>45106</v>
      </c>
      <c r="Y194" s="385">
        <f t="shared" si="61"/>
        <v>52.767853128851357</v>
      </c>
      <c r="Z194" s="385">
        <f t="shared" si="62"/>
        <v>54.946316573120441</v>
      </c>
      <c r="AA194" s="386">
        <f t="shared" si="63"/>
        <v>58.846123683607331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6.6271265911322E-2</v>
      </c>
      <c r="AD194" s="231">
        <f>(INDEX(Models!$BJ194:$BT194,,AH194)*(1-AF194)+INDEX(Models!$BJ194:$BT194,,AH194+1)*AF194-ERP_i)*AE194*Ramure*Pc/MaxiM</f>
        <v>8.7496404787888908E-5</v>
      </c>
      <c r="AE194" s="305">
        <f t="shared" si="65"/>
        <v>0.5</v>
      </c>
      <c r="AF194" s="177">
        <f t="shared" si="66"/>
        <v>0.84021241145786996</v>
      </c>
      <c r="AG194" s="811">
        <f t="shared" si="74"/>
        <v>0</v>
      </c>
      <c r="AH194" s="176">
        <f t="shared" si="67"/>
        <v>6</v>
      </c>
      <c r="AI194" s="225">
        <f t="shared" si="68"/>
        <v>0.84021241145786996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13.889325589842535</v>
      </c>
      <c r="C195" s="841"/>
      <c r="D195" s="393">
        <f t="shared" si="50"/>
        <v>14.463048073440312</v>
      </c>
      <c r="E195" s="385">
        <f t="shared" si="75"/>
        <v>14.632716357649965</v>
      </c>
      <c r="F195" s="385">
        <f t="shared" si="51"/>
        <v>14.632716357649965</v>
      </c>
      <c r="G195" s="110">
        <f t="shared" si="76"/>
        <v>0.2347282596828299</v>
      </c>
      <c r="H195" s="414" t="b">
        <f>Wh_hp&gt;='2022'!Maxi_hp</f>
        <v>0</v>
      </c>
      <c r="I195" s="390">
        <f>IF(H195,Wh_hp,'2022'!Maxi_hp)</f>
        <v>52.467807817786799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3.9668158515724694E-2</v>
      </c>
      <c r="M195" s="845"/>
      <c r="N195" s="845"/>
      <c r="O195" s="48">
        <f>IF(t&lt;Tnet,'2022'!Resal+('2022'!Salim-'2022'!Resal)*(1-EXP(('2022'!Tnet-t)/('2022'!Tau_j))),Resal+(Salim-Resal)*(1-EXP((Tnet-t)/(Tau_j))))*Salcycl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8.8869947370463171E-5</v>
      </c>
      <c r="Q195" s="305">
        <f t="shared" si="53"/>
        <v>0.5</v>
      </c>
      <c r="R195" s="177">
        <f t="shared" si="54"/>
        <v>0.84461301170342562</v>
      </c>
      <c r="S195" s="811">
        <f t="shared" si="55"/>
        <v>0</v>
      </c>
      <c r="T195" s="176">
        <f t="shared" si="56"/>
        <v>6</v>
      </c>
      <c r="U195" s="251">
        <f t="shared" si="57"/>
        <v>0.84461301170342562</v>
      </c>
      <c r="V195" s="383">
        <f t="shared" si="58"/>
        <v>59.166677523082463</v>
      </c>
      <c r="W195" s="402">
        <f t="shared" si="59"/>
        <v>13.889325589842535</v>
      </c>
      <c r="X195" s="157">
        <f t="shared" si="60"/>
        <v>45107</v>
      </c>
      <c r="Y195" s="385">
        <f t="shared" si="61"/>
        <v>13.120118798982562</v>
      </c>
      <c r="Z195" s="385">
        <f t="shared" si="62"/>
        <v>13.662067873022195</v>
      </c>
      <c r="AA195" s="386">
        <f t="shared" si="63"/>
        <v>14.632716357649965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6.6334128326099612E-2</v>
      </c>
      <c r="AD195" s="231">
        <f>(INDEX(Models!$BJ195:$BT195,,AH195)*(1-AF195)+INDEX(Models!$BJ195:$BT195,,AH195+1)*AF195-ERP_i)*AE195*Ramure*Pc/MaxiM</f>
        <v>8.8869947370463171E-5</v>
      </c>
      <c r="AE195" s="305">
        <f t="shared" si="65"/>
        <v>0.5</v>
      </c>
      <c r="AF195" s="177">
        <f t="shared" si="66"/>
        <v>0.84461301170342562</v>
      </c>
      <c r="AG195" s="811">
        <f t="shared" si="74"/>
        <v>0</v>
      </c>
      <c r="AH195" s="176">
        <f t="shared" si="67"/>
        <v>6</v>
      </c>
      <c r="AI195" s="225">
        <f t="shared" si="68"/>
        <v>0.84461301170342562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49.999065270232819</v>
      </c>
      <c r="C196" s="841"/>
      <c r="D196" s="393">
        <f t="shared" si="50"/>
        <v>52.065503029440436</v>
      </c>
      <c r="E196" s="385">
        <f t="shared" si="75"/>
        <v>52.681833832771005</v>
      </c>
      <c r="F196" s="385">
        <f t="shared" si="51"/>
        <v>52.68555270327429</v>
      </c>
      <c r="G196" s="110">
        <f t="shared" si="76"/>
        <v>0.8463436055615533</v>
      </c>
      <c r="H196" s="414" t="b">
        <f>Wh_hp&gt;='2022'!Maxi_hp</f>
        <v>0</v>
      </c>
      <c r="I196" s="390">
        <f>IF(H196,Wh_hp,'2022'!Maxi_hp)</f>
        <v>60.470455322225597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3.9689192247679861E-2</v>
      </c>
      <c r="M196" s="845"/>
      <c r="N196" s="845"/>
      <c r="O196" s="48">
        <f>IF(t&lt;Tnet,'2022'!Resal+('2022'!Salim-'2022'!Resal)*(1-EXP(('2022'!Tnet-t)/('2022'!Tau_j))),Resal+(Salim-Resal)*(1-EXP((Tnet-t)/(Tau_j))))*Salcycl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9.0435373395823928E-5</v>
      </c>
      <c r="Q196" s="305">
        <f t="shared" si="53"/>
        <v>0.5</v>
      </c>
      <c r="R196" s="177">
        <f t="shared" si="54"/>
        <v>0.84894377922436837</v>
      </c>
      <c r="S196" s="811">
        <f t="shared" si="55"/>
        <v>0</v>
      </c>
      <c r="T196" s="176">
        <f t="shared" si="56"/>
        <v>6</v>
      </c>
      <c r="U196" s="251">
        <f t="shared" si="57"/>
        <v>0.84894377922436837</v>
      </c>
      <c r="V196" s="383">
        <f t="shared" si="58"/>
        <v>59.075383129471824</v>
      </c>
      <c r="W196" s="402">
        <f t="shared" si="59"/>
        <v>49.999065270232819</v>
      </c>
      <c r="X196" s="157">
        <f t="shared" si="60"/>
        <v>45108</v>
      </c>
      <c r="Y196" s="385">
        <f t="shared" si="61"/>
        <v>47.231902128870956</v>
      </c>
      <c r="Z196" s="385">
        <f t="shared" si="62"/>
        <v>49.183974342037018</v>
      </c>
      <c r="AA196" s="386">
        <f t="shared" si="63"/>
        <v>52.681833832771005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6.6395932644207248E-2</v>
      </c>
      <c r="AD196" s="231">
        <f>(INDEX(Models!$BJ196:$BT196,,AH196)*(1-AF196)+INDEX(Models!$BJ196:$BT196,,AH196+1)*AF196-ERP_i)*AE196*Ramure*Pc/MaxiM</f>
        <v>9.0435373395823928E-5</v>
      </c>
      <c r="AE196" s="305">
        <f t="shared" si="65"/>
        <v>0.5</v>
      </c>
      <c r="AF196" s="177">
        <f t="shared" si="66"/>
        <v>0.84894377922436837</v>
      </c>
      <c r="AG196" s="811">
        <f t="shared" si="74"/>
        <v>0</v>
      </c>
      <c r="AH196" s="176">
        <f t="shared" si="67"/>
        <v>6</v>
      </c>
      <c r="AI196" s="225">
        <f t="shared" si="68"/>
        <v>0.84894377922436837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55.696957498089283</v>
      </c>
      <c r="C197" s="841"/>
      <c r="D197" s="393">
        <f t="shared" si="50"/>
        <v>58.000156804947778</v>
      </c>
      <c r="E197" s="385">
        <f t="shared" si="75"/>
        <v>58.692901135255504</v>
      </c>
      <c r="F197" s="385">
        <f t="shared" si="51"/>
        <v>58.697882225330964</v>
      </c>
      <c r="G197" s="110">
        <f t="shared" si="76"/>
        <v>0.94429400979516398</v>
      </c>
      <c r="H197" s="414" t="b">
        <f>Wh_hp&gt;='2022'!Maxi_hp</f>
        <v>0</v>
      </c>
      <c r="I197" s="390">
        <f>IF(H197,Wh_hp,'2022'!Maxi_hp)</f>
        <v>58.697985022962222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3.9710225518942321E-2</v>
      </c>
      <c r="M197" s="845"/>
      <c r="N197" s="845"/>
      <c r="O197" s="48">
        <f>IF(t&lt;Tnet,'2022'!Resal+('2022'!Salim-'2022'!Resal)*(1-EXP(('2022'!Tnet-t)/('2022'!Tau_j))),Resal+(Salim-Resal)*(1-EXP((Tnet-t)/(Tau_j))))*Salcycl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9.219582170770506E-5</v>
      </c>
      <c r="Q197" s="305">
        <f t="shared" si="53"/>
        <v>0.5</v>
      </c>
      <c r="R197" s="177">
        <f t="shared" si="54"/>
        <v>0.85320279453202907</v>
      </c>
      <c r="S197" s="811">
        <f t="shared" si="55"/>
        <v>0</v>
      </c>
      <c r="T197" s="176">
        <f t="shared" si="56"/>
        <v>6</v>
      </c>
      <c r="U197" s="251">
        <f t="shared" si="57"/>
        <v>0.85320279453202907</v>
      </c>
      <c r="V197" s="383">
        <f t="shared" si="58"/>
        <v>58.982211356989303</v>
      </c>
      <c r="W197" s="402">
        <f t="shared" si="59"/>
        <v>55.696957498089283</v>
      </c>
      <c r="X197" s="157">
        <f t="shared" si="60"/>
        <v>45109</v>
      </c>
      <c r="Y197" s="385">
        <f t="shared" si="61"/>
        <v>52.616547597103697</v>
      </c>
      <c r="Z197" s="385">
        <f t="shared" si="62"/>
        <v>54.792364758374916</v>
      </c>
      <c r="AA197" s="386">
        <f t="shared" si="63"/>
        <v>58.692901135255504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6.6456697512565541E-2</v>
      </c>
      <c r="AD197" s="231">
        <f>(INDEX(Models!$BJ197:$BT197,,AH197)*(1-AF197)+INDEX(Models!$BJ197:$BT197,,AH197+1)*AF197-ERP_i)*AE197*Ramure*Pc/MaxiM</f>
        <v>9.219582170770506E-5</v>
      </c>
      <c r="AE197" s="305">
        <f t="shared" si="65"/>
        <v>0.5</v>
      </c>
      <c r="AF197" s="177">
        <f t="shared" si="66"/>
        <v>0.85320279453202907</v>
      </c>
      <c r="AG197" s="811">
        <f t="shared" si="74"/>
        <v>0</v>
      </c>
      <c r="AH197" s="176">
        <f t="shared" si="67"/>
        <v>6</v>
      </c>
      <c r="AI197" s="225">
        <f t="shared" si="68"/>
        <v>0.85320279453202907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46.4102488495259</v>
      </c>
      <c r="C198" s="841"/>
      <c r="D198" s="393">
        <f t="shared" si="50"/>
        <v>48.330479620518432</v>
      </c>
      <c r="E198" s="385">
        <f t="shared" si="75"/>
        <v>48.912854686085176</v>
      </c>
      <c r="F198" s="385">
        <f t="shared" si="51"/>
        <v>48.916097423052911</v>
      </c>
      <c r="G198" s="110">
        <f t="shared" si="76"/>
        <v>0.78809970569385668</v>
      </c>
      <c r="H198" s="414" t="b">
        <f>Wh_hp&gt;='2022'!Maxi_hp</f>
        <v>0</v>
      </c>
      <c r="I198" s="390">
        <f>IF(H198,Wh_hp,'2022'!Maxi_hp)</f>
        <v>53.763656051916264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3.973125832952229E-2</v>
      </c>
      <c r="M198" s="845"/>
      <c r="N198" s="845"/>
      <c r="O198" s="48">
        <f>IF(t&lt;Tnet,'2022'!Resal+('2022'!Salim-'2022'!Resal)*(1-EXP(('2022'!Tnet-t)/('2022'!Tau_j))),Resal+(Salim-Resal)*(1-EXP((Tnet-t)/(Tau_j))))*Salcycl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9.5066878971771779E-5</v>
      </c>
      <c r="Q198" s="305">
        <f t="shared" si="53"/>
        <v>0.5</v>
      </c>
      <c r="R198" s="177">
        <f t="shared" si="54"/>
        <v>0.85738832029932555</v>
      </c>
      <c r="S198" s="811">
        <f t="shared" si="55"/>
        <v>0</v>
      </c>
      <c r="T198" s="176">
        <f t="shared" si="56"/>
        <v>6</v>
      </c>
      <c r="U198" s="251">
        <f t="shared" si="57"/>
        <v>0.85738832029932555</v>
      </c>
      <c r="V198" s="383">
        <f t="shared" si="58"/>
        <v>58.887109039501162</v>
      </c>
      <c r="W198" s="402">
        <f t="shared" si="59"/>
        <v>46.4102488495259</v>
      </c>
      <c r="X198" s="157">
        <f t="shared" si="60"/>
        <v>45110</v>
      </c>
      <c r="Y198" s="385">
        <f t="shared" si="61"/>
        <v>43.84524228272177</v>
      </c>
      <c r="Z198" s="385">
        <f t="shared" si="62"/>
        <v>45.659345535343419</v>
      </c>
      <c r="AA198" s="386">
        <f t="shared" si="63"/>
        <v>48.912854686085176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6.6516443818751769E-2</v>
      </c>
      <c r="AD198" s="231">
        <f>(INDEX(Models!$BJ198:$BT198,,AH198)*(1-AF198)+INDEX(Models!$BJ198:$BT198,,AH198+1)*AF198-ERP_i)*AE198*Ramure*Pc/MaxiM</f>
        <v>9.5066878971771779E-5</v>
      </c>
      <c r="AE198" s="305">
        <f t="shared" si="65"/>
        <v>0.5</v>
      </c>
      <c r="AF198" s="177">
        <f t="shared" si="66"/>
        <v>0.85738832029932555</v>
      </c>
      <c r="AG198" s="811">
        <f t="shared" si="74"/>
        <v>0</v>
      </c>
      <c r="AH198" s="176">
        <f t="shared" si="67"/>
        <v>6</v>
      </c>
      <c r="AI198" s="225">
        <f t="shared" si="68"/>
        <v>0.85738832029932555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44.042020296382212</v>
      </c>
      <c r="C199" s="841"/>
      <c r="D199" s="393">
        <f t="shared" si="50"/>
        <v>45.865269834951683</v>
      </c>
      <c r="E199" s="385">
        <f t="shared" si="75"/>
        <v>46.422791983858069</v>
      </c>
      <c r="F199" s="385">
        <f t="shared" si="51"/>
        <v>46.425742315765</v>
      </c>
      <c r="G199" s="110">
        <f t="shared" si="76"/>
        <v>0.74911377682738611</v>
      </c>
      <c r="H199" s="414" t="b">
        <f>Wh_hp&gt;='2022'!Maxi_hp</f>
        <v>0</v>
      </c>
      <c r="I199" s="390">
        <f>IF(H199,Wh_hp,'2022'!Maxi_hp)</f>
        <v>58.995697367701958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3.9752290679429536E-2</v>
      </c>
      <c r="M199" s="845"/>
      <c r="N199" s="845"/>
      <c r="O199" s="48">
        <f>IF(t&lt;Tnet,'2022'!Resal+('2022'!Salim-'2022'!Resal)*(1-EXP(('2022'!Tnet-t)/('2022'!Tau_j))),Resal+(Salim-Resal)*(1-EXP((Tnet-t)/(Tau_j))))*Salcycl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9.9043953641945448E-5</v>
      </c>
      <c r="Q199" s="305">
        <f t="shared" si="53"/>
        <v>0.5</v>
      </c>
      <c r="R199" s="177">
        <f t="shared" si="54"/>
        <v>0.86149880052328265</v>
      </c>
      <c r="S199" s="811">
        <f t="shared" si="55"/>
        <v>0</v>
      </c>
      <c r="T199" s="176">
        <f t="shared" si="56"/>
        <v>6</v>
      </c>
      <c r="U199" s="251">
        <f t="shared" si="57"/>
        <v>0.86149880052328265</v>
      </c>
      <c r="V199" s="383">
        <f t="shared" si="58"/>
        <v>58.790077437021289</v>
      </c>
      <c r="W199" s="402">
        <f t="shared" si="59"/>
        <v>44.042020296382212</v>
      </c>
      <c r="X199" s="157">
        <f t="shared" si="60"/>
        <v>45111</v>
      </c>
      <c r="Y199" s="385">
        <f t="shared" si="61"/>
        <v>41.60963194044335</v>
      </c>
      <c r="Z199" s="385">
        <f t="shared" si="62"/>
        <v>43.33218557728663</v>
      </c>
      <c r="AA199" s="386">
        <f t="shared" si="63"/>
        <v>46.422791983858069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6.6575194521822104E-2</v>
      </c>
      <c r="AD199" s="231">
        <f>(INDEX(Models!$BJ199:$BT199,,AH199)*(1-AF199)+INDEX(Models!$BJ199:$BT199,,AH199+1)*AF199-ERP_i)*AE199*Ramure*Pc/MaxiM</f>
        <v>9.9043953641945448E-5</v>
      </c>
      <c r="AE199" s="305">
        <f t="shared" si="65"/>
        <v>0.5</v>
      </c>
      <c r="AF199" s="177">
        <f t="shared" si="66"/>
        <v>0.86149880052328265</v>
      </c>
      <c r="AG199" s="811">
        <f t="shared" si="74"/>
        <v>0</v>
      </c>
      <c r="AH199" s="176">
        <f t="shared" si="67"/>
        <v>6</v>
      </c>
      <c r="AI199" s="225">
        <f t="shared" si="68"/>
        <v>0.86149880052328265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55.18082211265375</v>
      </c>
      <c r="C200" s="841"/>
      <c r="D200" s="393">
        <f t="shared" si="50"/>
        <v>57.466453921345284</v>
      </c>
      <c r="E200" s="385">
        <f t="shared" si="75"/>
        <v>58.171063469882725</v>
      </c>
      <c r="F200" s="385">
        <f t="shared" si="51"/>
        <v>58.176604412568722</v>
      </c>
      <c r="G200" s="110">
        <f t="shared" si="76"/>
        <v>0.94018199340549335</v>
      </c>
      <c r="H200" s="414" t="b">
        <f>Wh_hp&gt;='2022'!Maxi_hp</f>
        <v>0</v>
      </c>
      <c r="I200" s="390">
        <f>IF(H200,Wh_hp,'2022'!Maxi_hp)</f>
        <v>61.322232788721351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3.9773322568674496E-2</v>
      </c>
      <c r="M200" s="845"/>
      <c r="N200" s="845"/>
      <c r="O200" s="48">
        <f>IF(t&lt;Tnet,'2022'!Resal+('2022'!Salim-'2022'!Resal)*(1-EXP(('2022'!Tnet-t)/('2022'!Tau_j))),Resal+(Salim-Resal)*(1-EXP((Tnet-t)/(Tau_j))))*Salcycl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1.0414158864894445E-4</v>
      </c>
      <c r="Q200" s="305">
        <f t="shared" si="53"/>
        <v>0.5</v>
      </c>
      <c r="R200" s="177">
        <f t="shared" si="54"/>
        <v>0.86553285888325648</v>
      </c>
      <c r="S200" s="811">
        <f t="shared" si="55"/>
        <v>0</v>
      </c>
      <c r="T200" s="176">
        <f t="shared" si="56"/>
        <v>6</v>
      </c>
      <c r="U200" s="251">
        <f t="shared" si="57"/>
        <v>0.86553285888325648</v>
      </c>
      <c r="V200" s="383">
        <f t="shared" si="58"/>
        <v>58.691116665047765</v>
      </c>
      <c r="W200" s="402">
        <f t="shared" si="59"/>
        <v>55.18082211265375</v>
      </c>
      <c r="X200" s="157">
        <f t="shared" si="60"/>
        <v>45112</v>
      </c>
      <c r="Y200" s="385">
        <f t="shared" si="61"/>
        <v>52.135461823624247</v>
      </c>
      <c r="Z200" s="385">
        <f t="shared" si="62"/>
        <v>54.294952482564128</v>
      </c>
      <c r="AA200" s="386">
        <f t="shared" si="63"/>
        <v>58.171063469882725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6.6632974474076803E-2</v>
      </c>
      <c r="AD200" s="231">
        <f>(INDEX(Models!$BJ200:$BT200,,AH200)*(1-AF200)+INDEX(Models!$BJ200:$BT200,,AH200+1)*AF200-ERP_i)*AE200*Ramure*Pc/MaxiM</f>
        <v>1.0414158864894445E-4</v>
      </c>
      <c r="AE200" s="305">
        <f t="shared" si="65"/>
        <v>0.5</v>
      </c>
      <c r="AF200" s="177">
        <f t="shared" si="66"/>
        <v>0.86553285888325648</v>
      </c>
      <c r="AG200" s="811">
        <f t="shared" si="74"/>
        <v>0</v>
      </c>
      <c r="AH200" s="176">
        <f t="shared" si="67"/>
        <v>6</v>
      </c>
      <c r="AI200" s="225">
        <f t="shared" si="68"/>
        <v>0.86553285888325648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47.386793933009145</v>
      </c>
      <c r="C201" s="841"/>
      <c r="D201" s="393">
        <f t="shared" si="50"/>
        <v>49.350672046427718</v>
      </c>
      <c r="E201" s="385">
        <f t="shared" si="75"/>
        <v>49.960972071895952</v>
      </c>
      <c r="F201" s="385">
        <f t="shared" si="51"/>
        <v>49.964980427962615</v>
      </c>
      <c r="G201" s="110">
        <f t="shared" si="76"/>
        <v>0.80875886004011455</v>
      </c>
      <c r="H201" s="414" t="b">
        <f>Wh_hp&gt;='2022'!Maxi_hp</f>
        <v>0</v>
      </c>
      <c r="I201" s="390">
        <f>IF(H201,Wh_hp,'2022'!Maxi_hp)</f>
        <v>60.73746121896113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3.9794353997267051E-2</v>
      </c>
      <c r="M201" s="845"/>
      <c r="N201" s="845"/>
      <c r="O201" s="48">
        <f>IF(t&lt;Tnet,'2022'!Resal+('2022'!Salim-'2022'!Resal)*(1-EXP(('2022'!Tnet-t)/('2022'!Tau_j))),Resal+(Salim-Resal)*(1-EXP((Tnet-t)/(Tau_j))))*Salcycl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1.1037375276980746E-4</v>
      </c>
      <c r="Q201" s="305">
        <f t="shared" si="53"/>
        <v>0.5</v>
      </c>
      <c r="R201" s="177">
        <f t="shared" si="54"/>
        <v>0.86948929634438255</v>
      </c>
      <c r="S201" s="811">
        <f t="shared" si="55"/>
        <v>0</v>
      </c>
      <c r="T201" s="176">
        <f t="shared" si="56"/>
        <v>6</v>
      </c>
      <c r="U201" s="251">
        <f t="shared" si="57"/>
        <v>0.86948929634438255</v>
      </c>
      <c r="V201" s="383">
        <f t="shared" si="58"/>
        <v>58.590226860906988</v>
      </c>
      <c r="W201" s="402">
        <f t="shared" si="59"/>
        <v>47.386793933009145</v>
      </c>
      <c r="X201" s="157">
        <f t="shared" si="60"/>
        <v>45113</v>
      </c>
      <c r="Y201" s="385">
        <f t="shared" si="61"/>
        <v>44.773510037050428</v>
      </c>
      <c r="Z201" s="385">
        <f t="shared" si="62"/>
        <v>46.629084325258169</v>
      </c>
      <c r="AA201" s="386">
        <f t="shared" si="63"/>
        <v>49.960972071895952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6.66898102351383E-2</v>
      </c>
      <c r="AD201" s="231">
        <f>(INDEX(Models!$BJ201:$BT201,,AH201)*(1-AF201)+INDEX(Models!$BJ201:$BT201,,AH201+1)*AF201-ERP_i)*AE201*Ramure*Pc/MaxiM</f>
        <v>1.1037375276980746E-4</v>
      </c>
      <c r="AE201" s="305">
        <f t="shared" si="65"/>
        <v>0.5</v>
      </c>
      <c r="AF201" s="177">
        <f t="shared" si="66"/>
        <v>0.86948929634438255</v>
      </c>
      <c r="AG201" s="811">
        <f t="shared" si="74"/>
        <v>0</v>
      </c>
      <c r="AH201" s="176">
        <f t="shared" si="67"/>
        <v>6</v>
      </c>
      <c r="AI201" s="225">
        <f t="shared" si="68"/>
        <v>0.86948929634438255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54.424332295351874</v>
      </c>
      <c r="C202" s="841"/>
      <c r="D202" s="393">
        <f t="shared" si="50"/>
        <v>56.681112614349011</v>
      </c>
      <c r="E202" s="385">
        <f t="shared" si="75"/>
        <v>57.38802550145305</v>
      </c>
      <c r="F202" s="385">
        <f t="shared" si="51"/>
        <v>57.394113167408179</v>
      </c>
      <c r="G202" s="110">
        <f t="shared" si="76"/>
        <v>0.93051988303193933</v>
      </c>
      <c r="H202" s="414" t="b">
        <f>Wh_hp&gt;='2022'!Maxi_hp</f>
        <v>0</v>
      </c>
      <c r="I202" s="390">
        <f>IF(H202,Wh_hp,'2022'!Maxi_hp)</f>
        <v>57.394276612159018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3.9815384965217304E-2</v>
      </c>
      <c r="M202" s="845"/>
      <c r="N202" s="845"/>
      <c r="O202" s="48">
        <f>IF(t&lt;Tnet,'2022'!Resal+('2022'!Salim-'2022'!Resal)*(1-EXP(('2022'!Tnet-t)/('2022'!Tau_j))),Resal+(Salim-Resal)*(1-EXP((Tnet-t)/(Tau_j))))*Salcycl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1.1775388020013458E-4</v>
      </c>
      <c r="Q202" s="305">
        <f t="shared" si="53"/>
        <v>0.5</v>
      </c>
      <c r="R202" s="177">
        <f t="shared" si="54"/>
        <v>0.8733670880594222</v>
      </c>
      <c r="S202" s="811">
        <f t="shared" si="55"/>
        <v>0</v>
      </c>
      <c r="T202" s="176">
        <f t="shared" si="56"/>
        <v>6</v>
      </c>
      <c r="U202" s="251">
        <f t="shared" si="57"/>
        <v>0.8733670880594222</v>
      </c>
      <c r="V202" s="383">
        <f t="shared" si="58"/>
        <v>58.487408181060417</v>
      </c>
      <c r="W202" s="402">
        <f t="shared" si="59"/>
        <v>54.424332295351874</v>
      </c>
      <c r="X202" s="157">
        <f t="shared" si="60"/>
        <v>45114</v>
      </c>
      <c r="Y202" s="385">
        <f t="shared" si="61"/>
        <v>51.425202600732163</v>
      </c>
      <c r="Z202" s="385">
        <f t="shared" si="62"/>
        <v>53.557619853000126</v>
      </c>
      <c r="AA202" s="386">
        <f t="shared" si="63"/>
        <v>57.38802550145305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6.6745729879762808E-2</v>
      </c>
      <c r="AD202" s="231">
        <f>(INDEX(Models!$BJ202:$BT202,,AH202)*(1-AF202)+INDEX(Models!$BJ202:$BT202,,AH202+1)*AF202-ERP_i)*AE202*Ramure*Pc/MaxiM</f>
        <v>1.1775388020013458E-4</v>
      </c>
      <c r="AE202" s="305">
        <f t="shared" si="65"/>
        <v>0.5</v>
      </c>
      <c r="AF202" s="177">
        <f t="shared" si="66"/>
        <v>0.8733670880594222</v>
      </c>
      <c r="AG202" s="811">
        <f t="shared" si="74"/>
        <v>0</v>
      </c>
      <c r="AH202" s="176">
        <f t="shared" si="67"/>
        <v>6</v>
      </c>
      <c r="AI202" s="225">
        <f t="shared" si="68"/>
        <v>0.8733670880594222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57.235878106991031</v>
      </c>
      <c r="C203" s="841"/>
      <c r="D203" s="393">
        <f t="shared" si="50"/>
        <v>59.610548691199455</v>
      </c>
      <c r="E203" s="385">
        <f t="shared" si="75"/>
        <v>60.360252416034847</v>
      </c>
      <c r="F203" s="385">
        <f t="shared" si="51"/>
        <v>60.367662606074006</v>
      </c>
      <c r="G203" s="110">
        <f t="shared" si="76"/>
        <v>0.98035400328111155</v>
      </c>
      <c r="H203" s="414" t="b">
        <f>Wh_hp&gt;='2022'!Maxi_hp</f>
        <v>0</v>
      </c>
      <c r="I203" s="390">
        <f>IF(H203,Wh_hp,'2022'!Maxi_hp)</f>
        <v>63.132463716134929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3.9836415472535469E-2</v>
      </c>
      <c r="M203" s="845"/>
      <c r="N203" s="845"/>
      <c r="O203" s="48">
        <f>IF(t&lt;Tnet,'2022'!Resal+('2022'!Salim-'2022'!Resal)*(1-EXP(('2022'!Tnet-t)/('2022'!Tau_j))),Resal+(Salim-Resal)*(1-EXP((Tnet-t)/(Tau_j))))*Salcycl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1.2629491434111966E-4</v>
      </c>
      <c r="Q203" s="305">
        <f t="shared" si="53"/>
        <v>0.5</v>
      </c>
      <c r="R203" s="177">
        <f t="shared" si="54"/>
        <v>0.87716537962502461</v>
      </c>
      <c r="S203" s="811">
        <f t="shared" si="55"/>
        <v>0</v>
      </c>
      <c r="T203" s="176">
        <f t="shared" si="56"/>
        <v>6</v>
      </c>
      <c r="U203" s="251">
        <f t="shared" si="57"/>
        <v>0.87716537962502461</v>
      </c>
      <c r="V203" s="383">
        <f t="shared" si="58"/>
        <v>58.382660804784685</v>
      </c>
      <c r="W203" s="402">
        <f t="shared" si="59"/>
        <v>57.235878106991031</v>
      </c>
      <c r="X203" s="157">
        <f t="shared" si="60"/>
        <v>45115</v>
      </c>
      <c r="Y203" s="385">
        <f t="shared" si="61"/>
        <v>54.084230263732699</v>
      </c>
      <c r="Z203" s="385">
        <f t="shared" si="62"/>
        <v>56.328141511792225</v>
      </c>
      <c r="AA203" s="386">
        <f t="shared" si="63"/>
        <v>60.360252416034847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6.6800762800844168E-2</v>
      </c>
      <c r="AD203" s="231">
        <f>(INDEX(Models!$BJ203:$BT203,,AH203)*(1-AF203)+INDEX(Models!$BJ203:$BT203,,AH203+1)*AF203-ERP_i)*AE203*Ramure*Pc/MaxiM</f>
        <v>1.2629491434111966E-4</v>
      </c>
      <c r="AE203" s="305">
        <f t="shared" si="65"/>
        <v>0.5</v>
      </c>
      <c r="AF203" s="177">
        <f t="shared" si="66"/>
        <v>0.87716537962502461</v>
      </c>
      <c r="AG203" s="811">
        <f t="shared" si="74"/>
        <v>0</v>
      </c>
      <c r="AH203" s="176">
        <f t="shared" si="67"/>
        <v>6</v>
      </c>
      <c r="AI203" s="225">
        <f t="shared" si="68"/>
        <v>0.87716537962502461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56.497186088918205</v>
      </c>
      <c r="C204" s="841"/>
      <c r="D204" s="393">
        <f t="shared" si="50"/>
        <v>58.842497736673153</v>
      </c>
      <c r="E204" s="385">
        <f t="shared" si="75"/>
        <v>59.588704594895439</v>
      </c>
      <c r="F204" s="385">
        <f t="shared" si="51"/>
        <v>59.596456820227999</v>
      </c>
      <c r="G204" s="110">
        <f t="shared" si="76"/>
        <v>0.9694705468482856</v>
      </c>
      <c r="H204" s="414" t="b">
        <f>Wh_hp&gt;='2022'!Maxi_hp</f>
        <v>0</v>
      </c>
      <c r="I204" s="390">
        <f>IF(H204,Wh_hp,'2022'!Maxi_hp)</f>
        <v>60.536567302517156</v>
      </c>
      <c r="J204" s="85">
        <f>IF(H204,An,'2022'!An_max)</f>
        <v>2020</v>
      </c>
      <c r="K204" s="197">
        <f t="shared" si="52"/>
        <v>45116</v>
      </c>
      <c r="L204" s="147">
        <f>IF(t&lt;Tvie,1-EXP((T0-t)*PertePVj)+'2022'!Pspv,1-EXP((T0-t)*PertePVj)+Pspv)</f>
        <v>3.9857445519231427E-2</v>
      </c>
      <c r="M204" s="845"/>
      <c r="N204" s="845"/>
      <c r="O204" s="48">
        <f>IF(t&lt;Tnet,'2022'!Resal+('2022'!Salim-'2022'!Resal)*(1-EXP(('2022'!Tnet-t)/('2022'!Tau_j))),Resal+(Salim-Resal)*(1-EXP((Tnet-t)/(Tau_j))))*Salcycl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1.3600935524908555E-4</v>
      </c>
      <c r="Q204" s="305">
        <f t="shared" si="53"/>
        <v>0.5</v>
      </c>
      <c r="R204" s="177">
        <f t="shared" si="54"/>
        <v>0.88088348275047668</v>
      </c>
      <c r="S204" s="811">
        <f t="shared" si="55"/>
        <v>0</v>
      </c>
      <c r="T204" s="176">
        <f t="shared" si="56"/>
        <v>6</v>
      </c>
      <c r="U204" s="251">
        <f t="shared" si="57"/>
        <v>0.88088348275047668</v>
      </c>
      <c r="V204" s="383">
        <f t="shared" si="58"/>
        <v>58.275984927640494</v>
      </c>
      <c r="W204" s="402">
        <f t="shared" si="59"/>
        <v>56.497186088918205</v>
      </c>
      <c r="X204" s="157">
        <f t="shared" si="60"/>
        <v>45116</v>
      </c>
      <c r="Y204" s="385">
        <f t="shared" si="61"/>
        <v>53.3886358680382</v>
      </c>
      <c r="Z204" s="385">
        <f t="shared" si="62"/>
        <v>55.604905353778442</v>
      </c>
      <c r="AA204" s="386">
        <f t="shared" si="63"/>
        <v>59.588704594895439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6.6854939509093825E-2</v>
      </c>
      <c r="AD204" s="231">
        <f>(INDEX(Models!$BJ204:$BT204,,AH204)*(1-AF204)+INDEX(Models!$BJ204:$BT204,,AH204+1)*AF204-ERP_i)*AE204*Ramure*Pc/MaxiM</f>
        <v>1.3600935524908555E-4</v>
      </c>
      <c r="AE204" s="305">
        <f t="shared" si="65"/>
        <v>0.5</v>
      </c>
      <c r="AF204" s="177">
        <f t="shared" si="66"/>
        <v>0.88088348275047668</v>
      </c>
      <c r="AG204" s="811">
        <f t="shared" si="74"/>
        <v>0</v>
      </c>
      <c r="AH204" s="176">
        <f t="shared" si="67"/>
        <v>6</v>
      </c>
      <c r="AI204" s="225">
        <f t="shared" si="68"/>
        <v>0.88088348275047668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55.776898826376801</v>
      </c>
      <c r="C205" s="841"/>
      <c r="D205" s="393">
        <f t="shared" si="50"/>
        <v>58.093582301985109</v>
      </c>
      <c r="E205" s="385">
        <f t="shared" si="75"/>
        <v>58.836364033129094</v>
      </c>
      <c r="F205" s="385">
        <f t="shared" si="51"/>
        <v>58.844501382327948</v>
      </c>
      <c r="G205" s="110">
        <f t="shared" si="76"/>
        <v>0.95889875818806236</v>
      </c>
      <c r="H205" s="414" t="b">
        <f>Wh_hp&gt;='2022'!Maxi_hp</f>
        <v>0</v>
      </c>
      <c r="I205" s="390">
        <f>IF(H205,Wh_hp,'2022'!Maxi_hp)</f>
        <v>59.982897259607313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3.9878475105315503E-2</v>
      </c>
      <c r="M205" s="845"/>
      <c r="N205" s="845"/>
      <c r="O205" s="48">
        <f>IF(t&lt;Tnet,'2022'!Resal+('2022'!Salim-'2022'!Resal)*(1-EXP(('2022'!Tnet-t)/('2022'!Tau_j))),Resal+(Salim-Resal)*(1-EXP((Tnet-t)/(Tau_j))))*Salcycl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1.4690986698631095E-4</v>
      </c>
      <c r="Q205" s="305">
        <f t="shared" si="53"/>
        <v>0.5</v>
      </c>
      <c r="R205" s="177">
        <f t="shared" si="54"/>
        <v>0.8845208703983054</v>
      </c>
      <c r="S205" s="811">
        <f t="shared" si="55"/>
        <v>0</v>
      </c>
      <c r="T205" s="176">
        <f t="shared" si="56"/>
        <v>6</v>
      </c>
      <c r="U205" s="251">
        <f t="shared" si="57"/>
        <v>0.8845208703983054</v>
      </c>
      <c r="V205" s="383">
        <f t="shared" si="58"/>
        <v>58.167160245664554</v>
      </c>
      <c r="W205" s="402">
        <f t="shared" si="59"/>
        <v>55.776898826376801</v>
      </c>
      <c r="X205" s="157">
        <f t="shared" si="60"/>
        <v>45117</v>
      </c>
      <c r="Y205" s="385">
        <f t="shared" si="61"/>
        <v>52.710406187109264</v>
      </c>
      <c r="Z205" s="385">
        <f t="shared" si="62"/>
        <v>54.899723441666467</v>
      </c>
      <c r="AA205" s="386">
        <f t="shared" si="63"/>
        <v>58.836364033129094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6.6908291430891484E-2</v>
      </c>
      <c r="AD205" s="231">
        <f>(INDEX(Models!$BJ205:$BT205,,AH205)*(1-AF205)+INDEX(Models!$BJ205:$BT205,,AH205+1)*AF205-ERP_i)*AE205*Ramure*Pc/MaxiM</f>
        <v>1.4690986698631095E-4</v>
      </c>
      <c r="AE205" s="305">
        <f t="shared" si="65"/>
        <v>0.5</v>
      </c>
      <c r="AF205" s="177">
        <f t="shared" si="66"/>
        <v>0.8845208703983054</v>
      </c>
      <c r="AG205" s="811">
        <f t="shared" si="74"/>
        <v>0</v>
      </c>
      <c r="AH205" s="176">
        <f t="shared" si="67"/>
        <v>6</v>
      </c>
      <c r="AI205" s="225">
        <f t="shared" si="68"/>
        <v>0.8845208703983054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54.300108417476402</v>
      </c>
      <c r="C206" s="841"/>
      <c r="D206" s="393">
        <f t="shared" si="50"/>
        <v>56.556692405384986</v>
      </c>
      <c r="E206" s="385">
        <f t="shared" si="75"/>
        <v>57.285723512218112</v>
      </c>
      <c r="F206" s="385">
        <f t="shared" si="51"/>
        <v>57.293999696412698</v>
      </c>
      <c r="G206" s="110">
        <f t="shared" si="76"/>
        <v>0.93529153964801393</v>
      </c>
      <c r="H206" s="414" t="b">
        <f>Wh_hp&gt;='2022'!Maxi_hp</f>
        <v>0</v>
      </c>
      <c r="I206" s="390">
        <f>IF(H206,Wh_hp,'2022'!Maxi_hp)</f>
        <v>61.452728703103304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3.9899504230797689E-2</v>
      </c>
      <c r="M206" s="845"/>
      <c r="N206" s="845"/>
      <c r="O206" s="48">
        <f>IF(t&lt;Tnet,'2022'!Resal+('2022'!Salim-'2022'!Resal)*(1-EXP(('2022'!Tnet-t)/('2022'!Tau_j))),Resal+(Salim-Resal)*(1-EXP((Tnet-t)/(Tau_j))))*Salcycl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1.5916096661901691E-4</v>
      </c>
      <c r="Q206" s="305">
        <f t="shared" si="53"/>
        <v>0.5</v>
      </c>
      <c r="R206" s="177">
        <f t="shared" si="54"/>
        <v>0.88807717145666976</v>
      </c>
      <c r="S206" s="811">
        <f t="shared" si="55"/>
        <v>0</v>
      </c>
      <c r="T206" s="176">
        <f t="shared" si="56"/>
        <v>6</v>
      </c>
      <c r="U206" s="251">
        <f t="shared" si="57"/>
        <v>0.88807717145666976</v>
      </c>
      <c r="V206" s="383">
        <f t="shared" si="58"/>
        <v>58.056025587407291</v>
      </c>
      <c r="W206" s="402">
        <f t="shared" si="59"/>
        <v>54.300108417476402</v>
      </c>
      <c r="X206" s="157">
        <f t="shared" si="60"/>
        <v>45118</v>
      </c>
      <c r="Y206" s="385">
        <f t="shared" si="61"/>
        <v>51.3172013042903</v>
      </c>
      <c r="Z206" s="385">
        <f t="shared" si="62"/>
        <v>53.449822732542778</v>
      </c>
      <c r="AA206" s="386">
        <f t="shared" si="63"/>
        <v>57.285723512218112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6.6960850705799213E-2</v>
      </c>
      <c r="AD206" s="231">
        <f>(INDEX(Models!$BJ206:$BT206,,AH206)*(1-AF206)+INDEX(Models!$BJ206:$BT206,,AH206+1)*AF206-ERP_i)*AE206*Ramure*Pc/MaxiM</f>
        <v>1.5916096661901691E-4</v>
      </c>
      <c r="AE206" s="305">
        <f t="shared" si="65"/>
        <v>0.5</v>
      </c>
      <c r="AF206" s="177">
        <f t="shared" si="66"/>
        <v>0.88807717145666976</v>
      </c>
      <c r="AG206" s="811">
        <f t="shared" si="74"/>
        <v>0</v>
      </c>
      <c r="AH206" s="176">
        <f t="shared" si="67"/>
        <v>6</v>
      </c>
      <c r="AI206" s="225">
        <f t="shared" si="68"/>
        <v>0.88807717145666976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54.397695490301906</v>
      </c>
      <c r="C207" s="841"/>
      <c r="D207" s="393">
        <f t="shared" ref="D207:D270" si="77">Wh/(1-Ppv)</f>
        <v>56.65957595611367</v>
      </c>
      <c r="E207" s="385">
        <f t="shared" si="75"/>
        <v>57.395832553606617</v>
      </c>
      <c r="F207" s="385">
        <f t="shared" ref="F207:F270" si="78">Wh_sa/(1-Pvg*MEDIAN((-Sdif+Wh/Env_an)/Csdif,0,1))</f>
        <v>57.40487441547242</v>
      </c>
      <c r="G207" s="110">
        <f t="shared" si="76"/>
        <v>0.93880473065924008</v>
      </c>
      <c r="H207" s="414" t="b">
        <f>Wh_hp&gt;='2022'!Maxi_hp</f>
        <v>0</v>
      </c>
      <c r="I207" s="390">
        <f>IF(H207,Wh_hp,'2022'!Maxi_hp)</f>
        <v>61.87528776158792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3.9920532895687977E-2</v>
      </c>
      <c r="M207" s="845"/>
      <c r="N207" s="845"/>
      <c r="O207" s="48">
        <f>IF(t&lt;Tnet,'2022'!Resal+('2022'!Salim-'2022'!Resal)*(1-EXP(('2022'!Tnet-t)/('2022'!Tau_j))),Resal+(Salim-Resal)*(1-EXP((Tnet-t)/(Tau_j))))*Salcycl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1.7259546627175636E-4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0.89155216500338796</v>
      </c>
      <c r="S207" s="81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0.89155216500338796</v>
      </c>
      <c r="V207" s="383">
        <f t="shared" ref="V207:V270" si="85">MaxiM*(1-Ppv)*(1-Pvg)*(1-Psa)</f>
        <v>57.942693500568936</v>
      </c>
      <c r="W207" s="402">
        <f t="shared" ref="W207:W270" si="86">Wh*(A207&gt;Tmaj)</f>
        <v>54.397695490301906</v>
      </c>
      <c r="X207" s="157">
        <f t="shared" ref="X207:X270" si="87">t</f>
        <v>45119</v>
      </c>
      <c r="Y207" s="385">
        <f t="shared" ref="Y207:Y270" si="88">Wh_pvt_s*(1-Ppv)</f>
        <v>51.411857717952472</v>
      </c>
      <c r="Z207" s="385">
        <f t="shared" ref="Z207:Z270" si="89">Wh_sa_s*(1-Psa_s)</f>
        <v>53.549585716081779</v>
      </c>
      <c r="AA207" s="386">
        <f t="shared" ref="AA207:AA270" si="90">Wh_hp*(1-Pvg_s*MEDIAN((-Sdif+Wh/Env_an)/Csdif,0,1))</f>
        <v>57.395832553606617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6.7012649985214834E-2</v>
      </c>
      <c r="AD207" s="231">
        <f>(INDEX(Models!$BJ207:$BT207,,AH207)*(1-AF207)+INDEX(Models!$BJ207:$BT207,,AH207+1)*AF207-ERP_i)*AE207*Ramure*Pc/MaxiM</f>
        <v>1.7259546627175636E-4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0.89155216500338796</v>
      </c>
      <c r="AG207" s="81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0.89155216500338796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53.755162855146885</v>
      </c>
      <c r="C208" s="841"/>
      <c r="D208" s="393">
        <f t="shared" si="77"/>
        <v>55.991552885819537</v>
      </c>
      <c r="E208" s="385">
        <f t="shared" si="75"/>
        <v>56.724947582748143</v>
      </c>
      <c r="F208" s="385">
        <f t="shared" si="78"/>
        <v>56.734501017034987</v>
      </c>
      <c r="G208" s="110">
        <f t="shared" si="76"/>
        <v>0.92956409299102416</v>
      </c>
      <c r="H208" s="414" t="b">
        <f>Wh_hp&gt;='2022'!Maxi_hp</f>
        <v>0</v>
      </c>
      <c r="I208" s="390">
        <f>IF(H208,Wh_hp,'2022'!Maxi_hp)</f>
        <v>56.734757420394608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3.9941561099996581E-2</v>
      </c>
      <c r="M208" s="845"/>
      <c r="N208" s="845"/>
      <c r="O208" s="48">
        <f>IF(t&lt;Tnet,'2022'!Resal+('2022'!Salim-'2022'!Resal)*(1-EXP(('2022'!Tnet-t)/('2022'!Tau_j))),Resal+(Salim-Resal)*(1-EXP((Tnet-t)/(Tau_j))))*Salcycl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1.8722260837271588E-4</v>
      </c>
      <c r="Q208" s="305">
        <f t="shared" si="80"/>
        <v>0.5</v>
      </c>
      <c r="R208" s="177">
        <f t="shared" si="81"/>
        <v>0.8949457742207334</v>
      </c>
      <c r="S208" s="811">
        <f t="shared" si="82"/>
        <v>0</v>
      </c>
      <c r="T208" s="176">
        <f t="shared" si="83"/>
        <v>6</v>
      </c>
      <c r="U208" s="251">
        <f t="shared" si="84"/>
        <v>0.8949457742207334</v>
      </c>
      <c r="V208" s="383">
        <f t="shared" si="85"/>
        <v>57.827266195322643</v>
      </c>
      <c r="W208" s="402">
        <f t="shared" si="86"/>
        <v>53.755162855146885</v>
      </c>
      <c r="X208" s="157">
        <f t="shared" si="87"/>
        <v>45120</v>
      </c>
      <c r="Y208" s="385">
        <f t="shared" si="88"/>
        <v>50.80702362725561</v>
      </c>
      <c r="Z208" s="385">
        <f t="shared" si="89"/>
        <v>52.920761454342575</v>
      </c>
      <c r="AA208" s="386">
        <f t="shared" si="90"/>
        <v>56.724947582748143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6.7063722233611053E-2</v>
      </c>
      <c r="AD208" s="231">
        <f>(INDEX(Models!$BJ208:$BT208,,AH208)*(1-AF208)+INDEX(Models!$BJ208:$BT208,,AH208+1)*AF208-ERP_i)*AE208*Ramure*Pc/MaxiM</f>
        <v>1.8722260837271588E-4</v>
      </c>
      <c r="AE208" s="305">
        <f t="shared" si="92"/>
        <v>0.5</v>
      </c>
      <c r="AF208" s="177">
        <f t="shared" si="93"/>
        <v>0.8949457742207334</v>
      </c>
      <c r="AG208" s="811">
        <f t="shared" ref="AG208:AG271" si="99">INDEX(Echel_vg,AH208)</f>
        <v>0</v>
      </c>
      <c r="AH208" s="176">
        <f t="shared" si="94"/>
        <v>6</v>
      </c>
      <c r="AI208" s="225">
        <f t="shared" si="95"/>
        <v>0.8949457742207334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53.179154798564085</v>
      </c>
      <c r="C209" s="841"/>
      <c r="D209" s="393">
        <f t="shared" si="77"/>
        <v>55.39279426050205</v>
      </c>
      <c r="E209" s="385">
        <f t="shared" si="75"/>
        <v>56.124091890733496</v>
      </c>
      <c r="F209" s="385">
        <f t="shared" si="78"/>
        <v>56.134211673070787</v>
      </c>
      <c r="G209" s="110">
        <f t="shared" si="76"/>
        <v>0.9214708989563356</v>
      </c>
      <c r="H209" s="414" t="b">
        <f>Wh_hp&gt;='2022'!Maxi_hp</f>
        <v>0</v>
      </c>
      <c r="I209" s="390">
        <f>IF(H209,Wh_hp,'2022'!Maxi_hp)</f>
        <v>61.910407700916835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3.9962588843733493E-2</v>
      </c>
      <c r="M209" s="845"/>
      <c r="N209" s="845"/>
      <c r="O209" s="48">
        <f>IF(t&lt;Tnet,'2022'!Resal+('2022'!Salim-'2022'!Resal)*(1-EXP(('2022'!Tnet-t)/('2022'!Tau_j))),Resal+(Salim-Resal)*(1-EXP((Tnet-t)/(Tau_j))))*Salcycl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2.0305146123271301E-4</v>
      </c>
      <c r="Q209" s="305">
        <f t="shared" si="80"/>
        <v>0.5</v>
      </c>
      <c r="R209" s="177">
        <f t="shared" si="81"/>
        <v>0.89825806001886632</v>
      </c>
      <c r="S209" s="811">
        <f t="shared" si="82"/>
        <v>0</v>
      </c>
      <c r="T209" s="176">
        <f t="shared" si="83"/>
        <v>6</v>
      </c>
      <c r="U209" s="251">
        <f t="shared" si="84"/>
        <v>0.89825806001886632</v>
      </c>
      <c r="V209" s="383">
        <f t="shared" si="85"/>
        <v>57.709845839880764</v>
      </c>
      <c r="W209" s="402">
        <f t="shared" si="86"/>
        <v>53.179154798564085</v>
      </c>
      <c r="X209" s="157">
        <f t="shared" si="87"/>
        <v>45121</v>
      </c>
      <c r="Y209" s="385">
        <f t="shared" si="88"/>
        <v>50.265037737302443</v>
      </c>
      <c r="Z209" s="385">
        <f t="shared" si="89"/>
        <v>52.357373945212579</v>
      </c>
      <c r="AA209" s="386">
        <f t="shared" si="90"/>
        <v>56.124091890733496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6.7114100533764279E-2</v>
      </c>
      <c r="AD209" s="231">
        <f>(INDEX(Models!$BJ209:$BT209,,AH209)*(1-AF209)+INDEX(Models!$BJ209:$BT209,,AH209+1)*AF209-ERP_i)*AE209*Ramure*Pc/MaxiM</f>
        <v>2.0305146123271301E-4</v>
      </c>
      <c r="AE209" s="305">
        <f t="shared" si="92"/>
        <v>0.5</v>
      </c>
      <c r="AF209" s="177">
        <f t="shared" si="93"/>
        <v>0.89825806001886632</v>
      </c>
      <c r="AG209" s="811">
        <f t="shared" si="99"/>
        <v>0</v>
      </c>
      <c r="AH209" s="176">
        <f t="shared" si="94"/>
        <v>6</v>
      </c>
      <c r="AI209" s="225">
        <f t="shared" si="95"/>
        <v>0.89825806001886632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51.399374713170999</v>
      </c>
      <c r="C210" s="841"/>
      <c r="D210" s="393">
        <f t="shared" si="77"/>
        <v>53.540101582230612</v>
      </c>
      <c r="E210" s="385">
        <f t="shared" si="75"/>
        <v>54.25248318105703</v>
      </c>
      <c r="F210" s="385">
        <f t="shared" si="78"/>
        <v>54.262591775715755</v>
      </c>
      <c r="G210" s="110">
        <f t="shared" si="76"/>
        <v>0.89246674732254094</v>
      </c>
      <c r="H210" s="414" t="b">
        <f>Wh_hp&gt;='2022'!Maxi_hp</f>
        <v>0</v>
      </c>
      <c r="I210" s="390">
        <f>IF(H210,Wh_hp,'2022'!Maxi_hp)</f>
        <v>63.341573131215071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3.9983616126908816E-2</v>
      </c>
      <c r="M210" s="845"/>
      <c r="N210" s="845"/>
      <c r="O210" s="48">
        <f>IF(t&lt;Tnet,'2022'!Resal+('2022'!Salim-'2022'!Resal)*(1-EXP(('2022'!Tnet-t)/('2022'!Tau_j))),Resal+(Salim-Resal)*(1-EXP((Tnet-t)/(Tau_j))))*Salcycl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2.2009095347964242E-4</v>
      </c>
      <c r="Q210" s="305">
        <f t="shared" si="80"/>
        <v>0.5</v>
      </c>
      <c r="R210" s="177">
        <f t="shared" si="81"/>
        <v>0.90148921442401864</v>
      </c>
      <c r="S210" s="811">
        <f t="shared" si="82"/>
        <v>0</v>
      </c>
      <c r="T210" s="176">
        <f t="shared" si="83"/>
        <v>6</v>
      </c>
      <c r="U210" s="251">
        <f t="shared" si="84"/>
        <v>0.90148921442401864</v>
      </c>
      <c r="V210" s="383">
        <f t="shared" si="85"/>
        <v>57.590534562049278</v>
      </c>
      <c r="W210" s="402">
        <f t="shared" si="86"/>
        <v>51.399374713170999</v>
      </c>
      <c r="X210" s="157">
        <f t="shared" si="87"/>
        <v>45122</v>
      </c>
      <c r="Y210" s="385">
        <f t="shared" si="88"/>
        <v>48.585161275177427</v>
      </c>
      <c r="Z210" s="385">
        <f t="shared" si="89"/>
        <v>50.60867928020707</v>
      </c>
      <c r="AA210" s="386">
        <f t="shared" si="90"/>
        <v>54.25248318105703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6.7163817897320496E-2</v>
      </c>
      <c r="AD210" s="231">
        <f>(INDEX(Models!$BJ210:$BT210,,AH210)*(1-AF210)+INDEX(Models!$BJ210:$BT210,,AH210+1)*AF210-ERP_i)*AE210*Ramure*Pc/MaxiM</f>
        <v>2.2009095347964242E-4</v>
      </c>
      <c r="AE210" s="305">
        <f t="shared" si="92"/>
        <v>0.5</v>
      </c>
      <c r="AF210" s="177">
        <f t="shared" si="93"/>
        <v>0.90148921442401864</v>
      </c>
      <c r="AG210" s="811">
        <f t="shared" si="99"/>
        <v>0</v>
      </c>
      <c r="AH210" s="176">
        <f t="shared" si="94"/>
        <v>6</v>
      </c>
      <c r="AI210" s="225">
        <f t="shared" si="95"/>
        <v>0.90148921442401864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52.816296899842676</v>
      </c>
      <c r="C211" s="841"/>
      <c r="D211" s="393">
        <f t="shared" si="77"/>
        <v>55.01724202304252</v>
      </c>
      <c r="E211" s="385">
        <f t="shared" si="75"/>
        <v>55.754963769622677</v>
      </c>
      <c r="F211" s="385">
        <f t="shared" si="78"/>
        <v>55.766718311732419</v>
      </c>
      <c r="G211" s="110">
        <f t="shared" si="76"/>
        <v>0.91900748621012562</v>
      </c>
      <c r="H211" s="414" t="b">
        <f>Wh_hp&gt;='2022'!Maxi_hp</f>
        <v>0</v>
      </c>
      <c r="I211" s="390">
        <f>IF(H211,Wh_hp,'2022'!Maxi_hp)</f>
        <v>61.340662594559738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4.0004642949532765E-2</v>
      </c>
      <c r="M211" s="845"/>
      <c r="N211" s="845"/>
      <c r="O211" s="48">
        <f>IF(t&lt;Tnet,'2022'!Resal+('2022'!Salim-'2022'!Resal)*(1-EXP(('2022'!Tnet-t)/('2022'!Tau_j))),Resal+(Salim-Resal)*(1-EXP((Tnet-t)/(Tau_j))))*Salcycl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2.3834990683463273E-4</v>
      </c>
      <c r="Q211" s="305">
        <f t="shared" si="80"/>
        <v>0.5</v>
      </c>
      <c r="R211" s="177">
        <f t="shared" si="81"/>
        <v>0.90463955378535998</v>
      </c>
      <c r="S211" s="811">
        <f t="shared" si="82"/>
        <v>0</v>
      </c>
      <c r="T211" s="176">
        <f t="shared" si="83"/>
        <v>6</v>
      </c>
      <c r="U211" s="251">
        <f t="shared" si="84"/>
        <v>0.90463955378535998</v>
      </c>
      <c r="V211" s="383">
        <f t="shared" si="85"/>
        <v>57.469434445786447</v>
      </c>
      <c r="W211" s="402">
        <f t="shared" si="86"/>
        <v>52.816296899842676</v>
      </c>
      <c r="X211" s="157">
        <f t="shared" si="87"/>
        <v>45123</v>
      </c>
      <c r="Y211" s="385">
        <f t="shared" si="88"/>
        <v>49.926968679352392</v>
      </c>
      <c r="Z211" s="385">
        <f t="shared" si="89"/>
        <v>52.007510570415931</v>
      </c>
      <c r="AA211" s="386">
        <f t="shared" si="90"/>
        <v>55.754963769622677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6.7212907081978829E-2</v>
      </c>
      <c r="AD211" s="231">
        <f>(INDEX(Models!$BJ211:$BT211,,AH211)*(1-AF211)+INDEX(Models!$BJ211:$BT211,,AH211+1)*AF211-ERP_i)*AE211*Ramure*Pc/MaxiM</f>
        <v>2.3834990683463273E-4</v>
      </c>
      <c r="AE211" s="305">
        <f t="shared" si="92"/>
        <v>0.5</v>
      </c>
      <c r="AF211" s="177">
        <f t="shared" si="93"/>
        <v>0.90463955378535998</v>
      </c>
      <c r="AG211" s="811">
        <f t="shared" si="99"/>
        <v>0</v>
      </c>
      <c r="AH211" s="176">
        <f t="shared" si="94"/>
        <v>6</v>
      </c>
      <c r="AI211" s="225">
        <f t="shared" si="95"/>
        <v>0.90463955378535998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52.395855913462682</v>
      </c>
      <c r="C212" s="841"/>
      <c r="D212" s="393">
        <f t="shared" si="77"/>
        <v>54.580475996572034</v>
      </c>
      <c r="E212" s="385">
        <f t="shared" si="75"/>
        <v>55.317972031840483</v>
      </c>
      <c r="F212" s="385">
        <f t="shared" si="78"/>
        <v>55.330385718835053</v>
      </c>
      <c r="G212" s="110">
        <f t="shared" si="76"/>
        <v>0.91363843378056875</v>
      </c>
      <c r="H212" s="414" t="b">
        <f>Wh_hp&gt;='2022'!Maxi_hp</f>
        <v>0</v>
      </c>
      <c r="I212" s="390">
        <f>IF(H212,Wh_hp,'2022'!Maxi_hp)</f>
        <v>60.188178256844751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4.0025669311615331E-2</v>
      </c>
      <c r="M212" s="845"/>
      <c r="N212" s="845"/>
      <c r="O212" s="48">
        <f>IF(t&lt;Tnet,'2022'!Resal+('2022'!Salim-'2022'!Resal)*(1-EXP(('2022'!Tnet-t)/('2022'!Tau_j))),Resal+(Salim-Resal)*(1-EXP((Tnet-t)/(Tau_j))))*Salcycl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2.5591878555542946E-4</v>
      </c>
      <c r="Q212" s="305">
        <f t="shared" si="80"/>
        <v>0.5</v>
      </c>
      <c r="R212" s="177">
        <f t="shared" si="81"/>
        <v>0.90770951185193638</v>
      </c>
      <c r="S212" s="811">
        <f t="shared" si="82"/>
        <v>0</v>
      </c>
      <c r="T212" s="176">
        <f t="shared" si="83"/>
        <v>6</v>
      </c>
      <c r="U212" s="251">
        <f t="shared" si="84"/>
        <v>0.90770951185193638</v>
      </c>
      <c r="V212" s="383">
        <f t="shared" si="85"/>
        <v>57.346757568261545</v>
      </c>
      <c r="W212" s="402">
        <f t="shared" si="86"/>
        <v>52.395855913462682</v>
      </c>
      <c r="X212" s="157">
        <f t="shared" si="87"/>
        <v>45124</v>
      </c>
      <c r="Y212" s="385">
        <f t="shared" si="88"/>
        <v>49.531994989382724</v>
      </c>
      <c r="Z212" s="385">
        <f t="shared" si="89"/>
        <v>51.59720776477846</v>
      </c>
      <c r="AA212" s="386">
        <f t="shared" si="90"/>
        <v>55.317972031840483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6.72614004164937E-2</v>
      </c>
      <c r="AD212" s="231">
        <f>(INDEX(Models!$BJ212:$BT212,,AH212)*(1-AF212)+INDEX(Models!$BJ212:$BT212,,AH212+1)*AF212-ERP_i)*AE212*Ramure*Pc/MaxiM</f>
        <v>2.5591878555542946E-4</v>
      </c>
      <c r="AE212" s="305">
        <f t="shared" si="92"/>
        <v>0.5</v>
      </c>
      <c r="AF212" s="177">
        <f t="shared" si="93"/>
        <v>0.90770951185193638</v>
      </c>
      <c r="AG212" s="811">
        <f t="shared" si="99"/>
        <v>0</v>
      </c>
      <c r="AH212" s="176">
        <f t="shared" si="94"/>
        <v>6</v>
      </c>
      <c r="AI212" s="225">
        <f t="shared" si="95"/>
        <v>0.90770951185193638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54.298922068704279</v>
      </c>
      <c r="C213" s="841"/>
      <c r="D213" s="393">
        <f t="shared" si="77"/>
        <v>56.56412848202222</v>
      </c>
      <c r="E213" s="385">
        <f t="shared" si="75"/>
        <v>57.334253202366085</v>
      </c>
      <c r="F213" s="385">
        <f t="shared" si="78"/>
        <v>57.348703757099628</v>
      </c>
      <c r="G213" s="110">
        <f t="shared" si="76"/>
        <v>0.94888708000563549</v>
      </c>
      <c r="H213" s="414" t="b">
        <f>Wh_hp&gt;='2022'!Maxi_hp</f>
        <v>0</v>
      </c>
      <c r="I213" s="390">
        <f>IF(H213,Wh_hp,'2022'!Maxi_hp)</f>
        <v>57.34896442939926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4.0046695213166617E-2</v>
      </c>
      <c r="M213" s="845"/>
      <c r="N213" s="845"/>
      <c r="O213" s="48">
        <f>IF(t&lt;Tnet,'2022'!Resal+('2022'!Salim-'2022'!Resal)*(1-EXP(('2022'!Tnet-t)/('2022'!Tau_j))),Resal+(Salim-Resal)*(1-EXP((Tnet-t)/(Tau_j))))*Salcycl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2.7181738040742154E-4</v>
      </c>
      <c r="Q213" s="305">
        <f t="shared" si="80"/>
        <v>0.5</v>
      </c>
      <c r="R213" s="177">
        <f t="shared" si="81"/>
        <v>0.91069963276822685</v>
      </c>
      <c r="S213" s="811">
        <f t="shared" si="82"/>
        <v>0</v>
      </c>
      <c r="T213" s="176">
        <f t="shared" si="83"/>
        <v>6</v>
      </c>
      <c r="U213" s="251">
        <f t="shared" si="84"/>
        <v>0.91069963276822685</v>
      </c>
      <c r="V213" s="383">
        <f t="shared" si="85"/>
        <v>57.222661821859305</v>
      </c>
      <c r="W213" s="402">
        <f t="shared" si="86"/>
        <v>54.298922068704279</v>
      </c>
      <c r="X213" s="157">
        <f t="shared" si="87"/>
        <v>45125</v>
      </c>
      <c r="Y213" s="385">
        <f t="shared" si="88"/>
        <v>51.33362109977535</v>
      </c>
      <c r="Z213" s="385">
        <f t="shared" si="89"/>
        <v>53.475123054214038</v>
      </c>
      <c r="AA213" s="386">
        <f t="shared" si="90"/>
        <v>57.334253202366085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6.7309329634606424E-2</v>
      </c>
      <c r="AD213" s="231">
        <f>(INDEX(Models!$BJ213:$BT213,,AH213)*(1-AF213)+INDEX(Models!$BJ213:$BT213,,AH213+1)*AF213-ERP_i)*AE213*Ramure*Pc/MaxiM</f>
        <v>2.7181738040742154E-4</v>
      </c>
      <c r="AE213" s="305">
        <f t="shared" si="92"/>
        <v>0.5</v>
      </c>
      <c r="AF213" s="177">
        <f t="shared" si="93"/>
        <v>0.91069963276822685</v>
      </c>
      <c r="AG213" s="811">
        <f t="shared" si="99"/>
        <v>0</v>
      </c>
      <c r="AH213" s="176">
        <f t="shared" si="94"/>
        <v>6</v>
      </c>
      <c r="AI213" s="225">
        <f t="shared" si="95"/>
        <v>0.91069963276822685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43.561138798284269</v>
      </c>
      <c r="C214" s="841"/>
      <c r="D214" s="393">
        <f t="shared" si="77"/>
        <v>45.379387416757474</v>
      </c>
      <c r="E214" s="385">
        <f t="shared" si="75"/>
        <v>46.001896683545269</v>
      </c>
      <c r="F214" s="385">
        <f t="shared" si="78"/>
        <v>46.010599855147753</v>
      </c>
      <c r="G214" s="110">
        <f t="shared" si="76"/>
        <v>0.76285492668128985</v>
      </c>
      <c r="H214" s="414" t="b">
        <f>Wh_hp&gt;='2022'!Maxi_hp</f>
        <v>0</v>
      </c>
      <c r="I214" s="390">
        <f>IF(H214,Wh_hp,'2022'!Maxi_hp)</f>
        <v>60.582660665176114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4.0067720654196615E-2</v>
      </c>
      <c r="M214" s="845"/>
      <c r="N214" s="845"/>
      <c r="O214" s="48">
        <f>IF(t&lt;Tnet,'2022'!Resal+('2022'!Salim-'2022'!Resal)*(1-EXP(('2022'!Tnet-t)/('2022'!Tau_j))),Resal+(Salim-Resal)*(1-EXP((Tnet-t)/(Tau_j))))*Salcycl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2.8602464103194618E-4</v>
      </c>
      <c r="Q214" s="305">
        <f t="shared" si="80"/>
        <v>0.5</v>
      </c>
      <c r="R214" s="177">
        <f t="shared" si="81"/>
        <v>0.9136105640337906</v>
      </c>
      <c r="S214" s="811">
        <f t="shared" si="82"/>
        <v>0</v>
      </c>
      <c r="T214" s="176">
        <f t="shared" si="83"/>
        <v>6</v>
      </c>
      <c r="U214" s="251">
        <f t="shared" si="84"/>
        <v>0.9136105640337906</v>
      </c>
      <c r="V214" s="383">
        <f t="shared" si="85"/>
        <v>57.097249764380877</v>
      </c>
      <c r="W214" s="402">
        <f t="shared" si="86"/>
        <v>43.561138798284269</v>
      </c>
      <c r="X214" s="157">
        <f t="shared" si="87"/>
        <v>45126</v>
      </c>
      <c r="Y214" s="385">
        <f t="shared" si="88"/>
        <v>41.184319720662742</v>
      </c>
      <c r="Z214" s="385">
        <f t="shared" si="89"/>
        <v>42.903359546081703</v>
      </c>
      <c r="AA214" s="386">
        <f t="shared" si="90"/>
        <v>46.001896683545269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6.7356725718918001E-2</v>
      </c>
      <c r="AD214" s="231">
        <f>(INDEX(Models!$BJ214:$BT214,,AH214)*(1-AF214)+INDEX(Models!$BJ214:$BT214,,AH214+1)*AF214-ERP_i)*AE214*Ramure*Pc/MaxiM</f>
        <v>2.8602464103194618E-4</v>
      </c>
      <c r="AE214" s="305">
        <f t="shared" si="92"/>
        <v>0.5</v>
      </c>
      <c r="AF214" s="177">
        <f t="shared" si="93"/>
        <v>0.9136105640337906</v>
      </c>
      <c r="AG214" s="811">
        <f t="shared" si="99"/>
        <v>0</v>
      </c>
      <c r="AH214" s="176">
        <f t="shared" si="94"/>
        <v>6</v>
      </c>
      <c r="AI214" s="225">
        <f t="shared" si="95"/>
        <v>0.9136105640337906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43.997575593074593</v>
      </c>
      <c r="C215" s="841"/>
      <c r="D215" s="393">
        <f t="shared" si="77"/>
        <v>45.8350450554586</v>
      </c>
      <c r="E215" s="385">
        <f t="shared" si="75"/>
        <v>46.468509645574862</v>
      </c>
      <c r="F215" s="385">
        <f t="shared" si="78"/>
        <v>46.477870733369606</v>
      </c>
      <c r="G215" s="110">
        <f t="shared" si="76"/>
        <v>0.77221029258741625</v>
      </c>
      <c r="H215" s="414" t="b">
        <f>Wh_hp&gt;='2022'!Maxi_hp</f>
        <v>0</v>
      </c>
      <c r="I215" s="390">
        <f>IF(H215,Wh_hp,'2022'!Maxi_hp)</f>
        <v>59.347072848746947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4.0088745634715539E-2</v>
      </c>
      <c r="M215" s="845"/>
      <c r="N215" s="845"/>
      <c r="O215" s="48">
        <f>IF(t&lt;Tnet,'2022'!Resal+('2022'!Salim-'2022'!Resal)*(1-EXP(('2022'!Tnet-t)/('2022'!Tau_j))),Resal+(Salim-Resal)*(1-EXP((Tnet-t)/(Tau_j))))*Salcycl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2.9852018492764165E-4</v>
      </c>
      <c r="Q215" s="305">
        <f t="shared" si="80"/>
        <v>0.5</v>
      </c>
      <c r="R215" s="177">
        <f t="shared" si="81"/>
        <v>0.91644304946922572</v>
      </c>
      <c r="S215" s="811">
        <f t="shared" si="82"/>
        <v>0</v>
      </c>
      <c r="T215" s="176">
        <f t="shared" si="83"/>
        <v>6</v>
      </c>
      <c r="U215" s="251">
        <f t="shared" si="84"/>
        <v>0.91644304946922572</v>
      </c>
      <c r="V215" s="383">
        <f t="shared" si="85"/>
        <v>56.97062383508127</v>
      </c>
      <c r="W215" s="402">
        <f t="shared" si="86"/>
        <v>43.997575593074593</v>
      </c>
      <c r="X215" s="157">
        <f t="shared" si="87"/>
        <v>45127</v>
      </c>
      <c r="Y215" s="385">
        <f t="shared" si="88"/>
        <v>41.599063466668113</v>
      </c>
      <c r="Z215" s="385">
        <f t="shared" si="89"/>
        <v>43.336363937283323</v>
      </c>
      <c r="AA215" s="386">
        <f t="shared" si="90"/>
        <v>46.468509645574862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6.7403618755606298E-2</v>
      </c>
      <c r="AD215" s="231">
        <f>(INDEX(Models!$BJ215:$BT215,,AH215)*(1-AF215)+INDEX(Models!$BJ215:$BT215,,AH215+1)*AF215-ERP_i)*AE215*Ramure*Pc/MaxiM</f>
        <v>2.9852018492764165E-4</v>
      </c>
      <c r="AE215" s="305">
        <f t="shared" si="92"/>
        <v>0.5</v>
      </c>
      <c r="AF215" s="177">
        <f t="shared" si="93"/>
        <v>0.91644304946922572</v>
      </c>
      <c r="AG215" s="811">
        <f t="shared" si="99"/>
        <v>0</v>
      </c>
      <c r="AH215" s="176">
        <f t="shared" si="94"/>
        <v>6</v>
      </c>
      <c r="AI215" s="225">
        <f t="shared" si="95"/>
        <v>0.91644304946922572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51.742956968629564</v>
      </c>
      <c r="C216" s="841"/>
      <c r="D216" s="393">
        <f t="shared" si="77"/>
        <v>53.905077226351679</v>
      </c>
      <c r="E216" s="385">
        <f t="shared" si="75"/>
        <v>54.655597991432536</v>
      </c>
      <c r="F216" s="385">
        <f t="shared" si="78"/>
        <v>54.670339462711212</v>
      </c>
      <c r="G216" s="110">
        <f t="shared" si="76"/>
        <v>0.91024415840520811</v>
      </c>
      <c r="H216" s="414" t="b">
        <f>Wh_hp&gt;='2022'!Maxi_hp</f>
        <v>0</v>
      </c>
      <c r="I216" s="390">
        <f>IF(H216,Wh_hp,'2022'!Maxi_hp)</f>
        <v>54.670820501129811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4.0109770154733382E-2</v>
      </c>
      <c r="M216" s="845"/>
      <c r="N216" s="845"/>
      <c r="O216" s="48">
        <f>IF(t&lt;Tnet,'2022'!Resal+('2022'!Salim-'2022'!Resal)*(1-EXP(('2022'!Tnet-t)/('2022'!Tau_j))),Resal+(Salim-Resal)*(1-EXP((Tnet-t)/(Tau_j))))*Salcycl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3.0928423438585616E-4</v>
      </c>
      <c r="Q216" s="305">
        <f t="shared" si="80"/>
        <v>0.5</v>
      </c>
      <c r="R216" s="177">
        <f t="shared" si="81"/>
        <v>0.91919792222728569</v>
      </c>
      <c r="S216" s="811">
        <f t="shared" si="82"/>
        <v>0</v>
      </c>
      <c r="T216" s="176">
        <f t="shared" si="83"/>
        <v>6</v>
      </c>
      <c r="U216" s="251">
        <f t="shared" si="84"/>
        <v>0.91919792222728569</v>
      </c>
      <c r="V216" s="383">
        <f t="shared" si="85"/>
        <v>56.842886361904071</v>
      </c>
      <c r="W216" s="402">
        <f t="shared" si="86"/>
        <v>51.742956968629564</v>
      </c>
      <c r="X216" s="157">
        <f t="shared" si="87"/>
        <v>45128</v>
      </c>
      <c r="Y216" s="385">
        <f t="shared" si="88"/>
        <v>48.924717923909327</v>
      </c>
      <c r="Z216" s="385">
        <f t="shared" si="89"/>
        <v>50.969075840886454</v>
      </c>
      <c r="AA216" s="386">
        <f t="shared" si="90"/>
        <v>54.655597991432536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6.7450037800774965E-2</v>
      </c>
      <c r="AD216" s="231">
        <f>(INDEX(Models!$BJ216:$BT216,,AH216)*(1-AF216)+INDEX(Models!$BJ216:$BT216,,AH216+1)*AF216-ERP_i)*AE216*Ramure*Pc/MaxiM</f>
        <v>3.0928423438585616E-4</v>
      </c>
      <c r="AE216" s="305">
        <f t="shared" si="92"/>
        <v>0.5</v>
      </c>
      <c r="AF216" s="177">
        <f t="shared" si="93"/>
        <v>0.91919792222728569</v>
      </c>
      <c r="AG216" s="811">
        <f t="shared" si="99"/>
        <v>0</v>
      </c>
      <c r="AH216" s="176">
        <f t="shared" si="94"/>
        <v>6</v>
      </c>
      <c r="AI216" s="225">
        <f t="shared" si="95"/>
        <v>0.91919792222728569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41.246215884123025</v>
      </c>
      <c r="C217" s="841"/>
      <c r="D217" s="393">
        <f t="shared" si="77"/>
        <v>42.970662706445793</v>
      </c>
      <c r="E217" s="385">
        <f t="shared" si="75"/>
        <v>43.573340115778755</v>
      </c>
      <c r="F217" s="385">
        <f t="shared" si="78"/>
        <v>43.581807279246469</v>
      </c>
      <c r="G217" s="110">
        <f t="shared" si="76"/>
        <v>0.7271749167595617</v>
      </c>
      <c r="H217" s="414" t="b">
        <f>Wh_hp&gt;='2022'!Maxi_hp</f>
        <v>0</v>
      </c>
      <c r="I217" s="390">
        <f>IF(H217,Wh_hp,'2022'!Maxi_hp)</f>
        <v>55.563972127949256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4.0130794214260357E-2</v>
      </c>
      <c r="M217" s="845"/>
      <c r="N217" s="845"/>
      <c r="O217" s="48">
        <f>IF(t&lt;Tnet,'2022'!Resal+('2022'!Salim-'2022'!Resal)*(1-EXP(('2022'!Tnet-t)/('2022'!Tau_j))),Resal+(Salim-Resal)*(1-EXP((Tnet-t)/(Tau_j))))*Salcycl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3.1829755422259289E-4</v>
      </c>
      <c r="Q217" s="305">
        <f t="shared" si="80"/>
        <v>0.5</v>
      </c>
      <c r="R217" s="177">
        <f t="shared" si="81"/>
        <v>0.92187609788456482</v>
      </c>
      <c r="S217" s="811">
        <f t="shared" si="82"/>
        <v>0</v>
      </c>
      <c r="T217" s="176">
        <f t="shared" si="83"/>
        <v>6</v>
      </c>
      <c r="U217" s="251">
        <f t="shared" si="84"/>
        <v>0.92187609788456482</v>
      </c>
      <c r="V217" s="383">
        <f t="shared" si="85"/>
        <v>56.71413956938585</v>
      </c>
      <c r="W217" s="402">
        <f t="shared" si="86"/>
        <v>41.246215884123025</v>
      </c>
      <c r="X217" s="157">
        <f t="shared" si="87"/>
        <v>45129</v>
      </c>
      <c r="Y217" s="385">
        <f t="shared" si="88"/>
        <v>39.001706471698142</v>
      </c>
      <c r="Z217" s="385">
        <f t="shared" si="89"/>
        <v>40.632313482514235</v>
      </c>
      <c r="AA217" s="386">
        <f t="shared" si="90"/>
        <v>43.573340115778755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6.7496010759099972E-2</v>
      </c>
      <c r="AD217" s="231">
        <f>(INDEX(Models!$BJ217:$BT217,,AH217)*(1-AF217)+INDEX(Models!$BJ217:$BT217,,AH217+1)*AF217-ERP_i)*AE217*Ramure*Pc/MaxiM</f>
        <v>3.1829755422259289E-4</v>
      </c>
      <c r="AE217" s="305">
        <f t="shared" si="92"/>
        <v>0.5</v>
      </c>
      <c r="AF217" s="177">
        <f t="shared" si="93"/>
        <v>0.92187609788456482</v>
      </c>
      <c r="AG217" s="811">
        <f t="shared" si="99"/>
        <v>0</v>
      </c>
      <c r="AH217" s="176">
        <f t="shared" si="94"/>
        <v>6</v>
      </c>
      <c r="AI217" s="225">
        <f t="shared" si="95"/>
        <v>0.92187609788456482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46.092923004232503</v>
      </c>
      <c r="C218" s="841"/>
      <c r="D218" s="393">
        <f t="shared" si="77"/>
        <v>48.02105568322812</v>
      </c>
      <c r="E218" s="385">
        <f t="shared" si="75"/>
        <v>48.699472212932648</v>
      </c>
      <c r="F218" s="385">
        <f t="shared" si="78"/>
        <v>48.71112941272235</v>
      </c>
      <c r="G218" s="110">
        <f t="shared" si="76"/>
        <v>0.81451562296746827</v>
      </c>
      <c r="H218" s="414" t="b">
        <f>Wh_hp&gt;='2022'!Maxi_hp</f>
        <v>0</v>
      </c>
      <c r="I218" s="390">
        <f>IF(H218,Wh_hp,'2022'!Maxi_hp)</f>
        <v>57.937152506467669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4.0151817813306456E-2</v>
      </c>
      <c r="M218" s="845"/>
      <c r="N218" s="845"/>
      <c r="O218" s="48">
        <f>IF(t&lt;Tnet,'2022'!Resal+('2022'!Salim-'2022'!Resal)*(1-EXP(('2022'!Tnet-t)/('2022'!Tau_j))),Resal+(Salim-Resal)*(1-EXP((Tnet-t)/(Tau_j))))*Salcycl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3.2554139121719286E-4</v>
      </c>
      <c r="Q218" s="305">
        <f t="shared" si="80"/>
        <v>0.5</v>
      </c>
      <c r="R218" s="177">
        <f t="shared" si="81"/>
        <v>0.9244785676456968</v>
      </c>
      <c r="S218" s="811">
        <f t="shared" si="82"/>
        <v>0</v>
      </c>
      <c r="T218" s="176">
        <f t="shared" si="83"/>
        <v>6</v>
      </c>
      <c r="U218" s="251">
        <f t="shared" si="84"/>
        <v>0.9244785676456968</v>
      </c>
      <c r="V218" s="383">
        <f t="shared" si="85"/>
        <v>56.58448558663369</v>
      </c>
      <c r="W218" s="402">
        <f t="shared" si="86"/>
        <v>46.092923004232503</v>
      </c>
      <c r="X218" s="157">
        <f t="shared" si="87"/>
        <v>45130</v>
      </c>
      <c r="Y218" s="385">
        <f t="shared" si="88"/>
        <v>43.586930250698479</v>
      </c>
      <c r="Z218" s="385">
        <f t="shared" si="89"/>
        <v>45.410233680289117</v>
      </c>
      <c r="AA218" s="386">
        <f t="shared" si="90"/>
        <v>48.699472212932648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6.7541564275311328E-2</v>
      </c>
      <c r="AD218" s="231">
        <f>(INDEX(Models!$BJ218:$BT218,,AH218)*(1-AF218)+INDEX(Models!$BJ218:$BT218,,AH218+1)*AF218-ERP_i)*AE218*Ramure*Pc/MaxiM</f>
        <v>3.2554139121719286E-4</v>
      </c>
      <c r="AE218" s="305">
        <f t="shared" si="92"/>
        <v>0.5</v>
      </c>
      <c r="AF218" s="177">
        <f t="shared" si="93"/>
        <v>0.9244785676456968</v>
      </c>
      <c r="AG218" s="811">
        <f t="shared" si="99"/>
        <v>0</v>
      </c>
      <c r="AH218" s="176">
        <f t="shared" si="94"/>
        <v>6</v>
      </c>
      <c r="AI218" s="225">
        <f t="shared" si="95"/>
        <v>0.9244785676456968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51.694843164018714</v>
      </c>
      <c r="C219" s="841"/>
      <c r="D219" s="393">
        <f t="shared" si="77"/>
        <v>53.858491788548292</v>
      </c>
      <c r="E219" s="385">
        <f t="shared" si="75"/>
        <v>54.624870359384005</v>
      </c>
      <c r="F219" s="385">
        <f t="shared" si="78"/>
        <v>54.64077835241411</v>
      </c>
      <c r="G219" s="110">
        <f t="shared" si="76"/>
        <v>0.91566568021078687</v>
      </c>
      <c r="H219" s="414" t="b">
        <f>Wh_hp&gt;='2022'!Maxi_hp</f>
        <v>0</v>
      </c>
      <c r="I219" s="390">
        <f>IF(H219,Wh_hp,'2022'!Maxi_hp)</f>
        <v>57.924820130429069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4.0172840951881783E-2</v>
      </c>
      <c r="M219" s="845"/>
      <c r="N219" s="845"/>
      <c r="O219" s="48">
        <f>IF(t&lt;Tnet,'2022'!Resal+('2022'!Salim-'2022'!Resal)*(1-EXP(('2022'!Tnet-t)/('2022'!Tau_j))),Resal+(Salim-Resal)*(1-EXP((Tnet-t)/(Tau_j))))*Salcycl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3.3099837037176244E-4</v>
      </c>
      <c r="Q219" s="305">
        <f t="shared" si="80"/>
        <v>0.5</v>
      </c>
      <c r="R219" s="177">
        <f t="shared" si="81"/>
        <v>0.92700639168857413</v>
      </c>
      <c r="S219" s="811">
        <f t="shared" si="82"/>
        <v>0</v>
      </c>
      <c r="T219" s="176">
        <f t="shared" si="83"/>
        <v>6</v>
      </c>
      <c r="U219" s="251">
        <f t="shared" si="84"/>
        <v>0.92700639168857413</v>
      </c>
      <c r="V219" s="383">
        <f t="shared" si="85"/>
        <v>56.453772476528478</v>
      </c>
      <c r="W219" s="402">
        <f t="shared" si="86"/>
        <v>51.694843164018714</v>
      </c>
      <c r="X219" s="157">
        <f t="shared" si="87"/>
        <v>45131</v>
      </c>
      <c r="Y219" s="385">
        <f t="shared" si="88"/>
        <v>48.886832868578189</v>
      </c>
      <c r="Z219" s="385">
        <f t="shared" si="89"/>
        <v>50.932954342592616</v>
      </c>
      <c r="AA219" s="386">
        <f t="shared" si="90"/>
        <v>54.624870359384005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6.7586723638917656E-2</v>
      </c>
      <c r="AD219" s="231">
        <f>(INDEX(Models!$BJ219:$BT219,,AH219)*(1-AF219)+INDEX(Models!$BJ219:$BT219,,AH219+1)*AF219-ERP_i)*AE219*Ramure*Pc/MaxiM</f>
        <v>3.3099837037176244E-4</v>
      </c>
      <c r="AE219" s="305">
        <f t="shared" si="92"/>
        <v>0.5</v>
      </c>
      <c r="AF219" s="177">
        <f t="shared" si="93"/>
        <v>0.92700639168857413</v>
      </c>
      <c r="AG219" s="811">
        <f t="shared" si="99"/>
        <v>0</v>
      </c>
      <c r="AH219" s="176">
        <f t="shared" si="94"/>
        <v>6</v>
      </c>
      <c r="AI219" s="225">
        <f t="shared" si="95"/>
        <v>0.92700639168857413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26.417678449016307</v>
      </c>
      <c r="C220" s="841"/>
      <c r="D220" s="393">
        <f t="shared" si="77"/>
        <v>27.523973277487297</v>
      </c>
      <c r="E220" s="385">
        <f t="shared" si="75"/>
        <v>27.918428642611588</v>
      </c>
      <c r="F220" s="385">
        <f t="shared" si="78"/>
        <v>27.920679512175361</v>
      </c>
      <c r="G220" s="110">
        <f t="shared" si="76"/>
        <v>0.46892989876249336</v>
      </c>
      <c r="H220" s="414" t="b">
        <f>Wh_hp&gt;='2022'!Maxi_hp</f>
        <v>0</v>
      </c>
      <c r="I220" s="390">
        <f>IF(H220,Wh_hp,'2022'!Maxi_hp)</f>
        <v>58.619065963281635</v>
      </c>
      <c r="J220" s="85">
        <f>IF(H220,An,'2022'!An_max)</f>
        <v>2019</v>
      </c>
      <c r="K220" s="197">
        <f t="shared" si="79"/>
        <v>45132</v>
      </c>
      <c r="L220" s="147">
        <f>IF(t&lt;Tvie,1-EXP((T0-t)*PertePVj)+'2022'!Pspv,1-EXP((T0-t)*PertePVj)+Pspv)</f>
        <v>4.019386362999644E-2</v>
      </c>
      <c r="M220" s="845"/>
      <c r="N220" s="845"/>
      <c r="O220" s="48">
        <f>IF(t&lt;Tnet,'2022'!Resal+('2022'!Salim-'2022'!Resal)*(1-EXP(('2022'!Tnet-t)/('2022'!Tau_j))),Resal+(Salim-Resal)*(1-EXP((Tnet-t)/(Tau_j))))*Salcycl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3.3381866849850199E-4</v>
      </c>
      <c r="Q220" s="305">
        <f t="shared" si="80"/>
        <v>0.5</v>
      </c>
      <c r="R220" s="177">
        <f t="shared" si="81"/>
        <v>0.92946069267570919</v>
      </c>
      <c r="S220" s="811">
        <f t="shared" si="82"/>
        <v>0</v>
      </c>
      <c r="T220" s="176">
        <f t="shared" si="83"/>
        <v>6</v>
      </c>
      <c r="U220" s="251">
        <f t="shared" si="84"/>
        <v>0.92946069267570919</v>
      </c>
      <c r="V220" s="383">
        <f t="shared" si="85"/>
        <v>56.321827565158266</v>
      </c>
      <c r="W220" s="402">
        <f t="shared" si="86"/>
        <v>26.417678449016307</v>
      </c>
      <c r="X220" s="157">
        <f t="shared" si="87"/>
        <v>45132</v>
      </c>
      <c r="Y220" s="385">
        <f t="shared" si="88"/>
        <v>24.984006236696285</v>
      </c>
      <c r="Z220" s="385">
        <f t="shared" si="89"/>
        <v>26.030263081236434</v>
      </c>
      <c r="AA220" s="386">
        <f t="shared" si="90"/>
        <v>27.918428642611588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6.7631512702447272E-2</v>
      </c>
      <c r="AD220" s="231">
        <f>(INDEX(Models!$BJ220:$BT220,,AH220)*(1-AF220)+INDEX(Models!$BJ220:$BT220,,AH220+1)*AF220-ERP_i)*AE220*Ramure*Pc/MaxiM</f>
        <v>3.3381866849850199E-4</v>
      </c>
      <c r="AE220" s="305">
        <f t="shared" si="92"/>
        <v>0.5</v>
      </c>
      <c r="AF220" s="177">
        <f t="shared" si="93"/>
        <v>0.92946069267570919</v>
      </c>
      <c r="AG220" s="811">
        <f t="shared" si="99"/>
        <v>0</v>
      </c>
      <c r="AH220" s="176">
        <f t="shared" si="94"/>
        <v>6</v>
      </c>
      <c r="AI220" s="225">
        <f t="shared" si="95"/>
        <v>0.92946069267570919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55.530486532878456</v>
      </c>
      <c r="C221" s="841"/>
      <c r="D221" s="393">
        <f t="shared" si="77"/>
        <v>57.857207529126683</v>
      </c>
      <c r="E221" s="385">
        <f t="shared" si="75"/>
        <v>58.692263198746872</v>
      </c>
      <c r="F221" s="385">
        <f t="shared" si="78"/>
        <v>58.711534573690351</v>
      </c>
      <c r="G221" s="110">
        <f t="shared" si="76"/>
        <v>0.98828084094583879</v>
      </c>
      <c r="H221" s="414" t="b">
        <f>Wh_hp&gt;='2022'!Maxi_hp</f>
        <v>0</v>
      </c>
      <c r="I221" s="390">
        <f>IF(H221,Wh_hp,'2022'!Maxi_hp)</f>
        <v>58.711602889143748</v>
      </c>
      <c r="J221" s="85">
        <f>IF(H221,An,'2022'!An_max)</f>
        <v>2022</v>
      </c>
      <c r="K221" s="197">
        <f t="shared" si="79"/>
        <v>45133</v>
      </c>
      <c r="L221" s="147">
        <f>IF(t&lt;Tvie,1-EXP((T0-t)*PertePVj)+'2022'!Pspv,1-EXP((T0-t)*PertePVj)+Pspv)</f>
        <v>4.021488584766042E-2</v>
      </c>
      <c r="M221" s="845"/>
      <c r="N221" s="845"/>
      <c r="O221" s="48">
        <f>IF(t&lt;Tnet,'2022'!Resal+('2022'!Salim-'2022'!Resal)*(1-EXP(('2022'!Tnet-t)/('2022'!Tau_j))),Resal+(Salim-Resal)*(1-EXP((Tnet-t)/(Tau_j))))*Salcycl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3.3382445139385674E-4</v>
      </c>
      <c r="Q221" s="305">
        <f t="shared" si="80"/>
        <v>0.5</v>
      </c>
      <c r="R221" s="177">
        <f t="shared" si="81"/>
        <v>0.93184264945356809</v>
      </c>
      <c r="S221" s="811">
        <f t="shared" si="82"/>
        <v>0</v>
      </c>
      <c r="T221" s="176">
        <f t="shared" si="83"/>
        <v>6</v>
      </c>
      <c r="U221" s="251">
        <f t="shared" si="84"/>
        <v>0.93184264945356809</v>
      </c>
      <c r="V221" s="383">
        <f t="shared" si="85"/>
        <v>56.188660074381964</v>
      </c>
      <c r="W221" s="402">
        <f t="shared" si="86"/>
        <v>55.530486532878456</v>
      </c>
      <c r="X221" s="157">
        <f t="shared" si="87"/>
        <v>45133</v>
      </c>
      <c r="Y221" s="385">
        <f t="shared" si="88"/>
        <v>52.519641374749604</v>
      </c>
      <c r="Z221" s="385">
        <f t="shared" si="89"/>
        <v>54.720208305307757</v>
      </c>
      <c r="AA221" s="386">
        <f t="shared" si="90"/>
        <v>58.692263198746872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6.7675953813345527E-2</v>
      </c>
      <c r="AD221" s="231">
        <f>(INDEX(Models!$BJ221:$BT221,,AH221)*(1-AF221)+INDEX(Models!$BJ221:$BT221,,AH221+1)*AF221-ERP_i)*AE221*Ramure*Pc/MaxiM</f>
        <v>3.3382445139385674E-4</v>
      </c>
      <c r="AE221" s="305">
        <f t="shared" si="92"/>
        <v>0.5</v>
      </c>
      <c r="AF221" s="177">
        <f t="shared" si="93"/>
        <v>0.93184264945356809</v>
      </c>
      <c r="AG221" s="811">
        <f t="shared" si="99"/>
        <v>0</v>
      </c>
      <c r="AH221" s="176">
        <f t="shared" si="94"/>
        <v>6</v>
      </c>
      <c r="AI221" s="225">
        <f t="shared" si="95"/>
        <v>0.93184264945356809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55.538018448097411</v>
      </c>
      <c r="C222" s="841"/>
      <c r="D222" s="393">
        <f t="shared" si="77"/>
        <v>57.866322451698366</v>
      </c>
      <c r="E222" s="385">
        <f t="shared" si="75"/>
        <v>58.707386769975962</v>
      </c>
      <c r="F222" s="385">
        <f t="shared" si="78"/>
        <v>58.72656902602786</v>
      </c>
      <c r="G222" s="110">
        <f t="shared" si="76"/>
        <v>0.99078582261078207</v>
      </c>
      <c r="H222" s="414" t="b">
        <f>Wh_hp&gt;='2022'!Maxi_hp</f>
        <v>0</v>
      </c>
      <c r="I222" s="390">
        <f>IF(H222,Wh_hp,'2022'!Maxi_hp)</f>
        <v>58.726621651171868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4.0235907604883936E-2</v>
      </c>
      <c r="M222" s="845"/>
      <c r="N222" s="845"/>
      <c r="O222" s="48">
        <f>IF(t&lt;Tnet,'2022'!Resal+('2022'!Salim-'2022'!Resal)*(1-EXP(('2022'!Tnet-t)/('2022'!Tau_j))),Resal+(Salim-Resal)*(1-EXP((Tnet-t)/(Tau_j))))*Salcycl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3.3099159501565219E-4</v>
      </c>
      <c r="Q222" s="305">
        <f t="shared" si="80"/>
        <v>0.5</v>
      </c>
      <c r="R222" s="177">
        <f t="shared" si="81"/>
        <v>0.93415349095853384</v>
      </c>
      <c r="S222" s="811">
        <f t="shared" si="82"/>
        <v>0</v>
      </c>
      <c r="T222" s="176">
        <f t="shared" si="83"/>
        <v>6</v>
      </c>
      <c r="U222" s="251">
        <f t="shared" si="84"/>
        <v>0.93415349095853384</v>
      </c>
      <c r="V222" s="383">
        <f t="shared" si="85"/>
        <v>56.054270501820199</v>
      </c>
      <c r="W222" s="402">
        <f t="shared" si="86"/>
        <v>55.538018448097411</v>
      </c>
      <c r="X222" s="157">
        <f t="shared" si="87"/>
        <v>45134</v>
      </c>
      <c r="Y222" s="385">
        <f t="shared" si="88"/>
        <v>52.529538188894271</v>
      </c>
      <c r="Z222" s="385">
        <f t="shared" si="89"/>
        <v>54.731718559928048</v>
      </c>
      <c r="AA222" s="386">
        <f t="shared" si="90"/>
        <v>58.707386769975962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6.7720067759533598E-2</v>
      </c>
      <c r="AD222" s="231">
        <f>(INDEX(Models!$BJ222:$BT222,,AH222)*(1-AF222)+INDEX(Models!$BJ222:$BT222,,AH222+1)*AF222-ERP_i)*AE222*Ramure*Pc/MaxiM</f>
        <v>3.3099159501565219E-4</v>
      </c>
      <c r="AE222" s="305">
        <f t="shared" si="92"/>
        <v>0.5</v>
      </c>
      <c r="AF222" s="177">
        <f t="shared" si="93"/>
        <v>0.93415349095853384</v>
      </c>
      <c r="AG222" s="811">
        <f t="shared" si="99"/>
        <v>0</v>
      </c>
      <c r="AH222" s="176">
        <f t="shared" si="94"/>
        <v>6</v>
      </c>
      <c r="AI222" s="225">
        <f t="shared" si="95"/>
        <v>0.93415349095853384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44.569299007148068</v>
      </c>
      <c r="C223" s="841"/>
      <c r="D223" s="393">
        <f t="shared" si="77"/>
        <v>46.438781742016936</v>
      </c>
      <c r="E223" s="385">
        <f t="shared" si="75"/>
        <v>47.11846118571475</v>
      </c>
      <c r="F223" s="385">
        <f t="shared" si="78"/>
        <v>47.129347022470107</v>
      </c>
      <c r="G223" s="110">
        <f t="shared" si="76"/>
        <v>0.79696285436276704</v>
      </c>
      <c r="H223" s="414" t="b">
        <f>Wh_hp&gt;='2022'!Maxi_hp</f>
        <v>0</v>
      </c>
      <c r="I223" s="390">
        <f>IF(H223,Wh_hp,'2022'!Maxi_hp)</f>
        <v>56.44038029737262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4.025692890167698E-2</v>
      </c>
      <c r="M223" s="845"/>
      <c r="N223" s="845"/>
      <c r="O223" s="48">
        <f>IF(t&lt;Tnet,'2022'!Resal+('2022'!Salim-'2022'!Resal)*(1-EXP(('2022'!Tnet-t)/('2022'!Tau_j))),Resal+(Salim-Resal)*(1-EXP((Tnet-t)/(Tau_j))))*Salcycl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3.252960581338753E-4</v>
      </c>
      <c r="Q223" s="305">
        <f t="shared" si="80"/>
        <v>0.5</v>
      </c>
      <c r="R223" s="177">
        <f t="shared" si="81"/>
        <v>0.93639449034511535</v>
      </c>
      <c r="S223" s="811">
        <f t="shared" si="82"/>
        <v>0</v>
      </c>
      <c r="T223" s="176">
        <f t="shared" si="83"/>
        <v>6</v>
      </c>
      <c r="U223" s="251">
        <f t="shared" si="84"/>
        <v>0.93639449034511535</v>
      </c>
      <c r="V223" s="383">
        <f t="shared" si="85"/>
        <v>55.918659316440198</v>
      </c>
      <c r="W223" s="402">
        <f t="shared" si="86"/>
        <v>44.569299007148068</v>
      </c>
      <c r="X223" s="157">
        <f t="shared" si="87"/>
        <v>45135</v>
      </c>
      <c r="Y223" s="385">
        <f t="shared" si="88"/>
        <v>42.157224723755462</v>
      </c>
      <c r="Z223" s="385">
        <f t="shared" si="89"/>
        <v>43.925531731644639</v>
      </c>
      <c r="AA223" s="386">
        <f t="shared" si="90"/>
        <v>47.11846118571475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6.7763873728502358E-2</v>
      </c>
      <c r="AD223" s="231">
        <f>(INDEX(Models!$BJ223:$BT223,,AH223)*(1-AF223)+INDEX(Models!$BJ223:$BT223,,AH223+1)*AF223-ERP_i)*AE223*Ramure*Pc/MaxiM</f>
        <v>3.252960581338753E-4</v>
      </c>
      <c r="AE223" s="305">
        <f t="shared" si="92"/>
        <v>0.5</v>
      </c>
      <c r="AF223" s="177">
        <f t="shared" si="93"/>
        <v>0.93639449034511535</v>
      </c>
      <c r="AG223" s="811">
        <f t="shared" si="99"/>
        <v>0</v>
      </c>
      <c r="AH223" s="176">
        <f t="shared" si="94"/>
        <v>6</v>
      </c>
      <c r="AI223" s="225">
        <f t="shared" si="95"/>
        <v>0.93639449034511535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30.14885638438243</v>
      </c>
      <c r="C224" s="841"/>
      <c r="D224" s="393">
        <f t="shared" si="77"/>
        <v>31.414154104465435</v>
      </c>
      <c r="E224" s="385">
        <f t="shared" si="75"/>
        <v>31.877114420856977</v>
      </c>
      <c r="F224" s="385">
        <f t="shared" si="78"/>
        <v>31.880583152956309</v>
      </c>
      <c r="G224" s="110">
        <f t="shared" si="76"/>
        <v>0.54036572656121251</v>
      </c>
      <c r="H224" s="414" t="b">
        <f>Wh_hp&gt;='2022'!Maxi_hp</f>
        <v>0</v>
      </c>
      <c r="I224" s="390">
        <f>IF(H224,Wh_hp,'2022'!Maxi_hp)</f>
        <v>59.643858292588483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4.0277949738049657E-2</v>
      </c>
      <c r="M224" s="845"/>
      <c r="N224" s="845"/>
      <c r="O224" s="48">
        <f>IF(t&lt;Tnet,'2022'!Resal+('2022'!Salim-'2022'!Resal)*(1-EXP(('2022'!Tnet-t)/('2022'!Tau_j))),Resal+(Salim-Resal)*(1-EXP((Tnet-t)/(Tau_j))))*Salcycl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3.167138045526175E-4</v>
      </c>
      <c r="Q224" s="305">
        <f t="shared" si="80"/>
        <v>0.5</v>
      </c>
      <c r="R224" s="177">
        <f t="shared" si="81"/>
        <v>0.9385669593491488</v>
      </c>
      <c r="S224" s="811">
        <f t="shared" si="82"/>
        <v>0</v>
      </c>
      <c r="T224" s="176">
        <f t="shared" si="83"/>
        <v>6</v>
      </c>
      <c r="U224" s="251">
        <f t="shared" si="84"/>
        <v>0.9385669593491488</v>
      </c>
      <c r="V224" s="383">
        <f t="shared" si="85"/>
        <v>55.781826964800182</v>
      </c>
      <c r="W224" s="402">
        <f t="shared" si="86"/>
        <v>30.14885638438243</v>
      </c>
      <c r="X224" s="157">
        <f t="shared" si="87"/>
        <v>45136</v>
      </c>
      <c r="Y224" s="385">
        <f t="shared" si="88"/>
        <v>28.51872664748209</v>
      </c>
      <c r="Z224" s="385">
        <f t="shared" si="89"/>
        <v>29.715610514208855</v>
      </c>
      <c r="AA224" s="386">
        <f t="shared" si="90"/>
        <v>31.877114420856977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6.7807389279685409E-2</v>
      </c>
      <c r="AD224" s="231">
        <f>(INDEX(Models!$BJ224:$BT224,,AH224)*(1-AF224)+INDEX(Models!$BJ224:$BT224,,AH224+1)*AF224-ERP_i)*AE224*Ramure*Pc/MaxiM</f>
        <v>3.167138045526175E-4</v>
      </c>
      <c r="AE224" s="305">
        <f t="shared" si="92"/>
        <v>0.5</v>
      </c>
      <c r="AF224" s="177">
        <f t="shared" si="93"/>
        <v>0.9385669593491488</v>
      </c>
      <c r="AG224" s="811">
        <f t="shared" si="99"/>
        <v>0</v>
      </c>
      <c r="AH224" s="176">
        <f t="shared" si="94"/>
        <v>6</v>
      </c>
      <c r="AI224" s="225">
        <f t="shared" si="95"/>
        <v>0.9385669593491488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50.738457021659215</v>
      </c>
      <c r="C225" s="841"/>
      <c r="D225" s="393">
        <f t="shared" si="77"/>
        <v>52.869024249861361</v>
      </c>
      <c r="E225" s="385">
        <f t="shared" si="75"/>
        <v>53.653519470325193</v>
      </c>
      <c r="F225" s="385">
        <f t="shared" si="78"/>
        <v>53.667837095525108</v>
      </c>
      <c r="G225" s="110">
        <f t="shared" si="76"/>
        <v>0.91180922244993179</v>
      </c>
      <c r="H225" s="414" t="b">
        <f>Wh_hp&gt;='2022'!Maxi_hp</f>
        <v>0</v>
      </c>
      <c r="I225" s="390">
        <f>IF(H225,Wh_hp,'2022'!Maxi_hp)</f>
        <v>55.994393253662331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4.0298970114012178E-2</v>
      </c>
      <c r="M225" s="845"/>
      <c r="N225" s="845"/>
      <c r="O225" s="48">
        <f>IF(t&lt;Tnet,'2022'!Resal+('2022'!Salim-'2022'!Resal)*(1-EXP(('2022'!Tnet-t)/('2022'!Tau_j))),Resal+(Salim-Resal)*(1-EXP((Tnet-t)/(Tau_j))))*Salcycl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3.0522073311240312E-4</v>
      </c>
      <c r="Q225" s="305">
        <f t="shared" si="80"/>
        <v>0.5</v>
      </c>
      <c r="R225" s="177">
        <f t="shared" si="81"/>
        <v>0.94067224289603124</v>
      </c>
      <c r="S225" s="811">
        <f t="shared" si="82"/>
        <v>0</v>
      </c>
      <c r="T225" s="176">
        <f t="shared" si="83"/>
        <v>6</v>
      </c>
      <c r="U225" s="251">
        <f t="shared" si="84"/>
        <v>0.94067224289603124</v>
      </c>
      <c r="V225" s="383">
        <f t="shared" si="85"/>
        <v>55.643773874642505</v>
      </c>
      <c r="W225" s="402">
        <f t="shared" si="86"/>
        <v>50.738457021659215</v>
      </c>
      <c r="X225" s="157">
        <f t="shared" si="87"/>
        <v>45137</v>
      </c>
      <c r="Y225" s="385">
        <f t="shared" si="88"/>
        <v>47.99761816013956</v>
      </c>
      <c r="Z225" s="385">
        <f t="shared" si="89"/>
        <v>50.013094354855134</v>
      </c>
      <c r="AA225" s="386">
        <f t="shared" si="90"/>
        <v>53.653519470325193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6.7850630329730946E-2</v>
      </c>
      <c r="AD225" s="231">
        <f>(INDEX(Models!$BJ225:$BT225,,AH225)*(1-AF225)+INDEX(Models!$BJ225:$BT225,,AH225+1)*AF225-ERP_i)*AE225*Ramure*Pc/MaxiM</f>
        <v>3.0522073311240312E-4</v>
      </c>
      <c r="AE225" s="305">
        <f t="shared" si="92"/>
        <v>0.5</v>
      </c>
      <c r="AF225" s="177">
        <f t="shared" si="93"/>
        <v>0.94067224289603124</v>
      </c>
      <c r="AG225" s="811">
        <f t="shared" si="99"/>
        <v>0</v>
      </c>
      <c r="AH225" s="176">
        <f t="shared" si="94"/>
        <v>6</v>
      </c>
      <c r="AI225" s="225">
        <f t="shared" si="95"/>
        <v>0.94067224289603124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53.473472270568877</v>
      </c>
      <c r="C226" s="841"/>
      <c r="D226" s="393">
        <f t="shared" si="77"/>
        <v>55.720106405276447</v>
      </c>
      <c r="E226" s="385">
        <f t="shared" si="75"/>
        <v>56.552535998862474</v>
      </c>
      <c r="F226" s="385">
        <f t="shared" si="78"/>
        <v>56.568160600999072</v>
      </c>
      <c r="G226" s="110">
        <f t="shared" si="76"/>
        <v>0.96339381033449678</v>
      </c>
      <c r="H226" s="414" t="b">
        <f>Wh_hp&gt;='2022'!Maxi_hp</f>
        <v>0</v>
      </c>
      <c r="I226" s="390">
        <f>IF(H226,Wh_hp,'2022'!Maxi_hp)</f>
        <v>58.250484133448317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4.0319990029574426E-2</v>
      </c>
      <c r="M226" s="845"/>
      <c r="N226" s="845"/>
      <c r="O226" s="48">
        <f>IF(t&lt;Tnet,'2022'!Resal+('2022'!Salim-'2022'!Resal)*(1-EXP(('2022'!Tnet-t)/('2022'!Tau_j))),Resal+(Salim-Resal)*(1-EXP((Tnet-t)/(Tau_j))))*Salcycl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2.9144319806942063E-4</v>
      </c>
      <c r="Q226" s="305">
        <f t="shared" si="80"/>
        <v>0.5</v>
      </c>
      <c r="R226" s="177">
        <f t="shared" si="81"/>
        <v>0.94271171396150433</v>
      </c>
      <c r="S226" s="811">
        <f t="shared" si="82"/>
        <v>0</v>
      </c>
      <c r="T226" s="176">
        <f t="shared" si="83"/>
        <v>6</v>
      </c>
      <c r="U226" s="251">
        <f t="shared" si="84"/>
        <v>0.94271171396150433</v>
      </c>
      <c r="V226" s="383">
        <f t="shared" si="85"/>
        <v>55.504464337719298</v>
      </c>
      <c r="W226" s="402">
        <f t="shared" si="86"/>
        <v>53.473472270568877</v>
      </c>
      <c r="X226" s="157">
        <f t="shared" si="87"/>
        <v>45138</v>
      </c>
      <c r="Y226" s="385">
        <f t="shared" si="88"/>
        <v>50.587593277727109</v>
      </c>
      <c r="Z226" s="385">
        <f t="shared" si="89"/>
        <v>52.71298011019951</v>
      </c>
      <c r="AA226" s="386">
        <f t="shared" si="90"/>
        <v>56.552535998862474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6.7893611150173505E-2</v>
      </c>
      <c r="AD226" s="231">
        <f>(INDEX(Models!$BJ226:$BT226,,AH226)*(1-AF226)+INDEX(Models!$BJ226:$BT226,,AH226+1)*AF226-ERP_i)*AE226*Ramure*Pc/MaxiM</f>
        <v>2.9144319806942063E-4</v>
      </c>
      <c r="AE226" s="305">
        <f t="shared" si="92"/>
        <v>0.5</v>
      </c>
      <c r="AF226" s="177">
        <f t="shared" si="93"/>
        <v>0.94271171396150433</v>
      </c>
      <c r="AG226" s="811">
        <f t="shared" si="99"/>
        <v>0</v>
      </c>
      <c r="AH226" s="176">
        <f t="shared" si="94"/>
        <v>6</v>
      </c>
      <c r="AI226" s="225">
        <f t="shared" si="95"/>
        <v>0.94271171396150433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52.539584503942827</v>
      </c>
      <c r="C227" s="841"/>
      <c r="D227" s="393">
        <f t="shared" si="77"/>
        <v>54.748181409454247</v>
      </c>
      <c r="E227" s="385">
        <f t="shared" si="75"/>
        <v>55.571614287681854</v>
      </c>
      <c r="F227" s="385">
        <f t="shared" si="78"/>
        <v>55.585908964110907</v>
      </c>
      <c r="G227" s="110">
        <f t="shared" si="76"/>
        <v>0.94896908129120527</v>
      </c>
      <c r="H227" s="414" t="b">
        <f>Wh_hp&gt;='2022'!Maxi_hp</f>
        <v>0</v>
      </c>
      <c r="I227" s="390">
        <f>IF(H227,Wh_hp,'2022'!Maxi_hp)</f>
        <v>55.586126471663725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4.0341009484746615E-2</v>
      </c>
      <c r="M227" s="845"/>
      <c r="N227" s="845"/>
      <c r="O227" s="48">
        <f>IF(t&lt;Tnet,'2022'!Resal+('2022'!Salim-'2022'!Resal)*(1-EXP(('2022'!Tnet-t)/('2022'!Tau_j))),Resal+(Salim-Resal)*(1-EXP((Tnet-t)/(Tau_j))))*Salcycl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2.7737723267958121E-4</v>
      </c>
      <c r="Q227" s="305">
        <f t="shared" si="80"/>
        <v>0.5</v>
      </c>
      <c r="R227" s="177">
        <f t="shared" si="81"/>
        <v>0.94468676869017354</v>
      </c>
      <c r="S227" s="811">
        <f t="shared" si="82"/>
        <v>0</v>
      </c>
      <c r="T227" s="176">
        <f t="shared" si="83"/>
        <v>6</v>
      </c>
      <c r="U227" s="251">
        <f t="shared" si="84"/>
        <v>0.94468676869017354</v>
      </c>
      <c r="V227" s="383">
        <f t="shared" si="85"/>
        <v>55.363787139583394</v>
      </c>
      <c r="W227" s="402">
        <f t="shared" si="86"/>
        <v>52.539584503942827</v>
      </c>
      <c r="X227" s="157">
        <f t="shared" si="87"/>
        <v>45139</v>
      </c>
      <c r="Y227" s="385">
        <f t="shared" si="88"/>
        <v>49.706767659956199</v>
      </c>
      <c r="Z227" s="385">
        <f t="shared" si="89"/>
        <v>51.796281961853957</v>
      </c>
      <c r="AA227" s="386">
        <f t="shared" si="90"/>
        <v>55.571614287681854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6.7936344376894317E-2</v>
      </c>
      <c r="AD227" s="231">
        <f>(INDEX(Models!$BJ227:$BT227,,AH227)*(1-AF227)+INDEX(Models!$BJ227:$BT227,,AH227+1)*AF227-ERP_i)*AE227*Ramure*Pc/MaxiM</f>
        <v>2.7737723267958121E-4</v>
      </c>
      <c r="AE227" s="305">
        <f t="shared" si="92"/>
        <v>0.5</v>
      </c>
      <c r="AF227" s="177">
        <f t="shared" si="93"/>
        <v>0.94468676869017354</v>
      </c>
      <c r="AG227" s="811">
        <f t="shared" si="99"/>
        <v>0</v>
      </c>
      <c r="AH227" s="176">
        <f t="shared" si="94"/>
        <v>6</v>
      </c>
      <c r="AI227" s="225">
        <f t="shared" si="95"/>
        <v>0.94468676869017354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52.747793453587079</v>
      </c>
      <c r="C228" s="841"/>
      <c r="D228" s="393">
        <f t="shared" si="77"/>
        <v>54.96634670469831</v>
      </c>
      <c r="E228" s="385">
        <f t="shared" si="75"/>
        <v>55.798599121239747</v>
      </c>
      <c r="F228" s="385">
        <f t="shared" si="78"/>
        <v>55.812339533240539</v>
      </c>
      <c r="G228" s="110">
        <f t="shared" si="76"/>
        <v>0.95518364626101548</v>
      </c>
      <c r="H228" s="414" t="b">
        <f>Wh_hp&gt;='2022'!Maxi_hp</f>
        <v>0</v>
      </c>
      <c r="I228" s="390">
        <f>IF(H228,Wh_hp,'2022'!Maxi_hp)</f>
        <v>56.845203333586923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4.0362028479538736E-2</v>
      </c>
      <c r="M228" s="845"/>
      <c r="N228" s="845"/>
      <c r="O228" s="48">
        <f>IF(t&lt;Tnet,'2022'!Resal+('2022'!Salim-'2022'!Resal)*(1-EXP(('2022'!Tnet-t)/('2022'!Tau_j))),Resal+(Salim-Resal)*(1-EXP((Tnet-t)/(Tau_j))))*Salcycl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2.630230793280877E-4</v>
      </c>
      <c r="Q228" s="305">
        <f t="shared" si="80"/>
        <v>0.5</v>
      </c>
      <c r="R228" s="177">
        <f t="shared" si="81"/>
        <v>0.94659882177481036</v>
      </c>
      <c r="S228" s="811">
        <f t="shared" si="82"/>
        <v>0</v>
      </c>
      <c r="T228" s="176">
        <f t="shared" si="83"/>
        <v>6</v>
      </c>
      <c r="U228" s="251">
        <f t="shared" si="84"/>
        <v>0.94659882177481036</v>
      </c>
      <c r="V228" s="383">
        <f t="shared" si="85"/>
        <v>55.221742444268358</v>
      </c>
      <c r="W228" s="402">
        <f t="shared" si="86"/>
        <v>52.747793453587079</v>
      </c>
      <c r="X228" s="157">
        <f t="shared" si="87"/>
        <v>45140</v>
      </c>
      <c r="Y228" s="385">
        <f t="shared" si="88"/>
        <v>49.906428557920094</v>
      </c>
      <c r="Z228" s="385">
        <f t="shared" si="89"/>
        <v>52.005475021843687</v>
      </c>
      <c r="AA228" s="386">
        <f t="shared" si="90"/>
        <v>55.798599121239747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6.7978841030655948E-2</v>
      </c>
      <c r="AD228" s="231">
        <f>(INDEX(Models!$BJ228:$BT228,,AH228)*(1-AF228)+INDEX(Models!$BJ228:$BT228,,AH228+1)*AF228-ERP_i)*AE228*Ramure*Pc/MaxiM</f>
        <v>2.630230793280877E-4</v>
      </c>
      <c r="AE228" s="305">
        <f t="shared" si="92"/>
        <v>0.5</v>
      </c>
      <c r="AF228" s="177">
        <f t="shared" si="93"/>
        <v>0.94659882177481036</v>
      </c>
      <c r="AG228" s="811">
        <f t="shared" si="99"/>
        <v>0</v>
      </c>
      <c r="AH228" s="176">
        <f t="shared" si="94"/>
        <v>6</v>
      </c>
      <c r="AI228" s="225">
        <f t="shared" si="95"/>
        <v>0.94659882177481036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50.539828006346092</v>
      </c>
      <c r="C229" s="841"/>
      <c r="D229" s="393">
        <f t="shared" si="77"/>
        <v>52.666668558825862</v>
      </c>
      <c r="E229" s="385">
        <f t="shared" si="75"/>
        <v>53.469401070556131</v>
      </c>
      <c r="F229" s="385">
        <f t="shared" si="78"/>
        <v>53.481121055479555</v>
      </c>
      <c r="G229" s="110">
        <f t="shared" si="76"/>
        <v>0.91757229348792302</v>
      </c>
      <c r="H229" s="414" t="b">
        <f>Wh_hp&gt;='2022'!Maxi_hp</f>
        <v>0</v>
      </c>
      <c r="I229" s="390">
        <f>IF(H229,Wh_hp,'2022'!Maxi_hp)</f>
        <v>57.532187418566849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4.0383047013961004E-2</v>
      </c>
      <c r="M229" s="845"/>
      <c r="N229" s="845"/>
      <c r="O229" s="48">
        <f>IF(t&lt;Tnet,'2022'!Resal+('2022'!Salim-'2022'!Resal)*(1-EXP(('2022'!Tnet-t)/('2022'!Tau_j))),Resal+(Salim-Resal)*(1-EXP((Tnet-t)/(Tau_j))))*Salcycl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2.4838073984808799E-4</v>
      </c>
      <c r="Q229" s="305">
        <f t="shared" si="80"/>
        <v>0.5</v>
      </c>
      <c r="R229" s="177">
        <f t="shared" si="81"/>
        <v>0.94844930209753331</v>
      </c>
      <c r="S229" s="811">
        <f t="shared" si="82"/>
        <v>0</v>
      </c>
      <c r="T229" s="176">
        <f t="shared" si="83"/>
        <v>6</v>
      </c>
      <c r="U229" s="251">
        <f t="shared" si="84"/>
        <v>0.94844930209753331</v>
      </c>
      <c r="V229" s="383">
        <f t="shared" si="85"/>
        <v>55.078330442138707</v>
      </c>
      <c r="W229" s="402">
        <f t="shared" si="86"/>
        <v>50.539828006346092</v>
      </c>
      <c r="X229" s="157">
        <f t="shared" si="87"/>
        <v>45141</v>
      </c>
      <c r="Y229" s="385">
        <f t="shared" si="88"/>
        <v>47.819970774202929</v>
      </c>
      <c r="Z229" s="385">
        <f t="shared" si="89"/>
        <v>49.832353029405724</v>
      </c>
      <c r="AA229" s="386">
        <f t="shared" si="90"/>
        <v>53.469401070556131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6.8021110547902108E-2</v>
      </c>
      <c r="AD229" s="231">
        <f>(INDEX(Models!$BJ229:$BT229,,AH229)*(1-AF229)+INDEX(Models!$BJ229:$BT229,,AH229+1)*AF229-ERP_i)*AE229*Ramure*Pc/MaxiM</f>
        <v>2.4838073984808799E-4</v>
      </c>
      <c r="AE229" s="305">
        <f t="shared" si="92"/>
        <v>0.5</v>
      </c>
      <c r="AF229" s="177">
        <f t="shared" si="93"/>
        <v>0.94844930209753331</v>
      </c>
      <c r="AG229" s="811">
        <f t="shared" si="99"/>
        <v>0</v>
      </c>
      <c r="AH229" s="176">
        <f t="shared" si="94"/>
        <v>6</v>
      </c>
      <c r="AI229" s="225">
        <f t="shared" si="95"/>
        <v>0.94844930209753331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47.425212364697977</v>
      </c>
      <c r="C230" s="841"/>
      <c r="D230" s="393">
        <f t="shared" si="77"/>
        <v>49.422064682931648</v>
      </c>
      <c r="E230" s="385">
        <f t="shared" si="75"/>
        <v>50.180310784246316</v>
      </c>
      <c r="F230" s="385">
        <f t="shared" si="78"/>
        <v>50.189739784201571</v>
      </c>
      <c r="G230" s="110">
        <f t="shared" si="76"/>
        <v>0.86328025431033151</v>
      </c>
      <c r="H230" s="414" t="b">
        <f>Wh_hp&gt;='2022'!Maxi_hp</f>
        <v>0</v>
      </c>
      <c r="I230" s="390">
        <f>IF(H230,Wh_hp,'2022'!Maxi_hp)</f>
        <v>54.820289563876685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4.0404065088023411E-2</v>
      </c>
      <c r="M230" s="845"/>
      <c r="N230" s="845"/>
      <c r="O230" s="48">
        <f>IF(t&lt;Tnet,'2022'!Resal+('2022'!Salim-'2022'!Resal)*(1-EXP(('2022'!Tnet-t)/('2022'!Tau_j))),Resal+(Salim-Resal)*(1-EXP((Tnet-t)/(Tau_j))))*Salcycl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2.3344998824111933E-4</v>
      </c>
      <c r="Q230" s="305">
        <f t="shared" si="80"/>
        <v>0.5</v>
      </c>
      <c r="R230" s="177">
        <f t="shared" si="81"/>
        <v>0.95023964863221011</v>
      </c>
      <c r="S230" s="811">
        <f t="shared" si="82"/>
        <v>0</v>
      </c>
      <c r="T230" s="176">
        <f t="shared" si="83"/>
        <v>6</v>
      </c>
      <c r="U230" s="251">
        <f t="shared" si="84"/>
        <v>0.95023964863221011</v>
      </c>
      <c r="V230" s="383">
        <f t="shared" si="85"/>
        <v>54.933551349865752</v>
      </c>
      <c r="W230" s="402">
        <f t="shared" si="86"/>
        <v>47.425212364697977</v>
      </c>
      <c r="X230" s="157">
        <f t="shared" si="87"/>
        <v>45142</v>
      </c>
      <c r="Y230" s="385">
        <f t="shared" si="88"/>
        <v>44.87538895699916</v>
      </c>
      <c r="Z230" s="385">
        <f t="shared" si="89"/>
        <v>46.764880221293936</v>
      </c>
      <c r="AA230" s="386">
        <f t="shared" si="90"/>
        <v>50.180310784246316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6.8063160820929544E-2</v>
      </c>
      <c r="AD230" s="231">
        <f>(INDEX(Models!$BJ230:$BT230,,AH230)*(1-AF230)+INDEX(Models!$BJ230:$BT230,,AH230+1)*AF230-ERP_i)*AE230*Ramure*Pc/MaxiM</f>
        <v>2.3344998824111933E-4</v>
      </c>
      <c r="AE230" s="305">
        <f t="shared" si="92"/>
        <v>0.5</v>
      </c>
      <c r="AF230" s="177">
        <f t="shared" si="93"/>
        <v>0.95023964863221011</v>
      </c>
      <c r="AG230" s="811">
        <f t="shared" si="99"/>
        <v>0</v>
      </c>
      <c r="AH230" s="176">
        <f t="shared" si="94"/>
        <v>6</v>
      </c>
      <c r="AI230" s="225">
        <f t="shared" si="95"/>
        <v>0.95023964863221011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44.123386644022204</v>
      </c>
      <c r="C231" s="841"/>
      <c r="D231" s="393">
        <f t="shared" si="77"/>
        <v>45.982221761542107</v>
      </c>
      <c r="E231" s="385">
        <f t="shared" si="75"/>
        <v>46.692308451523552</v>
      </c>
      <c r="F231" s="385">
        <f t="shared" si="78"/>
        <v>46.699665925017626</v>
      </c>
      <c r="G231" s="110">
        <f t="shared" si="76"/>
        <v>0.80530750477135804</v>
      </c>
      <c r="H231" s="414" t="b">
        <f>Wh_hp&gt;='2022'!Maxi_hp</f>
        <v>0</v>
      </c>
      <c r="I231" s="390">
        <f>IF(H231,Wh_hp,'2022'!Maxi_hp)</f>
        <v>56.442491959447445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4.0425082701735948E-2</v>
      </c>
      <c r="M231" s="845"/>
      <c r="N231" s="845"/>
      <c r="O231" s="48">
        <f>IF(t&lt;Tnet,'2022'!Resal+('2022'!Salim-'2022'!Resal)*(1-EXP(('2022'!Tnet-t)/('2022'!Tau_j))),Resal+(Salim-Resal)*(1-EXP((Tnet-t)/(Tau_j))))*Salcycl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2.1823038411436862E-4</v>
      </c>
      <c r="Q231" s="305">
        <f t="shared" si="80"/>
        <v>0.5</v>
      </c>
      <c r="R231" s="177">
        <f t="shared" si="81"/>
        <v>0.95197130660585239</v>
      </c>
      <c r="S231" s="811">
        <f t="shared" si="82"/>
        <v>0</v>
      </c>
      <c r="T231" s="176">
        <f t="shared" si="83"/>
        <v>6</v>
      </c>
      <c r="U231" s="251">
        <f t="shared" si="84"/>
        <v>0.95197130660585239</v>
      </c>
      <c r="V231" s="383">
        <f t="shared" si="85"/>
        <v>54.787405408539321</v>
      </c>
      <c r="W231" s="402">
        <f t="shared" si="86"/>
        <v>44.123386644022204</v>
      </c>
      <c r="X231" s="157">
        <f t="shared" si="87"/>
        <v>45143</v>
      </c>
      <c r="Y231" s="385">
        <f t="shared" si="88"/>
        <v>41.753339373343451</v>
      </c>
      <c r="Z231" s="385">
        <f t="shared" si="89"/>
        <v>43.512328866309133</v>
      </c>
      <c r="AA231" s="386">
        <f t="shared" si="90"/>
        <v>46.692308451523552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6.810499824646507E-2</v>
      </c>
      <c r="AD231" s="231">
        <f>(INDEX(Models!$BJ231:$BT231,,AH231)*(1-AF231)+INDEX(Models!$BJ231:$BT231,,AH231+1)*AF231-ERP_i)*AE231*Ramure*Pc/MaxiM</f>
        <v>2.1823038411436862E-4</v>
      </c>
      <c r="AE231" s="305">
        <f t="shared" si="92"/>
        <v>0.5</v>
      </c>
      <c r="AF231" s="177">
        <f t="shared" si="93"/>
        <v>0.95197130660585239</v>
      </c>
      <c r="AG231" s="811">
        <f t="shared" si="99"/>
        <v>0</v>
      </c>
      <c r="AH231" s="176">
        <f t="shared" si="94"/>
        <v>6</v>
      </c>
      <c r="AI231" s="225">
        <f t="shared" si="95"/>
        <v>0.95197130660585239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48.349238167693969</v>
      </c>
      <c r="C232" s="841"/>
      <c r="D232" s="393">
        <f t="shared" si="77"/>
        <v>50.387204054293683</v>
      </c>
      <c r="E232" s="385">
        <f t="shared" si="75"/>
        <v>51.170366669619781</v>
      </c>
      <c r="F232" s="385">
        <f t="shared" si="78"/>
        <v>51.179035355110315</v>
      </c>
      <c r="G232" s="110">
        <f t="shared" si="76"/>
        <v>0.88484115358466586</v>
      </c>
      <c r="H232" s="414" t="b">
        <f>Wh_hp&gt;='2022'!Maxi_hp</f>
        <v>0</v>
      </c>
      <c r="I232" s="390">
        <f>IF(H232,Wh_hp,'2022'!Maxi_hp)</f>
        <v>57.46185272567628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4.0446099855108941E-2</v>
      </c>
      <c r="M232" s="845"/>
      <c r="N232" s="845"/>
      <c r="O232" s="48">
        <f>IF(t&lt;Tnet,'2022'!Resal+('2022'!Salim-'2022'!Resal)*(1-EXP(('2022'!Tnet-t)/('2022'!Tau_j))),Resal+(Salim-Resal)*(1-EXP((Tnet-t)/(Tau_j))))*Salcycl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2.0272128663516141E-4</v>
      </c>
      <c r="Q232" s="305">
        <f t="shared" si="80"/>
        <v>0.5</v>
      </c>
      <c r="R232" s="177">
        <f t="shared" si="81"/>
        <v>0.95364572391538394</v>
      </c>
      <c r="S232" s="811">
        <f t="shared" si="82"/>
        <v>0</v>
      </c>
      <c r="T232" s="176">
        <f t="shared" si="83"/>
        <v>6</v>
      </c>
      <c r="U232" s="251">
        <f t="shared" si="84"/>
        <v>0.95364572391538394</v>
      </c>
      <c r="V232" s="383">
        <f t="shared" si="85"/>
        <v>54.639892883019115</v>
      </c>
      <c r="W232" s="402">
        <f t="shared" si="86"/>
        <v>48.349238167693969</v>
      </c>
      <c r="X232" s="157">
        <f t="shared" si="87"/>
        <v>45144</v>
      </c>
      <c r="Y232" s="385">
        <f t="shared" si="88"/>
        <v>45.754676085450228</v>
      </c>
      <c r="Z232" s="385">
        <f t="shared" si="89"/>
        <v>47.683278738736142</v>
      </c>
      <c r="AA232" s="386">
        <f t="shared" si="90"/>
        <v>51.170366669619781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6.8146627781620964E-2</v>
      </c>
      <c r="AD232" s="231">
        <f>(INDEX(Models!$BJ232:$BT232,,AH232)*(1-AF232)+INDEX(Models!$BJ232:$BT232,,AH232+1)*AF232-ERP_i)*AE232*Ramure*Pc/MaxiM</f>
        <v>2.0272128663516141E-4</v>
      </c>
      <c r="AE232" s="305">
        <f t="shared" si="92"/>
        <v>0.5</v>
      </c>
      <c r="AF232" s="177">
        <f t="shared" si="93"/>
        <v>0.95364572391538394</v>
      </c>
      <c r="AG232" s="811">
        <f t="shared" si="99"/>
        <v>0</v>
      </c>
      <c r="AH232" s="176">
        <f t="shared" si="94"/>
        <v>6</v>
      </c>
      <c r="AI232" s="225">
        <f t="shared" si="95"/>
        <v>0.95364572391538394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51.38896098881645</v>
      </c>
      <c r="C233" s="841"/>
      <c r="D233" s="393">
        <f t="shared" si="77"/>
        <v>53.556227071602287</v>
      </c>
      <c r="E233" s="385">
        <f t="shared" ref="E233:E296" si="100">Wh_pvt/(1-Psa)</f>
        <v>54.394007838692083</v>
      </c>
      <c r="F233" s="385">
        <f t="shared" si="78"/>
        <v>54.403349909148339</v>
      </c>
      <c r="G233" s="110">
        <f t="shared" ref="G233:G296" si="101">+Wh_hp/MaxiM</f>
        <v>0.94305406592647323</v>
      </c>
      <c r="H233" s="414" t="b">
        <f>Wh_hp&gt;='2022'!Maxi_hp</f>
        <v>0</v>
      </c>
      <c r="I233" s="390">
        <f>IF(H233,Wh_hp,'2022'!Maxi_hp)</f>
        <v>55.820902062700583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4.0467116548152271E-2</v>
      </c>
      <c r="M233" s="845"/>
      <c r="N233" s="845"/>
      <c r="O233" s="48">
        <f>IF(t&lt;Tnet,'2022'!Resal+('2022'!Salim-'2022'!Resal)*(1-EXP(('2022'!Tnet-t)/('2022'!Tau_j))),Resal+(Salim-Resal)*(1-EXP((Tnet-t)/(Tau_j))))*Salcycl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1.8692111511187879E-4</v>
      </c>
      <c r="Q233" s="305">
        <f t="shared" si="80"/>
        <v>0.5</v>
      </c>
      <c r="R233" s="177">
        <f t="shared" si="81"/>
        <v>0.95526434779494762</v>
      </c>
      <c r="S233" s="811">
        <f t="shared" si="82"/>
        <v>0</v>
      </c>
      <c r="T233" s="176">
        <f t="shared" si="83"/>
        <v>6</v>
      </c>
      <c r="U233" s="251">
        <f t="shared" si="84"/>
        <v>0.95526434779494762</v>
      </c>
      <c r="V233" s="383">
        <f t="shared" si="85"/>
        <v>54.491233825376817</v>
      </c>
      <c r="W233" s="402">
        <f t="shared" si="86"/>
        <v>51.38896098881645</v>
      </c>
      <c r="X233" s="157">
        <f t="shared" si="87"/>
        <v>45145</v>
      </c>
      <c r="Y233" s="385">
        <f t="shared" si="88"/>
        <v>48.633911099145074</v>
      </c>
      <c r="Z233" s="385">
        <f t="shared" si="89"/>
        <v>50.684986348970362</v>
      </c>
      <c r="AA233" s="386">
        <f t="shared" si="90"/>
        <v>54.394007838692083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6.8188053006150828E-2</v>
      </c>
      <c r="AD233" s="231">
        <f>(INDEX(Models!$BJ233:$BT233,,AH233)*(1-AF233)+INDEX(Models!$BJ233:$BT233,,AH233+1)*AF233-ERP_i)*AE233*Ramure*Pc/MaxiM</f>
        <v>1.8692111511187879E-4</v>
      </c>
      <c r="AE233" s="305">
        <f t="shared" si="92"/>
        <v>0.5</v>
      </c>
      <c r="AF233" s="177">
        <f t="shared" si="93"/>
        <v>0.95526434779494762</v>
      </c>
      <c r="AG233" s="811">
        <f t="shared" si="99"/>
        <v>0</v>
      </c>
      <c r="AH233" s="176">
        <f t="shared" si="94"/>
        <v>6</v>
      </c>
      <c r="AI233" s="225">
        <f t="shared" si="95"/>
        <v>0.95526434779494762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52.213146666321691</v>
      </c>
      <c r="C234" s="841"/>
      <c r="D234" s="393">
        <f t="shared" si="77"/>
        <v>54.416363622105948</v>
      </c>
      <c r="E234" s="385">
        <f t="shared" si="100"/>
        <v>55.27304120937</v>
      </c>
      <c r="F234" s="385">
        <f t="shared" si="78"/>
        <v>55.281974826930096</v>
      </c>
      <c r="G234" s="110">
        <f t="shared" si="101"/>
        <v>0.96082344707147116</v>
      </c>
      <c r="H234" s="414" t="b">
        <f>Wh_hp&gt;='2022'!Maxi_hp</f>
        <v>0</v>
      </c>
      <c r="I234" s="390">
        <f>IF(H234,Wh_hp,'2022'!Maxi_hp)</f>
        <v>55.282073058296042</v>
      </c>
      <c r="J234" s="85">
        <f>IF(H234,An,'2022'!An_max)</f>
        <v>2022</v>
      </c>
      <c r="K234" s="197">
        <f t="shared" si="79"/>
        <v>45146</v>
      </c>
      <c r="L234" s="147">
        <f>IF(t&lt;Tvie,1-EXP((T0-t)*PertePVj)+'2022'!Pspv,1-EXP((T0-t)*PertePVj)+Pspv)</f>
        <v>4.0488132780876041E-2</v>
      </c>
      <c r="M234" s="845"/>
      <c r="N234" s="845"/>
      <c r="O234" s="48">
        <f>IF(t&lt;Tnet,'2022'!Resal+('2022'!Salim-'2022'!Resal)*(1-EXP(('2022'!Tnet-t)/('2022'!Tau_j))),Resal+(Salim-Resal)*(1-EXP((Tnet-t)/(Tau_j))))*Salcycl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1.7117894869446505E-4</v>
      </c>
      <c r="Q234" s="305">
        <f t="shared" si="80"/>
        <v>0.5</v>
      </c>
      <c r="R234" s="177">
        <f t="shared" si="81"/>
        <v>0.95682862172786909</v>
      </c>
      <c r="S234" s="811">
        <f t="shared" si="82"/>
        <v>0</v>
      </c>
      <c r="T234" s="176">
        <f t="shared" si="83"/>
        <v>6</v>
      </c>
      <c r="U234" s="251">
        <f t="shared" si="84"/>
        <v>0.95682862172786909</v>
      </c>
      <c r="V234" s="383">
        <f t="shared" si="85"/>
        <v>54.341561548282911</v>
      </c>
      <c r="W234" s="402">
        <f t="shared" si="86"/>
        <v>52.213146666321691</v>
      </c>
      <c r="X234" s="157">
        <f t="shared" si="87"/>
        <v>45146</v>
      </c>
      <c r="Y234" s="385">
        <f t="shared" si="88"/>
        <v>49.416589832604494</v>
      </c>
      <c r="Z234" s="385">
        <f t="shared" si="89"/>
        <v>51.501801614840495</v>
      </c>
      <c r="AA234" s="386">
        <f t="shared" si="90"/>
        <v>55.27304120937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6.822927618989405E-2</v>
      </c>
      <c r="AD234" s="231">
        <f>(INDEX(Models!$BJ234:$BT234,,AH234)*(1-AF234)+INDEX(Models!$BJ234:$BT234,,AH234+1)*AF234-ERP_i)*AE234*Ramure*Pc/MaxiM</f>
        <v>1.7117894869446505E-4</v>
      </c>
      <c r="AE234" s="305">
        <f t="shared" si="92"/>
        <v>0.5</v>
      </c>
      <c r="AF234" s="177">
        <f t="shared" si="93"/>
        <v>0.95682862172786909</v>
      </c>
      <c r="AG234" s="811">
        <f t="shared" si="99"/>
        <v>0</v>
      </c>
      <c r="AH234" s="176">
        <f t="shared" si="94"/>
        <v>6</v>
      </c>
      <c r="AI234" s="225">
        <f t="shared" si="95"/>
        <v>0.95682862172786909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50.465761299671364</v>
      </c>
      <c r="C235" s="841"/>
      <c r="D235" s="393">
        <f t="shared" si="77"/>
        <v>52.596396540498176</v>
      </c>
      <c r="E235" s="385">
        <f t="shared" si="100"/>
        <v>53.429675448909769</v>
      </c>
      <c r="F235" s="385">
        <f t="shared" si="78"/>
        <v>53.437210595752873</v>
      </c>
      <c r="G235" s="110">
        <f t="shared" si="101"/>
        <v>0.93124761930624234</v>
      </c>
      <c r="H235" s="414" t="b">
        <f>Wh_hp&gt;='2022'!Maxi_hp</f>
        <v>0</v>
      </c>
      <c r="I235" s="390">
        <f>IF(H235,Wh_hp,'2022'!Maxi_hp)</f>
        <v>55.939165383860541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4.0509148553290464E-2</v>
      </c>
      <c r="M235" s="845"/>
      <c r="N235" s="845"/>
      <c r="O235" s="48">
        <f>IF(t&lt;Tnet,'2022'!Resal+('2022'!Salim-'2022'!Resal)*(1-EXP(('2022'!Tnet-t)/('2022'!Tau_j))),Resal+(Salim-Resal)*(1-EXP((Tnet-t)/(Tau_j))))*Salcycl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1.5636386182751234E-4</v>
      </c>
      <c r="Q235" s="305">
        <f t="shared" si="80"/>
        <v>0.5</v>
      </c>
      <c r="R235" s="177">
        <f t="shared" si="81"/>
        <v>0.95833998259649733</v>
      </c>
      <c r="S235" s="811">
        <f t="shared" si="82"/>
        <v>0</v>
      </c>
      <c r="T235" s="176">
        <f t="shared" si="83"/>
        <v>6</v>
      </c>
      <c r="U235" s="251">
        <f t="shared" si="84"/>
        <v>0.95833998259649733</v>
      </c>
      <c r="V235" s="383">
        <f t="shared" si="85"/>
        <v>54.190727866064584</v>
      </c>
      <c r="W235" s="402">
        <f t="shared" si="86"/>
        <v>50.465761299671364</v>
      </c>
      <c r="X235" s="157">
        <f t="shared" si="87"/>
        <v>45147</v>
      </c>
      <c r="Y235" s="385">
        <f t="shared" si="88"/>
        <v>47.765388500721642</v>
      </c>
      <c r="Z235" s="385">
        <f t="shared" si="89"/>
        <v>49.782015564506452</v>
      </c>
      <c r="AA235" s="386">
        <f t="shared" si="90"/>
        <v>53.429675448909769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6.8270298364272522E-2</v>
      </c>
      <c r="AD235" s="231">
        <f>(INDEX(Models!$BJ235:$BT235,,AH235)*(1-AF235)+INDEX(Models!$BJ235:$BT235,,AH235+1)*AF235-ERP_i)*AE235*Ramure*Pc/MaxiM</f>
        <v>1.5636386182751234E-4</v>
      </c>
      <c r="AE235" s="305">
        <f t="shared" si="92"/>
        <v>0.5</v>
      </c>
      <c r="AF235" s="177">
        <f t="shared" si="93"/>
        <v>0.95833998259649733</v>
      </c>
      <c r="AG235" s="811">
        <f t="shared" si="99"/>
        <v>0</v>
      </c>
      <c r="AH235" s="176">
        <f t="shared" si="94"/>
        <v>6</v>
      </c>
      <c r="AI235" s="225">
        <f t="shared" si="95"/>
        <v>0.95833998259649733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48.386860367921962</v>
      </c>
      <c r="C236" s="841"/>
      <c r="D236" s="393">
        <f t="shared" si="77"/>
        <v>50.430830178942962</v>
      </c>
      <c r="E236" s="385">
        <f t="shared" si="100"/>
        <v>51.234830695708268</v>
      </c>
      <c r="F236" s="385">
        <f t="shared" si="78"/>
        <v>51.241040914944385</v>
      </c>
      <c r="G236" s="110">
        <f t="shared" si="101"/>
        <v>0.89539332626152779</v>
      </c>
      <c r="H236" s="414" t="b">
        <f>Wh_hp&gt;='2022'!Maxi_hp</f>
        <v>0</v>
      </c>
      <c r="I236" s="390">
        <f>IF(H236,Wh_hp,'2022'!Maxi_hp)</f>
        <v>53.022413412282127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4.0530163865405533E-2</v>
      </c>
      <c r="M236" s="845"/>
      <c r="N236" s="845"/>
      <c r="O236" s="48">
        <f>IF(t&lt;Tnet,'2022'!Resal+('2022'!Salim-'2022'!Resal)*(1-EXP(('2022'!Tnet-t)/('2022'!Tau_j))),Resal+(Salim-Resal)*(1-EXP((Tnet-t)/(Tau_j))))*Salcycl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1.4248500447857807E-4</v>
      </c>
      <c r="Q236" s="305">
        <f t="shared" si="80"/>
        <v>0.5</v>
      </c>
      <c r="R236" s="177">
        <f t="shared" si="81"/>
        <v>0.95979985806239454</v>
      </c>
      <c r="S236" s="811">
        <f t="shared" si="82"/>
        <v>0</v>
      </c>
      <c r="T236" s="176">
        <f t="shared" si="83"/>
        <v>6</v>
      </c>
      <c r="U236" s="251">
        <f t="shared" si="84"/>
        <v>0.95979985806239454</v>
      </c>
      <c r="V236" s="383">
        <f t="shared" si="85"/>
        <v>54.038631655296925</v>
      </c>
      <c r="W236" s="402">
        <f t="shared" si="86"/>
        <v>48.386860367921962</v>
      </c>
      <c r="X236" s="157">
        <f t="shared" si="87"/>
        <v>45148</v>
      </c>
      <c r="Y236" s="385">
        <f t="shared" si="88"/>
        <v>45.800217845639395</v>
      </c>
      <c r="Z236" s="385">
        <f t="shared" si="89"/>
        <v>47.734922058784285</v>
      </c>
      <c r="AA236" s="386">
        <f t="shared" si="90"/>
        <v>51.234830695708268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6.8311119396695139E-2</v>
      </c>
      <c r="AD236" s="231">
        <f>(INDEX(Models!$BJ236:$BT236,,AH236)*(1-AF236)+INDEX(Models!$BJ236:$BT236,,AH236+1)*AF236-ERP_i)*AE236*Ramure*Pc/MaxiM</f>
        <v>1.4248500447857807E-4</v>
      </c>
      <c r="AE236" s="305">
        <f t="shared" si="92"/>
        <v>0.5</v>
      </c>
      <c r="AF236" s="177">
        <f t="shared" si="93"/>
        <v>0.95979985806239454</v>
      </c>
      <c r="AG236" s="811">
        <f t="shared" si="99"/>
        <v>0</v>
      </c>
      <c r="AH236" s="176">
        <f t="shared" si="94"/>
        <v>6</v>
      </c>
      <c r="AI236" s="225">
        <f t="shared" si="95"/>
        <v>0.95979985806239454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44.526486930006726</v>
      </c>
      <c r="C237" s="841"/>
      <c r="D237" s="393">
        <f t="shared" si="77"/>
        <v>46.408402347584811</v>
      </c>
      <c r="E237" s="385">
        <f t="shared" si="100"/>
        <v>47.152898055363025</v>
      </c>
      <c r="F237" s="385">
        <f t="shared" si="78"/>
        <v>47.157491580700423</v>
      </c>
      <c r="G237" s="110">
        <f t="shared" si="101"/>
        <v>0.82629513875944471</v>
      </c>
      <c r="H237" s="414" t="b">
        <f>Wh_hp&gt;='2022'!Maxi_hp</f>
        <v>0</v>
      </c>
      <c r="I237" s="390">
        <f>IF(H237,Wh_hp,'2022'!Maxi_hp)</f>
        <v>54.934751797677123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4.055117871723124E-2</v>
      </c>
      <c r="M237" s="845"/>
      <c r="N237" s="845"/>
      <c r="O237" s="48">
        <f>IF(t&lt;Tnet,'2022'!Resal+('2022'!Salim-'2022'!Resal)*(1-EXP(('2022'!Tnet-t)/('2022'!Tau_j))),Resal+(Salim-Resal)*(1-EXP((Tnet-t)/(Tau_j))))*Salcycl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1.2955142148163707E-4</v>
      </c>
      <c r="Q237" s="305">
        <f t="shared" si="80"/>
        <v>0.5</v>
      </c>
      <c r="R237" s="177">
        <f t="shared" si="81"/>
        <v>0.9612096641687371</v>
      </c>
      <c r="S237" s="811">
        <f t="shared" si="82"/>
        <v>0</v>
      </c>
      <c r="T237" s="176">
        <f t="shared" si="83"/>
        <v>6</v>
      </c>
      <c r="U237" s="251">
        <f t="shared" si="84"/>
        <v>0.9612096641687371</v>
      </c>
      <c r="V237" s="383">
        <f t="shared" si="85"/>
        <v>53.885171866943438</v>
      </c>
      <c r="W237" s="402">
        <f t="shared" si="86"/>
        <v>44.526486930006726</v>
      </c>
      <c r="X237" s="157">
        <f t="shared" si="87"/>
        <v>45149</v>
      </c>
      <c r="Y237" s="385">
        <f t="shared" si="88"/>
        <v>42.148505663176365</v>
      </c>
      <c r="Z237" s="385">
        <f t="shared" si="89"/>
        <v>43.929915518395703</v>
      </c>
      <c r="AA237" s="386">
        <f t="shared" si="90"/>
        <v>47.152898055363025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6.8351738066728479E-2</v>
      </c>
      <c r="AD237" s="231">
        <f>(INDEX(Models!$BJ237:$BT237,,AH237)*(1-AF237)+INDEX(Models!$BJ237:$BT237,,AH237+1)*AF237-ERP_i)*AE237*Ramure*Pc/MaxiM</f>
        <v>1.2955142148163707E-4</v>
      </c>
      <c r="AE237" s="305">
        <f t="shared" si="92"/>
        <v>0.5</v>
      </c>
      <c r="AF237" s="177">
        <f t="shared" si="93"/>
        <v>0.9612096641687371</v>
      </c>
      <c r="AG237" s="811">
        <f t="shared" si="99"/>
        <v>0</v>
      </c>
      <c r="AH237" s="176">
        <f t="shared" si="94"/>
        <v>6</v>
      </c>
      <c r="AI237" s="225">
        <f t="shared" si="95"/>
        <v>0.9612096641687371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46.728983710462217</v>
      </c>
      <c r="C238" s="841"/>
      <c r="D238" s="393">
        <f t="shared" si="77"/>
        <v>48.70505459068923</v>
      </c>
      <c r="E238" s="385">
        <f t="shared" si="100"/>
        <v>49.49123965225229</v>
      </c>
      <c r="F238" s="385">
        <f t="shared" si="78"/>
        <v>49.49597573486524</v>
      </c>
      <c r="G238" s="110">
        <f t="shared" si="101"/>
        <v>0.86967700806609571</v>
      </c>
      <c r="H238" s="414" t="b">
        <f>Wh_hp&gt;='2022'!Maxi_hp</f>
        <v>0</v>
      </c>
      <c r="I238" s="390">
        <f>IF(H238,Wh_hp,'2022'!Maxi_hp)</f>
        <v>52.198759439863373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4.057219310877791E-2</v>
      </c>
      <c r="M238" s="845"/>
      <c r="N238" s="845"/>
      <c r="O238" s="48">
        <f>IF(t&lt;Tnet,'2022'!Resal+('2022'!Salim-'2022'!Resal)*(1-EXP(('2022'!Tnet-t)/('2022'!Tau_j))),Resal+(Salim-Resal)*(1-EXP((Tnet-t)/(Tau_j))))*Salcycl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1.175720838117404E-4</v>
      </c>
      <c r="Q238" s="305">
        <f t="shared" si="80"/>
        <v>0.5</v>
      </c>
      <c r="R238" s="177">
        <f t="shared" si="81"/>
        <v>0.96257080315630317</v>
      </c>
      <c r="S238" s="811">
        <f t="shared" si="82"/>
        <v>0</v>
      </c>
      <c r="T238" s="176">
        <f t="shared" si="83"/>
        <v>6</v>
      </c>
      <c r="U238" s="251">
        <f t="shared" si="84"/>
        <v>0.96257080315630317</v>
      </c>
      <c r="V238" s="383">
        <f t="shared" si="85"/>
        <v>53.730247522733961</v>
      </c>
      <c r="W238" s="402">
        <f t="shared" si="86"/>
        <v>46.728983710462217</v>
      </c>
      <c r="X238" s="157">
        <f t="shared" si="87"/>
        <v>45150</v>
      </c>
      <c r="Y238" s="385">
        <f t="shared" si="88"/>
        <v>44.235788389856964</v>
      </c>
      <c r="Z238" s="385">
        <f t="shared" si="89"/>
        <v>46.106427260214197</v>
      </c>
      <c r="AA238" s="386">
        <f t="shared" si="90"/>
        <v>49.49123965225229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6.8392152142910737E-2</v>
      </c>
      <c r="AD238" s="231">
        <f>(INDEX(Models!$BJ238:$BT238,,AH238)*(1-AF238)+INDEX(Models!$BJ238:$BT238,,AH238+1)*AF238-ERP_i)*AE238*Ramure*Pc/MaxiM</f>
        <v>1.175720838117404E-4</v>
      </c>
      <c r="AE238" s="305">
        <f t="shared" si="92"/>
        <v>0.5</v>
      </c>
      <c r="AF238" s="177">
        <f t="shared" si="93"/>
        <v>0.96257080315630317</v>
      </c>
      <c r="AG238" s="811">
        <f t="shared" si="99"/>
        <v>0</v>
      </c>
      <c r="AH238" s="176">
        <f t="shared" si="94"/>
        <v>6</v>
      </c>
      <c r="AI238" s="225">
        <f t="shared" si="95"/>
        <v>0.96257080315630317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32.550335881942274</v>
      </c>
      <c r="C239" s="841"/>
      <c r="D239" s="393">
        <f t="shared" si="77"/>
        <v>33.927564533411903</v>
      </c>
      <c r="E239" s="385">
        <f t="shared" si="100"/>
        <v>34.478586162048749</v>
      </c>
      <c r="F239" s="385">
        <f t="shared" si="78"/>
        <v>34.480200547384257</v>
      </c>
      <c r="G239" s="110">
        <f t="shared" si="101"/>
        <v>0.6075435581990225</v>
      </c>
      <c r="H239" s="414" t="b">
        <f>Wh_hp&gt;='2022'!Maxi_hp</f>
        <v>0</v>
      </c>
      <c r="I239" s="390">
        <f>IF(H239,Wh_hp,'2022'!Maxi_hp)</f>
        <v>49.571963401626377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4.0593207040055312E-2</v>
      </c>
      <c r="M239" s="845"/>
      <c r="N239" s="845"/>
      <c r="O239" s="48">
        <f>IF(t&lt;Tnet,'2022'!Resal+('2022'!Salim-'2022'!Resal)*(1-EXP(('2022'!Tnet-t)/('2022'!Tau_j))),Resal+(Salim-Resal)*(1-EXP((Tnet-t)/(Tau_j))))*Salcycl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1.0655591790312383E-4</v>
      </c>
      <c r="Q239" s="305">
        <f t="shared" si="80"/>
        <v>0.5</v>
      </c>
      <c r="R239" s="177">
        <f t="shared" si="81"/>
        <v>0.96388466148404672</v>
      </c>
      <c r="S239" s="811">
        <f t="shared" si="82"/>
        <v>0</v>
      </c>
      <c r="T239" s="176">
        <f t="shared" si="83"/>
        <v>6</v>
      </c>
      <c r="U239" s="251">
        <f t="shared" si="84"/>
        <v>0.96388466148404672</v>
      </c>
      <c r="V239" s="383">
        <f t="shared" si="85"/>
        <v>53.573757714242156</v>
      </c>
      <c r="W239" s="402">
        <f t="shared" si="86"/>
        <v>32.550335881942274</v>
      </c>
      <c r="X239" s="157">
        <f t="shared" si="87"/>
        <v>45151</v>
      </c>
      <c r="Y239" s="385">
        <f t="shared" si="88"/>
        <v>30.81531648974023</v>
      </c>
      <c r="Z239" s="385">
        <f t="shared" si="89"/>
        <v>32.119135194643938</v>
      </c>
      <c r="AA239" s="386">
        <f t="shared" si="90"/>
        <v>34.478586162048749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6.8432358459115342E-2</v>
      </c>
      <c r="AD239" s="231">
        <f>(INDEX(Models!$BJ239:$BT239,,AH239)*(1-AF239)+INDEX(Models!$BJ239:$BT239,,AH239+1)*AF239-ERP_i)*AE239*Ramure*Pc/MaxiM</f>
        <v>1.0655591790312383E-4</v>
      </c>
      <c r="AE239" s="305">
        <f t="shared" si="92"/>
        <v>0.5</v>
      </c>
      <c r="AF239" s="177">
        <f t="shared" si="93"/>
        <v>0.96388466148404672</v>
      </c>
      <c r="AG239" s="811">
        <f t="shared" si="99"/>
        <v>0</v>
      </c>
      <c r="AH239" s="176">
        <f t="shared" si="94"/>
        <v>6</v>
      </c>
      <c r="AI239" s="225">
        <f t="shared" si="95"/>
        <v>0.96388466148404672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33.841210847391515</v>
      </c>
      <c r="C240" s="841"/>
      <c r="D240" s="393">
        <f t="shared" si="77"/>
        <v>35.273829955473225</v>
      </c>
      <c r="E240" s="385">
        <f t="shared" si="100"/>
        <v>35.850216778512284</v>
      </c>
      <c r="F240" s="385">
        <f t="shared" si="78"/>
        <v>35.851869866969508</v>
      </c>
      <c r="G240" s="110">
        <f t="shared" si="101"/>
        <v>0.63351350645058346</v>
      </c>
      <c r="H240" s="414" t="b">
        <f>Wh_hp&gt;='2022'!Maxi_hp</f>
        <v>0</v>
      </c>
      <c r="I240" s="390">
        <f>IF(H240,Wh_hp,'2022'!Maxi_hp)</f>
        <v>57.385484130512104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4.0614220511073773E-2</v>
      </c>
      <c r="M240" s="845"/>
      <c r="N240" s="845"/>
      <c r="O240" s="48">
        <f>IF(t&lt;Tnet,'2022'!Resal+('2022'!Salim-'2022'!Resal)*(1-EXP(('2022'!Tnet-t)/('2022'!Tau_j))),Resal+(Salim-Resal)*(1-EXP((Tnet-t)/(Tau_j))))*Salcycl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9.6766961258749372E-5</v>
      </c>
      <c r="Q240" s="305">
        <f t="shared" si="80"/>
        <v>0.5</v>
      </c>
      <c r="R240" s="177">
        <f t="shared" si="81"/>
        <v>0.9651526080449957</v>
      </c>
      <c r="S240" s="811">
        <f t="shared" si="82"/>
        <v>0</v>
      </c>
      <c r="T240" s="176">
        <f t="shared" si="83"/>
        <v>6</v>
      </c>
      <c r="U240" s="251">
        <f t="shared" si="84"/>
        <v>0.9651526080449957</v>
      </c>
      <c r="V240" s="383">
        <f t="shared" si="85"/>
        <v>53.415587973934564</v>
      </c>
      <c r="W240" s="402">
        <f t="shared" si="86"/>
        <v>33.841210847391515</v>
      </c>
      <c r="X240" s="157">
        <f t="shared" si="87"/>
        <v>45152</v>
      </c>
      <c r="Y240" s="385">
        <f t="shared" si="88"/>
        <v>32.039137175814695</v>
      </c>
      <c r="Z240" s="385">
        <f t="shared" si="89"/>
        <v>33.39546808050693</v>
      </c>
      <c r="AA240" s="386">
        <f t="shared" si="90"/>
        <v>35.850216778512284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6.8472352989415355E-2</v>
      </c>
      <c r="AD240" s="231">
        <f>(INDEX(Models!$BJ240:$BT240,,AH240)*(1-AF240)+INDEX(Models!$BJ240:$BT240,,AH240+1)*AF240-ERP_i)*AE240*Ramure*Pc/MaxiM</f>
        <v>9.6766961258749372E-5</v>
      </c>
      <c r="AE240" s="305">
        <f t="shared" si="92"/>
        <v>0.5</v>
      </c>
      <c r="AF240" s="177">
        <f t="shared" si="93"/>
        <v>0.9651526080449957</v>
      </c>
      <c r="AG240" s="811">
        <f t="shared" si="99"/>
        <v>0</v>
      </c>
      <c r="AH240" s="176">
        <f t="shared" si="94"/>
        <v>6</v>
      </c>
      <c r="AI240" s="225">
        <f t="shared" si="95"/>
        <v>0.9651526080449957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38.802312761809461</v>
      </c>
      <c r="C241" s="841"/>
      <c r="D241" s="393">
        <f t="shared" si="77"/>
        <v>40.445838869248206</v>
      </c>
      <c r="E241" s="385">
        <f t="shared" si="100"/>
        <v>41.110746337398801</v>
      </c>
      <c r="F241" s="385">
        <f t="shared" si="78"/>
        <v>41.112949847861032</v>
      </c>
      <c r="G241" s="110">
        <f t="shared" si="101"/>
        <v>0.72857956747079866</v>
      </c>
      <c r="H241" s="414" t="b">
        <f>Wh_hp&gt;='2022'!Maxi_hp</f>
        <v>0</v>
      </c>
      <c r="I241" s="390">
        <f>IF(H241,Wh_hp,'2022'!Maxi_hp)</f>
        <v>56.300151621417385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4.0635233521843284E-2</v>
      </c>
      <c r="M241" s="845"/>
      <c r="N241" s="845"/>
      <c r="O241" s="48">
        <f>IF(t&lt;Tnet,'2022'!Resal+('2022'!Salim-'2022'!Resal)*(1-EXP(('2022'!Tnet-t)/('2022'!Tau_j))),Resal+(Salim-Resal)*(1-EXP((Tnet-t)/(Tau_j))))*Salcycl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8.7534246705885964E-5</v>
      </c>
      <c r="Q241" s="305">
        <f t="shared" si="80"/>
        <v>0.5</v>
      </c>
      <c r="R241" s="177">
        <f t="shared" si="81"/>
        <v>0.96637599256803586</v>
      </c>
      <c r="S241" s="811">
        <f t="shared" si="82"/>
        <v>0</v>
      </c>
      <c r="T241" s="176">
        <f t="shared" si="83"/>
        <v>6</v>
      </c>
      <c r="U241" s="251">
        <f t="shared" si="84"/>
        <v>0.96637599256803586</v>
      </c>
      <c r="V241" s="383">
        <f t="shared" si="85"/>
        <v>53.255673862898107</v>
      </c>
      <c r="W241" s="402">
        <f t="shared" si="86"/>
        <v>38.802312761809461</v>
      </c>
      <c r="X241" s="157">
        <f t="shared" si="87"/>
        <v>45153</v>
      </c>
      <c r="Y241" s="385">
        <f t="shared" si="88"/>
        <v>36.738069306932623</v>
      </c>
      <c r="Z241" s="385">
        <f t="shared" si="89"/>
        <v>38.294161502093367</v>
      </c>
      <c r="AA241" s="386">
        <f t="shared" si="90"/>
        <v>41.110746337398801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6.8512130920453843E-2</v>
      </c>
      <c r="AD241" s="231">
        <f>(INDEX(Models!$BJ241:$BT241,,AH241)*(1-AF241)+INDEX(Models!$BJ241:$BT241,,AH241+1)*AF241-ERP_i)*AE241*Ramure*Pc/MaxiM</f>
        <v>8.7534246705885964E-5</v>
      </c>
      <c r="AE241" s="305">
        <f t="shared" si="92"/>
        <v>0.5</v>
      </c>
      <c r="AF241" s="177">
        <f t="shared" si="93"/>
        <v>0.96637599256803586</v>
      </c>
      <c r="AG241" s="811">
        <f t="shared" si="99"/>
        <v>0</v>
      </c>
      <c r="AH241" s="176">
        <f t="shared" si="94"/>
        <v>6</v>
      </c>
      <c r="AI241" s="225">
        <f t="shared" si="95"/>
        <v>0.96637599256803586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32.594024388483554</v>
      </c>
      <c r="C242" s="841"/>
      <c r="D242" s="393">
        <f t="shared" si="77"/>
        <v>33.975333924926439</v>
      </c>
      <c r="E242" s="385">
        <f t="shared" si="100"/>
        <v>34.537232212700161</v>
      </c>
      <c r="F242" s="385">
        <f t="shared" si="78"/>
        <v>34.538453614025286</v>
      </c>
      <c r="G242" s="110">
        <f t="shared" si="101"/>
        <v>0.61386708286337566</v>
      </c>
      <c r="H242" s="414" t="b">
        <f>Wh_hp&gt;='2022'!Maxi_hp</f>
        <v>0</v>
      </c>
      <c r="I242" s="390">
        <f>IF(H242,Wh_hp,'2022'!Maxi_hp)</f>
        <v>56.421516120211891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4.0656246072373947E-2</v>
      </c>
      <c r="M242" s="845"/>
      <c r="N242" s="845"/>
      <c r="O242" s="48">
        <f>IF(t&lt;Tnet,'2022'!Resal+('2022'!Salim-'2022'!Resal)*(1-EXP(('2022'!Tnet-t)/('2022'!Tau_j))),Resal+(Salim-Resal)*(1-EXP((Tnet-t)/(Tau_j))))*Salcycl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7.8862550283308359E-5</v>
      </c>
      <c r="Q242" s="305">
        <f t="shared" si="80"/>
        <v>0.5</v>
      </c>
      <c r="R242" s="177">
        <f t="shared" si="81"/>
        <v>0.96755614419605462</v>
      </c>
      <c r="S242" s="811">
        <f t="shared" si="82"/>
        <v>0</v>
      </c>
      <c r="T242" s="176">
        <f t="shared" si="83"/>
        <v>6</v>
      </c>
      <c r="U242" s="251">
        <f t="shared" si="84"/>
        <v>0.96755614419605462</v>
      </c>
      <c r="V242" s="383">
        <f t="shared" si="85"/>
        <v>53.093914692232111</v>
      </c>
      <c r="W242" s="402">
        <f t="shared" si="86"/>
        <v>32.594024388483554</v>
      </c>
      <c r="X242" s="157">
        <f t="shared" si="87"/>
        <v>45154</v>
      </c>
      <c r="Y242" s="385">
        <f t="shared" si="88"/>
        <v>30.861749617981122</v>
      </c>
      <c r="Z242" s="385">
        <f t="shared" si="89"/>
        <v>32.16964668986563</v>
      </c>
      <c r="AA242" s="386">
        <f t="shared" si="90"/>
        <v>34.537232212700161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6.85516867203943E-2</v>
      </c>
      <c r="AD242" s="231">
        <f>(INDEX(Models!$BJ242:$BT242,,AH242)*(1-AF242)+INDEX(Models!$BJ242:$BT242,,AH242+1)*AF242-ERP_i)*AE242*Ramure*Pc/MaxiM</f>
        <v>7.8862550283308359E-5</v>
      </c>
      <c r="AE242" s="305">
        <f t="shared" si="92"/>
        <v>0.5</v>
      </c>
      <c r="AF242" s="177">
        <f t="shared" si="93"/>
        <v>0.96755614419605462</v>
      </c>
      <c r="AG242" s="811">
        <f t="shared" si="99"/>
        <v>0</v>
      </c>
      <c r="AH242" s="176">
        <f t="shared" si="94"/>
        <v>6</v>
      </c>
      <c r="AI242" s="225">
        <f t="shared" si="95"/>
        <v>0.96755614419605462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22.404688807469206</v>
      </c>
      <c r="C243" s="841"/>
      <c r="D243" s="393">
        <f t="shared" si="77"/>
        <v>23.354693712940715</v>
      </c>
      <c r="E243" s="385">
        <f t="shared" si="100"/>
        <v>23.743251512894986</v>
      </c>
      <c r="F243" s="385">
        <f t="shared" si="78"/>
        <v>23.743547405084023</v>
      </c>
      <c r="G243" s="110">
        <f t="shared" si="101"/>
        <v>0.42326268474100825</v>
      </c>
      <c r="H243" s="414" t="b">
        <f>Wh_hp&gt;='2022'!Maxi_hp</f>
        <v>0</v>
      </c>
      <c r="I243" s="390">
        <f>IF(H243,Wh_hp,'2022'!Maxi_hp)</f>
        <v>55.293372982977111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4.0677258162675756E-2</v>
      </c>
      <c r="M243" s="845"/>
      <c r="N243" s="845"/>
      <c r="O243" s="48">
        <f>IF(t&lt;Tnet,'2022'!Resal+('2022'!Salim-'2022'!Resal)*(1-EXP(('2022'!Tnet-t)/('2022'!Tau_j))),Resal+(Salim-Resal)*(1-EXP((Tnet-t)/(Tau_j))))*Salcycl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7.0756669250958537E-5</v>
      </c>
      <c r="Q243" s="305">
        <f t="shared" si="80"/>
        <v>0.5</v>
      </c>
      <c r="R243" s="177">
        <f t="shared" si="81"/>
        <v>0.96869437023090721</v>
      </c>
      <c r="S243" s="811">
        <f t="shared" si="82"/>
        <v>0</v>
      </c>
      <c r="T243" s="176">
        <f t="shared" si="83"/>
        <v>6</v>
      </c>
      <c r="U243" s="251">
        <f t="shared" si="84"/>
        <v>0.96869437023090721</v>
      </c>
      <c r="V243" s="383">
        <f t="shared" si="85"/>
        <v>52.930209831922824</v>
      </c>
      <c r="W243" s="402">
        <f t="shared" si="86"/>
        <v>22.404688807469206</v>
      </c>
      <c r="X243" s="157">
        <f t="shared" si="87"/>
        <v>45155</v>
      </c>
      <c r="Y243" s="385">
        <f t="shared" si="88"/>
        <v>21.215113352626421</v>
      </c>
      <c r="Z243" s="385">
        <f t="shared" si="89"/>
        <v>22.114677811134328</v>
      </c>
      <c r="AA243" s="386">
        <f t="shared" si="90"/>
        <v>23.743251512894986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6.8591014203601322E-2</v>
      </c>
      <c r="AD243" s="231">
        <f>(INDEX(Models!$BJ243:$BT243,,AH243)*(1-AF243)+INDEX(Models!$BJ243:$BT243,,AH243+1)*AF243-ERP_i)*AE243*Ramure*Pc/MaxiM</f>
        <v>7.0756669250958537E-5</v>
      </c>
      <c r="AE243" s="305">
        <f t="shared" si="92"/>
        <v>0.5</v>
      </c>
      <c r="AF243" s="177">
        <f t="shared" si="93"/>
        <v>0.96869437023090721</v>
      </c>
      <c r="AG243" s="811">
        <f t="shared" si="99"/>
        <v>0</v>
      </c>
      <c r="AH243" s="176">
        <f t="shared" si="94"/>
        <v>6</v>
      </c>
      <c r="AI243" s="225">
        <f t="shared" si="95"/>
        <v>0.96869437023090721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38.984854008467558</v>
      </c>
      <c r="C244" s="841"/>
      <c r="D244" s="393">
        <f t="shared" si="77"/>
        <v>40.638782127543472</v>
      </c>
      <c r="E244" s="385">
        <f t="shared" si="100"/>
        <v>41.318910161496113</v>
      </c>
      <c r="F244" s="385">
        <f t="shared" si="78"/>
        <v>41.3205479030376</v>
      </c>
      <c r="G244" s="110">
        <f t="shared" si="101"/>
        <v>0.73882942063547696</v>
      </c>
      <c r="H244" s="414" t="b">
        <f>Wh_hp&gt;='2022'!Maxi_hp</f>
        <v>0</v>
      </c>
      <c r="I244" s="390">
        <f>IF(H244,Wh_hp,'2022'!Maxi_hp)</f>
        <v>53.147705265054185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4.0698269792758923E-2</v>
      </c>
      <c r="M244" s="845"/>
      <c r="N244" s="845"/>
      <c r="O244" s="48">
        <f>IF(t&lt;Tnet,'2022'!Resal+('2022'!Salim-'2022'!Resal)*(1-EXP(('2022'!Tnet-t)/('2022'!Tau_j))),Resal+(Salim-Resal)*(1-EXP((Tnet-t)/(Tau_j))))*Salcycl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6.322143512526817E-5</v>
      </c>
      <c r="Q244" s="305">
        <f t="shared" si="80"/>
        <v>0.5</v>
      </c>
      <c r="R244" s="177">
        <f t="shared" si="81"/>
        <v>0.9697919550357208</v>
      </c>
      <c r="S244" s="811">
        <f t="shared" si="82"/>
        <v>0</v>
      </c>
      <c r="T244" s="176">
        <f t="shared" si="83"/>
        <v>6</v>
      </c>
      <c r="U244" s="251">
        <f t="shared" si="84"/>
        <v>0.9697919550357208</v>
      </c>
      <c r="V244" s="383">
        <f t="shared" si="85"/>
        <v>52.764458711314106</v>
      </c>
      <c r="W244" s="402">
        <f t="shared" si="86"/>
        <v>38.984854008467558</v>
      </c>
      <c r="X244" s="157">
        <f t="shared" si="87"/>
        <v>45156</v>
      </c>
      <c r="Y244" s="385">
        <f t="shared" si="88"/>
        <v>36.916989746426388</v>
      </c>
      <c r="Z244" s="385">
        <f t="shared" si="89"/>
        <v>38.483188952917963</v>
      </c>
      <c r="AA244" s="386">
        <f t="shared" si="90"/>
        <v>41.318910161496113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6.8630106590291326E-2</v>
      </c>
      <c r="AD244" s="231">
        <f>(INDEX(Models!$BJ244:$BT244,,AH244)*(1-AF244)+INDEX(Models!$BJ244:$BT244,,AH244+1)*AF244-ERP_i)*AE244*Ramure*Pc/MaxiM</f>
        <v>6.322143512526817E-5</v>
      </c>
      <c r="AE244" s="305">
        <f t="shared" si="92"/>
        <v>0.5</v>
      </c>
      <c r="AF244" s="177">
        <f t="shared" si="93"/>
        <v>0.9697919550357208</v>
      </c>
      <c r="AG244" s="811">
        <f t="shared" si="99"/>
        <v>0</v>
      </c>
      <c r="AH244" s="176">
        <f t="shared" si="94"/>
        <v>6</v>
      </c>
      <c r="AI244" s="225">
        <f t="shared" si="95"/>
        <v>0.9697919550357208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40.364531549284457</v>
      </c>
      <c r="C245" s="841"/>
      <c r="D245" s="393">
        <f t="shared" si="77"/>
        <v>42.077913949724817</v>
      </c>
      <c r="E245" s="385">
        <f t="shared" si="100"/>
        <v>42.786273843395222</v>
      </c>
      <c r="F245" s="385">
        <f t="shared" si="78"/>
        <v>42.787881371632402</v>
      </c>
      <c r="G245" s="110">
        <f t="shared" si="101"/>
        <v>0.76742236371129646</v>
      </c>
      <c r="H245" s="414" t="b">
        <f>Wh_hp&gt;='2022'!Maxi_hp</f>
        <v>0</v>
      </c>
      <c r="I245" s="390">
        <f>IF(H245,Wh_hp,'2022'!Maxi_hp)</f>
        <v>53.076716411968974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4.0719280962633442E-2</v>
      </c>
      <c r="M245" s="845"/>
      <c r="N245" s="845"/>
      <c r="O245" s="48">
        <f>IF(t&lt;Tnet,'2022'!Resal+('2022'!Salim-'2022'!Resal)*(1-EXP(('2022'!Tnet-t)/('2022'!Tau_j))),Resal+(Salim-Resal)*(1-EXP((Tnet-t)/(Tau_j))))*Salcycl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5.6261726010903443E-5</v>
      </c>
      <c r="Q245" s="305">
        <f t="shared" si="80"/>
        <v>0.5</v>
      </c>
      <c r="R245" s="177">
        <f t="shared" si="81"/>
        <v>0.97085015908516015</v>
      </c>
      <c r="S245" s="811">
        <f t="shared" si="82"/>
        <v>0</v>
      </c>
      <c r="T245" s="176">
        <f t="shared" si="83"/>
        <v>6</v>
      </c>
      <c r="U245" s="251">
        <f t="shared" si="84"/>
        <v>0.97085015908516015</v>
      </c>
      <c r="V245" s="383">
        <f t="shared" si="85"/>
        <v>52.596560818493245</v>
      </c>
      <c r="W245" s="402">
        <f t="shared" si="86"/>
        <v>40.364531549284457</v>
      </c>
      <c r="X245" s="157">
        <f t="shared" si="87"/>
        <v>45157</v>
      </c>
      <c r="Y245" s="385">
        <f t="shared" si="88"/>
        <v>38.225595620008008</v>
      </c>
      <c r="Z245" s="385">
        <f t="shared" si="89"/>
        <v>39.848185063457969</v>
      </c>
      <c r="AA245" s="386">
        <f t="shared" si="90"/>
        <v>42.786273843395222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6.8668956560488076E-2</v>
      </c>
      <c r="AD245" s="231">
        <f>(INDEX(Models!$BJ245:$BT245,,AH245)*(1-AF245)+INDEX(Models!$BJ245:$BT245,,AH245+1)*AF245-ERP_i)*AE245*Ramure*Pc/MaxiM</f>
        <v>5.6261726010903443E-5</v>
      </c>
      <c r="AE245" s="305">
        <f t="shared" si="92"/>
        <v>0.5</v>
      </c>
      <c r="AF245" s="177">
        <f t="shared" si="93"/>
        <v>0.97085015908516015</v>
      </c>
      <c r="AG245" s="811">
        <f t="shared" si="99"/>
        <v>0</v>
      </c>
      <c r="AH245" s="176">
        <f t="shared" si="94"/>
        <v>6</v>
      </c>
      <c r="AI245" s="225">
        <f t="shared" si="95"/>
        <v>0.97085015908516015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48.070243638835677</v>
      </c>
      <c r="C246" s="841"/>
      <c r="D246" s="393">
        <f t="shared" si="77"/>
        <v>50.111813538627757</v>
      </c>
      <c r="E246" s="385">
        <f t="shared" si="100"/>
        <v>50.960351078104708</v>
      </c>
      <c r="F246" s="385">
        <f t="shared" si="78"/>
        <v>50.962591462170657</v>
      </c>
      <c r="G246" s="110">
        <f t="shared" si="101"/>
        <v>0.91690340370344636</v>
      </c>
      <c r="H246" s="414" t="b">
        <f>Wh_hp&gt;='2022'!Maxi_hp</f>
        <v>0</v>
      </c>
      <c r="I246" s="390">
        <f>IF(H246,Wh_hp,'2022'!Maxi_hp)</f>
        <v>53.656818151544883</v>
      </c>
      <c r="J246" s="85">
        <f>IF(H246,An,'2022'!An_max)</f>
        <v>2018</v>
      </c>
      <c r="K246" s="197">
        <f t="shared" si="79"/>
        <v>45158</v>
      </c>
      <c r="L246" s="147">
        <f>IF(t&lt;Tvie,1-EXP((T0-t)*PertePVj)+'2022'!Pspv,1-EXP((T0-t)*PertePVj)+Pspv)</f>
        <v>4.0740291672309414E-2</v>
      </c>
      <c r="M246" s="845"/>
      <c r="N246" s="845"/>
      <c r="O246" s="48">
        <f>IF(t&lt;Tnet,'2022'!Resal+('2022'!Salim-'2022'!Resal)*(1-EXP(('2022'!Tnet-t)/('2022'!Tau_j))),Resal+(Salim-Resal)*(1-EXP((Tnet-t)/(Tau_j))))*Salcycl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4.988247834669506E-5</v>
      </c>
      <c r="Q246" s="305">
        <f t="shared" si="80"/>
        <v>0.5</v>
      </c>
      <c r="R246" s="177">
        <f t="shared" si="81"/>
        <v>0.97187021815444541</v>
      </c>
      <c r="S246" s="811">
        <f t="shared" si="82"/>
        <v>0</v>
      </c>
      <c r="T246" s="176">
        <f t="shared" si="83"/>
        <v>6</v>
      </c>
      <c r="U246" s="251">
        <f t="shared" si="84"/>
        <v>0.97187021815444541</v>
      </c>
      <c r="V246" s="383">
        <f t="shared" si="85"/>
        <v>52.42641569639936</v>
      </c>
      <c r="W246" s="402">
        <f t="shared" si="86"/>
        <v>48.070243638835677</v>
      </c>
      <c r="X246" s="157">
        <f t="shared" si="87"/>
        <v>45158</v>
      </c>
      <c r="Y246" s="385">
        <f t="shared" si="88"/>
        <v>45.525496796770469</v>
      </c>
      <c r="Z246" s="385">
        <f t="shared" si="89"/>
        <v>47.458989887250226</v>
      </c>
      <c r="AA246" s="386">
        <f t="shared" si="90"/>
        <v>50.960351078104708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6.8707556301723691E-2</v>
      </c>
      <c r="AD246" s="231">
        <f>(INDEX(Models!$BJ246:$BT246,,AH246)*(1-AF246)+INDEX(Models!$BJ246:$BT246,,AH246+1)*AF246-ERP_i)*AE246*Ramure*Pc/MaxiM</f>
        <v>4.988247834669506E-5</v>
      </c>
      <c r="AE246" s="305">
        <f t="shared" si="92"/>
        <v>0.5</v>
      </c>
      <c r="AF246" s="177">
        <f t="shared" si="93"/>
        <v>0.97187021815444541</v>
      </c>
      <c r="AG246" s="811">
        <f t="shared" si="99"/>
        <v>0</v>
      </c>
      <c r="AH246" s="176">
        <f t="shared" si="94"/>
        <v>6</v>
      </c>
      <c r="AI246" s="225">
        <f t="shared" si="95"/>
        <v>0.97187021815444541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32.405473695549219</v>
      </c>
      <c r="C247" s="841"/>
      <c r="D247" s="393">
        <f t="shared" si="77"/>
        <v>33.782492053825926</v>
      </c>
      <c r="E247" s="385">
        <f t="shared" si="100"/>
        <v>34.357846365047401</v>
      </c>
      <c r="F247" s="385">
        <f t="shared" si="78"/>
        <v>34.358539110506428</v>
      </c>
      <c r="G247" s="110">
        <f t="shared" si="101"/>
        <v>0.62011522118013052</v>
      </c>
      <c r="H247" s="414" t="b">
        <f>Wh_hp&gt;='2022'!Maxi_hp</f>
        <v>0</v>
      </c>
      <c r="I247" s="390">
        <f>IF(H247,Wh_hp,'2022'!Maxi_hp)</f>
        <v>54.498162972904758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4.0761301921796944E-2</v>
      </c>
      <c r="M247" s="845"/>
      <c r="N247" s="845"/>
      <c r="O247" s="48">
        <f>IF(t&lt;Tnet,'2022'!Resal+('2022'!Salim-'2022'!Resal)*(1-EXP(('2022'!Tnet-t)/('2022'!Tau_j))),Resal+(Salim-Resal)*(1-EXP((Tnet-t)/(Tau_j))))*Salcycl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4.4087003792275874E-5</v>
      </c>
      <c r="Q247" s="305">
        <f t="shared" si="80"/>
        <v>0.5</v>
      </c>
      <c r="R247" s="177">
        <f t="shared" si="81"/>
        <v>0.97285334263810963</v>
      </c>
      <c r="S247" s="811">
        <f t="shared" si="82"/>
        <v>0</v>
      </c>
      <c r="T247" s="176">
        <f t="shared" si="83"/>
        <v>6</v>
      </c>
      <c r="U247" s="251">
        <f t="shared" si="84"/>
        <v>0.97285334263810963</v>
      </c>
      <c r="V247" s="383">
        <f t="shared" si="85"/>
        <v>52.255931285273682</v>
      </c>
      <c r="W247" s="402">
        <f t="shared" si="86"/>
        <v>32.405473695549219</v>
      </c>
      <c r="X247" s="157">
        <f t="shared" si="87"/>
        <v>45159</v>
      </c>
      <c r="Y247" s="385">
        <f t="shared" si="88"/>
        <v>30.691691434615674</v>
      </c>
      <c r="Z247" s="385">
        <f t="shared" si="89"/>
        <v>31.995885378795986</v>
      </c>
      <c r="AA247" s="386">
        <f t="shared" si="90"/>
        <v>34.357846365047401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6.8745897550035656E-2</v>
      </c>
      <c r="AD247" s="231">
        <f>(INDEX(Models!$BJ247:$BT247,,AH247)*(1-AF247)+INDEX(Models!$BJ247:$BT247,,AH247+1)*AF247-ERP_i)*AE247*Ramure*Pc/MaxiM</f>
        <v>4.4087003792275874E-5</v>
      </c>
      <c r="AE247" s="305">
        <f t="shared" si="92"/>
        <v>0.5</v>
      </c>
      <c r="AF247" s="177">
        <f t="shared" si="93"/>
        <v>0.97285334263810963</v>
      </c>
      <c r="AG247" s="811">
        <f t="shared" si="99"/>
        <v>0</v>
      </c>
      <c r="AH247" s="176">
        <f t="shared" si="94"/>
        <v>6</v>
      </c>
      <c r="AI247" s="225">
        <f t="shared" si="95"/>
        <v>0.97285334263810963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25.247305279213762</v>
      </c>
      <c r="C248" s="841"/>
      <c r="D248" s="393">
        <f t="shared" si="77"/>
        <v>26.320725302982389</v>
      </c>
      <c r="E248" s="385">
        <f t="shared" si="100"/>
        <v>26.771579397209013</v>
      </c>
      <c r="F248" s="385">
        <f t="shared" si="78"/>
        <v>26.77185518818067</v>
      </c>
      <c r="G248" s="110">
        <f t="shared" si="101"/>
        <v>0.48470454578306799</v>
      </c>
      <c r="H248" s="414" t="b">
        <f>Wh_hp&gt;='2022'!Maxi_hp</f>
        <v>0</v>
      </c>
      <c r="I248" s="390">
        <f>IF(H248,Wh_hp,'2022'!Maxi_hp)</f>
        <v>56.835581680919191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4.0782311711106134E-2</v>
      </c>
      <c r="M248" s="845"/>
      <c r="N248" s="845"/>
      <c r="O248" s="48">
        <f>IF(t&lt;Tnet,'2022'!Resal+('2022'!Salim-'2022'!Resal)*(1-EXP(('2022'!Tnet-t)/('2022'!Tau_j))),Resal+(Salim-Resal)*(1-EXP((Tnet-t)/(Tau_j))))*Salcycl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3.9038154905649453E-5</v>
      </c>
      <c r="Q248" s="305">
        <f t="shared" si="80"/>
        <v>0.5</v>
      </c>
      <c r="R248" s="177">
        <f t="shared" si="81"/>
        <v>0.97380071698972803</v>
      </c>
      <c r="S248" s="811">
        <f t="shared" si="82"/>
        <v>0</v>
      </c>
      <c r="T248" s="176">
        <f t="shared" si="83"/>
        <v>6</v>
      </c>
      <c r="U248" s="251">
        <f t="shared" si="84"/>
        <v>0.97380071698972803</v>
      </c>
      <c r="V248" s="383">
        <f t="shared" si="85"/>
        <v>52.086533887398467</v>
      </c>
      <c r="W248" s="402">
        <f t="shared" si="86"/>
        <v>25.247305279213762</v>
      </c>
      <c r="X248" s="157">
        <f t="shared" si="87"/>
        <v>45160</v>
      </c>
      <c r="Y248" s="385">
        <f t="shared" si="88"/>
        <v>23.913415758199672</v>
      </c>
      <c r="Z248" s="385">
        <f t="shared" si="89"/>
        <v>24.930123839623683</v>
      </c>
      <c r="AA248" s="386">
        <f t="shared" si="90"/>
        <v>26.771579397209013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6.8783971623926896E-2</v>
      </c>
      <c r="AD248" s="231">
        <f>(INDEX(Models!$BJ248:$BT248,,AH248)*(1-AF248)+INDEX(Models!$BJ248:$BT248,,AH248+1)*AF248-ERP_i)*AE248*Ramure*Pc/MaxiM</f>
        <v>3.9038154905649453E-5</v>
      </c>
      <c r="AE248" s="305">
        <f t="shared" si="92"/>
        <v>0.5</v>
      </c>
      <c r="AF248" s="177">
        <f t="shared" si="93"/>
        <v>0.97380071698972803</v>
      </c>
      <c r="AG248" s="811">
        <f t="shared" si="99"/>
        <v>0</v>
      </c>
      <c r="AH248" s="176">
        <f t="shared" si="94"/>
        <v>6</v>
      </c>
      <c r="AI248" s="225">
        <f t="shared" si="95"/>
        <v>0.97380071698972803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45.160449398863221</v>
      </c>
      <c r="C249" s="841"/>
      <c r="D249" s="393">
        <f t="shared" si="77"/>
        <v>47.081532275361546</v>
      </c>
      <c r="E249" s="385">
        <f t="shared" si="100"/>
        <v>47.892614924254431</v>
      </c>
      <c r="F249" s="385">
        <f t="shared" si="78"/>
        <v>47.893955305404603</v>
      </c>
      <c r="G249" s="110">
        <f t="shared" si="101"/>
        <v>0.86984580592378324</v>
      </c>
      <c r="H249" s="414" t="b">
        <f>Wh_hp&gt;='2022'!Maxi_hp</f>
        <v>0</v>
      </c>
      <c r="I249" s="390">
        <f>IF(H249,Wh_hp,'2022'!Maxi_hp)</f>
        <v>54.138140935976416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4.0803321040246976E-2</v>
      </c>
      <c r="M249" s="845"/>
      <c r="N249" s="845"/>
      <c r="O249" s="48">
        <f>IF(t&lt;Tnet,'2022'!Resal+('2022'!Salim-'2022'!Resal)*(1-EXP(('2022'!Tnet-t)/('2022'!Tau_j))),Resal+(Salim-Resal)*(1-EXP((Tnet-t)/(Tau_j))))*Salcycl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3.4378272796917395E-5</v>
      </c>
      <c r="Q249" s="305">
        <f t="shared" si="80"/>
        <v>0.5</v>
      </c>
      <c r="R249" s="177">
        <f t="shared" si="81"/>
        <v>0.97471349927411444</v>
      </c>
      <c r="S249" s="811">
        <f t="shared" si="82"/>
        <v>0</v>
      </c>
      <c r="T249" s="176">
        <f t="shared" si="83"/>
        <v>6</v>
      </c>
      <c r="U249" s="251">
        <f t="shared" si="84"/>
        <v>0.97471349927411444</v>
      </c>
      <c r="V249" s="383">
        <f t="shared" si="85"/>
        <v>51.917432290927707</v>
      </c>
      <c r="W249" s="402">
        <f t="shared" si="86"/>
        <v>45.160449398863221</v>
      </c>
      <c r="X249" s="157">
        <f t="shared" si="87"/>
        <v>45161</v>
      </c>
      <c r="Y249" s="385">
        <f t="shared" si="88"/>
        <v>42.776872649357834</v>
      </c>
      <c r="Z249" s="385">
        <f t="shared" si="89"/>
        <v>44.596560421528224</v>
      </c>
      <c r="AA249" s="386">
        <f t="shared" si="90"/>
        <v>47.892614924254431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6.8821769451076223E-2</v>
      </c>
      <c r="AD249" s="231">
        <f>(INDEX(Models!$BJ249:$BT249,,AH249)*(1-AF249)+INDEX(Models!$BJ249:$BT249,,AH249+1)*AF249-ERP_i)*AE249*Ramure*Pc/MaxiM</f>
        <v>3.4378272796917395E-5</v>
      </c>
      <c r="AE249" s="305">
        <f t="shared" si="92"/>
        <v>0.5</v>
      </c>
      <c r="AF249" s="177">
        <f t="shared" si="93"/>
        <v>0.97471349927411444</v>
      </c>
      <c r="AG249" s="811">
        <f t="shared" si="99"/>
        <v>0</v>
      </c>
      <c r="AH249" s="176">
        <f t="shared" si="94"/>
        <v>6</v>
      </c>
      <c r="AI249" s="225">
        <f t="shared" si="95"/>
        <v>0.97471349927411444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46.658567956673515</v>
      </c>
      <c r="C250" s="841"/>
      <c r="D250" s="393">
        <f t="shared" si="77"/>
        <v>48.644444820267424</v>
      </c>
      <c r="E250" s="385">
        <f t="shared" si="100"/>
        <v>49.487209170362917</v>
      </c>
      <c r="F250" s="385">
        <f t="shared" si="78"/>
        <v>49.488489993050074</v>
      </c>
      <c r="G250" s="110">
        <f t="shared" si="101"/>
        <v>0.90164906576943038</v>
      </c>
      <c r="H250" s="414" t="b">
        <f>Wh_hp&gt;='2022'!Maxi_hp</f>
        <v>0</v>
      </c>
      <c r="I250" s="390">
        <f>IF(H250,Wh_hp,'2022'!Maxi_hp)</f>
        <v>54.480093410292213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4.0824329909229573E-2</v>
      </c>
      <c r="M250" s="845"/>
      <c r="N250" s="845"/>
      <c r="O250" s="48">
        <f>IF(t&lt;Tnet,'2022'!Resal+('2022'!Salim-'2022'!Resal)*(1-EXP(('2022'!Tnet-t)/('2022'!Tau_j))),Resal+(Salim-Resal)*(1-EXP((Tnet-t)/(Tau_j))))*Salcycl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3.0111809118932536E-5</v>
      </c>
      <c r="Q250" s="305">
        <f t="shared" si="80"/>
        <v>0.5</v>
      </c>
      <c r="R250" s="177">
        <f t="shared" si="81"/>
        <v>0.97559282082377863</v>
      </c>
      <c r="S250" s="811">
        <f t="shared" si="82"/>
        <v>0</v>
      </c>
      <c r="T250" s="176">
        <f t="shared" si="83"/>
        <v>6</v>
      </c>
      <c r="U250" s="251">
        <f t="shared" si="84"/>
        <v>0.97559282082377863</v>
      </c>
      <c r="V250" s="383">
        <f t="shared" si="85"/>
        <v>51.74781667266263</v>
      </c>
      <c r="W250" s="402">
        <f t="shared" si="86"/>
        <v>46.658567956673515</v>
      </c>
      <c r="X250" s="157">
        <f t="shared" si="87"/>
        <v>45162</v>
      </c>
      <c r="Y250" s="385">
        <f t="shared" si="88"/>
        <v>44.198388523344711</v>
      </c>
      <c r="Z250" s="385">
        <f t="shared" si="89"/>
        <v>46.079555499111073</v>
      </c>
      <c r="AA250" s="386">
        <f t="shared" si="90"/>
        <v>49.487209170362917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6.8859281587708362E-2</v>
      </c>
      <c r="AD250" s="231">
        <f>(INDEX(Models!$BJ250:$BT250,,AH250)*(1-AF250)+INDEX(Models!$BJ250:$BT250,,AH250+1)*AF250-ERP_i)*AE250*Ramure*Pc/MaxiM</f>
        <v>3.0111809118932536E-5</v>
      </c>
      <c r="AE250" s="305">
        <f t="shared" si="92"/>
        <v>0.5</v>
      </c>
      <c r="AF250" s="177">
        <f t="shared" si="93"/>
        <v>0.97559282082377863</v>
      </c>
      <c r="AG250" s="811">
        <f t="shared" si="99"/>
        <v>0</v>
      </c>
      <c r="AH250" s="176">
        <f t="shared" si="94"/>
        <v>6</v>
      </c>
      <c r="AI250" s="225">
        <f t="shared" si="95"/>
        <v>0.97559282082377863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33.292538781264405</v>
      </c>
      <c r="C251" s="841"/>
      <c r="D251" s="393">
        <f t="shared" si="77"/>
        <v>34.710292418204915</v>
      </c>
      <c r="E251" s="385">
        <f t="shared" si="100"/>
        <v>35.315036637068467</v>
      </c>
      <c r="F251" s="385">
        <f t="shared" si="78"/>
        <v>35.31549406175197</v>
      </c>
      <c r="G251" s="110">
        <f t="shared" si="101"/>
        <v>0.6454849120758831</v>
      </c>
      <c r="H251" s="414" t="b">
        <f>Wh_hp&gt;='2022'!Maxi_hp</f>
        <v>0</v>
      </c>
      <c r="I251" s="390">
        <f>IF(H251,Wh_hp,'2022'!Maxi_hp)</f>
        <v>50.04617729749566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4.0845338318064028E-2</v>
      </c>
      <c r="M251" s="845"/>
      <c r="N251" s="845"/>
      <c r="O251" s="48">
        <f>IF(t&lt;Tnet,'2022'!Resal+('2022'!Salim-'2022'!Resal)*(1-EXP(('2022'!Tnet-t)/('2022'!Tau_j))),Resal+(Salim-Resal)*(1-EXP((Tnet-t)/(Tau_j))))*Salcycl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2.624293954717462E-5</v>
      </c>
      <c r="Q251" s="305">
        <f t="shared" si="80"/>
        <v>0.5</v>
      </c>
      <c r="R251" s="177">
        <f t="shared" si="81"/>
        <v>0.9764397859917433</v>
      </c>
      <c r="S251" s="811">
        <f t="shared" si="82"/>
        <v>0</v>
      </c>
      <c r="T251" s="176">
        <f t="shared" si="83"/>
        <v>6</v>
      </c>
      <c r="U251" s="251">
        <f t="shared" si="84"/>
        <v>0.9764397859917433</v>
      </c>
      <c r="V251" s="383">
        <f t="shared" si="85"/>
        <v>51.576877601515861</v>
      </c>
      <c r="W251" s="402">
        <f t="shared" si="86"/>
        <v>33.292538781264405</v>
      </c>
      <c r="X251" s="157">
        <f t="shared" si="87"/>
        <v>45163</v>
      </c>
      <c r="Y251" s="385">
        <f t="shared" si="88"/>
        <v>31.538879730847672</v>
      </c>
      <c r="Z251" s="385">
        <f t="shared" si="89"/>
        <v>32.881954277887083</v>
      </c>
      <c r="AA251" s="386">
        <f t="shared" si="90"/>
        <v>35.315036637068467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6.8896498230657216E-2</v>
      </c>
      <c r="AD251" s="231">
        <f>(INDEX(Models!$BJ251:$BT251,,AH251)*(1-AF251)+INDEX(Models!$BJ251:$BT251,,AH251+1)*AF251-ERP_i)*AE251*Ramure*Pc/MaxiM</f>
        <v>2.624293954717462E-5</v>
      </c>
      <c r="AE251" s="305">
        <f t="shared" si="92"/>
        <v>0.5</v>
      </c>
      <c r="AF251" s="177">
        <f t="shared" si="93"/>
        <v>0.9764397859917433</v>
      </c>
      <c r="AG251" s="811">
        <f t="shared" si="99"/>
        <v>0</v>
      </c>
      <c r="AH251" s="176">
        <f t="shared" si="94"/>
        <v>6</v>
      </c>
      <c r="AI251" s="225">
        <f t="shared" si="95"/>
        <v>0.9764397859917433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41.824231770276988</v>
      </c>
      <c r="C252" s="841"/>
      <c r="D252" s="393">
        <f t="shared" si="77"/>
        <v>43.606260303227153</v>
      </c>
      <c r="E252" s="385">
        <f t="shared" si="100"/>
        <v>44.370245850024247</v>
      </c>
      <c r="F252" s="385">
        <f t="shared" si="78"/>
        <v>44.370987382631519</v>
      </c>
      <c r="G252" s="110">
        <f t="shared" si="101"/>
        <v>0.81363582563579973</v>
      </c>
      <c r="H252" s="414" t="b">
        <f>Wh_hp&gt;='2022'!Maxi_hp</f>
        <v>0</v>
      </c>
      <c r="I252" s="390">
        <f>IF(H252,Wh_hp,'2022'!Maxi_hp)</f>
        <v>54.589001673677714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4.0866346266760334E-2</v>
      </c>
      <c r="M252" s="845"/>
      <c r="N252" s="845"/>
      <c r="O252" s="48">
        <f>IF(t&lt;Tnet,'2022'!Resal+('2022'!Salim-'2022'!Resal)*(1-EXP(('2022'!Tnet-t)/('2022'!Tau_j))),Resal+(Salim-Resal)*(1-EXP((Tnet-t)/(Tau_j))))*Salcycl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2.2775594427291994E-5</v>
      </c>
      <c r="Q252" s="305">
        <f t="shared" si="80"/>
        <v>0.5</v>
      </c>
      <c r="R252" s="177">
        <f t="shared" si="81"/>
        <v>0.97725547199314688</v>
      </c>
      <c r="S252" s="811">
        <f t="shared" si="82"/>
        <v>0</v>
      </c>
      <c r="T252" s="176">
        <f t="shared" si="83"/>
        <v>6</v>
      </c>
      <c r="U252" s="251">
        <f t="shared" si="84"/>
        <v>0.97725547199314688</v>
      </c>
      <c r="V252" s="383">
        <f t="shared" si="85"/>
        <v>51.403806036411694</v>
      </c>
      <c r="W252" s="402">
        <f t="shared" si="86"/>
        <v>41.824231770276988</v>
      </c>
      <c r="X252" s="157">
        <f t="shared" si="87"/>
        <v>45164</v>
      </c>
      <c r="Y252" s="385">
        <f t="shared" si="88"/>
        <v>39.623397197315157</v>
      </c>
      <c r="Z252" s="385">
        <f t="shared" si="89"/>
        <v>41.311653535551436</v>
      </c>
      <c r="AA252" s="386">
        <f t="shared" si="90"/>
        <v>44.370245850024247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6.8933409222278197E-2</v>
      </c>
      <c r="AD252" s="231">
        <f>(INDEX(Models!$BJ252:$BT252,,AH252)*(1-AF252)+INDEX(Models!$BJ252:$BT252,,AH252+1)*AF252-ERP_i)*AE252*Ramure*Pc/MaxiM</f>
        <v>2.2775594427291994E-5</v>
      </c>
      <c r="AE252" s="305">
        <f t="shared" si="92"/>
        <v>0.5</v>
      </c>
      <c r="AF252" s="177">
        <f t="shared" si="93"/>
        <v>0.97725547199314688</v>
      </c>
      <c r="AG252" s="811">
        <f t="shared" si="99"/>
        <v>0</v>
      </c>
      <c r="AH252" s="176">
        <f t="shared" si="94"/>
        <v>6</v>
      </c>
      <c r="AI252" s="225">
        <f t="shared" si="95"/>
        <v>0.97725547199314688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49.276347971338843</v>
      </c>
      <c r="C253" s="841"/>
      <c r="D253" s="393">
        <f t="shared" si="77"/>
        <v>51.377018293186353</v>
      </c>
      <c r="E253" s="385">
        <f t="shared" si="100"/>
        <v>52.282147270996376</v>
      </c>
      <c r="F253" s="385">
        <f t="shared" si="78"/>
        <v>52.283121867411182</v>
      </c>
      <c r="G253" s="110">
        <f t="shared" si="101"/>
        <v>0.9619054796020996</v>
      </c>
      <c r="H253" s="414" t="b">
        <f>Wh_hp&gt;='2022'!Maxi_hp</f>
        <v>0</v>
      </c>
      <c r="I253" s="390">
        <f>IF(H253,Wh_hp,'2022'!Maxi_hp)</f>
        <v>52.283135226272805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4.0887353755328815E-2</v>
      </c>
      <c r="M253" s="845"/>
      <c r="N253" s="845"/>
      <c r="O253" s="48">
        <f>IF(t&lt;Tnet,'2022'!Resal+('2022'!Salim-'2022'!Resal)*(1-EXP(('2022'!Tnet-t)/('2022'!Tau_j))),Resal+(Salim-Resal)*(1-EXP((Tnet-t)/(Tau_j))))*Salcycl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1.9713542985163718E-5</v>
      </c>
      <c r="Q253" s="305">
        <f t="shared" si="80"/>
        <v>0.5</v>
      </c>
      <c r="R253" s="177">
        <f t="shared" si="81"/>
        <v>0.97804092882839411</v>
      </c>
      <c r="S253" s="811">
        <f t="shared" si="82"/>
        <v>0</v>
      </c>
      <c r="T253" s="176">
        <f t="shared" si="83"/>
        <v>6</v>
      </c>
      <c r="U253" s="251">
        <f t="shared" si="84"/>
        <v>0.97804092882839411</v>
      </c>
      <c r="V253" s="383">
        <f t="shared" si="85"/>
        <v>51.227793324598032</v>
      </c>
      <c r="W253" s="402">
        <f t="shared" si="86"/>
        <v>49.276347971338843</v>
      </c>
      <c r="X253" s="157">
        <f t="shared" si="87"/>
        <v>45165</v>
      </c>
      <c r="Y253" s="385">
        <f t="shared" si="88"/>
        <v>46.686004416678017</v>
      </c>
      <c r="Z253" s="385">
        <f t="shared" si="89"/>
        <v>48.676247362052131</v>
      </c>
      <c r="AA253" s="386">
        <f t="shared" si="90"/>
        <v>52.282147270996376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6.8970004048487632E-2</v>
      </c>
      <c r="AD253" s="231">
        <f>(INDEX(Models!$BJ253:$BT253,,AH253)*(1-AF253)+INDEX(Models!$BJ253:$BT253,,AH253+1)*AF253-ERP_i)*AE253*Ramure*Pc/MaxiM</f>
        <v>1.9713542985163718E-5</v>
      </c>
      <c r="AE253" s="305">
        <f t="shared" si="92"/>
        <v>0.5</v>
      </c>
      <c r="AF253" s="177">
        <f t="shared" si="93"/>
        <v>0.97804092882839411</v>
      </c>
      <c r="AG253" s="811">
        <f t="shared" si="99"/>
        <v>0</v>
      </c>
      <c r="AH253" s="176">
        <f t="shared" si="94"/>
        <v>6</v>
      </c>
      <c r="AI253" s="225">
        <f t="shared" si="95"/>
        <v>0.97804092882839411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48.358929241319323</v>
      </c>
      <c r="C254" s="841"/>
      <c r="D254" s="393">
        <f t="shared" si="77"/>
        <v>50.421593999963051</v>
      </c>
      <c r="E254" s="385">
        <f t="shared" si="100"/>
        <v>51.314788348335497</v>
      </c>
      <c r="F254" s="385">
        <f t="shared" si="78"/>
        <v>51.315603149827837</v>
      </c>
      <c r="G254" s="110">
        <f t="shared" si="101"/>
        <v>0.94732100206569381</v>
      </c>
      <c r="H254" s="414" t="b">
        <f>Wh_hp&gt;='2022'!Maxi_hp</f>
        <v>0</v>
      </c>
      <c r="I254" s="390">
        <f>IF(H254,Wh_hp,'2022'!Maxi_hp)</f>
        <v>54.458266820267049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4.0908360783779241E-2</v>
      </c>
      <c r="M254" s="845"/>
      <c r="N254" s="845"/>
      <c r="O254" s="48">
        <f>IF(t&lt;Tnet,'2022'!Resal+('2022'!Salim-'2022'!Resal)*(1-EXP(('2022'!Tnet-t)/('2022'!Tau_j))),Resal+(Salim-Resal)*(1-EXP((Tnet-t)/(Tau_j))))*Salcycl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1.7170379692152045E-5</v>
      </c>
      <c r="Q254" s="305">
        <f t="shared" si="80"/>
        <v>0.5</v>
      </c>
      <c r="R254" s="177">
        <f t="shared" si="81"/>
        <v>0.978797179280954</v>
      </c>
      <c r="S254" s="811">
        <f t="shared" si="82"/>
        <v>0</v>
      </c>
      <c r="T254" s="176">
        <f t="shared" si="83"/>
        <v>6</v>
      </c>
      <c r="U254" s="251">
        <f t="shared" si="84"/>
        <v>0.978797179280954</v>
      </c>
      <c r="V254" s="383">
        <f t="shared" si="85"/>
        <v>51.048025588384156</v>
      </c>
      <c r="W254" s="402">
        <f t="shared" si="86"/>
        <v>48.358929241319323</v>
      </c>
      <c r="X254" s="157">
        <f t="shared" si="87"/>
        <v>45166</v>
      </c>
      <c r="Y254" s="385">
        <f t="shared" si="88"/>
        <v>45.819400472603697</v>
      </c>
      <c r="Z254" s="385">
        <f t="shared" si="89"/>
        <v>47.773746114654664</v>
      </c>
      <c r="AA254" s="386">
        <f t="shared" si="90"/>
        <v>51.314788348335497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6.9006271830324997E-2</v>
      </c>
      <c r="AD254" s="231">
        <f>(INDEX(Models!$BJ254:$BT254,,AH254)*(1-AF254)+INDEX(Models!$BJ254:$BT254,,AH254+1)*AF254-ERP_i)*AE254*Ramure*Pc/MaxiM</f>
        <v>1.7170379692152045E-5</v>
      </c>
      <c r="AE254" s="305">
        <f t="shared" si="92"/>
        <v>0.5</v>
      </c>
      <c r="AF254" s="177">
        <f t="shared" si="93"/>
        <v>0.978797179280954</v>
      </c>
      <c r="AG254" s="811">
        <f t="shared" si="99"/>
        <v>0</v>
      </c>
      <c r="AH254" s="176">
        <f t="shared" si="94"/>
        <v>6</v>
      </c>
      <c r="AI254" s="225">
        <f t="shared" si="95"/>
        <v>0.978797179280954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32.603967956870882</v>
      </c>
      <c r="C255" s="841"/>
      <c r="D255" s="393">
        <f t="shared" si="77"/>
        <v>33.995377240209379</v>
      </c>
      <c r="E255" s="385">
        <f t="shared" si="100"/>
        <v>34.600885048176686</v>
      </c>
      <c r="F255" s="385">
        <f t="shared" si="78"/>
        <v>34.60113593642761</v>
      </c>
      <c r="G255" s="110">
        <f t="shared" si="101"/>
        <v>0.64100161058674376</v>
      </c>
      <c r="H255" s="414" t="b">
        <f>Wh_hp&gt;='2022'!Maxi_hp</f>
        <v>0</v>
      </c>
      <c r="I255" s="390">
        <f>IF(H255,Wh_hp,'2022'!Maxi_hp)</f>
        <v>53.843045701686705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4.0929367352121937E-2</v>
      </c>
      <c r="M255" s="845"/>
      <c r="N255" s="845"/>
      <c r="O255" s="48">
        <f>IF(t&lt;Tnet,'2022'!Resal+('2022'!Salim-'2022'!Resal)*(1-EXP(('2022'!Tnet-t)/('2022'!Tau_j))),Resal+(Salim-Resal)*(1-EXP((Tnet-t)/(Tau_j))))*Salcycl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1.4884194798540884E-5</v>
      </c>
      <c r="Q255" s="305">
        <f t="shared" si="80"/>
        <v>0.5</v>
      </c>
      <c r="R255" s="177">
        <f t="shared" si="81"/>
        <v>0.97952521898324862</v>
      </c>
      <c r="S255" s="811">
        <f t="shared" si="82"/>
        <v>0</v>
      </c>
      <c r="T255" s="176">
        <f t="shared" si="83"/>
        <v>6</v>
      </c>
      <c r="U255" s="251">
        <f t="shared" si="84"/>
        <v>0.97952521898324862</v>
      </c>
      <c r="V255" s="383">
        <f t="shared" si="85"/>
        <v>50.863708514652018</v>
      </c>
      <c r="W255" s="402">
        <f t="shared" si="86"/>
        <v>32.603967956870882</v>
      </c>
      <c r="X255" s="157">
        <f t="shared" si="87"/>
        <v>45167</v>
      </c>
      <c r="Y255" s="385">
        <f t="shared" si="88"/>
        <v>30.893548478622048</v>
      </c>
      <c r="Z255" s="385">
        <f t="shared" si="89"/>
        <v>32.211963777191983</v>
      </c>
      <c r="AA255" s="386">
        <f t="shared" si="90"/>
        <v>34.600885048176686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6.9042201309546886E-2</v>
      </c>
      <c r="AD255" s="231">
        <f>(INDEX(Models!$BJ255:$BT255,,AH255)*(1-AF255)+INDEX(Models!$BJ255:$BT255,,AH255+1)*AF255-ERP_i)*AE255*Ramure*Pc/MaxiM</f>
        <v>1.4884194798540884E-5</v>
      </c>
      <c r="AE255" s="305">
        <f t="shared" si="92"/>
        <v>0.5</v>
      </c>
      <c r="AF255" s="177">
        <f t="shared" si="93"/>
        <v>0.97952521898324862</v>
      </c>
      <c r="AG255" s="811">
        <f t="shared" si="99"/>
        <v>0</v>
      </c>
      <c r="AH255" s="176">
        <f t="shared" si="94"/>
        <v>6</v>
      </c>
      <c r="AI255" s="225">
        <f t="shared" si="95"/>
        <v>0.97952521898324862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47.340490452060479</v>
      </c>
      <c r="C256" s="841"/>
      <c r="D256" s="393">
        <f t="shared" si="77"/>
        <v>49.361877781935732</v>
      </c>
      <c r="E256" s="385">
        <f t="shared" si="100"/>
        <v>50.24586262531615</v>
      </c>
      <c r="F256" s="385">
        <f t="shared" si="78"/>
        <v>50.246447945668095</v>
      </c>
      <c r="G256" s="110">
        <f t="shared" si="101"/>
        <v>0.93421480319435191</v>
      </c>
      <c r="H256" s="414" t="b">
        <f>Wh_hp&gt;='2022'!Maxi_hp</f>
        <v>0</v>
      </c>
      <c r="I256" s="390">
        <f>IF(H256,Wh_hp,'2022'!Maxi_hp)</f>
        <v>52.67575781397985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4.0950373460366785E-2</v>
      </c>
      <c r="M256" s="845"/>
      <c r="N256" s="845"/>
      <c r="O256" s="48">
        <f>IF(t&lt;Tnet,'2022'!Resal+('2022'!Salim-'2022'!Resal)*(1-EXP(('2022'!Tnet-t)/('2022'!Tau_j))),Resal+(Salim-Resal)*(1-EXP((Tnet-t)/(Tau_j))))*Salcycl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1.2857281474207837E-5</v>
      </c>
      <c r="Q256" s="305">
        <f t="shared" si="80"/>
        <v>0.5</v>
      </c>
      <c r="R256" s="177">
        <f t="shared" si="81"/>
        <v>0.98022601654442321</v>
      </c>
      <c r="S256" s="811">
        <f t="shared" si="82"/>
        <v>0</v>
      </c>
      <c r="T256" s="176">
        <f t="shared" si="83"/>
        <v>6</v>
      </c>
      <c r="U256" s="251">
        <f t="shared" si="84"/>
        <v>0.98022601654442321</v>
      </c>
      <c r="V256" s="383">
        <f t="shared" si="85"/>
        <v>50.674034588614695</v>
      </c>
      <c r="W256" s="402">
        <f t="shared" si="86"/>
        <v>47.340490452060479</v>
      </c>
      <c r="X256" s="157">
        <f t="shared" si="87"/>
        <v>45168</v>
      </c>
      <c r="Y256" s="385">
        <f t="shared" si="88"/>
        <v>44.859536632706735</v>
      </c>
      <c r="Z256" s="385">
        <f t="shared" si="89"/>
        <v>46.774989939327078</v>
      </c>
      <c r="AA256" s="386">
        <f t="shared" si="90"/>
        <v>50.24586262531615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6.9077780828869353E-2</v>
      </c>
      <c r="AD256" s="231">
        <f>(INDEX(Models!$BJ256:$BT256,,AH256)*(1-AF256)+INDEX(Models!$BJ256:$BT256,,AH256+1)*AF256-ERP_i)*AE256*Ramure*Pc/MaxiM</f>
        <v>1.2857281474207837E-5</v>
      </c>
      <c r="AE256" s="305">
        <f t="shared" si="92"/>
        <v>0.5</v>
      </c>
      <c r="AF256" s="177">
        <f t="shared" si="93"/>
        <v>0.98022601654442321</v>
      </c>
      <c r="AG256" s="811">
        <f t="shared" si="99"/>
        <v>0</v>
      </c>
      <c r="AH256" s="176">
        <f t="shared" si="94"/>
        <v>6</v>
      </c>
      <c r="AI256" s="225">
        <f t="shared" si="95"/>
        <v>0.98022601654442321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22.280150740544496</v>
      </c>
      <c r="C257" s="841"/>
      <c r="D257" s="393">
        <f t="shared" si="77"/>
        <v>23.231997726860047</v>
      </c>
      <c r="E257" s="385">
        <f t="shared" si="100"/>
        <v>23.650286152124757</v>
      </c>
      <c r="F257" s="385">
        <f t="shared" si="78"/>
        <v>23.650339135495248</v>
      </c>
      <c r="G257" s="110">
        <f t="shared" si="101"/>
        <v>0.44137776288119546</v>
      </c>
      <c r="H257" s="414" t="b">
        <f>Wh_hp&gt;='2022'!Maxi_hp</f>
        <v>0</v>
      </c>
      <c r="I257" s="390">
        <f>IF(H257,Wh_hp,'2022'!Maxi_hp)</f>
        <v>52.060228799144411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4.0971379108523998E-2</v>
      </c>
      <c r="M257" s="845"/>
      <c r="N257" s="845"/>
      <c r="O257" s="48">
        <f>IF(t&lt;Tnet,'2022'!Resal+('2022'!Salim-'2022'!Resal)*(1-EXP(('2022'!Tnet-t)/('2022'!Tau_j))),Resal+(Salim-Resal)*(1-EXP((Tnet-t)/(Tau_j))))*Salcycl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1.1091930574793942E-5</v>
      </c>
      <c r="Q257" s="305">
        <f t="shared" si="80"/>
        <v>0.5</v>
      </c>
      <c r="R257" s="177">
        <f t="shared" si="81"/>
        <v>0.98090051373412346</v>
      </c>
      <c r="S257" s="811">
        <f t="shared" si="82"/>
        <v>0</v>
      </c>
      <c r="T257" s="176">
        <f t="shared" si="83"/>
        <v>6</v>
      </c>
      <c r="U257" s="251">
        <f t="shared" si="84"/>
        <v>0.98090051373412346</v>
      </c>
      <c r="V257" s="383">
        <f t="shared" si="85"/>
        <v>50.478196677932758</v>
      </c>
      <c r="W257" s="402">
        <f t="shared" si="86"/>
        <v>22.280150740544496</v>
      </c>
      <c r="X257" s="157">
        <f t="shared" si="87"/>
        <v>45169</v>
      </c>
      <c r="Y257" s="385">
        <f t="shared" si="88"/>
        <v>21.113728572959996</v>
      </c>
      <c r="Z257" s="385">
        <f t="shared" si="89"/>
        <v>22.015743965319292</v>
      </c>
      <c r="AA257" s="386">
        <f t="shared" si="90"/>
        <v>23.650286152124757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6.9112998307575071E-2</v>
      </c>
      <c r="AD257" s="231">
        <f>(INDEX(Models!$BJ257:$BT257,,AH257)*(1-AF257)+INDEX(Models!$BJ257:$BT257,,AH257+1)*AF257-ERP_i)*AE257*Ramure*Pc/MaxiM</f>
        <v>1.1091930574793942E-5</v>
      </c>
      <c r="AE257" s="305">
        <f t="shared" si="92"/>
        <v>0.5</v>
      </c>
      <c r="AF257" s="177">
        <f t="shared" si="93"/>
        <v>0.98090051373412346</v>
      </c>
      <c r="AG257" s="811">
        <f t="shared" si="99"/>
        <v>0</v>
      </c>
      <c r="AH257" s="176">
        <f t="shared" si="94"/>
        <v>6</v>
      </c>
      <c r="AI257" s="225">
        <f t="shared" si="95"/>
        <v>0.98090051373412346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42.948401376967034</v>
      </c>
      <c r="C258" s="841"/>
      <c r="D258" s="393">
        <f t="shared" si="77"/>
        <v>44.784213048679469</v>
      </c>
      <c r="E258" s="385">
        <f t="shared" si="100"/>
        <v>45.594863001066265</v>
      </c>
      <c r="F258" s="385">
        <f t="shared" si="78"/>
        <v>45.595209240932483</v>
      </c>
      <c r="G258" s="110">
        <f t="shared" si="101"/>
        <v>0.85426124602671716</v>
      </c>
      <c r="H258" s="414" t="b">
        <f>Wh_hp&gt;='2022'!Maxi_hp</f>
        <v>0</v>
      </c>
      <c r="I258" s="390">
        <f>IF(H258,Wh_hp,'2022'!Maxi_hp)</f>
        <v>53.475031417285187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4.0992384296603568E-2</v>
      </c>
      <c r="M258" s="845"/>
      <c r="N258" s="845"/>
      <c r="O258" s="48">
        <f>IF(t&lt;Tnet,'2022'!Resal+('2022'!Salim-'2022'!Resal)*(1-EXP(('2022'!Tnet-t)/('2022'!Tau_j))),Resal+(Salim-Resal)*(1-EXP((Tnet-t)/(Tau_j))))*Salcycl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9.5904734623957435E-6</v>
      </c>
      <c r="Q258" s="305">
        <f t="shared" si="80"/>
        <v>0.5</v>
      </c>
      <c r="R258" s="177">
        <f t="shared" si="81"/>
        <v>0.98154962571674487</v>
      </c>
      <c r="S258" s="811">
        <f t="shared" si="82"/>
        <v>0</v>
      </c>
      <c r="T258" s="176">
        <f t="shared" si="83"/>
        <v>6</v>
      </c>
      <c r="U258" s="251">
        <f t="shared" si="84"/>
        <v>0.98154962571674487</v>
      </c>
      <c r="V258" s="383">
        <f t="shared" si="85"/>
        <v>50.275388028155518</v>
      </c>
      <c r="W258" s="402">
        <f t="shared" si="86"/>
        <v>42.948401376967034</v>
      </c>
      <c r="X258" s="157">
        <f t="shared" si="87"/>
        <v>45170</v>
      </c>
      <c r="Y258" s="385">
        <f t="shared" si="88"/>
        <v>40.702274737574811</v>
      </c>
      <c r="Z258" s="385">
        <f t="shared" si="89"/>
        <v>42.44207665412668</v>
      </c>
      <c r="AA258" s="386">
        <f t="shared" si="90"/>
        <v>45.594863001066265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6.9147841213293204E-2</v>
      </c>
      <c r="AD258" s="231">
        <f>(INDEX(Models!$BJ258:$BT258,,AH258)*(1-AF258)+INDEX(Models!$BJ258:$BT258,,AH258+1)*AF258-ERP_i)*AE258*Ramure*Pc/MaxiM</f>
        <v>9.5904734623957435E-6</v>
      </c>
      <c r="AE258" s="305">
        <f t="shared" si="92"/>
        <v>0.5</v>
      </c>
      <c r="AF258" s="177">
        <f t="shared" si="93"/>
        <v>0.98154962571674487</v>
      </c>
      <c r="AG258" s="811">
        <f t="shared" si="99"/>
        <v>0</v>
      </c>
      <c r="AH258" s="176">
        <f t="shared" si="94"/>
        <v>6</v>
      </c>
      <c r="AI258" s="225">
        <f t="shared" si="95"/>
        <v>0.98154962571674487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39.394005198883178</v>
      </c>
      <c r="C259" s="841"/>
      <c r="D259" s="393">
        <f t="shared" si="77"/>
        <v>41.078785405372422</v>
      </c>
      <c r="E259" s="385">
        <f t="shared" si="100"/>
        <v>41.826314679212331</v>
      </c>
      <c r="F259" s="385">
        <f t="shared" si="78"/>
        <v>41.82655774389638</v>
      </c>
      <c r="G259" s="110">
        <f t="shared" si="101"/>
        <v>0.78685829554273978</v>
      </c>
      <c r="H259" s="414" t="b">
        <f>Wh_hp&gt;='2022'!Maxi_hp</f>
        <v>0</v>
      </c>
      <c r="I259" s="390">
        <f>IF(H259,Wh_hp,'2022'!Maxi_hp)</f>
        <v>51.427835350869806</v>
      </c>
      <c r="J259" s="85">
        <f>IF(H259,An,'2022'!An_max)</f>
        <v>2019</v>
      </c>
      <c r="K259" s="197">
        <f t="shared" si="79"/>
        <v>45171</v>
      </c>
      <c r="L259" s="147">
        <f>IF(t&lt;Tvie,1-EXP((T0-t)*PertePVj)+'2022'!Pspv,1-EXP((T0-t)*PertePVj)+Pspv)</f>
        <v>4.1013389024615599E-2</v>
      </c>
      <c r="M259" s="845"/>
      <c r="N259" s="845"/>
      <c r="O259" s="48">
        <f>IF(t&lt;Tnet,'2022'!Resal+('2022'!Salim-'2022'!Resal)*(1-EXP(('2022'!Tnet-t)/('2022'!Tau_j))),Resal+(Salim-Resal)*(1-EXP((Tnet-t)/(Tau_j))))*Salcycl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8.3553263666515407E-6</v>
      </c>
      <c r="Q259" s="305">
        <f t="shared" si="80"/>
        <v>0.5</v>
      </c>
      <c r="R259" s="177">
        <f t="shared" si="81"/>
        <v>0.98217424133095155</v>
      </c>
      <c r="S259" s="811">
        <f t="shared" si="82"/>
        <v>0</v>
      </c>
      <c r="T259" s="176">
        <f t="shared" si="83"/>
        <v>6</v>
      </c>
      <c r="U259" s="251">
        <f t="shared" si="84"/>
        <v>0.98217424133095155</v>
      </c>
      <c r="V259" s="383">
        <f t="shared" si="85"/>
        <v>50.064802265146753</v>
      </c>
      <c r="W259" s="402">
        <f t="shared" si="86"/>
        <v>39.394005198883178</v>
      </c>
      <c r="X259" s="157">
        <f t="shared" si="87"/>
        <v>45171</v>
      </c>
      <c r="Y259" s="385">
        <f t="shared" si="88"/>
        <v>37.335913262604315</v>
      </c>
      <c r="Z259" s="385">
        <f t="shared" si="89"/>
        <v>38.932674174282781</v>
      </c>
      <c r="AA259" s="386">
        <f t="shared" si="90"/>
        <v>41.826314679212331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6.9182296530841292E-2</v>
      </c>
      <c r="AD259" s="231">
        <f>(INDEX(Models!$BJ259:$BT259,,AH259)*(1-AF259)+INDEX(Models!$BJ259:$BT259,,AH259+1)*AF259-ERP_i)*AE259*Ramure*Pc/MaxiM</f>
        <v>8.3553263666515407E-6</v>
      </c>
      <c r="AE259" s="305">
        <f t="shared" si="92"/>
        <v>0.5</v>
      </c>
      <c r="AF259" s="177">
        <f t="shared" si="93"/>
        <v>0.98217424133095155</v>
      </c>
      <c r="AG259" s="811">
        <f t="shared" si="99"/>
        <v>0</v>
      </c>
      <c r="AH259" s="176">
        <f t="shared" si="94"/>
        <v>6</v>
      </c>
      <c r="AI259" s="225">
        <f t="shared" si="95"/>
        <v>0.98217424133095155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32.891694624770921</v>
      </c>
      <c r="C260" s="841"/>
      <c r="D260" s="393">
        <f t="shared" si="77"/>
        <v>34.29913898341281</v>
      </c>
      <c r="E260" s="385">
        <f t="shared" si="100"/>
        <v>34.92658907000132</v>
      </c>
      <c r="F260" s="385">
        <f t="shared" si="78"/>
        <v>34.926721746684805</v>
      </c>
      <c r="G260" s="110">
        <f t="shared" si="101"/>
        <v>0.65986876478213841</v>
      </c>
      <c r="H260" s="414" t="b">
        <f>Wh_hp&gt;='2022'!Maxi_hp</f>
        <v>0</v>
      </c>
      <c r="I260" s="390">
        <f>IF(H260,Wh_hp,'2022'!Maxi_hp)</f>
        <v>54.150203084511908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4.1034393292570304E-2</v>
      </c>
      <c r="M260" s="845"/>
      <c r="N260" s="845"/>
      <c r="O260" s="48">
        <f>IF(t&lt;Tnet,'2022'!Resal+('2022'!Salim-'2022'!Resal)*(1-EXP(('2022'!Tnet-t)/('2022'!Tau_j))),Resal+(Salim-Resal)*(1-EXP((Tnet-t)/(Tau_j))))*Salcycl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7.389036474057034E-6</v>
      </c>
      <c r="Q260" s="305">
        <f t="shared" si="80"/>
        <v>0.5</v>
      </c>
      <c r="R260" s="177">
        <f t="shared" si="81"/>
        <v>0.98277522340957701</v>
      </c>
      <c r="S260" s="811">
        <f t="shared" si="82"/>
        <v>0</v>
      </c>
      <c r="T260" s="176">
        <f t="shared" si="83"/>
        <v>6</v>
      </c>
      <c r="U260" s="251">
        <f t="shared" si="84"/>
        <v>0.98277522340957701</v>
      </c>
      <c r="V260" s="383">
        <f t="shared" si="85"/>
        <v>49.84563338657901</v>
      </c>
      <c r="W260" s="402">
        <f t="shared" si="86"/>
        <v>32.891694624770921</v>
      </c>
      <c r="X260" s="157">
        <f t="shared" si="87"/>
        <v>45172</v>
      </c>
      <c r="Y260" s="385">
        <f t="shared" si="88"/>
        <v>31.175106916963912</v>
      </c>
      <c r="Z260" s="385">
        <f t="shared" si="89"/>
        <v>32.509098031161308</v>
      </c>
      <c r="AA260" s="386">
        <f t="shared" si="90"/>
        <v>34.92658907000132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6.9216350729090062E-2</v>
      </c>
      <c r="AD260" s="231">
        <f>(INDEX(Models!$BJ260:$BT260,,AH260)*(1-AF260)+INDEX(Models!$BJ260:$BT260,,AH260+1)*AF260-ERP_i)*AE260*Ramure*Pc/MaxiM</f>
        <v>7.389036474057034E-6</v>
      </c>
      <c r="AE260" s="305">
        <f t="shared" si="92"/>
        <v>0.5</v>
      </c>
      <c r="AF260" s="177">
        <f t="shared" si="93"/>
        <v>0.98277522340957701</v>
      </c>
      <c r="AG260" s="811">
        <f t="shared" si="99"/>
        <v>0</v>
      </c>
      <c r="AH260" s="176">
        <f t="shared" si="94"/>
        <v>6</v>
      </c>
      <c r="AI260" s="225">
        <f t="shared" si="95"/>
        <v>0.98277522340957701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47.704640749714862</v>
      </c>
      <c r="C261" s="841"/>
      <c r="D261" s="393">
        <f t="shared" si="77"/>
        <v>49.747024599202334</v>
      </c>
      <c r="E261" s="385">
        <f t="shared" si="100"/>
        <v>50.66183621436457</v>
      </c>
      <c r="F261" s="385">
        <f t="shared" si="78"/>
        <v>50.662156670932852</v>
      </c>
      <c r="G261" s="110">
        <f t="shared" si="101"/>
        <v>0.96143355607831227</v>
      </c>
      <c r="H261" s="414" t="b">
        <f>Wh_hp&gt;='2022'!Maxi_hp</f>
        <v>0</v>
      </c>
      <c r="I261" s="390">
        <f>IF(H261,Wh_hp,'2022'!Maxi_hp)</f>
        <v>53.283178554064911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4.1055397100477453E-2</v>
      </c>
      <c r="M261" s="845"/>
      <c r="N261" s="845"/>
      <c r="O261" s="48">
        <f>IF(t&lt;Tnet,'2022'!Resal+('2022'!Salim-'2022'!Resal)*(1-EXP(('2022'!Tnet-t)/('2022'!Tau_j))),Resal+(Salim-Resal)*(1-EXP((Tnet-t)/(Tau_j))))*Salcycl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6.6941753960352267E-6</v>
      </c>
      <c r="Q261" s="305">
        <f t="shared" si="80"/>
        <v>0.5</v>
      </c>
      <c r="R261" s="177">
        <f t="shared" si="81"/>
        <v>0.98335340913534131</v>
      </c>
      <c r="S261" s="811">
        <f t="shared" si="82"/>
        <v>0</v>
      </c>
      <c r="T261" s="176">
        <f t="shared" si="83"/>
        <v>6</v>
      </c>
      <c r="U261" s="251">
        <f t="shared" si="84"/>
        <v>0.98335340913534131</v>
      </c>
      <c r="V261" s="383">
        <f t="shared" si="85"/>
        <v>49.618221513052553</v>
      </c>
      <c r="W261" s="402">
        <f t="shared" si="86"/>
        <v>47.704640749714862</v>
      </c>
      <c r="X261" s="157">
        <f t="shared" si="87"/>
        <v>45173</v>
      </c>
      <c r="Y261" s="385">
        <f t="shared" si="88"/>
        <v>45.217598721888514</v>
      </c>
      <c r="Z261" s="385">
        <f t="shared" si="89"/>
        <v>47.153504576975422</v>
      </c>
      <c r="AA261" s="386">
        <f t="shared" si="90"/>
        <v>50.66183621436457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6.9249989726870534E-2</v>
      </c>
      <c r="AD261" s="231">
        <f>(INDEX(Models!$BJ261:$BT261,,AH261)*(1-AF261)+INDEX(Models!$BJ261:$BT261,,AH261+1)*AF261-ERP_i)*AE261*Ramure*Pc/MaxiM</f>
        <v>6.6941753960352267E-6</v>
      </c>
      <c r="AE261" s="305">
        <f t="shared" si="92"/>
        <v>0.5</v>
      </c>
      <c r="AF261" s="177">
        <f t="shared" si="93"/>
        <v>0.98335340913534131</v>
      </c>
      <c r="AG261" s="811">
        <f t="shared" si="99"/>
        <v>0</v>
      </c>
      <c r="AH261" s="176">
        <f t="shared" si="94"/>
        <v>6</v>
      </c>
      <c r="AI261" s="225">
        <f t="shared" si="95"/>
        <v>0.98335340913534131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40.327833860800631</v>
      </c>
      <c r="C262" s="841"/>
      <c r="D262" s="393">
        <f t="shared" si="77"/>
        <v>42.055314813042486</v>
      </c>
      <c r="E262" s="385">
        <f t="shared" si="100"/>
        <v>42.832701958205234</v>
      </c>
      <c r="F262" s="385">
        <f t="shared" si="78"/>
        <v>42.832905010200911</v>
      </c>
      <c r="G262" s="110">
        <f t="shared" si="101"/>
        <v>0.81662086027413228</v>
      </c>
      <c r="H262" s="414" t="b">
        <f>Wh_hp&gt;='2022'!Maxi_hp</f>
        <v>0</v>
      </c>
      <c r="I262" s="390">
        <f>IF(H262,Wh_hp,'2022'!Maxi_hp)</f>
        <v>52.787883333438941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4.1076400448347483E-2</v>
      </c>
      <c r="M262" s="845"/>
      <c r="N262" s="845"/>
      <c r="O262" s="48">
        <f>IF(t&lt;Tnet,'2022'!Resal+('2022'!Salim-'2022'!Resal)*(1-EXP(('2022'!Tnet-t)/('2022'!Tau_j))),Resal+(Salim-Resal)*(1-EXP((Tnet-t)/(Tau_j))))*Salcycl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6.4232478289287437E-6</v>
      </c>
      <c r="Q262" s="305">
        <f t="shared" si="80"/>
        <v>0.5</v>
      </c>
      <c r="R262" s="177">
        <f t="shared" si="81"/>
        <v>0.98390961042811309</v>
      </c>
      <c r="S262" s="811">
        <f t="shared" si="82"/>
        <v>0</v>
      </c>
      <c r="T262" s="176">
        <f t="shared" si="83"/>
        <v>6</v>
      </c>
      <c r="U262" s="251">
        <f t="shared" si="84"/>
        <v>0.98390961042811309</v>
      </c>
      <c r="V262" s="383">
        <f t="shared" si="85"/>
        <v>49.383707866369292</v>
      </c>
      <c r="W262" s="402">
        <f t="shared" si="86"/>
        <v>40.327833860800631</v>
      </c>
      <c r="X262" s="157">
        <f t="shared" si="87"/>
        <v>45174</v>
      </c>
      <c r="Y262" s="385">
        <f t="shared" si="88"/>
        <v>38.227599908699375</v>
      </c>
      <c r="Z262" s="385">
        <f t="shared" si="89"/>
        <v>39.865115350767049</v>
      </c>
      <c r="AA262" s="386">
        <f t="shared" si="90"/>
        <v>42.832701958205234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6.928319885899005E-2</v>
      </c>
      <c r="AD262" s="231">
        <f>(INDEX(Models!$BJ262:$BT262,,AH262)*(1-AF262)+INDEX(Models!$BJ262:$BT262,,AH262+1)*AF262-ERP_i)*AE262*Ramure*Pc/MaxiM</f>
        <v>6.4232478289287437E-6</v>
      </c>
      <c r="AE262" s="305">
        <f t="shared" si="92"/>
        <v>0.5</v>
      </c>
      <c r="AF262" s="177">
        <f t="shared" si="93"/>
        <v>0.98390961042811309</v>
      </c>
      <c r="AG262" s="811">
        <f t="shared" si="99"/>
        <v>0</v>
      </c>
      <c r="AH262" s="176">
        <f t="shared" si="94"/>
        <v>6</v>
      </c>
      <c r="AI262" s="225">
        <f t="shared" si="95"/>
        <v>0.98390961042811309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45.734929730461239</v>
      </c>
      <c r="C263" s="841"/>
      <c r="D263" s="393">
        <f t="shared" si="77"/>
        <v>47.695073399092955</v>
      </c>
      <c r="E263" s="385">
        <f t="shared" si="100"/>
        <v>48.581260194786068</v>
      </c>
      <c r="F263" s="385">
        <f t="shared" si="78"/>
        <v>48.58154097101292</v>
      </c>
      <c r="G263" s="110">
        <f t="shared" si="101"/>
        <v>0.93065866917108475</v>
      </c>
      <c r="H263" s="414" t="b">
        <f>Wh_hp&gt;='2022'!Maxi_hp</f>
        <v>0</v>
      </c>
      <c r="I263" s="390">
        <f>IF(H263,Wh_hp,'2022'!Maxi_hp)</f>
        <v>54.673871330579189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4.1097403336190164E-2</v>
      </c>
      <c r="M263" s="845"/>
      <c r="N263" s="845"/>
      <c r="O263" s="48">
        <f>IF(t&lt;Tnet,'2022'!Resal+('2022'!Salim-'2022'!Resal)*(1-EXP(('2022'!Tnet-t)/('2022'!Tau_j))),Resal+(Salim-Resal)*(1-EXP((Tnet-t)/(Tau_j))))*Salcycl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6.4149357374422568E-6</v>
      </c>
      <c r="Q263" s="305">
        <f t="shared" si="80"/>
        <v>0.5</v>
      </c>
      <c r="R263" s="177">
        <f t="shared" si="81"/>
        <v>0.98444461435974473</v>
      </c>
      <c r="S263" s="811">
        <f t="shared" si="82"/>
        <v>0</v>
      </c>
      <c r="T263" s="176">
        <f t="shared" si="83"/>
        <v>6</v>
      </c>
      <c r="U263" s="251">
        <f t="shared" si="84"/>
        <v>0.98444461435974473</v>
      </c>
      <c r="V263" s="383">
        <f t="shared" si="85"/>
        <v>49.142507541112252</v>
      </c>
      <c r="W263" s="402">
        <f t="shared" si="86"/>
        <v>45.734929730461239</v>
      </c>
      <c r="X263" s="157">
        <f t="shared" si="87"/>
        <v>45175</v>
      </c>
      <c r="Y263" s="385">
        <f t="shared" si="88"/>
        <v>43.355633454848366</v>
      </c>
      <c r="Z263" s="385">
        <f t="shared" si="89"/>
        <v>45.213803368235951</v>
      </c>
      <c r="AA263" s="386">
        <f t="shared" si="90"/>
        <v>48.581260194786068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6.9315962843457257E-2</v>
      </c>
      <c r="AD263" s="231">
        <f>(INDEX(Models!$BJ263:$BT263,,AH263)*(1-AF263)+INDEX(Models!$BJ263:$BT263,,AH263+1)*AF263-ERP_i)*AE263*Ramure*Pc/MaxiM</f>
        <v>6.4149357374422568E-6</v>
      </c>
      <c r="AE263" s="305">
        <f t="shared" si="92"/>
        <v>0.5</v>
      </c>
      <c r="AF263" s="177">
        <f t="shared" si="93"/>
        <v>0.98444461435974473</v>
      </c>
      <c r="AG263" s="811">
        <f t="shared" si="99"/>
        <v>0</v>
      </c>
      <c r="AH263" s="176">
        <f t="shared" si="94"/>
        <v>6</v>
      </c>
      <c r="AI263" s="225">
        <f t="shared" si="95"/>
        <v>0.98444461435974473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35.583449924071019</v>
      </c>
      <c r="C264" s="841"/>
      <c r="D264" s="393">
        <f t="shared" si="77"/>
        <v>37.109326258810015</v>
      </c>
      <c r="E264" s="385">
        <f t="shared" si="100"/>
        <v>37.802358675784063</v>
      </c>
      <c r="F264" s="385">
        <f t="shared" si="78"/>
        <v>37.802512811463927</v>
      </c>
      <c r="G264" s="110">
        <f t="shared" si="101"/>
        <v>0.72775003073065936</v>
      </c>
      <c r="H264" s="414" t="b">
        <f>Wh_hp&gt;='2022'!Maxi_hp</f>
        <v>0</v>
      </c>
      <c r="I264" s="390">
        <f>IF(H264,Wh_hp,'2022'!Maxi_hp)</f>
        <v>50.140065797662274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4.1118405764015709E-2</v>
      </c>
      <c r="M264" s="845"/>
      <c r="N264" s="845"/>
      <c r="O264" s="48">
        <f>IF(t&lt;Tnet,'2022'!Resal+('2022'!Salim-'2022'!Resal)*(1-EXP(('2022'!Tnet-t)/('2022'!Tau_j))),Resal+(Salim-Resal)*(1-EXP((Tnet-t)/(Tau_j))))*Salcycl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6.6725000577744521E-6</v>
      </c>
      <c r="Q264" s="305">
        <f t="shared" si="80"/>
        <v>0.5</v>
      </c>
      <c r="R264" s="177">
        <f t="shared" si="81"/>
        <v>0.98495918359278245</v>
      </c>
      <c r="S264" s="811">
        <f t="shared" si="82"/>
        <v>0</v>
      </c>
      <c r="T264" s="176">
        <f t="shared" si="83"/>
        <v>6</v>
      </c>
      <c r="U264" s="251">
        <f t="shared" si="84"/>
        <v>0.98495918359278245</v>
      </c>
      <c r="V264" s="383">
        <f t="shared" si="85"/>
        <v>48.895027245944384</v>
      </c>
      <c r="W264" s="402">
        <f t="shared" si="86"/>
        <v>35.583449924071019</v>
      </c>
      <c r="X264" s="157">
        <f t="shared" si="87"/>
        <v>45176</v>
      </c>
      <c r="Y264" s="385">
        <f t="shared" si="88"/>
        <v>33.734250990113651</v>
      </c>
      <c r="Z264" s="385">
        <f t="shared" si="89"/>
        <v>35.180830660319806</v>
      </c>
      <c r="AA264" s="386">
        <f t="shared" si="90"/>
        <v>37.802358675784063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6.9348265751036156E-2</v>
      </c>
      <c r="AD264" s="231">
        <f>(INDEX(Models!$BJ264:$BT264,,AH264)*(1-AF264)+INDEX(Models!$BJ264:$BT264,,AH264+1)*AF264-ERP_i)*AE264*Ramure*Pc/MaxiM</f>
        <v>6.6725000577744521E-6</v>
      </c>
      <c r="AE264" s="305">
        <f t="shared" si="92"/>
        <v>0.5</v>
      </c>
      <c r="AF264" s="177">
        <f t="shared" si="93"/>
        <v>0.98495918359278245</v>
      </c>
      <c r="AG264" s="811">
        <f t="shared" si="99"/>
        <v>0</v>
      </c>
      <c r="AH264" s="176">
        <f t="shared" si="94"/>
        <v>6</v>
      </c>
      <c r="AI264" s="225">
        <f t="shared" si="95"/>
        <v>0.98495918359278245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38.96523078492865</v>
      </c>
      <c r="C265" s="841"/>
      <c r="D265" s="393">
        <f t="shared" si="77"/>
        <v>40.637013450263055</v>
      </c>
      <c r="E265" s="385">
        <f t="shared" si="100"/>
        <v>41.399784993839262</v>
      </c>
      <c r="F265" s="385">
        <f t="shared" si="78"/>
        <v>41.39999834394132</v>
      </c>
      <c r="G265" s="110">
        <f t="shared" si="101"/>
        <v>0.80106518238667102</v>
      </c>
      <c r="H265" s="414" t="b">
        <f>Wh_hp&gt;='2022'!Maxi_hp</f>
        <v>0</v>
      </c>
      <c r="I265" s="390">
        <f>IF(H265,Wh_hp,'2022'!Maxi_hp)</f>
        <v>49.195092920557293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4.1139407731834221E-2</v>
      </c>
      <c r="M265" s="845"/>
      <c r="N265" s="845"/>
      <c r="O265" s="48">
        <f>IF(t&lt;Tnet,'2022'!Resal+('2022'!Salim-'2022'!Resal)*(1-EXP(('2022'!Tnet-t)/('2022'!Tau_j))),Resal+(Salim-Resal)*(1-EXP((Tnet-t)/(Tau_j))))*Salcycl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7.1993771405215027E-6</v>
      </c>
      <c r="Q265" s="305">
        <f t="shared" si="80"/>
        <v>0.5</v>
      </c>
      <c r="R265" s="177">
        <f t="shared" si="81"/>
        <v>0.98545405683962817</v>
      </c>
      <c r="S265" s="811">
        <f t="shared" si="82"/>
        <v>0</v>
      </c>
      <c r="T265" s="176">
        <f t="shared" si="83"/>
        <v>6</v>
      </c>
      <c r="U265" s="251">
        <f t="shared" si="84"/>
        <v>0.98545405683962817</v>
      </c>
      <c r="V265" s="383">
        <f t="shared" si="85"/>
        <v>48.641673510067506</v>
      </c>
      <c r="W265" s="402">
        <f t="shared" si="86"/>
        <v>38.96523078492865</v>
      </c>
      <c r="X265" s="157">
        <f t="shared" si="87"/>
        <v>45177</v>
      </c>
      <c r="Y265" s="385">
        <f t="shared" si="88"/>
        <v>36.942467088172855</v>
      </c>
      <c r="Z265" s="385">
        <f t="shared" si="89"/>
        <v>38.527464144486508</v>
      </c>
      <c r="AA265" s="386">
        <f t="shared" si="90"/>
        <v>41.399784993839262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6.9380090978254677E-2</v>
      </c>
      <c r="AD265" s="231">
        <f>(INDEX(Models!$BJ265:$BT265,,AH265)*(1-AF265)+INDEX(Models!$BJ265:$BT265,,AH265+1)*AF265-ERP_i)*AE265*Ramure*Pc/MaxiM</f>
        <v>7.1993771405215027E-6</v>
      </c>
      <c r="AE265" s="305">
        <f t="shared" si="92"/>
        <v>0.5</v>
      </c>
      <c r="AF265" s="177">
        <f t="shared" si="93"/>
        <v>0.98545405683962817</v>
      </c>
      <c r="AG265" s="811">
        <f t="shared" si="99"/>
        <v>0</v>
      </c>
      <c r="AH265" s="176">
        <f t="shared" si="94"/>
        <v>6</v>
      </c>
      <c r="AI265" s="225">
        <f t="shared" si="95"/>
        <v>0.98545405683962817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21.69148184732386</v>
      </c>
      <c r="C266" s="841"/>
      <c r="D266" s="393">
        <f t="shared" si="77"/>
        <v>22.62263892349592</v>
      </c>
      <c r="E266" s="385">
        <f t="shared" si="100"/>
        <v>23.049416628352574</v>
      </c>
      <c r="F266" s="385">
        <f t="shared" si="78"/>
        <v>23.04945569768066</v>
      </c>
      <c r="G266" s="110">
        <f t="shared" si="101"/>
        <v>0.44832712214374015</v>
      </c>
      <c r="H266" s="414" t="b">
        <f>Wh_hp&gt;='2022'!Maxi_hp</f>
        <v>0</v>
      </c>
      <c r="I266" s="390">
        <f>IF(H266,Wh_hp,'2022'!Maxi_hp)</f>
        <v>49.204296027158733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4.1160409239655804E-2</v>
      </c>
      <c r="M266" s="845"/>
      <c r="N266" s="845"/>
      <c r="O266" s="48">
        <f>IF(t&lt;Tnet,'2022'!Resal+('2022'!Salim-'2022'!Resal)*(1-EXP(('2022'!Tnet-t)/('2022'!Tau_j))),Resal+(Salim-Resal)*(1-EXP((Tnet-t)/(Tau_j))))*Salcycl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7.9991614468574469E-6</v>
      </c>
      <c r="Q266" s="305">
        <f t="shared" si="80"/>
        <v>0.5</v>
      </c>
      <c r="R266" s="177">
        <f t="shared" si="81"/>
        <v>0.98592994933898348</v>
      </c>
      <c r="S266" s="811">
        <f t="shared" si="82"/>
        <v>0</v>
      </c>
      <c r="T266" s="176">
        <f t="shared" si="83"/>
        <v>6</v>
      </c>
      <c r="U266" s="251">
        <f t="shared" si="84"/>
        <v>0.98592994933898348</v>
      </c>
      <c r="V266" s="383">
        <f t="shared" si="85"/>
        <v>48.382852675161395</v>
      </c>
      <c r="W266" s="402">
        <f t="shared" si="86"/>
        <v>21.69148184732386</v>
      </c>
      <c r="X266" s="157">
        <f t="shared" si="87"/>
        <v>45178</v>
      </c>
      <c r="Y266" s="385">
        <f t="shared" si="88"/>
        <v>20.566652681625524</v>
      </c>
      <c r="Z266" s="385">
        <f t="shared" si="89"/>
        <v>21.449523861771812</v>
      </c>
      <c r="AA266" s="386">
        <f t="shared" si="90"/>
        <v>23.049416628352574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6.9411421224985337E-2</v>
      </c>
      <c r="AD266" s="231">
        <f>(INDEX(Models!$BJ266:$BT266,,AH266)*(1-AF266)+INDEX(Models!$BJ266:$BT266,,AH266+1)*AF266-ERP_i)*AE266*Ramure*Pc/MaxiM</f>
        <v>7.9991614468574469E-6</v>
      </c>
      <c r="AE266" s="305">
        <f t="shared" si="92"/>
        <v>0.5</v>
      </c>
      <c r="AF266" s="177">
        <f t="shared" si="93"/>
        <v>0.98592994933898348</v>
      </c>
      <c r="AG266" s="811">
        <f t="shared" si="99"/>
        <v>0</v>
      </c>
      <c r="AH266" s="176">
        <f t="shared" si="94"/>
        <v>6</v>
      </c>
      <c r="AI266" s="225">
        <f t="shared" si="95"/>
        <v>0.98592994933898348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45.823482826183621</v>
      </c>
      <c r="C267" s="841"/>
      <c r="D267" s="393">
        <f t="shared" si="77"/>
        <v>47.791608671170266</v>
      </c>
      <c r="E267" s="385">
        <f t="shared" si="100"/>
        <v>48.697715592191429</v>
      </c>
      <c r="F267" s="385">
        <f t="shared" si="78"/>
        <v>48.698127436790514</v>
      </c>
      <c r="G267" s="110">
        <f t="shared" si="101"/>
        <v>0.95229498101284515</v>
      </c>
      <c r="H267" s="414" t="b">
        <f>Wh_hp&gt;='2022'!Maxi_hp</f>
        <v>0</v>
      </c>
      <c r="I267" s="390">
        <f>IF(H267,Wh_hp,'2022'!Maxi_hp)</f>
        <v>48.698139717979124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4.1181410287490339E-2</v>
      </c>
      <c r="M267" s="845"/>
      <c r="N267" s="845"/>
      <c r="O267" s="48">
        <f>IF(t&lt;Tnet,'2022'!Resal+('2022'!Salim-'2022'!Resal)*(1-EXP(('2022'!Tnet-t)/('2022'!Tau_j))),Resal+(Salim-Resal)*(1-EXP((Tnet-t)/(Tau_j))))*Salcycl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9.0755869955887806E-6</v>
      </c>
      <c r="Q267" s="305">
        <f t="shared" si="80"/>
        <v>0.5</v>
      </c>
      <c r="R267" s="177">
        <f t="shared" si="81"/>
        <v>0.98638755334664829</v>
      </c>
      <c r="S267" s="811">
        <f t="shared" si="82"/>
        <v>0</v>
      </c>
      <c r="T267" s="176">
        <f t="shared" si="83"/>
        <v>6</v>
      </c>
      <c r="U267" s="251">
        <f t="shared" si="84"/>
        <v>0.98638755334664829</v>
      </c>
      <c r="V267" s="383">
        <f t="shared" si="85"/>
        <v>48.118970905069702</v>
      </c>
      <c r="W267" s="402">
        <f t="shared" si="86"/>
        <v>45.823482826183621</v>
      </c>
      <c r="X267" s="157">
        <f t="shared" si="87"/>
        <v>45179</v>
      </c>
      <c r="Y267" s="385">
        <f t="shared" si="88"/>
        <v>43.449858891659446</v>
      </c>
      <c r="Z267" s="385">
        <f t="shared" si="89"/>
        <v>45.316037212719635</v>
      </c>
      <c r="AA267" s="386">
        <f t="shared" si="90"/>
        <v>48.697715592191429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6.9442238477692347E-2</v>
      </c>
      <c r="AD267" s="231">
        <f>(INDEX(Models!$BJ267:$BT267,,AH267)*(1-AF267)+INDEX(Models!$BJ267:$BT267,,AH267+1)*AF267-ERP_i)*AE267*Ramure*Pc/MaxiM</f>
        <v>9.0755869955887806E-6</v>
      </c>
      <c r="AE267" s="305">
        <f t="shared" si="92"/>
        <v>0.5</v>
      </c>
      <c r="AF267" s="177">
        <f t="shared" si="93"/>
        <v>0.98638755334664829</v>
      </c>
      <c r="AG267" s="811">
        <f t="shared" si="99"/>
        <v>0</v>
      </c>
      <c r="AH267" s="176">
        <f t="shared" si="94"/>
        <v>6</v>
      </c>
      <c r="AI267" s="225">
        <f t="shared" si="95"/>
        <v>0.98638755334664829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46.361560033149573</v>
      </c>
      <c r="C268" s="841"/>
      <c r="D268" s="393">
        <f t="shared" si="77"/>
        <v>48.353855452928322</v>
      </c>
      <c r="E268" s="385">
        <f t="shared" si="100"/>
        <v>49.275178333037303</v>
      </c>
      <c r="F268" s="385">
        <f t="shared" si="78"/>
        <v>49.275676986628469</v>
      </c>
      <c r="G268" s="110">
        <f t="shared" si="101"/>
        <v>0.96888453212501868</v>
      </c>
      <c r="H268" s="414" t="b">
        <f>Wh_hp&gt;='2022'!Maxi_hp</f>
        <v>0</v>
      </c>
      <c r="I268" s="390">
        <f>IF(H268,Wh_hp,'2022'!Maxi_hp)</f>
        <v>49.275686572099694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4.120241087534815E-2</v>
      </c>
      <c r="M268" s="845"/>
      <c r="N268" s="845"/>
      <c r="O268" s="48">
        <f>IF(t&lt;Tnet,'2022'!Resal+('2022'!Salim-'2022'!Resal)*(1-EXP(('2022'!Tnet-t)/('2022'!Tau_j))),Resal+(Salim-Resal)*(1-EXP((Tnet-t)/(Tau_j))))*Salcycl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1.0590414106050918E-5</v>
      </c>
      <c r="Q268" s="305">
        <f t="shared" si="80"/>
        <v>0.5</v>
      </c>
      <c r="R268" s="177">
        <f t="shared" si="81"/>
        <v>0.986827538637985</v>
      </c>
      <c r="S268" s="811">
        <f t="shared" si="82"/>
        <v>0</v>
      </c>
      <c r="T268" s="176">
        <f t="shared" si="83"/>
        <v>6</v>
      </c>
      <c r="U268" s="251">
        <f t="shared" si="84"/>
        <v>0.986827538637985</v>
      </c>
      <c r="V268" s="383">
        <f t="shared" si="85"/>
        <v>47.850426620822923</v>
      </c>
      <c r="W268" s="402">
        <f t="shared" si="86"/>
        <v>46.361560033149573</v>
      </c>
      <c r="X268" s="157">
        <f t="shared" si="87"/>
        <v>45180</v>
      </c>
      <c r="Y268" s="385">
        <f t="shared" si="88"/>
        <v>43.962698198750239</v>
      </c>
      <c r="Z268" s="385">
        <f t="shared" si="89"/>
        <v>45.85190732372056</v>
      </c>
      <c r="AA268" s="386">
        <f t="shared" si="90"/>
        <v>49.275178333037303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6.9472523999401972E-2</v>
      </c>
      <c r="AD268" s="231">
        <f>(INDEX(Models!$BJ268:$BT268,,AH268)*(1-AF268)+INDEX(Models!$BJ268:$BT268,,AH268+1)*AF268-ERP_i)*AE268*Ramure*Pc/MaxiM</f>
        <v>1.0590414106050918E-5</v>
      </c>
      <c r="AE268" s="305">
        <f t="shared" si="92"/>
        <v>0.5</v>
      </c>
      <c r="AF268" s="177">
        <f t="shared" si="93"/>
        <v>0.986827538637985</v>
      </c>
      <c r="AG268" s="811">
        <f t="shared" si="99"/>
        <v>0</v>
      </c>
      <c r="AH268" s="176">
        <f t="shared" si="94"/>
        <v>6</v>
      </c>
      <c r="AI268" s="225">
        <f t="shared" si="95"/>
        <v>0.986827538637985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32.468795568216947</v>
      </c>
      <c r="C269" s="841"/>
      <c r="D269" s="393">
        <f t="shared" si="77"/>
        <v>33.86481891698196</v>
      </c>
      <c r="E269" s="385">
        <f t="shared" si="100"/>
        <v>34.513253386773002</v>
      </c>
      <c r="F269" s="385">
        <f t="shared" si="78"/>
        <v>34.513487826408614</v>
      </c>
      <c r="G269" s="110">
        <f t="shared" si="101"/>
        <v>0.68243440480442219</v>
      </c>
      <c r="H269" s="414" t="b">
        <f>Wh_hp&gt;='2022'!Maxi_hp</f>
        <v>0</v>
      </c>
      <c r="I269" s="390">
        <f>IF(H269,Wh_hp,'2022'!Maxi_hp)</f>
        <v>50.761032411385656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4.1223411003239119E-2</v>
      </c>
      <c r="M269" s="845"/>
      <c r="N269" s="845"/>
      <c r="O269" s="48">
        <f>IF(t&lt;Tnet,'2022'!Resal+('2022'!Salim-'2022'!Resal)*(1-EXP(('2022'!Tnet-t)/('2022'!Tau_j))),Resal+(Salim-Resal)*(1-EXP((Tnet-t)/(Tau_j))))*Salcycl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1.2433084946900577E-5</v>
      </c>
      <c r="Q269" s="305">
        <f t="shared" si="80"/>
        <v>0.5</v>
      </c>
      <c r="R269" s="177">
        <f t="shared" si="81"/>
        <v>0.98725055301957199</v>
      </c>
      <c r="S269" s="811">
        <f t="shared" si="82"/>
        <v>0</v>
      </c>
      <c r="T269" s="176">
        <f t="shared" si="83"/>
        <v>6</v>
      </c>
      <c r="U269" s="251">
        <f t="shared" si="84"/>
        <v>0.98725055301957199</v>
      </c>
      <c r="V269" s="383">
        <f t="shared" si="85"/>
        <v>47.577631200535741</v>
      </c>
      <c r="W269" s="402">
        <f t="shared" si="86"/>
        <v>32.468795568216947</v>
      </c>
      <c r="X269" s="157">
        <f t="shared" si="87"/>
        <v>45181</v>
      </c>
      <c r="Y269" s="385">
        <f t="shared" si="88"/>
        <v>30.790634922833753</v>
      </c>
      <c r="Z269" s="385">
        <f t="shared" si="89"/>
        <v>32.114504334166398</v>
      </c>
      <c r="AA269" s="386">
        <f t="shared" si="90"/>
        <v>34.513253386773002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6.9502258327402658E-2</v>
      </c>
      <c r="AD269" s="231">
        <f>(INDEX(Models!$BJ269:$BT269,,AH269)*(1-AF269)+INDEX(Models!$BJ269:$BT269,,AH269+1)*AF269-ERP_i)*AE269*Ramure*Pc/MaxiM</f>
        <v>1.2433084946900577E-5</v>
      </c>
      <c r="AE269" s="305">
        <f t="shared" si="92"/>
        <v>0.5</v>
      </c>
      <c r="AF269" s="177">
        <f t="shared" si="93"/>
        <v>0.98725055301957199</v>
      </c>
      <c r="AG269" s="811">
        <f t="shared" si="99"/>
        <v>0</v>
      </c>
      <c r="AH269" s="176">
        <f t="shared" si="94"/>
        <v>6</v>
      </c>
      <c r="AI269" s="225">
        <f t="shared" si="95"/>
        <v>0.98725055301957199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11.512699126669794</v>
      </c>
      <c r="C270" s="841"/>
      <c r="D270" s="393">
        <f t="shared" si="77"/>
        <v>12.007960375729562</v>
      </c>
      <c r="E270" s="385">
        <f t="shared" si="100"/>
        <v>12.239010828394532</v>
      </c>
      <c r="F270" s="385">
        <f t="shared" si="78"/>
        <v>12.239010828394532</v>
      </c>
      <c r="G270" s="110">
        <f t="shared" si="101"/>
        <v>0.24338879334756539</v>
      </c>
      <c r="H270" s="414" t="b">
        <f>Wh_hp&gt;='2022'!Maxi_hp</f>
        <v>0</v>
      </c>
      <c r="I270" s="390">
        <f>IF(H270,Wh_hp,'2022'!Maxi_hp)</f>
        <v>48.245201516580117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4.1244410671173348E-2</v>
      </c>
      <c r="M270" s="845"/>
      <c r="N270" s="845"/>
      <c r="O270" s="48">
        <f>IF(t&lt;Tnet,'2022'!Resal+('2022'!Salim-'2022'!Resal)*(1-EXP(('2022'!Tnet-t)/('2022'!Tau_j))),Resal+(Salim-Resal)*(1-EXP((Tnet-t)/(Tau_j))))*Salcycl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1.4608270717892857E-5</v>
      </c>
      <c r="Q270" s="305">
        <f t="shared" si="80"/>
        <v>0.5</v>
      </c>
      <c r="R270" s="177">
        <f t="shared" si="81"/>
        <v>0.98765722284778201</v>
      </c>
      <c r="S270" s="811">
        <f t="shared" si="82"/>
        <v>0</v>
      </c>
      <c r="T270" s="176">
        <f t="shared" si="83"/>
        <v>6</v>
      </c>
      <c r="U270" s="251">
        <f t="shared" si="84"/>
        <v>0.98765722284778201</v>
      </c>
      <c r="V270" s="383">
        <f t="shared" si="85"/>
        <v>47.300990270345231</v>
      </c>
      <c r="W270" s="402">
        <f t="shared" si="86"/>
        <v>11.512699126669794</v>
      </c>
      <c r="X270" s="157">
        <f t="shared" si="87"/>
        <v>45182</v>
      </c>
      <c r="Y270" s="385">
        <f t="shared" si="88"/>
        <v>10.918323042619599</v>
      </c>
      <c r="Z270" s="385">
        <f t="shared" si="89"/>
        <v>11.388015010439659</v>
      </c>
      <c r="AA270" s="386">
        <f t="shared" si="90"/>
        <v>12.239010828394532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6.953142127961523E-2</v>
      </c>
      <c r="AD270" s="231">
        <f>(INDEX(Models!$BJ270:$BT270,,AH270)*(1-AF270)+INDEX(Models!$BJ270:$BT270,,AH270+1)*AF270-ERP_i)*AE270*Ramure*Pc/MaxiM</f>
        <v>1.4608270717892857E-5</v>
      </c>
      <c r="AE270" s="305">
        <f t="shared" si="92"/>
        <v>0.5</v>
      </c>
      <c r="AF270" s="177">
        <f t="shared" si="93"/>
        <v>0.98765722284778201</v>
      </c>
      <c r="AG270" s="811">
        <f t="shared" si="99"/>
        <v>0</v>
      </c>
      <c r="AH270" s="176">
        <f t="shared" si="94"/>
        <v>6</v>
      </c>
      <c r="AI270" s="225">
        <f t="shared" si="95"/>
        <v>0.98765722284778201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38.203723275085551</v>
      </c>
      <c r="C271" s="841"/>
      <c r="D271" s="393">
        <f t="shared" ref="D271:D334" si="102">Wh/(1-Ppv)</f>
        <v>39.848070225848794</v>
      </c>
      <c r="E271" s="385">
        <f t="shared" si="100"/>
        <v>40.618527891462442</v>
      </c>
      <c r="F271" s="385">
        <f t="shared" ref="F271:F334" si="103">Wh_sa/(1-Pvg*MEDIAN((-Sdif+Wh/Env_an)/Csdif,0,1))</f>
        <v>40.619037026762776</v>
      </c>
      <c r="G271" s="110">
        <f t="shared" si="101"/>
        <v>0.81247999337353793</v>
      </c>
      <c r="H271" s="414" t="b">
        <f>Wh_hp&gt;='2022'!Maxi_hp</f>
        <v>0</v>
      </c>
      <c r="I271" s="390">
        <f>IF(H271,Wh_hp,'2022'!Maxi_hp)</f>
        <v>47.954871485084247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4.1265409879161052E-2</v>
      </c>
      <c r="M271" s="845"/>
      <c r="N271" s="845"/>
      <c r="O271" s="48">
        <f>IF(t&lt;Tnet,'2022'!Resal+('2022'!Salim-'2022'!Resal)*(1-EXP(('2022'!Tnet-t)/('2022'!Tau_j))),Resal+(Salim-Resal)*(1-EXP((Tnet-t)/(Tau_j))))*Salcycl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1.7120701393976968E-5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0.98804815355221765</v>
      </c>
      <c r="S271" s="81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0.98804815355221765</v>
      </c>
      <c r="V271" s="383">
        <f t="shared" ref="V271:V334" si="110">MaxiM*(1-Ppv)*(1-Pvg)*(1-Psa)</f>
        <v>47.020909278655935</v>
      </c>
      <c r="W271" s="402">
        <f t="shared" ref="W271:W334" si="111">Wh*(A271&gt;Tmaj)</f>
        <v>38.203723275085551</v>
      </c>
      <c r="X271" s="157">
        <f t="shared" ref="X271:X334" si="112">t</f>
        <v>45183</v>
      </c>
      <c r="Y271" s="385">
        <f t="shared" ref="Y271:Y334" si="113">Wh_pvt_s*(1-Ppv)</f>
        <v>36.233555514351124</v>
      </c>
      <c r="Z271" s="385">
        <f t="shared" ref="Z271:Z334" si="114">Wh_sa_s*(1-Psa_s)</f>
        <v>37.793103417478918</v>
      </c>
      <c r="AA271" s="386">
        <f t="shared" ref="AA271:AA334" si="115">Wh_hp*(1-Pvg_s*MEDIAN((-Sdif+Wh/Env_an)/Csdif,0,1))</f>
        <v>40.618527891462442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6.9559991970496782E-2</v>
      </c>
      <c r="AD271" s="231">
        <f>(INDEX(Models!$BJ271:$BT271,,AH271)*(1-AF271)+INDEX(Models!$BJ271:$BT271,,AH271+1)*AF271-ERP_i)*AE271*Ramure*Pc/MaxiM</f>
        <v>1.7120701393976968E-5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0.98804815355221765</v>
      </c>
      <c r="AG271" s="81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0.98804815355221765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41.963263631056698</v>
      </c>
      <c r="C272" s="841"/>
      <c r="D272" s="393">
        <f t="shared" si="102"/>
        <v>43.770385659151074</v>
      </c>
      <c r="E272" s="385">
        <f t="shared" si="100"/>
        <v>44.620758615747498</v>
      </c>
      <c r="F272" s="385">
        <f t="shared" si="103"/>
        <v>44.621519860248505</v>
      </c>
      <c r="G272" s="110">
        <f t="shared" si="101"/>
        <v>0.89784172856374977</v>
      </c>
      <c r="H272" s="414" t="b">
        <f>Wh_hp&gt;='2022'!Maxi_hp</f>
        <v>0</v>
      </c>
      <c r="I272" s="390">
        <f>IF(H272,Wh_hp,'2022'!Maxi_hp)</f>
        <v>48.916978336718785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4.1286408627212112E-2</v>
      </c>
      <c r="M272" s="845"/>
      <c r="N272" s="845"/>
      <c r="O272" s="48">
        <f>IF(t&lt;Tnet,'2022'!Resal+('2022'!Salim-'2022'!Resal)*(1-EXP(('2022'!Tnet-t)/('2022'!Tau_j))),Resal+(Salim-Resal)*(1-EXP((Tnet-t)/(Tau_j))))*Salcycl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1.9975135012615004E-5</v>
      </c>
      <c r="Q272" s="305">
        <f t="shared" si="105"/>
        <v>0.5</v>
      </c>
      <c r="R272" s="177">
        <f t="shared" si="106"/>
        <v>0.98842393016211572</v>
      </c>
      <c r="S272" s="811">
        <f t="shared" si="107"/>
        <v>0</v>
      </c>
      <c r="T272" s="176">
        <f t="shared" si="108"/>
        <v>6</v>
      </c>
      <c r="U272" s="251">
        <f t="shared" si="109"/>
        <v>0.98842393016211572</v>
      </c>
      <c r="V272" s="383">
        <f t="shared" si="110"/>
        <v>46.737793495974294</v>
      </c>
      <c r="W272" s="402">
        <f t="shared" si="111"/>
        <v>41.963263631056698</v>
      </c>
      <c r="X272" s="157">
        <f t="shared" si="112"/>
        <v>45184</v>
      </c>
      <c r="Y272" s="385">
        <f t="shared" si="113"/>
        <v>39.80165774241879</v>
      </c>
      <c r="Z272" s="385">
        <f t="shared" si="114"/>
        <v>41.515691548115583</v>
      </c>
      <c r="AA272" s="386">
        <f t="shared" si="115"/>
        <v>44.620758615747498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6.9587948837249974E-2</v>
      </c>
      <c r="AD272" s="231">
        <f>(INDEX(Models!$BJ272:$BT272,,AH272)*(1-AF272)+INDEX(Models!$BJ272:$BT272,,AH272+1)*AF272-ERP_i)*AE272*Ramure*Pc/MaxiM</f>
        <v>1.9975135012615004E-5</v>
      </c>
      <c r="AE272" s="305">
        <f t="shared" si="117"/>
        <v>0.5</v>
      </c>
      <c r="AF272" s="177">
        <f t="shared" si="118"/>
        <v>0.98842393016211572</v>
      </c>
      <c r="AG272" s="811">
        <f t="shared" ref="AG272:AG335" si="124">INDEX(Echel_vg,AH272)</f>
        <v>0</v>
      </c>
      <c r="AH272" s="176">
        <f t="shared" si="119"/>
        <v>6</v>
      </c>
      <c r="AI272" s="225">
        <f t="shared" si="120"/>
        <v>0.98842393016211572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27.93876270505557</v>
      </c>
      <c r="C273" s="841"/>
      <c r="D273" s="393">
        <f t="shared" si="102"/>
        <v>29.142566560528611</v>
      </c>
      <c r="E273" s="385">
        <f t="shared" si="100"/>
        <v>29.711456319697344</v>
      </c>
      <c r="F273" s="385">
        <f t="shared" si="103"/>
        <v>29.711752868122662</v>
      </c>
      <c r="G273" s="110">
        <f t="shared" si="101"/>
        <v>0.60144590453200097</v>
      </c>
      <c r="H273" s="414" t="b">
        <f>Wh_hp&gt;='2022'!Maxi_hp</f>
        <v>0</v>
      </c>
      <c r="I273" s="390">
        <f>IF(H273,Wh_hp,'2022'!Maxi_hp)</f>
        <v>46.225866499783969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4.1307406915336742E-2</v>
      </c>
      <c r="M273" s="845"/>
      <c r="N273" s="845"/>
      <c r="O273" s="48">
        <f>IF(t&lt;Tnet,'2022'!Resal+('2022'!Salim-'2022'!Resal)*(1-EXP(('2022'!Tnet-t)/('2022'!Tau_j))),Resal+(Salim-Resal)*(1-EXP((Tnet-t)/(Tau_j))))*Salcycl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2.3176324674120383E-5</v>
      </c>
      <c r="Q273" s="305">
        <f t="shared" si="105"/>
        <v>0.5</v>
      </c>
      <c r="R273" s="177">
        <f t="shared" si="106"/>
        <v>0.98878511783401135</v>
      </c>
      <c r="S273" s="811">
        <f t="shared" si="107"/>
        <v>0</v>
      </c>
      <c r="T273" s="176">
        <f t="shared" si="108"/>
        <v>6</v>
      </c>
      <c r="U273" s="251">
        <f t="shared" si="109"/>
        <v>0.98878511783401135</v>
      </c>
      <c r="V273" s="383">
        <f t="shared" si="110"/>
        <v>46.452048015463369</v>
      </c>
      <c r="W273" s="402">
        <f t="shared" si="111"/>
        <v>27.93876270505557</v>
      </c>
      <c r="X273" s="157">
        <f t="shared" si="112"/>
        <v>45185</v>
      </c>
      <c r="Y273" s="385">
        <f t="shared" si="113"/>
        <v>26.501221103634307</v>
      </c>
      <c r="Z273" s="385">
        <f t="shared" si="114"/>
        <v>27.643085275504944</v>
      </c>
      <c r="AA273" s="386">
        <f t="shared" si="115"/>
        <v>29.711456319697344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6.9615269677008818E-2</v>
      </c>
      <c r="AD273" s="231">
        <f>(INDEX(Models!$BJ273:$BT273,,AH273)*(1-AF273)+INDEX(Models!$BJ273:$BT273,,AH273+1)*AF273-ERP_i)*AE273*Ramure*Pc/MaxiM</f>
        <v>2.3176324674120383E-5</v>
      </c>
      <c r="AE273" s="305">
        <f t="shared" si="117"/>
        <v>0.5</v>
      </c>
      <c r="AF273" s="177">
        <f t="shared" si="118"/>
        <v>0.98878511783401135</v>
      </c>
      <c r="AG273" s="811">
        <f t="shared" si="124"/>
        <v>0</v>
      </c>
      <c r="AH273" s="176">
        <f t="shared" si="119"/>
        <v>6</v>
      </c>
      <c r="AI273" s="225">
        <f t="shared" si="120"/>
        <v>0.98878511783401135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48.314982334063636</v>
      </c>
      <c r="C274" s="841"/>
      <c r="D274" s="393">
        <f t="shared" si="102"/>
        <v>50.397844864840145</v>
      </c>
      <c r="E274" s="385">
        <f t="shared" si="100"/>
        <v>51.386323301429563</v>
      </c>
      <c r="F274" s="385">
        <f t="shared" si="103"/>
        <v>51.387696842313346</v>
      </c>
      <c r="G274" s="110">
        <f t="shared" si="101"/>
        <v>1.0465926037131028</v>
      </c>
      <c r="H274" s="414" t="b">
        <f>Wh_hp&gt;='2022'!Maxi_hp</f>
        <v>1</v>
      </c>
      <c r="I274" s="390">
        <f>IF(H274,Wh_hp,'2022'!Maxi_hp)</f>
        <v>51.387696842313346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4.1328404743545044E-2</v>
      </c>
      <c r="M274" s="845"/>
      <c r="N274" s="845"/>
      <c r="O274" s="48">
        <f>IF(t&lt;Tnet,'2022'!Resal+('2022'!Salim-'2022'!Resal)*(1-EXP(('2022'!Tnet-t)/('2022'!Tau_j))),Resal+(Salim-Resal)*(1-EXP((Tnet-t)/(Tau_j))))*Salcycl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2.6728983164917943E-5</v>
      </c>
      <c r="Q274" s="305">
        <f t="shared" si="105"/>
        <v>0.5</v>
      </c>
      <c r="R274" s="177">
        <f t="shared" si="106"/>
        <v>0.98913226237910967</v>
      </c>
      <c r="S274" s="811">
        <f t="shared" si="107"/>
        <v>0</v>
      </c>
      <c r="T274" s="176">
        <f t="shared" si="108"/>
        <v>6</v>
      </c>
      <c r="U274" s="251">
        <f t="shared" si="109"/>
        <v>0.98913226237910967</v>
      </c>
      <c r="V274" s="383">
        <f t="shared" si="110"/>
        <v>46.164077753513332</v>
      </c>
      <c r="W274" s="402">
        <f t="shared" si="111"/>
        <v>48.314982334063636</v>
      </c>
      <c r="X274" s="157">
        <f t="shared" si="112"/>
        <v>45186</v>
      </c>
      <c r="Y274" s="385">
        <f t="shared" si="113"/>
        <v>45.83186531509331</v>
      </c>
      <c r="Z274" s="385">
        <f t="shared" si="114"/>
        <v>47.807680483985543</v>
      </c>
      <c r="AA274" s="386">
        <f t="shared" si="115"/>
        <v>51.386323301429563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6.9641931695558018E-2</v>
      </c>
      <c r="AD274" s="231">
        <f>(INDEX(Models!$BJ274:$BT274,,AH274)*(1-AF274)+INDEX(Models!$BJ274:$BT274,,AH274+1)*AF274-ERP_i)*AE274*Ramure*Pc/MaxiM</f>
        <v>2.6728983164917943E-5</v>
      </c>
      <c r="AE274" s="305">
        <f t="shared" si="117"/>
        <v>0.5</v>
      </c>
      <c r="AF274" s="177">
        <f t="shared" si="118"/>
        <v>0.98913226237910967</v>
      </c>
      <c r="AG274" s="811">
        <f t="shared" si="124"/>
        <v>0</v>
      </c>
      <c r="AH274" s="176">
        <f t="shared" si="119"/>
        <v>6</v>
      </c>
      <c r="AI274" s="225">
        <f t="shared" si="120"/>
        <v>0.98913226237910967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46.712487368853132</v>
      </c>
      <c r="C275" s="841"/>
      <c r="D275" s="393">
        <f t="shared" si="102"/>
        <v>48.727333474529509</v>
      </c>
      <c r="E275" s="385">
        <f t="shared" si="100"/>
        <v>49.687543966870166</v>
      </c>
      <c r="F275" s="385">
        <f t="shared" si="103"/>
        <v>49.689066419379245</v>
      </c>
      <c r="G275" s="110">
        <f t="shared" si="101"/>
        <v>1.0183329133380272</v>
      </c>
      <c r="H275" s="414" t="b">
        <f>Wh_hp&gt;='2022'!Maxi_hp</f>
        <v>1</v>
      </c>
      <c r="I275" s="390">
        <f>IF(H275,Wh_hp,'2022'!Maxi_hp)</f>
        <v>49.689066419379245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4.13494021118469E-2</v>
      </c>
      <c r="M275" s="845"/>
      <c r="N275" s="845"/>
      <c r="O275" s="48">
        <f>IF(t&lt;Tnet,'2022'!Resal+('2022'!Salim-'2022'!Resal)*(1-EXP(('2022'!Tnet-t)/('2022'!Tau_j))),Resal+(Salim-Resal)*(1-EXP((Tnet-t)/(Tau_j))))*Salcycl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3.0639587715944429E-5</v>
      </c>
      <c r="Q275" s="305">
        <f t="shared" si="105"/>
        <v>0.5</v>
      </c>
      <c r="R275" s="177">
        <f t="shared" si="106"/>
        <v>0.98946589078896752</v>
      </c>
      <c r="S275" s="811">
        <f t="shared" si="107"/>
        <v>0</v>
      </c>
      <c r="T275" s="176">
        <f t="shared" si="108"/>
        <v>6</v>
      </c>
      <c r="U275" s="251">
        <f t="shared" si="109"/>
        <v>0.98946589078896752</v>
      </c>
      <c r="V275" s="383">
        <f t="shared" si="110"/>
        <v>45.871528610160226</v>
      </c>
      <c r="W275" s="402">
        <f t="shared" si="111"/>
        <v>46.712487368853132</v>
      </c>
      <c r="X275" s="157">
        <f t="shared" si="112"/>
        <v>45187</v>
      </c>
      <c r="Y275" s="385">
        <f t="shared" si="113"/>
        <v>44.314502536432293</v>
      </c>
      <c r="Z275" s="385">
        <f t="shared" si="114"/>
        <v>46.225916547754053</v>
      </c>
      <c r="AA275" s="386">
        <f t="shared" si="115"/>
        <v>49.687543966870166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6.9667911568021906E-2</v>
      </c>
      <c r="AD275" s="231">
        <f>(INDEX(Models!$BJ275:$BT275,,AH275)*(1-AF275)+INDEX(Models!$BJ275:$BT275,,AH275+1)*AF275-ERP_i)*AE275*Ramure*Pc/MaxiM</f>
        <v>3.0639587715944429E-5</v>
      </c>
      <c r="AE275" s="305">
        <f t="shared" si="117"/>
        <v>0.5</v>
      </c>
      <c r="AF275" s="177">
        <f t="shared" si="118"/>
        <v>0.98946589078896752</v>
      </c>
      <c r="AG275" s="811">
        <f t="shared" si="124"/>
        <v>0</v>
      </c>
      <c r="AH275" s="176">
        <f t="shared" si="119"/>
        <v>6</v>
      </c>
      <c r="AI275" s="225">
        <f t="shared" si="120"/>
        <v>0.98946589078896752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45.507813815457574</v>
      </c>
      <c r="C276" s="841"/>
      <c r="D276" s="393">
        <f t="shared" si="102"/>
        <v>47.471738582813693</v>
      </c>
      <c r="E276" s="385">
        <f t="shared" si="100"/>
        <v>48.41157255529204</v>
      </c>
      <c r="F276" s="385">
        <f t="shared" si="103"/>
        <v>48.4133210316892</v>
      </c>
      <c r="G276" s="110">
        <f t="shared" si="101"/>
        <v>0.99858580303744149</v>
      </c>
      <c r="H276" s="414" t="b">
        <f>Wh_hp&gt;='2022'!Maxi_hp</f>
        <v>0</v>
      </c>
      <c r="I276" s="390">
        <f>IF(H276,Wh_hp,'2022'!Maxi_hp)</f>
        <v>48.413322483507429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4.1370399020252524E-2</v>
      </c>
      <c r="M276" s="845"/>
      <c r="N276" s="845"/>
      <c r="O276" s="48">
        <f>IF(t&lt;Tnet,'2022'!Resal+('2022'!Salim-'2022'!Resal)*(1-EXP(('2022'!Tnet-t)/('2022'!Tau_j))),Resal+(Salim-Resal)*(1-EXP((Tnet-t)/(Tau_j))))*Salcycl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3.6188712981106114E-5</v>
      </c>
      <c r="Q276" s="305">
        <f t="shared" si="105"/>
        <v>0.5</v>
      </c>
      <c r="R276" s="177">
        <f t="shared" si="106"/>
        <v>0.98978651175822918</v>
      </c>
      <c r="S276" s="811">
        <f t="shared" si="107"/>
        <v>0</v>
      </c>
      <c r="T276" s="176">
        <f t="shared" si="108"/>
        <v>6</v>
      </c>
      <c r="U276" s="251">
        <f t="shared" si="109"/>
        <v>0.98978651175822918</v>
      </c>
      <c r="V276" s="383">
        <f t="shared" si="110"/>
        <v>45.572258638112935</v>
      </c>
      <c r="W276" s="402">
        <f t="shared" si="111"/>
        <v>45.507813815457574</v>
      </c>
      <c r="X276" s="157">
        <f t="shared" si="112"/>
        <v>45188</v>
      </c>
      <c r="Y276" s="385">
        <f t="shared" si="113"/>
        <v>43.174391709712701</v>
      </c>
      <c r="Z276" s="385">
        <f t="shared" si="114"/>
        <v>45.037615848276758</v>
      </c>
      <c r="AA276" s="386">
        <f t="shared" si="115"/>
        <v>48.41157255529204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6.969318551182796E-2</v>
      </c>
      <c r="AD276" s="231">
        <f>(INDEX(Models!$BJ276:$BT276,,AH276)*(1-AF276)+INDEX(Models!$BJ276:$BT276,,AH276+1)*AF276-ERP_i)*AE276*Ramure*Pc/MaxiM</f>
        <v>3.6188712981106114E-5</v>
      </c>
      <c r="AE276" s="305">
        <f t="shared" si="117"/>
        <v>0.5</v>
      </c>
      <c r="AF276" s="177">
        <f t="shared" si="118"/>
        <v>0.98978651175822918</v>
      </c>
      <c r="AG276" s="811">
        <f t="shared" si="124"/>
        <v>0</v>
      </c>
      <c r="AH276" s="176">
        <f t="shared" si="119"/>
        <v>6</v>
      </c>
      <c r="AI276" s="225">
        <f t="shared" si="120"/>
        <v>0.98978651175822918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46.878977987087985</v>
      </c>
      <c r="C277" s="841"/>
      <c r="D277" s="393">
        <f t="shared" si="102"/>
        <v>48.903147505140964</v>
      </c>
      <c r="E277" s="385">
        <f t="shared" si="100"/>
        <v>49.875802065138743</v>
      </c>
      <c r="F277" s="385">
        <f t="shared" si="103"/>
        <v>49.877958814911558</v>
      </c>
      <c r="G277" s="110">
        <f t="shared" si="101"/>
        <v>1.035608495189277</v>
      </c>
      <c r="H277" s="414" t="b">
        <f>Wh_hp&gt;='2022'!Maxi_hp</f>
        <v>1</v>
      </c>
      <c r="I277" s="390">
        <f>IF(H277,Wh_hp,'2022'!Maxi_hp)</f>
        <v>49.877958814911558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4.1391395468772019E-2</v>
      </c>
      <c r="M277" s="845"/>
      <c r="N277" s="845"/>
      <c r="O277" s="48">
        <f>IF(t&lt;Tnet,'2022'!Resal+('2022'!Salim-'2022'!Resal)*(1-EXP(('2022'!Tnet-t)/('2022'!Tau_j))),Resal+(Salim-Resal)*(1-EXP((Tnet-t)/(Tau_j))))*Salcycl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4.3240537986329198E-5</v>
      </c>
      <c r="Q277" s="305">
        <f t="shared" si="105"/>
        <v>0.5</v>
      </c>
      <c r="R277" s="177">
        <f t="shared" si="106"/>
        <v>0.99009461620328787</v>
      </c>
      <c r="S277" s="811">
        <f t="shared" si="107"/>
        <v>0</v>
      </c>
      <c r="T277" s="176">
        <f t="shared" si="108"/>
        <v>6</v>
      </c>
      <c r="U277" s="251">
        <f t="shared" si="109"/>
        <v>0.99009461620328787</v>
      </c>
      <c r="V277" s="383">
        <f t="shared" si="110"/>
        <v>45.267085201459231</v>
      </c>
      <c r="W277" s="402">
        <f t="shared" si="111"/>
        <v>46.878977987087985</v>
      </c>
      <c r="X277" s="157">
        <f t="shared" si="112"/>
        <v>45189</v>
      </c>
      <c r="Y277" s="385">
        <f t="shared" si="113"/>
        <v>44.47807265259253</v>
      </c>
      <c r="Z277" s="385">
        <f t="shared" si="114"/>
        <v>46.398574394544355</v>
      </c>
      <c r="AA277" s="386">
        <f t="shared" si="115"/>
        <v>49.875802065138743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6.971772937211243E-2</v>
      </c>
      <c r="AD277" s="231">
        <f>(INDEX(Models!$BJ277:$BT277,,AH277)*(1-AF277)+INDEX(Models!$BJ277:$BT277,,AH277+1)*AF277-ERP_i)*AE277*Ramure*Pc/MaxiM</f>
        <v>4.3240537986329198E-5</v>
      </c>
      <c r="AE277" s="305">
        <f t="shared" si="117"/>
        <v>0.5</v>
      </c>
      <c r="AF277" s="177">
        <f t="shared" si="118"/>
        <v>0.99009461620328787</v>
      </c>
      <c r="AG277" s="811">
        <f t="shared" si="124"/>
        <v>0</v>
      </c>
      <c r="AH277" s="176">
        <f t="shared" si="119"/>
        <v>6</v>
      </c>
      <c r="AI277" s="225">
        <f t="shared" si="120"/>
        <v>0.99009461620328787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45.735643214881563</v>
      </c>
      <c r="C278" s="841"/>
      <c r="D278" s="393">
        <f t="shared" si="102"/>
        <v>47.711490120779906</v>
      </c>
      <c r="E278" s="385">
        <f t="shared" si="100"/>
        <v>48.664800222838018</v>
      </c>
      <c r="F278" s="385">
        <f t="shared" si="103"/>
        <v>48.667322070237319</v>
      </c>
      <c r="G278" s="110">
        <f t="shared" si="101"/>
        <v>1.0173238506975488</v>
      </c>
      <c r="H278" s="414" t="b">
        <f>Wh_hp&gt;='2022'!Maxi_hp</f>
        <v>1</v>
      </c>
      <c r="I278" s="390">
        <f>IF(H278,Wh_hp,'2022'!Maxi_hp)</f>
        <v>48.667322070237319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4.1412391457415376E-2</v>
      </c>
      <c r="M278" s="845"/>
      <c r="N278" s="845"/>
      <c r="O278" s="48">
        <f>IF(t&lt;Tnet,'2022'!Resal+('2022'!Salim-'2022'!Resal)*(1-EXP(('2022'!Tnet-t)/('2022'!Tau_j))),Resal+(Salim-Resal)*(1-EXP((Tnet-t)/(Tau_j))))*Salcycl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5.1818084333123713E-5</v>
      </c>
      <c r="Q278" s="305">
        <f t="shared" si="105"/>
        <v>0.5</v>
      </c>
      <c r="R278" s="177">
        <f t="shared" si="106"/>
        <v>0.99039067777587553</v>
      </c>
      <c r="S278" s="811">
        <f t="shared" si="107"/>
        <v>0</v>
      </c>
      <c r="T278" s="176">
        <f t="shared" si="108"/>
        <v>6</v>
      </c>
      <c r="U278" s="251">
        <f t="shared" si="109"/>
        <v>0.99039067777587553</v>
      </c>
      <c r="V278" s="383">
        <f t="shared" si="110"/>
        <v>44.956818011808124</v>
      </c>
      <c r="W278" s="402">
        <f t="shared" si="111"/>
        <v>45.735643214881563</v>
      </c>
      <c r="X278" s="157">
        <f t="shared" si="112"/>
        <v>45190</v>
      </c>
      <c r="Y278" s="385">
        <f t="shared" si="113"/>
        <v>43.396069269096273</v>
      </c>
      <c r="Z278" s="385">
        <f t="shared" si="114"/>
        <v>45.270843147111712</v>
      </c>
      <c r="AA278" s="386">
        <f t="shared" si="115"/>
        <v>48.664800222838018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6.9741518719592943E-2</v>
      </c>
      <c r="AD278" s="231">
        <f>(INDEX(Models!$BJ278:$BT278,,AH278)*(1-AF278)+INDEX(Models!$BJ278:$BT278,,AH278+1)*AF278-ERP_i)*AE278*Ramure*Pc/MaxiM</f>
        <v>5.1818084333123713E-5</v>
      </c>
      <c r="AE278" s="305">
        <f t="shared" si="117"/>
        <v>0.5</v>
      </c>
      <c r="AF278" s="177">
        <f t="shared" si="118"/>
        <v>0.99039067777587553</v>
      </c>
      <c r="AG278" s="811">
        <f t="shared" si="124"/>
        <v>0</v>
      </c>
      <c r="AH278" s="176">
        <f t="shared" si="119"/>
        <v>6</v>
      </c>
      <c r="AI278" s="225">
        <f t="shared" si="120"/>
        <v>0.99039067777587553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44.543251889774979</v>
      </c>
      <c r="C279" s="841"/>
      <c r="D279" s="393">
        <f t="shared" si="102"/>
        <v>46.468603522219034</v>
      </c>
      <c r="E279" s="385">
        <f t="shared" si="100"/>
        <v>47.401307423222974</v>
      </c>
      <c r="F279" s="385">
        <f t="shared" si="103"/>
        <v>47.404234558625838</v>
      </c>
      <c r="G279" s="110">
        <f t="shared" si="101"/>
        <v>0.99778184878343579</v>
      </c>
      <c r="H279" s="414" t="b">
        <f>Wh_hp&gt;='2022'!Maxi_hp</f>
        <v>0</v>
      </c>
      <c r="I279" s="390">
        <f>IF(H279,Wh_hp,'2022'!Maxi_hp)</f>
        <v>47.40423809314786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4.14333869861927E-2</v>
      </c>
      <c r="M279" s="845"/>
      <c r="N279" s="845"/>
      <c r="O279" s="48">
        <f>IF(t&lt;Tnet,'2022'!Resal+('2022'!Salim-'2022'!Resal)*(1-EXP(('2022'!Tnet-t)/('2022'!Tau_j))),Resal+(Salim-Resal)*(1-EXP((Tnet-t)/(Tau_j))))*Salcycl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6.1944667209313801E-5</v>
      </c>
      <c r="Q279" s="305">
        <f t="shared" si="105"/>
        <v>0.5</v>
      </c>
      <c r="R279" s="177">
        <f t="shared" si="106"/>
        <v>0.99067515337068568</v>
      </c>
      <c r="S279" s="811">
        <f t="shared" si="107"/>
        <v>0</v>
      </c>
      <c r="T279" s="176">
        <f t="shared" si="108"/>
        <v>6</v>
      </c>
      <c r="U279" s="251">
        <f t="shared" si="109"/>
        <v>0.99067515337068568</v>
      </c>
      <c r="V279" s="383">
        <f t="shared" si="110"/>
        <v>44.642266444258667</v>
      </c>
      <c r="W279" s="402">
        <f t="shared" si="111"/>
        <v>44.543251889774979</v>
      </c>
      <c r="X279" s="157">
        <f t="shared" si="112"/>
        <v>45191</v>
      </c>
      <c r="Y279" s="385">
        <f t="shared" si="113"/>
        <v>42.267398130239506</v>
      </c>
      <c r="Z279" s="385">
        <f t="shared" si="114"/>
        <v>44.094377538716429</v>
      </c>
      <c r="AA279" s="386">
        <f t="shared" si="115"/>
        <v>47.401307423222974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6.9764528960785707E-2</v>
      </c>
      <c r="AD279" s="231">
        <f>(INDEX(Models!$BJ279:$BT279,,AH279)*(1-AF279)+INDEX(Models!$BJ279:$BT279,,AH279+1)*AF279-ERP_i)*AE279*Ramure*Pc/MaxiM</f>
        <v>6.1944667209313801E-5</v>
      </c>
      <c r="AE279" s="305">
        <f t="shared" si="117"/>
        <v>0.5</v>
      </c>
      <c r="AF279" s="177">
        <f t="shared" si="118"/>
        <v>0.99067515337068568</v>
      </c>
      <c r="AG279" s="811">
        <f t="shared" si="124"/>
        <v>0</v>
      </c>
      <c r="AH279" s="176">
        <f t="shared" si="119"/>
        <v>6</v>
      </c>
      <c r="AI279" s="225">
        <f t="shared" si="120"/>
        <v>0.99067515337068568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28.142597694389671</v>
      </c>
      <c r="C280" s="841"/>
      <c r="D280" s="393">
        <f t="shared" si="102"/>
        <v>29.359685306086082</v>
      </c>
      <c r="E280" s="385">
        <f t="shared" si="100"/>
        <v>29.951644885179974</v>
      </c>
      <c r="F280" s="385">
        <f t="shared" si="103"/>
        <v>29.952700301432294</v>
      </c>
      <c r="G280" s="110">
        <f t="shared" si="101"/>
        <v>0.63490128796100731</v>
      </c>
      <c r="H280" s="414" t="b">
        <f>Wh_hp&gt;='2022'!Maxi_hp</f>
        <v>0</v>
      </c>
      <c r="I280" s="390">
        <f>IF(H280,Wh_hp,'2022'!Maxi_hp)</f>
        <v>44.303472000025792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4.1454382055114092E-2</v>
      </c>
      <c r="M280" s="845"/>
      <c r="N280" s="845"/>
      <c r="O280" s="48">
        <f>IF(t&lt;Tnet,'2022'!Resal+('2022'!Salim-'2022'!Resal)*(1-EXP(('2022'!Tnet-t)/('2022'!Tau_j))),Resal+(Salim-Resal)*(1-EXP((Tnet-t)/(Tau_j))))*Salcycl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7.364400438878838E-5</v>
      </c>
      <c r="Q280" s="305">
        <f t="shared" si="105"/>
        <v>0.5</v>
      </c>
      <c r="R280" s="177">
        <f t="shared" si="106"/>
        <v>0.99094848362625099</v>
      </c>
      <c r="S280" s="811">
        <f t="shared" si="107"/>
        <v>0</v>
      </c>
      <c r="T280" s="176">
        <f t="shared" si="108"/>
        <v>6</v>
      </c>
      <c r="U280" s="251">
        <f t="shared" si="109"/>
        <v>0.99094848362625099</v>
      </c>
      <c r="V280" s="383">
        <f t="shared" si="110"/>
        <v>44.324239518227643</v>
      </c>
      <c r="W280" s="402">
        <f t="shared" si="111"/>
        <v>28.142597694389671</v>
      </c>
      <c r="X280" s="157">
        <f t="shared" si="112"/>
        <v>45192</v>
      </c>
      <c r="Y280" s="385">
        <f t="shared" si="113"/>
        <v>26.706439526849543</v>
      </c>
      <c r="Z280" s="385">
        <f t="shared" si="114"/>
        <v>27.861417366977207</v>
      </c>
      <c r="AA280" s="386">
        <f t="shared" si="115"/>
        <v>29.951644885179974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6.9786735460295402E-2</v>
      </c>
      <c r="AD280" s="231">
        <f>(INDEX(Models!$BJ280:$BT280,,AH280)*(1-AF280)+INDEX(Models!$BJ280:$BT280,,AH280+1)*AF280-ERP_i)*AE280*Ramure*Pc/MaxiM</f>
        <v>7.364400438878838E-5</v>
      </c>
      <c r="AE280" s="305">
        <f t="shared" si="117"/>
        <v>0.5</v>
      </c>
      <c r="AF280" s="177">
        <f t="shared" si="118"/>
        <v>0.99094848362625099</v>
      </c>
      <c r="AG280" s="811">
        <f t="shared" si="124"/>
        <v>0</v>
      </c>
      <c r="AH280" s="176">
        <f t="shared" si="119"/>
        <v>6</v>
      </c>
      <c r="AI280" s="225">
        <f t="shared" si="120"/>
        <v>0.99094848362625099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17.641299773919251</v>
      </c>
      <c r="C281" s="841"/>
      <c r="D281" s="393">
        <f t="shared" si="102"/>
        <v>18.404639113521011</v>
      </c>
      <c r="E281" s="385">
        <f t="shared" si="100"/>
        <v>18.777380779463773</v>
      </c>
      <c r="F281" s="385">
        <f t="shared" si="103"/>
        <v>18.777616110009738</v>
      </c>
      <c r="G281" s="110">
        <f t="shared" si="101"/>
        <v>0.40087649194913538</v>
      </c>
      <c r="H281" s="414" t="b">
        <f>Wh_hp&gt;='2022'!Maxi_hp</f>
        <v>0</v>
      </c>
      <c r="I281" s="390">
        <f>IF(H281,Wh_hp,'2022'!Maxi_hp)</f>
        <v>40.249037915880088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4.1475376664189545E-2</v>
      </c>
      <c r="M281" s="845"/>
      <c r="N281" s="845"/>
      <c r="O281" s="48">
        <f>IF(t&lt;Tnet,'2022'!Resal+('2022'!Salim-'2022'!Resal)*(1-EXP(('2022'!Tnet-t)/('2022'!Tau_j))),Resal+(Salim-Resal)*(1-EXP((Tnet-t)/(Tau_j))))*Salcycl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8.6939573869713186E-5</v>
      </c>
      <c r="Q281" s="305">
        <f t="shared" si="105"/>
        <v>0.5</v>
      </c>
      <c r="R281" s="177">
        <f t="shared" si="106"/>
        <v>0.99121109341838698</v>
      </c>
      <c r="S281" s="811">
        <f t="shared" si="107"/>
        <v>0</v>
      </c>
      <c r="T281" s="176">
        <f t="shared" si="108"/>
        <v>6</v>
      </c>
      <c r="U281" s="251">
        <f t="shared" si="109"/>
        <v>0.99121109341838698</v>
      </c>
      <c r="V281" s="383">
        <f t="shared" si="110"/>
        <v>44.003545915780222</v>
      </c>
      <c r="W281" s="402">
        <f t="shared" si="111"/>
        <v>17.641299773919251</v>
      </c>
      <c r="X281" s="157">
        <f t="shared" si="112"/>
        <v>45193</v>
      </c>
      <c r="Y281" s="385">
        <f t="shared" si="113"/>
        <v>16.742134791876474</v>
      </c>
      <c r="Z281" s="385">
        <f t="shared" si="114"/>
        <v>17.466567247496801</v>
      </c>
      <c r="AA281" s="386">
        <f t="shared" si="115"/>
        <v>18.777380779463773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6.9808113674755298E-2</v>
      </c>
      <c r="AD281" s="231">
        <f>(INDEX(Models!$BJ281:$BT281,,AH281)*(1-AF281)+INDEX(Models!$BJ281:$BT281,,AH281+1)*AF281-ERP_i)*AE281*Ramure*Pc/MaxiM</f>
        <v>8.6939573869713186E-5</v>
      </c>
      <c r="AE281" s="305">
        <f t="shared" si="117"/>
        <v>0.5</v>
      </c>
      <c r="AF281" s="177">
        <f t="shared" si="118"/>
        <v>0.99121109341838698</v>
      </c>
      <c r="AG281" s="811">
        <f t="shared" si="124"/>
        <v>0</v>
      </c>
      <c r="AH281" s="176">
        <f t="shared" si="119"/>
        <v>6</v>
      </c>
      <c r="AI281" s="225">
        <f t="shared" si="120"/>
        <v>0.99121109341838698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31.227721170204589</v>
      </c>
      <c r="C282" s="841"/>
      <c r="D282" s="393">
        <f t="shared" si="102"/>
        <v>32.579658771564418</v>
      </c>
      <c r="E282" s="385">
        <f t="shared" si="100"/>
        <v>33.242410103328865</v>
      </c>
      <c r="F282" s="385">
        <f t="shared" si="103"/>
        <v>33.244425879794314</v>
      </c>
      <c r="G282" s="110">
        <f t="shared" si="101"/>
        <v>0.71487461842387934</v>
      </c>
      <c r="H282" s="414" t="b">
        <f>Wh_hp&gt;='2022'!Maxi_hp</f>
        <v>0</v>
      </c>
      <c r="I282" s="390">
        <f>IF(H282,Wh_hp,'2022'!Maxi_hp)</f>
        <v>46.514117854235721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4.1496370813429273E-2</v>
      </c>
      <c r="M282" s="845"/>
      <c r="N282" s="845"/>
      <c r="O282" s="48">
        <f>IF(t&lt;Tnet,'2022'!Resal+('2022'!Salim-'2022'!Resal)*(1-EXP(('2022'!Tnet-t)/('2022'!Tau_j))),Resal+(Salim-Resal)*(1-EXP((Tnet-t)/(Tau_j))))*Salcycl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1.0229950353955608E-4</v>
      </c>
      <c r="Q282" s="305">
        <f t="shared" si="105"/>
        <v>0.5</v>
      </c>
      <c r="R282" s="177">
        <f t="shared" si="106"/>
        <v>0.99146339234560532</v>
      </c>
      <c r="S282" s="811">
        <f t="shared" si="107"/>
        <v>0</v>
      </c>
      <c r="T282" s="176">
        <f t="shared" si="108"/>
        <v>6</v>
      </c>
      <c r="U282" s="251">
        <f t="shared" si="109"/>
        <v>0.99146339234560532</v>
      </c>
      <c r="V282" s="383">
        <f t="shared" si="110"/>
        <v>43.680974536926854</v>
      </c>
      <c r="W282" s="402">
        <f t="shared" si="111"/>
        <v>31.227721170204589</v>
      </c>
      <c r="X282" s="157">
        <f t="shared" si="112"/>
        <v>45194</v>
      </c>
      <c r="Y282" s="385">
        <f t="shared" si="113"/>
        <v>29.638022837099125</v>
      </c>
      <c r="Z282" s="385">
        <f t="shared" si="114"/>
        <v>30.921137838832475</v>
      </c>
      <c r="AA282" s="386">
        <f t="shared" si="115"/>
        <v>33.242410103328865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6.982863929784501E-2</v>
      </c>
      <c r="AD282" s="231">
        <f>(INDEX(Models!$BJ282:$BT282,,AH282)*(1-AF282)+INDEX(Models!$BJ282:$BT282,,AH282+1)*AF282-ERP_i)*AE282*Ramure*Pc/MaxiM</f>
        <v>1.0229950353955608E-4</v>
      </c>
      <c r="AE282" s="305">
        <f t="shared" si="117"/>
        <v>0.5</v>
      </c>
      <c r="AF282" s="177">
        <f t="shared" si="118"/>
        <v>0.99146339234560532</v>
      </c>
      <c r="AG282" s="811">
        <f t="shared" si="124"/>
        <v>0</v>
      </c>
      <c r="AH282" s="176">
        <f t="shared" si="119"/>
        <v>6</v>
      </c>
      <c r="AI282" s="225">
        <f t="shared" si="120"/>
        <v>0.99146339234560532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33.676465873327068</v>
      </c>
      <c r="C283" s="841"/>
      <c r="D283" s="393">
        <f t="shared" si="102"/>
        <v>35.135186205913236</v>
      </c>
      <c r="E283" s="385">
        <f t="shared" si="100"/>
        <v>35.853068446429951</v>
      </c>
      <c r="F283" s="385">
        <f t="shared" si="103"/>
        <v>35.855988507773212</v>
      </c>
      <c r="G283" s="110">
        <f t="shared" si="101"/>
        <v>0.77668926437398922</v>
      </c>
      <c r="H283" s="414" t="b">
        <f>Wh_hp&gt;='2022'!Maxi_hp</f>
        <v>0</v>
      </c>
      <c r="I283" s="390">
        <f>IF(H283,Wh_hp,'2022'!Maxi_hp)</f>
        <v>46.475483095151723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4.1517364502843157E-2</v>
      </c>
      <c r="M283" s="845"/>
      <c r="N283" s="845"/>
      <c r="O283" s="48">
        <f>IF(t&lt;Tnet,'2022'!Resal+('2022'!Salim-'2022'!Resal)*(1-EXP(('2022'!Tnet-t)/('2022'!Tau_j))),Resal+(Salim-Resal)*(1-EXP((Tnet-t)/(Tau_j))))*Salcycl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1.1958203797675046E-4</v>
      </c>
      <c r="Q283" s="305">
        <f t="shared" si="105"/>
        <v>0.5</v>
      </c>
      <c r="R283" s="177">
        <f t="shared" si="106"/>
        <v>0.99170577520598324</v>
      </c>
      <c r="S283" s="811">
        <f t="shared" si="107"/>
        <v>0</v>
      </c>
      <c r="T283" s="176">
        <f t="shared" si="108"/>
        <v>6</v>
      </c>
      <c r="U283" s="251">
        <f t="shared" si="109"/>
        <v>0.99170577520598324</v>
      </c>
      <c r="V283" s="383">
        <f t="shared" si="110"/>
        <v>43.357340930301135</v>
      </c>
      <c r="W283" s="402">
        <f t="shared" si="111"/>
        <v>33.676465873327068</v>
      </c>
      <c r="X283" s="157">
        <f t="shared" si="112"/>
        <v>45195</v>
      </c>
      <c r="Y283" s="385">
        <f t="shared" si="113"/>
        <v>31.96423898707517</v>
      </c>
      <c r="Z283" s="385">
        <f t="shared" si="114"/>
        <v>33.348792980997082</v>
      </c>
      <c r="AA283" s="386">
        <f t="shared" si="115"/>
        <v>35.853068446429951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6.9848288415666371E-2</v>
      </c>
      <c r="AD283" s="231">
        <f>(INDEX(Models!$BJ283:$BT283,,AH283)*(1-AF283)+INDEX(Models!$BJ283:$BT283,,AH283+1)*AF283-ERP_i)*AE283*Ramure*Pc/MaxiM</f>
        <v>1.1958203797675046E-4</v>
      </c>
      <c r="AE283" s="305">
        <f t="shared" si="117"/>
        <v>0.5</v>
      </c>
      <c r="AF283" s="177">
        <f t="shared" si="118"/>
        <v>0.99170577520598324</v>
      </c>
      <c r="AG283" s="811">
        <f t="shared" si="124"/>
        <v>0</v>
      </c>
      <c r="AH283" s="176">
        <f t="shared" si="119"/>
        <v>6</v>
      </c>
      <c r="AI283" s="225">
        <f t="shared" si="120"/>
        <v>0.99170577520598324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15.220875515819898</v>
      </c>
      <c r="C284" s="841"/>
      <c r="D284" s="393">
        <f t="shared" si="102"/>
        <v>15.880526506840559</v>
      </c>
      <c r="E284" s="385">
        <f t="shared" si="100"/>
        <v>16.206412818958814</v>
      </c>
      <c r="F284" s="385">
        <f t="shared" si="103"/>
        <v>16.206585395851402</v>
      </c>
      <c r="G284" s="110">
        <f t="shared" si="101"/>
        <v>0.35365334912393864</v>
      </c>
      <c r="H284" s="414" t="b">
        <f>Wh_hp&gt;='2022'!Maxi_hp</f>
        <v>0</v>
      </c>
      <c r="I284" s="390">
        <f>IF(H284,Wh_hp,'2022'!Maxi_hp)</f>
        <v>45.12039737403196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4.15383577324413E-2</v>
      </c>
      <c r="M284" s="845"/>
      <c r="N284" s="845"/>
      <c r="O284" s="48">
        <f>IF(t&lt;Tnet,'2022'!Resal+('2022'!Salim-'2022'!Resal)*(1-EXP(('2022'!Tnet-t)/('2022'!Tau_j))),Resal+(Salim-Resal)*(1-EXP((Tnet-t)/(Tau_j))))*Salcycl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1.3881153196148831E-4</v>
      </c>
      <c r="Q284" s="305">
        <f t="shared" si="105"/>
        <v>0.5</v>
      </c>
      <c r="R284" s="177">
        <f t="shared" si="106"/>
        <v>0.99193862246505238</v>
      </c>
      <c r="S284" s="811">
        <f t="shared" si="107"/>
        <v>0</v>
      </c>
      <c r="T284" s="176">
        <f t="shared" si="108"/>
        <v>6</v>
      </c>
      <c r="U284" s="251">
        <f t="shared" si="109"/>
        <v>0.99193862246505238</v>
      </c>
      <c r="V284" s="383">
        <f t="shared" si="110"/>
        <v>43.033452900120224</v>
      </c>
      <c r="W284" s="402">
        <f t="shared" si="111"/>
        <v>15.220875515819898</v>
      </c>
      <c r="X284" s="157">
        <f t="shared" si="112"/>
        <v>45196</v>
      </c>
      <c r="Y284" s="385">
        <f t="shared" si="113"/>
        <v>14.44796462629394</v>
      </c>
      <c r="Z284" s="385">
        <f t="shared" si="114"/>
        <v>15.074118764014896</v>
      </c>
      <c r="AA284" s="386">
        <f t="shared" si="115"/>
        <v>16.206412818958814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6.9867037671613633E-2</v>
      </c>
      <c r="AD284" s="231">
        <f>(INDEX(Models!$BJ284:$BT284,,AH284)*(1-AF284)+INDEX(Models!$BJ284:$BT284,,AH284+1)*AF284-ERP_i)*AE284*Ramure*Pc/MaxiM</f>
        <v>1.3881153196148831E-4</v>
      </c>
      <c r="AE284" s="305">
        <f t="shared" si="117"/>
        <v>0.5</v>
      </c>
      <c r="AF284" s="177">
        <f t="shared" si="118"/>
        <v>0.99193862246505238</v>
      </c>
      <c r="AG284" s="811">
        <f t="shared" si="124"/>
        <v>0</v>
      </c>
      <c r="AH284" s="176">
        <f t="shared" si="119"/>
        <v>6</v>
      </c>
      <c r="AI284" s="225">
        <f t="shared" si="120"/>
        <v>0.99193862246505238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17.488959694037632</v>
      </c>
      <c r="C285" s="841"/>
      <c r="D285" s="393">
        <f t="shared" si="102"/>
        <v>18.247305874601679</v>
      </c>
      <c r="E285" s="385">
        <f t="shared" si="100"/>
        <v>18.623380143451996</v>
      </c>
      <c r="F285" s="385">
        <f t="shared" si="103"/>
        <v>18.62384621914731</v>
      </c>
      <c r="G285" s="110">
        <f t="shared" si="101"/>
        <v>0.4094252073889656</v>
      </c>
      <c r="H285" s="414" t="b">
        <f>Wh_hp&gt;='2022'!Maxi_hp</f>
        <v>0</v>
      </c>
      <c r="I285" s="390">
        <f>IF(H285,Wh_hp,'2022'!Maxi_hp)</f>
        <v>42.169880552957594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4.1559350502234027E-2</v>
      </c>
      <c r="M285" s="845"/>
      <c r="N285" s="845"/>
      <c r="O285" s="48">
        <f>IF(t&lt;Tnet,'2022'!Resal+('2022'!Salim-'2022'!Resal)*(1-EXP(('2022'!Tnet-t)/('2022'!Tau_j))),Resal+(Salim-Resal)*(1-EXP((Tnet-t)/(Tau_j))))*Salcycl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1.6001047592116203E-4</v>
      </c>
      <c r="Q285" s="305">
        <f t="shared" si="105"/>
        <v>0.5</v>
      </c>
      <c r="R285" s="177">
        <f t="shared" si="106"/>
        <v>0.99216230071433908</v>
      </c>
      <c r="S285" s="811">
        <f t="shared" si="107"/>
        <v>0</v>
      </c>
      <c r="T285" s="176">
        <f t="shared" si="108"/>
        <v>6</v>
      </c>
      <c r="U285" s="251">
        <f t="shared" si="109"/>
        <v>0.99216230071433908</v>
      </c>
      <c r="V285" s="383">
        <f t="shared" si="110"/>
        <v>42.710117933433359</v>
      </c>
      <c r="W285" s="402">
        <f t="shared" si="111"/>
        <v>17.488959694037632</v>
      </c>
      <c r="X285" s="157">
        <f t="shared" si="112"/>
        <v>45197</v>
      </c>
      <c r="Y285" s="385">
        <f t="shared" si="113"/>
        <v>16.602001342491011</v>
      </c>
      <c r="Z285" s="385">
        <f t="shared" si="114"/>
        <v>17.321887746717184</v>
      </c>
      <c r="AA285" s="386">
        <f t="shared" si="115"/>
        <v>18.623380143451996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6.9884864439735905E-2</v>
      </c>
      <c r="AD285" s="231">
        <f>(INDEX(Models!$BJ285:$BT285,,AH285)*(1-AF285)+INDEX(Models!$BJ285:$BT285,,AH285+1)*AF285-ERP_i)*AE285*Ramure*Pc/MaxiM</f>
        <v>1.6001047592116203E-4</v>
      </c>
      <c r="AE285" s="305">
        <f t="shared" si="117"/>
        <v>0.5</v>
      </c>
      <c r="AF285" s="177">
        <f t="shared" si="118"/>
        <v>0.99216230071433908</v>
      </c>
      <c r="AG285" s="811">
        <f t="shared" si="124"/>
        <v>0</v>
      </c>
      <c r="AH285" s="176">
        <f t="shared" si="119"/>
        <v>6</v>
      </c>
      <c r="AI285" s="225">
        <f t="shared" si="120"/>
        <v>0.99216230071433908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23.985107356011149</v>
      </c>
      <c r="C286" s="841"/>
      <c r="D286" s="393">
        <f t="shared" si="102"/>
        <v>25.0256838704552</v>
      </c>
      <c r="E286" s="385">
        <f t="shared" si="100"/>
        <v>25.543669625217905</v>
      </c>
      <c r="F286" s="385">
        <f t="shared" si="103"/>
        <v>25.545446949211179</v>
      </c>
      <c r="G286" s="110">
        <f t="shared" si="101"/>
        <v>0.56578042983857291</v>
      </c>
      <c r="H286" s="414" t="b">
        <f>Wh_hp&gt;='2022'!Maxi_hp</f>
        <v>0</v>
      </c>
      <c r="I286" s="390">
        <f>IF(H286,Wh_hp,'2022'!Maxi_hp)</f>
        <v>44.457549596928516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4.1580342812231108E-2</v>
      </c>
      <c r="M286" s="845"/>
      <c r="N286" s="845"/>
      <c r="O286" s="48">
        <f>IF(t&lt;Tnet,'2022'!Resal+('2022'!Salim-'2022'!Resal)*(1-EXP(('2022'!Tnet-t)/('2022'!Tau_j))),Resal+(Salim-Resal)*(1-EXP((Tnet-t)/(Tau_j))))*Salcycl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1.8319899472035749E-4</v>
      </c>
      <c r="Q286" s="305">
        <f t="shared" si="105"/>
        <v>0.5</v>
      </c>
      <c r="R286" s="177">
        <f t="shared" si="106"/>
        <v>0.99237716312024937</v>
      </c>
      <c r="S286" s="811">
        <f t="shared" si="107"/>
        <v>0</v>
      </c>
      <c r="T286" s="176">
        <f t="shared" si="108"/>
        <v>6</v>
      </c>
      <c r="U286" s="251">
        <f t="shared" si="109"/>
        <v>0.99237716312024937</v>
      </c>
      <c r="V286" s="383">
        <f t="shared" si="110"/>
        <v>42.388143204367047</v>
      </c>
      <c r="W286" s="402">
        <f t="shared" si="111"/>
        <v>23.985107356011149</v>
      </c>
      <c r="X286" s="157">
        <f t="shared" si="112"/>
        <v>45198</v>
      </c>
      <c r="Y286" s="385">
        <f t="shared" si="113"/>
        <v>22.770251615630798</v>
      </c>
      <c r="Z286" s="385">
        <f t="shared" si="114"/>
        <v>23.75812249348488</v>
      </c>
      <c r="AA286" s="386">
        <f t="shared" si="115"/>
        <v>25.543669625217905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6.9901747005459577E-2</v>
      </c>
      <c r="AD286" s="231">
        <f>(INDEX(Models!$BJ286:$BT286,,AH286)*(1-AF286)+INDEX(Models!$BJ286:$BT286,,AH286+1)*AF286-ERP_i)*AE286*Ramure*Pc/MaxiM</f>
        <v>1.8319899472035749E-4</v>
      </c>
      <c r="AE286" s="305">
        <f t="shared" si="117"/>
        <v>0.5</v>
      </c>
      <c r="AF286" s="177">
        <f t="shared" si="118"/>
        <v>0.99237716312024937</v>
      </c>
      <c r="AG286" s="811">
        <f t="shared" si="124"/>
        <v>0</v>
      </c>
      <c r="AH286" s="176">
        <f t="shared" si="119"/>
        <v>6</v>
      </c>
      <c r="AI286" s="225">
        <f t="shared" si="120"/>
        <v>0.99237716312024937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29.30829179885782</v>
      </c>
      <c r="C287" s="841"/>
      <c r="D287" s="393">
        <f t="shared" si="102"/>
        <v>30.580480606716154</v>
      </c>
      <c r="E287" s="385">
        <f t="shared" si="100"/>
        <v>31.216128327010949</v>
      </c>
      <c r="F287" s="385">
        <f t="shared" si="103"/>
        <v>31.219815229879988</v>
      </c>
      <c r="G287" s="110">
        <f t="shared" si="101"/>
        <v>0.69662002463851247</v>
      </c>
      <c r="H287" s="414" t="b">
        <f>Wh_hp&gt;='2022'!Maxi_hp</f>
        <v>0</v>
      </c>
      <c r="I287" s="390">
        <f>IF(H287,Wh_hp,'2022'!Maxi_hp)</f>
        <v>41.406216750872005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4.1601334662442646E-2</v>
      </c>
      <c r="M287" s="845"/>
      <c r="N287" s="845"/>
      <c r="O287" s="48">
        <f>IF(t&lt;Tnet,'2022'!Resal+('2022'!Salim-'2022'!Resal)*(1-EXP(('2022'!Tnet-t)/('2022'!Tau_j))),Resal+(Salim-Resal)*(1-EXP((Tnet-t)/(Tau_j))))*Salcycl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2.0839432223002918E-4</v>
      </c>
      <c r="Q287" s="305">
        <f t="shared" si="105"/>
        <v>0.5</v>
      </c>
      <c r="R287" s="177">
        <f t="shared" si="106"/>
        <v>0.9925835498630583</v>
      </c>
      <c r="S287" s="811">
        <f t="shared" si="107"/>
        <v>0</v>
      </c>
      <c r="T287" s="176">
        <f t="shared" si="108"/>
        <v>6</v>
      </c>
      <c r="U287" s="251">
        <f t="shared" si="109"/>
        <v>0.9925835498630583</v>
      </c>
      <c r="V287" s="383">
        <f t="shared" si="110"/>
        <v>42.068335577154599</v>
      </c>
      <c r="W287" s="402">
        <f t="shared" si="111"/>
        <v>29.30829179885782</v>
      </c>
      <c r="X287" s="157">
        <f t="shared" si="112"/>
        <v>45199</v>
      </c>
      <c r="Y287" s="385">
        <f t="shared" si="113"/>
        <v>27.825734289237978</v>
      </c>
      <c r="Z287" s="385">
        <f t="shared" si="114"/>
        <v>29.033569531774631</v>
      </c>
      <c r="AA287" s="386">
        <f t="shared" si="115"/>
        <v>31.216128327010949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6.9917664752414996E-2</v>
      </c>
      <c r="AD287" s="231">
        <f>(INDEX(Models!$BJ287:$BT287,,AH287)*(1-AF287)+INDEX(Models!$BJ287:$BT287,,AH287+1)*AF287-ERP_i)*AE287*Ramure*Pc/MaxiM</f>
        <v>2.0839432223002918E-4</v>
      </c>
      <c r="AE287" s="305">
        <f t="shared" si="117"/>
        <v>0.5</v>
      </c>
      <c r="AF287" s="177">
        <f t="shared" si="118"/>
        <v>0.9925835498630583</v>
      </c>
      <c r="AG287" s="811">
        <f t="shared" si="124"/>
        <v>0</v>
      </c>
      <c r="AH287" s="176">
        <f t="shared" si="119"/>
        <v>6</v>
      </c>
      <c r="AI287" s="225">
        <f t="shared" si="120"/>
        <v>0.9925835498630583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35.147336380200613</v>
      </c>
      <c r="C288" s="841"/>
      <c r="D288" s="393">
        <f t="shared" si="102"/>
        <v>36.673784600432882</v>
      </c>
      <c r="E288" s="385">
        <f t="shared" si="100"/>
        <v>37.439295821119906</v>
      </c>
      <c r="F288" s="385">
        <f t="shared" si="103"/>
        <v>37.446124862359369</v>
      </c>
      <c r="G288" s="110">
        <f t="shared" si="101"/>
        <v>0.84177726364540018</v>
      </c>
      <c r="H288" s="414" t="b">
        <f>Wh_hp&gt;='2022'!Maxi_hp</f>
        <v>0</v>
      </c>
      <c r="I288" s="390">
        <f>IF(H288,Wh_hp,'2022'!Maxi_hp)</f>
        <v>43.530133856028712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4.1622326052878855E-2</v>
      </c>
      <c r="M288" s="845"/>
      <c r="N288" s="845"/>
      <c r="O288" s="48">
        <f>IF(t&lt;Tnet,'2022'!Resal+('2022'!Salim-'2022'!Resal)*(1-EXP(('2022'!Tnet-t)/('2022'!Tau_j))),Resal+(Salim-Resal)*(1-EXP((Tnet-t)/(Tau_j))))*Salcycl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2.3561025343635676E-4</v>
      </c>
      <c r="Q288" s="305">
        <f t="shared" si="105"/>
        <v>0.5</v>
      </c>
      <c r="R288" s="177">
        <f t="shared" si="106"/>
        <v>0.99278178856580657</v>
      </c>
      <c r="S288" s="811">
        <f t="shared" si="107"/>
        <v>0</v>
      </c>
      <c r="T288" s="176">
        <f t="shared" si="108"/>
        <v>6</v>
      </c>
      <c r="U288" s="251">
        <f t="shared" si="109"/>
        <v>0.99278178856580657</v>
      </c>
      <c r="V288" s="383">
        <f t="shared" si="110"/>
        <v>41.751501609288873</v>
      </c>
      <c r="W288" s="402">
        <f t="shared" si="111"/>
        <v>35.147336380200613</v>
      </c>
      <c r="X288" s="157">
        <f t="shared" si="112"/>
        <v>45200</v>
      </c>
      <c r="Y288" s="385">
        <f t="shared" si="113"/>
        <v>33.371734713700171</v>
      </c>
      <c r="Z288" s="385">
        <f t="shared" si="114"/>
        <v>34.821068583804959</v>
      </c>
      <c r="AA288" s="386">
        <f t="shared" si="115"/>
        <v>37.439295821119906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6.993259835399937E-2</v>
      </c>
      <c r="AD288" s="231">
        <f>(INDEX(Models!$BJ288:$BT288,,AH288)*(1-AF288)+INDEX(Models!$BJ288:$BT288,,AH288+1)*AF288-ERP_i)*AE288*Ramure*Pc/MaxiM</f>
        <v>2.3561025343635676E-4</v>
      </c>
      <c r="AE288" s="305">
        <f t="shared" si="117"/>
        <v>0.5</v>
      </c>
      <c r="AF288" s="177">
        <f t="shared" si="118"/>
        <v>0.99278178856580657</v>
      </c>
      <c r="AG288" s="811">
        <f t="shared" si="124"/>
        <v>0</v>
      </c>
      <c r="AH288" s="176">
        <f t="shared" si="119"/>
        <v>6</v>
      </c>
      <c r="AI288" s="225">
        <f t="shared" si="120"/>
        <v>0.99278178856580657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39.177702898162089</v>
      </c>
      <c r="C289" s="841"/>
      <c r="D289" s="393">
        <f t="shared" si="102"/>
        <v>40.880085246392134</v>
      </c>
      <c r="E289" s="385">
        <f t="shared" si="100"/>
        <v>41.736954543704378</v>
      </c>
      <c r="F289" s="385">
        <f t="shared" si="103"/>
        <v>41.747151010933095</v>
      </c>
      <c r="G289" s="110">
        <f t="shared" si="101"/>
        <v>0.94546978925353509</v>
      </c>
      <c r="H289" s="414" t="b">
        <f>Wh_hp&gt;='2022'!Maxi_hp</f>
        <v>0</v>
      </c>
      <c r="I289" s="390">
        <f>IF(H289,Wh_hp,'2022'!Maxi_hp)</f>
        <v>44.550821163435508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4.1643316983549838E-2</v>
      </c>
      <c r="M289" s="845"/>
      <c r="N289" s="845"/>
      <c r="O289" s="48">
        <f>IF(t&lt;Tnet,'2022'!Resal+('2022'!Salim-'2022'!Resal)*(1-EXP(('2022'!Tnet-t)/('2022'!Tau_j))),Resal+(Salim-Resal)*(1-EXP((Tnet-t)/(Tau_j))))*Salcycl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2.6486945640877903E-4</v>
      </c>
      <c r="Q289" s="305">
        <f t="shared" si="105"/>
        <v>0.5</v>
      </c>
      <c r="R289" s="177">
        <f t="shared" si="106"/>
        <v>0.99297219471296294</v>
      </c>
      <c r="S289" s="811">
        <f t="shared" si="107"/>
        <v>0</v>
      </c>
      <c r="T289" s="176">
        <f t="shared" si="108"/>
        <v>6</v>
      </c>
      <c r="U289" s="251">
        <f t="shared" si="109"/>
        <v>0.99297219471296294</v>
      </c>
      <c r="V289" s="383">
        <f t="shared" si="110"/>
        <v>41.436431989247012</v>
      </c>
      <c r="W289" s="402">
        <f t="shared" si="111"/>
        <v>39.177702898162089</v>
      </c>
      <c r="X289" s="157">
        <f t="shared" si="112"/>
        <v>45201</v>
      </c>
      <c r="Y289" s="385">
        <f t="shared" si="113"/>
        <v>37.201105805496375</v>
      </c>
      <c r="Z289" s="385">
        <f t="shared" si="114"/>
        <v>38.81759940193146</v>
      </c>
      <c r="AA289" s="386">
        <f t="shared" si="115"/>
        <v>41.736954543704378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6.9946529968207174E-2</v>
      </c>
      <c r="AD289" s="231">
        <f>(INDEX(Models!$BJ289:$BT289,,AH289)*(1-AF289)+INDEX(Models!$BJ289:$BT289,,AH289+1)*AF289-ERP_i)*AE289*Ramure*Pc/MaxiM</f>
        <v>2.6486945640877903E-4</v>
      </c>
      <c r="AE289" s="305">
        <f t="shared" si="117"/>
        <v>0.5</v>
      </c>
      <c r="AF289" s="177">
        <f t="shared" si="118"/>
        <v>0.99297219471296294</v>
      </c>
      <c r="AG289" s="811">
        <f t="shared" si="124"/>
        <v>0</v>
      </c>
      <c r="AH289" s="176">
        <f t="shared" si="119"/>
        <v>6</v>
      </c>
      <c r="AI289" s="225">
        <f t="shared" si="120"/>
        <v>0.99297219471296294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35.632556658863393</v>
      </c>
      <c r="C290" s="841"/>
      <c r="D290" s="393">
        <f t="shared" si="102"/>
        <v>37.181706719297992</v>
      </c>
      <c r="E290" s="385">
        <f t="shared" si="100"/>
        <v>37.964275262667158</v>
      </c>
      <c r="F290" s="385">
        <f t="shared" si="103"/>
        <v>37.973301560041065</v>
      </c>
      <c r="G290" s="110">
        <f t="shared" si="101"/>
        <v>0.86647070743383803</v>
      </c>
      <c r="H290" s="414" t="b">
        <f>Wh_hp&gt;='2022'!Maxi_hp</f>
        <v>0</v>
      </c>
      <c r="I290" s="390">
        <f>IF(H290,Wh_hp,'2022'!Maxi_hp)</f>
        <v>42.516161138689995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4.1664307454465477E-2</v>
      </c>
      <c r="M290" s="845"/>
      <c r="N290" s="845"/>
      <c r="O290" s="48">
        <f>IF(t&lt;Tnet,'2022'!Resal+('2022'!Salim-'2022'!Resal)*(1-EXP(('2022'!Tnet-t)/('2022'!Tau_j))),Resal+(Salim-Resal)*(1-EXP((Tnet-t)/(Tau_j))))*Salcycl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2.9370723729661789E-4</v>
      </c>
      <c r="Q290" s="305">
        <f t="shared" si="105"/>
        <v>0.5</v>
      </c>
      <c r="R290" s="177">
        <f t="shared" si="106"/>
        <v>0.99315507205875098</v>
      </c>
      <c r="S290" s="811">
        <f t="shared" si="107"/>
        <v>0</v>
      </c>
      <c r="T290" s="176">
        <f t="shared" si="108"/>
        <v>6</v>
      </c>
      <c r="U290" s="251">
        <f t="shared" si="109"/>
        <v>0.99315507205875098</v>
      </c>
      <c r="V290" s="383">
        <f t="shared" si="110"/>
        <v>41.121483090592513</v>
      </c>
      <c r="W290" s="402">
        <f t="shared" si="111"/>
        <v>35.632556658863393</v>
      </c>
      <c r="X290" s="157">
        <f t="shared" si="112"/>
        <v>45202</v>
      </c>
      <c r="Y290" s="385">
        <f t="shared" si="113"/>
        <v>33.837219174097292</v>
      </c>
      <c r="Z290" s="385">
        <f t="shared" si="114"/>
        <v>35.308315694909325</v>
      </c>
      <c r="AA290" s="386">
        <f t="shared" si="115"/>
        <v>37.964275262667158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6.9959443434170238E-2</v>
      </c>
      <c r="AD290" s="231">
        <f>(INDEX(Models!$BJ290:$BT290,,AH290)*(1-AF290)+INDEX(Models!$BJ290:$BT290,,AH290+1)*AF290-ERP_i)*AE290*Ramure*Pc/MaxiM</f>
        <v>2.9370723729661789E-4</v>
      </c>
      <c r="AE290" s="305">
        <f t="shared" si="117"/>
        <v>0.5</v>
      </c>
      <c r="AF290" s="177">
        <f t="shared" si="118"/>
        <v>0.99315507205875098</v>
      </c>
      <c r="AG290" s="811">
        <f t="shared" si="124"/>
        <v>0</v>
      </c>
      <c r="AH290" s="176">
        <f t="shared" si="119"/>
        <v>6</v>
      </c>
      <c r="AI290" s="225">
        <f t="shared" si="120"/>
        <v>0.99315507205875098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40.092961240438889</v>
      </c>
      <c r="C291" s="841"/>
      <c r="D291" s="393">
        <f t="shared" si="102"/>
        <v>41.836946813409867</v>
      </c>
      <c r="E291" s="385">
        <f t="shared" si="100"/>
        <v>42.721098253801777</v>
      </c>
      <c r="F291" s="385">
        <f t="shared" si="103"/>
        <v>42.73446231539927</v>
      </c>
      <c r="G291" s="110">
        <f t="shared" si="101"/>
        <v>0.98250113462354638</v>
      </c>
      <c r="H291" s="414" t="b">
        <f>Wh_hp&gt;='2022'!Maxi_hp</f>
        <v>0</v>
      </c>
      <c r="I291" s="390">
        <f>IF(H291,Wh_hp,'2022'!Maxi_hp)</f>
        <v>42.734559878391323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4.1685297465635873E-2</v>
      </c>
      <c r="M291" s="845"/>
      <c r="N291" s="845"/>
      <c r="O291" s="48">
        <f>IF(t&lt;Tnet,'2022'!Resal+('2022'!Salim-'2022'!Resal)*(1-EXP(('2022'!Tnet-t)/('2022'!Tau_j))),Resal+(Salim-Resal)*(1-EXP((Tnet-t)/(Tau_j))))*Salcycl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3.207375998181637E-4</v>
      </c>
      <c r="Q291" s="305">
        <f t="shared" si="105"/>
        <v>0.5</v>
      </c>
      <c r="R291" s="177">
        <f t="shared" si="106"/>
        <v>0.99333071302508147</v>
      </c>
      <c r="S291" s="811">
        <f t="shared" si="107"/>
        <v>0</v>
      </c>
      <c r="T291" s="176">
        <f t="shared" si="108"/>
        <v>6</v>
      </c>
      <c r="U291" s="251">
        <f t="shared" si="109"/>
        <v>0.99333071302508147</v>
      </c>
      <c r="V291" s="383">
        <f t="shared" si="110"/>
        <v>40.806710964076501</v>
      </c>
      <c r="W291" s="402">
        <f t="shared" si="111"/>
        <v>40.092961240438889</v>
      </c>
      <c r="X291" s="157">
        <f t="shared" si="112"/>
        <v>45203</v>
      </c>
      <c r="Y291" s="385">
        <f t="shared" si="113"/>
        <v>38.07561258908656</v>
      </c>
      <c r="Z291" s="385">
        <f t="shared" si="114"/>
        <v>39.73184642622261</v>
      </c>
      <c r="AA291" s="386">
        <f t="shared" si="115"/>
        <v>42.721098253801777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6.9971324468774673E-2</v>
      </c>
      <c r="AD291" s="231">
        <f>(INDEX(Models!$BJ291:$BT291,,AH291)*(1-AF291)+INDEX(Models!$BJ291:$BT291,,AH291+1)*AF291-ERP_i)*AE291*Ramure*Pc/MaxiM</f>
        <v>3.207375998181637E-4</v>
      </c>
      <c r="AE291" s="305">
        <f t="shared" si="117"/>
        <v>0.5</v>
      </c>
      <c r="AF291" s="177">
        <f t="shared" si="118"/>
        <v>0.99333071302508147</v>
      </c>
      <c r="AG291" s="811">
        <f t="shared" si="124"/>
        <v>0</v>
      </c>
      <c r="AH291" s="176">
        <f t="shared" si="119"/>
        <v>6</v>
      </c>
      <c r="AI291" s="225">
        <f t="shared" si="120"/>
        <v>0.99333071302508147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41.349839328251839</v>
      </c>
      <c r="C292" s="841"/>
      <c r="D292" s="393">
        <f t="shared" si="102"/>
        <v>43.149442355768073</v>
      </c>
      <c r="E292" s="385">
        <f t="shared" si="100"/>
        <v>44.065027700346235</v>
      </c>
      <c r="F292" s="385">
        <f t="shared" si="103"/>
        <v>44.080276283019209</v>
      </c>
      <c r="G292" s="110">
        <f t="shared" si="101"/>
        <v>1.0211825004158248</v>
      </c>
      <c r="H292" s="414" t="b">
        <f>Wh_hp&gt;='2022'!Maxi_hp</f>
        <v>1</v>
      </c>
      <c r="I292" s="390">
        <f>IF(H292,Wh_hp,'2022'!Maxi_hp)</f>
        <v>44.080276283019209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4.1706287017071242E-2</v>
      </c>
      <c r="M292" s="845"/>
      <c r="N292" s="845"/>
      <c r="O292" s="48">
        <f>IF(t&lt;Tnet,'2022'!Resal+('2022'!Salim-'2022'!Resal)*(1-EXP(('2022'!Tnet-t)/('2022'!Tau_j))),Resal+(Salim-Resal)*(1-EXP((Tnet-t)/(Tau_j))))*Salcycl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3.4592756576810505E-4</v>
      </c>
      <c r="Q292" s="305">
        <f t="shared" si="105"/>
        <v>0.5</v>
      </c>
      <c r="R292" s="177">
        <f t="shared" si="106"/>
        <v>0.99349939908906315</v>
      </c>
      <c r="S292" s="811">
        <f t="shared" si="107"/>
        <v>0</v>
      </c>
      <c r="T292" s="176">
        <f t="shared" si="108"/>
        <v>6</v>
      </c>
      <c r="U292" s="251">
        <f t="shared" si="109"/>
        <v>0.99349939908906315</v>
      </c>
      <c r="V292" s="383">
        <f t="shared" si="110"/>
        <v>40.492115083654696</v>
      </c>
      <c r="W292" s="402">
        <f t="shared" si="111"/>
        <v>41.349839328251839</v>
      </c>
      <c r="X292" s="157">
        <f t="shared" si="112"/>
        <v>45204</v>
      </c>
      <c r="Y292" s="385">
        <f t="shared" si="113"/>
        <v>39.272085574682443</v>
      </c>
      <c r="Z292" s="385">
        <f t="shared" si="114"/>
        <v>40.981261843446994</v>
      </c>
      <c r="AA292" s="386">
        <f t="shared" si="115"/>
        <v>44.065027700346235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6.9982160861662451E-2</v>
      </c>
      <c r="AD292" s="231">
        <f>(INDEX(Models!$BJ292:$BT292,,AH292)*(1-AF292)+INDEX(Models!$BJ292:$BT292,,AH292+1)*AF292-ERP_i)*AE292*Ramure*Pc/MaxiM</f>
        <v>3.4592756576810505E-4</v>
      </c>
      <c r="AE292" s="305">
        <f t="shared" si="117"/>
        <v>0.5</v>
      </c>
      <c r="AF292" s="177">
        <f t="shared" si="118"/>
        <v>0.99349939908906315</v>
      </c>
      <c r="AG292" s="811">
        <f t="shared" si="124"/>
        <v>0</v>
      </c>
      <c r="AH292" s="176">
        <f t="shared" si="119"/>
        <v>6</v>
      </c>
      <c r="AI292" s="225">
        <f t="shared" si="120"/>
        <v>0.99349939908906315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12.070537629123347</v>
      </c>
      <c r="C293" s="841"/>
      <c r="D293" s="393">
        <f t="shared" si="102"/>
        <v>12.596140251294031</v>
      </c>
      <c r="E293" s="385">
        <f t="shared" si="100"/>
        <v>12.86449018946807</v>
      </c>
      <c r="F293" s="385">
        <f t="shared" si="103"/>
        <v>12.864493099436867</v>
      </c>
      <c r="G293" s="110">
        <f t="shared" si="101"/>
        <v>0.30031796071237526</v>
      </c>
      <c r="H293" s="414" t="b">
        <f>Wh_hp&gt;='2022'!Maxi_hp</f>
        <v>0</v>
      </c>
      <c r="I293" s="390">
        <f>IF(H293,Wh_hp,'2022'!Maxi_hp)</f>
        <v>39.638043153684698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4.1727276108781575E-2</v>
      </c>
      <c r="M293" s="845"/>
      <c r="N293" s="845"/>
      <c r="O293" s="48">
        <f>IF(t&lt;Tnet,'2022'!Resal+('2022'!Salim-'2022'!Resal)*(1-EXP(('2022'!Tnet-t)/('2022'!Tau_j))),Resal+(Salim-Resal)*(1-EXP((Tnet-t)/(Tau_j))))*Salcycl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3.6924456644009862E-4</v>
      </c>
      <c r="Q293" s="305">
        <f t="shared" si="105"/>
        <v>0.5</v>
      </c>
      <c r="R293" s="177">
        <f t="shared" si="106"/>
        <v>0.99366140116010238</v>
      </c>
      <c r="S293" s="811">
        <f t="shared" si="107"/>
        <v>0</v>
      </c>
      <c r="T293" s="176">
        <f t="shared" si="108"/>
        <v>6</v>
      </c>
      <c r="U293" s="251">
        <f t="shared" si="109"/>
        <v>0.99366140116010238</v>
      </c>
      <c r="V293" s="383">
        <f t="shared" si="110"/>
        <v>40.177694831955563</v>
      </c>
      <c r="W293" s="402">
        <f t="shared" si="111"/>
        <v>12.070537629123347</v>
      </c>
      <c r="X293" s="157">
        <f t="shared" si="112"/>
        <v>45205</v>
      </c>
      <c r="Y293" s="385">
        <f t="shared" si="113"/>
        <v>11.464851079765467</v>
      </c>
      <c r="Z293" s="385">
        <f t="shared" si="114"/>
        <v>11.964079529688187</v>
      </c>
      <c r="AA293" s="386">
        <f t="shared" si="115"/>
        <v>12.86449018946807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6.9991942666879456E-2</v>
      </c>
      <c r="AD293" s="231">
        <f>(INDEX(Models!$BJ293:$BT293,,AH293)*(1-AF293)+INDEX(Models!$BJ293:$BT293,,AH293+1)*AF293-ERP_i)*AE293*Ramure*Pc/MaxiM</f>
        <v>3.6924456644009862E-4</v>
      </c>
      <c r="AE293" s="305">
        <f t="shared" si="117"/>
        <v>0.5</v>
      </c>
      <c r="AF293" s="177">
        <f t="shared" si="118"/>
        <v>0.99366140116010238</v>
      </c>
      <c r="AG293" s="811">
        <f t="shared" si="124"/>
        <v>0</v>
      </c>
      <c r="AH293" s="176">
        <f t="shared" si="119"/>
        <v>6</v>
      </c>
      <c r="AI293" s="225">
        <f t="shared" si="120"/>
        <v>0.99366140116010238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29.501852393957183</v>
      </c>
      <c r="C294" s="841"/>
      <c r="D294" s="393">
        <f t="shared" si="102"/>
        <v>30.787163026609537</v>
      </c>
      <c r="E294" s="385">
        <f t="shared" si="100"/>
        <v>31.445665636106501</v>
      </c>
      <c r="F294" s="385">
        <f t="shared" si="103"/>
        <v>31.453390467484727</v>
      </c>
      <c r="G294" s="110">
        <f t="shared" si="101"/>
        <v>0.73996536089342779</v>
      </c>
      <c r="H294" s="414" t="b">
        <f>Wh_hp&gt;='2022'!Maxi_hp</f>
        <v>0</v>
      </c>
      <c r="I294" s="390">
        <f>IF(H294,Wh_hp,'2022'!Maxi_hp)</f>
        <v>42.817625020301556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4.1748264740776975E-2</v>
      </c>
      <c r="M294" s="845"/>
      <c r="N294" s="845"/>
      <c r="O294" s="48">
        <f>IF(t&lt;Tnet,'2022'!Resal+('2022'!Salim-'2022'!Resal)*(1-EXP(('2022'!Tnet-t)/('2022'!Tau_j))),Resal+(Salim-Resal)*(1-EXP((Tnet-t)/(Tau_j))))*Salcycl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3.9065655147653232E-4</v>
      </c>
      <c r="Q294" s="305">
        <f t="shared" si="105"/>
        <v>0.5</v>
      </c>
      <c r="R294" s="177">
        <f t="shared" si="106"/>
        <v>0.99381697994662521</v>
      </c>
      <c r="S294" s="811">
        <f t="shared" si="107"/>
        <v>0</v>
      </c>
      <c r="T294" s="176">
        <f t="shared" si="108"/>
        <v>6</v>
      </c>
      <c r="U294" s="251">
        <f t="shared" si="109"/>
        <v>0.99381697994662521</v>
      </c>
      <c r="V294" s="383">
        <f t="shared" si="110"/>
        <v>39.863449494823747</v>
      </c>
      <c r="W294" s="402">
        <f t="shared" si="111"/>
        <v>29.501852393957183</v>
      </c>
      <c r="X294" s="157">
        <f t="shared" si="112"/>
        <v>45206</v>
      </c>
      <c r="Y294" s="385">
        <f t="shared" si="113"/>
        <v>28.023543246138114</v>
      </c>
      <c r="Z294" s="385">
        <f t="shared" si="114"/>
        <v>29.244448212303293</v>
      </c>
      <c r="AA294" s="386">
        <f t="shared" si="115"/>
        <v>31.445665636106501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7.0000662389405069E-2</v>
      </c>
      <c r="AD294" s="231">
        <f>(INDEX(Models!$BJ294:$BT294,,AH294)*(1-AF294)+INDEX(Models!$BJ294:$BT294,,AH294+1)*AF294-ERP_i)*AE294*Ramure*Pc/MaxiM</f>
        <v>3.9065655147653232E-4</v>
      </c>
      <c r="AE294" s="305">
        <f t="shared" si="117"/>
        <v>0.5</v>
      </c>
      <c r="AF294" s="177">
        <f t="shared" si="118"/>
        <v>0.99381697994662521</v>
      </c>
      <c r="AG294" s="811">
        <f t="shared" si="124"/>
        <v>0</v>
      </c>
      <c r="AH294" s="176">
        <f t="shared" si="119"/>
        <v>6</v>
      </c>
      <c r="AI294" s="225">
        <f t="shared" si="120"/>
        <v>0.99381697994662521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16.079047500165945</v>
      </c>
      <c r="C295" s="841"/>
      <c r="D295" s="393">
        <f t="shared" si="102"/>
        <v>16.779932755285738</v>
      </c>
      <c r="E295" s="385">
        <f t="shared" si="100"/>
        <v>17.140250274956948</v>
      </c>
      <c r="F295" s="385">
        <f t="shared" si="103"/>
        <v>17.141320435611185</v>
      </c>
      <c r="G295" s="110">
        <f t="shared" si="101"/>
        <v>0.40641489620174015</v>
      </c>
      <c r="H295" s="414" t="b">
        <f>Wh_hp&gt;='2022'!Maxi_hp</f>
        <v>0</v>
      </c>
      <c r="I295" s="390">
        <f>IF(H295,Wh_hp,'2022'!Maxi_hp)</f>
        <v>40.412475476580589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4.1769252913067323E-2</v>
      </c>
      <c r="M295" s="845"/>
      <c r="N295" s="845"/>
      <c r="O295" s="48">
        <f>IF(t&lt;Tnet,'2022'!Resal+('2022'!Salim-'2022'!Resal)*(1-EXP(('2022'!Tnet-t)/('2022'!Tau_j))),Resal+(Salim-Resal)*(1-EXP((Tnet-t)/(Tau_j))))*Salcycl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4.1013209594186373E-4</v>
      </c>
      <c r="Q295" s="305">
        <f t="shared" si="105"/>
        <v>0.5</v>
      </c>
      <c r="R295" s="177">
        <f t="shared" si="106"/>
        <v>0.99396638631248635</v>
      </c>
      <c r="S295" s="811">
        <f t="shared" si="107"/>
        <v>0</v>
      </c>
      <c r="T295" s="176">
        <f t="shared" si="108"/>
        <v>6</v>
      </c>
      <c r="U295" s="251">
        <f t="shared" si="109"/>
        <v>0.99396638631248635</v>
      </c>
      <c r="V295" s="383">
        <f t="shared" si="110"/>
        <v>39.549378256292755</v>
      </c>
      <c r="W295" s="402">
        <f t="shared" si="111"/>
        <v>16.079047500165945</v>
      </c>
      <c r="X295" s="157">
        <f t="shared" si="112"/>
        <v>45207</v>
      </c>
      <c r="Y295" s="385">
        <f t="shared" si="113"/>
        <v>15.274476217508704</v>
      </c>
      <c r="Z295" s="385">
        <f t="shared" si="114"/>
        <v>15.940290231704465</v>
      </c>
      <c r="AA295" s="386">
        <f t="shared" si="115"/>
        <v>17.140250274956948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7.0008315164785187E-2</v>
      </c>
      <c r="AD295" s="231">
        <f>(INDEX(Models!$BJ295:$BT295,,AH295)*(1-AF295)+INDEX(Models!$BJ295:$BT295,,AH295+1)*AF295-ERP_i)*AE295*Ramure*Pc/MaxiM</f>
        <v>4.1013209594186373E-4</v>
      </c>
      <c r="AE295" s="305">
        <f t="shared" si="117"/>
        <v>0.5</v>
      </c>
      <c r="AF295" s="177">
        <f t="shared" si="118"/>
        <v>0.99396638631248635</v>
      </c>
      <c r="AG295" s="811">
        <f t="shared" si="124"/>
        <v>0</v>
      </c>
      <c r="AH295" s="176">
        <f t="shared" si="119"/>
        <v>6</v>
      </c>
      <c r="AI295" s="225">
        <f t="shared" si="120"/>
        <v>0.99396638631248635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37.815689179819088</v>
      </c>
      <c r="C296" s="841"/>
      <c r="D296" s="393">
        <f t="shared" si="102"/>
        <v>39.464938454092596</v>
      </c>
      <c r="E296" s="385">
        <f t="shared" si="100"/>
        <v>40.315679776564366</v>
      </c>
      <c r="F296" s="385">
        <f t="shared" si="103"/>
        <v>40.331987821695094</v>
      </c>
      <c r="G296" s="110">
        <f t="shared" si="101"/>
        <v>0.96379113261596083</v>
      </c>
      <c r="H296" s="414" t="b">
        <f>Wh_hp&gt;='2022'!Maxi_hp</f>
        <v>0</v>
      </c>
      <c r="I296" s="390">
        <f>IF(H296,Wh_hp,'2022'!Maxi_hp)</f>
        <v>40.332218740710523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4.1790240625662944E-2</v>
      </c>
      <c r="M296" s="845"/>
      <c r="N296" s="845"/>
      <c r="O296" s="48">
        <f>IF(t&lt;Tnet,'2022'!Resal+('2022'!Salim-'2022'!Resal)*(1-EXP(('2022'!Tnet-t)/('2022'!Tau_j))),Resal+(Salim-Resal)*(1-EXP((Tnet-t)/(Tau_j))))*Salcycl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4.2638799193014368E-4</v>
      </c>
      <c r="Q296" s="305">
        <f t="shared" si="105"/>
        <v>0.5</v>
      </c>
      <c r="R296" s="177">
        <f t="shared" si="106"/>
        <v>0.99410986162314896</v>
      </c>
      <c r="S296" s="811">
        <f t="shared" si="107"/>
        <v>0</v>
      </c>
      <c r="T296" s="176">
        <f t="shared" si="108"/>
        <v>6</v>
      </c>
      <c r="U296" s="251">
        <f t="shared" si="109"/>
        <v>0.99410986162314896</v>
      </c>
      <c r="V296" s="383">
        <f t="shared" si="110"/>
        <v>39.23552935801689</v>
      </c>
      <c r="W296" s="402">
        <f t="shared" si="111"/>
        <v>37.815689179819088</v>
      </c>
      <c r="X296" s="157">
        <f t="shared" si="112"/>
        <v>45208</v>
      </c>
      <c r="Y296" s="385">
        <f t="shared" si="113"/>
        <v>35.926140811726334</v>
      </c>
      <c r="Z296" s="385">
        <f t="shared" si="114"/>
        <v>37.492981531710036</v>
      </c>
      <c r="AA296" s="386">
        <f t="shared" si="115"/>
        <v>40.315679776564366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7.0014898930097463E-2</v>
      </c>
      <c r="AD296" s="231">
        <f>(INDEX(Models!$BJ296:$BT296,,AH296)*(1-AF296)+INDEX(Models!$BJ296:$BT296,,AH296+1)*AF296-ERP_i)*AE296*Ramure*Pc/MaxiM</f>
        <v>4.2638799193014368E-4</v>
      </c>
      <c r="AE296" s="305">
        <f t="shared" si="117"/>
        <v>0.5</v>
      </c>
      <c r="AF296" s="177">
        <f t="shared" si="118"/>
        <v>0.99410986162314896</v>
      </c>
      <c r="AG296" s="811">
        <f t="shared" si="124"/>
        <v>0</v>
      </c>
      <c r="AH296" s="176">
        <f t="shared" si="119"/>
        <v>6</v>
      </c>
      <c r="AI296" s="225">
        <f t="shared" si="120"/>
        <v>0.99410986162314896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31.165831605126666</v>
      </c>
      <c r="C297" s="841"/>
      <c r="D297" s="393">
        <f t="shared" si="102"/>
        <v>32.525774160477411</v>
      </c>
      <c r="E297" s="385">
        <f t="shared" ref="E297:E360" si="125">Wh_pvt/(1-Psa)</f>
        <v>33.22963754970214</v>
      </c>
      <c r="F297" s="385">
        <f t="shared" si="103"/>
        <v>33.240073543189297</v>
      </c>
      <c r="G297" s="110">
        <f t="shared" ref="G297:G360" si="126">+Wh_hp/MaxiM</f>
        <v>0.80062691137668451</v>
      </c>
      <c r="H297" s="414" t="b">
        <f>Wh_hp&gt;='2022'!Maxi_hp</f>
        <v>0</v>
      </c>
      <c r="I297" s="390">
        <f>IF(H297,Wh_hp,'2022'!Maxi_hp)</f>
        <v>33.241133995143599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4.181122787857372E-2</v>
      </c>
      <c r="M297" s="845"/>
      <c r="N297" s="845"/>
      <c r="O297" s="48">
        <f>IF(t&lt;Tnet,'2022'!Resal+('2022'!Salim-'2022'!Resal)*(1-EXP(('2022'!Tnet-t)/('2022'!Tau_j))),Resal+(Salim-Resal)*(1-EXP((Tnet-t)/(Tau_j))))*Salcycl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4.3890331642049293E-4</v>
      </c>
      <c r="Q297" s="305">
        <f t="shared" si="105"/>
        <v>0.5</v>
      </c>
      <c r="R297" s="177">
        <f t="shared" si="106"/>
        <v>0.99424763808173999</v>
      </c>
      <c r="S297" s="811">
        <f t="shared" si="107"/>
        <v>0</v>
      </c>
      <c r="T297" s="176">
        <f t="shared" si="108"/>
        <v>6</v>
      </c>
      <c r="U297" s="251">
        <f t="shared" si="109"/>
        <v>0.99424763808173999</v>
      </c>
      <c r="V297" s="383">
        <f t="shared" si="110"/>
        <v>38.921919711620127</v>
      </c>
      <c r="W297" s="402">
        <f t="shared" si="111"/>
        <v>31.165831605126666</v>
      </c>
      <c r="X297" s="157">
        <f t="shared" si="112"/>
        <v>45209</v>
      </c>
      <c r="Y297" s="385">
        <f t="shared" si="113"/>
        <v>29.610797003871273</v>
      </c>
      <c r="Z297" s="385">
        <f t="shared" si="114"/>
        <v>30.902884551979337</v>
      </c>
      <c r="AA297" s="386">
        <f t="shared" si="115"/>
        <v>33.22963754970214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7.0020414584499674E-2</v>
      </c>
      <c r="AD297" s="231">
        <f>(INDEX(Models!$BJ297:$BT297,,AH297)*(1-AF297)+INDEX(Models!$BJ297:$BT297,,AH297+1)*AF297-ERP_i)*AE297*Ramure*Pc/MaxiM</f>
        <v>4.3890331642049293E-4</v>
      </c>
      <c r="AE297" s="305">
        <f t="shared" si="117"/>
        <v>0.5</v>
      </c>
      <c r="AF297" s="177">
        <f t="shared" si="118"/>
        <v>0.99424763808173999</v>
      </c>
      <c r="AG297" s="811">
        <f t="shared" si="124"/>
        <v>0</v>
      </c>
      <c r="AH297" s="176">
        <f t="shared" si="119"/>
        <v>6</v>
      </c>
      <c r="AI297" s="225">
        <f t="shared" si="120"/>
        <v>0.99424763808173999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22.662672682226159</v>
      </c>
      <c r="C298" s="841"/>
      <c r="D298" s="393">
        <f t="shared" si="102"/>
        <v>23.652092075360034</v>
      </c>
      <c r="E298" s="385">
        <f t="shared" si="125"/>
        <v>24.165885747021687</v>
      </c>
      <c r="F298" s="385">
        <f t="shared" si="103"/>
        <v>24.17032146161042</v>
      </c>
      <c r="G298" s="110">
        <f t="shared" si="126"/>
        <v>0.58683083733108055</v>
      </c>
      <c r="H298" s="414" t="b">
        <f>Wh_hp&gt;='2022'!Maxi_hp</f>
        <v>0</v>
      </c>
      <c r="I298" s="390">
        <f>IF(H298,Wh_hp,'2022'!Maxi_hp)</f>
        <v>42.375150802238252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4.1832214671809864E-2</v>
      </c>
      <c r="M298" s="845"/>
      <c r="N298" s="845"/>
      <c r="O298" s="48">
        <f>IF(t&lt;Tnet,'2022'!Resal+('2022'!Salim-'2022'!Resal)*(1-EXP(('2022'!Tnet-t)/('2022'!Tau_j))),Resal+(Salim-Resal)*(1-EXP((Tnet-t)/(Tau_j))))*Salcycl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4.4762945431688235E-4</v>
      </c>
      <c r="Q298" s="305">
        <f t="shared" si="105"/>
        <v>0.5</v>
      </c>
      <c r="R298" s="177">
        <f t="shared" si="106"/>
        <v>0.99437993905510624</v>
      </c>
      <c r="S298" s="811">
        <f t="shared" si="107"/>
        <v>0</v>
      </c>
      <c r="T298" s="176">
        <f t="shared" si="108"/>
        <v>6</v>
      </c>
      <c r="U298" s="251">
        <f t="shared" si="109"/>
        <v>0.99437993905510624</v>
      </c>
      <c r="V298" s="383">
        <f t="shared" si="110"/>
        <v>38.608547292990153</v>
      </c>
      <c r="W298" s="402">
        <f t="shared" si="111"/>
        <v>22.662672682226159</v>
      </c>
      <c r="X298" s="157">
        <f t="shared" si="112"/>
        <v>45210</v>
      </c>
      <c r="Y298" s="385">
        <f t="shared" si="113"/>
        <v>21.533549326095979</v>
      </c>
      <c r="Z298" s="385">
        <f t="shared" si="114"/>
        <v>22.473672832488667</v>
      </c>
      <c r="AA298" s="386">
        <f t="shared" si="115"/>
        <v>24.165885747021687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7.0024866137653324E-2</v>
      </c>
      <c r="AD298" s="231">
        <f>(INDEX(Models!$BJ298:$BT298,,AH298)*(1-AF298)+INDEX(Models!$BJ298:$BT298,,AH298+1)*AF298-ERP_i)*AE298*Ramure*Pc/MaxiM</f>
        <v>4.4762945431688235E-4</v>
      </c>
      <c r="AE298" s="305">
        <f t="shared" si="117"/>
        <v>0.5</v>
      </c>
      <c r="AF298" s="177">
        <f t="shared" si="118"/>
        <v>0.99437993905510624</v>
      </c>
      <c r="AG298" s="811">
        <f t="shared" si="124"/>
        <v>0</v>
      </c>
      <c r="AH298" s="176">
        <f t="shared" si="119"/>
        <v>6</v>
      </c>
      <c r="AI298" s="225">
        <f t="shared" si="120"/>
        <v>0.99437993905510624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28.304753064138836</v>
      </c>
      <c r="C299" s="841"/>
      <c r="D299" s="393">
        <f t="shared" si="102"/>
        <v>29.541144523823441</v>
      </c>
      <c r="E299" s="385">
        <f t="shared" si="125"/>
        <v>30.185297354770281</v>
      </c>
      <c r="F299" s="385">
        <f t="shared" si="103"/>
        <v>30.193868471939762</v>
      </c>
      <c r="G299" s="110">
        <f t="shared" si="126"/>
        <v>0.7389913876509594</v>
      </c>
      <c r="H299" s="414" t="b">
        <f>Wh_hp&gt;='2022'!Maxi_hp</f>
        <v>0</v>
      </c>
      <c r="I299" s="390">
        <f>IF(H299,Wh_hp,'2022'!Maxi_hp)</f>
        <v>39.768274465309958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4.1853201005381369E-2</v>
      </c>
      <c r="M299" s="845"/>
      <c r="N299" s="845"/>
      <c r="O299" s="48">
        <f>IF(t&lt;Tnet,'2022'!Resal+('2022'!Salim-'2022'!Resal)*(1-EXP(('2022'!Tnet-t)/('2022'!Tau_j))),Resal+(Salim-Resal)*(1-EXP((Tnet-t)/(Tau_j))))*Salcycl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4.5251958196208017E-4</v>
      </c>
      <c r="Q299" s="305">
        <f t="shared" si="105"/>
        <v>0.5</v>
      </c>
      <c r="R299" s="177">
        <f t="shared" si="106"/>
        <v>0.99450697939000776</v>
      </c>
      <c r="S299" s="811">
        <f t="shared" si="107"/>
        <v>0</v>
      </c>
      <c r="T299" s="176">
        <f t="shared" si="108"/>
        <v>6</v>
      </c>
      <c r="U299" s="251">
        <f t="shared" si="109"/>
        <v>0.99450697939000776</v>
      </c>
      <c r="V299" s="383">
        <f t="shared" si="110"/>
        <v>38.295409908097831</v>
      </c>
      <c r="W299" s="402">
        <f t="shared" si="111"/>
        <v>28.304753064138836</v>
      </c>
      <c r="X299" s="157">
        <f t="shared" si="112"/>
        <v>45211</v>
      </c>
      <c r="Y299" s="385">
        <f t="shared" si="113"/>
        <v>26.896592455955819</v>
      </c>
      <c r="Z299" s="385">
        <f t="shared" si="114"/>
        <v>28.071473477945503</v>
      </c>
      <c r="AA299" s="386">
        <f t="shared" si="115"/>
        <v>30.185297354770281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7.0028260844371734E-2</v>
      </c>
      <c r="AD299" s="231">
        <f>(INDEX(Models!$BJ299:$BT299,,AH299)*(1-AF299)+INDEX(Models!$BJ299:$BT299,,AH299+1)*AF299-ERP_i)*AE299*Ramure*Pc/MaxiM</f>
        <v>4.5251958196208017E-4</v>
      </c>
      <c r="AE299" s="305">
        <f t="shared" si="117"/>
        <v>0.5</v>
      </c>
      <c r="AF299" s="177">
        <f t="shared" si="118"/>
        <v>0.99450697939000776</v>
      </c>
      <c r="AG299" s="811">
        <f t="shared" si="124"/>
        <v>0</v>
      </c>
      <c r="AH299" s="176">
        <f t="shared" si="119"/>
        <v>6</v>
      </c>
      <c r="AI299" s="225">
        <f t="shared" si="120"/>
        <v>0.99450697939000776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23.358216826860474</v>
      </c>
      <c r="C300" s="841"/>
      <c r="D300" s="393">
        <f t="shared" si="102"/>
        <v>24.379070584457658</v>
      </c>
      <c r="E300" s="385">
        <f t="shared" si="125"/>
        <v>24.912657626110569</v>
      </c>
      <c r="F300" s="385">
        <f t="shared" si="103"/>
        <v>24.917742601789193</v>
      </c>
      <c r="G300" s="110">
        <f t="shared" si="126"/>
        <v>0.61481960231387134</v>
      </c>
      <c r="H300" s="414" t="b">
        <f>Wh_hp&gt;='2022'!Maxi_hp</f>
        <v>0</v>
      </c>
      <c r="I300" s="390">
        <f>IF(H300,Wh_hp,'2022'!Maxi_hp)</f>
        <v>39.855056795061437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4.1874186879298336E-2</v>
      </c>
      <c r="M300" s="845"/>
      <c r="N300" s="845"/>
      <c r="O300" s="48">
        <f>IF(t&lt;Tnet,'2022'!Resal+('2022'!Salim-'2022'!Resal)*(1-EXP(('2022'!Tnet-t)/('2022'!Tau_j))),Resal+(Salim-Resal)*(1-EXP((Tnet-t)/(Tau_j))))*Salcycl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4.5352876515692249E-4</v>
      </c>
      <c r="Q300" s="305">
        <f t="shared" si="105"/>
        <v>0.5</v>
      </c>
      <c r="R300" s="177">
        <f t="shared" si="106"/>
        <v>0.99462896571960191</v>
      </c>
      <c r="S300" s="811">
        <f t="shared" si="107"/>
        <v>0</v>
      </c>
      <c r="T300" s="176">
        <f t="shared" si="108"/>
        <v>6</v>
      </c>
      <c r="U300" s="251">
        <f t="shared" si="109"/>
        <v>0.99462896571960191</v>
      </c>
      <c r="V300" s="383">
        <f t="shared" si="110"/>
        <v>37.982505191612361</v>
      </c>
      <c r="W300" s="402">
        <f t="shared" si="111"/>
        <v>23.358216826860474</v>
      </c>
      <c r="X300" s="157">
        <f t="shared" si="112"/>
        <v>45212</v>
      </c>
      <c r="Y300" s="385">
        <f t="shared" si="113"/>
        <v>22.197867492820372</v>
      </c>
      <c r="Z300" s="385">
        <f t="shared" si="114"/>
        <v>23.168009032675915</v>
      </c>
      <c r="AA300" s="386">
        <f t="shared" si="115"/>
        <v>24.912657626110569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7.0030609323917123E-2</v>
      </c>
      <c r="AD300" s="231">
        <f>(INDEX(Models!$BJ300:$BT300,,AH300)*(1-AF300)+INDEX(Models!$BJ300:$BT300,,AH300+1)*AF300-ERP_i)*AE300*Ramure*Pc/MaxiM</f>
        <v>4.5352876515692249E-4</v>
      </c>
      <c r="AE300" s="305">
        <f t="shared" si="117"/>
        <v>0.5</v>
      </c>
      <c r="AF300" s="177">
        <f t="shared" si="118"/>
        <v>0.99462896571960191</v>
      </c>
      <c r="AG300" s="811">
        <f t="shared" si="124"/>
        <v>0</v>
      </c>
      <c r="AH300" s="176">
        <f t="shared" si="119"/>
        <v>6</v>
      </c>
      <c r="AI300" s="225">
        <f t="shared" si="120"/>
        <v>0.99462896571960191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19.8261667465237</v>
      </c>
      <c r="C301" s="841"/>
      <c r="D301" s="393">
        <f t="shared" si="102"/>
        <v>20.693108074598481</v>
      </c>
      <c r="E301" s="385">
        <f t="shared" si="125"/>
        <v>21.147703094635546</v>
      </c>
      <c r="F301" s="385">
        <f t="shared" si="103"/>
        <v>21.150784472490727</v>
      </c>
      <c r="G301" s="110">
        <f t="shared" si="126"/>
        <v>0.52615368842068921</v>
      </c>
      <c r="H301" s="414" t="b">
        <f>Wh_hp&gt;='2022'!Maxi_hp</f>
        <v>0</v>
      </c>
      <c r="I301" s="390">
        <f>IF(H301,Wh_hp,'2022'!Maxi_hp)</f>
        <v>41.909965007378638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4.1895172293570648E-2</v>
      </c>
      <c r="M301" s="845"/>
      <c r="N301" s="845"/>
      <c r="O301" s="48">
        <f>IF(t&lt;Tnet,'2022'!Resal+('2022'!Salim-'2022'!Resal)*(1-EXP(('2022'!Tnet-t)/('2022'!Tau_j))),Resal+(Salim-Resal)*(1-EXP((Tnet-t)/(Tau_j))))*Salcycl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4.5061403424479564E-4</v>
      </c>
      <c r="Q301" s="305">
        <f t="shared" si="105"/>
        <v>0.5</v>
      </c>
      <c r="R301" s="177">
        <f t="shared" si="106"/>
        <v>0.99474609676038273</v>
      </c>
      <c r="S301" s="811">
        <f t="shared" si="107"/>
        <v>0</v>
      </c>
      <c r="T301" s="176">
        <f t="shared" si="108"/>
        <v>6</v>
      </c>
      <c r="U301" s="251">
        <f t="shared" si="109"/>
        <v>0.99474609676038273</v>
      </c>
      <c r="V301" s="383">
        <f t="shared" si="110"/>
        <v>37.66983060682891</v>
      </c>
      <c r="W301" s="402">
        <f t="shared" si="111"/>
        <v>19.8261667465237</v>
      </c>
      <c r="X301" s="157">
        <f t="shared" si="112"/>
        <v>45213</v>
      </c>
      <c r="Y301" s="385">
        <f t="shared" si="113"/>
        <v>18.842749411061796</v>
      </c>
      <c r="Z301" s="385">
        <f t="shared" si="114"/>
        <v>19.666688723580211</v>
      </c>
      <c r="AA301" s="386">
        <f t="shared" si="115"/>
        <v>21.147703094635546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7.0031925662462108E-2</v>
      </c>
      <c r="AD301" s="231">
        <f>(INDEX(Models!$BJ301:$BT301,,AH301)*(1-AF301)+INDEX(Models!$BJ301:$BT301,,AH301+1)*AF301-ERP_i)*AE301*Ramure*Pc/MaxiM</f>
        <v>4.5061403424479564E-4</v>
      </c>
      <c r="AE301" s="305">
        <f t="shared" si="117"/>
        <v>0.5</v>
      </c>
      <c r="AF301" s="177">
        <f t="shared" si="118"/>
        <v>0.99474609676038273</v>
      </c>
      <c r="AG301" s="811">
        <f t="shared" si="124"/>
        <v>0</v>
      </c>
      <c r="AH301" s="176">
        <f t="shared" si="119"/>
        <v>6</v>
      </c>
      <c r="AI301" s="225">
        <f t="shared" si="120"/>
        <v>0.99474609676038273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36.71460986688038</v>
      </c>
      <c r="C302" s="841"/>
      <c r="D302" s="393">
        <f t="shared" si="102"/>
        <v>38.320873631924883</v>
      </c>
      <c r="E302" s="385">
        <f t="shared" si="125"/>
        <v>39.165821001601472</v>
      </c>
      <c r="F302" s="385">
        <f t="shared" si="103"/>
        <v>39.182780382548891</v>
      </c>
      <c r="G302" s="110">
        <f t="shared" si="126"/>
        <v>0.98278321066263608</v>
      </c>
      <c r="H302" s="414" t="b">
        <f>Wh_hp&gt;='2022'!Maxi_hp</f>
        <v>0</v>
      </c>
      <c r="I302" s="390">
        <f>IF(H302,Wh_hp,'2022'!Maxi_hp)</f>
        <v>39.182881096445506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4.1916157248208741E-2</v>
      </c>
      <c r="M302" s="845"/>
      <c r="N302" s="845"/>
      <c r="O302" s="48">
        <f>IF(t&lt;Tnet,'2022'!Resal+('2022'!Salim-'2022'!Resal)*(1-EXP(('2022'!Tnet-t)/('2022'!Tau_j))),Resal+(Salim-Resal)*(1-EXP((Tnet-t)/(Tau_j))))*Salcycl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4.437344335249341E-4</v>
      </c>
      <c r="Q302" s="305">
        <f t="shared" si="105"/>
        <v>0.5</v>
      </c>
      <c r="R302" s="177">
        <f t="shared" si="106"/>
        <v>0.99485856359974867</v>
      </c>
      <c r="S302" s="811">
        <f t="shared" si="107"/>
        <v>0</v>
      </c>
      <c r="T302" s="176">
        <f t="shared" si="108"/>
        <v>6</v>
      </c>
      <c r="U302" s="251">
        <f t="shared" si="109"/>
        <v>0.99485856359974867</v>
      </c>
      <c r="V302" s="383">
        <f t="shared" si="110"/>
        <v>37.357383446992323</v>
      </c>
      <c r="W302" s="402">
        <f t="shared" si="111"/>
        <v>36.71460986688038</v>
      </c>
      <c r="X302" s="157">
        <f t="shared" si="112"/>
        <v>45214</v>
      </c>
      <c r="Y302" s="385">
        <f t="shared" si="113"/>
        <v>34.896241160329808</v>
      </c>
      <c r="Z302" s="385">
        <f t="shared" si="114"/>
        <v>36.422951315097279</v>
      </c>
      <c r="AA302" s="386">
        <f t="shared" si="115"/>
        <v>39.165821001601472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7.0032227497338506E-2</v>
      </c>
      <c r="AD302" s="231">
        <f>(INDEX(Models!$BJ302:$BT302,,AH302)*(1-AF302)+INDEX(Models!$BJ302:$BT302,,AH302+1)*AF302-ERP_i)*AE302*Ramure*Pc/MaxiM</f>
        <v>4.437344335249341E-4</v>
      </c>
      <c r="AE302" s="305">
        <f t="shared" si="117"/>
        <v>0.5</v>
      </c>
      <c r="AF302" s="177">
        <f t="shared" si="118"/>
        <v>0.99485856359974867</v>
      </c>
      <c r="AG302" s="811">
        <f t="shared" si="124"/>
        <v>0</v>
      </c>
      <c r="AH302" s="176">
        <f t="shared" si="119"/>
        <v>6</v>
      </c>
      <c r="AI302" s="225">
        <f t="shared" si="120"/>
        <v>0.99485856359974867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32.971932226066755</v>
      </c>
      <c r="C303" s="841"/>
      <c r="D303" s="393">
        <f t="shared" si="102"/>
        <v>34.415207668169195</v>
      </c>
      <c r="E303" s="385">
        <f t="shared" si="125"/>
        <v>35.17680369682968</v>
      </c>
      <c r="F303" s="385">
        <f t="shared" si="103"/>
        <v>35.189643770259643</v>
      </c>
      <c r="G303" s="110">
        <f t="shared" si="126"/>
        <v>0.89000737145194952</v>
      </c>
      <c r="H303" s="414" t="b">
        <f>Wh_hp&gt;='2022'!Maxi_hp</f>
        <v>0</v>
      </c>
      <c r="I303" s="390">
        <f>IF(H303,Wh_hp,'2022'!Maxi_hp)</f>
        <v>38.517225515333379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4.1937141743222273E-2</v>
      </c>
      <c r="M303" s="845"/>
      <c r="N303" s="845"/>
      <c r="O303" s="48">
        <f>IF(t&lt;Tnet,'2022'!Resal+('2022'!Salim-'2022'!Resal)*(1-EXP(('2022'!Tnet-t)/('2022'!Tau_j))),Resal+(Salim-Resal)*(1-EXP((Tnet-t)/(Tau_j))))*Salcycl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4.3286122870806387E-4</v>
      </c>
      <c r="Q303" s="305">
        <f t="shared" si="105"/>
        <v>0.5</v>
      </c>
      <c r="R303" s="177">
        <f t="shared" si="106"/>
        <v>0.99496654997438172</v>
      </c>
      <c r="S303" s="811">
        <f t="shared" si="107"/>
        <v>0</v>
      </c>
      <c r="T303" s="176">
        <f t="shared" si="108"/>
        <v>6</v>
      </c>
      <c r="U303" s="251">
        <f t="shared" si="109"/>
        <v>0.99496654997438172</v>
      </c>
      <c r="V303" s="383">
        <f t="shared" si="110"/>
        <v>37.044288692886923</v>
      </c>
      <c r="W303" s="402">
        <f t="shared" si="111"/>
        <v>32.971932226066755</v>
      </c>
      <c r="X303" s="157">
        <f t="shared" si="112"/>
        <v>45215</v>
      </c>
      <c r="Y303" s="385">
        <f t="shared" si="113"/>
        <v>31.341415041462593</v>
      </c>
      <c r="Z303" s="385">
        <f t="shared" si="114"/>
        <v>32.713318099492113</v>
      </c>
      <c r="AA303" s="386">
        <f t="shared" si="115"/>
        <v>35.17680369682968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7.003153608181821E-2</v>
      </c>
      <c r="AD303" s="231">
        <f>(INDEX(Models!$BJ303:$BT303,,AH303)*(1-AF303)+INDEX(Models!$BJ303:$BT303,,AH303+1)*AF303-ERP_i)*AE303*Ramure*Pc/MaxiM</f>
        <v>4.3286122870806387E-4</v>
      </c>
      <c r="AE303" s="305">
        <f t="shared" si="117"/>
        <v>0.5</v>
      </c>
      <c r="AF303" s="177">
        <f t="shared" si="118"/>
        <v>0.99496654997438172</v>
      </c>
      <c r="AG303" s="811">
        <f t="shared" si="124"/>
        <v>0</v>
      </c>
      <c r="AH303" s="176">
        <f t="shared" si="119"/>
        <v>6</v>
      </c>
      <c r="AI303" s="225">
        <f t="shared" si="120"/>
        <v>0.99496654997438172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20.007391764952022</v>
      </c>
      <c r="C304" s="841"/>
      <c r="D304" s="393">
        <f t="shared" si="102"/>
        <v>20.883629727784569</v>
      </c>
      <c r="E304" s="385">
        <f t="shared" si="125"/>
        <v>21.347445200360497</v>
      </c>
      <c r="F304" s="385">
        <f t="shared" si="103"/>
        <v>21.35057296339571</v>
      </c>
      <c r="G304" s="110">
        <f t="shared" si="126"/>
        <v>0.54456826474001785</v>
      </c>
      <c r="H304" s="414" t="b">
        <f>Wh_hp&gt;='2022'!Maxi_hp</f>
        <v>0</v>
      </c>
      <c r="I304" s="390">
        <f>IF(H304,Wh_hp,'2022'!Maxi_hp)</f>
        <v>36.170374756257267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4.195812577862168E-2</v>
      </c>
      <c r="M304" s="845"/>
      <c r="N304" s="845"/>
      <c r="O304" s="48">
        <f>IF(t&lt;Tnet,'2022'!Resal+('2022'!Salim-'2022'!Resal)*(1-EXP(('2022'!Tnet-t)/('2022'!Tau_j))),Resal+(Salim-Resal)*(1-EXP((Tnet-t)/(Tau_j))))*Salcycl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4.1904306367673947E-4</v>
      </c>
      <c r="Q304" s="305">
        <f t="shared" si="105"/>
        <v>0.5</v>
      </c>
      <c r="R304" s="177">
        <f t="shared" si="106"/>
        <v>0.99507023253962656</v>
      </c>
      <c r="S304" s="811">
        <f t="shared" si="107"/>
        <v>0</v>
      </c>
      <c r="T304" s="176">
        <f t="shared" si="108"/>
        <v>6</v>
      </c>
      <c r="U304" s="251">
        <f t="shared" si="109"/>
        <v>0.99507023253962656</v>
      </c>
      <c r="V304" s="383">
        <f t="shared" si="110"/>
        <v>36.729900171158114</v>
      </c>
      <c r="W304" s="402">
        <f t="shared" si="111"/>
        <v>20.007391764952022</v>
      </c>
      <c r="X304" s="157">
        <f t="shared" si="112"/>
        <v>45216</v>
      </c>
      <c r="Y304" s="385">
        <f t="shared" si="113"/>
        <v>19.019513137809486</v>
      </c>
      <c r="Z304" s="385">
        <f t="shared" si="114"/>
        <v>19.852486253032584</v>
      </c>
      <c r="AA304" s="386">
        <f t="shared" si="115"/>
        <v>21.347445200360497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7.0029876329307378E-2</v>
      </c>
      <c r="AD304" s="231">
        <f>(INDEX(Models!$BJ304:$BT304,,AH304)*(1-AF304)+INDEX(Models!$BJ304:$BT304,,AH304+1)*AF304-ERP_i)*AE304*Ramure*Pc/MaxiM</f>
        <v>4.1904306367673947E-4</v>
      </c>
      <c r="AE304" s="305">
        <f t="shared" si="117"/>
        <v>0.5</v>
      </c>
      <c r="AF304" s="177">
        <f t="shared" si="118"/>
        <v>0.99507023253962656</v>
      </c>
      <c r="AG304" s="811">
        <f t="shared" si="124"/>
        <v>0</v>
      </c>
      <c r="AH304" s="176">
        <f t="shared" si="119"/>
        <v>6</v>
      </c>
      <c r="AI304" s="225">
        <f t="shared" si="120"/>
        <v>0.99507023253962656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33.961135501639887</v>
      </c>
      <c r="C305" s="841"/>
      <c r="D305" s="393">
        <f t="shared" si="102"/>
        <v>35.449264033015432</v>
      </c>
      <c r="E305" s="385">
        <f t="shared" si="125"/>
        <v>36.239390589223291</v>
      </c>
      <c r="F305" s="385">
        <f t="shared" si="103"/>
        <v>36.252656235267629</v>
      </c>
      <c r="G305" s="110">
        <f t="shared" si="126"/>
        <v>0.93258979528665897</v>
      </c>
      <c r="H305" s="414" t="b">
        <f>Wh_hp&gt;='2022'!Maxi_hp</f>
        <v>0</v>
      </c>
      <c r="I305" s="390">
        <f>IF(H305,Wh_hp,'2022'!Maxi_hp)</f>
        <v>37.794322636082605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4.1979109354416733E-2</v>
      </c>
      <c r="M305" s="845"/>
      <c r="N305" s="845"/>
      <c r="O305" s="48">
        <f>IF(t&lt;Tnet,'2022'!Resal+('2022'!Salim-'2022'!Resal)*(1-EXP(('2022'!Tnet-t)/('2022'!Tau_j))),Resal+(Salim-Resal)*(1-EXP((Tnet-t)/(Tau_j))))*Salcycl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4.0489225586998548E-4</v>
      </c>
      <c r="Q305" s="305">
        <f t="shared" si="105"/>
        <v>0.5</v>
      </c>
      <c r="R305" s="177">
        <f t="shared" si="106"/>
        <v>0.99516978113006704</v>
      </c>
      <c r="S305" s="811">
        <f t="shared" si="107"/>
        <v>0</v>
      </c>
      <c r="T305" s="176">
        <f t="shared" si="108"/>
        <v>6</v>
      </c>
      <c r="U305" s="251">
        <f t="shared" si="109"/>
        <v>0.99516978113006704</v>
      </c>
      <c r="V305" s="383">
        <f t="shared" si="110"/>
        <v>36.414521921791255</v>
      </c>
      <c r="W305" s="402">
        <f t="shared" si="111"/>
        <v>33.961135501639887</v>
      </c>
      <c r="X305" s="157">
        <f t="shared" si="112"/>
        <v>45217</v>
      </c>
      <c r="Y305" s="385">
        <f t="shared" si="113"/>
        <v>32.286879721593778</v>
      </c>
      <c r="Z305" s="385">
        <f t="shared" si="114"/>
        <v>33.701644752064396</v>
      </c>
      <c r="AA305" s="386">
        <f t="shared" si="115"/>
        <v>36.239390589223291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7.002727683598399E-2</v>
      </c>
      <c r="AD305" s="231">
        <f>(INDEX(Models!$BJ305:$BT305,,AH305)*(1-AF305)+INDEX(Models!$BJ305:$BT305,,AH305+1)*AF305-ERP_i)*AE305*Ramure*Pc/MaxiM</f>
        <v>4.0489225586998548E-4</v>
      </c>
      <c r="AE305" s="305">
        <f t="shared" si="117"/>
        <v>0.5</v>
      </c>
      <c r="AF305" s="177">
        <f t="shared" si="118"/>
        <v>0.99516978113006704</v>
      </c>
      <c r="AG305" s="811">
        <f t="shared" si="124"/>
        <v>0</v>
      </c>
      <c r="AH305" s="176">
        <f t="shared" si="119"/>
        <v>6</v>
      </c>
      <c r="AI305" s="225">
        <f t="shared" si="120"/>
        <v>0.99516978113006704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15.642719869219736</v>
      </c>
      <c r="C306" s="841"/>
      <c r="D306" s="393">
        <f t="shared" si="102"/>
        <v>16.328519184893519</v>
      </c>
      <c r="E306" s="385">
        <f t="shared" si="125"/>
        <v>16.693753795704264</v>
      </c>
      <c r="F306" s="385">
        <f t="shared" si="103"/>
        <v>16.694995288541826</v>
      </c>
      <c r="G306" s="110">
        <f t="shared" si="126"/>
        <v>0.433196716600184</v>
      </c>
      <c r="H306" s="414" t="b">
        <f>Wh_hp&gt;='2022'!Maxi_hp</f>
        <v>0</v>
      </c>
      <c r="I306" s="390">
        <f>IF(H306,Wh_hp,'2022'!Maxi_hp)</f>
        <v>37.715287299843339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4.2000092470617645E-2</v>
      </c>
      <c r="M306" s="845"/>
      <c r="N306" s="845"/>
      <c r="O306" s="48">
        <f>IF(t&lt;Tnet,'2022'!Resal+('2022'!Salim-'2022'!Resal)*(1-EXP(('2022'!Tnet-t)/('2022'!Tau_j))),Resal+(Salim-Resal)*(1-EXP((Tnet-t)/(Tau_j))))*Salcycl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3.9040565181084296E-4</v>
      </c>
      <c r="Q306" s="305">
        <f t="shared" si="105"/>
        <v>0.5</v>
      </c>
      <c r="R306" s="177">
        <f t="shared" si="106"/>
        <v>0.99526535901149715</v>
      </c>
      <c r="S306" s="811">
        <f t="shared" si="107"/>
        <v>0</v>
      </c>
      <c r="T306" s="176">
        <f t="shared" si="108"/>
        <v>6</v>
      </c>
      <c r="U306" s="251">
        <f t="shared" si="109"/>
        <v>0.99526535901149715</v>
      </c>
      <c r="V306" s="383">
        <f t="shared" si="110"/>
        <v>36.098555548476483</v>
      </c>
      <c r="W306" s="402">
        <f t="shared" si="111"/>
        <v>15.642719869219736</v>
      </c>
      <c r="X306" s="157">
        <f t="shared" si="112"/>
        <v>45218</v>
      </c>
      <c r="Y306" s="385">
        <f t="shared" si="113"/>
        <v>14.872751428573887</v>
      </c>
      <c r="Z306" s="385">
        <f t="shared" si="114"/>
        <v>15.524794221462628</v>
      </c>
      <c r="AA306" s="386">
        <f t="shared" si="115"/>
        <v>16.693753795704264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7.0023769881070175E-2</v>
      </c>
      <c r="AD306" s="231">
        <f>(INDEX(Models!$BJ306:$BT306,,AH306)*(1-AF306)+INDEX(Models!$BJ306:$BT306,,AH306+1)*AF306-ERP_i)*AE306*Ramure*Pc/MaxiM</f>
        <v>3.9040565181084296E-4</v>
      </c>
      <c r="AE306" s="305">
        <f t="shared" si="117"/>
        <v>0.5</v>
      </c>
      <c r="AF306" s="177">
        <f t="shared" si="118"/>
        <v>0.99526535901149715</v>
      </c>
      <c r="AG306" s="811">
        <f t="shared" si="124"/>
        <v>0</v>
      </c>
      <c r="AH306" s="176">
        <f t="shared" si="119"/>
        <v>6</v>
      </c>
      <c r="AI306" s="225">
        <f t="shared" si="120"/>
        <v>0.99526535901149715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6.4802344672712326</v>
      </c>
      <c r="C307" s="841"/>
      <c r="D307" s="393">
        <f t="shared" si="102"/>
        <v>6.7644854171837956</v>
      </c>
      <c r="E307" s="385">
        <f t="shared" si="125"/>
        <v>6.9163237369600479</v>
      </c>
      <c r="F307" s="385">
        <f t="shared" si="103"/>
        <v>6.9163237369600479</v>
      </c>
      <c r="G307" s="110">
        <f t="shared" si="126"/>
        <v>0.1810331384285995</v>
      </c>
      <c r="H307" s="414" t="b">
        <f>Wh_hp&gt;='2022'!Maxi_hp</f>
        <v>0</v>
      </c>
      <c r="I307" s="390">
        <f>IF(H307,Wh_hp,'2022'!Maxi_hp)</f>
        <v>31.908942257613869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4.202107512723452E-2</v>
      </c>
      <c r="M307" s="845"/>
      <c r="N307" s="845"/>
      <c r="O307" s="48">
        <f>IF(t&lt;Tnet,'2022'!Resal+('2022'!Salim-'2022'!Resal)*(1-EXP(('2022'!Tnet-t)/('2022'!Tau_j))),Resal+(Salim-Resal)*(1-EXP((Tnet-t)/(Tau_j))))*Salcycl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3.7558071426143692E-4</v>
      </c>
      <c r="Q307" s="305">
        <f t="shared" si="105"/>
        <v>0.5</v>
      </c>
      <c r="R307" s="177">
        <f t="shared" si="106"/>
        <v>0.99535712312449054</v>
      </c>
      <c r="S307" s="811">
        <f t="shared" si="107"/>
        <v>0</v>
      </c>
      <c r="T307" s="176">
        <f t="shared" si="108"/>
        <v>6</v>
      </c>
      <c r="U307" s="251">
        <f t="shared" si="109"/>
        <v>0.99535712312449054</v>
      </c>
      <c r="V307" s="383">
        <f t="shared" si="110"/>
        <v>35.782402450788389</v>
      </c>
      <c r="W307" s="402">
        <f t="shared" si="111"/>
        <v>6.4802344672712326</v>
      </c>
      <c r="X307" s="157">
        <f t="shared" si="112"/>
        <v>45219</v>
      </c>
      <c r="Y307" s="385">
        <f t="shared" si="113"/>
        <v>6.161765429694281</v>
      </c>
      <c r="Z307" s="385">
        <f t="shared" si="114"/>
        <v>6.4320469581443653</v>
      </c>
      <c r="AA307" s="386">
        <f t="shared" si="115"/>
        <v>6.9163237369600479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7.0019391404101322E-2</v>
      </c>
      <c r="AD307" s="231">
        <f>(INDEX(Models!$BJ307:$BT307,,AH307)*(1-AF307)+INDEX(Models!$BJ307:$BT307,,AH307+1)*AF307-ERP_i)*AE307*Ramure*Pc/MaxiM</f>
        <v>3.7558071426143692E-4</v>
      </c>
      <c r="AE307" s="305">
        <f t="shared" si="117"/>
        <v>0.5</v>
      </c>
      <c r="AF307" s="177">
        <f t="shared" si="118"/>
        <v>0.99535712312449054</v>
      </c>
      <c r="AG307" s="811">
        <f t="shared" si="124"/>
        <v>0</v>
      </c>
      <c r="AH307" s="176">
        <f t="shared" si="119"/>
        <v>6</v>
      </c>
      <c r="AI307" s="225">
        <f t="shared" si="120"/>
        <v>0.99535712312449054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16.412087167044728</v>
      </c>
      <c r="C308" s="841"/>
      <c r="D308" s="393">
        <f t="shared" si="102"/>
        <v>17.132367127938064</v>
      </c>
      <c r="E308" s="385">
        <f t="shared" si="125"/>
        <v>17.518264334835767</v>
      </c>
      <c r="F308" s="385">
        <f t="shared" si="103"/>
        <v>17.519732424228462</v>
      </c>
      <c r="G308" s="110">
        <f t="shared" si="126"/>
        <v>0.46262144899301039</v>
      </c>
      <c r="H308" s="414" t="b">
        <f>Wh_hp&gt;='2022'!Maxi_hp</f>
        <v>0</v>
      </c>
      <c r="I308" s="390">
        <f>IF(H308,Wh_hp,'2022'!Maxi_hp)</f>
        <v>24.59946864863414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4.2042057324277349E-2</v>
      </c>
      <c r="M308" s="845"/>
      <c r="N308" s="845"/>
      <c r="O308" s="48">
        <f>IF(t&lt;Tnet,'2022'!Resal+('2022'!Salim-'2022'!Resal)*(1-EXP(('2022'!Tnet-t)/('2022'!Tau_j))),Resal+(Salim-Resal)*(1-EXP((Tnet-t)/(Tau_j))))*Salcycl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3.6041553485340917E-4</v>
      </c>
      <c r="Q308" s="305">
        <f t="shared" si="105"/>
        <v>0.5</v>
      </c>
      <c r="R308" s="177">
        <f t="shared" si="106"/>
        <v>0.99544522431977578</v>
      </c>
      <c r="S308" s="811">
        <f t="shared" si="107"/>
        <v>0</v>
      </c>
      <c r="T308" s="176">
        <f t="shared" si="108"/>
        <v>6</v>
      </c>
      <c r="U308" s="251">
        <f t="shared" si="109"/>
        <v>0.99544522431977578</v>
      </c>
      <c r="V308" s="383">
        <f t="shared" si="110"/>
        <v>35.466463831074073</v>
      </c>
      <c r="W308" s="402">
        <f t="shared" si="111"/>
        <v>16.412087167044728</v>
      </c>
      <c r="X308" s="157">
        <f t="shared" si="112"/>
        <v>45220</v>
      </c>
      <c r="Y308" s="385">
        <f t="shared" si="113"/>
        <v>15.606799247694756</v>
      </c>
      <c r="Z308" s="385">
        <f t="shared" si="114"/>
        <v>16.291737405613638</v>
      </c>
      <c r="AA308" s="386">
        <f t="shared" si="115"/>
        <v>17.518264334835767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7.0014180958734046E-2</v>
      </c>
      <c r="AD308" s="231">
        <f>(INDEX(Models!$BJ308:$BT308,,AH308)*(1-AF308)+INDEX(Models!$BJ308:$BT308,,AH308+1)*AF308-ERP_i)*AE308*Ramure*Pc/MaxiM</f>
        <v>3.6041553485340917E-4</v>
      </c>
      <c r="AE308" s="305">
        <f t="shared" si="117"/>
        <v>0.5</v>
      </c>
      <c r="AF308" s="177">
        <f t="shared" si="118"/>
        <v>0.99544522431977578</v>
      </c>
      <c r="AG308" s="811">
        <f t="shared" si="124"/>
        <v>0</v>
      </c>
      <c r="AH308" s="176">
        <f t="shared" si="119"/>
        <v>6</v>
      </c>
      <c r="AI308" s="225">
        <f t="shared" si="120"/>
        <v>0.99544522431977578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32.762908645166981</v>
      </c>
      <c r="C309" s="841"/>
      <c r="D309" s="393">
        <f t="shared" si="102"/>
        <v>34.201528890875672</v>
      </c>
      <c r="E309" s="385">
        <f t="shared" si="125"/>
        <v>34.974554554069805</v>
      </c>
      <c r="F309" s="385">
        <f t="shared" si="103"/>
        <v>34.985450145845405</v>
      </c>
      <c r="G309" s="110">
        <f t="shared" si="126"/>
        <v>0.93202697996951467</v>
      </c>
      <c r="H309" s="414" t="b">
        <f>Wh_hp&gt;='2022'!Maxi_hp</f>
        <v>0</v>
      </c>
      <c r="I309" s="390">
        <f>IF(H309,Wh_hp,'2022'!Maxi_hp)</f>
        <v>34.985698000900676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4.2063039061756236E-2</v>
      </c>
      <c r="M309" s="845"/>
      <c r="N309" s="845"/>
      <c r="O309" s="48">
        <f>IF(t&lt;Tnet,'2022'!Resal+('2022'!Salim-'2022'!Resal)*(1-EXP(('2022'!Tnet-t)/('2022'!Tau_j))),Resal+(Salim-Resal)*(1-EXP((Tnet-t)/(Tau_j))))*Salcycl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3.4490884559122687E-4</v>
      </c>
      <c r="Q309" s="305">
        <f t="shared" si="105"/>
        <v>0.5</v>
      </c>
      <c r="R309" s="177">
        <f t="shared" si="106"/>
        <v>0.99552980758562182</v>
      </c>
      <c r="S309" s="811">
        <f t="shared" si="107"/>
        <v>0</v>
      </c>
      <c r="T309" s="176">
        <f t="shared" si="108"/>
        <v>6</v>
      </c>
      <c r="U309" s="251">
        <f t="shared" si="109"/>
        <v>0.99552980758562182</v>
      </c>
      <c r="V309" s="383">
        <f t="shared" si="110"/>
        <v>35.151140698300274</v>
      </c>
      <c r="W309" s="402">
        <f t="shared" si="111"/>
        <v>32.762908645166981</v>
      </c>
      <c r="X309" s="157">
        <f t="shared" si="112"/>
        <v>45221</v>
      </c>
      <c r="Y309" s="385">
        <f t="shared" si="113"/>
        <v>31.157905091712344</v>
      </c>
      <c r="Z309" s="385">
        <f t="shared" si="114"/>
        <v>32.526049585971691</v>
      </c>
      <c r="AA309" s="386">
        <f t="shared" si="115"/>
        <v>34.974554554069805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7.0008181642822201E-2</v>
      </c>
      <c r="AD309" s="231">
        <f>(INDEX(Models!$BJ309:$BT309,,AH309)*(1-AF309)+INDEX(Models!$BJ309:$BT309,,AH309+1)*AF309-ERP_i)*AE309*Ramure*Pc/MaxiM</f>
        <v>3.4490884559122687E-4</v>
      </c>
      <c r="AE309" s="305">
        <f t="shared" si="117"/>
        <v>0.5</v>
      </c>
      <c r="AF309" s="177">
        <f t="shared" si="118"/>
        <v>0.99552980758562182</v>
      </c>
      <c r="AG309" s="811">
        <f t="shared" si="124"/>
        <v>0</v>
      </c>
      <c r="AH309" s="176">
        <f t="shared" si="119"/>
        <v>6</v>
      </c>
      <c r="AI309" s="225">
        <f t="shared" si="120"/>
        <v>0.99552980758562182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17.073043896766361</v>
      </c>
      <c r="C310" s="841"/>
      <c r="D310" s="393">
        <f t="shared" si="102"/>
        <v>17.823112109290147</v>
      </c>
      <c r="E310" s="385">
        <f t="shared" si="125"/>
        <v>18.227327570129706</v>
      </c>
      <c r="F310" s="385">
        <f t="shared" si="103"/>
        <v>18.228960285146183</v>
      </c>
      <c r="G310" s="110">
        <f t="shared" si="126"/>
        <v>0.48996859811833643</v>
      </c>
      <c r="H310" s="414" t="b">
        <f>Wh_hp&gt;='2022'!Maxi_hp</f>
        <v>0</v>
      </c>
      <c r="I310" s="390">
        <f>IF(H310,Wh_hp,'2022'!Maxi_hp)</f>
        <v>37.419724893736571</v>
      </c>
      <c r="J310" s="85">
        <f>IF(H310,An,'2022'!An_max)</f>
        <v>2018</v>
      </c>
      <c r="K310" s="197">
        <f t="shared" si="104"/>
        <v>45222</v>
      </c>
      <c r="L310" s="147">
        <f>IF(t&lt;Tvie,1-EXP((T0-t)*PertePVj)+'2022'!Pspv,1-EXP((T0-t)*PertePVj)+Pspv)</f>
        <v>4.2084020339681172E-2</v>
      </c>
      <c r="M310" s="845"/>
      <c r="N310" s="845"/>
      <c r="O310" s="48">
        <f>IF(t&lt;Tnet,'2022'!Resal+('2022'!Salim-'2022'!Resal)*(1-EXP(('2022'!Tnet-t)/('2022'!Tau_j))),Resal+(Salim-Resal)*(1-EXP((Tnet-t)/(Tau_j))))*Salcycl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3.298341152526691E-4</v>
      </c>
      <c r="Q310" s="305">
        <f t="shared" si="105"/>
        <v>0.5</v>
      </c>
      <c r="R310" s="177">
        <f t="shared" si="106"/>
        <v>0.99561101226744353</v>
      </c>
      <c r="S310" s="811">
        <f t="shared" si="107"/>
        <v>0</v>
      </c>
      <c r="T310" s="176">
        <f t="shared" si="108"/>
        <v>6</v>
      </c>
      <c r="U310" s="251">
        <f t="shared" si="109"/>
        <v>0.99561101226744353</v>
      </c>
      <c r="V310" s="383">
        <f t="shared" si="110"/>
        <v>34.836806900457688</v>
      </c>
      <c r="W310" s="402">
        <f t="shared" si="111"/>
        <v>17.073043896766361</v>
      </c>
      <c r="X310" s="157">
        <f t="shared" si="112"/>
        <v>45222</v>
      </c>
      <c r="Y310" s="385">
        <f t="shared" si="113"/>
        <v>16.238005818875834</v>
      </c>
      <c r="Z310" s="385">
        <f t="shared" si="114"/>
        <v>16.951388392783574</v>
      </c>
      <c r="AA310" s="386">
        <f t="shared" si="115"/>
        <v>18.227327570129706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7.0001440004682544E-2</v>
      </c>
      <c r="AD310" s="231">
        <f>(INDEX(Models!$BJ310:$BT310,,AH310)*(1-AF310)+INDEX(Models!$BJ310:$BT310,,AH310+1)*AF310-ERP_i)*AE310*Ramure*Pc/MaxiM</f>
        <v>3.298341152526691E-4</v>
      </c>
      <c r="AE310" s="305">
        <f t="shared" si="117"/>
        <v>0.5</v>
      </c>
      <c r="AF310" s="177">
        <f t="shared" si="118"/>
        <v>0.99561101226744353</v>
      </c>
      <c r="AG310" s="811">
        <f t="shared" si="124"/>
        <v>0</v>
      </c>
      <c r="AH310" s="176">
        <f t="shared" si="119"/>
        <v>6</v>
      </c>
      <c r="AI310" s="225">
        <f t="shared" si="120"/>
        <v>0.99561101226744353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25.305877678941112</v>
      </c>
      <c r="C311" s="841"/>
      <c r="D311" s="393">
        <f t="shared" si="102"/>
        <v>26.418216724729799</v>
      </c>
      <c r="E311" s="385">
        <f t="shared" si="125"/>
        <v>27.019392019091026</v>
      </c>
      <c r="F311" s="385">
        <f t="shared" si="103"/>
        <v>27.024683149667503</v>
      </c>
      <c r="G311" s="110">
        <f t="shared" si="126"/>
        <v>0.73290914481989788</v>
      </c>
      <c r="H311" s="414" t="b">
        <f>Wh_hp&gt;='2022'!Maxi_hp</f>
        <v>0</v>
      </c>
      <c r="I311" s="390">
        <f>IF(H311,Wh_hp,'2022'!Maxi_hp)</f>
        <v>38.572719008292552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4.2105001158062261E-2</v>
      </c>
      <c r="M311" s="845"/>
      <c r="N311" s="845"/>
      <c r="O311" s="48">
        <f>IF(t&lt;Tnet,'2022'!Resal+('2022'!Salim-'2022'!Resal)*(1-EXP(('2022'!Tnet-t)/('2022'!Tau_j))),Resal+(Salim-Resal)*(1-EXP((Tnet-t)/(Tau_j))))*Salcycl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3.1651942043072211E-4</v>
      </c>
      <c r="Q311" s="305">
        <f t="shared" si="105"/>
        <v>0.5</v>
      </c>
      <c r="R311" s="177">
        <f t="shared" si="106"/>
        <v>0.99568897227983622</v>
      </c>
      <c r="S311" s="811">
        <f t="shared" si="107"/>
        <v>0</v>
      </c>
      <c r="T311" s="176">
        <f t="shared" si="108"/>
        <v>6</v>
      </c>
      <c r="U311" s="251">
        <f t="shared" si="109"/>
        <v>0.99568897227983622</v>
      </c>
      <c r="V311" s="383">
        <f t="shared" si="110"/>
        <v>34.523817945851789</v>
      </c>
      <c r="W311" s="402">
        <f t="shared" si="111"/>
        <v>25.305877678941112</v>
      </c>
      <c r="X311" s="157">
        <f t="shared" si="112"/>
        <v>45223</v>
      </c>
      <c r="Y311" s="385">
        <f t="shared" si="113"/>
        <v>24.070173789834787</v>
      </c>
      <c r="Z311" s="385">
        <f t="shared" si="114"/>
        <v>25.128196533998825</v>
      </c>
      <c r="AA311" s="386">
        <f t="shared" si="115"/>
        <v>27.019392019091026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6.999400592566779E-2</v>
      </c>
      <c r="AD311" s="231">
        <f>(INDEX(Models!$BJ311:$BT311,,AH311)*(1-AF311)+INDEX(Models!$BJ311:$BT311,,AH311+1)*AF311-ERP_i)*AE311*Ramure*Pc/MaxiM</f>
        <v>3.1651942043072211E-4</v>
      </c>
      <c r="AE311" s="305">
        <f t="shared" si="117"/>
        <v>0.5</v>
      </c>
      <c r="AF311" s="177">
        <f t="shared" si="118"/>
        <v>0.99568897227983622</v>
      </c>
      <c r="AG311" s="811">
        <f t="shared" si="124"/>
        <v>0</v>
      </c>
      <c r="AH311" s="176">
        <f t="shared" si="119"/>
        <v>6</v>
      </c>
      <c r="AI311" s="225">
        <f t="shared" si="120"/>
        <v>0.99568897227983622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21.823863083460214</v>
      </c>
      <c r="C312" s="841"/>
      <c r="D312" s="393">
        <f t="shared" si="102"/>
        <v>22.783646557217352</v>
      </c>
      <c r="E312" s="385">
        <f t="shared" si="125"/>
        <v>23.303854249484264</v>
      </c>
      <c r="F312" s="385">
        <f t="shared" si="103"/>
        <v>23.307285456515459</v>
      </c>
      <c r="G312" s="110">
        <f t="shared" si="126"/>
        <v>0.63778944048136199</v>
      </c>
      <c r="H312" s="414" t="b">
        <f>Wh_hp&gt;='2022'!Maxi_hp</f>
        <v>0</v>
      </c>
      <c r="I312" s="390">
        <f>IF(H312,Wh_hp,'2022'!Maxi_hp)</f>
        <v>35.926796289859503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4.2125981516909605E-2</v>
      </c>
      <c r="M312" s="845"/>
      <c r="N312" s="845"/>
      <c r="O312" s="48">
        <f>IF(t&lt;Tnet,'2022'!Resal+('2022'!Salim-'2022'!Resal)*(1-EXP(('2022'!Tnet-t)/('2022'!Tau_j))),Resal+(Salim-Resal)*(1-EXP((Tnet-t)/(Tau_j))))*Salcycl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3.0498452804100844E-4</v>
      </c>
      <c r="Q312" s="305">
        <f t="shared" si="105"/>
        <v>0.5</v>
      </c>
      <c r="R312" s="177">
        <f t="shared" si="106"/>
        <v>0.99576381631124444</v>
      </c>
      <c r="S312" s="811">
        <f t="shared" si="107"/>
        <v>0</v>
      </c>
      <c r="T312" s="176">
        <f t="shared" si="108"/>
        <v>6</v>
      </c>
      <c r="U312" s="251">
        <f t="shared" si="109"/>
        <v>0.99576381631124444</v>
      </c>
      <c r="V312" s="383">
        <f t="shared" si="110"/>
        <v>34.212575615656846</v>
      </c>
      <c r="W312" s="402">
        <f t="shared" si="111"/>
        <v>21.823863083460214</v>
      </c>
      <c r="X312" s="157">
        <f t="shared" si="112"/>
        <v>45224</v>
      </c>
      <c r="Y312" s="385">
        <f t="shared" si="113"/>
        <v>20.759919577368336</v>
      </c>
      <c r="Z312" s="385">
        <f t="shared" si="114"/>
        <v>21.672912279470932</v>
      </c>
      <c r="AA312" s="386">
        <f t="shared" si="115"/>
        <v>23.303854249484264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6.9985932479363355E-2</v>
      </c>
      <c r="AD312" s="231">
        <f>(INDEX(Models!$BJ312:$BT312,,AH312)*(1-AF312)+INDEX(Models!$BJ312:$BT312,,AH312+1)*AF312-ERP_i)*AE312*Ramure*Pc/MaxiM</f>
        <v>3.0498452804100844E-4</v>
      </c>
      <c r="AE312" s="305">
        <f t="shared" si="117"/>
        <v>0.5</v>
      </c>
      <c r="AF312" s="177">
        <f t="shared" si="118"/>
        <v>0.99576381631124444</v>
      </c>
      <c r="AG312" s="811">
        <f t="shared" si="124"/>
        <v>0</v>
      </c>
      <c r="AH312" s="176">
        <f t="shared" si="119"/>
        <v>6</v>
      </c>
      <c r="AI312" s="225">
        <f t="shared" si="120"/>
        <v>0.99576381631124444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13.679171090577668</v>
      </c>
      <c r="C313" s="841"/>
      <c r="D313" s="393">
        <f t="shared" si="102"/>
        <v>14.281075007918753</v>
      </c>
      <c r="E313" s="385">
        <f t="shared" si="125"/>
        <v>14.608233681266471</v>
      </c>
      <c r="F313" s="385">
        <f t="shared" si="103"/>
        <v>14.608871259413247</v>
      </c>
      <c r="G313" s="110">
        <f t="shared" si="126"/>
        <v>0.40337241360957538</v>
      </c>
      <c r="H313" s="414" t="b">
        <f>Wh_hp&gt;='2022'!Maxi_hp</f>
        <v>0</v>
      </c>
      <c r="I313" s="390">
        <f>IF(H313,Wh_hp,'2022'!Maxi_hp)</f>
        <v>37.208706699200022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4.2146961416233308E-2</v>
      </c>
      <c r="M313" s="845"/>
      <c r="N313" s="845"/>
      <c r="O313" s="48">
        <f>IF(t&lt;Tnet,'2022'!Resal+('2022'!Salim-'2022'!Resal)*(1-EXP(('2022'!Tnet-t)/('2022'!Tau_j))),Resal+(Salim-Resal)*(1-EXP((Tnet-t)/(Tau_j))))*Salcycl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2.9524587850280324E-4</v>
      </c>
      <c r="Q313" s="305">
        <f t="shared" si="105"/>
        <v>0.5</v>
      </c>
      <c r="R313" s="177">
        <f t="shared" si="106"/>
        <v>0.99583566802147394</v>
      </c>
      <c r="S313" s="811">
        <f t="shared" si="107"/>
        <v>0</v>
      </c>
      <c r="T313" s="176">
        <f t="shared" si="108"/>
        <v>6</v>
      </c>
      <c r="U313" s="251">
        <f t="shared" si="109"/>
        <v>0.99583566802147394</v>
      </c>
      <c r="V313" s="383">
        <f t="shared" si="110"/>
        <v>33.903481653940077</v>
      </c>
      <c r="W313" s="402">
        <f t="shared" si="111"/>
        <v>13.679171090577668</v>
      </c>
      <c r="X313" s="157">
        <f t="shared" si="112"/>
        <v>45225</v>
      </c>
      <c r="Y313" s="385">
        <f t="shared" si="113"/>
        <v>13.013381118296321</v>
      </c>
      <c r="Z313" s="385">
        <f t="shared" si="114"/>
        <v>13.585989284470248</v>
      </c>
      <c r="AA313" s="386">
        <f t="shared" si="115"/>
        <v>14.608233681266471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6.9977275767921565E-2</v>
      </c>
      <c r="AD313" s="231">
        <f>(INDEX(Models!$BJ313:$BT313,,AH313)*(1-AF313)+INDEX(Models!$BJ313:$BT313,,AH313+1)*AF313-ERP_i)*AE313*Ramure*Pc/MaxiM</f>
        <v>2.9524587850280324E-4</v>
      </c>
      <c r="AE313" s="305">
        <f t="shared" si="117"/>
        <v>0.5</v>
      </c>
      <c r="AF313" s="177">
        <f t="shared" si="118"/>
        <v>0.99583566802147394</v>
      </c>
      <c r="AG313" s="811">
        <f t="shared" si="124"/>
        <v>0</v>
      </c>
      <c r="AH313" s="176">
        <f t="shared" si="119"/>
        <v>6</v>
      </c>
      <c r="AI313" s="225">
        <f t="shared" si="120"/>
        <v>0.99583566802147394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14.610232986580456</v>
      </c>
      <c r="C314" s="841"/>
      <c r="D314" s="393">
        <f t="shared" si="102"/>
        <v>15.253439104594245</v>
      </c>
      <c r="E314" s="385">
        <f t="shared" si="125"/>
        <v>15.604027757071448</v>
      </c>
      <c r="F314" s="385">
        <f t="shared" si="103"/>
        <v>15.604891603246688</v>
      </c>
      <c r="G314" s="110">
        <f t="shared" si="126"/>
        <v>0.43476711851032518</v>
      </c>
      <c r="H314" s="414" t="b">
        <f>Wh_hp&gt;='2022'!Maxi_hp</f>
        <v>0</v>
      </c>
      <c r="I314" s="390">
        <f>IF(H314,Wh_hp,'2022'!Maxi_hp)</f>
        <v>29.570719829876996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4.2167940856043251E-2</v>
      </c>
      <c r="M314" s="845"/>
      <c r="N314" s="845"/>
      <c r="O314" s="48">
        <f>IF(t&lt;Tnet,'2022'!Resal+('2022'!Salim-'2022'!Resal)*(1-EXP(('2022'!Tnet-t)/('2022'!Tau_j))),Resal+(Salim-Resal)*(1-EXP((Tnet-t)/(Tau_j))))*Salcycl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2.8731929437610223E-4</v>
      </c>
      <c r="Q314" s="305">
        <f t="shared" si="105"/>
        <v>0.5</v>
      </c>
      <c r="R314" s="177">
        <f t="shared" si="106"/>
        <v>0.99590464623225117</v>
      </c>
      <c r="S314" s="811">
        <f t="shared" si="107"/>
        <v>0</v>
      </c>
      <c r="T314" s="176">
        <f t="shared" si="108"/>
        <v>6</v>
      </c>
      <c r="U314" s="251">
        <f t="shared" si="109"/>
        <v>0.99590464623225117</v>
      </c>
      <c r="V314" s="383">
        <f t="shared" si="110"/>
        <v>33.596937670085602</v>
      </c>
      <c r="W314" s="402">
        <f t="shared" si="111"/>
        <v>14.610232986580456</v>
      </c>
      <c r="X314" s="157">
        <f t="shared" si="112"/>
        <v>45226</v>
      </c>
      <c r="Y314" s="385">
        <f t="shared" si="113"/>
        <v>13.900292232156229</v>
      </c>
      <c r="Z314" s="385">
        <f t="shared" si="114"/>
        <v>14.512243664697689</v>
      </c>
      <c r="AA314" s="386">
        <f t="shared" si="115"/>
        <v>15.604027757071448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6.9968094736244255E-2</v>
      </c>
      <c r="AD314" s="231">
        <f>(INDEX(Models!$BJ314:$BT314,,AH314)*(1-AF314)+INDEX(Models!$BJ314:$BT314,,AH314+1)*AF314-ERP_i)*AE314*Ramure*Pc/MaxiM</f>
        <v>2.8731929437610223E-4</v>
      </c>
      <c r="AE314" s="305">
        <f t="shared" si="117"/>
        <v>0.5</v>
      </c>
      <c r="AF314" s="177">
        <f t="shared" si="118"/>
        <v>0.99590464623225117</v>
      </c>
      <c r="AG314" s="811">
        <f t="shared" si="124"/>
        <v>0</v>
      </c>
      <c r="AH314" s="176">
        <f t="shared" si="119"/>
        <v>6</v>
      </c>
      <c r="AI314" s="225">
        <f t="shared" si="120"/>
        <v>0.99590464623225117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17.252021913405319</v>
      </c>
      <c r="C315" s="841"/>
      <c r="D315" s="393">
        <f t="shared" si="102"/>
        <v>18.011925598582199</v>
      </c>
      <c r="E315" s="385">
        <f t="shared" si="125"/>
        <v>18.427273265267711</v>
      </c>
      <c r="F315" s="385">
        <f t="shared" si="103"/>
        <v>18.428888614975964</v>
      </c>
      <c r="G315" s="110">
        <f t="shared" si="126"/>
        <v>0.51808198097999658</v>
      </c>
      <c r="H315" s="414" t="b">
        <f>Wh_hp&gt;='2022'!Maxi_hp</f>
        <v>0</v>
      </c>
      <c r="I315" s="390">
        <f>IF(H315,Wh_hp,'2022'!Maxi_hp)</f>
        <v>24.903019933810778</v>
      </c>
      <c r="J315" s="85">
        <f>IF(H315,An,'2022'!An_max)</f>
        <v>2020</v>
      </c>
      <c r="K315" s="197">
        <f t="shared" si="104"/>
        <v>45227</v>
      </c>
      <c r="L315" s="147">
        <f>IF(t&lt;Tvie,1-EXP((T0-t)*PertePVj)+'2022'!Pspv,1-EXP((T0-t)*PertePVj)+Pspv)</f>
        <v>4.2188919836349648E-2</v>
      </c>
      <c r="M315" s="845"/>
      <c r="N315" s="845"/>
      <c r="O315" s="48">
        <f>IF(t&lt;Tnet,'2022'!Resal+('2022'!Salim-'2022'!Resal)*(1-EXP(('2022'!Tnet-t)/('2022'!Tau_j))),Resal+(Salim-Resal)*(1-EXP((Tnet-t)/(Tau_j))))*Salcycl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2.812198365757545E-4</v>
      </c>
      <c r="Q315" s="305">
        <f t="shared" si="105"/>
        <v>0.5</v>
      </c>
      <c r="R315" s="177">
        <f t="shared" si="106"/>
        <v>0.99597086511103328</v>
      </c>
      <c r="S315" s="811">
        <f t="shared" si="107"/>
        <v>0</v>
      </c>
      <c r="T315" s="176">
        <f t="shared" si="108"/>
        <v>6</v>
      </c>
      <c r="U315" s="251">
        <f t="shared" si="109"/>
        <v>0.99597086511103328</v>
      </c>
      <c r="V315" s="383">
        <f t="shared" si="110"/>
        <v>33.293345139935255</v>
      </c>
      <c r="W315" s="402">
        <f t="shared" si="111"/>
        <v>17.252021913405319</v>
      </c>
      <c r="X315" s="157">
        <f t="shared" si="112"/>
        <v>45227</v>
      </c>
      <c r="Y315" s="385">
        <f t="shared" si="113"/>
        <v>16.415090589021318</v>
      </c>
      <c r="Z315" s="385">
        <f t="shared" si="114"/>
        <v>17.138129772122344</v>
      </c>
      <c r="AA315" s="386">
        <f t="shared" si="115"/>
        <v>18.427273265267711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6.9958450964917457E-2</v>
      </c>
      <c r="AD315" s="231">
        <f>(INDEX(Models!$BJ315:$BT315,,AH315)*(1-AF315)+INDEX(Models!$BJ315:$BT315,,AH315+1)*AF315-ERP_i)*AE315*Ramure*Pc/MaxiM</f>
        <v>2.812198365757545E-4</v>
      </c>
      <c r="AE315" s="305">
        <f t="shared" si="117"/>
        <v>0.5</v>
      </c>
      <c r="AF315" s="177">
        <f t="shared" si="118"/>
        <v>0.99597086511103328</v>
      </c>
      <c r="AG315" s="811">
        <f t="shared" si="124"/>
        <v>0</v>
      </c>
      <c r="AH315" s="176">
        <f t="shared" si="119"/>
        <v>6</v>
      </c>
      <c r="AI315" s="225">
        <f t="shared" si="120"/>
        <v>0.99597086511103328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27.089960246450456</v>
      </c>
      <c r="C316" s="841"/>
      <c r="D316" s="393">
        <f t="shared" si="102"/>
        <v>28.283817299828787</v>
      </c>
      <c r="E316" s="385">
        <f t="shared" si="125"/>
        <v>28.938153101519315</v>
      </c>
      <c r="F316" s="385">
        <f t="shared" si="103"/>
        <v>28.944120511903712</v>
      </c>
      <c r="G316" s="110">
        <f t="shared" si="126"/>
        <v>0.82102129449886341</v>
      </c>
      <c r="H316" s="414" t="b">
        <f>Wh_hp&gt;='2022'!Maxi_hp</f>
        <v>0</v>
      </c>
      <c r="I316" s="390">
        <f>IF(H316,Wh_hp,'2022'!Maxi_hp)</f>
        <v>29.923980500554308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4.2209898357162601E-2</v>
      </c>
      <c r="M316" s="845"/>
      <c r="N316" s="845"/>
      <c r="O316" s="48">
        <f>IF(t&lt;Tnet,'2022'!Resal+('2022'!Salim-'2022'!Resal)*(1-EXP(('2022'!Tnet-t)/('2022'!Tau_j))),Resal+(Salim-Resal)*(1-EXP((Tnet-t)/(Tau_j))))*Salcycl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2.7696166213134925E-4</v>
      </c>
      <c r="Q316" s="305">
        <f t="shared" si="105"/>
        <v>0.5</v>
      </c>
      <c r="R316" s="177">
        <f t="shared" si="106"/>
        <v>0.99603443434826944</v>
      </c>
      <c r="S316" s="811">
        <f t="shared" si="107"/>
        <v>0</v>
      </c>
      <c r="T316" s="176">
        <f t="shared" si="108"/>
        <v>6</v>
      </c>
      <c r="U316" s="251">
        <f t="shared" si="109"/>
        <v>0.99603443434826944</v>
      </c>
      <c r="V316" s="383">
        <f t="shared" si="110"/>
        <v>32.993105404409398</v>
      </c>
      <c r="W316" s="402">
        <f t="shared" si="111"/>
        <v>27.089960246450456</v>
      </c>
      <c r="X316" s="157">
        <f t="shared" si="112"/>
        <v>45228</v>
      </c>
      <c r="Y316" s="385">
        <f t="shared" si="113"/>
        <v>25.777939184928975</v>
      </c>
      <c r="Z316" s="385">
        <f t="shared" si="114"/>
        <v>26.913975348788519</v>
      </c>
      <c r="AA316" s="386">
        <f t="shared" si="115"/>
        <v>28.938153101519315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6.9948408442988136E-2</v>
      </c>
      <c r="AD316" s="231">
        <f>(INDEX(Models!$BJ316:$BT316,,AH316)*(1-AF316)+INDEX(Models!$BJ316:$BT316,,AH316+1)*AF316-ERP_i)*AE316*Ramure*Pc/MaxiM</f>
        <v>2.7696166213134925E-4</v>
      </c>
      <c r="AE316" s="305">
        <f t="shared" si="117"/>
        <v>0.5</v>
      </c>
      <c r="AF316" s="177">
        <f t="shared" si="118"/>
        <v>0.99603443434826944</v>
      </c>
      <c r="AG316" s="811">
        <f t="shared" si="124"/>
        <v>0</v>
      </c>
      <c r="AH316" s="176">
        <f t="shared" si="119"/>
        <v>6</v>
      </c>
      <c r="AI316" s="225">
        <f t="shared" si="120"/>
        <v>0.99603443434826944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22.408366297191279</v>
      </c>
      <c r="C317" s="841"/>
      <c r="D317" s="393">
        <f t="shared" si="102"/>
        <v>23.396417513854303</v>
      </c>
      <c r="E317" s="385">
        <f t="shared" si="125"/>
        <v>23.93943401055764</v>
      </c>
      <c r="F317" s="385">
        <f t="shared" si="103"/>
        <v>23.943053363787612</v>
      </c>
      <c r="G317" s="110">
        <f t="shared" si="126"/>
        <v>0.68529671488091704</v>
      </c>
      <c r="H317" s="414" t="b">
        <f>Wh_hp&gt;='2022'!Maxi_hp</f>
        <v>0</v>
      </c>
      <c r="I317" s="390">
        <f>IF(H317,Wh_hp,'2022'!Maxi_hp)</f>
        <v>33.09982659368044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4.2230876418492103E-2</v>
      </c>
      <c r="M317" s="845"/>
      <c r="N317" s="845"/>
      <c r="O317" s="48">
        <f>IF(t&lt;Tnet,'2022'!Resal+('2022'!Salim-'2022'!Resal)*(1-EXP(('2022'!Tnet-t)/('2022'!Tau_j))),Resal+(Salim-Resal)*(1-EXP((Tnet-t)/(Tau_j))))*Salcycl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2.7457363191938294E-4</v>
      </c>
      <c r="Q317" s="305">
        <f t="shared" si="105"/>
        <v>0.5</v>
      </c>
      <c r="R317" s="177">
        <f t="shared" si="106"/>
        <v>0.99609545932831223</v>
      </c>
      <c r="S317" s="811">
        <f t="shared" si="107"/>
        <v>0</v>
      </c>
      <c r="T317" s="176">
        <f t="shared" si="108"/>
        <v>6</v>
      </c>
      <c r="U317" s="251">
        <f t="shared" si="109"/>
        <v>0.99609545932831223</v>
      </c>
      <c r="V317" s="383">
        <f t="shared" si="110"/>
        <v>32.694743763117827</v>
      </c>
      <c r="W317" s="402">
        <f t="shared" si="111"/>
        <v>22.408366297191279</v>
      </c>
      <c r="X317" s="157">
        <f t="shared" si="112"/>
        <v>45229</v>
      </c>
      <c r="Y317" s="385">
        <f t="shared" si="113"/>
        <v>21.324879980062928</v>
      </c>
      <c r="Z317" s="385">
        <f t="shared" si="114"/>
        <v>22.265157077020913</v>
      </c>
      <c r="AA317" s="386">
        <f t="shared" si="115"/>
        <v>23.93943401055764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6.9938033321854873E-2</v>
      </c>
      <c r="AD317" s="231">
        <f>(INDEX(Models!$BJ317:$BT317,,AH317)*(1-AF317)+INDEX(Models!$BJ317:$BT317,,AH317+1)*AF317-ERP_i)*AE317*Ramure*Pc/MaxiM</f>
        <v>2.7457363191938294E-4</v>
      </c>
      <c r="AE317" s="305">
        <f t="shared" si="117"/>
        <v>0.5</v>
      </c>
      <c r="AF317" s="177">
        <f t="shared" si="118"/>
        <v>0.99609545932831223</v>
      </c>
      <c r="AG317" s="811">
        <f t="shared" si="124"/>
        <v>0</v>
      </c>
      <c r="AH317" s="176">
        <f t="shared" si="119"/>
        <v>6</v>
      </c>
      <c r="AI317" s="225">
        <f t="shared" si="120"/>
        <v>0.99609545932831223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21.875468782699937</v>
      </c>
      <c r="C318" s="841"/>
      <c r="D318" s="393">
        <f t="shared" si="102"/>
        <v>22.840523236225298</v>
      </c>
      <c r="E318" s="385">
        <f t="shared" si="125"/>
        <v>23.372338972109926</v>
      </c>
      <c r="F318" s="385">
        <f t="shared" si="103"/>
        <v>23.375778554947903</v>
      </c>
      <c r="G318" s="110">
        <f t="shared" si="126"/>
        <v>0.67515004180819893</v>
      </c>
      <c r="H318" s="414" t="b">
        <f>Wh_hp&gt;='2022'!Maxi_hp</f>
        <v>0</v>
      </c>
      <c r="I318" s="390">
        <f>IF(H318,Wh_hp,'2022'!Maxi_hp)</f>
        <v>33.51042975379562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4.2251854020348145E-2</v>
      </c>
      <c r="M318" s="845"/>
      <c r="N318" s="845"/>
      <c r="O318" s="48">
        <f>IF(t&lt;Tnet,'2022'!Resal+('2022'!Salim-'2022'!Resal)*(1-EXP(('2022'!Tnet-t)/('2022'!Tau_j))),Resal+(Salim-Resal)*(1-EXP((Tnet-t)/(Tau_j))))*Salcycl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2.7449420312534116E-4</v>
      </c>
      <c r="Q318" s="305">
        <f t="shared" si="105"/>
        <v>0.5</v>
      </c>
      <c r="R318" s="177">
        <f t="shared" si="106"/>
        <v>0.99615404129417306</v>
      </c>
      <c r="S318" s="811">
        <f t="shared" si="107"/>
        <v>0</v>
      </c>
      <c r="T318" s="176">
        <f t="shared" si="108"/>
        <v>6</v>
      </c>
      <c r="U318" s="251">
        <f t="shared" si="109"/>
        <v>0.99615404129417306</v>
      </c>
      <c r="V318" s="383">
        <f t="shared" si="110"/>
        <v>32.396772793618773</v>
      </c>
      <c r="W318" s="402">
        <f t="shared" si="111"/>
        <v>21.875468782699937</v>
      </c>
      <c r="X318" s="157">
        <f t="shared" si="112"/>
        <v>45230</v>
      </c>
      <c r="Y318" s="385">
        <f t="shared" si="113"/>
        <v>20.819502595128693</v>
      </c>
      <c r="Z318" s="385">
        <f t="shared" si="114"/>
        <v>21.737972224245915</v>
      </c>
      <c r="AA318" s="386">
        <f t="shared" si="115"/>
        <v>23.372338972109926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6.9927393651713285E-2</v>
      </c>
      <c r="AD318" s="231">
        <f>(INDEX(Models!$BJ318:$BT318,,AH318)*(1-AF318)+INDEX(Models!$BJ318:$BT318,,AH318+1)*AF318-ERP_i)*AE318*Ramure*Pc/MaxiM</f>
        <v>2.7449420312534116E-4</v>
      </c>
      <c r="AE318" s="305">
        <f t="shared" si="117"/>
        <v>0.5</v>
      </c>
      <c r="AF318" s="177">
        <f t="shared" si="118"/>
        <v>0.99615404129417306</v>
      </c>
      <c r="AG318" s="811">
        <f t="shared" si="124"/>
        <v>0</v>
      </c>
      <c r="AH318" s="176">
        <f t="shared" si="119"/>
        <v>6</v>
      </c>
      <c r="AI318" s="225">
        <f t="shared" si="120"/>
        <v>0.99615404129417306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23.268636837704232</v>
      </c>
      <c r="C319" s="841"/>
      <c r="D319" s="393">
        <f t="shared" si="102"/>
        <v>24.295684193603716</v>
      </c>
      <c r="E319" s="385">
        <f t="shared" si="125"/>
        <v>24.863185320078394</v>
      </c>
      <c r="F319" s="385">
        <f t="shared" si="103"/>
        <v>24.867345435846588</v>
      </c>
      <c r="G319" s="110">
        <f t="shared" si="126"/>
        <v>0.7248094536433759</v>
      </c>
      <c r="H319" s="414" t="b">
        <f>Wh_hp&gt;='2022'!Maxi_hp</f>
        <v>0</v>
      </c>
      <c r="I319" s="390">
        <f>IF(H319,Wh_hp,'2022'!Maxi_hp)</f>
        <v>32.377451552901285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4.2272831162740943E-2</v>
      </c>
      <c r="M319" s="845"/>
      <c r="N319" s="845"/>
      <c r="O319" s="48">
        <f>IF(t&lt;Tnet,'2022'!Resal+('2022'!Salim-'2022'!Resal)*(1-EXP(('2022'!Tnet-t)/('2022'!Tau_j))),Resal+(Salim-Resal)*(1-EXP((Tnet-t)/(Tau_j))))*Salcycl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2.7561292284278478E-4</v>
      </c>
      <c r="Q319" s="305">
        <f t="shared" si="105"/>
        <v>0.5</v>
      </c>
      <c r="R319" s="177">
        <f t="shared" si="106"/>
        <v>0.99621027750631475</v>
      </c>
      <c r="S319" s="811">
        <f t="shared" si="107"/>
        <v>0</v>
      </c>
      <c r="T319" s="176">
        <f t="shared" si="108"/>
        <v>6</v>
      </c>
      <c r="U319" s="251">
        <f t="shared" si="109"/>
        <v>0.99621027750631475</v>
      </c>
      <c r="V319" s="383">
        <f t="shared" si="110"/>
        <v>32.099630911440855</v>
      </c>
      <c r="W319" s="402">
        <f t="shared" si="111"/>
        <v>23.268636837704232</v>
      </c>
      <c r="X319" s="157">
        <f t="shared" si="112"/>
        <v>45231</v>
      </c>
      <c r="Y319" s="385">
        <f t="shared" si="113"/>
        <v>22.147284625949258</v>
      </c>
      <c r="Z319" s="385">
        <f t="shared" si="114"/>
        <v>23.124836954179187</v>
      </c>
      <c r="AA319" s="386">
        <f t="shared" si="115"/>
        <v>24.863185320078394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6.9916559102159506E-2</v>
      </c>
      <c r="AD319" s="231">
        <f>(INDEX(Models!$BJ319:$BT319,,AH319)*(1-AF319)+INDEX(Models!$BJ319:$BT319,,AH319+1)*AF319-ERP_i)*AE319*Ramure*Pc/MaxiM</f>
        <v>2.7561292284278478E-4</v>
      </c>
      <c r="AE319" s="305">
        <f t="shared" si="117"/>
        <v>0.5</v>
      </c>
      <c r="AF319" s="177">
        <f t="shared" si="118"/>
        <v>0.99621027750631475</v>
      </c>
      <c r="AG319" s="811">
        <f t="shared" si="124"/>
        <v>0</v>
      </c>
      <c r="AH319" s="176">
        <f t="shared" si="119"/>
        <v>6</v>
      </c>
      <c r="AI319" s="225">
        <f t="shared" si="120"/>
        <v>0.99621027750631475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27.964219087749711</v>
      </c>
      <c r="C320" s="841"/>
      <c r="D320" s="393">
        <f t="shared" si="102"/>
        <v>29.199162871491293</v>
      </c>
      <c r="E320" s="385">
        <f t="shared" si="125"/>
        <v>29.883361120689166</v>
      </c>
      <c r="F320" s="385">
        <f t="shared" si="103"/>
        <v>29.890235961704231</v>
      </c>
      <c r="G320" s="110">
        <f t="shared" si="126"/>
        <v>0.87923295697412296</v>
      </c>
      <c r="H320" s="414" t="b">
        <f>Wh_hp&gt;='2022'!Maxi_hp</f>
        <v>0</v>
      </c>
      <c r="I320" s="390">
        <f>IF(H320,Wh_hp,'2022'!Maxi_hp)</f>
        <v>29.890548238014514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4.2293807845680487E-2</v>
      </c>
      <c r="M320" s="845"/>
      <c r="N320" s="845"/>
      <c r="O320" s="48">
        <f>IF(t&lt;Tnet,'2022'!Resal+('2022'!Salim-'2022'!Resal)*(1-EXP(('2022'!Tnet-t)/('2022'!Tau_j))),Resal+(Salim-Resal)*(1-EXP((Tnet-t)/(Tau_j))))*Salcycl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2.779370761254251E-4</v>
      </c>
      <c r="Q320" s="305">
        <f t="shared" si="105"/>
        <v>0.5</v>
      </c>
      <c r="R320" s="177">
        <f t="shared" si="106"/>
        <v>0.99626426139566893</v>
      </c>
      <c r="S320" s="811">
        <f t="shared" si="107"/>
        <v>0</v>
      </c>
      <c r="T320" s="176">
        <f t="shared" si="108"/>
        <v>6</v>
      </c>
      <c r="U320" s="251">
        <f t="shared" si="109"/>
        <v>0.99626426139566893</v>
      </c>
      <c r="V320" s="383">
        <f t="shared" si="110"/>
        <v>31.803719498712447</v>
      </c>
      <c r="W320" s="402">
        <f t="shared" si="111"/>
        <v>27.964219087749711</v>
      </c>
      <c r="X320" s="157">
        <f t="shared" si="112"/>
        <v>45232</v>
      </c>
      <c r="Y320" s="385">
        <f t="shared" si="113"/>
        <v>26.618818048303872</v>
      </c>
      <c r="Z320" s="385">
        <f t="shared" si="114"/>
        <v>27.794346811547673</v>
      </c>
      <c r="AA320" s="386">
        <f t="shared" si="115"/>
        <v>29.883361120689166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6.9905600668701343E-2</v>
      </c>
      <c r="AD320" s="231">
        <f>(INDEX(Models!$BJ320:$BT320,,AH320)*(1-AF320)+INDEX(Models!$BJ320:$BT320,,AH320+1)*AF320-ERP_i)*AE320*Ramure*Pc/MaxiM</f>
        <v>2.779370761254251E-4</v>
      </c>
      <c r="AE320" s="305">
        <f t="shared" si="117"/>
        <v>0.5</v>
      </c>
      <c r="AF320" s="177">
        <f t="shared" si="118"/>
        <v>0.99626426139566893</v>
      </c>
      <c r="AG320" s="811">
        <f t="shared" si="124"/>
        <v>0</v>
      </c>
      <c r="AH320" s="176">
        <f t="shared" si="119"/>
        <v>6</v>
      </c>
      <c r="AI320" s="225">
        <f t="shared" si="120"/>
        <v>0.99626426139566893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9.6018751572282657</v>
      </c>
      <c r="C321" s="841"/>
      <c r="D321" s="393">
        <f t="shared" si="102"/>
        <v>10.026128625046919</v>
      </c>
      <c r="E321" s="385">
        <f t="shared" si="125"/>
        <v>10.261802164211646</v>
      </c>
      <c r="F321" s="385">
        <f t="shared" si="103"/>
        <v>10.261821682243397</v>
      </c>
      <c r="G321" s="110">
        <f t="shared" si="126"/>
        <v>0.30464491915268471</v>
      </c>
      <c r="H321" s="414" t="b">
        <f>Wh_hp&gt;='2022'!Maxi_hp</f>
        <v>0</v>
      </c>
      <c r="I321" s="390">
        <f>IF(H321,Wh_hp,'2022'!Maxi_hp)</f>
        <v>30.00122544451607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4.231478406917677E-2</v>
      </c>
      <c r="M321" s="845"/>
      <c r="N321" s="845"/>
      <c r="O321" s="48">
        <f>IF(t&lt;Tnet,'2022'!Resal+('2022'!Salim-'2022'!Resal)*(1-EXP(('2022'!Tnet-t)/('2022'!Tau_j))),Resal+(Salim-Resal)*(1-EXP((Tnet-t)/(Tau_j))))*Salcycl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2.8147385117897422E-4</v>
      </c>
      <c r="Q321" s="305">
        <f t="shared" si="105"/>
        <v>0.5</v>
      </c>
      <c r="R321" s="177">
        <f t="shared" si="106"/>
        <v>0.99631608271106209</v>
      </c>
      <c r="S321" s="811">
        <f t="shared" si="107"/>
        <v>0</v>
      </c>
      <c r="T321" s="176">
        <f t="shared" si="108"/>
        <v>6</v>
      </c>
      <c r="U321" s="251">
        <f t="shared" si="109"/>
        <v>0.99631608271106209</v>
      </c>
      <c r="V321" s="383">
        <f t="shared" si="110"/>
        <v>31.509439792570042</v>
      </c>
      <c r="W321" s="402">
        <f t="shared" si="111"/>
        <v>9.6018751572282657</v>
      </c>
      <c r="X321" s="157">
        <f t="shared" si="112"/>
        <v>45233</v>
      </c>
      <c r="Y321" s="385">
        <f t="shared" si="113"/>
        <v>9.1406818071715197</v>
      </c>
      <c r="Z321" s="385">
        <f t="shared" si="114"/>
        <v>9.5445577055162367</v>
      </c>
      <c r="AA321" s="386">
        <f t="shared" si="115"/>
        <v>10.261802164211646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6.9894590367062734E-2</v>
      </c>
      <c r="AD321" s="231">
        <f>(INDEX(Models!$BJ321:$BT321,,AH321)*(1-AF321)+INDEX(Models!$BJ321:$BT321,,AH321+1)*AF321-ERP_i)*AE321*Ramure*Pc/MaxiM</f>
        <v>2.8147385117897422E-4</v>
      </c>
      <c r="AE321" s="305">
        <f t="shared" si="117"/>
        <v>0.5</v>
      </c>
      <c r="AF321" s="177">
        <f t="shared" si="118"/>
        <v>0.99631608271106209</v>
      </c>
      <c r="AG321" s="811">
        <f t="shared" si="124"/>
        <v>0</v>
      </c>
      <c r="AH321" s="176">
        <f t="shared" si="119"/>
        <v>6</v>
      </c>
      <c r="AI321" s="225">
        <f t="shared" si="120"/>
        <v>0.99631608271106209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16.839156778381017</v>
      </c>
      <c r="C322" s="841"/>
      <c r="D322" s="393">
        <f t="shared" si="102"/>
        <v>17.583570600327292</v>
      </c>
      <c r="E322" s="385">
        <f t="shared" si="125"/>
        <v>17.998183848515843</v>
      </c>
      <c r="F322" s="385">
        <f t="shared" si="103"/>
        <v>17.999946019026929</v>
      </c>
      <c r="G322" s="110">
        <f t="shared" si="126"/>
        <v>0.53931771444411547</v>
      </c>
      <c r="H322" s="414" t="b">
        <f>Wh_hp&gt;='2022'!Maxi_hp</f>
        <v>0</v>
      </c>
      <c r="I322" s="390">
        <f>IF(H322,Wh_hp,'2022'!Maxi_hp)</f>
        <v>23.180990079496752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4.2335759833240005E-2</v>
      </c>
      <c r="M322" s="845"/>
      <c r="N322" s="845"/>
      <c r="O322" s="48">
        <f>IF(t&lt;Tnet,'2022'!Resal+('2022'!Salim-'2022'!Resal)*(1-EXP(('2022'!Tnet-t)/('2022'!Tau_j))),Resal+(Salim-Resal)*(1-EXP((Tnet-t)/(Tau_j))))*Salcycl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2.8623028588331876E-4</v>
      </c>
      <c r="Q322" s="305">
        <f t="shared" si="105"/>
        <v>0.5</v>
      </c>
      <c r="R322" s="177">
        <f t="shared" si="106"/>
        <v>0.99636582766123438</v>
      </c>
      <c r="S322" s="811">
        <f t="shared" si="107"/>
        <v>0</v>
      </c>
      <c r="T322" s="176">
        <f t="shared" si="108"/>
        <v>6</v>
      </c>
      <c r="U322" s="251">
        <f t="shared" si="109"/>
        <v>0.99636582766123438</v>
      </c>
      <c r="V322" s="383">
        <f t="shared" si="110"/>
        <v>31.217192892282213</v>
      </c>
      <c r="W322" s="402">
        <f t="shared" si="111"/>
        <v>16.839156778381017</v>
      </c>
      <c r="X322" s="157">
        <f t="shared" si="112"/>
        <v>45234</v>
      </c>
      <c r="Y322" s="385">
        <f t="shared" si="113"/>
        <v>16.031688145348848</v>
      </c>
      <c r="Z322" s="385">
        <f t="shared" si="114"/>
        <v>16.740405951210228</v>
      </c>
      <c r="AA322" s="386">
        <f t="shared" si="115"/>
        <v>17.998183848515843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6.9883600917285502E-2</v>
      </c>
      <c r="AD322" s="231">
        <f>(INDEX(Models!$BJ322:$BT322,,AH322)*(1-AF322)+INDEX(Models!$BJ322:$BT322,,AH322+1)*AF322-ERP_i)*AE322*Ramure*Pc/MaxiM</f>
        <v>2.8623028588331876E-4</v>
      </c>
      <c r="AE322" s="305">
        <f t="shared" si="117"/>
        <v>0.5</v>
      </c>
      <c r="AF322" s="177">
        <f t="shared" si="118"/>
        <v>0.99636582766123438</v>
      </c>
      <c r="AG322" s="811">
        <f t="shared" si="124"/>
        <v>0</v>
      </c>
      <c r="AH322" s="176">
        <f t="shared" si="119"/>
        <v>6</v>
      </c>
      <c r="AI322" s="225">
        <f t="shared" si="120"/>
        <v>0.99636582766123438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29.321147115744072</v>
      </c>
      <c r="C323" s="841"/>
      <c r="D323" s="393">
        <f t="shared" si="102"/>
        <v>30.618026765912347</v>
      </c>
      <c r="E323" s="385">
        <f t="shared" si="125"/>
        <v>31.342237485380096</v>
      </c>
      <c r="F323" s="385">
        <f t="shared" si="103"/>
        <v>31.350718883744317</v>
      </c>
      <c r="G323" s="110">
        <f t="shared" si="126"/>
        <v>0.94804382021928613</v>
      </c>
      <c r="H323" s="414" t="b">
        <f>Wh_hp&gt;='2022'!Maxi_hp</f>
        <v>0</v>
      </c>
      <c r="I323" s="390">
        <f>IF(H323,Wh_hp,'2022'!Maxi_hp)</f>
        <v>31.350870837065635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4.2356735137880186E-2</v>
      </c>
      <c r="M323" s="845"/>
      <c r="N323" s="845"/>
      <c r="O323" s="48">
        <f>IF(t&lt;Tnet,'2022'!Resal+('2022'!Salim-'2022'!Resal)*(1-EXP(('2022'!Tnet-t)/('2022'!Tau_j))),Resal+(Salim-Resal)*(1-EXP((Tnet-t)/(Tau_j))))*Salcycl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2.92213210976909E-4</v>
      </c>
      <c r="Q323" s="305">
        <f t="shared" si="105"/>
        <v>0.5</v>
      </c>
      <c r="R323" s="177">
        <f t="shared" si="106"/>
        <v>0.99641357905162387</v>
      </c>
      <c r="S323" s="811">
        <f t="shared" si="107"/>
        <v>0</v>
      </c>
      <c r="T323" s="176">
        <f t="shared" si="108"/>
        <v>6</v>
      </c>
      <c r="U323" s="251">
        <f t="shared" si="109"/>
        <v>0.99641357905162387</v>
      </c>
      <c r="V323" s="383">
        <f t="shared" si="110"/>
        <v>30.927379752323375</v>
      </c>
      <c r="W323" s="402">
        <f t="shared" si="111"/>
        <v>29.321147115744072</v>
      </c>
      <c r="X323" s="157">
        <f t="shared" si="112"/>
        <v>45235</v>
      </c>
      <c r="Y323" s="385">
        <f t="shared" si="113"/>
        <v>27.917475555660072</v>
      </c>
      <c r="Z323" s="385">
        <f t="shared" si="114"/>
        <v>29.15227055836872</v>
      </c>
      <c r="AA323" s="386">
        <f t="shared" si="115"/>
        <v>31.342237485380096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6.9872705419736184E-2</v>
      </c>
      <c r="AD323" s="231">
        <f>(INDEX(Models!$BJ323:$BT323,,AH323)*(1-AF323)+INDEX(Models!$BJ323:$BT323,,AH323+1)*AF323-ERP_i)*AE323*Ramure*Pc/MaxiM</f>
        <v>2.92213210976909E-4</v>
      </c>
      <c r="AE323" s="305">
        <f t="shared" si="117"/>
        <v>0.5</v>
      </c>
      <c r="AF323" s="177">
        <f t="shared" si="118"/>
        <v>0.99641357905162387</v>
      </c>
      <c r="AG323" s="811">
        <f t="shared" si="124"/>
        <v>0</v>
      </c>
      <c r="AH323" s="176">
        <f t="shared" si="119"/>
        <v>6</v>
      </c>
      <c r="AI323" s="225">
        <f t="shared" si="120"/>
        <v>0.99641357905162387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30.206296488507014</v>
      </c>
      <c r="C324" s="841"/>
      <c r="D324" s="393">
        <f t="shared" si="102"/>
        <v>31.543017328861641</v>
      </c>
      <c r="E324" s="385">
        <f t="shared" si="125"/>
        <v>32.291421591673334</v>
      </c>
      <c r="F324" s="385">
        <f t="shared" si="103"/>
        <v>32.300910727651328</v>
      </c>
      <c r="G324" s="110">
        <f t="shared" si="126"/>
        <v>0.98582669976831994</v>
      </c>
      <c r="H324" s="414" t="b">
        <f>Wh_hp&gt;='2022'!Maxi_hp</f>
        <v>0</v>
      </c>
      <c r="I324" s="390">
        <f>IF(H324,Wh_hp,'2022'!Maxi_hp)</f>
        <v>32.30095483773875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4.2377709983107303E-2</v>
      </c>
      <c r="M324" s="845"/>
      <c r="N324" s="845"/>
      <c r="O324" s="48">
        <f>IF(t&lt;Tnet,'2022'!Resal+('2022'!Salim-'2022'!Resal)*(1-EXP(('2022'!Tnet-t)/('2022'!Tau_j))),Resal+(Salim-Resal)*(1-EXP((Tnet-t)/(Tau_j))))*Salcycl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2.9984151570071332E-4</v>
      </c>
      <c r="Q324" s="305">
        <f t="shared" si="105"/>
        <v>0.5</v>
      </c>
      <c r="R324" s="177">
        <f t="shared" si="106"/>
        <v>0.99645941641609304</v>
      </c>
      <c r="S324" s="811">
        <f t="shared" si="107"/>
        <v>0</v>
      </c>
      <c r="T324" s="176">
        <f t="shared" si="108"/>
        <v>6</v>
      </c>
      <c r="U324" s="251">
        <f t="shared" si="109"/>
        <v>0.99645941641609304</v>
      </c>
      <c r="V324" s="383">
        <f t="shared" si="110"/>
        <v>30.640388553942817</v>
      </c>
      <c r="W324" s="402">
        <f t="shared" si="111"/>
        <v>30.206296488507014</v>
      </c>
      <c r="X324" s="157">
        <f t="shared" si="112"/>
        <v>45236</v>
      </c>
      <c r="Y324" s="385">
        <f t="shared" si="113"/>
        <v>28.762644218434616</v>
      </c>
      <c r="Z324" s="385">
        <f t="shared" si="114"/>
        <v>30.035479038324429</v>
      </c>
      <c r="AA324" s="386">
        <f t="shared" si="115"/>
        <v>32.291421591673334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6.9861977025211658E-2</v>
      </c>
      <c r="AD324" s="231">
        <f>(INDEX(Models!$BJ324:$BT324,,AH324)*(1-AF324)+INDEX(Models!$BJ324:$BT324,,AH324+1)*AF324-ERP_i)*AE324*Ramure*Pc/MaxiM</f>
        <v>2.9984151570071332E-4</v>
      </c>
      <c r="AE324" s="305">
        <f t="shared" si="117"/>
        <v>0.5</v>
      </c>
      <c r="AF324" s="177">
        <f t="shared" si="118"/>
        <v>0.99645941641609304</v>
      </c>
      <c r="AG324" s="811">
        <f t="shared" si="124"/>
        <v>0</v>
      </c>
      <c r="AH324" s="176">
        <f t="shared" si="119"/>
        <v>6</v>
      </c>
      <c r="AI324" s="225">
        <f t="shared" si="120"/>
        <v>0.99645941641609304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27.914037856554526</v>
      </c>
      <c r="C325" s="841"/>
      <c r="D325" s="393">
        <f t="shared" si="102"/>
        <v>29.149957712995523</v>
      </c>
      <c r="E325" s="385">
        <f t="shared" si="125"/>
        <v>29.843719486738859</v>
      </c>
      <c r="F325" s="385">
        <f t="shared" si="103"/>
        <v>29.851865489117706</v>
      </c>
      <c r="G325" s="110">
        <f t="shared" si="126"/>
        <v>0.91950374128623036</v>
      </c>
      <c r="H325" s="414" t="b">
        <f>Wh_hp&gt;='2022'!Maxi_hp</f>
        <v>0</v>
      </c>
      <c r="I325" s="390">
        <f>IF(H325,Wh_hp,'2022'!Maxi_hp)</f>
        <v>29.852104958050223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4.2398684368931461E-2</v>
      </c>
      <c r="M325" s="845"/>
      <c r="N325" s="845"/>
      <c r="O325" s="48">
        <f>IF(t&lt;Tnet,'2022'!Resal+('2022'!Salim-'2022'!Resal)*(1-EXP(('2022'!Tnet-t)/('2022'!Tau_j))),Resal+(Salim-Resal)*(1-EXP((Tnet-t)/(Tau_j))))*Salcycl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3.0832185564986251E-4</v>
      </c>
      <c r="Q325" s="305">
        <f t="shared" si="105"/>
        <v>0.5</v>
      </c>
      <c r="R325" s="177">
        <f t="shared" si="106"/>
        <v>0.99650341614376414</v>
      </c>
      <c r="S325" s="811">
        <f t="shared" si="107"/>
        <v>0</v>
      </c>
      <c r="T325" s="176">
        <f t="shared" si="108"/>
        <v>6</v>
      </c>
      <c r="U325" s="251">
        <f t="shared" si="109"/>
        <v>0.99650341614376414</v>
      </c>
      <c r="V325" s="383">
        <f t="shared" si="110"/>
        <v>30.356644602504478</v>
      </c>
      <c r="W325" s="402">
        <f t="shared" si="111"/>
        <v>27.914037856554526</v>
      </c>
      <c r="X325" s="157">
        <f t="shared" si="112"/>
        <v>45237</v>
      </c>
      <c r="Y325" s="385">
        <f t="shared" si="113"/>
        <v>26.582142306690347</v>
      </c>
      <c r="Z325" s="385">
        <f t="shared" si="114"/>
        <v>27.759091255187403</v>
      </c>
      <c r="AA325" s="386">
        <f t="shared" si="115"/>
        <v>29.843719486738859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6.9851488601404596E-2</v>
      </c>
      <c r="AD325" s="231">
        <f>(INDEX(Models!$BJ325:$BT325,,AH325)*(1-AF325)+INDEX(Models!$BJ325:$BT325,,AH325+1)*AF325-ERP_i)*AE325*Ramure*Pc/MaxiM</f>
        <v>3.0832185564986251E-4</v>
      </c>
      <c r="AE325" s="305">
        <f t="shared" si="117"/>
        <v>0.5</v>
      </c>
      <c r="AF325" s="177">
        <f t="shared" si="118"/>
        <v>0.99650341614376414</v>
      </c>
      <c r="AG325" s="811">
        <f t="shared" si="124"/>
        <v>0</v>
      </c>
      <c r="AH325" s="176">
        <f t="shared" si="119"/>
        <v>6</v>
      </c>
      <c r="AI325" s="225">
        <f t="shared" si="120"/>
        <v>0.99650341614376414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21.015392037947649</v>
      </c>
      <c r="C326" s="841"/>
      <c r="D326" s="393">
        <f t="shared" si="102"/>
        <v>21.946348648445607</v>
      </c>
      <c r="E326" s="385">
        <f t="shared" si="125"/>
        <v>22.470273269634248</v>
      </c>
      <c r="F326" s="385">
        <f t="shared" si="103"/>
        <v>22.47433982980726</v>
      </c>
      <c r="G326" s="110">
        <f t="shared" si="126"/>
        <v>0.698634639404492</v>
      </c>
      <c r="H326" s="414" t="b">
        <f>Wh_hp&gt;='2022'!Maxi_hp</f>
        <v>0</v>
      </c>
      <c r="I326" s="390">
        <f>IF(H326,Wh_hp,'2022'!Maxi_hp)</f>
        <v>27.215230575971084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4.2419658295362761E-2</v>
      </c>
      <c r="M326" s="845"/>
      <c r="N326" s="845"/>
      <c r="O326" s="48">
        <f>IF(t&lt;Tnet,'2022'!Resal+('2022'!Salim-'2022'!Resal)*(1-EXP(('2022'!Tnet-t)/('2022'!Tau_j))),Resal+(Salim-Resal)*(1-EXP((Tnet-t)/(Tau_j))))*Salcycl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3.1765755343075646E-4</v>
      </c>
      <c r="Q326" s="305">
        <f t="shared" si="105"/>
        <v>0.5</v>
      </c>
      <c r="R326" s="177">
        <f t="shared" si="106"/>
        <v>0.99654565160113018</v>
      </c>
      <c r="S326" s="811">
        <f t="shared" si="107"/>
        <v>0</v>
      </c>
      <c r="T326" s="176">
        <f t="shared" si="108"/>
        <v>6</v>
      </c>
      <c r="U326" s="251">
        <f t="shared" si="109"/>
        <v>0.99654565160113018</v>
      </c>
      <c r="V326" s="383">
        <f t="shared" si="110"/>
        <v>30.076548183448846</v>
      </c>
      <c r="W326" s="402">
        <f t="shared" si="111"/>
        <v>21.015392037947649</v>
      </c>
      <c r="X326" s="157">
        <f t="shared" si="112"/>
        <v>45238</v>
      </c>
      <c r="Y326" s="385">
        <f t="shared" si="113"/>
        <v>20.01431001455526</v>
      </c>
      <c r="Z326" s="385">
        <f t="shared" si="114"/>
        <v>20.900919894540415</v>
      </c>
      <c r="AA326" s="386">
        <f t="shared" si="115"/>
        <v>22.470273269634248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6.9841312398039007E-2</v>
      </c>
      <c r="AD326" s="231">
        <f>(INDEX(Models!$BJ326:$BT326,,AH326)*(1-AF326)+INDEX(Models!$BJ326:$BT326,,AH326+1)*AF326-ERP_i)*AE326*Ramure*Pc/MaxiM</f>
        <v>3.1765755343075646E-4</v>
      </c>
      <c r="AE326" s="305">
        <f t="shared" si="117"/>
        <v>0.5</v>
      </c>
      <c r="AF326" s="177">
        <f t="shared" si="118"/>
        <v>0.99654565160113018</v>
      </c>
      <c r="AG326" s="811">
        <f t="shared" si="124"/>
        <v>0</v>
      </c>
      <c r="AH326" s="176">
        <f t="shared" si="119"/>
        <v>6</v>
      </c>
      <c r="AI326" s="225">
        <f t="shared" si="120"/>
        <v>0.99654565160113018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9.8263459050013005</v>
      </c>
      <c r="C327" s="841"/>
      <c r="D327" s="393">
        <f t="shared" si="102"/>
        <v>10.261865980264941</v>
      </c>
      <c r="E327" s="385">
        <f t="shared" si="125"/>
        <v>10.507598233950736</v>
      </c>
      <c r="F327" s="385">
        <f t="shared" si="103"/>
        <v>10.507744584695201</v>
      </c>
      <c r="G327" s="110">
        <f t="shared" si="126"/>
        <v>0.32963411095387579</v>
      </c>
      <c r="H327" s="414" t="b">
        <f>Wh_hp&gt;='2022'!Maxi_hp</f>
        <v>0</v>
      </c>
      <c r="I327" s="390">
        <f>IF(H327,Wh_hp,'2022'!Maxi_hp)</f>
        <v>21.819080346731017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4.2440631762411307E-2</v>
      </c>
      <c r="M327" s="845"/>
      <c r="N327" s="845"/>
      <c r="O327" s="48">
        <f>IF(t&lt;Tnet,'2022'!Resal+('2022'!Salim-'2022'!Resal)*(1-EXP(('2022'!Tnet-t)/('2022'!Tau_j))),Resal+(Salim-Resal)*(1-EXP((Tnet-t)/(Tau_j))))*Salcycl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3.2785151153141514E-4</v>
      </c>
      <c r="Q327" s="305">
        <f t="shared" si="105"/>
        <v>0.5</v>
      </c>
      <c r="R327" s="177">
        <f t="shared" si="106"/>
        <v>0.99658619324959963</v>
      </c>
      <c r="S327" s="811">
        <f t="shared" si="107"/>
        <v>0</v>
      </c>
      <c r="T327" s="176">
        <f t="shared" si="108"/>
        <v>6</v>
      </c>
      <c r="U327" s="251">
        <f t="shared" si="109"/>
        <v>0.99658619324959963</v>
      </c>
      <c r="V327" s="383">
        <f t="shared" si="110"/>
        <v>29.800499443306048</v>
      </c>
      <c r="W327" s="402">
        <f t="shared" si="111"/>
        <v>9.8263459050013005</v>
      </c>
      <c r="X327" s="157">
        <f t="shared" si="112"/>
        <v>45239</v>
      </c>
      <c r="Y327" s="385">
        <f t="shared" si="113"/>
        <v>9.3590288772669155</v>
      </c>
      <c r="Z327" s="385">
        <f t="shared" si="114"/>
        <v>9.7738366807401569</v>
      </c>
      <c r="AA327" s="386">
        <f t="shared" si="115"/>
        <v>10.507598233950736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6.9831519713015613E-2</v>
      </c>
      <c r="AD327" s="231">
        <f>(INDEX(Models!$BJ327:$BT327,,AH327)*(1-AF327)+INDEX(Models!$BJ327:$BT327,,AH327+1)*AF327-ERP_i)*AE327*Ramure*Pc/MaxiM</f>
        <v>3.2785151153141514E-4</v>
      </c>
      <c r="AE327" s="305">
        <f t="shared" si="117"/>
        <v>0.5</v>
      </c>
      <c r="AF327" s="177">
        <f t="shared" si="118"/>
        <v>0.99658619324959963</v>
      </c>
      <c r="AG327" s="811">
        <f t="shared" si="124"/>
        <v>0</v>
      </c>
      <c r="AH327" s="176">
        <f t="shared" si="119"/>
        <v>6</v>
      </c>
      <c r="AI327" s="225">
        <f t="shared" si="120"/>
        <v>0.99658619324959963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20.405360277808199</v>
      </c>
      <c r="C328" s="841"/>
      <c r="D328" s="393">
        <f t="shared" si="102"/>
        <v>21.310226701571274</v>
      </c>
      <c r="E328" s="385">
        <f t="shared" si="125"/>
        <v>21.822083989804231</v>
      </c>
      <c r="F328" s="385">
        <f t="shared" si="103"/>
        <v>21.826216083231284</v>
      </c>
      <c r="G328" s="110">
        <f t="shared" si="126"/>
        <v>0.69092680073777346</v>
      </c>
      <c r="H328" s="414" t="b">
        <f>Wh_hp&gt;='2022'!Maxi_hp</f>
        <v>0</v>
      </c>
      <c r="I328" s="390">
        <f>IF(H328,Wh_hp,'2022'!Maxi_hp)</f>
        <v>21.826965115054627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4.246160477008698E-2</v>
      </c>
      <c r="M328" s="845"/>
      <c r="N328" s="845"/>
      <c r="O328" s="48">
        <f>IF(t&lt;Tnet,'2022'!Resal+('2022'!Salim-'2022'!Resal)*(1-EXP(('2022'!Tnet-t)/('2022'!Tau_j))),Resal+(Salim-Resal)*(1-EXP((Tnet-t)/(Tau_j))))*Salcycl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3.3890613654357829E-4</v>
      </c>
      <c r="Q328" s="305">
        <f t="shared" si="105"/>
        <v>0.5</v>
      </c>
      <c r="R328" s="177">
        <f t="shared" si="106"/>
        <v>0.99662510875863486</v>
      </c>
      <c r="S328" s="811">
        <f t="shared" si="107"/>
        <v>0</v>
      </c>
      <c r="T328" s="176">
        <f t="shared" si="108"/>
        <v>6</v>
      </c>
      <c r="U328" s="251">
        <f t="shared" si="109"/>
        <v>0.99662510875863486</v>
      </c>
      <c r="V328" s="383">
        <f t="shared" si="110"/>
        <v>29.528898395908087</v>
      </c>
      <c r="W328" s="402">
        <f t="shared" si="111"/>
        <v>20.405360277808199</v>
      </c>
      <c r="X328" s="157">
        <f t="shared" si="112"/>
        <v>45240</v>
      </c>
      <c r="Y328" s="385">
        <f t="shared" si="113"/>
        <v>19.436515077373755</v>
      </c>
      <c r="Z328" s="385">
        <f t="shared" si="114"/>
        <v>20.298418501230842</v>
      </c>
      <c r="AA328" s="386">
        <f t="shared" si="115"/>
        <v>21.822083989804231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6.9822180561915179E-2</v>
      </c>
      <c r="AD328" s="231">
        <f>(INDEX(Models!$BJ328:$BT328,,AH328)*(1-AF328)+INDEX(Models!$BJ328:$BT328,,AH328+1)*AF328-ERP_i)*AE328*Ramure*Pc/MaxiM</f>
        <v>3.3890613654357829E-4</v>
      </c>
      <c r="AE328" s="305">
        <f t="shared" si="117"/>
        <v>0.5</v>
      </c>
      <c r="AF328" s="177">
        <f t="shared" si="118"/>
        <v>0.99662510875863486</v>
      </c>
      <c r="AG328" s="811">
        <f t="shared" si="124"/>
        <v>0</v>
      </c>
      <c r="AH328" s="176">
        <f t="shared" si="119"/>
        <v>6</v>
      </c>
      <c r="AI328" s="225">
        <f t="shared" si="120"/>
        <v>0.99662510875863486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27.635217279425294</v>
      </c>
      <c r="C329" s="841"/>
      <c r="D329" s="393">
        <f t="shared" si="102"/>
        <v>28.861320561698793</v>
      </c>
      <c r="E329" s="385">
        <f t="shared" si="125"/>
        <v>29.556662174645613</v>
      </c>
      <c r="F329" s="385">
        <f t="shared" si="103"/>
        <v>29.566210839073257</v>
      </c>
      <c r="G329" s="110">
        <f t="shared" si="126"/>
        <v>0.94437530340856757</v>
      </c>
      <c r="H329" s="414" t="b">
        <f>Wh_hp&gt;='2022'!Maxi_hp</f>
        <v>0</v>
      </c>
      <c r="I329" s="390">
        <f>IF(H329,Wh_hp,'2022'!Maxi_hp)</f>
        <v>29.566400484351405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4.2482577318400105E-2</v>
      </c>
      <c r="M329" s="845"/>
      <c r="N329" s="845"/>
      <c r="O329" s="48">
        <f>IF(t&lt;Tnet,'2022'!Resal+('2022'!Salim-'2022'!Resal)*(1-EXP(('2022'!Tnet-t)/('2022'!Tau_j))),Resal+(Salim-Resal)*(1-EXP((Tnet-t)/(Tau_j))))*Salcycl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3.5082325446561622E-4</v>
      </c>
      <c r="Q329" s="305">
        <f t="shared" si="105"/>
        <v>0.5</v>
      </c>
      <c r="R329" s="177">
        <f t="shared" si="106"/>
        <v>0.99666246311463191</v>
      </c>
      <c r="S329" s="811">
        <f t="shared" si="107"/>
        <v>0</v>
      </c>
      <c r="T329" s="176">
        <f t="shared" si="108"/>
        <v>6</v>
      </c>
      <c r="U329" s="251">
        <f t="shared" si="109"/>
        <v>0.99666246311463191</v>
      </c>
      <c r="V329" s="383">
        <f t="shared" si="110"/>
        <v>29.262144919867382</v>
      </c>
      <c r="W329" s="402">
        <f t="shared" si="111"/>
        <v>27.635217279425294</v>
      </c>
      <c r="X329" s="157">
        <f t="shared" si="112"/>
        <v>45241</v>
      </c>
      <c r="Y329" s="385">
        <f t="shared" si="113"/>
        <v>26.325229666624846</v>
      </c>
      <c r="Z329" s="385">
        <f t="shared" si="114"/>
        <v>27.49321217873932</v>
      </c>
      <c r="AA329" s="386">
        <f t="shared" si="115"/>
        <v>29.556662174645613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6.9813363353199251E-2</v>
      </c>
      <c r="AD329" s="231">
        <f>(INDEX(Models!$BJ329:$BT329,,AH329)*(1-AF329)+INDEX(Models!$BJ329:$BT329,,AH329+1)*AF329-ERP_i)*AE329*Ramure*Pc/MaxiM</f>
        <v>3.5082325446561622E-4</v>
      </c>
      <c r="AE329" s="305">
        <f t="shared" si="117"/>
        <v>0.5</v>
      </c>
      <c r="AF329" s="177">
        <f t="shared" si="118"/>
        <v>0.99666246311463191</v>
      </c>
      <c r="AG329" s="811">
        <f t="shared" si="124"/>
        <v>0</v>
      </c>
      <c r="AH329" s="176">
        <f t="shared" si="119"/>
        <v>6</v>
      </c>
      <c r="AI329" s="225">
        <f t="shared" si="120"/>
        <v>0.99666246311463191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27.680117036444969</v>
      </c>
      <c r="C330" s="841"/>
      <c r="D330" s="393">
        <f t="shared" si="102"/>
        <v>28.908845582991397</v>
      </c>
      <c r="E330" s="385">
        <f t="shared" si="125"/>
        <v>29.607448930409891</v>
      </c>
      <c r="F330" s="385">
        <f t="shared" si="103"/>
        <v>29.617517463976199</v>
      </c>
      <c r="G330" s="110">
        <f t="shared" si="126"/>
        <v>0.95444318825445995</v>
      </c>
      <c r="H330" s="414" t="b">
        <f>Wh_hp&gt;='2022'!Maxi_hp</f>
        <v>0</v>
      </c>
      <c r="I330" s="390">
        <f>IF(H330,Wh_hp,'2022'!Maxi_hp)</f>
        <v>29.617679160087185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4.2503549407360453E-2</v>
      </c>
      <c r="M330" s="845"/>
      <c r="N330" s="845"/>
      <c r="O330" s="48">
        <f>IF(t&lt;Tnet,'2022'!Resal+('2022'!Salim-'2022'!Resal)*(1-EXP(('2022'!Tnet-t)/('2022'!Tau_j))),Resal+(Salim-Resal)*(1-EXP((Tnet-t)/(Tau_j))))*Salcycl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3.6360401609798412E-4</v>
      </c>
      <c r="Q330" s="305">
        <f t="shared" si="105"/>
        <v>0.5</v>
      </c>
      <c r="R330" s="177">
        <f t="shared" si="106"/>
        <v>0.99669831872569525</v>
      </c>
      <c r="S330" s="811">
        <f t="shared" si="107"/>
        <v>0</v>
      </c>
      <c r="T330" s="176">
        <f t="shared" si="108"/>
        <v>6</v>
      </c>
      <c r="U330" s="251">
        <f t="shared" si="109"/>
        <v>0.99669831872569525</v>
      </c>
      <c r="V330" s="383">
        <f t="shared" si="110"/>
        <v>29.000638763183918</v>
      </c>
      <c r="W330" s="402">
        <f t="shared" si="111"/>
        <v>27.680117036444969</v>
      </c>
      <c r="X330" s="157">
        <f t="shared" si="112"/>
        <v>45242</v>
      </c>
      <c r="Y330" s="385">
        <f t="shared" si="113"/>
        <v>26.370119598979759</v>
      </c>
      <c r="Z330" s="385">
        <f t="shared" si="114"/>
        <v>27.540696973506329</v>
      </c>
      <c r="AA330" s="386">
        <f t="shared" si="115"/>
        <v>29.607448930409891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6.9805134571415156E-2</v>
      </c>
      <c r="AD330" s="231">
        <f>(INDEX(Models!$BJ330:$BT330,,AH330)*(1-AF330)+INDEX(Models!$BJ330:$BT330,,AH330+1)*AF330-ERP_i)*AE330*Ramure*Pc/MaxiM</f>
        <v>3.6360401609798412E-4</v>
      </c>
      <c r="AE330" s="305">
        <f t="shared" si="117"/>
        <v>0.5</v>
      </c>
      <c r="AF330" s="177">
        <f t="shared" si="118"/>
        <v>0.99669831872569525</v>
      </c>
      <c r="AG330" s="811">
        <f t="shared" si="124"/>
        <v>0</v>
      </c>
      <c r="AH330" s="176">
        <f t="shared" si="119"/>
        <v>6</v>
      </c>
      <c r="AI330" s="225">
        <f t="shared" si="120"/>
        <v>0.99669831872569525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26.736916250164111</v>
      </c>
      <c r="C331" s="841"/>
      <c r="D331" s="393">
        <f t="shared" si="102"/>
        <v>27.924387451803042</v>
      </c>
      <c r="E331" s="385">
        <f t="shared" si="125"/>
        <v>28.60124709537234</v>
      </c>
      <c r="F331" s="385">
        <f t="shared" si="103"/>
        <v>28.610964515116446</v>
      </c>
      <c r="G331" s="110">
        <f t="shared" si="126"/>
        <v>0.93015309771891308</v>
      </c>
      <c r="H331" s="414" t="b">
        <f>Wh_hp&gt;='2022'!Maxi_hp</f>
        <v>0</v>
      </c>
      <c r="I331" s="390">
        <f>IF(H331,Wh_hp,'2022'!Maxi_hp)</f>
        <v>29.179515996539571</v>
      </c>
      <c r="J331" s="85">
        <f>IF(H331,An,'2022'!An_max)</f>
        <v>2020</v>
      </c>
      <c r="K331" s="197">
        <f t="shared" si="104"/>
        <v>45243</v>
      </c>
      <c r="L331" s="147">
        <f>IF(t&lt;Tvie,1-EXP((T0-t)*PertePVj)+'2022'!Pspv,1-EXP((T0-t)*PertePVj)+Pspv)</f>
        <v>4.2524521036978347E-2</v>
      </c>
      <c r="M331" s="845"/>
      <c r="N331" s="845"/>
      <c r="O331" s="48">
        <f>IF(t&lt;Tnet,'2022'!Resal+('2022'!Salim-'2022'!Resal)*(1-EXP(('2022'!Tnet-t)/('2022'!Tau_j))),Resal+(Salim-Resal)*(1-EXP((Tnet-t)/(Tau_j))))*Salcycl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3.7726481232519326E-4</v>
      </c>
      <c r="Q331" s="305">
        <f t="shared" si="105"/>
        <v>0.5</v>
      </c>
      <c r="R331" s="177">
        <f t="shared" si="106"/>
        <v>0.9967327355224459</v>
      </c>
      <c r="S331" s="811">
        <f t="shared" si="107"/>
        <v>0</v>
      </c>
      <c r="T331" s="176">
        <f t="shared" si="108"/>
        <v>6</v>
      </c>
      <c r="U331" s="251">
        <f t="shared" si="109"/>
        <v>0.9967327355224459</v>
      </c>
      <c r="V331" s="383">
        <f t="shared" si="110"/>
        <v>28.743558447296703</v>
      </c>
      <c r="W331" s="402">
        <f t="shared" si="111"/>
        <v>26.736916250164111</v>
      </c>
      <c r="X331" s="157">
        <f t="shared" si="112"/>
        <v>45243</v>
      </c>
      <c r="Y331" s="385">
        <f t="shared" si="113"/>
        <v>25.473587128086201</v>
      </c>
      <c r="Z331" s="385">
        <f t="shared" si="114"/>
        <v>26.604949878899205</v>
      </c>
      <c r="AA331" s="386">
        <f t="shared" si="115"/>
        <v>28.60124709537234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6.9797558470663101E-2</v>
      </c>
      <c r="AD331" s="231">
        <f>(INDEX(Models!$BJ331:$BT331,,AH331)*(1-AF331)+INDEX(Models!$BJ331:$BT331,,AH331+1)*AF331-ERP_i)*AE331*Ramure*Pc/MaxiM</f>
        <v>3.7726481232519326E-4</v>
      </c>
      <c r="AE331" s="305">
        <f t="shared" si="117"/>
        <v>0.5</v>
      </c>
      <c r="AF331" s="177">
        <f t="shared" si="118"/>
        <v>0.9967327355224459</v>
      </c>
      <c r="AG331" s="811">
        <f t="shared" si="124"/>
        <v>0</v>
      </c>
      <c r="AH331" s="176">
        <f t="shared" si="119"/>
        <v>6</v>
      </c>
      <c r="AI331" s="225">
        <f t="shared" si="120"/>
        <v>0.9967327355224459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9.4141728843099166</v>
      </c>
      <c r="C332" s="841"/>
      <c r="D332" s="393">
        <f t="shared" si="102"/>
        <v>9.8325015002674547</v>
      </c>
      <c r="E332" s="385">
        <f t="shared" si="125"/>
        <v>10.071553101284346</v>
      </c>
      <c r="F332" s="385">
        <f t="shared" si="103"/>
        <v>10.071724659148538</v>
      </c>
      <c r="G332" s="110">
        <f t="shared" si="126"/>
        <v>0.33031531741621123</v>
      </c>
      <c r="H332" s="414" t="b">
        <f>Wh_hp&gt;='2022'!Maxi_hp</f>
        <v>0</v>
      </c>
      <c r="I332" s="390">
        <f>IF(H332,Wh_hp,'2022'!Maxi_hp)</f>
        <v>19.900379192311398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4.2545492207263669E-2</v>
      </c>
      <c r="M332" s="845"/>
      <c r="N332" s="845"/>
      <c r="O332" s="48">
        <f>IF(t&lt;Tnet,'2022'!Resal+('2022'!Salim-'2022'!Resal)*(1-EXP(('2022'!Tnet-t)/('2022'!Tau_j))),Resal+(Salim-Resal)*(1-EXP((Tnet-t)/(Tau_j))))*Salcycl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3.9171715914078711E-4</v>
      </c>
      <c r="Q332" s="305">
        <f t="shared" si="105"/>
        <v>0.5</v>
      </c>
      <c r="R332" s="177">
        <f t="shared" si="106"/>
        <v>0.99676577105500752</v>
      </c>
      <c r="S332" s="811">
        <f t="shared" si="107"/>
        <v>0</v>
      </c>
      <c r="T332" s="176">
        <f t="shared" si="108"/>
        <v>6</v>
      </c>
      <c r="U332" s="251">
        <f t="shared" si="109"/>
        <v>0.99676577105500752</v>
      </c>
      <c r="V332" s="383">
        <f t="shared" si="110"/>
        <v>28.489885247105796</v>
      </c>
      <c r="W332" s="402">
        <f t="shared" si="111"/>
        <v>9.4141728843099166</v>
      </c>
      <c r="X332" s="157">
        <f t="shared" si="112"/>
        <v>45244</v>
      </c>
      <c r="Y332" s="385">
        <f t="shared" si="113"/>
        <v>8.9700584653182887</v>
      </c>
      <c r="Z332" s="385">
        <f t="shared" si="114"/>
        <v>9.3686523926837779</v>
      </c>
      <c r="AA332" s="386">
        <f t="shared" si="115"/>
        <v>10.071553101284346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6.9790696780512709E-2</v>
      </c>
      <c r="AD332" s="231">
        <f>(INDEX(Models!$BJ332:$BT332,,AH332)*(1-AF332)+INDEX(Models!$BJ332:$BT332,,AH332+1)*AF332-ERP_i)*AE332*Ramure*Pc/MaxiM</f>
        <v>3.9171715914078711E-4</v>
      </c>
      <c r="AE332" s="305">
        <f t="shared" si="117"/>
        <v>0.5</v>
      </c>
      <c r="AF332" s="177">
        <f t="shared" si="118"/>
        <v>0.99676577105500752</v>
      </c>
      <c r="AG332" s="811">
        <f t="shared" si="124"/>
        <v>0</v>
      </c>
      <c r="AH332" s="176">
        <f t="shared" si="119"/>
        <v>6</v>
      </c>
      <c r="AI332" s="225">
        <f t="shared" si="120"/>
        <v>0.99676577105500752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12.241139310211917</v>
      </c>
      <c r="C333" s="841"/>
      <c r="D333" s="393">
        <f t="shared" si="102"/>
        <v>12.785367167649584</v>
      </c>
      <c r="E333" s="385">
        <f t="shared" si="125"/>
        <v>13.097149544007731</v>
      </c>
      <c r="F333" s="385">
        <f t="shared" si="103"/>
        <v>13.098164885802976</v>
      </c>
      <c r="G333" s="110">
        <f t="shared" si="126"/>
        <v>0.43332961328409275</v>
      </c>
      <c r="H333" s="414" t="b">
        <f>Wh_hp&gt;='2022'!Maxi_hp</f>
        <v>0</v>
      </c>
      <c r="I333" s="390">
        <f>IF(H333,Wh_hp,'2022'!Maxi_hp)</f>
        <v>27.219183293094108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4.2566462918226522E-2</v>
      </c>
      <c r="M333" s="845"/>
      <c r="N333" s="845"/>
      <c r="O333" s="48">
        <f>IF(t&lt;Tnet,'2022'!Resal+('2022'!Salim-'2022'!Resal)*(1-EXP(('2022'!Tnet-t)/('2022'!Tau_j))),Resal+(Salim-Resal)*(1-EXP((Tnet-t)/(Tau_j))))*Salcycl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4.0654523345141062E-4</v>
      </c>
      <c r="Q333" s="305">
        <f t="shared" si="105"/>
        <v>0.5</v>
      </c>
      <c r="R333" s="177">
        <f t="shared" si="106"/>
        <v>0.99679748058630269</v>
      </c>
      <c r="S333" s="811">
        <f t="shared" si="107"/>
        <v>0</v>
      </c>
      <c r="T333" s="176">
        <f t="shared" si="108"/>
        <v>6</v>
      </c>
      <c r="U333" s="251">
        <f t="shared" si="109"/>
        <v>0.99679748058630269</v>
      </c>
      <c r="V333" s="383">
        <f t="shared" si="110"/>
        <v>28.239730110739654</v>
      </c>
      <c r="W333" s="402">
        <f t="shared" si="111"/>
        <v>12.241139310211917</v>
      </c>
      <c r="X333" s="157">
        <f t="shared" si="112"/>
        <v>45245</v>
      </c>
      <c r="Y333" s="385">
        <f t="shared" si="113"/>
        <v>11.664575633646738</v>
      </c>
      <c r="Z333" s="385">
        <f t="shared" si="114"/>
        <v>12.183170091576265</v>
      </c>
      <c r="AA333" s="386">
        <f t="shared" si="115"/>
        <v>13.097149544007731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6.9784608426467387E-2</v>
      </c>
      <c r="AD333" s="231">
        <f>(INDEX(Models!$BJ333:$BT333,,AH333)*(1-AF333)+INDEX(Models!$BJ333:$BT333,,AH333+1)*AF333-ERP_i)*AE333*Ramure*Pc/MaxiM</f>
        <v>4.0654523345141062E-4</v>
      </c>
      <c r="AE333" s="305">
        <f t="shared" si="117"/>
        <v>0.5</v>
      </c>
      <c r="AF333" s="177">
        <f t="shared" si="118"/>
        <v>0.99679748058630269</v>
      </c>
      <c r="AG333" s="811">
        <f t="shared" si="124"/>
        <v>0</v>
      </c>
      <c r="AH333" s="176">
        <f t="shared" si="119"/>
        <v>6</v>
      </c>
      <c r="AI333" s="225">
        <f t="shared" si="120"/>
        <v>0.99679748058630269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27.175913249222418</v>
      </c>
      <c r="C334" s="841"/>
      <c r="D334" s="393">
        <f t="shared" si="102"/>
        <v>28.384746754681291</v>
      </c>
      <c r="E334" s="385">
        <f t="shared" si="125"/>
        <v>29.079023429586179</v>
      </c>
      <c r="F334" s="385">
        <f t="shared" si="103"/>
        <v>29.090780871067942</v>
      </c>
      <c r="G334" s="110">
        <f t="shared" si="126"/>
        <v>0.97078729847765333</v>
      </c>
      <c r="H334" s="414" t="b">
        <f>Wh_hp&gt;='2022'!Maxi_hp</f>
        <v>0</v>
      </c>
      <c r="I334" s="390">
        <f>IF(H334,Wh_hp,'2022'!Maxi_hp)</f>
        <v>29.09089929988528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4.2587433169877009E-2</v>
      </c>
      <c r="M334" s="845"/>
      <c r="N334" s="845"/>
      <c r="O334" s="48">
        <f>IF(t&lt;Tnet,'2022'!Resal+('2022'!Salim-'2022'!Resal)*(1-EXP(('2022'!Tnet-t)/('2022'!Tau_j))),Resal+(Salim-Resal)*(1-EXP((Tnet-t)/(Tau_j))))*Salcycl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4.217543743872265E-4</v>
      </c>
      <c r="Q334" s="305">
        <f t="shared" si="105"/>
        <v>0.5</v>
      </c>
      <c r="R334" s="177">
        <f t="shared" si="106"/>
        <v>0.9968279171817922</v>
      </c>
      <c r="S334" s="811">
        <f t="shared" si="107"/>
        <v>0</v>
      </c>
      <c r="T334" s="176">
        <f t="shared" si="108"/>
        <v>6</v>
      </c>
      <c r="U334" s="251">
        <f t="shared" si="109"/>
        <v>0.9968279171817922</v>
      </c>
      <c r="V334" s="383">
        <f t="shared" si="110"/>
        <v>27.993191772809631</v>
      </c>
      <c r="W334" s="402">
        <f t="shared" si="111"/>
        <v>27.175913249222418</v>
      </c>
      <c r="X334" s="157">
        <f t="shared" si="112"/>
        <v>45246</v>
      </c>
      <c r="Y334" s="385">
        <f t="shared" si="113"/>
        <v>25.897921944003496</v>
      </c>
      <c r="Z334" s="385">
        <f t="shared" si="114"/>
        <v>27.049908097350734</v>
      </c>
      <c r="AA334" s="386">
        <f t="shared" si="115"/>
        <v>29.079023429586179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6.9779349266968202E-2</v>
      </c>
      <c r="AD334" s="231">
        <f>(INDEX(Models!$BJ334:$BT334,,AH334)*(1-AF334)+INDEX(Models!$BJ334:$BT334,,AH334+1)*AF334-ERP_i)*AE334*Ramure*Pc/MaxiM</f>
        <v>4.217543743872265E-4</v>
      </c>
      <c r="AE334" s="305">
        <f t="shared" si="117"/>
        <v>0.5</v>
      </c>
      <c r="AF334" s="177">
        <f t="shared" si="118"/>
        <v>0.9968279171817922</v>
      </c>
      <c r="AG334" s="811">
        <f t="shared" si="124"/>
        <v>0</v>
      </c>
      <c r="AH334" s="176">
        <f t="shared" si="119"/>
        <v>6</v>
      </c>
      <c r="AI334" s="225">
        <f t="shared" si="120"/>
        <v>0.9968279171817922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12.719944136425507</v>
      </c>
      <c r="C335" s="841"/>
      <c r="D335" s="393">
        <f t="shared" ref="D335:D379" si="127">Wh/(1-Ppv)</f>
        <v>13.286041130694851</v>
      </c>
      <c r="E335" s="385">
        <f t="shared" si="125"/>
        <v>13.611991292048119</v>
      </c>
      <c r="F335" s="385">
        <f t="shared" ref="F335:F379" si="128">Wh_sa/(1-Pvg*MEDIAN((-Sdif+Wh/Env_an)/Csdif,0,1))</f>
        <v>13.613338297914726</v>
      </c>
      <c r="G335" s="110">
        <f t="shared" si="126"/>
        <v>0.45821514185297302</v>
      </c>
      <c r="H335" s="414" t="b">
        <f>Wh_hp&gt;='2022'!Maxi_hp</f>
        <v>0</v>
      </c>
      <c r="I335" s="390">
        <f>IF(H335,Wh_hp,'2022'!Maxi_hp)</f>
        <v>28.670073792979203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4.2608402962225123E-2</v>
      </c>
      <c r="M335" s="845"/>
      <c r="N335" s="845"/>
      <c r="O335" s="48">
        <f>IF(t&lt;Tnet,'2022'!Resal+('2022'!Salim-'2022'!Resal)*(1-EXP(('2022'!Tnet-t)/('2022'!Tau_j))),Resal+(Salim-Resal)*(1-EXP((Tnet-t)/(Tau_j))))*Salcycl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4.3735010040579753E-4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0.9968571317957865</v>
      </c>
      <c r="S335" s="81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0.9968571317957865</v>
      </c>
      <c r="V335" s="383">
        <f t="shared" ref="V335:V379" si="135">MaxiM*(1-Ppv)*(1-Pvg)*(1-Psa)</f>
        <v>27.750368957569872</v>
      </c>
      <c r="W335" s="402">
        <f t="shared" ref="W335:W379" si="136">Wh*(A335&gt;Tmaj)</f>
        <v>12.719944136425507</v>
      </c>
      <c r="X335" s="157">
        <f t="shared" ref="X335:X379" si="137">t</f>
        <v>45247</v>
      </c>
      <c r="Y335" s="385">
        <f t="shared" ref="Y335:Y379" si="138">Wh_pvt_s*(1-Ppv)</f>
        <v>12.122698224456148</v>
      </c>
      <c r="Z335" s="385">
        <f t="shared" ref="Z335:Z379" si="139">Wh_sa_s*(1-Psa_s)</f>
        <v>12.662214982839288</v>
      </c>
      <c r="AA335" s="386">
        <f t="shared" ref="AA335:AA379" si="140">Wh_hp*(1-Pvg_s*MEDIAN((-Sdif+Wh/Env_an)/Csdif,0,1))</f>
        <v>13.611991292048119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6.9774971848804643E-2</v>
      </c>
      <c r="AD335" s="231">
        <f>(INDEX(Models!$BJ335:$BT335,,AH335)*(1-AF335)+INDEX(Models!$BJ335:$BT335,,AH335+1)*AF335-ERP_i)*AE335*Ramure*Pc/MaxiM</f>
        <v>4.3735010040579753E-4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0.9968571317957865</v>
      </c>
      <c r="AG335" s="81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0.9968571317957865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15.097444421404324</v>
      </c>
      <c r="C336" s="841"/>
      <c r="D336" s="393">
        <f t="shared" si="127"/>
        <v>15.769696692701144</v>
      </c>
      <c r="E336" s="385">
        <f t="shared" si="125"/>
        <v>16.15774539937803</v>
      </c>
      <c r="F336" s="385">
        <f t="shared" si="128"/>
        <v>16.160349004512394</v>
      </c>
      <c r="G336" s="110">
        <f t="shared" si="126"/>
        <v>0.54861088693234694</v>
      </c>
      <c r="H336" s="414" t="b">
        <f>Wh_hp&gt;='2022'!Maxi_hp</f>
        <v>0</v>
      </c>
      <c r="I336" s="390">
        <f>IF(H336,Wh_hp,'2022'!Maxi_hp)</f>
        <v>27.452705708144066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4.2629372295281076E-2</v>
      </c>
      <c r="M336" s="845"/>
      <c r="N336" s="845"/>
      <c r="O336" s="48">
        <f>IF(t&lt;Tnet,'2022'!Resal+('2022'!Salim-'2022'!Resal)*(1-EXP(('2022'!Tnet-t)/('2022'!Tau_j))),Resal+(Salim-Resal)*(1-EXP((Tnet-t)/(Tau_j))))*Salcycl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4.533380633952538E-4</v>
      </c>
      <c r="Q336" s="305">
        <f t="shared" si="130"/>
        <v>0.5</v>
      </c>
      <c r="R336" s="177">
        <f t="shared" si="131"/>
        <v>0.99688517335444993</v>
      </c>
      <c r="S336" s="811">
        <f t="shared" si="132"/>
        <v>0</v>
      </c>
      <c r="T336" s="176">
        <f t="shared" si="133"/>
        <v>6</v>
      </c>
      <c r="U336" s="251">
        <f t="shared" si="134"/>
        <v>0.99688517335444993</v>
      </c>
      <c r="V336" s="383">
        <f t="shared" si="135"/>
        <v>27.511360389692808</v>
      </c>
      <c r="W336" s="402">
        <f t="shared" si="136"/>
        <v>15.097444421404324</v>
      </c>
      <c r="X336" s="157">
        <f t="shared" si="137"/>
        <v>45248</v>
      </c>
      <c r="Y336" s="385">
        <f t="shared" si="138"/>
        <v>14.389658561146012</v>
      </c>
      <c r="Z336" s="385">
        <f t="shared" si="139"/>
        <v>15.030394859350336</v>
      </c>
      <c r="AA336" s="386">
        <f t="shared" si="140"/>
        <v>16.15774539937803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6.9771525182658792E-2</v>
      </c>
      <c r="AD336" s="231">
        <f>(INDEX(Models!$BJ336:$BT336,,AH336)*(1-AF336)+INDEX(Models!$BJ336:$BT336,,AH336+1)*AF336-ERP_i)*AE336*Ramure*Pc/MaxiM</f>
        <v>4.533380633952538E-4</v>
      </c>
      <c r="AE336" s="305">
        <f t="shared" si="142"/>
        <v>0.5</v>
      </c>
      <c r="AF336" s="177">
        <f t="shared" si="143"/>
        <v>0.99688517335444993</v>
      </c>
      <c r="AG336" s="811">
        <f t="shared" ref="AG336:AG379" si="149">INDEX(Echel_vg,AH336)</f>
        <v>0</v>
      </c>
      <c r="AH336" s="176">
        <f t="shared" si="144"/>
        <v>6</v>
      </c>
      <c r="AI336" s="225">
        <f t="shared" si="145"/>
        <v>0.99688517335444993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7.7316451433528943</v>
      </c>
      <c r="C337" s="841"/>
      <c r="D337" s="393">
        <f t="shared" si="127"/>
        <v>8.0760932769269385</v>
      </c>
      <c r="E337" s="385">
        <f t="shared" si="125"/>
        <v>8.2754225580016705</v>
      </c>
      <c r="F337" s="385">
        <f t="shared" si="128"/>
        <v>8.2754225580016705</v>
      </c>
      <c r="G337" s="110">
        <f t="shared" si="126"/>
        <v>0.28332374189439963</v>
      </c>
      <c r="H337" s="414" t="b">
        <f>Wh_hp&gt;='2022'!Maxi_hp</f>
        <v>0</v>
      </c>
      <c r="I337" s="390">
        <f>IF(H337,Wh_hp,'2022'!Maxi_hp)</f>
        <v>29.080430360791048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4.2650341169054751E-2</v>
      </c>
      <c r="M337" s="845"/>
      <c r="N337" s="845"/>
      <c r="O337" s="48">
        <f>IF(t&lt;Tnet,'2022'!Resal+('2022'!Salim-'2022'!Resal)*(1-EXP(('2022'!Tnet-t)/('2022'!Tau_j))),Resal+(Salim-Resal)*(1-EXP((Tnet-t)/(Tau_j))))*Salcycl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4.697239954088702E-4</v>
      </c>
      <c r="Q337" s="305">
        <f t="shared" si="130"/>
        <v>0.5</v>
      </c>
      <c r="R337" s="177">
        <f t="shared" si="131"/>
        <v>0.99691208883562044</v>
      </c>
      <c r="S337" s="811">
        <f t="shared" si="132"/>
        <v>0</v>
      </c>
      <c r="T337" s="176">
        <f t="shared" si="133"/>
        <v>6</v>
      </c>
      <c r="U337" s="251">
        <f t="shared" si="134"/>
        <v>0.99691208883562044</v>
      </c>
      <c r="V337" s="383">
        <f t="shared" si="135"/>
        <v>27.276264786116865</v>
      </c>
      <c r="W337" s="402">
        <f t="shared" si="136"/>
        <v>7.7316451433528943</v>
      </c>
      <c r="X337" s="157">
        <f t="shared" si="137"/>
        <v>45249</v>
      </c>
      <c r="Y337" s="385">
        <f t="shared" si="138"/>
        <v>7.3697295143637422</v>
      </c>
      <c r="Z337" s="385">
        <f t="shared" si="139"/>
        <v>7.6980541502079696</v>
      </c>
      <c r="AA337" s="386">
        <f t="shared" si="140"/>
        <v>8.2754225580016705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6.976905454035473E-2</v>
      </c>
      <c r="AD337" s="231">
        <f>(INDEX(Models!$BJ337:$BT337,,AH337)*(1-AF337)+INDEX(Models!$BJ337:$BT337,,AH337+1)*AF337-ERP_i)*AE337*Ramure*Pc/MaxiM</f>
        <v>4.697239954088702E-4</v>
      </c>
      <c r="AE337" s="305">
        <f t="shared" si="142"/>
        <v>0.5</v>
      </c>
      <c r="AF337" s="177">
        <f t="shared" si="143"/>
        <v>0.99691208883562044</v>
      </c>
      <c r="AG337" s="811">
        <f t="shared" si="149"/>
        <v>0</v>
      </c>
      <c r="AH337" s="176">
        <f t="shared" si="144"/>
        <v>6</v>
      </c>
      <c r="AI337" s="225">
        <f t="shared" si="145"/>
        <v>0.99691208883562044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15.452551799352108</v>
      </c>
      <c r="C338" s="841"/>
      <c r="D338" s="393">
        <f t="shared" si="127"/>
        <v>16.141323198649939</v>
      </c>
      <c r="E338" s="385">
        <f t="shared" si="125"/>
        <v>16.540914186238318</v>
      </c>
      <c r="F338" s="385">
        <f t="shared" si="128"/>
        <v>16.544030066783161</v>
      </c>
      <c r="G338" s="110">
        <f t="shared" si="126"/>
        <v>0.57119024064156132</v>
      </c>
      <c r="H338" s="414" t="b">
        <f>Wh_hp&gt;='2022'!Maxi_hp</f>
        <v>0</v>
      </c>
      <c r="I338" s="390">
        <f>IF(H338,Wh_hp,'2022'!Maxi_hp)</f>
        <v>30.110087627610774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4.2671309583556249E-2</v>
      </c>
      <c r="M338" s="845"/>
      <c r="N338" s="845"/>
      <c r="O338" s="48">
        <f>IF(t&lt;Tnet,'2022'!Resal+('2022'!Salim-'2022'!Resal)*(1-EXP(('2022'!Tnet-t)/('2022'!Tau_j))),Resal+(Salim-Resal)*(1-EXP((Tnet-t)/(Tau_j))))*Salcycl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4.8583779297177042E-4</v>
      </c>
      <c r="Q338" s="305">
        <f t="shared" si="130"/>
        <v>0.5</v>
      </c>
      <c r="R338" s="177">
        <f t="shared" si="131"/>
        <v>0.99693792334555942</v>
      </c>
      <c r="S338" s="811">
        <f t="shared" si="132"/>
        <v>0</v>
      </c>
      <c r="T338" s="176">
        <f t="shared" si="133"/>
        <v>6</v>
      </c>
      <c r="U338" s="251">
        <f t="shared" si="134"/>
        <v>0.99693792334555942</v>
      </c>
      <c r="V338" s="383">
        <f t="shared" si="135"/>
        <v>27.045199153516407</v>
      </c>
      <c r="W338" s="402">
        <f t="shared" si="136"/>
        <v>15.452551799352108</v>
      </c>
      <c r="X338" s="157">
        <f t="shared" si="137"/>
        <v>45250</v>
      </c>
      <c r="Y338" s="385">
        <f t="shared" si="138"/>
        <v>14.730315351189841</v>
      </c>
      <c r="Z338" s="385">
        <f t="shared" si="139"/>
        <v>15.386894280565294</v>
      </c>
      <c r="AA338" s="386">
        <f t="shared" si="140"/>
        <v>16.540914186238318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6.9767601275215113E-2</v>
      </c>
      <c r="AD338" s="231">
        <f>(INDEX(Models!$BJ338:$BT338,,AH338)*(1-AF338)+INDEX(Models!$BJ338:$BT338,,AH338+1)*AF338-ERP_i)*AE338*Ramure*Pc/MaxiM</f>
        <v>4.8583779297177042E-4</v>
      </c>
      <c r="AE338" s="305">
        <f t="shared" si="142"/>
        <v>0.5</v>
      </c>
      <c r="AF338" s="177">
        <f t="shared" si="143"/>
        <v>0.99693792334555942</v>
      </c>
      <c r="AG338" s="811">
        <f t="shared" si="149"/>
        <v>0</v>
      </c>
      <c r="AH338" s="176">
        <f t="shared" si="144"/>
        <v>6</v>
      </c>
      <c r="AI338" s="225">
        <f t="shared" si="145"/>
        <v>0.99693792334555942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3.2655193454254561</v>
      </c>
      <c r="C339" s="841"/>
      <c r="D339" s="393">
        <f t="shared" si="127"/>
        <v>3.4111490681699728</v>
      </c>
      <c r="E339" s="385">
        <f t="shared" si="125"/>
        <v>3.4958492267464765</v>
      </c>
      <c r="F339" s="385">
        <f t="shared" si="128"/>
        <v>3.4958492267464765</v>
      </c>
      <c r="G339" s="110">
        <f t="shared" si="126"/>
        <v>0.12170367765145988</v>
      </c>
      <c r="H339" s="414" t="b">
        <f>Wh_hp&gt;='2022'!Maxi_hp</f>
        <v>0</v>
      </c>
      <c r="I339" s="390">
        <f>IF(H339,Wh_hp,'2022'!Maxi_hp)</f>
        <v>29.084066217541494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4.2692277538795675E-2</v>
      </c>
      <c r="M339" s="845"/>
      <c r="N339" s="845"/>
      <c r="O339" s="48">
        <f>IF(t&lt;Tnet,'2022'!Resal+('2022'!Salim-'2022'!Resal)*(1-EXP(('2022'!Tnet-t)/('2022'!Tau_j))),Resal+(Salim-Resal)*(1-EXP((Tnet-t)/(Tau_j))))*Salcycl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5.012556108478733E-4</v>
      </c>
      <c r="Q339" s="305">
        <f t="shared" si="130"/>
        <v>0.5</v>
      </c>
      <c r="R339" s="177">
        <f t="shared" si="131"/>
        <v>0.99696272019274446</v>
      </c>
      <c r="S339" s="811">
        <f t="shared" si="132"/>
        <v>0</v>
      </c>
      <c r="T339" s="176">
        <f t="shared" si="133"/>
        <v>6</v>
      </c>
      <c r="U339" s="251">
        <f t="shared" si="134"/>
        <v>0.99696272019274446</v>
      </c>
      <c r="V339" s="383">
        <f t="shared" si="135"/>
        <v>26.818273272550343</v>
      </c>
      <c r="W339" s="402">
        <f t="shared" si="136"/>
        <v>3.2655193454254561</v>
      </c>
      <c r="X339" s="157">
        <f t="shared" si="137"/>
        <v>45251</v>
      </c>
      <c r="Y339" s="385">
        <f t="shared" si="138"/>
        <v>3.1131202993929747</v>
      </c>
      <c r="Z339" s="385">
        <f t="shared" si="139"/>
        <v>3.251953605251666</v>
      </c>
      <c r="AA339" s="386">
        <f t="shared" si="140"/>
        <v>3.4958492267464765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6.9767202666746547E-2</v>
      </c>
      <c r="AD339" s="231">
        <f>(INDEX(Models!$BJ339:$BT339,,AH339)*(1-AF339)+INDEX(Models!$BJ339:$BT339,,AH339+1)*AF339-ERP_i)*AE339*Ramure*Pc/MaxiM</f>
        <v>5.012556108478733E-4</v>
      </c>
      <c r="AE339" s="305">
        <f t="shared" si="142"/>
        <v>0.5</v>
      </c>
      <c r="AF339" s="177">
        <f t="shared" si="143"/>
        <v>0.99696272019274446</v>
      </c>
      <c r="AG339" s="811">
        <f t="shared" si="149"/>
        <v>0</v>
      </c>
      <c r="AH339" s="176">
        <f t="shared" si="144"/>
        <v>6</v>
      </c>
      <c r="AI339" s="225">
        <f t="shared" si="145"/>
        <v>0.99696272019274446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8.1176081994682274</v>
      </c>
      <c r="C340" s="841"/>
      <c r="D340" s="393">
        <f t="shared" si="127"/>
        <v>8.4798083305385141</v>
      </c>
      <c r="E340" s="385">
        <f t="shared" si="125"/>
        <v>8.6910001042591087</v>
      </c>
      <c r="F340" s="385">
        <f t="shared" si="128"/>
        <v>8.6910335697344028</v>
      </c>
      <c r="G340" s="110">
        <f t="shared" si="126"/>
        <v>0.30506758367631753</v>
      </c>
      <c r="H340" s="414" t="b">
        <f>Wh_hp&gt;='2022'!Maxi_hp</f>
        <v>0</v>
      </c>
      <c r="I340" s="390">
        <f>IF(H340,Wh_hp,'2022'!Maxi_hp)</f>
        <v>29.591035421411469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4.2713245034783132E-2</v>
      </c>
      <c r="M340" s="845"/>
      <c r="N340" s="845"/>
      <c r="O340" s="48">
        <f>IF(t&lt;Tnet,'2022'!Resal+('2022'!Salim-'2022'!Resal)*(1-EXP(('2022'!Tnet-t)/('2022'!Tau_j))),Resal+(Salim-Resal)*(1-EXP((Tnet-t)/(Tau_j))))*Salcycl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5.1597540833978224E-4</v>
      </c>
      <c r="Q340" s="305">
        <f t="shared" si="130"/>
        <v>0.5</v>
      </c>
      <c r="R340" s="177">
        <f t="shared" si="131"/>
        <v>0.99698652095881313</v>
      </c>
      <c r="S340" s="811">
        <f t="shared" si="132"/>
        <v>0</v>
      </c>
      <c r="T340" s="176">
        <f t="shared" si="133"/>
        <v>6</v>
      </c>
      <c r="U340" s="251">
        <f t="shared" si="134"/>
        <v>0.99698652095881313</v>
      </c>
      <c r="V340" s="383">
        <f t="shared" si="135"/>
        <v>26.59558533535143</v>
      </c>
      <c r="W340" s="402">
        <f t="shared" si="136"/>
        <v>8.1176081994682274</v>
      </c>
      <c r="X340" s="157">
        <f t="shared" si="137"/>
        <v>45252</v>
      </c>
      <c r="Y340" s="385">
        <f t="shared" si="138"/>
        <v>7.7393258261762261</v>
      </c>
      <c r="Z340" s="385">
        <f t="shared" si="139"/>
        <v>8.0846473494323394</v>
      </c>
      <c r="AA340" s="386">
        <f t="shared" si="140"/>
        <v>8.6910001042591087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6.9767891790683517E-2</v>
      </c>
      <c r="AD340" s="231">
        <f>(INDEX(Models!$BJ340:$BT340,,AH340)*(1-AF340)+INDEX(Models!$BJ340:$BT340,,AH340+1)*AF340-ERP_i)*AE340*Ramure*Pc/MaxiM</f>
        <v>5.1597540833978224E-4</v>
      </c>
      <c r="AE340" s="305">
        <f t="shared" si="142"/>
        <v>0.5</v>
      </c>
      <c r="AF340" s="177">
        <f t="shared" si="143"/>
        <v>0.99698652095881313</v>
      </c>
      <c r="AG340" s="811">
        <f t="shared" si="149"/>
        <v>0</v>
      </c>
      <c r="AH340" s="176">
        <f t="shared" si="144"/>
        <v>6</v>
      </c>
      <c r="AI340" s="225">
        <f t="shared" si="145"/>
        <v>0.99698652095881313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12.165303479594334</v>
      </c>
      <c r="C341" s="841"/>
      <c r="D341" s="393">
        <f t="shared" si="127"/>
        <v>12.708386357272955</v>
      </c>
      <c r="E341" s="385">
        <f t="shared" si="125"/>
        <v>13.025846720833979</v>
      </c>
      <c r="F341" s="385">
        <f t="shared" si="128"/>
        <v>13.027436757965537</v>
      </c>
      <c r="G341" s="110">
        <f t="shared" si="126"/>
        <v>0.46101650920057113</v>
      </c>
      <c r="H341" s="414" t="b">
        <f>Wh_hp&gt;='2022'!Maxi_hp</f>
        <v>0</v>
      </c>
      <c r="I341" s="390">
        <f>IF(H341,Wh_hp,'2022'!Maxi_hp)</f>
        <v>29.56301535081597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4.2734212071528499E-2</v>
      </c>
      <c r="M341" s="845"/>
      <c r="N341" s="845"/>
      <c r="O341" s="48">
        <f>IF(t&lt;Tnet,'2022'!Resal+('2022'!Salim-'2022'!Resal)*(1-EXP(('2022'!Tnet-t)/('2022'!Tau_j))),Resal+(Salim-Resal)*(1-EXP((Tnet-t)/(Tau_j))))*Salcycl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5.2999125035405796E-4</v>
      </c>
      <c r="Q341" s="305">
        <f t="shared" si="130"/>
        <v>0.5</v>
      </c>
      <c r="R341" s="177">
        <f t="shared" si="131"/>
        <v>0.9970093655667629</v>
      </c>
      <c r="S341" s="811">
        <f t="shared" si="132"/>
        <v>0</v>
      </c>
      <c r="T341" s="176">
        <f t="shared" si="133"/>
        <v>6</v>
      </c>
      <c r="U341" s="251">
        <f t="shared" si="134"/>
        <v>0.9970093655667629</v>
      </c>
      <c r="V341" s="383">
        <f t="shared" si="135"/>
        <v>26.37723365202773</v>
      </c>
      <c r="W341" s="402">
        <f t="shared" si="136"/>
        <v>12.165303479594334</v>
      </c>
      <c r="X341" s="157">
        <f t="shared" si="137"/>
        <v>45253</v>
      </c>
      <c r="Y341" s="385">
        <f t="shared" si="138"/>
        <v>11.599225293325844</v>
      </c>
      <c r="Z341" s="385">
        <f t="shared" si="139"/>
        <v>12.11703733654436</v>
      </c>
      <c r="AA341" s="386">
        <f t="shared" si="140"/>
        <v>13.025846720833979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6.9769697415219767E-2</v>
      </c>
      <c r="AD341" s="231">
        <f>(INDEX(Models!$BJ341:$BT341,,AH341)*(1-AF341)+INDEX(Models!$BJ341:$BT341,,AH341+1)*AF341-ERP_i)*AE341*Ramure*Pc/MaxiM</f>
        <v>5.2999125035405796E-4</v>
      </c>
      <c r="AE341" s="305">
        <f t="shared" si="142"/>
        <v>0.5</v>
      </c>
      <c r="AF341" s="177">
        <f t="shared" si="143"/>
        <v>0.9970093655667629</v>
      </c>
      <c r="AG341" s="811">
        <f t="shared" si="149"/>
        <v>0</v>
      </c>
      <c r="AH341" s="176">
        <f t="shared" si="144"/>
        <v>6</v>
      </c>
      <c r="AI341" s="225">
        <f t="shared" si="145"/>
        <v>0.9970093655667629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13.389368804012893</v>
      </c>
      <c r="C342" s="841"/>
      <c r="D342" s="393">
        <f t="shared" si="127"/>
        <v>13.987402705523651</v>
      </c>
      <c r="E342" s="385">
        <f t="shared" si="125"/>
        <v>14.337868168395305</v>
      </c>
      <c r="F342" s="385">
        <f t="shared" si="128"/>
        <v>14.340225076559877</v>
      </c>
      <c r="G342" s="110">
        <f t="shared" si="126"/>
        <v>0.51156718485989849</v>
      </c>
      <c r="H342" s="414" t="b">
        <f>Wh_hp&gt;='2022'!Maxi_hp</f>
        <v>0</v>
      </c>
      <c r="I342" s="390">
        <f>IF(H342,Wh_hp,'2022'!Maxi_hp)</f>
        <v>27.223770958160259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4.2755178649042103E-2</v>
      </c>
      <c r="M342" s="845"/>
      <c r="N342" s="845"/>
      <c r="O342" s="48">
        <f>IF(t&lt;Tnet,'2022'!Resal+('2022'!Salim-'2022'!Resal)*(1-EXP(('2022'!Tnet-t)/('2022'!Tau_j))),Resal+(Salim-Resal)*(1-EXP((Tnet-t)/(Tau_j))))*Salcycl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5.4329843925095842E-4</v>
      </c>
      <c r="Q342" s="305">
        <f t="shared" si="130"/>
        <v>0.5</v>
      </c>
      <c r="R342" s="177">
        <f t="shared" si="131"/>
        <v>0.99703129234651078</v>
      </c>
      <c r="S342" s="811">
        <f t="shared" si="132"/>
        <v>0</v>
      </c>
      <c r="T342" s="176">
        <f t="shared" si="133"/>
        <v>6</v>
      </c>
      <c r="U342" s="251">
        <f t="shared" si="134"/>
        <v>0.99703129234651078</v>
      </c>
      <c r="V342" s="383">
        <f t="shared" si="135"/>
        <v>26.16331651390286</v>
      </c>
      <c r="W342" s="402">
        <f t="shared" si="136"/>
        <v>13.389368804012893</v>
      </c>
      <c r="X342" s="157">
        <f t="shared" si="137"/>
        <v>45254</v>
      </c>
      <c r="Y342" s="385">
        <f t="shared" si="138"/>
        <v>12.767230977721653</v>
      </c>
      <c r="Z342" s="385">
        <f t="shared" si="139"/>
        <v>13.337477198051886</v>
      </c>
      <c r="AA342" s="386">
        <f t="shared" si="140"/>
        <v>14.337868168395305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6.9772643924050276E-2</v>
      </c>
      <c r="AD342" s="231">
        <f>(INDEX(Models!$BJ342:$BT342,,AH342)*(1-AF342)+INDEX(Models!$BJ342:$BT342,,AH342+1)*AF342-ERP_i)*AE342*Ramure*Pc/MaxiM</f>
        <v>5.4329843925095842E-4</v>
      </c>
      <c r="AE342" s="305">
        <f t="shared" si="142"/>
        <v>0.5</v>
      </c>
      <c r="AF342" s="177">
        <f t="shared" si="143"/>
        <v>0.99703129234651078</v>
      </c>
      <c r="AG342" s="811">
        <f t="shared" si="149"/>
        <v>0</v>
      </c>
      <c r="AH342" s="176">
        <f t="shared" si="144"/>
        <v>6</v>
      </c>
      <c r="AI342" s="225">
        <f t="shared" si="145"/>
        <v>0.99703129234651078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5.1843680170318001</v>
      </c>
      <c r="C343" s="841"/>
      <c r="D343" s="393">
        <f t="shared" si="127"/>
        <v>5.4160455662397471</v>
      </c>
      <c r="E343" s="385">
        <f t="shared" si="125"/>
        <v>5.5521588761137979</v>
      </c>
      <c r="F343" s="385">
        <f t="shared" si="128"/>
        <v>5.5521588761137979</v>
      </c>
      <c r="G343" s="110">
        <f t="shared" si="126"/>
        <v>0.19964165820823665</v>
      </c>
      <c r="H343" s="414" t="b">
        <f>Wh_hp&gt;='2022'!Maxi_hp</f>
        <v>0</v>
      </c>
      <c r="I343" s="390">
        <f>IF(H343,Wh_hp,'2022'!Maxi_hp)</f>
        <v>26.38503248912658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4.2776144767333713E-2</v>
      </c>
      <c r="M343" s="845"/>
      <c r="N343" s="845"/>
      <c r="O343" s="48">
        <f>IF(t&lt;Tnet,'2022'!Resal+('2022'!Salim-'2022'!Resal)*(1-EXP(('2022'!Tnet-t)/('2022'!Tau_j))),Resal+(Salim-Resal)*(1-EXP((Tnet-t)/(Tau_j))))*Salcycl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5.5589428522075644E-4</v>
      </c>
      <c r="Q343" s="305">
        <f t="shared" si="130"/>
        <v>0.5</v>
      </c>
      <c r="R343" s="177">
        <f t="shared" si="131"/>
        <v>0.99705233809790816</v>
      </c>
      <c r="S343" s="811">
        <f t="shared" si="132"/>
        <v>0</v>
      </c>
      <c r="T343" s="176">
        <f t="shared" si="133"/>
        <v>6</v>
      </c>
      <c r="U343" s="251">
        <f t="shared" si="134"/>
        <v>0.99705233809790816</v>
      </c>
      <c r="V343" s="383">
        <f t="shared" si="135"/>
        <v>25.953932175188061</v>
      </c>
      <c r="W343" s="402">
        <f t="shared" si="136"/>
        <v>5.1843680170318001</v>
      </c>
      <c r="X343" s="157">
        <f t="shared" si="137"/>
        <v>45255</v>
      </c>
      <c r="Y343" s="385">
        <f t="shared" si="138"/>
        <v>4.9438192904329856</v>
      </c>
      <c r="Z343" s="385">
        <f t="shared" si="139"/>
        <v>5.1647472672223813</v>
      </c>
      <c r="AA343" s="386">
        <f t="shared" si="140"/>
        <v>5.5521588761137979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6.9776751266632228E-2</v>
      </c>
      <c r="AD343" s="231">
        <f>(INDEX(Models!$BJ343:$BT343,,AH343)*(1-AF343)+INDEX(Models!$BJ343:$BT343,,AH343+1)*AF343-ERP_i)*AE343*Ramure*Pc/MaxiM</f>
        <v>5.5589428522075644E-4</v>
      </c>
      <c r="AE343" s="305">
        <f t="shared" si="142"/>
        <v>0.5</v>
      </c>
      <c r="AF343" s="177">
        <f t="shared" si="143"/>
        <v>0.99705233809790816</v>
      </c>
      <c r="AG343" s="811">
        <f t="shared" si="149"/>
        <v>0</v>
      </c>
      <c r="AH343" s="176">
        <f t="shared" si="144"/>
        <v>6</v>
      </c>
      <c r="AI343" s="225">
        <f t="shared" si="145"/>
        <v>0.99705233809790816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10.39188990919701</v>
      </c>
      <c r="C344" s="841"/>
      <c r="D344" s="393">
        <f t="shared" si="127"/>
        <v>10.856517486931507</v>
      </c>
      <c r="E344" s="385">
        <f t="shared" si="125"/>
        <v>11.130183080608834</v>
      </c>
      <c r="F344" s="385">
        <f t="shared" si="128"/>
        <v>11.131118269150457</v>
      </c>
      <c r="G344" s="110">
        <f t="shared" si="126"/>
        <v>0.40338615610463752</v>
      </c>
      <c r="H344" s="414" t="b">
        <f>Wh_hp&gt;='2022'!Maxi_hp</f>
        <v>0</v>
      </c>
      <c r="I344" s="390">
        <f>IF(H344,Wh_hp,'2022'!Maxi_hp)</f>
        <v>26.793324525882319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4.2797110426413543E-2</v>
      </c>
      <c r="M344" s="845"/>
      <c r="N344" s="845"/>
      <c r="O344" s="48">
        <f>IF(t&lt;Tnet,'2022'!Resal+('2022'!Salim-'2022'!Resal)*(1-EXP(('2022'!Tnet-t)/('2022'!Tau_j))),Resal+(Salim-Resal)*(1-EXP((Tnet-t)/(Tau_j))))*Salcycl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5.6777544410830457E-4</v>
      </c>
      <c r="Q344" s="305">
        <f t="shared" si="130"/>
        <v>0.5</v>
      </c>
      <c r="R344" s="177">
        <f t="shared" si="131"/>
        <v>0.99707253815130659</v>
      </c>
      <c r="S344" s="811">
        <f t="shared" si="132"/>
        <v>0</v>
      </c>
      <c r="T344" s="176">
        <f t="shared" si="133"/>
        <v>6</v>
      </c>
      <c r="U344" s="251">
        <f t="shared" si="134"/>
        <v>0.99707253815130659</v>
      </c>
      <c r="V344" s="383">
        <f t="shared" si="135"/>
        <v>25.7491789231374</v>
      </c>
      <c r="W344" s="402">
        <f t="shared" si="136"/>
        <v>10.39188990919701</v>
      </c>
      <c r="X344" s="157">
        <f t="shared" si="137"/>
        <v>45256</v>
      </c>
      <c r="Y344" s="385">
        <f t="shared" si="138"/>
        <v>9.9103965334662654</v>
      </c>
      <c r="Z344" s="385">
        <f t="shared" si="139"/>
        <v>10.353496256035266</v>
      </c>
      <c r="AA344" s="386">
        <f t="shared" si="140"/>
        <v>11.130183080608834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6.9782034935860424E-2</v>
      </c>
      <c r="AD344" s="231">
        <f>(INDEX(Models!$BJ344:$BT344,,AH344)*(1-AF344)+INDEX(Models!$BJ344:$BT344,,AH344+1)*AF344-ERP_i)*AE344*Ramure*Pc/MaxiM</f>
        <v>5.6777544410830457E-4</v>
      </c>
      <c r="AE344" s="305">
        <f t="shared" si="142"/>
        <v>0.5</v>
      </c>
      <c r="AF344" s="177">
        <f t="shared" si="143"/>
        <v>0.99707253815130659</v>
      </c>
      <c r="AG344" s="811">
        <f t="shared" si="149"/>
        <v>0</v>
      </c>
      <c r="AH344" s="176">
        <f t="shared" si="144"/>
        <v>6</v>
      </c>
      <c r="AI344" s="225">
        <f t="shared" si="145"/>
        <v>0.99707253815130659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14.781861570351671</v>
      </c>
      <c r="C345" s="841"/>
      <c r="D345" s="393">
        <f t="shared" si="127"/>
        <v>15.443105635350939</v>
      </c>
      <c r="E345" s="385">
        <f t="shared" si="125"/>
        <v>15.833566080223489</v>
      </c>
      <c r="F345" s="385">
        <f t="shared" si="128"/>
        <v>15.837216243407486</v>
      </c>
      <c r="G345" s="110">
        <f t="shared" si="126"/>
        <v>0.57843838528539437</v>
      </c>
      <c r="H345" s="414" t="b">
        <f>Wh_hp&gt;='2022'!Maxi_hp</f>
        <v>0</v>
      </c>
      <c r="I345" s="390">
        <f>IF(H345,Wh_hp,'2022'!Maxi_hp)</f>
        <v>25.130362962848679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4.2818075626291696E-2</v>
      </c>
      <c r="M345" s="845"/>
      <c r="N345" s="845"/>
      <c r="O345" s="48">
        <f>IF(t&lt;Tnet,'2022'!Resal+('2022'!Salim-'2022'!Resal)*(1-EXP(('2022'!Tnet-t)/('2022'!Tau_j))),Resal+(Salim-Resal)*(1-EXP((Tnet-t)/(Tau_j))))*Salcycl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5.7901237560648467E-4</v>
      </c>
      <c r="Q345" s="305">
        <f t="shared" si="130"/>
        <v>0.5</v>
      </c>
      <c r="R345" s="177">
        <f t="shared" si="131"/>
        <v>0.99709192642576716</v>
      </c>
      <c r="S345" s="811">
        <f t="shared" si="132"/>
        <v>0</v>
      </c>
      <c r="T345" s="176">
        <f t="shared" si="133"/>
        <v>6</v>
      </c>
      <c r="U345" s="251">
        <f t="shared" si="134"/>
        <v>0.99709192642576716</v>
      </c>
      <c r="V345" s="383">
        <f t="shared" si="135"/>
        <v>25.545864179663027</v>
      </c>
      <c r="W345" s="402">
        <f t="shared" si="136"/>
        <v>14.781861570351671</v>
      </c>
      <c r="X345" s="157">
        <f t="shared" si="137"/>
        <v>45257</v>
      </c>
      <c r="Y345" s="385">
        <f t="shared" si="138"/>
        <v>14.097916342401939</v>
      </c>
      <c r="Z345" s="385">
        <f t="shared" si="139"/>
        <v>14.728565159257805</v>
      </c>
      <c r="AA345" s="386">
        <f t="shared" si="140"/>
        <v>15.833566080223489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6.9788505973133699E-2</v>
      </c>
      <c r="AD345" s="231">
        <f>(INDEX(Models!$BJ345:$BT345,,AH345)*(1-AF345)+INDEX(Models!$BJ345:$BT345,,AH345+1)*AF345-ERP_i)*AE345*Ramure*Pc/MaxiM</f>
        <v>5.7901237560648467E-4</v>
      </c>
      <c r="AE345" s="305">
        <f t="shared" si="142"/>
        <v>0.5</v>
      </c>
      <c r="AF345" s="177">
        <f t="shared" si="143"/>
        <v>0.99709192642576716</v>
      </c>
      <c r="AG345" s="811">
        <f t="shared" si="149"/>
        <v>0</v>
      </c>
      <c r="AH345" s="176">
        <f t="shared" si="144"/>
        <v>6</v>
      </c>
      <c r="AI345" s="225">
        <f t="shared" si="145"/>
        <v>0.99709192642576716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10.714705218734611</v>
      </c>
      <c r="C346" s="841"/>
      <c r="D346" s="393">
        <f t="shared" si="127"/>
        <v>11.194256421451476</v>
      </c>
      <c r="E346" s="385">
        <f t="shared" si="125"/>
        <v>11.478147565985838</v>
      </c>
      <c r="F346" s="385">
        <f t="shared" si="128"/>
        <v>11.479334174307025</v>
      </c>
      <c r="G346" s="110">
        <f t="shared" si="126"/>
        <v>0.42260420078228128</v>
      </c>
      <c r="H346" s="414" t="b">
        <f>Wh_hp&gt;='2022'!Maxi_hp</f>
        <v>0</v>
      </c>
      <c r="I346" s="390">
        <f>IF(H346,Wh_hp,'2022'!Maxi_hp)</f>
        <v>18.630206084198146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4.2839040366978165E-2</v>
      </c>
      <c r="M346" s="845"/>
      <c r="N346" s="845"/>
      <c r="O346" s="48">
        <f>IF(t&lt;Tnet,'2022'!Resal+('2022'!Salim-'2022'!Resal)*(1-EXP(('2022'!Tnet-t)/('2022'!Tau_j))),Resal+(Salim-Resal)*(1-EXP((Tnet-t)/(Tau_j))))*Salcycl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5.8919126503476722E-4</v>
      </c>
      <c r="Q346" s="305">
        <f t="shared" si="130"/>
        <v>0.5</v>
      </c>
      <c r="R346" s="177">
        <f t="shared" si="131"/>
        <v>0.99711053548500184</v>
      </c>
      <c r="S346" s="811">
        <f t="shared" si="132"/>
        <v>0</v>
      </c>
      <c r="T346" s="176">
        <f t="shared" si="133"/>
        <v>6</v>
      </c>
      <c r="U346" s="251">
        <f t="shared" si="134"/>
        <v>0.99711053548500184</v>
      </c>
      <c r="V346" s="383">
        <f t="shared" si="135"/>
        <v>25.341677199073985</v>
      </c>
      <c r="W346" s="402">
        <f t="shared" si="136"/>
        <v>10.714705218734611</v>
      </c>
      <c r="X346" s="157">
        <f t="shared" si="137"/>
        <v>45258</v>
      </c>
      <c r="Y346" s="385">
        <f t="shared" si="138"/>
        <v>10.219623661333776</v>
      </c>
      <c r="Z346" s="385">
        <f t="shared" si="139"/>
        <v>10.677016815700473</v>
      </c>
      <c r="AA346" s="386">
        <f t="shared" si="140"/>
        <v>11.478147565985838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6.9796171000573531E-2</v>
      </c>
      <c r="AD346" s="231">
        <f>(INDEX(Models!$BJ346:$BT346,,AH346)*(1-AF346)+INDEX(Models!$BJ346:$BT346,,AH346+1)*AF346-ERP_i)*AE346*Ramure*Pc/MaxiM</f>
        <v>5.8919126503476722E-4</v>
      </c>
      <c r="AE346" s="305">
        <f t="shared" si="142"/>
        <v>0.5</v>
      </c>
      <c r="AF346" s="177">
        <f t="shared" si="143"/>
        <v>0.99711053548500184</v>
      </c>
      <c r="AG346" s="811">
        <f t="shared" si="149"/>
        <v>0</v>
      </c>
      <c r="AH346" s="176">
        <f t="shared" si="144"/>
        <v>6</v>
      </c>
      <c r="AI346" s="225">
        <f t="shared" si="145"/>
        <v>0.99711053548500184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14.907529889841101</v>
      </c>
      <c r="C347" s="841"/>
      <c r="D347" s="393">
        <f t="shared" si="127"/>
        <v>15.575077796604033</v>
      </c>
      <c r="E347" s="385">
        <f t="shared" si="125"/>
        <v>15.971266900968484</v>
      </c>
      <c r="F347" s="385">
        <f t="shared" si="128"/>
        <v>15.975268610836475</v>
      </c>
      <c r="G347" s="110">
        <f t="shared" si="126"/>
        <v>0.59282089843602637</v>
      </c>
      <c r="H347" s="414" t="b">
        <f>Wh_hp&gt;='2022'!Maxi_hp</f>
        <v>0</v>
      </c>
      <c r="I347" s="390">
        <f>IF(H347,Wh_hp,'2022'!Maxi_hp)</f>
        <v>26.41641779115476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4.2860004648482941E-2</v>
      </c>
      <c r="M347" s="845"/>
      <c r="N347" s="845"/>
      <c r="O347" s="48">
        <f>IF(t&lt;Tnet,'2022'!Resal+('2022'!Salim-'2022'!Resal)*(1-EXP(('2022'!Tnet-t)/('2022'!Tau_j))),Resal+(Salim-Resal)*(1-EXP((Tnet-t)/(Tau_j))))*Salcycl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5.9839428659628937E-4</v>
      </c>
      <c r="Q347" s="305">
        <f t="shared" si="130"/>
        <v>0.5</v>
      </c>
      <c r="R347" s="177">
        <f t="shared" si="131"/>
        <v>0.99712839659113106</v>
      </c>
      <c r="S347" s="811">
        <f t="shared" si="132"/>
        <v>0</v>
      </c>
      <c r="T347" s="176">
        <f t="shared" si="133"/>
        <v>6</v>
      </c>
      <c r="U347" s="251">
        <f t="shared" si="134"/>
        <v>0.99712839659113106</v>
      </c>
      <c r="V347" s="383">
        <f t="shared" si="135"/>
        <v>25.138017732900973</v>
      </c>
      <c r="W347" s="402">
        <f t="shared" si="136"/>
        <v>14.907529889841101</v>
      </c>
      <c r="X347" s="157">
        <f t="shared" si="137"/>
        <v>45259</v>
      </c>
      <c r="Y347" s="385">
        <f t="shared" si="138"/>
        <v>14.219647064955046</v>
      </c>
      <c r="Z347" s="385">
        <f t="shared" si="139"/>
        <v>14.856392099394792</v>
      </c>
      <c r="AA347" s="386">
        <f t="shared" si="140"/>
        <v>15.971266900968484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6.9805032279943072E-2</v>
      </c>
      <c r="AD347" s="231">
        <f>(INDEX(Models!$BJ347:$BT347,,AH347)*(1-AF347)+INDEX(Models!$BJ347:$BT347,,AH347+1)*AF347-ERP_i)*AE347*Ramure*Pc/MaxiM</f>
        <v>5.9839428659628937E-4</v>
      </c>
      <c r="AE347" s="305">
        <f t="shared" si="142"/>
        <v>0.5</v>
      </c>
      <c r="AF347" s="177">
        <f t="shared" si="143"/>
        <v>0.99712839659113106</v>
      </c>
      <c r="AG347" s="811">
        <f t="shared" si="149"/>
        <v>0</v>
      </c>
      <c r="AH347" s="176">
        <f t="shared" si="144"/>
        <v>6</v>
      </c>
      <c r="AI347" s="225">
        <f t="shared" si="145"/>
        <v>0.99712839659113106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4.1532228412727541</v>
      </c>
      <c r="C348" s="841"/>
      <c r="D348" s="393">
        <f t="shared" si="127"/>
        <v>4.3392960587537095</v>
      </c>
      <c r="E348" s="385">
        <f t="shared" si="125"/>
        <v>4.4500116654657962</v>
      </c>
      <c r="F348" s="385">
        <f t="shared" si="128"/>
        <v>4.4500116654657962</v>
      </c>
      <c r="G348" s="110">
        <f t="shared" si="126"/>
        <v>0.16645234277956139</v>
      </c>
      <c r="H348" s="414" t="b">
        <f>Wh_hp&gt;='2022'!Maxi_hp</f>
        <v>0</v>
      </c>
      <c r="I348" s="390">
        <f>IF(H348,Wh_hp,'2022'!Maxi_hp)</f>
        <v>25.687652657075112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4.2880968470816239E-2</v>
      </c>
      <c r="M348" s="845"/>
      <c r="N348" s="845"/>
      <c r="O348" s="48">
        <f>IF(t&lt;Tnet,'2022'!Resal+('2022'!Salim-'2022'!Resal)*(1-EXP(('2022'!Tnet-t)/('2022'!Tau_j))),Resal+(Salim-Resal)*(1-EXP((Tnet-t)/(Tau_j))))*Salcycl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6.065859563799006E-4</v>
      </c>
      <c r="Q348" s="305">
        <f t="shared" si="130"/>
        <v>0.5</v>
      </c>
      <c r="R348" s="177">
        <f t="shared" si="131"/>
        <v>0.99714553975634002</v>
      </c>
      <c r="S348" s="811">
        <f t="shared" si="132"/>
        <v>0</v>
      </c>
      <c r="T348" s="176">
        <f t="shared" si="133"/>
        <v>6</v>
      </c>
      <c r="U348" s="251">
        <f t="shared" si="134"/>
        <v>0.99714553975634002</v>
      </c>
      <c r="V348" s="383">
        <f t="shared" si="135"/>
        <v>24.936287980761215</v>
      </c>
      <c r="W348" s="402">
        <f t="shared" si="136"/>
        <v>4.1532228412727541</v>
      </c>
      <c r="X348" s="157">
        <f t="shared" si="137"/>
        <v>45260</v>
      </c>
      <c r="Y348" s="385">
        <f t="shared" si="138"/>
        <v>3.9618350720176205</v>
      </c>
      <c r="Z348" s="385">
        <f t="shared" si="139"/>
        <v>4.1393337103409369</v>
      </c>
      <c r="AA348" s="386">
        <f t="shared" si="140"/>
        <v>4.4500116654657962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6.981508779760473E-2</v>
      </c>
      <c r="AD348" s="231">
        <f>(INDEX(Models!$BJ348:$BT348,,AH348)*(1-AF348)+INDEX(Models!$BJ348:$BT348,,AH348+1)*AF348-ERP_i)*AE348*Ramure*Pc/MaxiM</f>
        <v>6.065859563799006E-4</v>
      </c>
      <c r="AE348" s="305">
        <f t="shared" si="142"/>
        <v>0.5</v>
      </c>
      <c r="AF348" s="177">
        <f t="shared" si="143"/>
        <v>0.99714553975634002</v>
      </c>
      <c r="AG348" s="811">
        <f t="shared" si="149"/>
        <v>0</v>
      </c>
      <c r="AH348" s="176">
        <f t="shared" si="144"/>
        <v>6</v>
      </c>
      <c r="AI348" s="225">
        <f t="shared" si="145"/>
        <v>0.99714553975634002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3.5736553913212794</v>
      </c>
      <c r="C349" s="841"/>
      <c r="D349" s="393">
        <f t="shared" si="127"/>
        <v>3.7338445350423757</v>
      </c>
      <c r="E349" s="385">
        <f t="shared" si="125"/>
        <v>3.8294019980834819</v>
      </c>
      <c r="F349" s="385">
        <f t="shared" si="128"/>
        <v>3.8294019980834819</v>
      </c>
      <c r="G349" s="110">
        <f t="shared" si="126"/>
        <v>0.14437214289997272</v>
      </c>
      <c r="H349" s="414" t="b">
        <f>Wh_hp&gt;='2022'!Maxi_hp</f>
        <v>0</v>
      </c>
      <c r="I349" s="390">
        <f>IF(H349,Wh_hp,'2022'!Maxi_hp)</f>
        <v>26.512351889003813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4.2901931833987939E-2</v>
      </c>
      <c r="M349" s="845"/>
      <c r="N349" s="845"/>
      <c r="O349" s="48">
        <f>IF(t&lt;Tnet,'2022'!Resal+('2022'!Salim-'2022'!Resal)*(1-EXP(('2022'!Tnet-t)/('2022'!Tau_j))),Resal+(Salim-Resal)*(1-EXP((Tnet-t)/(Tau_j))))*Salcycl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6.1372622224765668E-4</v>
      </c>
      <c r="Q349" s="305">
        <f t="shared" si="130"/>
        <v>0.5</v>
      </c>
      <c r="R349" s="177">
        <f t="shared" si="131"/>
        <v>0.99716199379251558</v>
      </c>
      <c r="S349" s="811">
        <f t="shared" si="132"/>
        <v>0</v>
      </c>
      <c r="T349" s="176">
        <f t="shared" si="133"/>
        <v>6</v>
      </c>
      <c r="U349" s="251">
        <f t="shared" si="134"/>
        <v>0.99716199379251558</v>
      </c>
      <c r="V349" s="383">
        <f t="shared" si="135"/>
        <v>24.737889689514496</v>
      </c>
      <c r="W349" s="402">
        <f t="shared" si="136"/>
        <v>3.5736553913212794</v>
      </c>
      <c r="X349" s="157">
        <f t="shared" si="137"/>
        <v>45261</v>
      </c>
      <c r="Y349" s="385">
        <f t="shared" si="138"/>
        <v>3.4091918419556611</v>
      </c>
      <c r="Z349" s="385">
        <f t="shared" si="139"/>
        <v>3.5620089051985473</v>
      </c>
      <c r="AA349" s="386">
        <f t="shared" si="140"/>
        <v>3.8294019980834819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6.9826331374652828E-2</v>
      </c>
      <c r="AD349" s="231">
        <f>(INDEX(Models!$BJ349:$BT349,,AH349)*(1-AF349)+INDEX(Models!$BJ349:$BT349,,AH349+1)*AF349-ERP_i)*AE349*Ramure*Pc/MaxiM</f>
        <v>6.1372622224765668E-4</v>
      </c>
      <c r="AE349" s="305">
        <f t="shared" si="142"/>
        <v>0.5</v>
      </c>
      <c r="AF349" s="177">
        <f t="shared" si="143"/>
        <v>0.99716199379251558</v>
      </c>
      <c r="AG349" s="811">
        <f t="shared" si="149"/>
        <v>0</v>
      </c>
      <c r="AH349" s="176">
        <f t="shared" si="144"/>
        <v>6</v>
      </c>
      <c r="AI349" s="225">
        <f t="shared" si="145"/>
        <v>0.99716199379251558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5.9260131381830261</v>
      </c>
      <c r="C350" s="841"/>
      <c r="D350" s="393">
        <f t="shared" si="127"/>
        <v>6.1917823606916498</v>
      </c>
      <c r="E350" s="385">
        <f t="shared" si="125"/>
        <v>6.350726463235711</v>
      </c>
      <c r="F350" s="385">
        <f t="shared" si="128"/>
        <v>6.350726463235711</v>
      </c>
      <c r="G350" s="110">
        <f t="shared" si="126"/>
        <v>0.24129262900211509</v>
      </c>
      <c r="H350" s="414" t="b">
        <f>Wh_hp&gt;='2022'!Maxi_hp</f>
        <v>0</v>
      </c>
      <c r="I350" s="390">
        <f>IF(H350,Wh_hp,'2022'!Maxi_hp)</f>
        <v>10.56169638849005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4.2922894738008144E-2</v>
      </c>
      <c r="M350" s="845"/>
      <c r="N350" s="845"/>
      <c r="O350" s="48">
        <f>IF(t&lt;Tnet,'2022'!Resal+('2022'!Salim-'2022'!Resal)*(1-EXP(('2022'!Tnet-t)/('2022'!Tau_j))),Resal+(Salim-Resal)*(1-EXP((Tnet-t)/(Tau_j))))*Salcycl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6.1977089407752942E-4</v>
      </c>
      <c r="Q350" s="305">
        <f t="shared" si="130"/>
        <v>0.5</v>
      </c>
      <c r="R350" s="177">
        <f t="shared" si="131"/>
        <v>0.9971777863589375</v>
      </c>
      <c r="S350" s="811">
        <f t="shared" si="132"/>
        <v>0</v>
      </c>
      <c r="T350" s="176">
        <f t="shared" si="133"/>
        <v>6</v>
      </c>
      <c r="U350" s="251">
        <f t="shared" si="134"/>
        <v>0.9971777863589375</v>
      </c>
      <c r="V350" s="383">
        <f t="shared" si="135"/>
        <v>24.544224132392156</v>
      </c>
      <c r="W350" s="402">
        <f t="shared" si="136"/>
        <v>5.9260131381830261</v>
      </c>
      <c r="X350" s="157">
        <f t="shared" si="137"/>
        <v>45262</v>
      </c>
      <c r="Y350" s="385">
        <f t="shared" si="138"/>
        <v>5.653645538988993</v>
      </c>
      <c r="Z350" s="385">
        <f t="shared" si="139"/>
        <v>5.9071996476619875</v>
      </c>
      <c r="AA350" s="386">
        <f t="shared" si="140"/>
        <v>6.350726463235711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6.9838752801162973E-2</v>
      </c>
      <c r="AD350" s="231">
        <f>(INDEX(Models!$BJ350:$BT350,,AH350)*(1-AF350)+INDEX(Models!$BJ350:$BT350,,AH350+1)*AF350-ERP_i)*AE350*Ramure*Pc/MaxiM</f>
        <v>6.1977089407752942E-4</v>
      </c>
      <c r="AE350" s="305">
        <f t="shared" si="142"/>
        <v>0.5</v>
      </c>
      <c r="AF350" s="177">
        <f t="shared" si="143"/>
        <v>0.9971777863589375</v>
      </c>
      <c r="AG350" s="811">
        <f t="shared" si="149"/>
        <v>0</v>
      </c>
      <c r="AH350" s="176">
        <f t="shared" si="144"/>
        <v>6</v>
      </c>
      <c r="AI350" s="225">
        <f t="shared" si="145"/>
        <v>0.9971777863589375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8.8515602392602961</v>
      </c>
      <c r="C351" s="841"/>
      <c r="D351" s="393">
        <f t="shared" si="127"/>
        <v>9.2487366657566827</v>
      </c>
      <c r="E351" s="385">
        <f t="shared" si="125"/>
        <v>9.4868770226071195</v>
      </c>
      <c r="F351" s="385">
        <f t="shared" si="128"/>
        <v>9.4874139139027545</v>
      </c>
      <c r="G351" s="110">
        <f t="shared" si="126"/>
        <v>0.3632074297451256</v>
      </c>
      <c r="H351" s="414" t="b">
        <f>Wh_hp&gt;='2022'!Maxi_hp</f>
        <v>0</v>
      </c>
      <c r="I351" s="390">
        <f>IF(H351,Wh_hp,'2022'!Maxi_hp)</f>
        <v>17.22212353344614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4.2943857182887069E-2</v>
      </c>
      <c r="M351" s="845"/>
      <c r="N351" s="845"/>
      <c r="O351" s="48">
        <f>IF(t&lt;Tnet,'2022'!Resal+('2022'!Salim-'2022'!Resal)*(1-EXP(('2022'!Tnet-t)/('2022'!Tau_j))),Resal+(Salim-Resal)*(1-EXP((Tnet-t)/(Tau_j))))*Salcycl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6.2467216838647918E-4</v>
      </c>
      <c r="Q351" s="305">
        <f t="shared" si="130"/>
        <v>0.5</v>
      </c>
      <c r="R351" s="177">
        <f t="shared" si="131"/>
        <v>0.9971929440081001</v>
      </c>
      <c r="S351" s="811">
        <f t="shared" si="132"/>
        <v>0</v>
      </c>
      <c r="T351" s="176">
        <f t="shared" si="133"/>
        <v>6</v>
      </c>
      <c r="U351" s="251">
        <f t="shared" si="134"/>
        <v>0.9971929440081001</v>
      </c>
      <c r="V351" s="383">
        <f t="shared" si="135"/>
        <v>24.356692113926439</v>
      </c>
      <c r="W351" s="402">
        <f t="shared" si="136"/>
        <v>8.8515602392602961</v>
      </c>
      <c r="X351" s="157">
        <f t="shared" si="137"/>
        <v>45263</v>
      </c>
      <c r="Y351" s="385">
        <f t="shared" si="138"/>
        <v>8.4452514488323338</v>
      </c>
      <c r="Z351" s="385">
        <f t="shared" si="139"/>
        <v>8.8241964823229448</v>
      </c>
      <c r="AA351" s="386">
        <f t="shared" si="140"/>
        <v>9.4868770226071195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6.9852337993315833E-2</v>
      </c>
      <c r="AD351" s="231">
        <f>(INDEX(Models!$BJ351:$BT351,,AH351)*(1-AF351)+INDEX(Models!$BJ351:$BT351,,AH351+1)*AF351-ERP_i)*AE351*Ramure*Pc/MaxiM</f>
        <v>6.2467216838647918E-4</v>
      </c>
      <c r="AE351" s="305">
        <f t="shared" si="142"/>
        <v>0.5</v>
      </c>
      <c r="AF351" s="177">
        <f t="shared" si="143"/>
        <v>0.9971929440081001</v>
      </c>
      <c r="AG351" s="811">
        <f t="shared" si="149"/>
        <v>0</v>
      </c>
      <c r="AH351" s="176">
        <f t="shared" si="144"/>
        <v>6</v>
      </c>
      <c r="AI351" s="225">
        <f t="shared" si="145"/>
        <v>0.9971929440081001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17.574152162497015</v>
      </c>
      <c r="C352" s="841"/>
      <c r="D352" s="393">
        <f t="shared" si="127"/>
        <v>18.363120305807936</v>
      </c>
      <c r="E352" s="385">
        <f t="shared" si="125"/>
        <v>18.837384502355214</v>
      </c>
      <c r="F352" s="385">
        <f t="shared" si="128"/>
        <v>18.844608557538702</v>
      </c>
      <c r="G352" s="110">
        <f t="shared" si="126"/>
        <v>0.72672650507166936</v>
      </c>
      <c r="H352" s="414" t="b">
        <f>Wh_hp&gt;='2022'!Maxi_hp</f>
        <v>0</v>
      </c>
      <c r="I352" s="390">
        <f>IF(H352,Wh_hp,'2022'!Maxi_hp)</f>
        <v>18.845623436406257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4.2964819168634594E-2</v>
      </c>
      <c r="M352" s="845"/>
      <c r="N352" s="845"/>
      <c r="O352" s="48">
        <f>IF(t&lt;Tnet,'2022'!Resal+('2022'!Salim-'2022'!Resal)*(1-EXP(('2022'!Tnet-t)/('2022'!Tau_j))),Resal+(Salim-Resal)*(1-EXP((Tnet-t)/(Tau_j))))*Salcycl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6.2858049702233432E-4</v>
      </c>
      <c r="Q352" s="305">
        <f t="shared" si="130"/>
        <v>0.5</v>
      </c>
      <c r="R352" s="177">
        <f t="shared" si="131"/>
        <v>0.99720749222973515</v>
      </c>
      <c r="S352" s="811">
        <f t="shared" si="132"/>
        <v>0</v>
      </c>
      <c r="T352" s="176">
        <f t="shared" si="133"/>
        <v>6</v>
      </c>
      <c r="U352" s="251">
        <f t="shared" si="134"/>
        <v>0.99720749222973515</v>
      </c>
      <c r="V352" s="383">
        <f t="shared" si="135"/>
        <v>24.176689091778773</v>
      </c>
      <c r="W352" s="402">
        <f t="shared" si="136"/>
        <v>17.574152162497015</v>
      </c>
      <c r="X352" s="157">
        <f t="shared" si="137"/>
        <v>45264</v>
      </c>
      <c r="Y352" s="385">
        <f t="shared" si="138"/>
        <v>16.768473387992099</v>
      </c>
      <c r="Z352" s="385">
        <f t="shared" si="139"/>
        <v>17.521271656309981</v>
      </c>
      <c r="AA352" s="386">
        <f t="shared" si="140"/>
        <v>18.837384502355214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6.9867069171979768E-2</v>
      </c>
      <c r="AD352" s="231">
        <f>(INDEX(Models!$BJ352:$BT352,,AH352)*(1-AF352)+INDEX(Models!$BJ352:$BT352,,AH352+1)*AF352-ERP_i)*AE352*Ramure*Pc/MaxiM</f>
        <v>6.2858049702233432E-4</v>
      </c>
      <c r="AE352" s="305">
        <f t="shared" si="142"/>
        <v>0.5</v>
      </c>
      <c r="AF352" s="177">
        <f t="shared" si="143"/>
        <v>0.99720749222973515</v>
      </c>
      <c r="AG352" s="811">
        <f t="shared" si="149"/>
        <v>0</v>
      </c>
      <c r="AH352" s="176">
        <f t="shared" si="144"/>
        <v>6</v>
      </c>
      <c r="AI352" s="225">
        <f t="shared" si="145"/>
        <v>0.99720749222973515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23.919569780880117</v>
      </c>
      <c r="C353" s="841"/>
      <c r="D353" s="393">
        <f t="shared" si="127"/>
        <v>24.993954424478076</v>
      </c>
      <c r="E353" s="385">
        <f t="shared" si="125"/>
        <v>25.641444983412246</v>
      </c>
      <c r="F353" s="385">
        <f t="shared" si="128"/>
        <v>25.657581394325103</v>
      </c>
      <c r="G353" s="110">
        <f t="shared" si="126"/>
        <v>0.99641309965277769</v>
      </c>
      <c r="H353" s="414" t="b">
        <f>Wh_hp&gt;='2022'!Maxi_hp</f>
        <v>0</v>
      </c>
      <c r="I353" s="390">
        <f>IF(H353,Wh_hp,'2022'!Maxi_hp)</f>
        <v>25.657599625066538</v>
      </c>
      <c r="J353" s="85">
        <f>IF(H353,An,'2022'!An_max)</f>
        <v>2022</v>
      </c>
      <c r="K353" s="197">
        <f t="shared" si="129"/>
        <v>45265</v>
      </c>
      <c r="L353" s="147">
        <f>IF(t&lt;Tvie,1-EXP((T0-t)*PertePVj)+'2022'!Pspv,1-EXP((T0-t)*PertePVj)+Pspv)</f>
        <v>4.2985780695260822E-2</v>
      </c>
      <c r="M353" s="845"/>
      <c r="N353" s="845"/>
      <c r="O353" s="48">
        <f>IF(t&lt;Tnet,'2022'!Resal+('2022'!Salim-'2022'!Resal)*(1-EXP(('2022'!Tnet-t)/('2022'!Tau_j))),Resal+(Salim-Resal)*(1-EXP((Tnet-t)/(Tau_j))))*Salcycl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6.3215026657943197E-4</v>
      </c>
      <c r="Q353" s="305">
        <f t="shared" si="130"/>
        <v>0.5</v>
      </c>
      <c r="R353" s="177">
        <f t="shared" si="131"/>
        <v>0.99722145549310404</v>
      </c>
      <c r="S353" s="811">
        <f t="shared" si="132"/>
        <v>0</v>
      </c>
      <c r="T353" s="176">
        <f t="shared" si="133"/>
        <v>6</v>
      </c>
      <c r="U353" s="251">
        <f t="shared" si="134"/>
        <v>0.99722145549310404</v>
      </c>
      <c r="V353" s="383">
        <f t="shared" si="135"/>
        <v>24.005598008744322</v>
      </c>
      <c r="W353" s="402">
        <f t="shared" si="136"/>
        <v>23.919569780880117</v>
      </c>
      <c r="X353" s="157">
        <f t="shared" si="137"/>
        <v>45265</v>
      </c>
      <c r="Y353" s="385">
        <f t="shared" si="138"/>
        <v>22.824354459513266</v>
      </c>
      <c r="Z353" s="385">
        <f t="shared" si="139"/>
        <v>23.849545805176145</v>
      </c>
      <c r="AA353" s="386">
        <f t="shared" si="140"/>
        <v>25.641444983412246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6.9882925061177298E-2</v>
      </c>
      <c r="AD353" s="231">
        <f>(INDEX(Models!$BJ353:$BT353,,AH353)*(1-AF353)+INDEX(Models!$BJ353:$BT353,,AH353+1)*AF353-ERP_i)*AE353*Ramure*Pc/MaxiM</f>
        <v>6.3215026657943197E-4</v>
      </c>
      <c r="AE353" s="305">
        <f t="shared" si="142"/>
        <v>0.5</v>
      </c>
      <c r="AF353" s="177">
        <f t="shared" si="143"/>
        <v>0.99722145549310404</v>
      </c>
      <c r="AG353" s="811">
        <f t="shared" si="149"/>
        <v>0</v>
      </c>
      <c r="AH353" s="176">
        <f t="shared" si="144"/>
        <v>6</v>
      </c>
      <c r="AI353" s="225">
        <f t="shared" si="145"/>
        <v>0.99722145549310404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11.077674782417143</v>
      </c>
      <c r="C354" s="841"/>
      <c r="D354" s="393">
        <f t="shared" si="127"/>
        <v>11.575499291209379</v>
      </c>
      <c r="E354" s="385">
        <f t="shared" si="125"/>
        <v>11.876289727534326</v>
      </c>
      <c r="F354" s="385">
        <f t="shared" si="128"/>
        <v>11.878063962051868</v>
      </c>
      <c r="G354" s="110">
        <f t="shared" si="126"/>
        <v>0.46434786845421361</v>
      </c>
      <c r="H354" s="414" t="b">
        <f>Wh_hp&gt;='2022'!Maxi_hp</f>
        <v>0</v>
      </c>
      <c r="I354" s="390">
        <f>IF(H354,Wh_hp,'2022'!Maxi_hp)</f>
        <v>20.632916228723204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4.3006741762775857E-2</v>
      </c>
      <c r="M354" s="845"/>
      <c r="N354" s="845"/>
      <c r="O354" s="48">
        <f>IF(t&lt;Tnet,'2022'!Resal+('2022'!Salim-'2022'!Resal)*(1-EXP(('2022'!Tnet-t)/('2022'!Tau_j))),Resal+(Salim-Resal)*(1-EXP((Tnet-t)/(Tau_j))))*Salcycl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6.3533539995782684E-4</v>
      </c>
      <c r="Q354" s="305">
        <f t="shared" si="130"/>
        <v>0.5</v>
      </c>
      <c r="R354" s="177">
        <f t="shared" si="131"/>
        <v>0.99723485728762706</v>
      </c>
      <c r="S354" s="811">
        <f t="shared" si="132"/>
        <v>0</v>
      </c>
      <c r="T354" s="176">
        <f t="shared" si="133"/>
        <v>6</v>
      </c>
      <c r="U354" s="251">
        <f t="shared" si="134"/>
        <v>0.99723485728762706</v>
      </c>
      <c r="V354" s="383">
        <f t="shared" si="135"/>
        <v>23.844818446009519</v>
      </c>
      <c r="W354" s="402">
        <f t="shared" si="136"/>
        <v>11.077674782417143</v>
      </c>
      <c r="X354" s="157">
        <f t="shared" si="137"/>
        <v>45266</v>
      </c>
      <c r="Y354" s="385">
        <f t="shared" si="138"/>
        <v>10.571080062201831</v>
      </c>
      <c r="Z354" s="385">
        <f t="shared" si="139"/>
        <v>11.046138487614529</v>
      </c>
      <c r="AA354" s="386">
        <f t="shared" si="140"/>
        <v>11.876289727534326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6.9899881104715039E-2</v>
      </c>
      <c r="AD354" s="231">
        <f>(INDEX(Models!$BJ354:$BT354,,AH354)*(1-AF354)+INDEX(Models!$BJ354:$BT354,,AH354+1)*AF354-ERP_i)*AE354*Ramure*Pc/MaxiM</f>
        <v>6.3533539995782684E-4</v>
      </c>
      <c r="AE354" s="305">
        <f t="shared" si="142"/>
        <v>0.5</v>
      </c>
      <c r="AF354" s="177">
        <f t="shared" si="143"/>
        <v>0.99723485728762706</v>
      </c>
      <c r="AG354" s="811">
        <f t="shared" si="149"/>
        <v>0</v>
      </c>
      <c r="AH354" s="176">
        <f t="shared" si="144"/>
        <v>6</v>
      </c>
      <c r="AI354" s="225">
        <f t="shared" si="145"/>
        <v>0.99723485728762706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20.099497598244536</v>
      </c>
      <c r="C355" s="841"/>
      <c r="D355" s="393">
        <f t="shared" si="127"/>
        <v>21.003217802696224</v>
      </c>
      <c r="E355" s="385">
        <f t="shared" si="125"/>
        <v>21.550658442529532</v>
      </c>
      <c r="F355" s="385">
        <f t="shared" si="128"/>
        <v>21.561433627170533</v>
      </c>
      <c r="G355" s="110">
        <f t="shared" si="126"/>
        <v>0.84811478934127904</v>
      </c>
      <c r="H355" s="414" t="b">
        <f>Wh_hp&gt;='2022'!Maxi_hp</f>
        <v>0</v>
      </c>
      <c r="I355" s="390">
        <f>IF(H355,Wh_hp,'2022'!Maxi_hp)</f>
        <v>21.562088371382199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4.3027702371189691E-2</v>
      </c>
      <c r="M355" s="845"/>
      <c r="N355" s="845"/>
      <c r="O355" s="48">
        <f>IF(t&lt;Tnet,'2022'!Resal+('2022'!Salim-'2022'!Resal)*(1-EXP(('2022'!Tnet-t)/('2022'!Tau_j))),Resal+(Salim-Resal)*(1-EXP((Tnet-t)/(Tau_j))))*Salcycl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6.3808801868175502E-4</v>
      </c>
      <c r="Q355" s="305">
        <f t="shared" si="130"/>
        <v>0.5</v>
      </c>
      <c r="R355" s="177">
        <f t="shared" si="131"/>
        <v>0.9972477201619121</v>
      </c>
      <c r="S355" s="811">
        <f t="shared" si="132"/>
        <v>0</v>
      </c>
      <c r="T355" s="176">
        <f t="shared" si="133"/>
        <v>6</v>
      </c>
      <c r="U355" s="251">
        <f t="shared" si="134"/>
        <v>0.9972477201619121</v>
      </c>
      <c r="V355" s="383">
        <f t="shared" si="135"/>
        <v>23.695749447631606</v>
      </c>
      <c r="W355" s="402">
        <f t="shared" si="136"/>
        <v>20.099497598244536</v>
      </c>
      <c r="X355" s="157">
        <f t="shared" si="137"/>
        <v>45267</v>
      </c>
      <c r="Y355" s="385">
        <f t="shared" si="138"/>
        <v>19.181439286125681</v>
      </c>
      <c r="Z355" s="385">
        <f t="shared" si="139"/>
        <v>20.043881451588021</v>
      </c>
      <c r="AA355" s="386">
        <f t="shared" si="140"/>
        <v>21.550658442529532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6.9917909699127034E-2</v>
      </c>
      <c r="AD355" s="231">
        <f>(INDEX(Models!$BJ355:$BT355,,AH355)*(1-AF355)+INDEX(Models!$BJ355:$BT355,,AH355+1)*AF355-ERP_i)*AE355*Ramure*Pc/MaxiM</f>
        <v>6.3808801868175502E-4</v>
      </c>
      <c r="AE355" s="305">
        <f t="shared" si="142"/>
        <v>0.5</v>
      </c>
      <c r="AF355" s="177">
        <f t="shared" si="143"/>
        <v>0.9972477201619121</v>
      </c>
      <c r="AG355" s="811">
        <f t="shared" si="149"/>
        <v>0</v>
      </c>
      <c r="AH355" s="176">
        <f t="shared" si="144"/>
        <v>6</v>
      </c>
      <c r="AI355" s="225">
        <f t="shared" si="145"/>
        <v>0.9972477201619121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4.1493484916875722</v>
      </c>
      <c r="C356" s="841"/>
      <c r="D356" s="393">
        <f t="shared" si="127"/>
        <v>4.3360078294226891</v>
      </c>
      <c r="E356" s="385">
        <f t="shared" si="125"/>
        <v>4.4493702457603259</v>
      </c>
      <c r="F356" s="385">
        <f t="shared" si="128"/>
        <v>4.4493702457603259</v>
      </c>
      <c r="G356" s="110">
        <f t="shared" si="126"/>
        <v>0.17600715045825319</v>
      </c>
      <c r="H356" s="414" t="b">
        <f>Wh_hp&gt;='2022'!Maxi_hp</f>
        <v>0</v>
      </c>
      <c r="I356" s="390">
        <f>IF(H356,Wh_hp,'2022'!Maxi_hp)</f>
        <v>16.757981515209075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4.3048662520512426E-2</v>
      </c>
      <c r="M356" s="845"/>
      <c r="N356" s="845"/>
      <c r="O356" s="48">
        <f>IF(t&lt;Tnet,'2022'!Resal+('2022'!Salim-'2022'!Resal)*(1-EXP(('2022'!Tnet-t)/('2022'!Tau_j))),Resal+(Salim-Resal)*(1-EXP((Tnet-t)/(Tau_j))))*Salcycl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6.4035888693465609E-4</v>
      </c>
      <c r="Q356" s="305">
        <f t="shared" si="130"/>
        <v>0.5</v>
      </c>
      <c r="R356" s="177">
        <f t="shared" si="131"/>
        <v>0.99726006576124604</v>
      </c>
      <c r="S356" s="811">
        <f t="shared" si="132"/>
        <v>0</v>
      </c>
      <c r="T356" s="176">
        <f t="shared" si="133"/>
        <v>6</v>
      </c>
      <c r="U356" s="251">
        <f t="shared" si="134"/>
        <v>0.99726006576124604</v>
      </c>
      <c r="V356" s="383">
        <f t="shared" si="135"/>
        <v>23.559789523945941</v>
      </c>
      <c r="W356" s="402">
        <f t="shared" si="136"/>
        <v>4.1493484916875722</v>
      </c>
      <c r="X356" s="157">
        <f t="shared" si="137"/>
        <v>45268</v>
      </c>
      <c r="Y356" s="385">
        <f t="shared" si="138"/>
        <v>3.9600509777081796</v>
      </c>
      <c r="Z356" s="385">
        <f t="shared" si="139"/>
        <v>4.1381947259079555</v>
      </c>
      <c r="AA356" s="386">
        <f t="shared" si="140"/>
        <v>4.4493702457603259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6.9936980440969299E-2</v>
      </c>
      <c r="AD356" s="231">
        <f>(INDEX(Models!$BJ356:$BT356,,AH356)*(1-AF356)+INDEX(Models!$BJ356:$BT356,,AH356+1)*AF356-ERP_i)*AE356*Ramure*Pc/MaxiM</f>
        <v>6.4035888693465609E-4</v>
      </c>
      <c r="AE356" s="305">
        <f t="shared" si="142"/>
        <v>0.5</v>
      </c>
      <c r="AF356" s="177">
        <f t="shared" si="143"/>
        <v>0.99726006576124604</v>
      </c>
      <c r="AG356" s="811">
        <f t="shared" si="149"/>
        <v>0</v>
      </c>
      <c r="AH356" s="176">
        <f t="shared" si="144"/>
        <v>6</v>
      </c>
      <c r="AI356" s="225">
        <f t="shared" si="145"/>
        <v>0.99726006576124604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5.0203154465704456</v>
      </c>
      <c r="C357" s="841"/>
      <c r="D357" s="393">
        <f t="shared" si="127"/>
        <v>5.2462703275954725</v>
      </c>
      <c r="E357" s="385">
        <f t="shared" si="125"/>
        <v>5.383851276514747</v>
      </c>
      <c r="F357" s="385">
        <f t="shared" si="128"/>
        <v>5.383851276514747</v>
      </c>
      <c r="G357" s="110">
        <f t="shared" si="126"/>
        <v>0.2140549472067213</v>
      </c>
      <c r="H357" s="414" t="b">
        <f>Wh_hp&gt;='2022'!Maxi_hp</f>
        <v>0</v>
      </c>
      <c r="I357" s="390">
        <f>IF(H357,Wh_hp,'2022'!Maxi_hp)</f>
        <v>11.880379374635188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4.3069622210754166E-2</v>
      </c>
      <c r="M357" s="845"/>
      <c r="N357" s="845"/>
      <c r="O357" s="48">
        <f>IF(t&lt;Tnet,'2022'!Resal+('2022'!Salim-'2022'!Resal)*(1-EXP(('2022'!Tnet-t)/('2022'!Tau_j))),Resal+(Salim-Resal)*(1-EXP((Tnet-t)/(Tau_j))))*Salcycl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6.4209794508835773E-4</v>
      </c>
      <c r="Q357" s="305">
        <f t="shared" si="130"/>
        <v>0.5</v>
      </c>
      <c r="R357" s="177">
        <f t="shared" si="131"/>
        <v>0.99727191486360622</v>
      </c>
      <c r="S357" s="811">
        <f t="shared" si="132"/>
        <v>0</v>
      </c>
      <c r="T357" s="176">
        <f t="shared" si="133"/>
        <v>6</v>
      </c>
      <c r="U357" s="251">
        <f t="shared" si="134"/>
        <v>0.99727191486360622</v>
      </c>
      <c r="V357" s="383">
        <f t="shared" si="135"/>
        <v>23.438336641167673</v>
      </c>
      <c r="W357" s="402">
        <f t="shared" si="136"/>
        <v>5.0203154465704456</v>
      </c>
      <c r="X357" s="157">
        <f t="shared" si="137"/>
        <v>45269</v>
      </c>
      <c r="Y357" s="385">
        <f t="shared" si="138"/>
        <v>4.7915541011135643</v>
      </c>
      <c r="Z357" s="385">
        <f t="shared" si="139"/>
        <v>5.0072128676521706</v>
      </c>
      <c r="AA357" s="386">
        <f t="shared" si="140"/>
        <v>5.383851276514747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6.9957060386407088E-2</v>
      </c>
      <c r="AD357" s="231">
        <f>(INDEX(Models!$BJ357:$BT357,,AH357)*(1-AF357)+INDEX(Models!$BJ357:$BT357,,AH357+1)*AF357-ERP_i)*AE357*Ramure*Pc/MaxiM</f>
        <v>6.4209794508835773E-4</v>
      </c>
      <c r="AE357" s="305">
        <f t="shared" si="142"/>
        <v>0.5</v>
      </c>
      <c r="AF357" s="177">
        <f t="shared" si="143"/>
        <v>0.99727191486360622</v>
      </c>
      <c r="AG357" s="811">
        <f t="shared" si="149"/>
        <v>0</v>
      </c>
      <c r="AH357" s="176">
        <f t="shared" si="144"/>
        <v>6</v>
      </c>
      <c r="AI357" s="225">
        <f t="shared" si="145"/>
        <v>0.99727191486360622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11.817172480692108</v>
      </c>
      <c r="C358" s="841"/>
      <c r="D358" s="393">
        <f t="shared" si="127"/>
        <v>12.349311493347914</v>
      </c>
      <c r="E358" s="385">
        <f t="shared" si="125"/>
        <v>12.674159013421745</v>
      </c>
      <c r="F358" s="385">
        <f t="shared" si="128"/>
        <v>12.676564079105335</v>
      </c>
      <c r="G358" s="110">
        <f t="shared" si="126"/>
        <v>0.50623234213036128</v>
      </c>
      <c r="H358" s="414" t="b">
        <f>Wh_hp&gt;='2022'!Maxi_hp</f>
        <v>0</v>
      </c>
      <c r="I358" s="390">
        <f>IF(H358,Wh_hp,'2022'!Maxi_hp)</f>
        <v>21.95872257479607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4.3090581441924791E-2</v>
      </c>
      <c r="M358" s="845"/>
      <c r="N358" s="845"/>
      <c r="O358" s="48">
        <f>IF(t&lt;Tnet,'2022'!Resal+('2022'!Salim-'2022'!Resal)*(1-EXP(('2022'!Tnet-t)/('2022'!Tau_j))),Resal+(Salim-Resal)*(1-EXP((Tnet-t)/(Tau_j))))*Salcycl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6.4325493186638051E-4</v>
      </c>
      <c r="Q358" s="305">
        <f t="shared" si="130"/>
        <v>0.5</v>
      </c>
      <c r="R358" s="177">
        <f t="shared" si="131"/>
        <v>0.99728328741425076</v>
      </c>
      <c r="S358" s="811">
        <f t="shared" si="132"/>
        <v>0</v>
      </c>
      <c r="T358" s="176">
        <f t="shared" si="133"/>
        <v>6</v>
      </c>
      <c r="U358" s="251">
        <f t="shared" si="134"/>
        <v>0.99728328741425076</v>
      </c>
      <c r="V358" s="383">
        <f t="shared" si="135"/>
        <v>23.332788214982489</v>
      </c>
      <c r="W358" s="402">
        <f t="shared" si="136"/>
        <v>11.817172480692108</v>
      </c>
      <c r="X358" s="157">
        <f t="shared" si="137"/>
        <v>45270</v>
      </c>
      <c r="Y358" s="385">
        <f t="shared" si="138"/>
        <v>11.279326012988529</v>
      </c>
      <c r="Z358" s="385">
        <f t="shared" si="139"/>
        <v>11.787245265058473</v>
      </c>
      <c r="AA358" s="386">
        <f t="shared" si="140"/>
        <v>12.674159013421745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6.9978114320961599E-2</v>
      </c>
      <c r="AD358" s="231">
        <f>(INDEX(Models!$BJ358:$BT358,,AH358)*(1-AF358)+INDEX(Models!$BJ358:$BT358,,AH358+1)*AF358-ERP_i)*AE358*Ramure*Pc/MaxiM</f>
        <v>6.4325493186638051E-4</v>
      </c>
      <c r="AE358" s="305">
        <f t="shared" si="142"/>
        <v>0.5</v>
      </c>
      <c r="AF358" s="177">
        <f t="shared" si="143"/>
        <v>0.99728328741425076</v>
      </c>
      <c r="AG358" s="811">
        <f t="shared" si="149"/>
        <v>0</v>
      </c>
      <c r="AH358" s="176">
        <f t="shared" si="144"/>
        <v>6</v>
      </c>
      <c r="AI358" s="225">
        <f t="shared" si="145"/>
        <v>0.99728328741425076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16.508607787629352</v>
      </c>
      <c r="C359" s="841"/>
      <c r="D359" s="393">
        <f t="shared" si="127"/>
        <v>17.252384662807991</v>
      </c>
      <c r="E359" s="385">
        <f t="shared" si="125"/>
        <v>17.707598543127858</v>
      </c>
      <c r="F359" s="385">
        <f t="shared" si="128"/>
        <v>17.71428474676333</v>
      </c>
      <c r="G359" s="110">
        <f t="shared" si="126"/>
        <v>0.71014819073880375</v>
      </c>
      <c r="H359" s="414" t="b">
        <f>Wh_hp&gt;='2022'!Maxi_hp</f>
        <v>0</v>
      </c>
      <c r="I359" s="390">
        <f>IF(H359,Wh_hp,'2022'!Maxi_hp)</f>
        <v>18.260406248134906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4.3111540214034516E-2</v>
      </c>
      <c r="M359" s="845"/>
      <c r="N359" s="845"/>
      <c r="O359" s="48">
        <f>IF(t&lt;Tnet,'2022'!Resal+('2022'!Salim-'2022'!Resal)*(1-EXP(('2022'!Tnet-t)/('2022'!Tau_j))),Resal+(Salim-Resal)*(1-EXP((Tnet-t)/(Tau_j))))*Salcycl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6.438916309390837E-4</v>
      </c>
      <c r="Q359" s="305">
        <f t="shared" si="130"/>
        <v>0.5</v>
      </c>
      <c r="R359" s="177">
        <f t="shared" si="131"/>
        <v>0.99729420255894197</v>
      </c>
      <c r="S359" s="811">
        <f t="shared" si="132"/>
        <v>0</v>
      </c>
      <c r="T359" s="176">
        <f t="shared" si="133"/>
        <v>6</v>
      </c>
      <c r="U359" s="251">
        <f t="shared" si="134"/>
        <v>0.99729420255894197</v>
      </c>
      <c r="V359" s="383">
        <f t="shared" si="135"/>
        <v>23.24051192705841</v>
      </c>
      <c r="W359" s="402">
        <f t="shared" si="136"/>
        <v>16.508607787629352</v>
      </c>
      <c r="X359" s="157">
        <f t="shared" si="137"/>
        <v>45271</v>
      </c>
      <c r="Y359" s="385">
        <f t="shared" si="138"/>
        <v>15.758101147919511</v>
      </c>
      <c r="Z359" s="385">
        <f t="shared" si="139"/>
        <v>16.468064785151913</v>
      </c>
      <c r="AA359" s="386">
        <f t="shared" si="140"/>
        <v>17.707598543127858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7.0000105037224009E-2</v>
      </c>
      <c r="AD359" s="231">
        <f>(INDEX(Models!$BJ359:$BT359,,AH359)*(1-AF359)+INDEX(Models!$BJ359:$BT359,,AH359+1)*AF359-ERP_i)*AE359*Ramure*Pc/MaxiM</f>
        <v>6.438916309390837E-4</v>
      </c>
      <c r="AE359" s="305">
        <f t="shared" si="142"/>
        <v>0.5</v>
      </c>
      <c r="AF359" s="177">
        <f t="shared" si="143"/>
        <v>0.99729420255894197</v>
      </c>
      <c r="AG359" s="811">
        <f t="shared" si="149"/>
        <v>0</v>
      </c>
      <c r="AH359" s="176">
        <f t="shared" si="144"/>
        <v>6</v>
      </c>
      <c r="AI359" s="225">
        <f t="shared" si="145"/>
        <v>0.99729420255894197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5.7492342771084166</v>
      </c>
      <c r="C360" s="841"/>
      <c r="D360" s="393">
        <f t="shared" si="127"/>
        <v>6.0083912017689149</v>
      </c>
      <c r="E360" s="385">
        <f t="shared" si="125"/>
        <v>6.1674121307868983</v>
      </c>
      <c r="F360" s="385">
        <f t="shared" si="128"/>
        <v>6.1674121307868983</v>
      </c>
      <c r="G360" s="110">
        <f t="shared" si="126"/>
        <v>0.24810024042914774</v>
      </c>
      <c r="H360" s="414" t="b">
        <f>Wh_hp&gt;='2022'!Maxi_hp</f>
        <v>0</v>
      </c>
      <c r="I360" s="390">
        <f>IF(H360,Wh_hp,'2022'!Maxi_hp)</f>
        <v>23.792403120855759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4.3132498527093333E-2</v>
      </c>
      <c r="M360" s="845"/>
      <c r="N360" s="845"/>
      <c r="O360" s="48">
        <f>IF(t&lt;Tnet,'2022'!Resal+('2022'!Salim-'2022'!Resal)*(1-EXP(('2022'!Tnet-t)/('2022'!Tau_j))),Resal+(Salim-Resal)*(1-EXP((Tnet-t)/(Tau_j))))*Salcycl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6.4409400035365201E-4</v>
      </c>
      <c r="Q360" s="305">
        <f t="shared" si="130"/>
        <v>0.5</v>
      </c>
      <c r="R360" s="177">
        <f t="shared" si="131"/>
        <v>0.99730467867585681</v>
      </c>
      <c r="S360" s="811">
        <f t="shared" si="132"/>
        <v>0</v>
      </c>
      <c r="T360" s="176">
        <f t="shared" si="133"/>
        <v>6</v>
      </c>
      <c r="U360" s="251">
        <f t="shared" si="134"/>
        <v>0.99730467867585681</v>
      </c>
      <c r="V360" s="383">
        <f t="shared" si="135"/>
        <v>23.158104239905835</v>
      </c>
      <c r="W360" s="402">
        <f t="shared" si="136"/>
        <v>5.7492342771084166</v>
      </c>
      <c r="X360" s="157">
        <f t="shared" si="137"/>
        <v>45272</v>
      </c>
      <c r="Y360" s="385">
        <f t="shared" si="138"/>
        <v>5.4881628051574367</v>
      </c>
      <c r="Z360" s="385">
        <f t="shared" si="139"/>
        <v>5.7355514705113348</v>
      </c>
      <c r="AA360" s="386">
        <f t="shared" si="140"/>
        <v>6.1674121307868983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7.0022993618307508E-2</v>
      </c>
      <c r="AD360" s="231">
        <f>(INDEX(Models!$BJ360:$BT360,,AH360)*(1-AF360)+INDEX(Models!$BJ360:$BT360,,AH360+1)*AF360-ERP_i)*AE360*Ramure*Pc/MaxiM</f>
        <v>6.4409400035365201E-4</v>
      </c>
      <c r="AE360" s="305">
        <f t="shared" si="142"/>
        <v>0.5</v>
      </c>
      <c r="AF360" s="177">
        <f t="shared" si="143"/>
        <v>0.99730467867585681</v>
      </c>
      <c r="AG360" s="811">
        <f t="shared" si="149"/>
        <v>0</v>
      </c>
      <c r="AH360" s="176">
        <f t="shared" si="144"/>
        <v>6</v>
      </c>
      <c r="AI360" s="225">
        <f t="shared" si="145"/>
        <v>0.99730467867585681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5.4574297321123222</v>
      </c>
      <c r="C361" s="841"/>
      <c r="D361" s="393">
        <f t="shared" si="127"/>
        <v>5.7035579722865277</v>
      </c>
      <c r="E361" s="385">
        <f t="shared" ref="E361:E379" si="150">Wh_pvt/(1-Psa)</f>
        <v>5.8549739189774348</v>
      </c>
      <c r="F361" s="385">
        <f t="shared" si="128"/>
        <v>5.8549739189774348</v>
      </c>
      <c r="G361" s="110">
        <f t="shared" ref="G361:G379" si="151">+Wh_hp/MaxiM</f>
        <v>0.23624542927448308</v>
      </c>
      <c r="H361" s="414" t="b">
        <f>Wh_hp&gt;='2022'!Maxi_hp</f>
        <v>0</v>
      </c>
      <c r="I361" s="390">
        <f>IF(H361,Wh_hp,'2022'!Maxi_hp)</f>
        <v>25.480851358483925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4.3153456381111233E-2</v>
      </c>
      <c r="M361" s="845"/>
      <c r="N361" s="845"/>
      <c r="O361" s="48">
        <f>IF(t&lt;Tnet,'2022'!Resal+('2022'!Salim-'2022'!Resal)*(1-EXP(('2022'!Tnet-t)/('2022'!Tau_j))),Resal+(Salim-Resal)*(1-EXP((Tnet-t)/(Tau_j))))*Salcycl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6.4428736211354217E-4</v>
      </c>
      <c r="Q361" s="305">
        <f t="shared" si="130"/>
        <v>0.5</v>
      </c>
      <c r="R361" s="177">
        <f t="shared" si="131"/>
        <v>0.99731473340623267</v>
      </c>
      <c r="S361" s="811">
        <f t="shared" si="132"/>
        <v>0</v>
      </c>
      <c r="T361" s="176">
        <f t="shared" si="133"/>
        <v>6</v>
      </c>
      <c r="U361" s="251">
        <f t="shared" si="134"/>
        <v>0.99731473340623267</v>
      </c>
      <c r="V361" s="383">
        <f t="shared" si="135"/>
        <v>23.08579512355195</v>
      </c>
      <c r="W361" s="402">
        <f t="shared" si="136"/>
        <v>5.4574297321123222</v>
      </c>
      <c r="X361" s="157">
        <f t="shared" si="137"/>
        <v>45273</v>
      </c>
      <c r="Y361" s="385">
        <f t="shared" si="138"/>
        <v>5.2098878978372598</v>
      </c>
      <c r="Z361" s="385">
        <f t="shared" si="139"/>
        <v>5.4448520847793898</v>
      </c>
      <c r="AA361" s="386">
        <f t="shared" si="140"/>
        <v>5.8549739189774348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7.0046739724789794E-2</v>
      </c>
      <c r="AD361" s="231">
        <f>(INDEX(Models!$BJ361:$BT361,,AH361)*(1-AF361)+INDEX(Models!$BJ361:$BT361,,AH361+1)*AF361-ERP_i)*AE361*Ramure*Pc/MaxiM</f>
        <v>6.4428736211354217E-4</v>
      </c>
      <c r="AE361" s="305">
        <f t="shared" si="142"/>
        <v>0.5</v>
      </c>
      <c r="AF361" s="177">
        <f t="shared" si="143"/>
        <v>0.99731473340623267</v>
      </c>
      <c r="AG361" s="811">
        <f t="shared" si="149"/>
        <v>0</v>
      </c>
      <c r="AH361" s="176">
        <f t="shared" si="144"/>
        <v>6</v>
      </c>
      <c r="AI361" s="225">
        <f t="shared" si="145"/>
        <v>0.99731473340623267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17.316363986862118</v>
      </c>
      <c r="C362" s="841"/>
      <c r="D362" s="393">
        <f t="shared" si="127"/>
        <v>18.097722548579515</v>
      </c>
      <c r="E362" s="385">
        <f t="shared" si="150"/>
        <v>18.579647127247277</v>
      </c>
      <c r="F362" s="385">
        <f t="shared" si="128"/>
        <v>18.587383840120353</v>
      </c>
      <c r="G362" s="110">
        <f t="shared" si="151"/>
        <v>0.75193459678937669</v>
      </c>
      <c r="H362" s="414" t="b">
        <f>Wh_hp&gt;='2022'!Maxi_hp</f>
        <v>0</v>
      </c>
      <c r="I362" s="390">
        <f>IF(H362,Wh_hp,'2022'!Maxi_hp)</f>
        <v>22.845836803064749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4.317441377609843E-2</v>
      </c>
      <c r="M362" s="845"/>
      <c r="N362" s="845"/>
      <c r="O362" s="48">
        <f>IF(t&lt;Tnet,'2022'!Resal+('2022'!Salim-'2022'!Resal)*(1-EXP(('2022'!Tnet-t)/('2022'!Tau_j))),Resal+(Salim-Resal)*(1-EXP((Tnet-t)/(Tau_j))))*Salcycl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6.4445956852386471E-4</v>
      </c>
      <c r="Q362" s="305">
        <f t="shared" si="130"/>
        <v>0.5</v>
      </c>
      <c r="R362" s="177">
        <f t="shared" si="131"/>
        <v>0.99732438368380194</v>
      </c>
      <c r="S362" s="811">
        <f t="shared" si="132"/>
        <v>0</v>
      </c>
      <c r="T362" s="176">
        <f t="shared" si="133"/>
        <v>6</v>
      </c>
      <c r="U362" s="251">
        <f t="shared" si="134"/>
        <v>0.99732438368380194</v>
      </c>
      <c r="V362" s="383">
        <f t="shared" si="135"/>
        <v>23.023824663816008</v>
      </c>
      <c r="W362" s="402">
        <f t="shared" si="136"/>
        <v>17.316363986862118</v>
      </c>
      <c r="X362" s="157">
        <f t="shared" si="137"/>
        <v>45274</v>
      </c>
      <c r="Y362" s="385">
        <f t="shared" si="138"/>
        <v>16.531790463633989</v>
      </c>
      <c r="Z362" s="385">
        <f t="shared" si="139"/>
        <v>17.277747064516181</v>
      </c>
      <c r="AA362" s="386">
        <f t="shared" si="140"/>
        <v>18.579647127247277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7.0071301882899936E-2</v>
      </c>
      <c r="AD362" s="231">
        <f>(INDEX(Models!$BJ362:$BT362,,AH362)*(1-AF362)+INDEX(Models!$BJ362:$BT362,,AH362+1)*AF362-ERP_i)*AE362*Ramure*Pc/MaxiM</f>
        <v>6.4445956852386471E-4</v>
      </c>
      <c r="AE362" s="305">
        <f t="shared" si="142"/>
        <v>0.5</v>
      </c>
      <c r="AF362" s="177">
        <f t="shared" si="143"/>
        <v>0.99732438368380194</v>
      </c>
      <c r="AG362" s="811">
        <f t="shared" si="149"/>
        <v>0</v>
      </c>
      <c r="AH362" s="176">
        <f t="shared" si="144"/>
        <v>6</v>
      </c>
      <c r="AI362" s="225">
        <f t="shared" si="145"/>
        <v>0.99732438368380194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5.7437932500380127</v>
      </c>
      <c r="C363" s="841"/>
      <c r="D363" s="393">
        <f t="shared" si="127"/>
        <v>6.0030993519676104</v>
      </c>
      <c r="E363" s="385">
        <f t="shared" si="150"/>
        <v>6.1634458823256422</v>
      </c>
      <c r="F363" s="385">
        <f t="shared" si="128"/>
        <v>6.1634458823256422</v>
      </c>
      <c r="G363" s="110">
        <f t="shared" si="151"/>
        <v>0.24986865130198499</v>
      </c>
      <c r="H363" s="414" t="b">
        <f>Wh_hp&gt;='2022'!Maxi_hp</f>
        <v>0</v>
      </c>
      <c r="I363" s="390">
        <f>IF(H363,Wh_hp,'2022'!Maxi_hp)</f>
        <v>25.557265904120406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4.3195370712064918E-2</v>
      </c>
      <c r="M363" s="845"/>
      <c r="N363" s="845"/>
      <c r="O363" s="48">
        <f>IF(t&lt;Tnet,'2022'!Resal+('2022'!Salim-'2022'!Resal)*(1-EXP(('2022'!Tnet-t)/('2022'!Tau_j))),Resal+(Salim-Resal)*(1-EXP((Tnet-t)/(Tau_j))))*Salcycl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6.4459845403314108E-4</v>
      </c>
      <c r="Q363" s="305">
        <f t="shared" si="130"/>
        <v>0.5</v>
      </c>
      <c r="R363" s="177">
        <f t="shared" si="131"/>
        <v>0.9973336457630585</v>
      </c>
      <c r="S363" s="811">
        <f t="shared" si="132"/>
        <v>0</v>
      </c>
      <c r="T363" s="176">
        <f t="shared" si="133"/>
        <v>6</v>
      </c>
      <c r="U363" s="251">
        <f t="shared" si="134"/>
        <v>0.9973336457630585</v>
      </c>
      <c r="V363" s="383">
        <f t="shared" si="135"/>
        <v>22.972432835727851</v>
      </c>
      <c r="W363" s="402">
        <f t="shared" si="136"/>
        <v>5.7437932500380127</v>
      </c>
      <c r="X363" s="157">
        <f t="shared" si="137"/>
        <v>45275</v>
      </c>
      <c r="Y363" s="385">
        <f t="shared" si="138"/>
        <v>5.4838387103174906</v>
      </c>
      <c r="Z363" s="385">
        <f t="shared" si="139"/>
        <v>5.7314090488866318</v>
      </c>
      <c r="AA363" s="386">
        <f t="shared" si="140"/>
        <v>6.1634458823256422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7.0096637771724868E-2</v>
      </c>
      <c r="AD363" s="231">
        <f>(INDEX(Models!$BJ363:$BT363,,AH363)*(1-AF363)+INDEX(Models!$BJ363:$BT363,,AH363+1)*AF363-ERP_i)*AE363*Ramure*Pc/MaxiM</f>
        <v>6.4459845403314108E-4</v>
      </c>
      <c r="AE363" s="305">
        <f t="shared" si="142"/>
        <v>0.5</v>
      </c>
      <c r="AF363" s="177">
        <f t="shared" si="143"/>
        <v>0.9973336457630585</v>
      </c>
      <c r="AG363" s="811">
        <f t="shared" si="149"/>
        <v>0</v>
      </c>
      <c r="AH363" s="176">
        <f t="shared" si="144"/>
        <v>6</v>
      </c>
      <c r="AI363" s="225">
        <f t="shared" si="145"/>
        <v>0.9973336457630585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4.8941650342570586</v>
      </c>
      <c r="C364" s="841"/>
      <c r="D364" s="393">
        <f t="shared" si="127"/>
        <v>5.1152263289341713</v>
      </c>
      <c r="E364" s="385">
        <f t="shared" si="150"/>
        <v>5.2522756948336982</v>
      </c>
      <c r="F364" s="385">
        <f t="shared" si="128"/>
        <v>5.2522756948336982</v>
      </c>
      <c r="G364" s="110">
        <f t="shared" si="151"/>
        <v>0.21328448321180038</v>
      </c>
      <c r="H364" s="414" t="b">
        <f>Wh_hp&gt;='2022'!Maxi_hp</f>
        <v>0</v>
      </c>
      <c r="I364" s="390">
        <f>IF(H364,Wh_hp,'2022'!Maxi_hp)</f>
        <v>25.18523938599883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4.3216327189020687E-2</v>
      </c>
      <c r="M364" s="845"/>
      <c r="N364" s="845"/>
      <c r="O364" s="48">
        <f>IF(t&lt;Tnet,'2022'!Resal+('2022'!Salim-'2022'!Resal)*(1-EXP(('2022'!Tnet-t)/('2022'!Tau_j))),Resal+(Salim-Resal)*(1-EXP((Tnet-t)/(Tau_j))))*Salcycl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6.4469191929941055E-4</v>
      </c>
      <c r="Q364" s="305">
        <f t="shared" si="130"/>
        <v>0.5</v>
      </c>
      <c r="R364" s="177">
        <f t="shared" si="131"/>
        <v>0.99734253524640371</v>
      </c>
      <c r="S364" s="811">
        <f t="shared" si="132"/>
        <v>0</v>
      </c>
      <c r="T364" s="176">
        <f t="shared" si="133"/>
        <v>6</v>
      </c>
      <c r="U364" s="251">
        <f t="shared" si="134"/>
        <v>0.99734253524640371</v>
      </c>
      <c r="V364" s="383">
        <f t="shared" si="135"/>
        <v>22.931859514368792</v>
      </c>
      <c r="W364" s="402">
        <f t="shared" si="136"/>
        <v>4.8941650342570586</v>
      </c>
      <c r="X364" s="157">
        <f t="shared" si="137"/>
        <v>45276</v>
      </c>
      <c r="Y364" s="385">
        <f t="shared" si="138"/>
        <v>4.6729045898912656</v>
      </c>
      <c r="Z364" s="385">
        <f t="shared" si="139"/>
        <v>4.8839719182942591</v>
      </c>
      <c r="AA364" s="386">
        <f t="shared" si="140"/>
        <v>5.2522756948336982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7.0122704507250722E-2</v>
      </c>
      <c r="AD364" s="231">
        <f>(INDEX(Models!$BJ364:$BT364,,AH364)*(1-AF364)+INDEX(Models!$BJ364:$BT364,,AH364+1)*AF364-ERP_i)*AE364*Ramure*Pc/MaxiM</f>
        <v>6.4469191929941055E-4</v>
      </c>
      <c r="AE364" s="305">
        <f t="shared" si="142"/>
        <v>0.5</v>
      </c>
      <c r="AF364" s="177">
        <f t="shared" si="143"/>
        <v>0.99734253524640371</v>
      </c>
      <c r="AG364" s="811">
        <f t="shared" si="149"/>
        <v>0</v>
      </c>
      <c r="AH364" s="176">
        <f t="shared" si="144"/>
        <v>6</v>
      </c>
      <c r="AI364" s="225">
        <f t="shared" si="145"/>
        <v>0.99734253524640371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3.5764773442620412</v>
      </c>
      <c r="C365" s="841"/>
      <c r="D365" s="393">
        <f t="shared" si="127"/>
        <v>3.7381027515892824</v>
      </c>
      <c r="E365" s="385">
        <f t="shared" si="150"/>
        <v>3.8385621488229553</v>
      </c>
      <c r="F365" s="385">
        <f t="shared" si="128"/>
        <v>3.8385621488229553</v>
      </c>
      <c r="G365" s="110">
        <f t="shared" si="151"/>
        <v>0.15606138031027006</v>
      </c>
      <c r="H365" s="414" t="b">
        <f>Wh_hp&gt;='2022'!Maxi_hp</f>
        <v>0</v>
      </c>
      <c r="I365" s="390">
        <f>IF(H365,Wh_hp,'2022'!Maxi_hp)</f>
        <v>25.601732712427946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4.323728320697573E-2</v>
      </c>
      <c r="M365" s="845"/>
      <c r="N365" s="845"/>
      <c r="O365" s="48">
        <f>IF(t&lt;Tnet,'2022'!Resal+('2022'!Salim-'2022'!Resal)*(1-EXP(('2022'!Tnet-t)/('2022'!Tau_j))),Resal+(Salim-Resal)*(1-EXP((Tnet-t)/(Tau_j))))*Salcycl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6.4472801803552057E-4</v>
      </c>
      <c r="Q365" s="305">
        <f t="shared" si="130"/>
        <v>0.5</v>
      </c>
      <c r="R365" s="177">
        <f t="shared" si="131"/>
        <v>0.99735106711021615</v>
      </c>
      <c r="S365" s="811">
        <f t="shared" si="132"/>
        <v>0</v>
      </c>
      <c r="T365" s="176">
        <f t="shared" si="133"/>
        <v>6</v>
      </c>
      <c r="U365" s="251">
        <f t="shared" si="134"/>
        <v>0.99735106711021615</v>
      </c>
      <c r="V365" s="383">
        <f t="shared" si="135"/>
        <v>22.902344462200801</v>
      </c>
      <c r="W365" s="402">
        <f t="shared" si="136"/>
        <v>3.5764773442620412</v>
      </c>
      <c r="X365" s="157">
        <f t="shared" si="137"/>
        <v>45277</v>
      </c>
      <c r="Y365" s="385">
        <f t="shared" si="138"/>
        <v>3.4149627277707459</v>
      </c>
      <c r="Z365" s="385">
        <f t="shared" si="139"/>
        <v>3.5692890910479553</v>
      </c>
      <c r="AA365" s="386">
        <f t="shared" si="140"/>
        <v>3.8385621488229553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7.0149458921114238E-2</v>
      </c>
      <c r="AD365" s="231">
        <f>(INDEX(Models!$BJ365:$BT365,,AH365)*(1-AF365)+INDEX(Models!$BJ365:$BT365,,AH365+1)*AF365-ERP_i)*AE365*Ramure*Pc/MaxiM</f>
        <v>6.4472801803552057E-4</v>
      </c>
      <c r="AE365" s="305">
        <f t="shared" si="142"/>
        <v>0.5</v>
      </c>
      <c r="AF365" s="177">
        <f t="shared" si="143"/>
        <v>0.99735106711021615</v>
      </c>
      <c r="AG365" s="811">
        <f t="shared" si="149"/>
        <v>0</v>
      </c>
      <c r="AH365" s="176">
        <f t="shared" si="144"/>
        <v>6</v>
      </c>
      <c r="AI365" s="225">
        <f t="shared" si="145"/>
        <v>0.99735106711021615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21.475805108678131</v>
      </c>
      <c r="C366" s="841"/>
      <c r="D366" s="393">
        <f t="shared" si="127"/>
        <v>22.446814782055107</v>
      </c>
      <c r="E366" s="385">
        <f t="shared" si="150"/>
        <v>23.051904803705824</v>
      </c>
      <c r="F366" s="385">
        <f t="shared" si="128"/>
        <v>23.065466591244224</v>
      </c>
      <c r="G366" s="110">
        <f t="shared" si="151"/>
        <v>0.93840529090837321</v>
      </c>
      <c r="H366" s="414" t="b">
        <f>Wh_hp&gt;='2022'!Maxi_hp</f>
        <v>0</v>
      </c>
      <c r="I366" s="390">
        <f>IF(H366,Wh_hp,'2022'!Maxi_hp)</f>
        <v>25.724211482819697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4.325823876594026E-2</v>
      </c>
      <c r="M366" s="845"/>
      <c r="N366" s="845"/>
      <c r="O366" s="48">
        <f>IF(t&lt;Tnet,'2022'!Resal+('2022'!Salim-'2022'!Resal)*(1-EXP(('2022'!Tnet-t)/('2022'!Tau_j))),Resal+(Salim-Resal)*(1-EXP((Tnet-t)/(Tau_j))))*Salcycl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6.4464415984508258E-4</v>
      </c>
      <c r="Q366" s="305">
        <f t="shared" si="130"/>
        <v>0.5</v>
      </c>
      <c r="R366" s="177">
        <f t="shared" si="131"/>
        <v>0.99735925572988537</v>
      </c>
      <c r="S366" s="811">
        <f t="shared" si="132"/>
        <v>0</v>
      </c>
      <c r="T366" s="176">
        <f t="shared" si="133"/>
        <v>6</v>
      </c>
      <c r="U366" s="251">
        <f t="shared" si="134"/>
        <v>0.99735925572988537</v>
      </c>
      <c r="V366" s="383">
        <f t="shared" si="135"/>
        <v>22.884128492913113</v>
      </c>
      <c r="W366" s="402">
        <f t="shared" si="136"/>
        <v>21.475805108678131</v>
      </c>
      <c r="X366" s="157">
        <f t="shared" si="137"/>
        <v>45278</v>
      </c>
      <c r="Y366" s="385">
        <f t="shared" si="138"/>
        <v>20.506989051613353</v>
      </c>
      <c r="Z366" s="385">
        <f t="shared" si="139"/>
        <v>21.434194557538991</v>
      </c>
      <c r="AA366" s="386">
        <f t="shared" si="140"/>
        <v>23.051904803705824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7.0176857832016049E-2</v>
      </c>
      <c r="AD366" s="231">
        <f>(INDEX(Models!$BJ366:$BT366,,AH366)*(1-AF366)+INDEX(Models!$BJ366:$BT366,,AH366+1)*AF366-ERP_i)*AE366*Ramure*Pc/MaxiM</f>
        <v>6.4464415984508258E-4</v>
      </c>
      <c r="AE366" s="305">
        <f t="shared" si="142"/>
        <v>0.5</v>
      </c>
      <c r="AF366" s="177">
        <f t="shared" si="143"/>
        <v>0.99735925572988537</v>
      </c>
      <c r="AG366" s="811">
        <f t="shared" si="149"/>
        <v>0</v>
      </c>
      <c r="AH366" s="176">
        <f t="shared" si="144"/>
        <v>6</v>
      </c>
      <c r="AI366" s="225">
        <f t="shared" si="145"/>
        <v>0.99735925572988537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17.378985291375589</v>
      </c>
      <c r="C367" s="841"/>
      <c r="D367" s="393">
        <f t="shared" si="127"/>
        <v>18.165158717098166</v>
      </c>
      <c r="E367" s="385">
        <f t="shared" si="150"/>
        <v>18.656325446602462</v>
      </c>
      <c r="F367" s="385">
        <f t="shared" si="128"/>
        <v>18.664220980730111</v>
      </c>
      <c r="G367" s="110">
        <f t="shared" si="151"/>
        <v>0.75948740387446823</v>
      </c>
      <c r="H367" s="414" t="b">
        <f>Wh_hp&gt;='2022'!Maxi_hp</f>
        <v>0</v>
      </c>
      <c r="I367" s="390">
        <f>IF(H367,Wh_hp,'2022'!Maxi_hp)</f>
        <v>25.408167099175618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4.3279193865924381E-2</v>
      </c>
      <c r="M367" s="845"/>
      <c r="N367" s="845"/>
      <c r="O367" s="48">
        <f>IF(t&lt;Tnet,'2022'!Resal+('2022'!Salim-'2022'!Resal)*(1-EXP(('2022'!Tnet-t)/('2022'!Tau_j))),Resal+(Salim-Resal)*(1-EXP((Tnet-t)/(Tau_j))))*Salcycl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6.4422447519710778E-4</v>
      </c>
      <c r="Q367" s="305">
        <f t="shared" si="130"/>
        <v>0.5</v>
      </c>
      <c r="R367" s="177">
        <f t="shared" si="131"/>
        <v>0.99736711490385166</v>
      </c>
      <c r="S367" s="811">
        <f t="shared" si="132"/>
        <v>0</v>
      </c>
      <c r="T367" s="176">
        <f t="shared" si="133"/>
        <v>6</v>
      </c>
      <c r="U367" s="251">
        <f t="shared" si="134"/>
        <v>0.99736711490385166</v>
      </c>
      <c r="V367" s="383">
        <f t="shared" si="135"/>
        <v>22.877455832000209</v>
      </c>
      <c r="W367" s="402">
        <f t="shared" si="136"/>
        <v>17.378985291375589</v>
      </c>
      <c r="X367" s="157">
        <f t="shared" si="137"/>
        <v>45279</v>
      </c>
      <c r="Y367" s="385">
        <f t="shared" si="138"/>
        <v>16.595815595949706</v>
      </c>
      <c r="Z367" s="385">
        <f t="shared" si="139"/>
        <v>17.346560762078749</v>
      </c>
      <c r="AA367" s="386">
        <f t="shared" si="140"/>
        <v>18.656325446602462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7.0204858307842122E-2</v>
      </c>
      <c r="AD367" s="231">
        <f>(INDEX(Models!$BJ367:$BT367,,AH367)*(1-AF367)+INDEX(Models!$BJ367:$BT367,,AH367+1)*AF367-ERP_i)*AE367*Ramure*Pc/MaxiM</f>
        <v>6.4422447519710778E-4</v>
      </c>
      <c r="AE367" s="305">
        <f t="shared" si="142"/>
        <v>0.5</v>
      </c>
      <c r="AF367" s="177">
        <f t="shared" si="143"/>
        <v>0.99736711490385166</v>
      </c>
      <c r="AG367" s="811">
        <f t="shared" si="149"/>
        <v>0</v>
      </c>
      <c r="AH367" s="176">
        <f t="shared" si="144"/>
        <v>6</v>
      </c>
      <c r="AI367" s="225">
        <f t="shared" si="145"/>
        <v>0.99736711490385166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4.5685055296084762</v>
      </c>
      <c r="C368" s="841"/>
      <c r="D368" s="393">
        <f t="shared" si="127"/>
        <v>4.7752756755200627</v>
      </c>
      <c r="E368" s="385">
        <f t="shared" si="150"/>
        <v>4.9047879634123133</v>
      </c>
      <c r="F368" s="385">
        <f t="shared" si="128"/>
        <v>4.9047879634123133</v>
      </c>
      <c r="G368" s="110">
        <f t="shared" si="151"/>
        <v>0.19952158807204315</v>
      </c>
      <c r="H368" s="414" t="b">
        <f>Wh_hp&gt;='2022'!Maxi_hp</f>
        <v>0</v>
      </c>
      <c r="I368" s="390">
        <f>IF(H368,Wh_hp,'2022'!Maxi_hp)</f>
        <v>22.549218247197125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4.3300148506937863E-2</v>
      </c>
      <c r="M368" s="845"/>
      <c r="N368" s="845"/>
      <c r="O368" s="48">
        <f>IF(t&lt;Tnet,'2022'!Resal+('2022'!Salim-'2022'!Resal)*(1-EXP(('2022'!Tnet-t)/('2022'!Tau_j))),Resal+(Salim-Resal)*(1-EXP((Tnet-t)/(Tau_j))))*Salcycl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6.4345921327480166E-4</v>
      </c>
      <c r="Q368" s="305">
        <f t="shared" si="130"/>
        <v>0.5</v>
      </c>
      <c r="R368" s="177">
        <f t="shared" si="131"/>
        <v>0.99737465787669</v>
      </c>
      <c r="S368" s="811">
        <f t="shared" si="132"/>
        <v>0</v>
      </c>
      <c r="T368" s="176">
        <f t="shared" si="133"/>
        <v>6</v>
      </c>
      <c r="U368" s="251">
        <f t="shared" si="134"/>
        <v>0.99737465787669</v>
      </c>
      <c r="V368" s="383">
        <f t="shared" si="135"/>
        <v>22.882565875458152</v>
      </c>
      <c r="W368" s="402">
        <f t="shared" si="136"/>
        <v>4.5685055296084762</v>
      </c>
      <c r="X368" s="157">
        <f t="shared" si="137"/>
        <v>45280</v>
      </c>
      <c r="Y368" s="385">
        <f t="shared" si="138"/>
        <v>4.3628459295207014</v>
      </c>
      <c r="Z368" s="385">
        <f t="shared" si="139"/>
        <v>4.5603079405854183</v>
      </c>
      <c r="AA368" s="386">
        <f t="shared" si="140"/>
        <v>4.9047879634123133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7.0233417916650664E-2</v>
      </c>
      <c r="AD368" s="231">
        <f>(INDEX(Models!$BJ368:$BT368,,AH368)*(1-AF368)+INDEX(Models!$BJ368:$BT368,,AH368+1)*AF368-ERP_i)*AE368*Ramure*Pc/MaxiM</f>
        <v>6.4345921327480166E-4</v>
      </c>
      <c r="AE368" s="305">
        <f t="shared" si="142"/>
        <v>0.5</v>
      </c>
      <c r="AF368" s="177">
        <f t="shared" si="143"/>
        <v>0.99737465787669</v>
      </c>
      <c r="AG368" s="811">
        <f t="shared" si="149"/>
        <v>0</v>
      </c>
      <c r="AH368" s="176">
        <f t="shared" si="144"/>
        <v>6</v>
      </c>
      <c r="AI368" s="225">
        <f t="shared" si="145"/>
        <v>0.99737465787669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20.603804294103323</v>
      </c>
      <c r="C369" s="841"/>
      <c r="D369" s="393">
        <f t="shared" si="127"/>
        <v>21.536802318955285</v>
      </c>
      <c r="E369" s="385">
        <f t="shared" si="150"/>
        <v>22.122690327103051</v>
      </c>
      <c r="F369" s="385">
        <f t="shared" si="128"/>
        <v>22.134872022182705</v>
      </c>
      <c r="G369" s="110">
        <f t="shared" si="151"/>
        <v>0.89965849191832714</v>
      </c>
      <c r="H369" s="414" t="b">
        <f>Wh_hp&gt;='2022'!Maxi_hp</f>
        <v>0</v>
      </c>
      <c r="I369" s="390">
        <f>IF(H369,Wh_hp,'2022'!Maxi_hp)</f>
        <v>22.13532278533097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4.3321102688991031E-2</v>
      </c>
      <c r="M369" s="845"/>
      <c r="N369" s="845"/>
      <c r="O369" s="48">
        <f>IF(t&lt;Tnet,'2022'!Resal+('2022'!Salim-'2022'!Resal)*(1-EXP(('2022'!Tnet-t)/('2022'!Tau_j))),Resal+(Salim-Resal)*(1-EXP((Tnet-t)/(Tau_j))))*Salcycl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6.4233972638066744E-4</v>
      </c>
      <c r="Q369" s="305">
        <f t="shared" si="130"/>
        <v>0.5</v>
      </c>
      <c r="R369" s="177">
        <f t="shared" si="131"/>
        <v>0.99738189736127691</v>
      </c>
      <c r="S369" s="811">
        <f t="shared" si="132"/>
        <v>0</v>
      </c>
      <c r="T369" s="176">
        <f t="shared" si="133"/>
        <v>6</v>
      </c>
      <c r="U369" s="251">
        <f t="shared" si="134"/>
        <v>0.99738189736127691</v>
      </c>
      <c r="V369" s="383">
        <f t="shared" si="135"/>
        <v>22.899697920233695</v>
      </c>
      <c r="W369" s="402">
        <f t="shared" si="136"/>
        <v>20.603804294103323</v>
      </c>
      <c r="X369" s="157">
        <f t="shared" si="137"/>
        <v>45281</v>
      </c>
      <c r="Y369" s="385">
        <f t="shared" si="138"/>
        <v>19.677253693479972</v>
      </c>
      <c r="Z369" s="385">
        <f t="shared" si="139"/>
        <v>20.568294909386978</v>
      </c>
      <c r="AA369" s="386">
        <f t="shared" si="140"/>
        <v>22.122690327103051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7.0262494964807354E-2</v>
      </c>
      <c r="AD369" s="231">
        <f>(INDEX(Models!$BJ369:$BT369,,AH369)*(1-AF369)+INDEX(Models!$BJ369:$BT369,,AH369+1)*AF369-ERP_i)*AE369*Ramure*Pc/MaxiM</f>
        <v>6.4233972638066744E-4</v>
      </c>
      <c r="AE369" s="305">
        <f t="shared" si="142"/>
        <v>0.5</v>
      </c>
      <c r="AF369" s="177">
        <f t="shared" si="143"/>
        <v>0.99738189736127691</v>
      </c>
      <c r="AG369" s="811">
        <f t="shared" si="149"/>
        <v>0</v>
      </c>
      <c r="AH369" s="176">
        <f t="shared" si="144"/>
        <v>6</v>
      </c>
      <c r="AI369" s="225">
        <f t="shared" si="145"/>
        <v>0.99738189736127691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17.027291291305495</v>
      </c>
      <c r="C370" s="841"/>
      <c r="D370" s="393">
        <f t="shared" si="127"/>
        <v>17.798724617751397</v>
      </c>
      <c r="E370" s="385">
        <f t="shared" si="150"/>
        <v>18.284394290034619</v>
      </c>
      <c r="F370" s="385">
        <f t="shared" si="128"/>
        <v>18.291806342963167</v>
      </c>
      <c r="G370" s="110">
        <f t="shared" si="151"/>
        <v>0.74243139966563498</v>
      </c>
      <c r="H370" s="414" t="b">
        <f>Wh_hp&gt;='2022'!Maxi_hp</f>
        <v>0</v>
      </c>
      <c r="I370" s="390">
        <f>IF(H370,Wh_hp,'2022'!Maxi_hp)</f>
        <v>25.041754314682116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4.3342056412093766E-2</v>
      </c>
      <c r="M370" s="845"/>
      <c r="N370" s="845"/>
      <c r="O370" s="48">
        <f>IF(t&lt;Tnet,'2022'!Resal+('2022'!Salim-'2022'!Resal)*(1-EXP(('2022'!Tnet-t)/('2022'!Tau_j))),Resal+(Salim-Resal)*(1-EXP((Tnet-t)/(Tau_j))))*Salcycl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6.4085858317044239E-4</v>
      </c>
      <c r="Q370" s="305">
        <f t="shared" si="130"/>
        <v>0.5</v>
      </c>
      <c r="R370" s="177">
        <f t="shared" si="131"/>
        <v>0.99738884556007412</v>
      </c>
      <c r="S370" s="811">
        <f t="shared" si="132"/>
        <v>0</v>
      </c>
      <c r="T370" s="176">
        <f t="shared" si="133"/>
        <v>6</v>
      </c>
      <c r="U370" s="251">
        <f t="shared" si="134"/>
        <v>0.99738884556007412</v>
      </c>
      <c r="V370" s="383">
        <f t="shared" si="135"/>
        <v>22.929091150189684</v>
      </c>
      <c r="W370" s="402">
        <f t="shared" si="136"/>
        <v>17.027291291305495</v>
      </c>
      <c r="X370" s="157">
        <f t="shared" si="137"/>
        <v>45282</v>
      </c>
      <c r="Y370" s="385">
        <f t="shared" si="138"/>
        <v>16.262368778125094</v>
      </c>
      <c r="Z370" s="385">
        <f t="shared" si="139"/>
        <v>16.999146755771189</v>
      </c>
      <c r="AA370" s="386">
        <f t="shared" si="140"/>
        <v>18.284394290034619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7.0292048720690503E-2</v>
      </c>
      <c r="AD370" s="231">
        <f>(INDEX(Models!$BJ370:$BT370,,AH370)*(1-AF370)+INDEX(Models!$BJ370:$BT370,,AH370+1)*AF370-ERP_i)*AE370*Ramure*Pc/MaxiM</f>
        <v>6.4085858317044239E-4</v>
      </c>
      <c r="AE370" s="305">
        <f t="shared" si="142"/>
        <v>0.5</v>
      </c>
      <c r="AF370" s="177">
        <f t="shared" si="143"/>
        <v>0.99738884556007412</v>
      </c>
      <c r="AG370" s="811">
        <f t="shared" si="149"/>
        <v>0</v>
      </c>
      <c r="AH370" s="176">
        <f t="shared" si="144"/>
        <v>6</v>
      </c>
      <c r="AI370" s="225">
        <f t="shared" si="145"/>
        <v>0.99738884556007412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17.583761780061749</v>
      </c>
      <c r="C371" s="841"/>
      <c r="D371" s="393">
        <f t="shared" si="127"/>
        <v>18.380808977615509</v>
      </c>
      <c r="E371" s="385">
        <f t="shared" si="150"/>
        <v>18.883884369091678</v>
      </c>
      <c r="F371" s="385">
        <f t="shared" si="128"/>
        <v>18.891911911419289</v>
      </c>
      <c r="G371" s="110">
        <f t="shared" si="151"/>
        <v>0.76531310942186637</v>
      </c>
      <c r="H371" s="414" t="b">
        <f>Wh_hp&gt;='2022'!Maxi_hp</f>
        <v>0</v>
      </c>
      <c r="I371" s="390">
        <f>IF(H371,Wh_hp,'2022'!Maxi_hp)</f>
        <v>19.829576058520093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4.3363009676256281E-2</v>
      </c>
      <c r="M371" s="845"/>
      <c r="N371" s="845"/>
      <c r="O371" s="48">
        <f>IF(t&lt;Tnet,'2022'!Resal+('2022'!Salim-'2022'!Resal)*(1-EXP(('2022'!Tnet-t)/('2022'!Tau_j))),Resal+(Salim-Resal)*(1-EXP((Tnet-t)/(Tau_j))))*Salcycl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6.3900822845140758E-4</v>
      </c>
      <c r="Q371" s="305">
        <f t="shared" si="130"/>
        <v>0.5</v>
      </c>
      <c r="R371" s="177">
        <f t="shared" si="131"/>
        <v>0.99738884556007412</v>
      </c>
      <c r="S371" s="811">
        <f t="shared" si="132"/>
        <v>0</v>
      </c>
      <c r="T371" s="176">
        <f t="shared" si="133"/>
        <v>6</v>
      </c>
      <c r="U371" s="251">
        <f t="shared" si="134"/>
        <v>0.99738884556007412</v>
      </c>
      <c r="V371" s="383">
        <f t="shared" si="135"/>
        <v>22.970984658009076</v>
      </c>
      <c r="W371" s="402">
        <f t="shared" si="136"/>
        <v>17.583761780061749</v>
      </c>
      <c r="X371" s="157">
        <f t="shared" si="137"/>
        <v>45283</v>
      </c>
      <c r="Y371" s="385">
        <f t="shared" si="138"/>
        <v>16.794653093911187</v>
      </c>
      <c r="Z371" s="385">
        <f t="shared" si="139"/>
        <v>17.555931104260942</v>
      </c>
      <c r="AA371" s="386">
        <f t="shared" si="140"/>
        <v>18.883884369091678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7.0322039622540355E-2</v>
      </c>
      <c r="AD371" s="231">
        <f>(INDEX(Models!$BJ371:$BT371,,AH371)*(1-AF371)+INDEX(Models!$BJ371:$BT371,,AH371+1)*AF371-ERP_i)*AE371*Ramure*Pc/MaxiM</f>
        <v>6.3900822845140758E-4</v>
      </c>
      <c r="AE371" s="305">
        <f t="shared" si="142"/>
        <v>0.5</v>
      </c>
      <c r="AF371" s="177">
        <f t="shared" si="143"/>
        <v>0.99738884556007412</v>
      </c>
      <c r="AG371" s="811">
        <f t="shared" si="149"/>
        <v>0</v>
      </c>
      <c r="AH371" s="176">
        <f t="shared" si="144"/>
        <v>6</v>
      </c>
      <c r="AI371" s="225">
        <f t="shared" si="145"/>
        <v>0.99738884556007412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21.130957987354723</v>
      </c>
      <c r="C372" s="841"/>
      <c r="D372" s="393">
        <f t="shared" si="127"/>
        <v>22.089278413279597</v>
      </c>
      <c r="E372" s="385">
        <f t="shared" si="150"/>
        <v>22.695684793278343</v>
      </c>
      <c r="F372" s="385">
        <f t="shared" si="128"/>
        <v>22.708445364246671</v>
      </c>
      <c r="G372" s="110">
        <f t="shared" si="151"/>
        <v>0.91764641990236406</v>
      </c>
      <c r="H372" s="414" t="b">
        <f>Wh_hp&gt;='2022'!Maxi_hp</f>
        <v>0</v>
      </c>
      <c r="I372" s="390">
        <f>IF(H372,Wh_hp,'2022'!Maxi_hp)</f>
        <v>22.708821562297572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4.3383962481488458E-2</v>
      </c>
      <c r="M372" s="845"/>
      <c r="N372" s="845"/>
      <c r="O372" s="48">
        <f>IF(t&lt;Tnet,'2022'!Resal+('2022'!Salim-'2022'!Resal)*(1-EXP(('2022'!Tnet-t)/('2022'!Tau_j))),Resal+(Salim-Resal)*(1-EXP((Tnet-t)/(Tau_j))))*Salcycl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6.3678450782386265E-4</v>
      </c>
      <c r="Q372" s="305">
        <f t="shared" si="130"/>
        <v>0.5</v>
      </c>
      <c r="R372" s="177">
        <f t="shared" si="131"/>
        <v>0.99738884556007412</v>
      </c>
      <c r="S372" s="811">
        <f t="shared" si="132"/>
        <v>0</v>
      </c>
      <c r="T372" s="176">
        <f t="shared" si="133"/>
        <v>6</v>
      </c>
      <c r="U372" s="251">
        <f t="shared" si="134"/>
        <v>0.99738884556007412</v>
      </c>
      <c r="V372" s="383">
        <f t="shared" si="135"/>
        <v>23.025617389857093</v>
      </c>
      <c r="W372" s="402">
        <f t="shared" si="136"/>
        <v>21.130957987354723</v>
      </c>
      <c r="X372" s="157">
        <f t="shared" si="137"/>
        <v>45284</v>
      </c>
      <c r="Y372" s="385">
        <f t="shared" si="138"/>
        <v>20.183630515853764</v>
      </c>
      <c r="Z372" s="385">
        <f t="shared" si="139"/>
        <v>21.098988229604284</v>
      </c>
      <c r="AA372" s="386">
        <f t="shared" si="140"/>
        <v>22.695684793278343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7.0352429469188821E-2</v>
      </c>
      <c r="AD372" s="231">
        <f>(INDEX(Models!$BJ372:$BT372,,AH372)*(1-AF372)+INDEX(Models!$BJ372:$BT372,,AH372+1)*AF372-ERP_i)*AE372*Ramure*Pc/MaxiM</f>
        <v>6.3678450782386265E-4</v>
      </c>
      <c r="AE372" s="305">
        <f t="shared" si="142"/>
        <v>0.5</v>
      </c>
      <c r="AF372" s="177">
        <f t="shared" si="143"/>
        <v>0.99738884556007412</v>
      </c>
      <c r="AG372" s="811">
        <f t="shared" si="149"/>
        <v>0</v>
      </c>
      <c r="AH372" s="176">
        <f t="shared" si="144"/>
        <v>6</v>
      </c>
      <c r="AI372" s="225">
        <f t="shared" si="145"/>
        <v>0.99738884556007412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12.572525692646098</v>
      </c>
      <c r="C373" s="841"/>
      <c r="D373" s="393">
        <f t="shared" si="127"/>
        <v>13.142996328883376</v>
      </c>
      <c r="E373" s="385">
        <f t="shared" si="150"/>
        <v>13.504895535787004</v>
      </c>
      <c r="F373" s="385">
        <f t="shared" si="128"/>
        <v>13.507885894065758</v>
      </c>
      <c r="G373" s="110">
        <f t="shared" si="151"/>
        <v>0.54415157344002252</v>
      </c>
      <c r="H373" s="414" t="b">
        <f>Wh_hp&gt;='2022'!Maxi_hp</f>
        <v>0</v>
      </c>
      <c r="I373" s="390">
        <f>IF(H373,Wh_hp,'2022'!Maxi_hp)</f>
        <v>16.332134440633631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4.3404914827800511E-2</v>
      </c>
      <c r="M373" s="845"/>
      <c r="N373" s="845"/>
      <c r="O373" s="48">
        <f>IF(t&lt;Tnet,'2022'!Resal+('2022'!Salim-'2022'!Resal)*(1-EXP(('2022'!Tnet-t)/('2022'!Tau_j))),Resal+(Salim-Resal)*(1-EXP((Tnet-t)/(Tau_j))))*Salcycl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6.3412485262617801E-4</v>
      </c>
      <c r="Q373" s="305">
        <f t="shared" si="130"/>
        <v>0.5</v>
      </c>
      <c r="R373" s="177">
        <f t="shared" si="131"/>
        <v>0.99738884556007412</v>
      </c>
      <c r="S373" s="811">
        <f t="shared" si="132"/>
        <v>0</v>
      </c>
      <c r="T373" s="176">
        <f t="shared" si="133"/>
        <v>6</v>
      </c>
      <c r="U373" s="251">
        <f t="shared" si="134"/>
        <v>0.99738884556007412</v>
      </c>
      <c r="V373" s="383">
        <f t="shared" si="135"/>
        <v>23.095284283749528</v>
      </c>
      <c r="W373" s="402">
        <f t="shared" si="136"/>
        <v>12.572525692646098</v>
      </c>
      <c r="X373" s="157">
        <f t="shared" si="137"/>
        <v>45285</v>
      </c>
      <c r="Y373" s="385">
        <f t="shared" si="138"/>
        <v>12.00945631218962</v>
      </c>
      <c r="Z373" s="385">
        <f t="shared" si="139"/>
        <v>12.554378020902922</v>
      </c>
      <c r="AA373" s="386">
        <f t="shared" si="140"/>
        <v>13.504895535787004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7.0383181592577129E-2</v>
      </c>
      <c r="AD373" s="231">
        <f>(INDEX(Models!$BJ373:$BT373,,AH373)*(1-AF373)+INDEX(Models!$BJ373:$BT373,,AH373+1)*AF373-ERP_i)*AE373*Ramure*Pc/MaxiM</f>
        <v>6.3412485262617801E-4</v>
      </c>
      <c r="AE373" s="305">
        <f t="shared" si="142"/>
        <v>0.5</v>
      </c>
      <c r="AF373" s="177">
        <f t="shared" si="143"/>
        <v>0.99738884556007412</v>
      </c>
      <c r="AG373" s="811">
        <f t="shared" si="149"/>
        <v>0</v>
      </c>
      <c r="AH373" s="176">
        <f t="shared" si="144"/>
        <v>6</v>
      </c>
      <c r="AI373" s="225">
        <f t="shared" si="145"/>
        <v>0.99738884556007412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21.423932124643738</v>
      </c>
      <c r="C374" s="841"/>
      <c r="D374" s="393">
        <f t="shared" si="127"/>
        <v>22.39652043598095</v>
      </c>
      <c r="E374" s="385">
        <f t="shared" si="150"/>
        <v>23.015080463033602</v>
      </c>
      <c r="F374" s="385">
        <f t="shared" si="128"/>
        <v>23.028037342914033</v>
      </c>
      <c r="G374" s="110">
        <f t="shared" si="151"/>
        <v>0.92412480487757565</v>
      </c>
      <c r="H374" s="414" t="b">
        <f>Wh_hp&gt;='2022'!Maxi_hp</f>
        <v>0</v>
      </c>
      <c r="I374" s="390">
        <f>IF(H374,Wh_hp,'2022'!Maxi_hp)</f>
        <v>24.2954595694269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4.3425866715202321E-2</v>
      </c>
      <c r="M374" s="845"/>
      <c r="N374" s="845"/>
      <c r="O374" s="48">
        <f>IF(t&lt;Tnet,'2022'!Resal+('2022'!Salim-'2022'!Resal)*(1-EXP(('2022'!Tnet-t)/('2022'!Tau_j))),Resal+(Salim-Resal)*(1-EXP((Tnet-t)/(Tau_j))))*Salcycl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6.3099531354344639E-4</v>
      </c>
      <c r="Q374" s="305">
        <f t="shared" si="130"/>
        <v>0.5</v>
      </c>
      <c r="R374" s="177">
        <f t="shared" si="131"/>
        <v>0.99738884556007412</v>
      </c>
      <c r="S374" s="811">
        <f t="shared" si="132"/>
        <v>0</v>
      </c>
      <c r="T374" s="176">
        <f t="shared" si="133"/>
        <v>6</v>
      </c>
      <c r="U374" s="251">
        <f t="shared" si="134"/>
        <v>0.99738884556007412</v>
      </c>
      <c r="V374" s="383">
        <f t="shared" si="135"/>
        <v>23.181357221311281</v>
      </c>
      <c r="W374" s="402">
        <f t="shared" si="136"/>
        <v>21.423932124643738</v>
      </c>
      <c r="X374" s="157">
        <f t="shared" si="137"/>
        <v>45286</v>
      </c>
      <c r="Y374" s="385">
        <f t="shared" si="138"/>
        <v>20.465416283745149</v>
      </c>
      <c r="Z374" s="385">
        <f t="shared" si="139"/>
        <v>21.394490580116962</v>
      </c>
      <c r="AA374" s="386">
        <f t="shared" si="140"/>
        <v>23.015080463033602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7.0414261011148824E-2</v>
      </c>
      <c r="AD374" s="231">
        <f>(INDEX(Models!$BJ374:$BT374,,AH374)*(1-AF374)+INDEX(Models!$BJ374:$BT374,,AH374+1)*AF374-ERP_i)*AE374*Ramure*Pc/MaxiM</f>
        <v>6.3099531354344639E-4</v>
      </c>
      <c r="AE374" s="305">
        <f t="shared" si="142"/>
        <v>0.5</v>
      </c>
      <c r="AF374" s="177">
        <f t="shared" si="143"/>
        <v>0.99738884556007412</v>
      </c>
      <c r="AG374" s="811">
        <f t="shared" si="149"/>
        <v>0</v>
      </c>
      <c r="AH374" s="176">
        <f t="shared" si="144"/>
        <v>6</v>
      </c>
      <c r="AI374" s="225">
        <f t="shared" si="145"/>
        <v>0.99738884556007412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7.7206908426366816</v>
      </c>
      <c r="C375" s="841"/>
      <c r="D375" s="393">
        <f t="shared" si="127"/>
        <v>8.0713660140190413</v>
      </c>
      <c r="E375" s="385">
        <f t="shared" si="150"/>
        <v>8.2949564721340074</v>
      </c>
      <c r="F375" s="385">
        <f t="shared" si="128"/>
        <v>8.2951915495022366</v>
      </c>
      <c r="G375" s="110">
        <f t="shared" si="151"/>
        <v>0.3314077967840669</v>
      </c>
      <c r="H375" s="414" t="b">
        <f>Wh_hp&gt;='2022'!Maxi_hp</f>
        <v>0</v>
      </c>
      <c r="I375" s="390">
        <f>IF(H375,Wh_hp,'2022'!Maxi_hp)</f>
        <v>24.678488393426758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4.3446818143704102E-2</v>
      </c>
      <c r="M375" s="845"/>
      <c r="N375" s="845"/>
      <c r="O375" s="48">
        <f>IF(t&lt;Tnet,'2022'!Resal+('2022'!Salim-'2022'!Resal)*(1-EXP(('2022'!Tnet-t)/('2022'!Tau_j))),Resal+(Salim-Resal)*(1-EXP((Tnet-t)/(Tau_j))))*Salcycl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6.2763274439106499E-4</v>
      </c>
      <c r="Q375" s="305">
        <f t="shared" si="130"/>
        <v>0.5</v>
      </c>
      <c r="R375" s="177">
        <f t="shared" si="131"/>
        <v>0.99738884556007412</v>
      </c>
      <c r="S375" s="811">
        <f t="shared" si="132"/>
        <v>0</v>
      </c>
      <c r="T375" s="176">
        <f t="shared" si="133"/>
        <v>6</v>
      </c>
      <c r="U375" s="251">
        <f t="shared" si="134"/>
        <v>0.99738884556007412</v>
      </c>
      <c r="V375" s="383">
        <f t="shared" si="135"/>
        <v>23.282686239129376</v>
      </c>
      <c r="W375" s="402">
        <f t="shared" si="136"/>
        <v>7.7206908426366816</v>
      </c>
      <c r="X375" s="157">
        <f t="shared" si="137"/>
        <v>45287</v>
      </c>
      <c r="Y375" s="385">
        <f t="shared" si="138"/>
        <v>7.3756113990009577</v>
      </c>
      <c r="Z375" s="385">
        <f t="shared" si="139"/>
        <v>7.7106129997788289</v>
      </c>
      <c r="AA375" s="386">
        <f t="shared" si="140"/>
        <v>8.2949564721340074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7.0445634563389981E-2</v>
      </c>
      <c r="AD375" s="231">
        <f>(INDEX(Models!$BJ375:$BT375,,AH375)*(1-AF375)+INDEX(Models!$BJ375:$BT375,,AH375+1)*AF375-ERP_i)*AE375*Ramure*Pc/MaxiM</f>
        <v>6.2763274439106499E-4</v>
      </c>
      <c r="AE375" s="305">
        <f t="shared" si="142"/>
        <v>0.5</v>
      </c>
      <c r="AF375" s="177">
        <f t="shared" si="143"/>
        <v>0.99738884556007412</v>
      </c>
      <c r="AG375" s="811">
        <f t="shared" si="149"/>
        <v>0</v>
      </c>
      <c r="AH375" s="176">
        <f t="shared" si="144"/>
        <v>6</v>
      </c>
      <c r="AI375" s="225">
        <f t="shared" si="145"/>
        <v>0.99738884556007412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20.57798897101728</v>
      </c>
      <c r="C376" s="841"/>
      <c r="D376" s="393">
        <f t="shared" si="127"/>
        <v>21.513116136130549</v>
      </c>
      <c r="E376" s="385">
        <f t="shared" si="150"/>
        <v>22.110854558218978</v>
      </c>
      <c r="F376" s="385">
        <f t="shared" si="128"/>
        <v>22.122284209650601</v>
      </c>
      <c r="G376" s="110">
        <f t="shared" si="151"/>
        <v>0.87937713638202109</v>
      </c>
      <c r="H376" s="414" t="b">
        <f>Wh_hp&gt;='2022'!Maxi_hp</f>
        <v>0</v>
      </c>
      <c r="I376" s="390">
        <f>IF(H376,Wh_hp,'2022'!Maxi_hp)</f>
        <v>22.122809606273847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4.3467769113315735E-2</v>
      </c>
      <c r="M376" s="845"/>
      <c r="N376" s="845"/>
      <c r="O376" s="48">
        <f>IF(t&lt;Tnet,'2022'!Resal+('2022'!Salim-'2022'!Resal)*(1-EXP(('2022'!Tnet-t)/('2022'!Tau_j))),Resal+(Salim-Resal)*(1-EXP((Tnet-t)/(Tau_j))))*Salcycl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6.2412105005479673E-4</v>
      </c>
      <c r="Q376" s="305">
        <f t="shared" si="130"/>
        <v>0.5</v>
      </c>
      <c r="R376" s="177">
        <f t="shared" si="131"/>
        <v>0.99738884556007412</v>
      </c>
      <c r="S376" s="811">
        <f t="shared" si="132"/>
        <v>0</v>
      </c>
      <c r="T376" s="176">
        <f t="shared" si="133"/>
        <v>6</v>
      </c>
      <c r="U376" s="251">
        <f t="shared" si="134"/>
        <v>0.99738884556007412</v>
      </c>
      <c r="V376" s="383">
        <f t="shared" si="135"/>
        <v>23.398125331834493</v>
      </c>
      <c r="W376" s="402">
        <f t="shared" si="136"/>
        <v>20.57798897101728</v>
      </c>
      <c r="X376" s="157">
        <f t="shared" si="137"/>
        <v>45288</v>
      </c>
      <c r="Y376" s="385">
        <f t="shared" si="138"/>
        <v>19.659168724359915</v>
      </c>
      <c r="Z376" s="385">
        <f t="shared" si="139"/>
        <v>20.552541869013968</v>
      </c>
      <c r="AA376" s="386">
        <f t="shared" si="140"/>
        <v>22.110854558218978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7.0477271020977339E-2</v>
      </c>
      <c r="AD376" s="231">
        <f>(INDEX(Models!$BJ376:$BT376,,AH376)*(1-AF376)+INDEX(Models!$BJ376:$BT376,,AH376+1)*AF376-ERP_i)*AE376*Ramure*Pc/MaxiM</f>
        <v>6.2412105005479673E-4</v>
      </c>
      <c r="AE376" s="305">
        <f t="shared" si="142"/>
        <v>0.5</v>
      </c>
      <c r="AF376" s="177">
        <f t="shared" si="143"/>
        <v>0.99738884556007412</v>
      </c>
      <c r="AG376" s="811">
        <f t="shared" si="149"/>
        <v>0</v>
      </c>
      <c r="AH376" s="176">
        <f t="shared" si="144"/>
        <v>6</v>
      </c>
      <c r="AI376" s="225">
        <f t="shared" si="145"/>
        <v>0.99738884556007412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10.115501415012606</v>
      </c>
      <c r="C377" s="841"/>
      <c r="D377" s="393">
        <f t="shared" si="127"/>
        <v>10.575412567049655</v>
      </c>
      <c r="E377" s="385">
        <f t="shared" si="150"/>
        <v>10.870128319677127</v>
      </c>
      <c r="F377" s="385">
        <f t="shared" si="128"/>
        <v>10.871380706844024</v>
      </c>
      <c r="G377" s="110">
        <f t="shared" si="151"/>
        <v>0.42974418636179074</v>
      </c>
      <c r="H377" s="414" t="b">
        <f>Wh_hp&gt;='2022'!Maxi_hp</f>
        <v>0</v>
      </c>
      <c r="I377" s="390">
        <f>IF(H377,Wh_hp,'2022'!Maxi_hp)</f>
        <v>24.70046719987749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4.3488719624047434E-2</v>
      </c>
      <c r="M377" s="845"/>
      <c r="N377" s="845"/>
      <c r="O377" s="48">
        <f>IF(t&lt;Tnet,'2022'!Resal+('2022'!Salim-'2022'!Resal)*(1-EXP(('2022'!Tnet-t)/('2022'!Tau_j))),Resal+(Salim-Resal)*(1-EXP((Tnet-t)/(Tau_j))))*Salcycl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6.2049364192545502E-4</v>
      </c>
      <c r="Q377" s="305">
        <f t="shared" si="130"/>
        <v>0.5</v>
      </c>
      <c r="R377" s="177">
        <f t="shared" si="131"/>
        <v>0.99738884556007412</v>
      </c>
      <c r="S377" s="811">
        <f t="shared" si="132"/>
        <v>0</v>
      </c>
      <c r="T377" s="176">
        <f t="shared" si="133"/>
        <v>6</v>
      </c>
      <c r="U377" s="251">
        <f t="shared" si="134"/>
        <v>0.99738884556007412</v>
      </c>
      <c r="V377" s="383">
        <f t="shared" si="135"/>
        <v>23.526530089888979</v>
      </c>
      <c r="W377" s="402">
        <f t="shared" si="136"/>
        <v>10.115501415012606</v>
      </c>
      <c r="X377" s="157">
        <f t="shared" si="137"/>
        <v>45289</v>
      </c>
      <c r="Y377" s="385">
        <f t="shared" si="138"/>
        <v>9.6642885872229254</v>
      </c>
      <c r="Z377" s="385">
        <f t="shared" si="139"/>
        <v>10.103684907327407</v>
      </c>
      <c r="AA377" s="386">
        <f t="shared" si="140"/>
        <v>10.870128319677127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7.050914118118573E-2</v>
      </c>
      <c r="AD377" s="231">
        <f>(INDEX(Models!$BJ377:$BT377,,AH377)*(1-AF377)+INDEX(Models!$BJ377:$BT377,,AH377+1)*AF377-ERP_i)*AE377*Ramure*Pc/MaxiM</f>
        <v>6.2049364192545502E-4</v>
      </c>
      <c r="AE377" s="305">
        <f t="shared" si="142"/>
        <v>0.5</v>
      </c>
      <c r="AF377" s="177">
        <f t="shared" si="143"/>
        <v>0.99738884556007412</v>
      </c>
      <c r="AG377" s="811">
        <f t="shared" si="149"/>
        <v>0</v>
      </c>
      <c r="AH377" s="176">
        <f t="shared" si="144"/>
        <v>6</v>
      </c>
      <c r="AI377" s="225">
        <f t="shared" si="145"/>
        <v>0.99738884556007412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13.318894765048057</v>
      </c>
      <c r="C378" s="841"/>
      <c r="D378" s="393">
        <f t="shared" si="127"/>
        <v>13.924756312523485</v>
      </c>
      <c r="E378" s="385">
        <f t="shared" si="150"/>
        <v>14.313970110525849</v>
      </c>
      <c r="F378" s="385">
        <f t="shared" si="128"/>
        <v>14.31728499025623</v>
      </c>
      <c r="G378" s="110">
        <f t="shared" si="151"/>
        <v>0.56255120519364932</v>
      </c>
      <c r="H378" s="414" t="b">
        <f>Wh_hp&gt;='2022'!Maxi_hp</f>
        <v>0</v>
      </c>
      <c r="I378" s="390">
        <f>IF(H378,Wh_hp,'2022'!Maxi_hp)</f>
        <v>26.021620495154139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4.3509669675909191E-2</v>
      </c>
      <c r="M378" s="845"/>
      <c r="N378" s="845"/>
      <c r="O378" s="48">
        <f>IF(t&lt;Tnet,'2022'!Resal+('2022'!Salim-'2022'!Resal)*(1-EXP(('2022'!Tnet-t)/('2022'!Tau_j))),Resal+(Salim-Resal)*(1-EXP((Tnet-t)/(Tau_j))))*Salcycl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6.1678324208609562E-4</v>
      </c>
      <c r="Q378" s="305">
        <f t="shared" si="130"/>
        <v>0.5</v>
      </c>
      <c r="R378" s="177">
        <f t="shared" si="131"/>
        <v>0.99738884556007412</v>
      </c>
      <c r="S378" s="811">
        <f t="shared" si="132"/>
        <v>0</v>
      </c>
      <c r="T378" s="176">
        <f t="shared" si="133"/>
        <v>6</v>
      </c>
      <c r="U378" s="251">
        <f t="shared" si="134"/>
        <v>0.99738884556007412</v>
      </c>
      <c r="V378" s="383">
        <f t="shared" si="135"/>
        <v>23.666756564161936</v>
      </c>
      <c r="W378" s="402">
        <f t="shared" si="136"/>
        <v>13.318894765048057</v>
      </c>
      <c r="X378" s="157">
        <f t="shared" si="137"/>
        <v>45290</v>
      </c>
      <c r="Y378" s="385">
        <f t="shared" si="138"/>
        <v>12.725381910351272</v>
      </c>
      <c r="Z378" s="385">
        <f t="shared" si="139"/>
        <v>13.304245225395523</v>
      </c>
      <c r="AA378" s="386">
        <f t="shared" si="140"/>
        <v>14.313970110525849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7.0541217938398557E-2</v>
      </c>
      <c r="AD378" s="231">
        <f>(INDEX(Models!$BJ378:$BT378,,AH378)*(1-AF378)+INDEX(Models!$BJ378:$BT378,,AH378+1)*AF378-ERP_i)*AE378*Ramure*Pc/MaxiM</f>
        <v>6.1678324208609562E-4</v>
      </c>
      <c r="AE378" s="305">
        <f t="shared" si="142"/>
        <v>0.5</v>
      </c>
      <c r="AF378" s="177">
        <f t="shared" si="143"/>
        <v>0.99738884556007412</v>
      </c>
      <c r="AG378" s="811">
        <f t="shared" si="149"/>
        <v>0</v>
      </c>
      <c r="AH378" s="176">
        <f t="shared" si="144"/>
        <v>6</v>
      </c>
      <c r="AI378" s="225">
        <f t="shared" si="145"/>
        <v>0.99738884556007412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12.359271865060428</v>
      </c>
      <c r="C379" s="841"/>
      <c r="D379" s="393">
        <f t="shared" si="127"/>
        <v>12.921764265588376</v>
      </c>
      <c r="E379" s="385">
        <f t="shared" si="150"/>
        <v>13.284018375789957</v>
      </c>
      <c r="F379" s="385">
        <f t="shared" si="128"/>
        <v>13.286565559284059</v>
      </c>
      <c r="G379" s="110">
        <f t="shared" si="151"/>
        <v>0.51869340354874349</v>
      </c>
      <c r="H379" s="414" t="b">
        <f>Wh_hp&gt;='2022'!Maxi_hp</f>
        <v>0</v>
      </c>
      <c r="I379" s="390">
        <f>IF(H379,Wh_hp,'2022'!Maxi_hp)</f>
        <v>25.489311551615195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4.3530619268910997E-2</v>
      </c>
      <c r="M379" s="845"/>
      <c r="N379" s="845"/>
      <c r="O379" s="48">
        <f>IF(t&lt;Tnet,'2022'!Resal+('2022'!Salim-'2022'!Resal)*(1-EXP(('2022'!Tnet-t)/('2022'!Tau_j))),Resal+(Salim-Resal)*(1-EXP((Tnet-t)/(Tau_j))))*Salcycl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6.130216776351374E-4</v>
      </c>
      <c r="Q379" s="306">
        <f t="shared" si="130"/>
        <v>0.5</v>
      </c>
      <c r="R379" s="177">
        <f t="shared" si="131"/>
        <v>0.99738884556007412</v>
      </c>
      <c r="S379" s="811">
        <f t="shared" si="132"/>
        <v>0</v>
      </c>
      <c r="T379" s="176">
        <f t="shared" si="133"/>
        <v>6</v>
      </c>
      <c r="U379" s="307">
        <f t="shared" si="134"/>
        <v>0.99738884556007412</v>
      </c>
      <c r="V379" s="383">
        <f t="shared" si="135"/>
        <v>23.817661245387185</v>
      </c>
      <c r="W379" s="402">
        <f t="shared" si="136"/>
        <v>12.359271865060428</v>
      </c>
      <c r="X379" s="157">
        <f t="shared" si="137"/>
        <v>45291</v>
      </c>
      <c r="Y379" s="385">
        <f t="shared" si="138"/>
        <v>11.809067400589516</v>
      </c>
      <c r="Z379" s="385">
        <f t="shared" si="139"/>
        <v>12.346519019315716</v>
      </c>
      <c r="AA379" s="386">
        <f t="shared" si="140"/>
        <v>13.284018375789957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7.0573476334753332E-2</v>
      </c>
      <c r="AD379" s="231">
        <f>(INDEX(Models!$BJ379:$BT379,,AH379)*(1-AF379)+INDEX(Models!$BJ379:$BT379,,AH379+1)*AF379-ERP_i)*AE379*Ramure*Pc/MaxiM</f>
        <v>6.130216776351374E-4</v>
      </c>
      <c r="AE379" s="306">
        <f t="shared" si="142"/>
        <v>0.5</v>
      </c>
      <c r="AF379" s="177">
        <f t="shared" si="143"/>
        <v>0.99738884556007412</v>
      </c>
      <c r="AG379" s="811">
        <f t="shared" si="149"/>
        <v>0</v>
      </c>
      <c r="AH379" s="176">
        <f t="shared" si="144"/>
        <v>6</v>
      </c>
      <c r="AI379" s="222">
        <f t="shared" si="145"/>
        <v>0.99738884556007412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15.05843026866239</v>
      </c>
      <c r="J380" s="85">
        <f>IF(H380,An,'2022'!An_max)</f>
        <v>2020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83">
        <f>(V379+V15)/2</f>
        <v>23.667895792569823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1.7257268387092859</v>
      </c>
      <c r="C381" s="375"/>
      <c r="D381" s="373">
        <f>MIN(D15:D380)</f>
        <v>1.7902930538222037</v>
      </c>
      <c r="E381" s="373">
        <f>MIN(E15:E380)</f>
        <v>1.89305118135134</v>
      </c>
      <c r="F381" s="374">
        <f>MIN(F15:F380)</f>
        <v>1.89305118135134</v>
      </c>
      <c r="G381" s="125">
        <f>+MIN(G15:G380)</f>
        <v>6.8482096046299415E-2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3.5874572097625346E-2</v>
      </c>
      <c r="M381" s="847"/>
      <c r="N381" s="847"/>
      <c r="O381" s="47">
        <f t="shared" si="152"/>
        <v>5.0553188945380769E-3</v>
      </c>
      <c r="P381" s="168">
        <f t="shared" si="152"/>
        <v>2.6600226449658712E-6</v>
      </c>
      <c r="Q381" s="310">
        <f t="shared" si="152"/>
        <v>0.5</v>
      </c>
      <c r="R381" s="311">
        <f t="shared" si="152"/>
        <v>0.49739011859624521</v>
      </c>
      <c r="S381" s="811">
        <f t="shared" si="152"/>
        <v>0</v>
      </c>
      <c r="T381" s="176">
        <f t="shared" si="152"/>
        <v>6</v>
      </c>
      <c r="U381" s="252">
        <f>+MIN(U15:U380)</f>
        <v>0.49739011859624521</v>
      </c>
      <c r="V381" s="57">
        <f>MIN(V15:V380)</f>
        <v>22.877455832000209</v>
      </c>
      <c r="W381" s="58"/>
      <c r="X381" s="112" t="s">
        <v>7</v>
      </c>
      <c r="Y381" s="373">
        <f>MIN(Y15:Y380)</f>
        <v>1.6805101577935289</v>
      </c>
      <c r="Z381" s="373">
        <f>MIN(Z15:Z380)</f>
        <v>1.7433846393822219</v>
      </c>
      <c r="AA381" s="373">
        <f>MIN(AA15:AA380)</f>
        <v>1.89305118135134</v>
      </c>
      <c r="AB381" s="200" t="s">
        <v>7</v>
      </c>
      <c r="AC381" s="47">
        <f t="shared" ref="AC381:AH381" si="153">MIN(AC15:AC380)</f>
        <v>6.1335109383113734E-2</v>
      </c>
      <c r="AD381" s="168">
        <f t="shared" si="153"/>
        <v>2.6600226449658712E-6</v>
      </c>
      <c r="AE381" s="310">
        <f t="shared" si="153"/>
        <v>0.5</v>
      </c>
      <c r="AF381" s="311">
        <f t="shared" si="153"/>
        <v>0.49739011859624521</v>
      </c>
      <c r="AG381" s="811">
        <f t="shared" si="153"/>
        <v>0</v>
      </c>
      <c r="AH381" s="176">
        <f t="shared" si="153"/>
        <v>6</v>
      </c>
      <c r="AI381" s="226">
        <f>MIN(AI15:AI380)</f>
        <v>0.49739011859624521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30.536928503955416</v>
      </c>
      <c r="C382" s="375"/>
      <c r="D382" s="375">
        <f>AVERAGE(D15:D380)</f>
        <v>31.796901722734482</v>
      </c>
      <c r="E382" s="375">
        <f>AVERAGE(E15:E380)</f>
        <v>32.654437146788077</v>
      </c>
      <c r="F382" s="376">
        <f>AVERAGE(F15:F380)</f>
        <v>32.658378558342228</v>
      </c>
      <c r="G382" s="126">
        <f>AVERAGE(G15:G380)</f>
        <v>0.67333657312915574</v>
      </c>
      <c r="H382" s="94"/>
      <c r="I382" s="376">
        <f>AVERAGE(I15:I380)</f>
        <v>43.930379259180235</v>
      </c>
      <c r="J382" s="59">
        <f>AVERAGE(J15:J380)</f>
        <v>2020.1284153005465</v>
      </c>
      <c r="K382" s="200" t="s">
        <v>8</v>
      </c>
      <c r="L382" s="147">
        <f t="shared" ref="L382:V382" si="154">AVERAGE(L15:L380)</f>
        <v>3.9707668267669666E-2</v>
      </c>
      <c r="M382" s="845"/>
      <c r="N382" s="845"/>
      <c r="O382" s="48">
        <f t="shared" si="154"/>
        <v>3.0198399771781979E-2</v>
      </c>
      <c r="P382" s="169">
        <f t="shared" si="154"/>
        <v>2.2696525238073126E-4</v>
      </c>
      <c r="Q382" s="312">
        <f t="shared" si="154"/>
        <v>0.5</v>
      </c>
      <c r="R382" s="177">
        <f t="shared" si="154"/>
        <v>0.77727371559538849</v>
      </c>
      <c r="S382" s="811">
        <f t="shared" si="154"/>
        <v>0</v>
      </c>
      <c r="T382" s="176">
        <f t="shared" si="154"/>
        <v>6</v>
      </c>
      <c r="U382" s="251">
        <f t="shared" si="154"/>
        <v>0.77727371559538849</v>
      </c>
      <c r="V382" s="59">
        <f t="shared" si="154"/>
        <v>43.829772096129027</v>
      </c>
      <c r="X382" s="112" t="s">
        <v>8</v>
      </c>
      <c r="Y382" s="375">
        <f>AVERAGE(Y15:Y380)</f>
        <v>29.140652314548579</v>
      </c>
      <c r="Z382" s="375">
        <f>AVERAGE(Z15:Z380)</f>
        <v>30.34255279815849</v>
      </c>
      <c r="AA382" s="375">
        <f>AVERAGE(AA15:AA380)</f>
        <v>32.654437146788077</v>
      </c>
      <c r="AB382" s="200" t="s">
        <v>8</v>
      </c>
      <c r="AC382" s="48">
        <f t="shared" ref="AC382:AH382" si="155">AVERAGE(AC15:AC380)</f>
        <v>7.200142372047344E-2</v>
      </c>
      <c r="AD382" s="169">
        <f t="shared" si="155"/>
        <v>2.2696525238073126E-4</v>
      </c>
      <c r="AE382" s="312">
        <f t="shared" si="155"/>
        <v>0.5</v>
      </c>
      <c r="AF382" s="177">
        <f t="shared" si="155"/>
        <v>0.77727371559538849</v>
      </c>
      <c r="AG382" s="811">
        <f t="shared" si="155"/>
        <v>0</v>
      </c>
      <c r="AH382" s="176">
        <f t="shared" si="155"/>
        <v>6</v>
      </c>
      <c r="AI382" s="225">
        <f>AVERAGE(AI15:AI380)</f>
        <v>0.77727371559538849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59.551179626505892</v>
      </c>
      <c r="C383" s="377"/>
      <c r="D383" s="377">
        <f>MAX(D15:D380)</f>
        <v>61.967595850824864</v>
      </c>
      <c r="E383" s="377">
        <f>MAX(E15:E380)</f>
        <v>62.478292729567386</v>
      </c>
      <c r="F383" s="378">
        <f>MAX(F15:F380)</f>
        <v>62.488994471785169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2023</v>
      </c>
      <c r="K383" s="200" t="s">
        <v>9</v>
      </c>
      <c r="L383" s="148">
        <f t="shared" ref="L383:T383" si="156">MAX(L15:L380)</f>
        <v>4.3530619268910997E-2</v>
      </c>
      <c r="M383" s="848"/>
      <c r="N383" s="848"/>
      <c r="O383" s="49">
        <f t="shared" si="156"/>
        <v>6.1249941231105838E-2</v>
      </c>
      <c r="P383" s="170">
        <f t="shared" si="156"/>
        <v>6.4472801803552057E-4</v>
      </c>
      <c r="Q383" s="313">
        <f t="shared" si="156"/>
        <v>0.5</v>
      </c>
      <c r="R383" s="314">
        <f t="shared" si="156"/>
        <v>0.99738884556007412</v>
      </c>
      <c r="S383" s="812">
        <f t="shared" si="156"/>
        <v>0</v>
      </c>
      <c r="T383" s="233">
        <f t="shared" si="156"/>
        <v>6</v>
      </c>
      <c r="U383" s="253">
        <f>+MAX(U15:U380)</f>
        <v>0.99738884556007412</v>
      </c>
      <c r="V383" s="60">
        <f>MAX(V15:V380)</f>
        <v>60.757472314221928</v>
      </c>
      <c r="X383" s="112" t="s">
        <v>9</v>
      </c>
      <c r="Y383" s="377">
        <f>MAX(Y15:Y380)</f>
        <v>56.209623672833118</v>
      </c>
      <c r="Z383" s="377">
        <f>MAX(Z15:Z380)</f>
        <v>58.490449131837835</v>
      </c>
      <c r="AA383" s="377">
        <f>MAX(AA15:AA380)</f>
        <v>62.478292729567386</v>
      </c>
      <c r="AB383" s="200" t="s">
        <v>9</v>
      </c>
      <c r="AC383" s="49">
        <f t="shared" ref="AC383:AH383" si="157">MAX(AC15:AC380)</f>
        <v>8.2811619973016393E-2</v>
      </c>
      <c r="AD383" s="170">
        <f t="shared" si="157"/>
        <v>6.4472801803552057E-4</v>
      </c>
      <c r="AE383" s="313">
        <f t="shared" si="157"/>
        <v>0.5</v>
      </c>
      <c r="AF383" s="314">
        <f t="shared" si="157"/>
        <v>0.99738884556007412</v>
      </c>
      <c r="AG383" s="812">
        <f t="shared" si="157"/>
        <v>0</v>
      </c>
      <c r="AH383" s="233">
        <f t="shared" si="157"/>
        <v>6</v>
      </c>
      <c r="AI383" s="227">
        <f>MAX(AI15:AI380)</f>
        <v>0.99738884556007412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3" stopIfTrue="1" operator="lessThan">
      <formula>0.01</formula>
    </cfRule>
    <cfRule type="cellIs" dxfId="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'2023'!An+1</f>
        <v>2024</v>
      </c>
      <c r="K1" s="1271"/>
      <c r="L1" s="113" t="str">
        <f>"Calcul pertes et enveloppes en "&amp;TEXT(An,0)</f>
        <v>Calcul pertes et enveloppes en 2024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2024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422.26942384406073</v>
      </c>
      <c r="AK4" s="834">
        <f>AM12-AK12</f>
        <v>-6.9462079684137201E-2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422.26942384406073</v>
      </c>
      <c r="AA5" s="237">
        <f>Wh_Pvg_s-Wh_Pvg</f>
        <v>-6.9462079684137201E-2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10902.683460804214</v>
      </c>
      <c r="AK6" s="516">
        <f>SUMIF(AK15:AK380,"FAUX",Wh)</f>
        <v>10902.683460804214</v>
      </c>
      <c r="AL6" s="516">
        <f>SUMIF(AJ15:AJ380,"FAUX",Wh_s)</f>
        <v>10480.352843234796</v>
      </c>
      <c r="AM6" s="516">
        <f>SUMIF(AK15:AK380,"FAUX",Wh_s)</f>
        <v>10480.352843234796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11443.333187733215</v>
      </c>
      <c r="AK8" s="516">
        <f>SUMIF(AK15:AK380,"FAUX",Wh_sa)</f>
        <v>11934.838923614223</v>
      </c>
      <c r="AL8" s="516">
        <f>SUMIF(AJ15:AJ380,"FAUX",Wh_pvt_s)</f>
        <v>11000.118948521807</v>
      </c>
      <c r="AM8" s="516">
        <f>SUMIF(AK15:AK380,"FAUX",Wh_sa_s)</f>
        <v>11934.838923614223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11443.333187733215</v>
      </c>
      <c r="E9" s="184">
        <f>SUM(E$15:E$380)</f>
        <v>11934.838923614223</v>
      </c>
      <c r="F9" s="184">
        <f>SUM(F$15:F$380)</f>
        <v>11936.801885089999</v>
      </c>
      <c r="H9" s="1272">
        <f>+SUM(Wh)</f>
        <v>10902.683460804214</v>
      </c>
      <c r="I9" s="1273"/>
      <c r="J9" s="1274"/>
      <c r="K9" s="191"/>
      <c r="L9" s="232"/>
      <c r="M9" s="232"/>
      <c r="N9" s="232"/>
      <c r="O9" s="223">
        <f>Tnet_2024</f>
        <v>45046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10480.352843234796</v>
      </c>
      <c r="Y9" s="1267"/>
      <c r="Z9" s="516">
        <f>SUM(Z$15:Z$380)</f>
        <v>11000.118948521807</v>
      </c>
      <c r="AA9" s="516">
        <f>SUM(AA$15:AA$380)</f>
        <v>11934.838923614223</v>
      </c>
      <c r="AB9" s="516">
        <f>F9</f>
        <v>11936.801885089999</v>
      </c>
      <c r="AC9" s="325">
        <f>IF(An_Tnet,Tnet,'2023'!Tnet_s)</f>
        <v>45046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5.0000000000000001E-3</v>
      </c>
      <c r="P10" s="421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IF(OR(Inflex,GainD),'2023'!Resal_s+('2023'!Salim-'2023'!Resal_s)*(1-EXP(('2023'!Tnet_s-Tnet)/('2023'!Tau_j))),IF(Acti_net,'2023'!Resal+('2023'!Salim-'2023'!Resal)*(1-EXP(('2023'!Tnet-Tnet)/'2023'!Tau_j)),'2023'!Resal_s))</f>
        <v>6.0663936996518744E-2</v>
      </c>
      <c r="AD10" s="428"/>
      <c r="AE10" s="428"/>
      <c r="AF10" s="260"/>
      <c r="AG10" s="261"/>
      <c r="AH10" s="262"/>
      <c r="AI10" s="473"/>
      <c r="AJ10" s="516">
        <f>SUMIF(AJ15:AJ380,"FAUX",Wh_sa)</f>
        <v>11934.838923614223</v>
      </c>
      <c r="AK10" s="516">
        <f>SUMIF(AK15:AK380,"FAUX",Wh_hp)</f>
        <v>11936.801885089999</v>
      </c>
      <c r="AL10" s="516">
        <f>SUMIF(AJ15:AJ380,"FAUX",Wh_sa_s)</f>
        <v>11934.838923614223</v>
      </c>
      <c r="AM10" s="516">
        <f>SUMIF(AK15:AK380,"FAUX",Wh_hp)</f>
        <v>11936.801885089999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540.64972692900119</v>
      </c>
      <c r="E11" s="51">
        <f>(E$9-D$9)*Prod_an/D$9</f>
        <v>468.284141479391</v>
      </c>
      <c r="F11" s="186">
        <f>(F$9-E$9)*Prod_an/E$9</f>
        <v>1.7931995356714305</v>
      </c>
      <c r="G11" s="185" t="s">
        <v>6</v>
      </c>
      <c r="K11" s="194"/>
      <c r="L11" s="211">
        <f>Tvie_2024</f>
        <v>43259</v>
      </c>
      <c r="M11" s="844"/>
      <c r="N11" s="844"/>
      <c r="O11" s="202">
        <f>IF(An_Tnet,Salim_2024,'2023'!Salim)</f>
        <v>0.105</v>
      </c>
      <c r="P11" s="256">
        <f>Ttai_2024</f>
        <v>43101</v>
      </c>
      <c r="Q11" s="272">
        <f>Dens_2024</f>
        <v>0.5</v>
      </c>
      <c r="R11" s="277"/>
      <c r="S11" s="230"/>
      <c r="T11" s="230"/>
      <c r="U11" s="266">
        <f>Htf_2024</f>
        <v>1.4973888455600741</v>
      </c>
      <c r="V11" s="428"/>
      <c r="W11" s="519"/>
      <c r="X11" s="526" t="s">
        <v>43</v>
      </c>
      <c r="Y11" s="50">
        <f>Z$9-Prod_an_s</f>
        <v>519.76610528701167</v>
      </c>
      <c r="Z11" s="51">
        <f>(AA$9-Z$9)*Prod_an_s/Z$9</f>
        <v>890.55356532345172</v>
      </c>
      <c r="AA11" s="186">
        <f>(AB$9-AA$9)*Prod_an_s/AA$9</f>
        <v>1.7237374559872933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Pspv_2024</f>
        <v>0</v>
      </c>
      <c r="M12" s="212"/>
      <c r="N12" s="212"/>
      <c r="O12" s="205">
        <f>IF(An_Tnet,Tau_2024*365,'2023'!Tau_j)</f>
        <v>973.33333333333326</v>
      </c>
      <c r="P12" s="281">
        <f>INDEX(Croivg,MIN(MAX(Ttai-$A$15,0)+1,366))</f>
        <v>2.3909964587625958E-6</v>
      </c>
      <c r="Q12" s="280">
        <f>'2023'!Df</f>
        <v>0.5</v>
      </c>
      <c r="R12" s="278"/>
      <c r="S12" s="279"/>
      <c r="T12" s="279"/>
      <c r="U12" s="267">
        <f>'2023'!Hdf</f>
        <v>0.99738884556007412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'2023'!Df_s</f>
        <v>0.5</v>
      </c>
      <c r="AF12" s="203"/>
      <c r="AG12" s="203"/>
      <c r="AH12" s="203"/>
      <c r="AI12" s="297">
        <f>'2023'!Hdf_s</f>
        <v>0.99738884556007412</v>
      </c>
      <c r="AJ12" s="833">
        <f>IF($AJ8=0,0,($AJ10-$AJ8)*$AJ6/$AJ8)</f>
        <v>468.284141479391</v>
      </c>
      <c r="AK12" s="834">
        <f>IF($AK8=0,0,($AK10-$AK8)*$AK6/$AK8)</f>
        <v>1.7931995356714305</v>
      </c>
      <c r="AL12" s="833">
        <f>IF($AL8=0,0,($AL10-$AL8)*$AL6/$AL8)</f>
        <v>890.55356532345172</v>
      </c>
      <c r="AM12" s="834">
        <f>IF($AM8=0,0,($AM10-$AM8)*$AM6/$AM8)</f>
        <v>1.7237374559872933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468.284141479391</v>
      </c>
      <c r="AK13" s="73">
        <f>+AK11+AK12</f>
        <v>1.7931995356714305</v>
      </c>
      <c r="AL13" s="73">
        <f>+AL11+AL12</f>
        <v>890.55356532345172</v>
      </c>
      <c r="AM13" s="73">
        <f>+AM11+AM12</f>
        <v>1.7237374559872933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2024</v>
      </c>
      <c r="W14" s="838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22.805305070294189</v>
      </c>
      <c r="C15" s="841"/>
      <c r="D15" s="393">
        <f t="shared" ref="D15:D78" si="0">Wh/(1-Ppv)</f>
        <v>23.843737222943886</v>
      </c>
      <c r="E15" s="400">
        <f t="shared" ref="E15:E79" si="1">Wh_pvt/(1-Psa)</f>
        <v>24.514166385343586</v>
      </c>
      <c r="F15" s="400">
        <f t="shared" ref="F15:F78" si="2">Wh_sa/(1-Pvg*MEDIAN((-Sdif+Wh/Env_an)/Csdif,0,1))</f>
        <v>24.528065718633442</v>
      </c>
      <c r="G15" s="123">
        <f>+Wh_hp/MaxiM</f>
        <v>0.95104836030293005</v>
      </c>
      <c r="H15" s="414" t="b">
        <f>Wh_hp&gt;='2023'!Maxi_hp</f>
        <v>0</v>
      </c>
      <c r="I15" s="396">
        <f>IF(H15,Wh_hp,'2023'!Maxi_hp)</f>
        <v>24.528525019852513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4.3551568403062957E-2</v>
      </c>
      <c r="M15" s="845"/>
      <c r="N15" s="845"/>
      <c r="O15" s="48">
        <f>IF(t&lt;Tnet,'2023'!Resal+('2023'!Salim-'2023'!Resal)*(1-EXP(('2023'!Tnet-t)/('2023'!Tau_j))),Resal+(Salim-Resal)*(1-EXP((Tnet-t)/(Tau_j))))*Salcycl</f>
        <v>2.7348642081524471E-2</v>
      </c>
      <c r="P15" s="302">
        <f>(INDEX(Models!$BJ15:$BT15,,T15)*(1-R15)+INDEX(Models!$BJ15:$BT15,,T15+1)*R15-ERP_i)*Q15*Ramure*Pc/MaxiM</f>
        <v>6.0924003727881896E-4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0.99739004105830353</v>
      </c>
      <c r="S15" s="81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0.99739004105830353</v>
      </c>
      <c r="V15" s="382">
        <f t="shared" ref="V15:V78" si="9">MaxiM*(1-Ppv)*(1-Pvg)*(1-Psa)</f>
        <v>23.978101074889526</v>
      </c>
      <c r="W15" s="402">
        <f t="shared" ref="W15:W78" si="10">Wh*(A15&gt;Tmaj)</f>
        <v>22.805305070294189</v>
      </c>
      <c r="X15" s="156">
        <f t="shared" ref="X15:X78" si="11">t</f>
        <v>45292</v>
      </c>
      <c r="Y15" s="385">
        <f t="shared" ref="Y15:Y78" si="12">Wh_pvt_s*(1-Ppv)</f>
        <v>21.791072365918357</v>
      </c>
      <c r="Z15" s="385">
        <f>Wh_sa_s*(1-Psa_s)</f>
        <v>22.783321762088967</v>
      </c>
      <c r="AA15" s="386">
        <f t="shared" ref="AA15:AA78" si="13">Wh_hp*(1-Pvg_s*MEDIAN((-Sdif+Wh/Env_an)/Csdif,0,1))</f>
        <v>24.514166385343586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7.0605893590142563E-2</v>
      </c>
      <c r="AD15" s="231">
        <f>(INDEX(Models!$BJ15:$BT15,,AH15)*(1-AF15)+INDEX(Models!$BJ15:$BT15,,AH15+1)*AF15-ERP_i)*AE15*Ramure*Pc/MaxiM</f>
        <v>6.0924003727881896E-4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0.99739004105830353</v>
      </c>
      <c r="AG15" s="81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0.99739004105830353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16.397568872802356</v>
      </c>
      <c r="C16" s="841"/>
      <c r="D16" s="393">
        <f t="shared" si="0"/>
        <v>17.144602351568004</v>
      </c>
      <c r="E16" s="385">
        <f t="shared" si="1"/>
        <v>17.628094171032267</v>
      </c>
      <c r="F16" s="385">
        <f t="shared" si="2"/>
        <v>17.633872138122641</v>
      </c>
      <c r="G16" s="110">
        <f t="shared" ref="G16:G79" si="21">+Wh_hp/MaxiM</f>
        <v>0.67888587563802749</v>
      </c>
      <c r="H16" s="414" t="b">
        <f>Wh_hp&gt;='2023'!Maxi_hp</f>
        <v>0</v>
      </c>
      <c r="I16" s="390">
        <f>IF(H16,Wh_hp,'2023'!Maxi_hp)</f>
        <v>24.297474136240545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4.3572517078375061E-2</v>
      </c>
      <c r="M16" s="845"/>
      <c r="N16" s="845"/>
      <c r="O16" s="48">
        <f>IF(t&lt;Tnet,'2023'!Resal+('2023'!Salim-'2023'!Resal)*(1-EXP(('2023'!Tnet-t)/('2023'!Tau_j))),Resal+(Salim-Resal)*(1-EXP((Tnet-t)/(Tau_j))))*Salcycl</f>
        <v>2.7427344940031517E-2</v>
      </c>
      <c r="P16" s="169">
        <f>(INDEX(Models!$BJ16:$BT16,,T16)*(1-R16)+INDEX(Models!$BJ16:$BT16,,T16+1)*R16-ERP_i)*Q16*Ramure*Pc/MaxiM</f>
        <v>6.0506364576036725E-4</v>
      </c>
      <c r="Q16" s="305">
        <f t="shared" si="4"/>
        <v>0.5</v>
      </c>
      <c r="R16" s="177">
        <f t="shared" si="5"/>
        <v>0.99741925567229772</v>
      </c>
      <c r="S16" s="811">
        <f t="shared" si="6"/>
        <v>0</v>
      </c>
      <c r="T16" s="176">
        <f t="shared" si="7"/>
        <v>6</v>
      </c>
      <c r="U16" s="251">
        <f t="shared" si="8"/>
        <v>0.99741925567229772</v>
      </c>
      <c r="V16" s="383">
        <f t="shared" si="9"/>
        <v>24.146943210363144</v>
      </c>
      <c r="W16" s="402">
        <f t="shared" si="10"/>
        <v>16.397568872802356</v>
      </c>
      <c r="X16" s="157">
        <f t="shared" si="11"/>
        <v>45293</v>
      </c>
      <c r="Y16" s="385">
        <f t="shared" si="12"/>
        <v>15.669029927107337</v>
      </c>
      <c r="Z16" s="385">
        <f t="shared" ref="Z16:Z78" si="22">Wh_sa_s*(1-Psa_s)</f>
        <v>16.38287293799079</v>
      </c>
      <c r="AA16" s="386">
        <f t="shared" si="13"/>
        <v>17.628094171032267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7.0638449111970036E-2</v>
      </c>
      <c r="AD16" s="231">
        <f>(INDEX(Models!$BJ16:$BT16,,AH16)*(1-AF16)+INDEX(Models!$BJ16:$BT16,,AH16+1)*AF16-ERP_i)*AE16*Ramure*Pc/MaxiM</f>
        <v>6.0506364576036725E-4</v>
      </c>
      <c r="AE16" s="305">
        <f t="shared" si="15"/>
        <v>0.5</v>
      </c>
      <c r="AF16" s="177">
        <f t="shared" ref="AF16:AF78" si="23">(Hp_vg_s-AG16)/(INDEX(Echel_vg,AH16+1)-AG16)</f>
        <v>0.99741925567229772</v>
      </c>
      <c r="AG16" s="811">
        <f t="shared" ref="AG16:AG79" si="24">INDEX(Echel_vg,AH16)</f>
        <v>0</v>
      </c>
      <c r="AH16" s="176">
        <f t="shared" si="16"/>
        <v>6</v>
      </c>
      <c r="AI16" s="225">
        <f t="shared" si="17"/>
        <v>0.99741925567229772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17.645548491725396</v>
      </c>
      <c r="C17" s="841"/>
      <c r="D17" s="393">
        <f t="shared" si="0"/>
        <v>18.44984099482912</v>
      </c>
      <c r="E17" s="385">
        <f t="shared" si="1"/>
        <v>18.971676329330947</v>
      </c>
      <c r="F17" s="385">
        <f t="shared" si="2"/>
        <v>18.978603577099573</v>
      </c>
      <c r="G17" s="110">
        <f t="shared" si="21"/>
        <v>0.7252953164973972</v>
      </c>
      <c r="H17" s="414" t="b">
        <f>Wh_hp&gt;='2023'!Maxi_hp</f>
        <v>0</v>
      </c>
      <c r="I17" s="390">
        <f>IF(H17,Wh_hp,'2023'!Maxi_hp)</f>
        <v>27.383515682442006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4.3593465294857525E-2</v>
      </c>
      <c r="M17" s="845"/>
      <c r="N17" s="845"/>
      <c r="O17" s="48">
        <f>IF(t&lt;Tnet,'2023'!Resal+('2023'!Salim-'2023'!Resal)*(1-EXP(('2023'!Tnet-t)/('2023'!Tau_j))),Resal+(Salim-Resal)*(1-EXP((Tnet-t)/(Tau_j))))*Salcycl</f>
        <v>2.7506021368024696E-2</v>
      </c>
      <c r="P17" s="169">
        <f>(INDEX(Models!$BJ17:$BT17,,T17)*(1-R17)+INDEX(Models!$BJ17:$BT17,,T17+1)*R17-ERP_i)*Q17*Ramure*Pc/MaxiM</f>
        <v>6.0052266235375825E-4</v>
      </c>
      <c r="Q17" s="305">
        <f t="shared" si="4"/>
        <v>0.5</v>
      </c>
      <c r="R17" s="177">
        <f t="shared" si="5"/>
        <v>0.99744969226778735</v>
      </c>
      <c r="S17" s="811">
        <f t="shared" si="6"/>
        <v>0</v>
      </c>
      <c r="T17" s="176">
        <f t="shared" si="7"/>
        <v>6</v>
      </c>
      <c r="U17" s="251">
        <f t="shared" si="8"/>
        <v>0.99744969226778735</v>
      </c>
      <c r="V17" s="383">
        <f t="shared" si="9"/>
        <v>24.323045661354243</v>
      </c>
      <c r="W17" s="402">
        <f t="shared" si="10"/>
        <v>17.645548491725396</v>
      </c>
      <c r="X17" s="157">
        <f t="shared" si="11"/>
        <v>45294</v>
      </c>
      <c r="Y17" s="385">
        <f t="shared" si="12"/>
        <v>16.86233344161619</v>
      </c>
      <c r="Z17" s="385">
        <f t="shared" si="22"/>
        <v>17.630926629767124</v>
      </c>
      <c r="AA17" s="386">
        <f t="shared" si="13"/>
        <v>18.971676329330947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7.0671124485239711E-2</v>
      </c>
      <c r="AD17" s="231">
        <f>(INDEX(Models!$BJ17:$BT17,,AH17)*(1-AF17)+INDEX(Models!$BJ17:$BT17,,AH17+1)*AF17-ERP_i)*AE17*Ramure*Pc/MaxiM</f>
        <v>6.0052266235375825E-4</v>
      </c>
      <c r="AE17" s="305">
        <f t="shared" si="15"/>
        <v>0.5</v>
      </c>
      <c r="AF17" s="177">
        <f>(Hp_vg_s-AG17)/(INDEX(Echel_vg,AH17+1)-AG17)</f>
        <v>0.99744969226778735</v>
      </c>
      <c r="AG17" s="811">
        <f>INDEX(Echel_vg,AH17)</f>
        <v>0</v>
      </c>
      <c r="AH17" s="176">
        <f t="shared" si="16"/>
        <v>6</v>
      </c>
      <c r="AI17" s="225">
        <f t="shared" si="17"/>
        <v>0.99744969226778735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18.644275360315842</v>
      </c>
      <c r="C18" s="841"/>
      <c r="D18" s="393">
        <f t="shared" si="0"/>
        <v>19.494517289645959</v>
      </c>
      <c r="E18" s="385">
        <f t="shared" si="1"/>
        <v>20.047521464172647</v>
      </c>
      <c r="F18" s="385">
        <f t="shared" si="2"/>
        <v>20.055385850246182</v>
      </c>
      <c r="G18" s="110">
        <f t="shared" si="21"/>
        <v>0.76067237295582368</v>
      </c>
      <c r="H18" s="414" t="b">
        <f>Wh_hp&gt;='2023'!Maxi_hp</f>
        <v>0</v>
      </c>
      <c r="I18" s="390">
        <f>IF(H18,Wh_hp,'2023'!Maxi_hp)</f>
        <v>24.454097030053351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4.3614413052520229E-2</v>
      </c>
      <c r="M18" s="845"/>
      <c r="N18" s="845"/>
      <c r="O18" s="48">
        <f>IF(t&lt;Tnet,'2023'!Resal+('2023'!Salim-'2023'!Resal)*(1-EXP(('2023'!Tnet-t)/('2023'!Tau_j))),Resal+(Salim-Resal)*(1-EXP((Tnet-t)/(Tau_j))))*Salcycl</f>
        <v>2.7584665541571973E-2</v>
      </c>
      <c r="P18" s="169">
        <f>(INDEX(Models!$BJ18:$BT18,,T18)*(1-R18)+INDEX(Models!$BJ18:$BT18,,T18+1)*R18-ERP_i)*Q18*Ramure*Pc/MaxiM</f>
        <v>5.956534555787772E-4</v>
      </c>
      <c r="Q18" s="305">
        <f t="shared" si="4"/>
        <v>0.5</v>
      </c>
      <c r="R18" s="177">
        <f t="shared" si="5"/>
        <v>0.9974814017990824</v>
      </c>
      <c r="S18" s="811">
        <f t="shared" si="6"/>
        <v>0</v>
      </c>
      <c r="T18" s="176">
        <f t="shared" si="7"/>
        <v>6</v>
      </c>
      <c r="U18" s="251">
        <f t="shared" si="8"/>
        <v>0.9974814017990824</v>
      </c>
      <c r="V18" s="383">
        <f t="shared" si="9"/>
        <v>24.505266721951642</v>
      </c>
      <c r="W18" s="402">
        <f t="shared" si="10"/>
        <v>18.644275360315842</v>
      </c>
      <c r="X18" s="157">
        <f t="shared" si="11"/>
        <v>45295</v>
      </c>
      <c r="Y18" s="385">
        <f t="shared" si="12"/>
        <v>17.81754328782921</v>
      </c>
      <c r="Z18" s="385">
        <f>Wh_sa_s*(1-Psa_s)</f>
        <v>18.630083442283897</v>
      </c>
      <c r="AA18" s="386">
        <f t="shared" si="13"/>
        <v>20.047521464172647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7.0703903443719185E-2</v>
      </c>
      <c r="AD18" s="231">
        <f>(INDEX(Models!$BJ18:$BT18,,AH18)*(1-AF18)+INDEX(Models!$BJ18:$BT18,,AH18+1)*AF18-ERP_i)*AE18*Ramure*Pc/MaxiM</f>
        <v>5.956534555787772E-4</v>
      </c>
      <c r="AE18" s="305">
        <f t="shared" si="15"/>
        <v>0.5</v>
      </c>
      <c r="AF18" s="177">
        <f t="shared" si="23"/>
        <v>0.9974814017990824</v>
      </c>
      <c r="AG18" s="811">
        <f t="shared" si="24"/>
        <v>0</v>
      </c>
      <c r="AH18" s="176">
        <f t="shared" si="16"/>
        <v>6</v>
      </c>
      <c r="AI18" s="225">
        <f t="shared" si="17"/>
        <v>0.9974814017990824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14.843852543616416</v>
      </c>
      <c r="C19" s="841"/>
      <c r="D19" s="393">
        <f t="shared" si="0"/>
        <v>15.521122308610368</v>
      </c>
      <c r="E19" s="385">
        <f t="shared" si="1"/>
        <v>15.962702907314943</v>
      </c>
      <c r="F19" s="385">
        <f t="shared" si="2"/>
        <v>15.966759054003418</v>
      </c>
      <c r="G19" s="110">
        <f t="shared" si="21"/>
        <v>0.60094676330870089</v>
      </c>
      <c r="H19" s="414" t="b">
        <f>Wh_hp&gt;='2023'!Maxi_hp</f>
        <v>0</v>
      </c>
      <c r="I19" s="390">
        <f>IF(H19,Wh_hp,'2023'!Maxi_hp)</f>
        <v>27.046839831733369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4.3635360351373276E-2</v>
      </c>
      <c r="M19" s="845"/>
      <c r="N19" s="845"/>
      <c r="O19" s="48">
        <f>IF(t&lt;Tnet,'2023'!Resal+('2023'!Salim-'2023'!Resal)*(1-EXP(('2023'!Tnet-t)/('2023'!Tau_j))),Resal+(Salim-Resal)*(1-EXP((Tnet-t)/(Tau_j))))*Salcycl</f>
        <v>2.7663272396194233E-2</v>
      </c>
      <c r="P19" s="169">
        <f>(INDEX(Models!$BJ19:$BT19,,T19)*(1-R19)+INDEX(Models!$BJ19:$BT19,,T19+1)*R19-ERP_i)*Q19*Ramure*Pc/MaxiM</f>
        <v>5.9049114479384072E-4</v>
      </c>
      <c r="Q19" s="305">
        <f t="shared" si="4"/>
        <v>0.5</v>
      </c>
      <c r="R19" s="177">
        <f t="shared" si="5"/>
        <v>0.99751443733164413</v>
      </c>
      <c r="S19" s="811">
        <f t="shared" si="6"/>
        <v>0</v>
      </c>
      <c r="T19" s="176">
        <f t="shared" si="7"/>
        <v>6</v>
      </c>
      <c r="U19" s="251">
        <f t="shared" si="8"/>
        <v>0.99751443733164413</v>
      </c>
      <c r="V19" s="383">
        <f t="shared" si="9"/>
        <v>24.692465130073991</v>
      </c>
      <c r="W19" s="402">
        <f t="shared" si="10"/>
        <v>14.843852543616416</v>
      </c>
      <c r="X19" s="157">
        <f t="shared" si="11"/>
        <v>45296</v>
      </c>
      <c r="Y19" s="385">
        <f t="shared" si="12"/>
        <v>14.186285410874374</v>
      </c>
      <c r="Z19" s="385">
        <f t="shared" si="22"/>
        <v>14.833552834080617</v>
      </c>
      <c r="AA19" s="386">
        <f t="shared" si="13"/>
        <v>15.962702907314943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7.0736771823078387E-2</v>
      </c>
      <c r="AD19" s="231">
        <f>(INDEX(Models!$BJ19:$BT19,,AH19)*(1-AF19)+INDEX(Models!$BJ19:$BT19,,AH19+1)*AF19-ERP_i)*AE19*Ramure*Pc/MaxiM</f>
        <v>5.9049114479384072E-4</v>
      </c>
      <c r="AE19" s="305">
        <f t="shared" si="15"/>
        <v>0.5</v>
      </c>
      <c r="AF19" s="177">
        <f t="shared" si="23"/>
        <v>0.99751443733164413</v>
      </c>
      <c r="AG19" s="811">
        <f t="shared" si="24"/>
        <v>0</v>
      </c>
      <c r="AH19" s="176">
        <f t="shared" si="16"/>
        <v>6</v>
      </c>
      <c r="AI19" s="225">
        <f t="shared" si="17"/>
        <v>0.99751443733164413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21.405058805225689</v>
      </c>
      <c r="C20" s="841"/>
      <c r="D20" s="393">
        <f t="shared" si="0"/>
        <v>22.382182228194228</v>
      </c>
      <c r="E20" s="385">
        <f t="shared" si="1"/>
        <v>23.020822137628969</v>
      </c>
      <c r="F20" s="385">
        <f t="shared" si="2"/>
        <v>23.031606269117439</v>
      </c>
      <c r="G20" s="110">
        <f t="shared" si="21"/>
        <v>0.86011038046720423</v>
      </c>
      <c r="H20" s="414" t="b">
        <f>Wh_hp&gt;='2023'!Maxi_hp</f>
        <v>0</v>
      </c>
      <c r="I20" s="390">
        <f>IF(H20,Wh_hp,'2023'!Maxi_hp)</f>
        <v>26.739364860323523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4.3656307191426769E-2</v>
      </c>
      <c r="M20" s="845"/>
      <c r="N20" s="845"/>
      <c r="O20" s="48">
        <f>IF(t&lt;Tnet,'2023'!Resal+('2023'!Salim-'2023'!Resal)*(1-EXP(('2023'!Tnet-t)/('2023'!Tau_j))),Resal+(Salim-Resal)*(1-EXP((Tnet-t)/(Tau_j))))*Salcycl</f>
        <v>2.7741837611908897E-2</v>
      </c>
      <c r="P20" s="169">
        <f>(INDEX(Models!$BJ20:$BT20,,T20)*(1-R20)+INDEX(Models!$BJ20:$BT20,,T20+1)*R20-ERP_i)*Q20*Ramure*Pc/MaxiM</f>
        <v>5.850694305034272E-4</v>
      </c>
      <c r="Q20" s="305">
        <f t="shared" si="4"/>
        <v>0.5</v>
      </c>
      <c r="R20" s="177">
        <f t="shared" si="5"/>
        <v>0.99754885412839478</v>
      </c>
      <c r="S20" s="811">
        <f t="shared" si="6"/>
        <v>0</v>
      </c>
      <c r="T20" s="176">
        <f t="shared" si="7"/>
        <v>6</v>
      </c>
      <c r="U20" s="251">
        <f t="shared" si="8"/>
        <v>0.99754885412839478</v>
      </c>
      <c r="V20" s="383">
        <f t="shared" si="9"/>
        <v>24.883500076638082</v>
      </c>
      <c r="W20" s="402">
        <f t="shared" si="10"/>
        <v>21.405058805225689</v>
      </c>
      <c r="X20" s="157">
        <f t="shared" si="11"/>
        <v>45297</v>
      </c>
      <c r="Y20" s="385">
        <f t="shared" si="12"/>
        <v>20.457764830399707</v>
      </c>
      <c r="Z20" s="385">
        <f t="shared" si="22"/>
        <v>21.391645058399146</v>
      </c>
      <c r="AA20" s="386">
        <f t="shared" si="13"/>
        <v>23.020822137628969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7.076971749704937E-2</v>
      </c>
      <c r="AD20" s="231">
        <f>(INDEX(Models!$BJ20:$BT20,,AH20)*(1-AF20)+INDEX(Models!$BJ20:$BT20,,AH20+1)*AF20-ERP_i)*AE20*Ramure*Pc/MaxiM</f>
        <v>5.850694305034272E-4</v>
      </c>
      <c r="AE20" s="305">
        <f t="shared" si="15"/>
        <v>0.5</v>
      </c>
      <c r="AF20" s="177">
        <f t="shared" si="23"/>
        <v>0.99754885412839478</v>
      </c>
      <c r="AG20" s="811">
        <f t="shared" si="24"/>
        <v>0</v>
      </c>
      <c r="AH20" s="176">
        <f t="shared" si="16"/>
        <v>6</v>
      </c>
      <c r="AI20" s="225">
        <f t="shared" si="17"/>
        <v>0.99754885412839478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10.946261720471192</v>
      </c>
      <c r="C21" s="841"/>
      <c r="D21" s="393">
        <f t="shared" si="0"/>
        <v>11.446200314030932</v>
      </c>
      <c r="E21" s="385">
        <f t="shared" si="1"/>
        <v>11.773750256357582</v>
      </c>
      <c r="F21" s="385">
        <f t="shared" si="2"/>
        <v>11.775080706842633</v>
      </c>
      <c r="G21" s="110">
        <f t="shared" si="21"/>
        <v>0.43629838447232377</v>
      </c>
      <c r="H21" s="414" t="b">
        <f>Wh_hp&gt;='2023'!Maxi_hp</f>
        <v>0</v>
      </c>
      <c r="I21" s="390">
        <f>IF(H21,Wh_hp,'2023'!Maxi_hp)</f>
        <v>14.932480243717823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4.3677253572690589E-2</v>
      </c>
      <c r="M21" s="845"/>
      <c r="N21" s="845"/>
      <c r="O21" s="48">
        <f>IF(t&lt;Tnet,'2023'!Resal+('2023'!Salim-'2023'!Resal)*(1-EXP(('2023'!Tnet-t)/('2023'!Tau_j))),Resal+(Salim-Resal)*(1-EXP((Tnet-t)/(Tau_j))))*Salcycl</f>
        <v>2.7820357591650136E-2</v>
      </c>
      <c r="P21" s="169">
        <f>(INDEX(Models!$BJ21:$BT21,,T21)*(1-R21)+INDEX(Models!$BJ21:$BT21,,T21+1)*R21-ERP_i)*Q21*Ramure*Pc/MaxiM</f>
        <v>5.7942046500576976E-4</v>
      </c>
      <c r="Q21" s="305">
        <f t="shared" si="4"/>
        <v>0.5</v>
      </c>
      <c r="R21" s="177">
        <f t="shared" si="5"/>
        <v>0.99758470973945801</v>
      </c>
      <c r="S21" s="811">
        <f t="shared" si="6"/>
        <v>0</v>
      </c>
      <c r="T21" s="176">
        <f t="shared" si="7"/>
        <v>6</v>
      </c>
      <c r="U21" s="251">
        <f t="shared" si="8"/>
        <v>0.99758470973945801</v>
      </c>
      <c r="V21" s="383">
        <f t="shared" si="9"/>
        <v>25.077231198194561</v>
      </c>
      <c r="W21" s="402">
        <f t="shared" si="10"/>
        <v>10.946261720471192</v>
      </c>
      <c r="X21" s="157">
        <f t="shared" si="11"/>
        <v>45298</v>
      </c>
      <c r="Y21" s="385">
        <f t="shared" si="12"/>
        <v>10.462301472298673</v>
      </c>
      <c r="Z21" s="385">
        <f t="shared" si="22"/>
        <v>10.940136592363192</v>
      </c>
      <c r="AA21" s="386">
        <f t="shared" si="13"/>
        <v>11.773750256357582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7.0802730297787275E-2</v>
      </c>
      <c r="AD21" s="231">
        <f>(INDEX(Models!$BJ21:$BT21,,AH21)*(1-AF21)+INDEX(Models!$BJ21:$BT21,,AH21+1)*AF21-ERP_i)*AE21*Ramure*Pc/MaxiM</f>
        <v>5.7942046500576976E-4</v>
      </c>
      <c r="AE21" s="305">
        <f t="shared" si="15"/>
        <v>0.5</v>
      </c>
      <c r="AF21" s="177">
        <f t="shared" si="23"/>
        <v>0.99758470973945801</v>
      </c>
      <c r="AG21" s="811">
        <f t="shared" si="24"/>
        <v>0</v>
      </c>
      <c r="AH21" s="176">
        <f t="shared" si="16"/>
        <v>6</v>
      </c>
      <c r="AI21" s="225">
        <f t="shared" si="17"/>
        <v>0.99758470973945801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7.6787989468683708</v>
      </c>
      <c r="C22" s="841"/>
      <c r="D22" s="393">
        <f t="shared" si="0"/>
        <v>8.0296815741796017</v>
      </c>
      <c r="E22" s="385">
        <f t="shared" si="1"/>
        <v>8.2601295187208343</v>
      </c>
      <c r="F22" s="385">
        <f t="shared" si="2"/>
        <v>8.2601555081994409</v>
      </c>
      <c r="G22" s="110">
        <f t="shared" si="21"/>
        <v>0.30366655790668423</v>
      </c>
      <c r="H22" s="414" t="b">
        <f>Wh_hp&gt;='2023'!Maxi_hp</f>
        <v>0</v>
      </c>
      <c r="I22" s="390">
        <f>IF(H22,Wh_hp,'2023'!Maxi_hp)</f>
        <v>20.323342747491672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4.3698199495175061E-2</v>
      </c>
      <c r="M22" s="845"/>
      <c r="N22" s="845"/>
      <c r="O22" s="48">
        <f>IF(t&lt;Tnet,'2023'!Resal+('2023'!Salim-'2023'!Resal)*(1-EXP(('2023'!Tnet-t)/('2023'!Tau_j))),Resal+(Salim-Resal)*(1-EXP((Tnet-t)/(Tau_j))))*Salcycl</f>
        <v>2.7898829433478396E-2</v>
      </c>
      <c r="P22" s="169">
        <f>(INDEX(Models!$BJ22:$BT22,,T22)*(1-R22)+INDEX(Models!$BJ22:$BT22,,T22+1)*R22-ERP_i)*Q22*Ramure*Pc/MaxiM</f>
        <v>5.735747588859392E-4</v>
      </c>
      <c r="Q22" s="305">
        <f t="shared" si="4"/>
        <v>0.5</v>
      </c>
      <c r="R22" s="177">
        <f t="shared" si="5"/>
        <v>0.99762206409545517</v>
      </c>
      <c r="S22" s="811">
        <f t="shared" si="6"/>
        <v>0</v>
      </c>
      <c r="T22" s="176">
        <f t="shared" si="7"/>
        <v>6</v>
      </c>
      <c r="U22" s="251">
        <f t="shared" si="8"/>
        <v>0.99762206409545517</v>
      </c>
      <c r="V22" s="383">
        <f t="shared" si="9"/>
        <v>25.272518584374676</v>
      </c>
      <c r="W22" s="402">
        <f t="shared" si="10"/>
        <v>7.6787989468683708</v>
      </c>
      <c r="X22" s="157">
        <f t="shared" si="11"/>
        <v>45299</v>
      </c>
      <c r="Y22" s="385">
        <f t="shared" si="12"/>
        <v>7.339632212882873</v>
      </c>
      <c r="Z22" s="385">
        <f t="shared" si="22"/>
        <v>7.6750166202848655</v>
      </c>
      <c r="AA22" s="386">
        <f t="shared" si="13"/>
        <v>8.2601295187208343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7.0835801921733027E-2</v>
      </c>
      <c r="AD22" s="231">
        <f>(INDEX(Models!$BJ22:$BT22,,AH22)*(1-AF22)+INDEX(Models!$BJ22:$BT22,,AH22+1)*AF22-ERP_i)*AE22*Ramure*Pc/MaxiM</f>
        <v>5.735747588859392E-4</v>
      </c>
      <c r="AE22" s="305">
        <f t="shared" si="15"/>
        <v>0.5</v>
      </c>
      <c r="AF22" s="177">
        <f t="shared" si="23"/>
        <v>0.99762206409545517</v>
      </c>
      <c r="AG22" s="811">
        <f t="shared" si="24"/>
        <v>0</v>
      </c>
      <c r="AH22" s="176">
        <f t="shared" si="16"/>
        <v>6</v>
      </c>
      <c r="AI22" s="225">
        <f t="shared" si="17"/>
        <v>0.99762206409545517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2.2665306214407455</v>
      </c>
      <c r="C23" s="841"/>
      <c r="D23" s="393">
        <f t="shared" si="0"/>
        <v>2.3701516238587756</v>
      </c>
      <c r="E23" s="385">
        <f t="shared" si="1"/>
        <v>2.4383705278977295</v>
      </c>
      <c r="F23" s="385">
        <f t="shared" si="2"/>
        <v>2.4383705278977295</v>
      </c>
      <c r="G23" s="110">
        <f t="shared" si="21"/>
        <v>8.8931688131161632E-2</v>
      </c>
      <c r="H23" s="414" t="b">
        <f>Wh_hp&gt;='2023'!Maxi_hp</f>
        <v>0</v>
      </c>
      <c r="I23" s="390">
        <f>IF(H23,Wh_hp,'2023'!Maxi_hp)</f>
        <v>26.033603222307448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4.3719144958889955E-2</v>
      </c>
      <c r="M23" s="845"/>
      <c r="N23" s="845"/>
      <c r="O23" s="48">
        <f>IF(t&lt;Tnet,'2023'!Resal+('2023'!Salim-'2023'!Resal)*(1-EXP(('2023'!Tnet-t)/('2023'!Tau_j))),Resal+(Salim-Resal)*(1-EXP((Tnet-t)/(Tau_j))))*Salcycl</f>
        <v>2.7977250897044604E-2</v>
      </c>
      <c r="P23" s="169">
        <f>(INDEX(Models!$BJ23:$BT23,,T23)*(1-R23)+INDEX(Models!$BJ23:$BT23,,T23+1)*R23-ERP_i)*Q23*Ramure*Pc/MaxiM</f>
        <v>5.6748290237726656E-4</v>
      </c>
      <c r="Q23" s="305">
        <f t="shared" si="4"/>
        <v>0.5</v>
      </c>
      <c r="R23" s="177">
        <f t="shared" si="5"/>
        <v>0.99766097960449029</v>
      </c>
      <c r="S23" s="811">
        <f t="shared" si="6"/>
        <v>0</v>
      </c>
      <c r="T23" s="176">
        <f t="shared" si="7"/>
        <v>6</v>
      </c>
      <c r="U23" s="251">
        <f t="shared" si="8"/>
        <v>0.99766097960449029</v>
      </c>
      <c r="V23" s="383">
        <f t="shared" si="9"/>
        <v>25.47173512240596</v>
      </c>
      <c r="W23" s="402">
        <f t="shared" si="10"/>
        <v>2.2665306214407455</v>
      </c>
      <c r="X23" s="157">
        <f t="shared" si="11"/>
        <v>45300</v>
      </c>
      <c r="Y23" s="385">
        <f t="shared" si="12"/>
        <v>2.16651722698791</v>
      </c>
      <c r="Z23" s="385">
        <f t="shared" si="22"/>
        <v>2.2655658278286586</v>
      </c>
      <c r="AA23" s="386">
        <f t="shared" si="13"/>
        <v>2.4383705278977295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7.0868925822383855E-2</v>
      </c>
      <c r="AD23" s="231">
        <f>(INDEX(Models!$BJ23:$BT23,,AH23)*(1-AF23)+INDEX(Models!$BJ23:$BT23,,AH23+1)*AF23-ERP_i)*AE23*Ramure*Pc/MaxiM</f>
        <v>5.6748290237726656E-4</v>
      </c>
      <c r="AE23" s="305">
        <f t="shared" si="15"/>
        <v>0.5</v>
      </c>
      <c r="AF23" s="177">
        <f t="shared" si="23"/>
        <v>0.99766097960449029</v>
      </c>
      <c r="AG23" s="811">
        <f t="shared" si="24"/>
        <v>0</v>
      </c>
      <c r="AH23" s="176">
        <f t="shared" si="16"/>
        <v>6</v>
      </c>
      <c r="AI23" s="225">
        <f t="shared" si="17"/>
        <v>0.99766097960449029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1.7592444988058968</v>
      </c>
      <c r="C24" s="841"/>
      <c r="D24" s="393">
        <f t="shared" si="0"/>
        <v>1.8397137434522199</v>
      </c>
      <c r="E24" s="385">
        <f t="shared" si="1"/>
        <v>1.8928179245635015</v>
      </c>
      <c r="F24" s="385">
        <f t="shared" si="2"/>
        <v>1.8928179245635015</v>
      </c>
      <c r="G24" s="110">
        <f t="shared" si="21"/>
        <v>6.8473657862532608E-2</v>
      </c>
      <c r="H24" s="414" t="b">
        <f>Wh_hp&gt;='2023'!Maxi_hp</f>
        <v>0</v>
      </c>
      <c r="I24" s="390">
        <f>IF(H24,Wh_hp,'2023'!Maxi_hp)</f>
        <v>13.230713123965954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4.3740089963845485E-2</v>
      </c>
      <c r="M24" s="845"/>
      <c r="N24" s="845"/>
      <c r="O24" s="48">
        <f>IF(t&lt;Tnet,'2023'!Resal+('2023'!Salim-'2023'!Resal)*(1-EXP(('2023'!Tnet-t)/('2023'!Tau_j))),Resal+(Salim-Resal)*(1-EXP((Tnet-t)/(Tau_j))))*Salcycl</f>
        <v>2.805562036482076E-2</v>
      </c>
      <c r="P24" s="169">
        <f>(INDEX(Models!$BJ24:$BT24,,T24)*(1-R24)+INDEX(Models!$BJ24:$BT24,,T24+1)*R24-ERP_i)*Q24*Ramure*Pc/MaxiM</f>
        <v>5.6045480348106309E-4</v>
      </c>
      <c r="Q24" s="305">
        <f t="shared" si="4"/>
        <v>0.5</v>
      </c>
      <c r="R24" s="177">
        <f t="shared" si="5"/>
        <v>0.99770152125295986</v>
      </c>
      <c r="S24" s="811">
        <f t="shared" si="6"/>
        <v>0</v>
      </c>
      <c r="T24" s="176">
        <f t="shared" si="7"/>
        <v>6</v>
      </c>
      <c r="U24" s="251">
        <f t="shared" si="8"/>
        <v>0.99770152125295986</v>
      </c>
      <c r="V24" s="383">
        <f t="shared" si="9"/>
        <v>25.677882220136606</v>
      </c>
      <c r="W24" s="402">
        <f t="shared" si="10"/>
        <v>1.7592444988058968</v>
      </c>
      <c r="X24" s="157">
        <f t="shared" si="11"/>
        <v>45301</v>
      </c>
      <c r="Y24" s="385">
        <f t="shared" si="12"/>
        <v>1.6816912662815584</v>
      </c>
      <c r="Z24" s="385">
        <f t="shared" si="22"/>
        <v>1.758613164299627</v>
      </c>
      <c r="AA24" s="386">
        <f t="shared" si="13"/>
        <v>1.8928179245635015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7.0902097091469135E-2</v>
      </c>
      <c r="AD24" s="231">
        <f>(INDEX(Models!$BJ24:$BT24,,AH24)*(1-AF24)+INDEX(Models!$BJ24:$BT24,,AH24+1)*AF24-ERP_i)*AE24*Ramure*Pc/MaxiM</f>
        <v>5.6045480348106309E-4</v>
      </c>
      <c r="AE24" s="305">
        <f t="shared" si="15"/>
        <v>0.5</v>
      </c>
      <c r="AF24" s="177">
        <f t="shared" si="23"/>
        <v>0.99770152125295986</v>
      </c>
      <c r="AG24" s="811">
        <f t="shared" si="24"/>
        <v>0</v>
      </c>
      <c r="AH24" s="176">
        <f t="shared" si="16"/>
        <v>6</v>
      </c>
      <c r="AI24" s="225">
        <f t="shared" si="17"/>
        <v>0.99770152125295986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25.352341228471381</v>
      </c>
      <c r="C25" s="841"/>
      <c r="D25" s="393">
        <f t="shared" si="0"/>
        <v>26.512558202939992</v>
      </c>
      <c r="E25" s="385">
        <f t="shared" si="1"/>
        <v>27.280053504087814</v>
      </c>
      <c r="F25" s="385">
        <f t="shared" si="2"/>
        <v>27.294681638649539</v>
      </c>
      <c r="G25" s="110">
        <f t="shared" si="21"/>
        <v>0.97918876142457911</v>
      </c>
      <c r="H25" s="414" t="b">
        <f>Wh_hp&gt;='2023'!Maxi_hp</f>
        <v>0</v>
      </c>
      <c r="I25" s="390">
        <f>IF(H25,Wh_hp,'2023'!Maxi_hp)</f>
        <v>27.813177241518638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4.3761034510051644E-2</v>
      </c>
      <c r="M25" s="845"/>
      <c r="N25" s="845"/>
      <c r="O25" s="48">
        <f>IF(t&lt;Tnet,'2023'!Resal+('2023'!Salim-'2023'!Resal)*(1-EXP(('2023'!Tnet-t)/('2023'!Tau_j))),Resal+(Salim-Resal)*(1-EXP((Tnet-t)/(Tau_j))))*Salcycl</f>
        <v>2.8133936798650876E-2</v>
      </c>
      <c r="P25" s="169">
        <f>(INDEX(Models!$BJ25:$BT25,,T25)*(1-R25)+INDEX(Models!$BJ25:$BT25,,T25+1)*R25-ERP_i)*Q25*Ramure*Pc/MaxiM</f>
        <v>5.5234214628483097E-4</v>
      </c>
      <c r="Q25" s="305">
        <f t="shared" si="4"/>
        <v>0.5</v>
      </c>
      <c r="R25" s="177">
        <f t="shared" si="5"/>
        <v>0.99774375671032589</v>
      </c>
      <c r="S25" s="811">
        <f t="shared" si="6"/>
        <v>0</v>
      </c>
      <c r="T25" s="176">
        <f t="shared" si="7"/>
        <v>6</v>
      </c>
      <c r="U25" s="251">
        <f t="shared" si="8"/>
        <v>0.99774375671032589</v>
      </c>
      <c r="V25" s="383">
        <f t="shared" si="9"/>
        <v>25.890743446851058</v>
      </c>
      <c r="W25" s="402">
        <f t="shared" si="10"/>
        <v>25.352341228471381</v>
      </c>
      <c r="X25" s="157">
        <f t="shared" si="11"/>
        <v>45302</v>
      </c>
      <c r="Y25" s="385">
        <f t="shared" si="12"/>
        <v>24.235813839967921</v>
      </c>
      <c r="Z25" s="385">
        <f t="shared" si="22"/>
        <v>25.344934388393398</v>
      </c>
      <c r="AA25" s="386">
        <f t="shared" si="13"/>
        <v>27.280053504087814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7.0935312330103945E-2</v>
      </c>
      <c r="AD25" s="231">
        <f>(INDEX(Models!$BJ25:$BT25,,AH25)*(1-AF25)+INDEX(Models!$BJ25:$BT25,,AH25+1)*AF25-ERP_i)*AE25*Ramure*Pc/MaxiM</f>
        <v>5.5234214628483097E-4</v>
      </c>
      <c r="AE25" s="305">
        <f t="shared" si="15"/>
        <v>0.5</v>
      </c>
      <c r="AF25" s="177">
        <f t="shared" si="23"/>
        <v>0.99774375671032589</v>
      </c>
      <c r="AG25" s="811">
        <f t="shared" si="24"/>
        <v>0</v>
      </c>
      <c r="AH25" s="176">
        <f t="shared" si="16"/>
        <v>6</v>
      </c>
      <c r="AI25" s="225">
        <f t="shared" si="17"/>
        <v>0.99774375671032589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21.630610716058118</v>
      </c>
      <c r="C26" s="841"/>
      <c r="D26" s="393">
        <f t="shared" si="0"/>
        <v>22.621002984583555</v>
      </c>
      <c r="E26" s="385">
        <f t="shared" si="1"/>
        <v>23.277718630979855</v>
      </c>
      <c r="F26" s="385">
        <f t="shared" si="2"/>
        <v>23.287267661272168</v>
      </c>
      <c r="G26" s="110">
        <f t="shared" si="21"/>
        <v>0.82832818469134983</v>
      </c>
      <c r="H26" s="414" t="b">
        <f>Wh_hp&gt;='2023'!Maxi_hp</f>
        <v>0</v>
      </c>
      <c r="I26" s="390">
        <f>IF(H26,Wh_hp,'2023'!Maxi_hp)</f>
        <v>27.969146072299974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4.3781978597518423E-2</v>
      </c>
      <c r="M26" s="845"/>
      <c r="N26" s="845"/>
      <c r="O26" s="48">
        <f>IF(t&lt;Tnet,'2023'!Resal+('2023'!Salim-'2023'!Resal)*(1-EXP(('2023'!Tnet-t)/('2023'!Tau_j))),Resal+(Salim-Resal)*(1-EXP((Tnet-t)/(Tau_j))))*Salcycl</f>
        <v>2.8212199692210851E-2</v>
      </c>
      <c r="P26" s="169">
        <f>(INDEX(Models!$BJ26:$BT26,,T26)*(1-R26)+INDEX(Models!$BJ26:$BT26,,T26+1)*R26-ERP_i)*Q26*Ramure*Pc/MaxiM</f>
        <v>5.4318067527656328E-4</v>
      </c>
      <c r="Q26" s="305">
        <f t="shared" si="4"/>
        <v>0.5</v>
      </c>
      <c r="R26" s="177">
        <f t="shared" si="5"/>
        <v>0.997787756437997</v>
      </c>
      <c r="S26" s="811">
        <f t="shared" si="6"/>
        <v>0</v>
      </c>
      <c r="T26" s="176">
        <f t="shared" si="7"/>
        <v>6</v>
      </c>
      <c r="U26" s="251">
        <f t="shared" si="8"/>
        <v>0.997787756437997</v>
      </c>
      <c r="V26" s="383">
        <f t="shared" si="9"/>
        <v>26.110097805110694</v>
      </c>
      <c r="W26" s="402">
        <f t="shared" si="10"/>
        <v>21.630610716058118</v>
      </c>
      <c r="X26" s="157">
        <f t="shared" si="11"/>
        <v>45303</v>
      </c>
      <c r="Y26" s="385">
        <f t="shared" si="12"/>
        <v>20.678914892236257</v>
      </c>
      <c r="Z26" s="385">
        <f t="shared" si="22"/>
        <v>21.625732238246844</v>
      </c>
      <c r="AA26" s="386">
        <f t="shared" si="13"/>
        <v>23.277718630979855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7.0968569511550617E-2</v>
      </c>
      <c r="AD26" s="231">
        <f>(INDEX(Models!$BJ26:$BT26,,AH26)*(1-AF26)+INDEX(Models!$BJ26:$BT26,,AH26+1)*AF26-ERP_i)*AE26*Ramure*Pc/MaxiM</f>
        <v>5.4318067527656328E-4</v>
      </c>
      <c r="AE26" s="305">
        <f t="shared" si="15"/>
        <v>0.5</v>
      </c>
      <c r="AF26" s="177">
        <f t="shared" si="23"/>
        <v>0.997787756437997</v>
      </c>
      <c r="AG26" s="811">
        <f t="shared" si="24"/>
        <v>0</v>
      </c>
      <c r="AH26" s="176">
        <f t="shared" si="16"/>
        <v>6</v>
      </c>
      <c r="AI26" s="225">
        <f t="shared" si="17"/>
        <v>0.997787756437997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5.2089292441312773</v>
      </c>
      <c r="C27" s="841"/>
      <c r="D27" s="393">
        <f t="shared" si="0"/>
        <v>5.4475477547567008</v>
      </c>
      <c r="E27" s="385">
        <f t="shared" si="1"/>
        <v>5.6061479739668423</v>
      </c>
      <c r="F27" s="385">
        <f t="shared" si="2"/>
        <v>5.6061479739668423</v>
      </c>
      <c r="G27" s="110">
        <f t="shared" si="21"/>
        <v>0.19768405755354071</v>
      </c>
      <c r="H27" s="414" t="b">
        <f>Wh_hp&gt;='2023'!Maxi_hp</f>
        <v>0</v>
      </c>
      <c r="I27" s="390">
        <f>IF(H27,Wh_hp,'2023'!Maxi_hp)</f>
        <v>16.029400800100351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4.3802922226256036E-2</v>
      </c>
      <c r="M27" s="845"/>
      <c r="N27" s="845"/>
      <c r="O27" s="48">
        <f>IF(t&lt;Tnet,'2023'!Resal+('2023'!Salim-'2023'!Resal)*(1-EXP(('2023'!Tnet-t)/('2023'!Tau_j))),Resal+(Salim-Resal)*(1-EXP((Tnet-t)/(Tau_j))))*Salcycl</f>
        <v>2.8290409019995542E-2</v>
      </c>
      <c r="P27" s="169">
        <f>(INDEX(Models!$BJ27:$BT27,,T27)*(1-R27)+INDEX(Models!$BJ27:$BT27,,T27+1)*R27-ERP_i)*Q27*Ramure*Pc/MaxiM</f>
        <v>5.3300639724532055E-4</v>
      </c>
      <c r="Q27" s="305">
        <f t="shared" si="4"/>
        <v>0.5</v>
      </c>
      <c r="R27" s="177">
        <f t="shared" si="5"/>
        <v>0.99783359380246606</v>
      </c>
      <c r="S27" s="811">
        <f t="shared" si="6"/>
        <v>0</v>
      </c>
      <c r="T27" s="176">
        <f t="shared" si="7"/>
        <v>6</v>
      </c>
      <c r="U27" s="251">
        <f t="shared" si="8"/>
        <v>0.99783359380246606</v>
      </c>
      <c r="V27" s="383">
        <f t="shared" si="9"/>
        <v>26.335724367208137</v>
      </c>
      <c r="W27" s="402">
        <f t="shared" si="10"/>
        <v>5.2089292441312773</v>
      </c>
      <c r="X27" s="157">
        <f t="shared" si="11"/>
        <v>45304</v>
      </c>
      <c r="Y27" s="385">
        <f t="shared" si="12"/>
        <v>4.9799709535494312</v>
      </c>
      <c r="Z27" s="385">
        <f t="shared" si="22"/>
        <v>5.2081009964431155</v>
      </c>
      <c r="AA27" s="386">
        <f t="shared" si="13"/>
        <v>5.6061479739668423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7.1001867837261826E-2</v>
      </c>
      <c r="AD27" s="231">
        <f>(INDEX(Models!$BJ27:$BT27,,AH27)*(1-AF27)+INDEX(Models!$BJ27:$BT27,,AH27+1)*AF27-ERP_i)*AE27*Ramure*Pc/MaxiM</f>
        <v>5.3300639724532055E-4</v>
      </c>
      <c r="AE27" s="305">
        <f t="shared" si="15"/>
        <v>0.5</v>
      </c>
      <c r="AF27" s="177">
        <f t="shared" si="23"/>
        <v>0.99783359380246606</v>
      </c>
      <c r="AG27" s="811">
        <f t="shared" si="24"/>
        <v>0</v>
      </c>
      <c r="AH27" s="176">
        <f t="shared" si="16"/>
        <v>6</v>
      </c>
      <c r="AI27" s="225">
        <f t="shared" si="17"/>
        <v>0.99783359380246606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25.752079183536235</v>
      </c>
      <c r="C28" s="841"/>
      <c r="D28" s="393">
        <f t="shared" si="0"/>
        <v>26.932359271034137</v>
      </c>
      <c r="E28" s="385">
        <f t="shared" si="1"/>
        <v>27.718698990136918</v>
      </c>
      <c r="F28" s="385">
        <f t="shared" si="2"/>
        <v>27.732536877904369</v>
      </c>
      <c r="G28" s="110">
        <f t="shared" si="21"/>
        <v>0.96928895933361803</v>
      </c>
      <c r="H28" s="414" t="b">
        <f>Wh_hp&gt;='2023'!Maxi_hp</f>
        <v>0</v>
      </c>
      <c r="I28" s="390">
        <f>IF(H28,Wh_hp,'2023'!Maxi_hp)</f>
        <v>27.813666688911876</v>
      </c>
      <c r="J28" s="85">
        <f>IF(H28,An,'2023'!An_max)</f>
        <v>2020</v>
      </c>
      <c r="K28" s="197">
        <f t="shared" si="3"/>
        <v>45305</v>
      </c>
      <c r="L28" s="147">
        <f>IF(t&lt;Tvie,1-EXP((T0-t)*PertePVj)+'2023'!Pspv,1-EXP((T0-t)*PertePVj)+Pspv)</f>
        <v>4.3823865396274364E-2</v>
      </c>
      <c r="M28" s="845"/>
      <c r="N28" s="845"/>
      <c r="O28" s="48">
        <f>IF(t&lt;Tnet,'2023'!Resal+('2023'!Salim-'2023'!Resal)*(1-EXP(('2023'!Tnet-t)/('2023'!Tau_j))),Resal+(Salim-Resal)*(1-EXP((Tnet-t)/(Tau_j))))*Salcycl</f>
        <v>2.8368565183473533E-2</v>
      </c>
      <c r="P28" s="169">
        <f>(INDEX(Models!$BJ28:$BT28,,T28)*(1-R28)+INDEX(Models!$BJ28:$BT28,,T28+1)*R28-ERP_i)*Q28*Ramure*Pc/MaxiM</f>
        <v>5.2185540596212806E-4</v>
      </c>
      <c r="Q28" s="305">
        <f t="shared" si="4"/>
        <v>0.5</v>
      </c>
      <c r="R28" s="177">
        <f t="shared" si="5"/>
        <v>0.99788134519285554</v>
      </c>
      <c r="S28" s="811">
        <f t="shared" si="6"/>
        <v>0</v>
      </c>
      <c r="T28" s="176">
        <f t="shared" si="7"/>
        <v>6</v>
      </c>
      <c r="U28" s="251">
        <f t="shared" si="8"/>
        <v>0.99788134519285554</v>
      </c>
      <c r="V28" s="383">
        <f t="shared" si="9"/>
        <v>26.567402285315186</v>
      </c>
      <c r="W28" s="402">
        <f t="shared" si="10"/>
        <v>25.752079183536235</v>
      </c>
      <c r="X28" s="157">
        <f t="shared" si="11"/>
        <v>45305</v>
      </c>
      <c r="Y28" s="385">
        <f t="shared" si="12"/>
        <v>24.621244265765224</v>
      </c>
      <c r="Z28" s="385">
        <f t="shared" si="22"/>
        <v>25.749695453305961</v>
      </c>
      <c r="AA28" s="386">
        <f t="shared" si="13"/>
        <v>27.718698990136918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7.1035207587902341E-2</v>
      </c>
      <c r="AD28" s="231">
        <f>(INDEX(Models!$BJ28:$BT28,,AH28)*(1-AF28)+INDEX(Models!$BJ28:$BT28,,AH28+1)*AF28-ERP_i)*AE28*Ramure*Pc/MaxiM</f>
        <v>5.2185540596212806E-4</v>
      </c>
      <c r="AE28" s="305">
        <f t="shared" si="15"/>
        <v>0.5</v>
      </c>
      <c r="AF28" s="177">
        <f t="shared" si="23"/>
        <v>0.99788134519285554</v>
      </c>
      <c r="AG28" s="811">
        <f t="shared" si="24"/>
        <v>0</v>
      </c>
      <c r="AH28" s="176">
        <f t="shared" si="16"/>
        <v>6</v>
      </c>
      <c r="AI28" s="225">
        <f t="shared" si="17"/>
        <v>0.99788134519285554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27.364892319932746</v>
      </c>
      <c r="C29" s="841"/>
      <c r="D29" s="393">
        <f t="shared" si="0"/>
        <v>28.619718380415133</v>
      </c>
      <c r="E29" s="385">
        <f t="shared" si="1"/>
        <v>29.457691581000294</v>
      </c>
      <c r="F29" s="385">
        <f t="shared" si="2"/>
        <v>29.472715702164702</v>
      </c>
      <c r="G29" s="110">
        <f t="shared" si="21"/>
        <v>1.0208910053719742</v>
      </c>
      <c r="H29" s="414" t="b">
        <f>Wh_hp&gt;='2023'!Maxi_hp</f>
        <v>1</v>
      </c>
      <c r="I29" s="390">
        <f>IF(H29,Wh_hp,'2023'!Maxi_hp)</f>
        <v>29.472715702164702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4.3844808107583622E-2</v>
      </c>
      <c r="M29" s="845"/>
      <c r="N29" s="845"/>
      <c r="O29" s="48">
        <f>IF(t&lt;Tnet,'2023'!Resal+('2023'!Salim-'2023'!Resal)*(1-EXP(('2023'!Tnet-t)/('2023'!Tau_j))),Resal+(Salim-Resal)*(1-EXP((Tnet-t)/(Tau_j))))*Salcycl</f>
        <v>2.8446668955066298E-2</v>
      </c>
      <c r="P29" s="169">
        <f>(INDEX(Models!$BJ29:$BT29,,T29)*(1-R29)+INDEX(Models!$BJ29:$BT29,,T29+1)*R29-ERP_i)*Q29*Ramure*Pc/MaxiM</f>
        <v>5.097637189674716E-4</v>
      </c>
      <c r="Q29" s="305">
        <f t="shared" si="4"/>
        <v>0.5</v>
      </c>
      <c r="R29" s="177">
        <f t="shared" si="5"/>
        <v>0.99793109014302783</v>
      </c>
      <c r="S29" s="811">
        <f t="shared" si="6"/>
        <v>0</v>
      </c>
      <c r="T29" s="176">
        <f t="shared" si="7"/>
        <v>6</v>
      </c>
      <c r="U29" s="251">
        <f t="shared" si="8"/>
        <v>0.99793109014302783</v>
      </c>
      <c r="V29" s="383">
        <f t="shared" si="9"/>
        <v>26.80491078473359</v>
      </c>
      <c r="W29" s="402">
        <f t="shared" si="10"/>
        <v>27.364892319932746</v>
      </c>
      <c r="X29" s="157">
        <f t="shared" si="11"/>
        <v>45306</v>
      </c>
      <c r="Y29" s="385">
        <f t="shared" si="12"/>
        <v>26.164397975667782</v>
      </c>
      <c r="Z29" s="385">
        <f t="shared" si="22"/>
        <v>27.364174976536361</v>
      </c>
      <c r="AA29" s="386">
        <f t="shared" si="13"/>
        <v>29.457691581000294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7.1068589971055834E-2</v>
      </c>
      <c r="AD29" s="231">
        <f>(INDEX(Models!$BJ29:$BT29,,AH29)*(1-AF29)+INDEX(Models!$BJ29:$BT29,,AH29+1)*AF29-ERP_i)*AE29*Ramure*Pc/MaxiM</f>
        <v>5.097637189674716E-4</v>
      </c>
      <c r="AE29" s="305">
        <f t="shared" si="15"/>
        <v>0.5</v>
      </c>
      <c r="AF29" s="177">
        <f t="shared" si="23"/>
        <v>0.99793109014302783</v>
      </c>
      <c r="AG29" s="811">
        <f t="shared" si="24"/>
        <v>0</v>
      </c>
      <c r="AH29" s="176">
        <f t="shared" si="16"/>
        <v>6</v>
      </c>
      <c r="AI29" s="225">
        <f t="shared" si="17"/>
        <v>0.99793109014302783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26.876114708285002</v>
      </c>
      <c r="C30" s="841"/>
      <c r="D30" s="393">
        <f t="shared" si="0"/>
        <v>28.109143374384647</v>
      </c>
      <c r="E30" s="385">
        <f t="shared" si="1"/>
        <v>28.934491689268203</v>
      </c>
      <c r="F30" s="385">
        <f t="shared" si="2"/>
        <v>28.948739061595784</v>
      </c>
      <c r="G30" s="110">
        <f t="shared" si="21"/>
        <v>0.99363952255291521</v>
      </c>
      <c r="H30" s="414" t="b">
        <f>Wh_hp&gt;='2023'!Maxi_hp</f>
        <v>0</v>
      </c>
      <c r="I30" s="390">
        <f>IF(H30,Wh_hp,'2023'!Maxi_hp)</f>
        <v>29.178076379468706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4.3865750360193578E-2</v>
      </c>
      <c r="M30" s="845"/>
      <c r="N30" s="845"/>
      <c r="O30" s="48">
        <f>IF(t&lt;Tnet,'2023'!Resal+('2023'!Salim-'2023'!Resal)*(1-EXP(('2023'!Tnet-t)/('2023'!Tau_j))),Resal+(Salim-Resal)*(1-EXP((Tnet-t)/(Tau_j))))*Salcycl</f>
        <v>2.8524721420617811E-2</v>
      </c>
      <c r="P30" s="169">
        <f>(INDEX(Models!$BJ30:$BT30,,T30)*(1-R30)+INDEX(Models!$BJ30:$BT30,,T30+1)*R30-ERP_i)*Q30*Ramure*Pc/MaxiM</f>
        <v>4.9666839459655348E-4</v>
      </c>
      <c r="Q30" s="305">
        <f t="shared" si="4"/>
        <v>0.5</v>
      </c>
      <c r="R30" s="177">
        <f t="shared" si="5"/>
        <v>0.99798291145842111</v>
      </c>
      <c r="S30" s="811">
        <f t="shared" si="6"/>
        <v>0</v>
      </c>
      <c r="T30" s="176">
        <f t="shared" si="7"/>
        <v>6</v>
      </c>
      <c r="U30" s="251">
        <f t="shared" si="8"/>
        <v>0.99798291145842111</v>
      </c>
      <c r="V30" s="383">
        <f t="shared" si="9"/>
        <v>27.04803184069392</v>
      </c>
      <c r="W30" s="402">
        <f t="shared" si="10"/>
        <v>26.876114708285002</v>
      </c>
      <c r="X30" s="157">
        <f t="shared" si="11"/>
        <v>45307</v>
      </c>
      <c r="Y30" s="385">
        <f t="shared" si="12"/>
        <v>25.698202820753558</v>
      </c>
      <c r="Z30" s="385">
        <f t="shared" si="22"/>
        <v>26.877190970237233</v>
      </c>
      <c r="AA30" s="386">
        <f t="shared" si="13"/>
        <v>28.934491689268203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7.110201696731451E-2</v>
      </c>
      <c r="AD30" s="231">
        <f>(INDEX(Models!$BJ30:$BT30,,AH30)*(1-AF30)+INDEX(Models!$BJ30:$BT30,,AH30+1)*AF30-ERP_i)*AE30*Ramure*Pc/MaxiM</f>
        <v>4.9666839459655348E-4</v>
      </c>
      <c r="AE30" s="305">
        <f t="shared" si="15"/>
        <v>0.5</v>
      </c>
      <c r="AF30" s="177">
        <f t="shared" si="23"/>
        <v>0.99798291145842111</v>
      </c>
      <c r="AG30" s="811">
        <f t="shared" si="24"/>
        <v>0</v>
      </c>
      <c r="AH30" s="176">
        <f t="shared" si="16"/>
        <v>6</v>
      </c>
      <c r="AI30" s="225">
        <f t="shared" si="17"/>
        <v>0.99798291145842111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13.757332656122429</v>
      </c>
      <c r="C31" s="841"/>
      <c r="D31" s="393">
        <f t="shared" si="0"/>
        <v>14.388809927891888</v>
      </c>
      <c r="E31" s="385">
        <f t="shared" si="1"/>
        <v>14.812487416036399</v>
      </c>
      <c r="F31" s="385">
        <f t="shared" si="2"/>
        <v>14.81457272863609</v>
      </c>
      <c r="G31" s="110">
        <f t="shared" si="21"/>
        <v>0.50382307280033911</v>
      </c>
      <c r="H31" s="414" t="b">
        <f>Wh_hp&gt;='2023'!Maxi_hp</f>
        <v>0</v>
      </c>
      <c r="I31" s="390">
        <f>IF(H31,Wh_hp,'2023'!Maxi_hp)</f>
        <v>14.816853446814875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4.3886692154114559E-2</v>
      </c>
      <c r="M31" s="845"/>
      <c r="N31" s="845"/>
      <c r="O31" s="48">
        <f>IF(t&lt;Tnet,'2023'!Resal+('2023'!Salim-'2023'!Resal)*(1-EXP(('2023'!Tnet-t)/('2023'!Tau_j))),Resal+(Salim-Resal)*(1-EXP((Tnet-t)/(Tau_j))))*Salcycl</f>
        <v>2.8602723921022612E-2</v>
      </c>
      <c r="P31" s="169">
        <f>(INDEX(Models!$BJ31:$BT31,,T31)*(1-R31)+INDEX(Models!$BJ31:$BT31,,T31+1)*R31-ERP_i)*Q31*Ramure*Pc/MaxiM</f>
        <v>4.8301352987221372E-4</v>
      </c>
      <c r="Q31" s="305">
        <f t="shared" si="4"/>
        <v>0.5</v>
      </c>
      <c r="R31" s="177">
        <f t="shared" si="5"/>
        <v>0.99803689534777529</v>
      </c>
      <c r="S31" s="811">
        <f t="shared" si="6"/>
        <v>0</v>
      </c>
      <c r="T31" s="176">
        <f t="shared" si="7"/>
        <v>6</v>
      </c>
      <c r="U31" s="251">
        <f t="shared" si="8"/>
        <v>0.99803689534777529</v>
      </c>
      <c r="V31" s="383">
        <f t="shared" si="9"/>
        <v>27.296533748536504</v>
      </c>
      <c r="W31" s="402">
        <f t="shared" si="10"/>
        <v>13.757332656122429</v>
      </c>
      <c r="X31" s="157">
        <f t="shared" si="11"/>
        <v>45308</v>
      </c>
      <c r="Y31" s="385">
        <f t="shared" si="12"/>
        <v>13.154965898126274</v>
      </c>
      <c r="Z31" s="385">
        <f t="shared" si="22"/>
        <v>13.758793848152049</v>
      </c>
      <c r="AA31" s="386">
        <f t="shared" si="13"/>
        <v>14.812487416036399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7.1135491176424051E-2</v>
      </c>
      <c r="AD31" s="231">
        <f>(INDEX(Models!$BJ31:$BT31,,AH31)*(1-AF31)+INDEX(Models!$BJ31:$BT31,,AH31+1)*AF31-ERP_i)*AE31*Ramure*Pc/MaxiM</f>
        <v>4.8301352987221372E-4</v>
      </c>
      <c r="AE31" s="305">
        <f t="shared" si="15"/>
        <v>0.5</v>
      </c>
      <c r="AF31" s="177">
        <f t="shared" si="23"/>
        <v>0.99803689534777529</v>
      </c>
      <c r="AG31" s="811">
        <f t="shared" si="24"/>
        <v>0</v>
      </c>
      <c r="AH31" s="176">
        <f t="shared" si="16"/>
        <v>6</v>
      </c>
      <c r="AI31" s="225">
        <f t="shared" si="17"/>
        <v>0.99803689534777529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3.6321036087299676</v>
      </c>
      <c r="C32" s="841"/>
      <c r="D32" s="393">
        <f t="shared" si="0"/>
        <v>3.798904515874026</v>
      </c>
      <c r="E32" s="385">
        <f t="shared" si="1"/>
        <v>3.9110768516651575</v>
      </c>
      <c r="F32" s="385">
        <f t="shared" si="2"/>
        <v>3.9110768516651575</v>
      </c>
      <c r="G32" s="110">
        <f t="shared" si="21"/>
        <v>0.13177404581871288</v>
      </c>
      <c r="H32" s="414" t="b">
        <f>Wh_hp&gt;='2023'!Maxi_hp</f>
        <v>0</v>
      </c>
      <c r="I32" s="390">
        <f>IF(H32,Wh_hp,'2023'!Maxi_hp)</f>
        <v>28.469265740450702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4.3907633489356557E-2</v>
      </c>
      <c r="M32" s="845"/>
      <c r="N32" s="845"/>
      <c r="O32" s="48">
        <f>IF(t&lt;Tnet,'2023'!Resal+('2023'!Salim-'2023'!Resal)*(1-EXP(('2023'!Tnet-t)/('2023'!Tau_j))),Resal+(Salim-Resal)*(1-EXP((Tnet-t)/(Tau_j))))*Salcycl</f>
        <v>2.8680677993676771E-2</v>
      </c>
      <c r="P32" s="169">
        <f>(INDEX(Models!$BJ32:$BT32,,T32)*(1-R32)+INDEX(Models!$BJ32:$BT32,,T32+1)*R32-ERP_i)*Q32*Ramure*Pc/MaxiM</f>
        <v>4.688254886975789E-4</v>
      </c>
      <c r="Q32" s="305">
        <f t="shared" si="4"/>
        <v>0.5</v>
      </c>
      <c r="R32" s="177">
        <f t="shared" si="5"/>
        <v>0.99809313155991697</v>
      </c>
      <c r="S32" s="811">
        <f t="shared" si="6"/>
        <v>0</v>
      </c>
      <c r="T32" s="176">
        <f t="shared" si="7"/>
        <v>6</v>
      </c>
      <c r="U32" s="251">
        <f t="shared" si="8"/>
        <v>0.99809313155991697</v>
      </c>
      <c r="V32" s="383">
        <f t="shared" si="9"/>
        <v>27.550195969357276</v>
      </c>
      <c r="W32" s="402">
        <f t="shared" si="10"/>
        <v>3.6321036087299676</v>
      </c>
      <c r="X32" s="157">
        <f t="shared" si="11"/>
        <v>45309</v>
      </c>
      <c r="Y32" s="385">
        <f t="shared" si="12"/>
        <v>3.4732248125513747</v>
      </c>
      <c r="Z32" s="385">
        <f t="shared" si="22"/>
        <v>3.6327293619415273</v>
      </c>
      <c r="AA32" s="386">
        <f t="shared" si="13"/>
        <v>3.9110768516651575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7.1169015665115978E-2</v>
      </c>
      <c r="AD32" s="231">
        <f>(INDEX(Models!$BJ32:$BT32,,AH32)*(1-AF32)+INDEX(Models!$BJ32:$BT32,,AH32+1)*AF32-ERP_i)*AE32*Ramure*Pc/MaxiM</f>
        <v>4.688254886975789E-4</v>
      </c>
      <c r="AE32" s="305">
        <f t="shared" si="15"/>
        <v>0.5</v>
      </c>
      <c r="AF32" s="177">
        <f t="shared" si="23"/>
        <v>0.99809313155991697</v>
      </c>
      <c r="AG32" s="811">
        <f t="shared" si="24"/>
        <v>0</v>
      </c>
      <c r="AH32" s="176">
        <f t="shared" si="16"/>
        <v>6</v>
      </c>
      <c r="AI32" s="225">
        <f t="shared" si="17"/>
        <v>0.99809313155991697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10.505769298480825</v>
      </c>
      <c r="C33" s="841"/>
      <c r="D33" s="393">
        <f t="shared" si="0"/>
        <v>10.988477447187959</v>
      </c>
      <c r="E33" s="385">
        <f t="shared" si="1"/>
        <v>11.313847701547088</v>
      </c>
      <c r="F33" s="385">
        <f t="shared" si="2"/>
        <v>11.314418673490227</v>
      </c>
      <c r="G33" s="110">
        <f t="shared" si="21"/>
        <v>0.37763330313665988</v>
      </c>
      <c r="H33" s="414" t="b">
        <f>Wh_hp&gt;='2023'!Maxi_hp</f>
        <v>0</v>
      </c>
      <c r="I33" s="390">
        <f>IF(H33,Wh_hp,'2023'!Maxi_hp)</f>
        <v>30.474199442688686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4.3928574365929451E-2</v>
      </c>
      <c r="M33" s="845"/>
      <c r="N33" s="845"/>
      <c r="O33" s="48">
        <f>IF(t&lt;Tnet,'2023'!Resal+('2023'!Salim-'2023'!Resal)*(1-EXP(('2023'!Tnet-t)/('2023'!Tau_j))),Resal+(Salim-Resal)*(1-EXP((Tnet-t)/(Tau_j))))*Salcycl</f>
        <v>2.8758585314405106E-2</v>
      </c>
      <c r="P33" s="169">
        <f>(INDEX(Models!$BJ33:$BT33,,T33)*(1-R33)+INDEX(Models!$BJ33:$BT33,,T33+1)*R33-ERP_i)*Q33*Ramure*Pc/MaxiM</f>
        <v>4.5412999114900234E-4</v>
      </c>
      <c r="Q33" s="305">
        <f t="shared" si="4"/>
        <v>0.5</v>
      </c>
      <c r="R33" s="177">
        <f t="shared" si="5"/>
        <v>0.99815171352577781</v>
      </c>
      <c r="S33" s="811">
        <f t="shared" si="6"/>
        <v>0</v>
      </c>
      <c r="T33" s="176">
        <f t="shared" si="7"/>
        <v>6</v>
      </c>
      <c r="U33" s="251">
        <f t="shared" si="8"/>
        <v>0.99815171352577781</v>
      </c>
      <c r="V33" s="383">
        <f t="shared" si="9"/>
        <v>27.808798049580485</v>
      </c>
      <c r="W33" s="402">
        <f t="shared" si="10"/>
        <v>10.505769298480825</v>
      </c>
      <c r="X33" s="157">
        <f t="shared" si="11"/>
        <v>45310</v>
      </c>
      <c r="Y33" s="385">
        <f t="shared" si="12"/>
        <v>10.046658973590056</v>
      </c>
      <c r="Z33" s="385">
        <f t="shared" si="22"/>
        <v>10.508272399132805</v>
      </c>
      <c r="AA33" s="386">
        <f t="shared" si="13"/>
        <v>11.313847701547088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7.1202593818204485E-2</v>
      </c>
      <c r="AD33" s="231">
        <f>(INDEX(Models!$BJ33:$BT33,,AH33)*(1-AF33)+INDEX(Models!$BJ33:$BT33,,AH33+1)*AF33-ERP_i)*AE33*Ramure*Pc/MaxiM</f>
        <v>4.5412999114900234E-4</v>
      </c>
      <c r="AE33" s="305">
        <f t="shared" si="15"/>
        <v>0.5</v>
      </c>
      <c r="AF33" s="177">
        <f t="shared" si="23"/>
        <v>0.99815171352577781</v>
      </c>
      <c r="AG33" s="811">
        <f t="shared" si="24"/>
        <v>0</v>
      </c>
      <c r="AH33" s="176">
        <f t="shared" si="16"/>
        <v>6</v>
      </c>
      <c r="AI33" s="225">
        <f t="shared" si="17"/>
        <v>0.99815171352577781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6.6087511189954338</v>
      </c>
      <c r="C34" s="841"/>
      <c r="D34" s="393">
        <f t="shared" si="0"/>
        <v>6.9125545368048638</v>
      </c>
      <c r="E34" s="385">
        <f t="shared" si="1"/>
        <v>7.117806799905539</v>
      </c>
      <c r="F34" s="385">
        <f t="shared" si="2"/>
        <v>7.117806799905539</v>
      </c>
      <c r="G34" s="110">
        <f t="shared" si="21"/>
        <v>0.23531711480431311</v>
      </c>
      <c r="H34" s="414" t="b">
        <f>Wh_hp&gt;='2023'!Maxi_hp</f>
        <v>0</v>
      </c>
      <c r="I34" s="390">
        <f>IF(H34,Wh_hp,'2023'!Maxi_hp)</f>
        <v>12.344744575403277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4.3949514783843568E-2</v>
      </c>
      <c r="M34" s="845"/>
      <c r="N34" s="845"/>
      <c r="O34" s="48">
        <f>IF(t&lt;Tnet,'2023'!Resal+('2023'!Salim-'2023'!Resal)*(1-EXP(('2023'!Tnet-t)/('2023'!Tau_j))),Resal+(Salim-Resal)*(1-EXP((Tnet-t)/(Tau_j))))*Salcycl</f>
        <v>2.8836447640500636E-2</v>
      </c>
      <c r="P34" s="169">
        <f>(INDEX(Models!$BJ34:$BT34,,T34)*(1-R34)+INDEX(Models!$BJ34:$BT34,,T34+1)*R34-ERP_i)*Q34*Ramure*Pc/MaxiM</f>
        <v>4.3895450177325849E-4</v>
      </c>
      <c r="Q34" s="305">
        <f t="shared" si="4"/>
        <v>0.5</v>
      </c>
      <c r="R34" s="177">
        <f t="shared" si="5"/>
        <v>0.99821273850582048</v>
      </c>
      <c r="S34" s="811">
        <f t="shared" si="6"/>
        <v>0</v>
      </c>
      <c r="T34" s="176">
        <f t="shared" si="7"/>
        <v>6</v>
      </c>
      <c r="U34" s="251">
        <f t="shared" si="8"/>
        <v>0.99821273850582048</v>
      </c>
      <c r="V34" s="383">
        <f t="shared" si="9"/>
        <v>28.072119545720241</v>
      </c>
      <c r="W34" s="402">
        <f t="shared" si="10"/>
        <v>6.6087511189954338</v>
      </c>
      <c r="X34" s="157">
        <f t="shared" si="11"/>
        <v>45311</v>
      </c>
      <c r="Y34" s="385">
        <f t="shared" si="12"/>
        <v>6.3202213413806758</v>
      </c>
      <c r="Z34" s="385">
        <f t="shared" si="22"/>
        <v>6.6107610833456327</v>
      </c>
      <c r="AA34" s="386">
        <f t="shared" si="13"/>
        <v>7.117806799905539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7.1236229194452952E-2</v>
      </c>
      <c r="AD34" s="231">
        <f>(INDEX(Models!$BJ34:$BT34,,AH34)*(1-AF34)+INDEX(Models!$BJ34:$BT34,,AH34+1)*AF34-ERP_i)*AE34*Ramure*Pc/MaxiM</f>
        <v>4.3895450177325849E-4</v>
      </c>
      <c r="AE34" s="305">
        <f t="shared" si="15"/>
        <v>0.5</v>
      </c>
      <c r="AF34" s="177">
        <f t="shared" si="23"/>
        <v>0.99821273850582048</v>
      </c>
      <c r="AG34" s="811">
        <f t="shared" si="24"/>
        <v>0</v>
      </c>
      <c r="AH34" s="176">
        <f t="shared" si="16"/>
        <v>6</v>
      </c>
      <c r="AI34" s="225">
        <f t="shared" si="17"/>
        <v>0.99821273850582048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21.109444616831048</v>
      </c>
      <c r="C35" s="841"/>
      <c r="D35" s="393">
        <f t="shared" si="0"/>
        <v>22.080326619151506</v>
      </c>
      <c r="E35" s="385">
        <f t="shared" si="1"/>
        <v>22.737772642770235</v>
      </c>
      <c r="F35" s="385">
        <f t="shared" si="2"/>
        <v>22.743891508170293</v>
      </c>
      <c r="G35" s="110">
        <f t="shared" si="21"/>
        <v>0.74475057614883122</v>
      </c>
      <c r="H35" s="414" t="b">
        <f>Wh_hp&gt;='2023'!Maxi_hp</f>
        <v>0</v>
      </c>
      <c r="I35" s="390">
        <f>IF(H35,Wh_hp,'2023'!Maxi_hp)</f>
        <v>22.745493436016041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4.3970454743108678E-2</v>
      </c>
      <c r="M35" s="845"/>
      <c r="N35" s="845"/>
      <c r="O35" s="48">
        <f>IF(t&lt;Tnet,'2023'!Resal+('2023'!Salim-'2023'!Resal)*(1-EXP(('2023'!Tnet-t)/('2023'!Tau_j))),Resal+(Salim-Resal)*(1-EXP((Tnet-t)/(Tau_j))))*Salcycl</f>
        <v>2.8914266755489422E-2</v>
      </c>
      <c r="P35" s="169">
        <f>(INDEX(Models!$BJ35:$BT35,,T35)*(1-R35)+INDEX(Models!$BJ35:$BT35,,T35+1)*R35-ERP_i)*Q35*Ramure*Pc/MaxiM</f>
        <v>4.2332644955067194E-4</v>
      </c>
      <c r="Q35" s="305">
        <f t="shared" si="4"/>
        <v>0.5</v>
      </c>
      <c r="R35" s="177">
        <f t="shared" si="5"/>
        <v>0.99827630774305665</v>
      </c>
      <c r="S35" s="811">
        <f t="shared" si="6"/>
        <v>0</v>
      </c>
      <c r="T35" s="176">
        <f t="shared" si="7"/>
        <v>6</v>
      </c>
      <c r="U35" s="251">
        <f t="shared" si="8"/>
        <v>0.99827630774305665</v>
      </c>
      <c r="V35" s="383">
        <f t="shared" si="9"/>
        <v>28.33994007485666</v>
      </c>
      <c r="W35" s="402">
        <f t="shared" si="10"/>
        <v>21.109444616831048</v>
      </c>
      <c r="X35" s="157">
        <f t="shared" si="11"/>
        <v>45312</v>
      </c>
      <c r="Y35" s="385">
        <f t="shared" si="12"/>
        <v>20.188718053236659</v>
      </c>
      <c r="Z35" s="385">
        <f t="shared" si="22"/>
        <v>21.117253283016289</v>
      </c>
      <c r="AA35" s="386">
        <f t="shared" si="13"/>
        <v>22.737772642770235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7.1269925388633429E-2</v>
      </c>
      <c r="AD35" s="231">
        <f>(INDEX(Models!$BJ35:$BT35,,AH35)*(1-AF35)+INDEX(Models!$BJ35:$BT35,,AH35+1)*AF35-ERP_i)*AE35*Ramure*Pc/MaxiM</f>
        <v>4.2332644955067194E-4</v>
      </c>
      <c r="AE35" s="305">
        <f t="shared" si="15"/>
        <v>0.5</v>
      </c>
      <c r="AF35" s="177">
        <f t="shared" si="23"/>
        <v>0.99827630774305665</v>
      </c>
      <c r="AG35" s="811">
        <f t="shared" si="24"/>
        <v>0</v>
      </c>
      <c r="AH35" s="176">
        <f t="shared" si="16"/>
        <v>6</v>
      </c>
      <c r="AI35" s="225">
        <f t="shared" si="17"/>
        <v>0.99827630774305665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28.482319041316764</v>
      </c>
      <c r="C36" s="841"/>
      <c r="D36" s="393">
        <f t="shared" si="0"/>
        <v>29.79295256320982</v>
      </c>
      <c r="E36" s="385">
        <f t="shared" si="1"/>
        <v>30.682500994852827</v>
      </c>
      <c r="F36" s="385">
        <f t="shared" si="2"/>
        <v>30.694921153404994</v>
      </c>
      <c r="G36" s="110">
        <f t="shared" si="21"/>
        <v>0.99546360455265248</v>
      </c>
      <c r="H36" s="414" t="b">
        <f>Wh_hp&gt;='2023'!Maxi_hp</f>
        <v>0</v>
      </c>
      <c r="I36" s="390">
        <f>IF(H36,Wh_hp,'2023'!Maxi_hp)</f>
        <v>30.694958235093285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4.3991394243734883E-2</v>
      </c>
      <c r="M36" s="845"/>
      <c r="N36" s="845"/>
      <c r="O36" s="48">
        <f>IF(t&lt;Tnet,'2023'!Resal+('2023'!Salim-'2023'!Resal)*(1-EXP(('2023'!Tnet-t)/('2023'!Tau_j))),Resal+(Salim-Resal)*(1-EXP((Tnet-t)/(Tau_j))))*Salcycl</f>
        <v>2.899204441620434E-2</v>
      </c>
      <c r="P36" s="169">
        <f>(INDEX(Models!$BJ36:$BT36,,T36)*(1-R36)+INDEX(Models!$BJ36:$BT36,,T36+1)*R36-ERP_i)*Q36*Ramure*Pc/MaxiM</f>
        <v>4.072701778547362E-4</v>
      </c>
      <c r="Q36" s="305">
        <f t="shared" si="4"/>
        <v>0.5</v>
      </c>
      <c r="R36" s="177">
        <f t="shared" si="5"/>
        <v>0.99834252662183876</v>
      </c>
      <c r="S36" s="811">
        <f t="shared" si="6"/>
        <v>0</v>
      </c>
      <c r="T36" s="176">
        <f t="shared" si="7"/>
        <v>6</v>
      </c>
      <c r="U36" s="251">
        <f t="shared" si="8"/>
        <v>0.99834252662183876</v>
      </c>
      <c r="V36" s="383">
        <f t="shared" si="9"/>
        <v>28.612039405185211</v>
      </c>
      <c r="W36" s="402">
        <f t="shared" si="10"/>
        <v>28.482319041316764</v>
      </c>
      <c r="X36" s="157">
        <f t="shared" si="11"/>
        <v>45313</v>
      </c>
      <c r="Y36" s="385">
        <f t="shared" si="12"/>
        <v>27.241202874343454</v>
      </c>
      <c r="Z36" s="385">
        <f t="shared" si="22"/>
        <v>28.494725581255501</v>
      </c>
      <c r="AA36" s="386">
        <f t="shared" si="13"/>
        <v>30.682500994852827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7.1303685901104891E-2</v>
      </c>
      <c r="AD36" s="231">
        <f>(INDEX(Models!$BJ36:$BT36,,AH36)*(1-AF36)+INDEX(Models!$BJ36:$BT36,,AH36+1)*AF36-ERP_i)*AE36*Ramure*Pc/MaxiM</f>
        <v>4.072701778547362E-4</v>
      </c>
      <c r="AE36" s="305">
        <f t="shared" si="15"/>
        <v>0.5</v>
      </c>
      <c r="AF36" s="177">
        <f t="shared" si="23"/>
        <v>0.99834252662183876</v>
      </c>
      <c r="AG36" s="811">
        <f t="shared" si="24"/>
        <v>0</v>
      </c>
      <c r="AH36" s="176">
        <f t="shared" si="16"/>
        <v>6</v>
      </c>
      <c r="AI36" s="225">
        <f t="shared" si="17"/>
        <v>0.99834252662183876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28.547934904775541</v>
      </c>
      <c r="C37" s="841"/>
      <c r="D37" s="393">
        <f t="shared" si="0"/>
        <v>29.86224184554062</v>
      </c>
      <c r="E37" s="385">
        <f t="shared" si="1"/>
        <v>30.756321413462363</v>
      </c>
      <c r="F37" s="385">
        <f t="shared" si="2"/>
        <v>30.768140850337154</v>
      </c>
      <c r="G37" s="110">
        <f t="shared" si="21"/>
        <v>0.98812228781273126</v>
      </c>
      <c r="H37" s="414" t="b">
        <f>Wh_hp&gt;='2023'!Maxi_hp</f>
        <v>0</v>
      </c>
      <c r="I37" s="390">
        <f>IF(H37,Wh_hp,'2023'!Maxi_hp)</f>
        <v>30.768234513818296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4.4012333285732397E-2</v>
      </c>
      <c r="M37" s="845"/>
      <c r="N37" s="845"/>
      <c r="O37" s="48">
        <f>IF(t&lt;Tnet,'2023'!Resal+('2023'!Salim-'2023'!Resal)*(1-EXP(('2023'!Tnet-t)/('2023'!Tau_j))),Resal+(Salim-Resal)*(1-EXP((Tnet-t)/(Tau_j))))*Salcycl</f>
        <v>2.9069782302716993E-2</v>
      </c>
      <c r="P37" s="169">
        <f>(INDEX(Models!$BJ37:$BT37,,T37)*(1-R37)+INDEX(Models!$BJ37:$BT37,,T37+1)*R37-ERP_i)*Q37*Ramure*Pc/MaxiM</f>
        <v>3.9077233639577344E-4</v>
      </c>
      <c r="Q37" s="305">
        <f t="shared" si="4"/>
        <v>0.5</v>
      </c>
      <c r="R37" s="177">
        <f t="shared" si="5"/>
        <v>0.99841150483261609</v>
      </c>
      <c r="S37" s="811">
        <f t="shared" si="6"/>
        <v>0</v>
      </c>
      <c r="T37" s="176">
        <f t="shared" si="7"/>
        <v>6</v>
      </c>
      <c r="U37" s="251">
        <f t="shared" si="8"/>
        <v>0.99841150483261609</v>
      </c>
      <c r="V37" s="383">
        <f t="shared" si="9"/>
        <v>28.890903480403267</v>
      </c>
      <c r="W37" s="402">
        <f t="shared" si="10"/>
        <v>28.547934904775541</v>
      </c>
      <c r="X37" s="157">
        <f t="shared" si="11"/>
        <v>45314</v>
      </c>
      <c r="Y37" s="385">
        <f t="shared" si="12"/>
        <v>27.305150993498383</v>
      </c>
      <c r="Z37" s="385">
        <f t="shared" si="22"/>
        <v>28.562241903544916</v>
      </c>
      <c r="AA37" s="386">
        <f t="shared" si="13"/>
        <v>30.756321413462363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7.1337514016129241E-2</v>
      </c>
      <c r="AD37" s="231">
        <f>(INDEX(Models!$BJ37:$BT37,,AH37)*(1-AF37)+INDEX(Models!$BJ37:$BT37,,AH37+1)*AF37-ERP_i)*AE37*Ramure*Pc/MaxiM</f>
        <v>3.9077233639577344E-4</v>
      </c>
      <c r="AE37" s="305">
        <f t="shared" si="15"/>
        <v>0.5</v>
      </c>
      <c r="AF37" s="177">
        <f t="shared" si="23"/>
        <v>0.99841150483261609</v>
      </c>
      <c r="AG37" s="811">
        <f t="shared" si="24"/>
        <v>0</v>
      </c>
      <c r="AH37" s="176">
        <f t="shared" si="16"/>
        <v>6</v>
      </c>
      <c r="AI37" s="225">
        <f t="shared" si="17"/>
        <v>0.99841150483261609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29.189455753208946</v>
      </c>
      <c r="C38" s="841"/>
      <c r="D38" s="393">
        <f t="shared" si="0"/>
        <v>30.533966187589314</v>
      </c>
      <c r="E38" s="385">
        <f t="shared" si="1"/>
        <v>31.450674145233343</v>
      </c>
      <c r="F38" s="385">
        <f t="shared" si="2"/>
        <v>31.46244680579083</v>
      </c>
      <c r="G38" s="110">
        <f t="shared" si="21"/>
        <v>1.0003758637461395</v>
      </c>
      <c r="H38" s="414" t="b">
        <f>Wh_hp&gt;='2023'!Maxi_hp</f>
        <v>1</v>
      </c>
      <c r="I38" s="390">
        <f>IF(H38,Wh_hp,'2023'!Maxi_hp)</f>
        <v>31.46244680579083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4.4033271869111101E-2</v>
      </c>
      <c r="M38" s="845"/>
      <c r="N38" s="845"/>
      <c r="O38" s="48">
        <f>IF(t&lt;Tnet,'2023'!Resal+('2023'!Salim-'2023'!Resal)*(1-EXP(('2023'!Tnet-t)/('2023'!Tau_j))),Resal+(Salim-Resal)*(1-EXP((Tnet-t)/(Tau_j))))*Salcycl</f>
        <v>2.9147481971637322E-2</v>
      </c>
      <c r="P38" s="169">
        <f>(INDEX(Models!$BJ38:$BT38,,T38)*(1-R38)+INDEX(Models!$BJ38:$BT38,,T38+1)*R38-ERP_i)*Q38*Ramure*Pc/MaxiM</f>
        <v>3.7418134165335417E-4</v>
      </c>
      <c r="Q38" s="305">
        <f t="shared" si="4"/>
        <v>0.5</v>
      </c>
      <c r="R38" s="177">
        <f t="shared" si="5"/>
        <v>0.99848335654284559</v>
      </c>
      <c r="S38" s="811">
        <f t="shared" si="6"/>
        <v>0</v>
      </c>
      <c r="T38" s="176">
        <f t="shared" si="7"/>
        <v>6</v>
      </c>
      <c r="U38" s="251">
        <f t="shared" si="8"/>
        <v>0.99848335654284559</v>
      </c>
      <c r="V38" s="383">
        <f t="shared" si="9"/>
        <v>29.178488617170608</v>
      </c>
      <c r="W38" s="402">
        <f t="shared" si="10"/>
        <v>29.189455753208946</v>
      </c>
      <c r="X38" s="157">
        <f t="shared" si="11"/>
        <v>45315</v>
      </c>
      <c r="Y38" s="385">
        <f t="shared" si="12"/>
        <v>27.919959578924946</v>
      </c>
      <c r="Z38" s="385">
        <f t="shared" si="22"/>
        <v>29.205995101434329</v>
      </c>
      <c r="AA38" s="386">
        <f t="shared" si="13"/>
        <v>31.450674145233343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7.1371412690027128E-2</v>
      </c>
      <c r="AD38" s="231">
        <f>(INDEX(Models!$BJ38:$BT38,,AH38)*(1-AF38)+INDEX(Models!$BJ38:$BT38,,AH38+1)*AF38-ERP_i)*AE38*Ramure*Pc/MaxiM</f>
        <v>3.7418134165335417E-4</v>
      </c>
      <c r="AE38" s="305">
        <f t="shared" si="15"/>
        <v>0.5</v>
      </c>
      <c r="AF38" s="177">
        <f t="shared" si="23"/>
        <v>0.99848335654284559</v>
      </c>
      <c r="AG38" s="811">
        <f t="shared" si="24"/>
        <v>0</v>
      </c>
      <c r="AH38" s="176">
        <f t="shared" si="16"/>
        <v>6</v>
      </c>
      <c r="AI38" s="225">
        <f t="shared" si="17"/>
        <v>0.99848335654284559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27.799135581058891</v>
      </c>
      <c r="C39" s="841"/>
      <c r="D39" s="393">
        <f t="shared" si="0"/>
        <v>29.080242699621024</v>
      </c>
      <c r="E39" s="385">
        <f t="shared" si="1"/>
        <v>29.95570244145506</v>
      </c>
      <c r="F39" s="385">
        <f t="shared" si="2"/>
        <v>29.965561488562379</v>
      </c>
      <c r="G39" s="110">
        <f t="shared" si="21"/>
        <v>0.94315448322014561</v>
      </c>
      <c r="H39" s="414" t="b">
        <f>Wh_hp&gt;='2023'!Maxi_hp</f>
        <v>0</v>
      </c>
      <c r="I39" s="390">
        <f>IF(H39,Wh_hp,'2023'!Maxi_hp)</f>
        <v>29.965963471414504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4.4054209993881099E-2</v>
      </c>
      <c r="M39" s="845"/>
      <c r="N39" s="845"/>
      <c r="O39" s="48">
        <f>IF(t&lt;Tnet,'2023'!Resal+('2023'!Salim-'2023'!Resal)*(1-EXP(('2023'!Tnet-t)/('2023'!Tau_j))),Resal+(Salim-Resal)*(1-EXP((Tnet-t)/(Tau_j))))*Salcycl</f>
        <v>2.9225144813246166E-2</v>
      </c>
      <c r="P39" s="169">
        <f>(INDEX(Models!$BJ39:$BT39,,T39)*(1-R39)+INDEX(Models!$BJ39:$BT39,,T39+1)*R39-ERP_i)*Q39*Ramure*Pc/MaxiM</f>
        <v>3.5807726184955126E-4</v>
      </c>
      <c r="Q39" s="305">
        <f t="shared" si="4"/>
        <v>0.5</v>
      </c>
      <c r="R39" s="177">
        <f t="shared" si="5"/>
        <v>0.99855820057425382</v>
      </c>
      <c r="S39" s="811">
        <f t="shared" si="6"/>
        <v>0</v>
      </c>
      <c r="T39" s="176">
        <f t="shared" si="7"/>
        <v>6</v>
      </c>
      <c r="U39" s="251">
        <f t="shared" si="8"/>
        <v>0.99855820057425382</v>
      </c>
      <c r="V39" s="383">
        <f t="shared" si="9"/>
        <v>29.473779573817136</v>
      </c>
      <c r="W39" s="402">
        <f t="shared" si="10"/>
        <v>27.799135581058891</v>
      </c>
      <c r="X39" s="157">
        <f t="shared" si="11"/>
        <v>45316</v>
      </c>
      <c r="Y39" s="385">
        <f t="shared" si="12"/>
        <v>26.591261073140966</v>
      </c>
      <c r="Z39" s="385">
        <f t="shared" si="22"/>
        <v>27.816703992148717</v>
      </c>
      <c r="AA39" s="386">
        <f t="shared" si="13"/>
        <v>29.95570244145506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7.1405384450148199E-2</v>
      </c>
      <c r="AD39" s="231">
        <f>(INDEX(Models!$BJ39:$BT39,,AH39)*(1-AF39)+INDEX(Models!$BJ39:$BT39,,AH39+1)*AF39-ERP_i)*AE39*Ramure*Pc/MaxiM</f>
        <v>3.5807726184955126E-4</v>
      </c>
      <c r="AE39" s="305">
        <f t="shared" si="15"/>
        <v>0.5</v>
      </c>
      <c r="AF39" s="177">
        <f t="shared" si="23"/>
        <v>0.99855820057425382</v>
      </c>
      <c r="AG39" s="811">
        <f t="shared" si="24"/>
        <v>0</v>
      </c>
      <c r="AH39" s="176">
        <f t="shared" si="16"/>
        <v>6</v>
      </c>
      <c r="AI39" s="225">
        <f t="shared" si="17"/>
        <v>0.99855820057425382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28.790896966576877</v>
      </c>
      <c r="C40" s="841"/>
      <c r="D40" s="393">
        <f t="shared" si="0"/>
        <v>30.118368505747572</v>
      </c>
      <c r="E40" s="385">
        <f t="shared" si="1"/>
        <v>31.027562083598678</v>
      </c>
      <c r="F40" s="385">
        <f t="shared" si="2"/>
        <v>31.037689296198092</v>
      </c>
      <c r="G40" s="110">
        <f t="shared" si="21"/>
        <v>0.96690777179421372</v>
      </c>
      <c r="H40" s="414" t="b">
        <f>Wh_hp&gt;='2023'!Maxi_hp</f>
        <v>0</v>
      </c>
      <c r="I40" s="390">
        <f>IF(H40,Wh_hp,'2023'!Maxi_hp)</f>
        <v>31.037921449908918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4.4075147660052383E-2</v>
      </c>
      <c r="M40" s="845"/>
      <c r="N40" s="845"/>
      <c r="O40" s="48">
        <f>IF(t&lt;Tnet,'2023'!Resal+('2023'!Salim-'2023'!Resal)*(1-EXP(('2023'!Tnet-t)/('2023'!Tau_j))),Resal+(Salim-Resal)*(1-EXP((Tnet-t)/(Tau_j))))*Salcycl</f>
        <v>2.9302772012877922E-2</v>
      </c>
      <c r="P40" s="169">
        <f>(INDEX(Models!$BJ40:$BT40,,T40)*(1-R40)+INDEX(Models!$BJ40:$BT40,,T40+1)*R40-ERP_i)*Q40*Ramure*Pc/MaxiM</f>
        <v>3.4247006376075979E-4</v>
      </c>
      <c r="Q40" s="305">
        <f t="shared" si="4"/>
        <v>0.5</v>
      </c>
      <c r="R40" s="177">
        <f t="shared" si="5"/>
        <v>0.9986361605866465</v>
      </c>
      <c r="S40" s="811">
        <f t="shared" si="6"/>
        <v>0</v>
      </c>
      <c r="T40" s="176">
        <f t="shared" si="7"/>
        <v>6</v>
      </c>
      <c r="U40" s="251">
        <f t="shared" si="8"/>
        <v>0.9986361605866465</v>
      </c>
      <c r="V40" s="383">
        <f t="shared" si="9"/>
        <v>29.775777738269255</v>
      </c>
      <c r="W40" s="402">
        <f t="shared" si="10"/>
        <v>28.790896966576877</v>
      </c>
      <c r="X40" s="157">
        <f t="shared" si="11"/>
        <v>45317</v>
      </c>
      <c r="Y40" s="385">
        <f t="shared" si="12"/>
        <v>27.541122906002659</v>
      </c>
      <c r="Z40" s="385">
        <f t="shared" si="22"/>
        <v>28.810970693550331</v>
      </c>
      <c r="AA40" s="386">
        <f t="shared" si="13"/>
        <v>31.027562083598678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7.1439431305498749E-2</v>
      </c>
      <c r="AD40" s="231">
        <f>(INDEX(Models!$BJ40:$BT40,,AH40)*(1-AF40)+INDEX(Models!$BJ40:$BT40,,AH40+1)*AF40-ERP_i)*AE40*Ramure*Pc/MaxiM</f>
        <v>3.4247006376075979E-4</v>
      </c>
      <c r="AE40" s="305">
        <f t="shared" si="15"/>
        <v>0.5</v>
      </c>
      <c r="AF40" s="177">
        <f t="shared" si="23"/>
        <v>0.9986361605866465</v>
      </c>
      <c r="AG40" s="811">
        <f t="shared" si="24"/>
        <v>0</v>
      </c>
      <c r="AH40" s="176">
        <f t="shared" si="16"/>
        <v>6</v>
      </c>
      <c r="AI40" s="225">
        <f t="shared" si="17"/>
        <v>0.9986361605866465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26.824691146911974</v>
      </c>
      <c r="C41" s="841"/>
      <c r="D41" s="393">
        <f t="shared" si="0"/>
        <v>28.062120807610182</v>
      </c>
      <c r="E41" s="385">
        <f t="shared" si="1"/>
        <v>28.911552766644313</v>
      </c>
      <c r="F41" s="385">
        <f t="shared" si="2"/>
        <v>28.919554994664711</v>
      </c>
      <c r="G41" s="110">
        <f t="shared" si="21"/>
        <v>0.89162980629516675</v>
      </c>
      <c r="H41" s="414" t="b">
        <f>Wh_hp&gt;='2023'!Maxi_hp</f>
        <v>0</v>
      </c>
      <c r="I41" s="390">
        <f>IF(H41,Wh_hp,'2023'!Maxi_hp)</f>
        <v>28.920232617261767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4.4096084867635166E-2</v>
      </c>
      <c r="M41" s="845"/>
      <c r="N41" s="845"/>
      <c r="O41" s="48">
        <f>IF(t&lt;Tnet,'2023'!Resal+('2023'!Salim-'2023'!Resal)*(1-EXP(('2023'!Tnet-t)/('2023'!Tau_j))),Resal+(Salim-Resal)*(1-EXP((Tnet-t)/(Tau_j))))*Salcycl</f>
        <v>2.9380364516918424E-2</v>
      </c>
      <c r="P41" s="169">
        <f>(INDEX(Models!$BJ41:$BT41,,T41)*(1-R41)+INDEX(Models!$BJ41:$BT41,,T41+1)*R41-ERP_i)*Q41*Ramure*Pc/MaxiM</f>
        <v>3.2736643089915934E-4</v>
      </c>
      <c r="Q41" s="305">
        <f t="shared" si="4"/>
        <v>0.5</v>
      </c>
      <c r="R41" s="177">
        <f t="shared" si="5"/>
        <v>0.99871736526846822</v>
      </c>
      <c r="S41" s="811">
        <f t="shared" si="6"/>
        <v>0</v>
      </c>
      <c r="T41" s="176">
        <f t="shared" si="7"/>
        <v>6</v>
      </c>
      <c r="U41" s="251">
        <f t="shared" si="8"/>
        <v>0.99871736526846822</v>
      </c>
      <c r="V41" s="383">
        <f t="shared" si="9"/>
        <v>30.08348492124928</v>
      </c>
      <c r="W41" s="402">
        <f t="shared" si="10"/>
        <v>26.824691146911974</v>
      </c>
      <c r="X41" s="157">
        <f t="shared" si="11"/>
        <v>45318</v>
      </c>
      <c r="Y41" s="385">
        <f t="shared" si="12"/>
        <v>25.661375689487283</v>
      </c>
      <c r="Z41" s="385">
        <f t="shared" si="22"/>
        <v>26.845141319390798</v>
      </c>
      <c r="AA41" s="386">
        <f t="shared" si="13"/>
        <v>28.911552766644313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7.1473554669729225E-2</v>
      </c>
      <c r="AD41" s="231">
        <f>(INDEX(Models!$BJ41:$BT41,,AH41)*(1-AF41)+INDEX(Models!$BJ41:$BT41,,AH41+1)*AF41-ERP_i)*AE41*Ramure*Pc/MaxiM</f>
        <v>3.2736643089915934E-4</v>
      </c>
      <c r="AE41" s="305">
        <f t="shared" si="15"/>
        <v>0.5</v>
      </c>
      <c r="AF41" s="177">
        <f t="shared" si="23"/>
        <v>0.99871736526846822</v>
      </c>
      <c r="AG41" s="811">
        <f t="shared" si="24"/>
        <v>0</v>
      </c>
      <c r="AH41" s="176">
        <f t="shared" si="16"/>
        <v>6</v>
      </c>
      <c r="AI41" s="225">
        <f t="shared" si="17"/>
        <v>0.99871736526846822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4.381484690709903</v>
      </c>
      <c r="C42" s="841"/>
      <c r="D42" s="393">
        <f t="shared" si="0"/>
        <v>4.5837040618926999</v>
      </c>
      <c r="E42" s="385">
        <f t="shared" si="1"/>
        <v>4.7228287887103226</v>
      </c>
      <c r="F42" s="385">
        <f t="shared" si="2"/>
        <v>4.7228287887103226</v>
      </c>
      <c r="G42" s="110">
        <f t="shared" si="21"/>
        <v>0.14410212599282976</v>
      </c>
      <c r="H42" s="414" t="b">
        <f>Wh_hp&gt;='2023'!Maxi_hp</f>
        <v>0</v>
      </c>
      <c r="I42" s="390">
        <f>IF(H42,Wh_hp,'2023'!Maxi_hp)</f>
        <v>18.517028420857695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4.4117021616639218E-2</v>
      </c>
      <c r="M42" s="845"/>
      <c r="N42" s="845"/>
      <c r="O42" s="48">
        <f>IF(t&lt;Tnet,'2023'!Resal+('2023'!Salim-'2023'!Resal)*(1-EXP(('2023'!Tnet-t)/('2023'!Tau_j))),Resal+(Salim-Resal)*(1-EXP((Tnet-t)/(Tau_j))))*Salcycl</f>
        <v>2.9457923003728965E-2</v>
      </c>
      <c r="P42" s="169">
        <f>(INDEX(Models!$BJ42:$BT42,,T42)*(1-R42)+INDEX(Models!$BJ42:$BT42,,T42+1)*R42-ERP_i)*Q42*Ramure*Pc/MaxiM</f>
        <v>3.1277008427137046E-4</v>
      </c>
      <c r="Q42" s="305">
        <f t="shared" si="4"/>
        <v>0.5</v>
      </c>
      <c r="R42" s="177">
        <f t="shared" si="5"/>
        <v>0.99880194853431414</v>
      </c>
      <c r="S42" s="811">
        <f t="shared" si="6"/>
        <v>0</v>
      </c>
      <c r="T42" s="176">
        <f t="shared" si="7"/>
        <v>6</v>
      </c>
      <c r="U42" s="251">
        <f t="shared" si="8"/>
        <v>0.99880194853431414</v>
      </c>
      <c r="V42" s="383">
        <f t="shared" si="9"/>
        <v>30.395903344215068</v>
      </c>
      <c r="W42" s="402">
        <f t="shared" si="10"/>
        <v>4.381484690709903</v>
      </c>
      <c r="X42" s="157">
        <f t="shared" si="11"/>
        <v>45319</v>
      </c>
      <c r="Y42" s="385">
        <f t="shared" si="12"/>
        <v>4.1916519149787614</v>
      </c>
      <c r="Z42" s="385">
        <f t="shared" si="22"/>
        <v>4.3851099033774013</v>
      </c>
      <c r="AA42" s="386">
        <f t="shared" si="13"/>
        <v>4.7228287887103226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7.1507755297041509E-2</v>
      </c>
      <c r="AD42" s="231">
        <f>(INDEX(Models!$BJ42:$BT42,,AH42)*(1-AF42)+INDEX(Models!$BJ42:$BT42,,AH42+1)*AF42-ERP_i)*AE42*Ramure*Pc/MaxiM</f>
        <v>3.1277008427137046E-4</v>
      </c>
      <c r="AE42" s="305">
        <f t="shared" si="15"/>
        <v>0.5</v>
      </c>
      <c r="AF42" s="177">
        <f t="shared" si="23"/>
        <v>0.99880194853431414</v>
      </c>
      <c r="AG42" s="811">
        <f t="shared" si="24"/>
        <v>0</v>
      </c>
      <c r="AH42" s="176">
        <f t="shared" si="16"/>
        <v>6</v>
      </c>
      <c r="AI42" s="225">
        <f t="shared" si="17"/>
        <v>0.99880194853431414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9.6076333314542257</v>
      </c>
      <c r="C43" s="841"/>
      <c r="D43" s="393">
        <f t="shared" si="0"/>
        <v>10.051276134386148</v>
      </c>
      <c r="E43" s="385">
        <f t="shared" si="1"/>
        <v>10.35718008681429</v>
      </c>
      <c r="F43" s="385">
        <f t="shared" si="2"/>
        <v>10.357236784799273</v>
      </c>
      <c r="G43" s="110">
        <f t="shared" si="21"/>
        <v>0.31273785922389435</v>
      </c>
      <c r="H43" s="414" t="b">
        <f>Wh_hp&gt;='2023'!Maxi_hp</f>
        <v>0</v>
      </c>
      <c r="I43" s="390">
        <f>IF(H43,Wh_hp,'2023'!Maxi_hp)</f>
        <v>20.355528257182332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4.4137957907074865E-2</v>
      </c>
      <c r="M43" s="845"/>
      <c r="N43" s="845"/>
      <c r="O43" s="48">
        <f>IF(t&lt;Tnet,'2023'!Resal+('2023'!Salim-'2023'!Resal)*(1-EXP(('2023'!Tnet-t)/('2023'!Tau_j))),Resal+(Salim-Resal)*(1-EXP((Tnet-t)/(Tau_j))))*Salcycl</f>
        <v>2.9535447859749774E-2</v>
      </c>
      <c r="P43" s="169">
        <f>(INDEX(Models!$BJ43:$BT43,,T43)*(1-R43)+INDEX(Models!$BJ43:$BT43,,T43+1)*R43-ERP_i)*Q43*Ramure*Pc/MaxiM</f>
        <v>2.9868209649565254E-4</v>
      </c>
      <c r="Q43" s="305">
        <f t="shared" si="4"/>
        <v>0.5</v>
      </c>
      <c r="R43" s="177">
        <f t="shared" si="5"/>
        <v>0.99889004972959938</v>
      </c>
      <c r="S43" s="811">
        <f t="shared" si="6"/>
        <v>0</v>
      </c>
      <c r="T43" s="176">
        <f t="shared" si="7"/>
        <v>6</v>
      </c>
      <c r="U43" s="251">
        <f t="shared" si="8"/>
        <v>0.99889004972959938</v>
      </c>
      <c r="V43" s="383">
        <f t="shared" si="9"/>
        <v>30.712035652734421</v>
      </c>
      <c r="W43" s="402">
        <f t="shared" si="10"/>
        <v>9.6076333314542257</v>
      </c>
      <c r="X43" s="157">
        <f t="shared" si="11"/>
        <v>45320</v>
      </c>
      <c r="Y43" s="385">
        <f t="shared" si="12"/>
        <v>9.1917666531016096</v>
      </c>
      <c r="Z43" s="385">
        <f t="shared" si="22"/>
        <v>9.616206364859524</v>
      </c>
      <c r="AA43" s="386">
        <f t="shared" si="13"/>
        <v>10.35718008681429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7.1542033231429381E-2</v>
      </c>
      <c r="AD43" s="231">
        <f>(INDEX(Models!$BJ43:$BT43,,AH43)*(1-AF43)+INDEX(Models!$BJ43:$BT43,,AH43+1)*AF43-ERP_i)*AE43*Ramure*Pc/MaxiM</f>
        <v>2.9868209649565254E-4</v>
      </c>
      <c r="AE43" s="305">
        <f t="shared" si="15"/>
        <v>0.5</v>
      </c>
      <c r="AF43" s="177">
        <f t="shared" si="23"/>
        <v>0.99889004972959938</v>
      </c>
      <c r="AG43" s="811">
        <f t="shared" si="24"/>
        <v>0</v>
      </c>
      <c r="AH43" s="176">
        <f t="shared" si="16"/>
        <v>6</v>
      </c>
      <c r="AI43" s="225">
        <f t="shared" si="17"/>
        <v>0.99889004972959938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4.5698099210362031</v>
      </c>
      <c r="C44" s="841"/>
      <c r="D44" s="393">
        <f t="shared" si="0"/>
        <v>4.7809305240197011</v>
      </c>
      <c r="E44" s="385">
        <f t="shared" si="1"/>
        <v>4.9268283934927819</v>
      </c>
      <c r="F44" s="385">
        <f t="shared" si="2"/>
        <v>4.9268283934927819</v>
      </c>
      <c r="G44" s="110">
        <f t="shared" si="21"/>
        <v>0.14722451764997824</v>
      </c>
      <c r="H44" s="414" t="b">
        <f>Wh_hp&gt;='2023'!Maxi_hp</f>
        <v>0</v>
      </c>
      <c r="I44" s="390">
        <f>IF(H44,Wh_hp,'2023'!Maxi_hp)</f>
        <v>12.271638358981564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4.4158893738951988E-2</v>
      </c>
      <c r="M44" s="845"/>
      <c r="N44" s="845"/>
      <c r="O44" s="48">
        <f>IF(t&lt;Tnet,'2023'!Resal+('2023'!Salim-'2023'!Resal)*(1-EXP(('2023'!Tnet-t)/('2023'!Tau_j))),Resal+(Salim-Resal)*(1-EXP((Tnet-t)/(Tau_j))))*Salcycl</f>
        <v>2.9612939160977944E-2</v>
      </c>
      <c r="P44" s="169">
        <f>(INDEX(Models!$BJ44:$BT44,,T44)*(1-R44)+INDEX(Models!$BJ44:$BT44,,T44+1)*R44-ERP_i)*Q44*Ramure*Pc/MaxiM</f>
        <v>2.8543158382462753E-4</v>
      </c>
      <c r="Q44" s="305">
        <f t="shared" si="4"/>
        <v>0.5</v>
      </c>
      <c r="R44" s="177">
        <f t="shared" si="5"/>
        <v>0.99898181384259288</v>
      </c>
      <c r="S44" s="811">
        <f t="shared" si="6"/>
        <v>0</v>
      </c>
      <c r="T44" s="176">
        <f t="shared" si="7"/>
        <v>6</v>
      </c>
      <c r="U44" s="251">
        <f t="shared" si="8"/>
        <v>0.99898181384259288</v>
      </c>
      <c r="V44" s="383">
        <f t="shared" si="9"/>
        <v>31.030874652373768</v>
      </c>
      <c r="W44" s="402">
        <f t="shared" si="10"/>
        <v>4.5698099210362031</v>
      </c>
      <c r="X44" s="157">
        <f t="shared" si="11"/>
        <v>45321</v>
      </c>
      <c r="Y44" s="385">
        <f t="shared" si="12"/>
        <v>4.3721929169446669</v>
      </c>
      <c r="Z44" s="385">
        <f t="shared" si="22"/>
        <v>4.5741838139262709</v>
      </c>
      <c r="AA44" s="386">
        <f t="shared" si="13"/>
        <v>4.9268283934927819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7.1576387769518038E-2</v>
      </c>
      <c r="AD44" s="231">
        <f>(INDEX(Models!$BJ44:$BT44,,AH44)*(1-AF44)+INDEX(Models!$BJ44:$BT44,,AH44+1)*AF44-ERP_i)*AE44*Ramure*Pc/MaxiM</f>
        <v>2.8543158382462753E-4</v>
      </c>
      <c r="AE44" s="305">
        <f t="shared" si="15"/>
        <v>0.5</v>
      </c>
      <c r="AF44" s="177">
        <f t="shared" si="23"/>
        <v>0.99898181384259288</v>
      </c>
      <c r="AG44" s="811">
        <f t="shared" si="24"/>
        <v>0</v>
      </c>
      <c r="AH44" s="176">
        <f t="shared" si="16"/>
        <v>6</v>
      </c>
      <c r="AI44" s="225">
        <f t="shared" si="17"/>
        <v>0.99898181384259288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9.3465781956472682</v>
      </c>
      <c r="C45" s="841"/>
      <c r="D45" s="393">
        <f t="shared" si="0"/>
        <v>9.778594844851014</v>
      </c>
      <c r="E45" s="385">
        <f t="shared" si="1"/>
        <v>10.077808991264932</v>
      </c>
      <c r="F45" s="385">
        <f t="shared" si="2"/>
        <v>10.077808991264932</v>
      </c>
      <c r="G45" s="110">
        <f t="shared" si="21"/>
        <v>0.29804153664796534</v>
      </c>
      <c r="H45" s="414" t="b">
        <f>Wh_hp&gt;='2023'!Maxi_hp</f>
        <v>0</v>
      </c>
      <c r="I45" s="390">
        <f>IF(H45,Wh_hp,'2023'!Maxi_hp)</f>
        <v>23.585730416186674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4.4179829112280578E-2</v>
      </c>
      <c r="M45" s="845"/>
      <c r="N45" s="845"/>
      <c r="O45" s="48">
        <f>IF(t&lt;Tnet,'2023'!Resal+('2023'!Salim-'2023'!Resal)*(1-EXP(('2023'!Tnet-t)/('2023'!Tau_j))),Resal+(Salim-Resal)*(1-EXP((Tnet-t)/(Tau_j))))*Salcycl</f>
        <v>2.9690396659955043E-2</v>
      </c>
      <c r="P45" s="169">
        <f>(INDEX(Models!$BJ45:$BT45,,T45)*(1-R45)+INDEX(Models!$BJ45:$BT45,,T45+1)*R45-ERP_i)*Q45*Ramure*Pc/MaxiM</f>
        <v>2.7309024022848259E-4</v>
      </c>
      <c r="Q45" s="305">
        <f t="shared" si="4"/>
        <v>0.5</v>
      </c>
      <c r="R45" s="177">
        <f t="shared" si="5"/>
        <v>0.99907739172402299</v>
      </c>
      <c r="S45" s="811">
        <f t="shared" si="6"/>
        <v>0</v>
      </c>
      <c r="T45" s="176">
        <f t="shared" si="7"/>
        <v>6</v>
      </c>
      <c r="U45" s="251">
        <f t="shared" si="8"/>
        <v>0.99907739172402299</v>
      </c>
      <c r="V45" s="383">
        <f t="shared" si="9"/>
        <v>31.351421152412364</v>
      </c>
      <c r="W45" s="402">
        <f t="shared" si="10"/>
        <v>9.3465781956472682</v>
      </c>
      <c r="X45" s="157">
        <f t="shared" si="11"/>
        <v>45322</v>
      </c>
      <c r="Y45" s="385">
        <f t="shared" si="12"/>
        <v>8.9427766776168269</v>
      </c>
      <c r="Z45" s="385">
        <f t="shared" si="22"/>
        <v>9.3561288514252734</v>
      </c>
      <c r="AA45" s="386">
        <f t="shared" si="13"/>
        <v>10.077808991264932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7.1610817437121929E-2</v>
      </c>
      <c r="AD45" s="231">
        <f>(INDEX(Models!$BJ45:$BT45,,AH45)*(1-AF45)+INDEX(Models!$BJ45:$BT45,,AH45+1)*AF45-ERP_i)*AE45*Ramure*Pc/MaxiM</f>
        <v>2.7309024022848259E-4</v>
      </c>
      <c r="AE45" s="305">
        <f t="shared" si="15"/>
        <v>0.5</v>
      </c>
      <c r="AF45" s="177">
        <f t="shared" si="23"/>
        <v>0.99907739172402299</v>
      </c>
      <c r="AG45" s="811">
        <f t="shared" si="24"/>
        <v>0</v>
      </c>
      <c r="AH45" s="176">
        <f t="shared" si="16"/>
        <v>6</v>
      </c>
      <c r="AI45" s="225">
        <f t="shared" si="17"/>
        <v>0.99907739172402299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13.568996473217782</v>
      </c>
      <c r="C46" s="841"/>
      <c r="D46" s="393">
        <f t="shared" si="0"/>
        <v>14.196492278428744</v>
      </c>
      <c r="E46" s="385">
        <f t="shared" si="1"/>
        <v>14.63205670542219</v>
      </c>
      <c r="F46" s="385">
        <f t="shared" si="2"/>
        <v>14.632759038698934</v>
      </c>
      <c r="G46" s="110">
        <f t="shared" si="21"/>
        <v>0.42832175282513119</v>
      </c>
      <c r="H46" s="414" t="b">
        <f>Wh_hp&gt;='2023'!Maxi_hp</f>
        <v>0</v>
      </c>
      <c r="I46" s="390">
        <f>IF(H46,Wh_hp,'2023'!Maxi_hp)</f>
        <v>27.944973498874095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4.4200764027070849E-2</v>
      </c>
      <c r="M46" s="845"/>
      <c r="N46" s="845"/>
      <c r="O46" s="48">
        <f>IF(t&lt;Tnet,'2023'!Resal+('2023'!Salim-'2023'!Resal)*(1-EXP(('2023'!Tnet-t)/('2023'!Tau_j))),Resal+(Salim-Resal)*(1-EXP((Tnet-t)/(Tau_j))))*Salcycl</f>
        <v>2.9767819778339054E-2</v>
      </c>
      <c r="P46" s="169">
        <f>(INDEX(Models!$BJ46:$BT46,,T46)*(1-R46)+INDEX(Models!$BJ46:$BT46,,T46+1)*R46-ERP_i)*Q46*Ramure*Pc/MaxiM</f>
        <v>2.6164058377448648E-4</v>
      </c>
      <c r="Q46" s="305">
        <f t="shared" si="4"/>
        <v>0.5</v>
      </c>
      <c r="R46" s="177">
        <f t="shared" si="5"/>
        <v>0.99917694031446347</v>
      </c>
      <c r="S46" s="811">
        <f t="shared" si="6"/>
        <v>0</v>
      </c>
      <c r="T46" s="176">
        <f t="shared" si="7"/>
        <v>6</v>
      </c>
      <c r="U46" s="251">
        <f t="shared" si="8"/>
        <v>0.99917694031446347</v>
      </c>
      <c r="V46" s="383">
        <f t="shared" si="9"/>
        <v>31.672679054829075</v>
      </c>
      <c r="W46" s="402">
        <f t="shared" si="10"/>
        <v>13.568996473217782</v>
      </c>
      <c r="X46" s="157">
        <f t="shared" si="11"/>
        <v>45323</v>
      </c>
      <c r="Y46" s="385">
        <f t="shared" si="12"/>
        <v>12.983326708680773</v>
      </c>
      <c r="Z46" s="385">
        <f t="shared" si="22"/>
        <v>13.583738320804114</v>
      </c>
      <c r="AA46" s="386">
        <f t="shared" si="13"/>
        <v>14.63205670542219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7.1645319979494165E-2</v>
      </c>
      <c r="AD46" s="231">
        <f>(INDEX(Models!$BJ46:$BT46,,AH46)*(1-AF46)+INDEX(Models!$BJ46:$BT46,,AH46+1)*AF46-ERP_i)*AE46*Ramure*Pc/MaxiM</f>
        <v>2.6164058377448648E-4</v>
      </c>
      <c r="AE46" s="305">
        <f t="shared" si="15"/>
        <v>0.5</v>
      </c>
      <c r="AF46" s="177">
        <f t="shared" si="23"/>
        <v>0.99917694031446347</v>
      </c>
      <c r="AG46" s="811">
        <f t="shared" si="24"/>
        <v>0</v>
      </c>
      <c r="AH46" s="176">
        <f t="shared" si="16"/>
        <v>6</v>
      </c>
      <c r="AI46" s="225">
        <f t="shared" si="17"/>
        <v>0.99917694031446347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5.4509072816625919</v>
      </c>
      <c r="C47" s="841"/>
      <c r="D47" s="393">
        <f t="shared" si="0"/>
        <v>5.703108422751253</v>
      </c>
      <c r="E47" s="385">
        <f t="shared" si="1"/>
        <v>5.8785551207478539</v>
      </c>
      <c r="F47" s="385">
        <f t="shared" si="2"/>
        <v>5.8785551207478539</v>
      </c>
      <c r="G47" s="110">
        <f t="shared" si="21"/>
        <v>0.17033187204157341</v>
      </c>
      <c r="H47" s="414" t="b">
        <f>Wh_hp&gt;='2023'!Maxi_hp</f>
        <v>0</v>
      </c>
      <c r="I47" s="390">
        <f>IF(H47,Wh_hp,'2023'!Maxi_hp)</f>
        <v>29.540538398179784</v>
      </c>
      <c r="J47" s="85">
        <f>IF(H47,An,'2023'!An_max)</f>
        <v>2020</v>
      </c>
      <c r="K47" s="197">
        <f t="shared" si="3"/>
        <v>45324</v>
      </c>
      <c r="L47" s="147">
        <f>IF(t&lt;Tvie,1-EXP((T0-t)*PertePVj)+'2023'!Pspv,1-EXP((T0-t)*PertePVj)+Pspv)</f>
        <v>4.4221698483332683E-2</v>
      </c>
      <c r="M47" s="845"/>
      <c r="N47" s="845"/>
      <c r="O47" s="48">
        <f>IF(t&lt;Tnet,'2023'!Resal+('2023'!Salim-'2023'!Resal)*(1-EXP(('2023'!Tnet-t)/('2023'!Tau_j))),Resal+(Salim-Resal)*(1-EXP((Tnet-t)/(Tau_j))))*Salcycl</f>
        <v>2.9845207605075731E-2</v>
      </c>
      <c r="P47" s="169">
        <f>(INDEX(Models!$BJ47:$BT47,,T47)*(1-R47)+INDEX(Models!$BJ47:$BT47,,T47+1)*R47-ERP_i)*Q47*Ramure*Pc/MaxiM</f>
        <v>2.5106419510900313E-4</v>
      </c>
      <c r="Q47" s="305">
        <f t="shared" si="4"/>
        <v>0.5</v>
      </c>
      <c r="R47" s="177">
        <f t="shared" si="5"/>
        <v>0.99928062287970831</v>
      </c>
      <c r="S47" s="811">
        <f t="shared" si="6"/>
        <v>0</v>
      </c>
      <c r="T47" s="176">
        <f t="shared" si="7"/>
        <v>6</v>
      </c>
      <c r="U47" s="251">
        <f t="shared" si="8"/>
        <v>0.99928062287970831</v>
      </c>
      <c r="V47" s="383">
        <f t="shared" si="9"/>
        <v>31.993652677540133</v>
      </c>
      <c r="W47" s="402">
        <f t="shared" si="10"/>
        <v>5.4509072816625919</v>
      </c>
      <c r="X47" s="157">
        <f t="shared" si="11"/>
        <v>45324</v>
      </c>
      <c r="Y47" s="385">
        <f t="shared" si="12"/>
        <v>5.215855113109634</v>
      </c>
      <c r="Z47" s="385">
        <f t="shared" si="22"/>
        <v>5.4571809224303438</v>
      </c>
      <c r="AA47" s="386">
        <f t="shared" si="13"/>
        <v>5.8785551207478539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7.1679892365099376E-2</v>
      </c>
      <c r="AD47" s="231">
        <f>(INDEX(Models!$BJ47:$BT47,,AH47)*(1-AF47)+INDEX(Models!$BJ47:$BT47,,AH47+1)*AF47-ERP_i)*AE47*Ramure*Pc/MaxiM</f>
        <v>2.5106419510900313E-4</v>
      </c>
      <c r="AE47" s="305">
        <f t="shared" si="15"/>
        <v>0.5</v>
      </c>
      <c r="AF47" s="177">
        <f t="shared" si="23"/>
        <v>0.99928062287970831</v>
      </c>
      <c r="AG47" s="811">
        <f t="shared" si="24"/>
        <v>0</v>
      </c>
      <c r="AH47" s="176">
        <f t="shared" si="16"/>
        <v>6</v>
      </c>
      <c r="AI47" s="225">
        <f t="shared" si="17"/>
        <v>0.99928062287970831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10.274209556755684</v>
      </c>
      <c r="C48" s="841"/>
      <c r="D48" s="393">
        <f t="shared" si="0"/>
        <v>10.749809424359219</v>
      </c>
      <c r="E48" s="385">
        <f t="shared" si="1"/>
        <v>11.081393060920034</v>
      </c>
      <c r="F48" s="385">
        <f t="shared" si="2"/>
        <v>11.08146166215386</v>
      </c>
      <c r="G48" s="110">
        <f t="shared" si="21"/>
        <v>0.31788083184780419</v>
      </c>
      <c r="H48" s="414" t="b">
        <f>Wh_hp&gt;='2023'!Maxi_hp</f>
        <v>0</v>
      </c>
      <c r="I48" s="390">
        <f>IF(H48,Wh_hp,'2023'!Maxi_hp)</f>
        <v>27.40840746637317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4.4242632481076294E-2</v>
      </c>
      <c r="M48" s="845"/>
      <c r="N48" s="845"/>
      <c r="O48" s="48">
        <f>IF(t&lt;Tnet,'2023'!Resal+('2023'!Salim-'2023'!Resal)*(1-EXP(('2023'!Tnet-t)/('2023'!Tau_j))),Resal+(Salim-Resal)*(1-EXP((Tnet-t)/(Tau_j))))*Salcycl</f>
        <v>2.9922558900124806E-2</v>
      </c>
      <c r="P48" s="169">
        <f>(INDEX(Models!$BJ48:$BT48,,T48)*(1-R48)+INDEX(Models!$BJ48:$BT48,,T48+1)*R48-ERP_i)*Q48*Ramure*Pc/MaxiM</f>
        <v>2.4134204922674477E-4</v>
      </c>
      <c r="Q48" s="305">
        <f t="shared" si="4"/>
        <v>0.5</v>
      </c>
      <c r="R48" s="177">
        <f t="shared" si="5"/>
        <v>0.99938860925434125</v>
      </c>
      <c r="S48" s="811">
        <f t="shared" si="6"/>
        <v>0</v>
      </c>
      <c r="T48" s="176">
        <f t="shared" si="7"/>
        <v>6</v>
      </c>
      <c r="U48" s="251">
        <f t="shared" si="8"/>
        <v>0.99938860925434125</v>
      </c>
      <c r="V48" s="383">
        <f t="shared" si="9"/>
        <v>32.313346756821055</v>
      </c>
      <c r="W48" s="402">
        <f t="shared" si="10"/>
        <v>10.274209556755684</v>
      </c>
      <c r="X48" s="157">
        <f t="shared" si="11"/>
        <v>45325</v>
      </c>
      <c r="Y48" s="385">
        <f t="shared" si="12"/>
        <v>9.8315856394019487</v>
      </c>
      <c r="Z48" s="385">
        <f t="shared" si="22"/>
        <v>10.286696156916925</v>
      </c>
      <c r="AA48" s="386">
        <f t="shared" si="13"/>
        <v>11.081393060920034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7.1714530802603746E-2</v>
      </c>
      <c r="AD48" s="231">
        <f>(INDEX(Models!$BJ48:$BT48,,AH48)*(1-AF48)+INDEX(Models!$BJ48:$BT48,,AH48+1)*AF48-ERP_i)*AE48*Ramure*Pc/MaxiM</f>
        <v>2.4134204922674477E-4</v>
      </c>
      <c r="AE48" s="305">
        <f t="shared" si="15"/>
        <v>0.5</v>
      </c>
      <c r="AF48" s="177">
        <f t="shared" si="23"/>
        <v>0.99938860925434125</v>
      </c>
      <c r="AG48" s="811">
        <f t="shared" si="24"/>
        <v>0</v>
      </c>
      <c r="AH48" s="176">
        <f t="shared" si="16"/>
        <v>6</v>
      </c>
      <c r="AI48" s="225">
        <f t="shared" si="17"/>
        <v>0.99938860925434125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10.173437255082035</v>
      </c>
      <c r="C49" s="841"/>
      <c r="D49" s="393">
        <f t="shared" si="0"/>
        <v>10.644605451232849</v>
      </c>
      <c r="E49" s="385">
        <f t="shared" si="1"/>
        <v>10.973818605898336</v>
      </c>
      <c r="F49" s="385">
        <f t="shared" si="2"/>
        <v>10.973861513905424</v>
      </c>
      <c r="G49" s="110">
        <f t="shared" si="21"/>
        <v>0.31170313381393466</v>
      </c>
      <c r="H49" s="414" t="b">
        <f>Wh_hp&gt;='2023'!Maxi_hp</f>
        <v>0</v>
      </c>
      <c r="I49" s="390">
        <f>IF(H49,Wh_hp,'2023'!Maxi_hp)</f>
        <v>27.911356460515268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4.4263566020311562E-2</v>
      </c>
      <c r="M49" s="845"/>
      <c r="N49" s="845"/>
      <c r="O49" s="48">
        <f>IF(t&lt;Tnet,'2023'!Resal+('2023'!Salim-'2023'!Resal)*(1-EXP(('2023'!Tnet-t)/('2023'!Tau_j))),Resal+(Salim-Resal)*(1-EXP((Tnet-t)/(Tau_j))))*Salcycl</f>
        <v>2.9999872103639167E-2</v>
      </c>
      <c r="P49" s="169">
        <f>(INDEX(Models!$BJ49:$BT49,,T49)*(1-R49)+INDEX(Models!$BJ49:$BT49,,T49+1)*R49-ERP_i)*Q49*Ramure*Pc/MaxiM</f>
        <v>2.3245481518462734E-4</v>
      </c>
      <c r="Q49" s="305">
        <f t="shared" si="4"/>
        <v>0.5</v>
      </c>
      <c r="R49" s="177">
        <f t="shared" si="5"/>
        <v>0.99950107609370731</v>
      </c>
      <c r="S49" s="811">
        <f t="shared" si="6"/>
        <v>0</v>
      </c>
      <c r="T49" s="176">
        <f t="shared" si="7"/>
        <v>6</v>
      </c>
      <c r="U49" s="251">
        <f t="shared" si="8"/>
        <v>0.99950107609370731</v>
      </c>
      <c r="V49" s="383">
        <f t="shared" si="9"/>
        <v>32.63076644560919</v>
      </c>
      <c r="W49" s="402">
        <f t="shared" si="10"/>
        <v>10.173437255082035</v>
      </c>
      <c r="X49" s="157">
        <f t="shared" si="11"/>
        <v>45326</v>
      </c>
      <c r="Y49" s="385">
        <f t="shared" si="12"/>
        <v>9.7355667140133217</v>
      </c>
      <c r="Z49" s="385">
        <f t="shared" si="22"/>
        <v>10.186455562308536</v>
      </c>
      <c r="AA49" s="386">
        <f t="shared" si="13"/>
        <v>10.973818605898336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7.1749230770645198E-2</v>
      </c>
      <c r="AD49" s="231">
        <f>(INDEX(Models!$BJ49:$BT49,,AH49)*(1-AF49)+INDEX(Models!$BJ49:$BT49,,AH49+1)*AF49-ERP_i)*AE49*Ramure*Pc/MaxiM</f>
        <v>2.3245481518462734E-4</v>
      </c>
      <c r="AE49" s="305">
        <f t="shared" si="15"/>
        <v>0.5</v>
      </c>
      <c r="AF49" s="177">
        <f t="shared" si="23"/>
        <v>0.99950107609370731</v>
      </c>
      <c r="AG49" s="811">
        <f t="shared" si="24"/>
        <v>0</v>
      </c>
      <c r="AH49" s="176">
        <f t="shared" si="16"/>
        <v>6</v>
      </c>
      <c r="AI49" s="225">
        <f t="shared" si="17"/>
        <v>0.99950107609370731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9.8430623558772918</v>
      </c>
      <c r="C50" s="841"/>
      <c r="D50" s="393">
        <f t="shared" si="0"/>
        <v>10.299155289015248</v>
      </c>
      <c r="E50" s="385">
        <f t="shared" si="1"/>
        <v>10.618530370373005</v>
      </c>
      <c r="F50" s="385">
        <f t="shared" si="2"/>
        <v>10.618530370373005</v>
      </c>
      <c r="G50" s="110">
        <f t="shared" si="21"/>
        <v>0.29870628130649218</v>
      </c>
      <c r="H50" s="414" t="b">
        <f>Wh_hp&gt;='2023'!Maxi_hp</f>
        <v>0</v>
      </c>
      <c r="I50" s="390">
        <f>IF(H50,Wh_hp,'2023'!Maxi_hp)</f>
        <v>35.533389786711119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4.4284499101048591E-2</v>
      </c>
      <c r="M50" s="845"/>
      <c r="N50" s="845"/>
      <c r="O50" s="48">
        <f>IF(t&lt;Tnet,'2023'!Resal+('2023'!Salim-'2023'!Resal)*(1-EXP(('2023'!Tnet-t)/('2023'!Tau_j))),Resal+(Salim-Resal)*(1-EXP((Tnet-t)/(Tau_j))))*Salcycl</f>
        <v>3.0077145350438827E-2</v>
      </c>
      <c r="P50" s="169">
        <f>(INDEX(Models!$BJ50:$BT50,,T50)*(1-R50)+INDEX(Models!$BJ50:$BT50,,T50+1)*R50-ERP_i)*Q50*Ramure*Pc/MaxiM</f>
        <v>2.2438312547824507E-4</v>
      </c>
      <c r="Q50" s="305">
        <f t="shared" si="4"/>
        <v>0.5</v>
      </c>
      <c r="R50" s="177">
        <f t="shared" si="5"/>
        <v>0.99961820713448812</v>
      </c>
      <c r="S50" s="811">
        <f t="shared" si="6"/>
        <v>0</v>
      </c>
      <c r="T50" s="176">
        <f t="shared" si="7"/>
        <v>6</v>
      </c>
      <c r="U50" s="251">
        <f t="shared" si="8"/>
        <v>0.99961820713448812</v>
      </c>
      <c r="V50" s="383">
        <f t="shared" si="9"/>
        <v>32.944917313888837</v>
      </c>
      <c r="W50" s="402">
        <f t="shared" si="10"/>
        <v>9.8430623558772918</v>
      </c>
      <c r="X50" s="157">
        <f t="shared" si="11"/>
        <v>45327</v>
      </c>
      <c r="Y50" s="385">
        <f t="shared" si="12"/>
        <v>9.4198090614073067</v>
      </c>
      <c r="Z50" s="385">
        <f t="shared" si="22"/>
        <v>9.8562899236718255</v>
      </c>
      <c r="AA50" s="386">
        <f t="shared" si="13"/>
        <v>10.618530370373005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7.1783987059821669E-2</v>
      </c>
      <c r="AD50" s="231">
        <f>(INDEX(Models!$BJ50:$BT50,,AH50)*(1-AF50)+INDEX(Models!$BJ50:$BT50,,AH50+1)*AF50-ERP_i)*AE50*Ramure*Pc/MaxiM</f>
        <v>2.2438312547824507E-4</v>
      </c>
      <c r="AE50" s="305">
        <f t="shared" si="15"/>
        <v>0.5</v>
      </c>
      <c r="AF50" s="177">
        <f t="shared" si="23"/>
        <v>0.99961820713448812</v>
      </c>
      <c r="AG50" s="811">
        <f t="shared" si="24"/>
        <v>0</v>
      </c>
      <c r="AH50" s="176">
        <f t="shared" si="16"/>
        <v>6</v>
      </c>
      <c r="AI50" s="225">
        <f t="shared" si="17"/>
        <v>0.99961820713448812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22.519359529994635</v>
      </c>
      <c r="C51" s="841"/>
      <c r="D51" s="393">
        <f t="shared" si="0"/>
        <v>23.563343642939486</v>
      </c>
      <c r="E51" s="385">
        <f t="shared" si="1"/>
        <v>24.295973577372187</v>
      </c>
      <c r="F51" s="385">
        <f t="shared" si="2"/>
        <v>24.298815626796561</v>
      </c>
      <c r="G51" s="110">
        <f t="shared" si="21"/>
        <v>0.67706641788032063</v>
      </c>
      <c r="H51" s="414" t="b">
        <f>Wh_hp&gt;='2023'!Maxi_hp</f>
        <v>0</v>
      </c>
      <c r="I51" s="390">
        <f>IF(H51,Wh_hp,'2023'!Maxi_hp)</f>
        <v>37.103452774243969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4.4305431723297484E-2</v>
      </c>
      <c r="M51" s="845"/>
      <c r="N51" s="845"/>
      <c r="O51" s="48">
        <f>IF(t&lt;Tnet,'2023'!Resal+('2023'!Salim-'2023'!Resal)*(1-EXP(('2023'!Tnet-t)/('2023'!Tau_j))),Resal+(Salim-Resal)*(1-EXP((Tnet-t)/(Tau_j))))*Salcycl</f>
        <v>3.0154376489568945E-2</v>
      </c>
      <c r="P51" s="169">
        <f>(INDEX(Models!$BJ51:$BT51,,T51)*(1-R51)+INDEX(Models!$BJ51:$BT51,,T51+1)*R51-ERP_i)*Q51*Ramure*Pc/MaxiM</f>
        <v>2.1709439451179043E-4</v>
      </c>
      <c r="Q51" s="305">
        <f t="shared" si="4"/>
        <v>0.5</v>
      </c>
      <c r="R51" s="177">
        <f t="shared" si="5"/>
        <v>0.99974019346408227</v>
      </c>
      <c r="S51" s="811">
        <f t="shared" si="6"/>
        <v>0</v>
      </c>
      <c r="T51" s="176">
        <f t="shared" si="7"/>
        <v>6</v>
      </c>
      <c r="U51" s="251">
        <f t="shared" si="8"/>
        <v>0.99974019346408227</v>
      </c>
      <c r="V51" s="383">
        <f t="shared" si="9"/>
        <v>33.256861904102934</v>
      </c>
      <c r="W51" s="402">
        <f t="shared" si="10"/>
        <v>22.519359529994635</v>
      </c>
      <c r="X51" s="157">
        <f t="shared" si="11"/>
        <v>45328</v>
      </c>
      <c r="Y51" s="385">
        <f t="shared" si="12"/>
        <v>21.551931342593321</v>
      </c>
      <c r="Z51" s="385">
        <f t="shared" si="22"/>
        <v>22.551066060211596</v>
      </c>
      <c r="AA51" s="386">
        <f t="shared" si="13"/>
        <v>24.295973577372187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7.181879382622039E-2</v>
      </c>
      <c r="AD51" s="231">
        <f>(INDEX(Models!$BJ51:$BT51,,AH51)*(1-AF51)+INDEX(Models!$BJ51:$BT51,,AH51+1)*AF51-ERP_i)*AE51*Ramure*Pc/MaxiM</f>
        <v>2.1709439451179043E-4</v>
      </c>
      <c r="AE51" s="305">
        <f t="shared" si="15"/>
        <v>0.5</v>
      </c>
      <c r="AF51" s="177">
        <f t="shared" si="23"/>
        <v>0.99974019346408227</v>
      </c>
      <c r="AG51" s="811">
        <f t="shared" si="24"/>
        <v>0</v>
      </c>
      <c r="AH51" s="176">
        <f t="shared" si="16"/>
        <v>6</v>
      </c>
      <c r="AI51" s="225">
        <f t="shared" si="17"/>
        <v>0.99974019346408227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9.6630429777698961</v>
      </c>
      <c r="C52" s="841"/>
      <c r="D52" s="393">
        <f t="shared" si="0"/>
        <v>10.111237364538971</v>
      </c>
      <c r="E52" s="385">
        <f t="shared" si="1"/>
        <v>10.426445097503333</v>
      </c>
      <c r="F52" s="385">
        <f t="shared" si="2"/>
        <v>10.426445097503333</v>
      </c>
      <c r="G52" s="110">
        <f t="shared" si="21"/>
        <v>0.2878001810719949</v>
      </c>
      <c r="H52" s="414" t="b">
        <f>Wh_hp&gt;='2023'!Maxi_hp</f>
        <v>0</v>
      </c>
      <c r="I52" s="390">
        <f>IF(H52,Wh_hp,'2023'!Maxi_hp)</f>
        <v>25.358898167859724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4.4326363887068232E-2</v>
      </c>
      <c r="M52" s="845"/>
      <c r="N52" s="845"/>
      <c r="O52" s="48">
        <f>IF(t&lt;Tnet,'2023'!Resal+('2023'!Salim-'2023'!Resal)*(1-EXP(('2023'!Tnet-t)/('2023'!Tau_j))),Resal+(Salim-Resal)*(1-EXP((Tnet-t)/(Tau_j))))*Salcycl</f>
        <v>3.0231563108680373E-2</v>
      </c>
      <c r="P52" s="169">
        <f>(INDEX(Models!$BJ52:$BT52,,T52)*(1-R52)+INDEX(Models!$BJ52:$BT52,,T52+1)*R52-ERP_i)*Q52*Ramure*Pc/MaxiM</f>
        <v>2.1114137165108358E-4</v>
      </c>
      <c r="Q52" s="305">
        <f t="shared" si="4"/>
        <v>0.5</v>
      </c>
      <c r="R52" s="177">
        <f t="shared" si="5"/>
        <v>0.99986723379898368</v>
      </c>
      <c r="S52" s="811">
        <f t="shared" si="6"/>
        <v>0</v>
      </c>
      <c r="T52" s="176">
        <f t="shared" si="7"/>
        <v>6</v>
      </c>
      <c r="U52" s="251">
        <f t="shared" si="8"/>
        <v>0.99986723379898368</v>
      </c>
      <c r="V52" s="383">
        <f t="shared" si="9"/>
        <v>33.568438607773103</v>
      </c>
      <c r="W52" s="402">
        <f t="shared" si="10"/>
        <v>9.6630429777698961</v>
      </c>
      <c r="X52" s="157">
        <f t="shared" si="11"/>
        <v>45329</v>
      </c>
      <c r="Y52" s="385">
        <f t="shared" si="12"/>
        <v>9.2483089572418553</v>
      </c>
      <c r="Z52" s="385">
        <f t="shared" si="22"/>
        <v>9.6772670164451249</v>
      </c>
      <c r="AA52" s="386">
        <f t="shared" si="13"/>
        <v>10.426445097503333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7.1853644655703597E-2</v>
      </c>
      <c r="AD52" s="231">
        <f>(INDEX(Models!$BJ52:$BT52,,AH52)*(1-AF52)+INDEX(Models!$BJ52:$BT52,,AH52+1)*AF52-ERP_i)*AE52*Ramure*Pc/MaxiM</f>
        <v>2.1114137165108358E-4</v>
      </c>
      <c r="AE52" s="305">
        <f t="shared" si="15"/>
        <v>0.5</v>
      </c>
      <c r="AF52" s="177">
        <f t="shared" si="23"/>
        <v>0.99986723379898368</v>
      </c>
      <c r="AG52" s="811">
        <f t="shared" si="24"/>
        <v>0</v>
      </c>
      <c r="AH52" s="176">
        <f t="shared" si="16"/>
        <v>6</v>
      </c>
      <c r="AI52" s="225">
        <f t="shared" si="17"/>
        <v>0.99986723379898368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33.869607425129743</v>
      </c>
      <c r="C53" s="841"/>
      <c r="D53" s="393">
        <f t="shared" si="0"/>
        <v>35.441334774565576</v>
      </c>
      <c r="E53" s="385">
        <f t="shared" si="1"/>
        <v>36.549090280832843</v>
      </c>
      <c r="F53" s="385">
        <f t="shared" si="2"/>
        <v>36.556624477105693</v>
      </c>
      <c r="G53" s="110">
        <f t="shared" si="21"/>
        <v>0.99969738979762346</v>
      </c>
      <c r="H53" s="414" t="b">
        <f>Wh_hp&gt;='2023'!Maxi_hp</f>
        <v>0</v>
      </c>
      <c r="I53" s="390">
        <f>IF(H53,Wh_hp,'2023'!Maxi_hp)</f>
        <v>36.556625907813178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4.4347295592370828E-2</v>
      </c>
      <c r="M53" s="845"/>
      <c r="N53" s="845"/>
      <c r="O53" s="48">
        <f>IF(t&lt;Tnet,'2023'!Resal+('2023'!Salim-'2023'!Resal)*(1-EXP(('2023'!Tnet-t)/('2023'!Tau_j))),Resal+(Salim-Resal)*(1-EXP((Tnet-t)/(Tau_j))))*Salcycl</f>
        <v>3.0308702562925324E-2</v>
      </c>
      <c r="P53" s="169">
        <f>(INDEX(Models!$BJ53:$BT53,,T53)*(1-R53)+INDEX(Models!$BJ53:$BT53,,T53+1)*R53-ERP_i)*Q53*Ramure*Pc/MaxiM</f>
        <v>2.0618571502970426E-4</v>
      </c>
      <c r="Q53" s="305">
        <f t="shared" si="4"/>
        <v>0.5</v>
      </c>
      <c r="R53" s="177">
        <f t="shared" si="5"/>
        <v>0.99999953477234993</v>
      </c>
      <c r="S53" s="811">
        <f t="shared" si="6"/>
        <v>0</v>
      </c>
      <c r="T53" s="176">
        <f t="shared" si="7"/>
        <v>6</v>
      </c>
      <c r="U53" s="251">
        <f t="shared" si="8"/>
        <v>0.99999953477234993</v>
      </c>
      <c r="V53" s="383">
        <f t="shared" si="9"/>
        <v>33.879856796779777</v>
      </c>
      <c r="W53" s="402">
        <f t="shared" si="10"/>
        <v>33.869607425129743</v>
      </c>
      <c r="X53" s="157">
        <f t="shared" si="11"/>
        <v>45330</v>
      </c>
      <c r="Y53" s="385">
        <f t="shared" si="12"/>
        <v>32.417297267071248</v>
      </c>
      <c r="Z53" s="385">
        <f t="shared" si="22"/>
        <v>33.921629811287389</v>
      </c>
      <c r="AA53" s="386">
        <f t="shared" si="13"/>
        <v>36.549090280832843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7.1888532638070962E-2</v>
      </c>
      <c r="AD53" s="231">
        <f>(INDEX(Models!$BJ53:$BT53,,AH53)*(1-AF53)+INDEX(Models!$BJ53:$BT53,,AH53+1)*AF53-ERP_i)*AE53*Ramure*Pc/MaxiM</f>
        <v>2.0618571502970426E-4</v>
      </c>
      <c r="AE53" s="305">
        <f t="shared" si="15"/>
        <v>0.5</v>
      </c>
      <c r="AF53" s="177">
        <f t="shared" si="23"/>
        <v>0.99999953477234993</v>
      </c>
      <c r="AG53" s="811">
        <f t="shared" si="24"/>
        <v>0</v>
      </c>
      <c r="AH53" s="176">
        <f t="shared" si="16"/>
        <v>6</v>
      </c>
      <c r="AI53" s="225">
        <f t="shared" si="17"/>
        <v>0.99999953477234993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34.092236109619144</v>
      </c>
      <c r="C54" s="841"/>
      <c r="D54" s="393">
        <f t="shared" si="0"/>
        <v>35.675075972890596</v>
      </c>
      <c r="E54" s="385">
        <f t="shared" si="1"/>
        <v>36.793062311629818</v>
      </c>
      <c r="F54" s="385">
        <f t="shared" si="2"/>
        <v>36.800472876438093</v>
      </c>
      <c r="G54" s="110">
        <f t="shared" si="21"/>
        <v>0.99710137770647767</v>
      </c>
      <c r="H54" s="414" t="b">
        <f>Wh_hp&gt;='2023'!Maxi_hp</f>
        <v>0</v>
      </c>
      <c r="I54" s="390">
        <f>IF(H54,Wh_hp,'2023'!Maxi_hp)</f>
        <v>36.800486280884854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4.4368226839215374E-2</v>
      </c>
      <c r="M54" s="845"/>
      <c r="N54" s="845"/>
      <c r="O54" s="48">
        <f>IF(t&lt;Tnet,'2023'!Resal+('2023'!Salim-'2023'!Resal)*(1-EXP(('2023'!Tnet-t)/('2023'!Tau_j))),Resal+(Salim-Resal)*(1-EXP((Tnet-t)/(Tau_j))))*Salcycl</f>
        <v>3.0385792008017675E-2</v>
      </c>
      <c r="P54" s="169">
        <f>(INDEX(Models!$BJ54:$BT54,,T54)*(1-R54)+INDEX(Models!$BJ54:$BT54,,T54+1)*R54-ERP_i)*Q54*Ramure*Pc/MaxiM</f>
        <v>2.0220853805321551E-4</v>
      </c>
      <c r="Q54" s="305">
        <f t="shared" si="4"/>
        <v>0.5</v>
      </c>
      <c r="R54" s="177">
        <f t="shared" si="5"/>
        <v>1.3731123094107289E-4</v>
      </c>
      <c r="S54" s="811">
        <f t="shared" si="6"/>
        <v>1</v>
      </c>
      <c r="T54" s="176">
        <f t="shared" si="7"/>
        <v>7</v>
      </c>
      <c r="U54" s="251">
        <f t="shared" si="8"/>
        <v>1.0001373112309411</v>
      </c>
      <c r="V54" s="383">
        <f t="shared" si="9"/>
        <v>34.191315274575366</v>
      </c>
      <c r="W54" s="402">
        <f t="shared" si="10"/>
        <v>34.092236109619144</v>
      </c>
      <c r="X54" s="157">
        <f t="shared" si="11"/>
        <v>45331</v>
      </c>
      <c r="Y54" s="385">
        <f t="shared" si="12"/>
        <v>32.631746311329152</v>
      </c>
      <c r="Z54" s="385">
        <f t="shared" si="22"/>
        <v>34.146778317550641</v>
      </c>
      <c r="AA54" s="386">
        <f t="shared" si="13"/>
        <v>36.793062311629818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7.1923450450133319E-2</v>
      </c>
      <c r="AD54" s="231">
        <f>(INDEX(Models!$BJ54:$BT54,,AH54)*(1-AF54)+INDEX(Models!$BJ54:$BT54,,AH54+1)*AF54-ERP_i)*AE54*Ramure*Pc/MaxiM</f>
        <v>2.0220853805321551E-4</v>
      </c>
      <c r="AE54" s="305">
        <f t="shared" si="15"/>
        <v>0.5</v>
      </c>
      <c r="AF54" s="177">
        <f t="shared" si="23"/>
        <v>1.3731123094107289E-4</v>
      </c>
      <c r="AG54" s="811">
        <f t="shared" si="24"/>
        <v>1</v>
      </c>
      <c r="AH54" s="176">
        <f t="shared" si="16"/>
        <v>7</v>
      </c>
      <c r="AI54" s="225">
        <f t="shared" si="17"/>
        <v>1.0001373112309411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31.692844198215028</v>
      </c>
      <c r="C55" s="841"/>
      <c r="D55" s="393">
        <f t="shared" si="0"/>
        <v>33.165011103824177</v>
      </c>
      <c r="E55" s="385">
        <f t="shared" si="1"/>
        <v>34.207054743822702</v>
      </c>
      <c r="F55" s="385">
        <f t="shared" si="2"/>
        <v>34.213076178193944</v>
      </c>
      <c r="G55" s="110">
        <f t="shared" si="21"/>
        <v>0.91853164253425867</v>
      </c>
      <c r="H55" s="414" t="b">
        <f>Wh_hp&gt;='2023'!Maxi_hp</f>
        <v>0</v>
      </c>
      <c r="I55" s="390">
        <f>IF(H55,Wh_hp,'2023'!Maxi_hp)</f>
        <v>34.213417729613788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4.4389157627611864E-2</v>
      </c>
      <c r="M55" s="845"/>
      <c r="N55" s="845"/>
      <c r="O55" s="48">
        <f>IF(t&lt;Tnet,'2023'!Resal+('2023'!Salim-'2023'!Resal)*(1-EXP(('2023'!Tnet-t)/('2023'!Tau_j))),Resal+(Salim-Resal)*(1-EXP((Tnet-t)/(Tau_j))))*Salcycl</f>
        <v>3.0462828437069871E-2</v>
      </c>
      <c r="P55" s="169">
        <f>(INDEX(Models!$BJ55:$BT55,,T55)*(1-R55)+INDEX(Models!$BJ55:$BT55,,T55+1)*R55-ERP_i)*Q55*Ramure*Pc/MaxiM</f>
        <v>1.991723292364492E-4</v>
      </c>
      <c r="Q55" s="305">
        <f t="shared" si="4"/>
        <v>0.5</v>
      </c>
      <c r="R55" s="177">
        <f t="shared" si="5"/>
        <v>2.8078654160368366E-4</v>
      </c>
      <c r="S55" s="811">
        <f t="shared" si="6"/>
        <v>1</v>
      </c>
      <c r="T55" s="176">
        <f t="shared" si="7"/>
        <v>7</v>
      </c>
      <c r="U55" s="251">
        <f t="shared" si="8"/>
        <v>1.0002807865416037</v>
      </c>
      <c r="V55" s="383">
        <f t="shared" si="9"/>
        <v>34.503013442597471</v>
      </c>
      <c r="W55" s="402">
        <f t="shared" si="10"/>
        <v>31.692844198215028</v>
      </c>
      <c r="X55" s="157">
        <f t="shared" si="11"/>
        <v>45332</v>
      </c>
      <c r="Y55" s="385">
        <f t="shared" si="12"/>
        <v>30.336411025500993</v>
      </c>
      <c r="Z55" s="385">
        <f t="shared" si="22"/>
        <v>31.745570142536451</v>
      </c>
      <c r="AA55" s="386">
        <f t="shared" si="13"/>
        <v>34.207054743822702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7.195839044665954E-2</v>
      </c>
      <c r="AD55" s="231">
        <f>(INDEX(Models!$BJ55:$BT55,,AH55)*(1-AF55)+INDEX(Models!$BJ55:$BT55,,AH55+1)*AF55-ERP_i)*AE55*Ramure*Pc/MaxiM</f>
        <v>1.991723292364492E-4</v>
      </c>
      <c r="AE55" s="305">
        <f t="shared" si="15"/>
        <v>0.5</v>
      </c>
      <c r="AF55" s="177">
        <f t="shared" si="23"/>
        <v>2.8078654160368366E-4</v>
      </c>
      <c r="AG55" s="811">
        <f t="shared" si="24"/>
        <v>1</v>
      </c>
      <c r="AH55" s="176">
        <f t="shared" si="16"/>
        <v>7</v>
      </c>
      <c r="AI55" s="225">
        <f t="shared" si="17"/>
        <v>1.0002807865416037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17.692179899344666</v>
      </c>
      <c r="C56" s="841"/>
      <c r="D56" s="393">
        <f t="shared" si="0"/>
        <v>18.514406312149418</v>
      </c>
      <c r="E56" s="385">
        <f t="shared" si="1"/>
        <v>19.097644729196578</v>
      </c>
      <c r="F56" s="385">
        <f t="shared" si="2"/>
        <v>19.09876394379809</v>
      </c>
      <c r="G56" s="110">
        <f t="shared" si="21"/>
        <v>0.50810437807248954</v>
      </c>
      <c r="H56" s="414" t="b">
        <f>Wh_hp&gt;='2023'!Maxi_hp</f>
        <v>0</v>
      </c>
      <c r="I56" s="390">
        <f>IF(H56,Wh_hp,'2023'!Maxi_hp)</f>
        <v>30.625815125737557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4.4410087957570399E-2</v>
      </c>
      <c r="M56" s="845"/>
      <c r="N56" s="845"/>
      <c r="O56" s="48">
        <f>IF(t&lt;Tnet,'2023'!Resal+('2023'!Salim-'2023'!Resal)*(1-EXP(('2023'!Tnet-t)/('2023'!Tau_j))),Resal+(Salim-Resal)*(1-EXP((Tnet-t)/(Tau_j))))*Salcycl</f>
        <v>3.0539808720784354E-2</v>
      </c>
      <c r="P56" s="169">
        <f>(INDEX(Models!$BJ56:$BT56,,T56)*(1-R56)+INDEX(Models!$BJ56:$BT56,,T56+1)*R56-ERP_i)*Q56*Ramure*Pc/MaxiM</f>
        <v>1.970507618679817E-4</v>
      </c>
      <c r="Q56" s="305">
        <f t="shared" si="4"/>
        <v>0.5</v>
      </c>
      <c r="R56" s="177">
        <f t="shared" si="5"/>
        <v>4.3019290746482142E-4</v>
      </c>
      <c r="S56" s="811">
        <f t="shared" si="6"/>
        <v>1</v>
      </c>
      <c r="T56" s="176">
        <f t="shared" si="7"/>
        <v>7</v>
      </c>
      <c r="U56" s="251">
        <f t="shared" si="8"/>
        <v>1.0004301929074648</v>
      </c>
      <c r="V56" s="383">
        <f t="shared" si="9"/>
        <v>34.815150288918147</v>
      </c>
      <c r="W56" s="402">
        <f t="shared" si="10"/>
        <v>17.692179899344666</v>
      </c>
      <c r="X56" s="157">
        <f t="shared" si="11"/>
        <v>45333</v>
      </c>
      <c r="Y56" s="385">
        <f t="shared" si="12"/>
        <v>16.935672903355108</v>
      </c>
      <c r="Z56" s="385">
        <f t="shared" si="22"/>
        <v>17.722741408139875</v>
      </c>
      <c r="AA56" s="386">
        <f t="shared" si="13"/>
        <v>19.097644729196578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7.1993344758097072E-2</v>
      </c>
      <c r="AD56" s="231">
        <f>(INDEX(Models!$BJ56:$BT56,,AH56)*(1-AF56)+INDEX(Models!$BJ56:$BT56,,AH56+1)*AF56-ERP_i)*AE56*Ramure*Pc/MaxiM</f>
        <v>1.970507618679817E-4</v>
      </c>
      <c r="AE56" s="305">
        <f t="shared" si="15"/>
        <v>0.5</v>
      </c>
      <c r="AF56" s="177">
        <f t="shared" si="23"/>
        <v>4.3019290746482142E-4</v>
      </c>
      <c r="AG56" s="811">
        <f t="shared" si="24"/>
        <v>1</v>
      </c>
      <c r="AH56" s="176">
        <f t="shared" si="16"/>
        <v>7</v>
      </c>
      <c r="AI56" s="225">
        <f t="shared" si="17"/>
        <v>1.0004301929074648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26.878946061189648</v>
      </c>
      <c r="C57" s="841"/>
      <c r="D57" s="393">
        <f t="shared" si="0"/>
        <v>28.128734359004628</v>
      </c>
      <c r="E57" s="385">
        <f t="shared" si="1"/>
        <v>29.017144425098838</v>
      </c>
      <c r="F57" s="385">
        <f t="shared" si="2"/>
        <v>29.02092085635374</v>
      </c>
      <c r="G57" s="110">
        <f t="shared" si="21"/>
        <v>0.76512291424106338</v>
      </c>
      <c r="H57" s="414" t="b">
        <f>Wh_hp&gt;='2023'!Maxi_hp</f>
        <v>0</v>
      </c>
      <c r="I57" s="390">
        <f>IF(H57,Wh_hp,'2023'!Maxi_hp)</f>
        <v>38.463815462769276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4.4431017829100972E-2</v>
      </c>
      <c r="M57" s="845"/>
      <c r="N57" s="845"/>
      <c r="O57" s="48">
        <f>IF(t&lt;Tnet,'2023'!Resal+('2023'!Salim-'2023'!Resal)*(1-EXP(('2023'!Tnet-t)/('2023'!Tau_j))),Resal+(Salim-Resal)*(1-EXP((Tnet-t)/(Tau_j))))*Salcycl</f>
        <v>3.06167296505498E-2</v>
      </c>
      <c r="P57" s="169">
        <f>(INDEX(Models!$BJ57:$BT57,,T57)*(1-R57)+INDEX(Models!$BJ57:$BT57,,T57+1)*R57-ERP_i)*Q57*Ramure*Pc/MaxiM</f>
        <v>1.9581851929709423E-4</v>
      </c>
      <c r="Q57" s="305">
        <f t="shared" si="4"/>
        <v>0.5</v>
      </c>
      <c r="R57" s="177">
        <f t="shared" si="5"/>
        <v>5.8577169398765783E-4</v>
      </c>
      <c r="S57" s="811">
        <f t="shared" si="6"/>
        <v>1</v>
      </c>
      <c r="T57" s="176">
        <f t="shared" si="7"/>
        <v>7</v>
      </c>
      <c r="U57" s="251">
        <f t="shared" si="8"/>
        <v>1.0005857716939877</v>
      </c>
      <c r="V57" s="383">
        <f t="shared" si="9"/>
        <v>35.127924724651059</v>
      </c>
      <c r="W57" s="402">
        <f t="shared" si="10"/>
        <v>26.878946061189648</v>
      </c>
      <c r="X57" s="157">
        <f t="shared" si="11"/>
        <v>45334</v>
      </c>
      <c r="Y57" s="385">
        <f t="shared" si="12"/>
        <v>25.73069072734874</v>
      </c>
      <c r="Z57" s="385">
        <f t="shared" si="22"/>
        <v>26.927088684788355</v>
      </c>
      <c r="AA57" s="386">
        <f t="shared" si="13"/>
        <v>29.017144425098838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7.2028305393919342E-2</v>
      </c>
      <c r="AD57" s="231">
        <f>(INDEX(Models!$BJ57:$BT57,,AH57)*(1-AF57)+INDEX(Models!$BJ57:$BT57,,AH57+1)*AF57-ERP_i)*AE57*Ramure*Pc/MaxiM</f>
        <v>1.9581851929709423E-4</v>
      </c>
      <c r="AE57" s="305">
        <f t="shared" si="15"/>
        <v>0.5</v>
      </c>
      <c r="AF57" s="177">
        <f t="shared" si="23"/>
        <v>5.8577169398765783E-4</v>
      </c>
      <c r="AG57" s="811">
        <f t="shared" si="24"/>
        <v>1</v>
      </c>
      <c r="AH57" s="176">
        <f t="shared" si="16"/>
        <v>7</v>
      </c>
      <c r="AI57" s="225">
        <f t="shared" si="17"/>
        <v>1.0005857716939877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31.773633527454397</v>
      </c>
      <c r="C58" s="841"/>
      <c r="D58" s="393">
        <f t="shared" si="0"/>
        <v>33.251738032172433</v>
      </c>
      <c r="E58" s="385">
        <f t="shared" si="1"/>
        <v>34.304671484647614</v>
      </c>
      <c r="F58" s="385">
        <f t="shared" si="2"/>
        <v>34.310409237845427</v>
      </c>
      <c r="G58" s="110">
        <f t="shared" si="21"/>
        <v>0.8964830723678876</v>
      </c>
      <c r="H58" s="414" t="b">
        <f>Wh_hp&gt;='2023'!Maxi_hp</f>
        <v>0</v>
      </c>
      <c r="I58" s="390">
        <f>IF(H58,Wh_hp,'2023'!Maxi_hp)</f>
        <v>39.79279391744533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4.4451947242213685E-2</v>
      </c>
      <c r="M58" s="845"/>
      <c r="N58" s="845"/>
      <c r="O58" s="48">
        <f>IF(t&lt;Tnet,'2023'!Resal+('2023'!Salim-'2023'!Resal)*(1-EXP(('2023'!Tnet-t)/('2023'!Tau_j))),Resal+(Salim-Resal)*(1-EXP((Tnet-t)/(Tau_j))))*Salcycl</f>
        <v>3.0693587983968842E-2</v>
      </c>
      <c r="P58" s="169">
        <f>(INDEX(Models!$BJ58:$BT58,,T58)*(1-R58)+INDEX(Models!$BJ58:$BT58,,T58+1)*R58-ERP_i)*Q58*Ramure*Pc/MaxiM</f>
        <v>1.9624425021302355E-4</v>
      </c>
      <c r="Q58" s="305">
        <f t="shared" si="4"/>
        <v>0.5</v>
      </c>
      <c r="R58" s="177">
        <f t="shared" si="5"/>
        <v>7.4777376502677129E-4</v>
      </c>
      <c r="S58" s="811">
        <f t="shared" si="6"/>
        <v>1</v>
      </c>
      <c r="T58" s="176">
        <f t="shared" si="7"/>
        <v>7</v>
      </c>
      <c r="U58" s="251">
        <f t="shared" si="8"/>
        <v>1.0007477737650268</v>
      </c>
      <c r="V58" s="383">
        <f t="shared" si="9"/>
        <v>35.441507470872558</v>
      </c>
      <c r="W58" s="402">
        <f t="shared" si="10"/>
        <v>31.773633527454397</v>
      </c>
      <c r="X58" s="157">
        <f t="shared" si="11"/>
        <v>45335</v>
      </c>
      <c r="Y58" s="385">
        <f t="shared" si="12"/>
        <v>30.417545380587587</v>
      </c>
      <c r="Z58" s="385">
        <f t="shared" si="22"/>
        <v>31.832564874995217</v>
      </c>
      <c r="AA58" s="386">
        <f t="shared" si="13"/>
        <v>34.304671484647614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7.2063264350417641E-2</v>
      </c>
      <c r="AD58" s="231">
        <f>(INDEX(Models!$BJ58:$BT58,,AH58)*(1-AF58)+INDEX(Models!$BJ58:$BT58,,AH58+1)*AF58-ERP_i)*AE58*Ramure*Pc/MaxiM</f>
        <v>1.9624425021302355E-4</v>
      </c>
      <c r="AE58" s="305">
        <f t="shared" si="15"/>
        <v>0.5</v>
      </c>
      <c r="AF58" s="177">
        <f t="shared" si="23"/>
        <v>7.4777376502677129E-4</v>
      </c>
      <c r="AG58" s="811">
        <f t="shared" si="24"/>
        <v>1</v>
      </c>
      <c r="AH58" s="176">
        <f t="shared" si="16"/>
        <v>7</v>
      </c>
      <c r="AI58" s="225">
        <f t="shared" si="17"/>
        <v>1.0007477737650268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15.561842415098047</v>
      </c>
      <c r="C59" s="841"/>
      <c r="D59" s="393">
        <f t="shared" si="0"/>
        <v>16.286133619274516</v>
      </c>
      <c r="E59" s="385">
        <f t="shared" si="1"/>
        <v>16.803173666470446</v>
      </c>
      <c r="F59" s="385">
        <f t="shared" si="2"/>
        <v>16.803816377373995</v>
      </c>
      <c r="G59" s="110">
        <f t="shared" si="21"/>
        <v>0.43515240910043795</v>
      </c>
      <c r="H59" s="414" t="b">
        <f>Wh_hp&gt;='2023'!Maxi_hp</f>
        <v>0</v>
      </c>
      <c r="I59" s="390">
        <f>IF(H59,Wh_hp,'2023'!Maxi_hp)</f>
        <v>40.073233720515397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4.4472876196918532E-2</v>
      </c>
      <c r="M59" s="845"/>
      <c r="N59" s="845"/>
      <c r="O59" s="48">
        <f>IF(t&lt;Tnet,'2023'!Resal+('2023'!Salim-'2023'!Resal)*(1-EXP(('2023'!Tnet-t)/('2023'!Tau_j))),Resal+(Salim-Resal)*(1-EXP((Tnet-t)/(Tau_j))))*Salcycl</f>
        <v>3.0770380492326155E-2</v>
      </c>
      <c r="P59" s="169">
        <f>(INDEX(Models!$BJ59:$BT59,,T59)*(1-R59)+INDEX(Models!$BJ59:$BT59,,T59+1)*R59-ERP_i)*Q59*Ramure*Pc/MaxiM</f>
        <v>1.979970065787894E-4</v>
      </c>
      <c r="Q59" s="305">
        <f t="shared" si="4"/>
        <v>0.5</v>
      </c>
      <c r="R59" s="177">
        <f t="shared" si="5"/>
        <v>9.164598290085646E-4</v>
      </c>
      <c r="S59" s="811">
        <f t="shared" si="6"/>
        <v>1</v>
      </c>
      <c r="T59" s="176">
        <f t="shared" si="7"/>
        <v>7</v>
      </c>
      <c r="U59" s="251">
        <f t="shared" si="8"/>
        <v>1.0009164598290086</v>
      </c>
      <c r="V59" s="383">
        <f t="shared" si="9"/>
        <v>35.756107525526538</v>
      </c>
      <c r="W59" s="402">
        <f t="shared" si="10"/>
        <v>15.561842415098047</v>
      </c>
      <c r="X59" s="157">
        <f t="shared" si="11"/>
        <v>45336</v>
      </c>
      <c r="Y59" s="385">
        <f t="shared" si="12"/>
        <v>14.898287345041306</v>
      </c>
      <c r="Z59" s="385">
        <f t="shared" si="22"/>
        <v>15.591694860261862</v>
      </c>
      <c r="AA59" s="386">
        <f t="shared" si="13"/>
        <v>16.803173666470446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7.2098213721733098E-2</v>
      </c>
      <c r="AD59" s="231">
        <f>(INDEX(Models!$BJ59:$BT59,,AH59)*(1-AF59)+INDEX(Models!$BJ59:$BT59,,AH59+1)*AF59-ERP_i)*AE59*Ramure*Pc/MaxiM</f>
        <v>1.979970065787894E-4</v>
      </c>
      <c r="AE59" s="305">
        <f t="shared" si="15"/>
        <v>0.5</v>
      </c>
      <c r="AF59" s="177">
        <f t="shared" si="23"/>
        <v>9.164598290085646E-4</v>
      </c>
      <c r="AG59" s="811">
        <f t="shared" si="24"/>
        <v>1</v>
      </c>
      <c r="AH59" s="176">
        <f t="shared" si="16"/>
        <v>7</v>
      </c>
      <c r="AI59" s="225">
        <f t="shared" si="17"/>
        <v>1.0009164598290086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19.565338589954308</v>
      </c>
      <c r="C60" s="841"/>
      <c r="D60" s="393">
        <f t="shared" si="0"/>
        <v>20.476412069387649</v>
      </c>
      <c r="E60" s="385">
        <f t="shared" si="1"/>
        <v>21.12815444714747</v>
      </c>
      <c r="F60" s="385">
        <f t="shared" si="2"/>
        <v>21.129625432563476</v>
      </c>
      <c r="G60" s="110">
        <f t="shared" si="21"/>
        <v>0.54232669416690693</v>
      </c>
      <c r="H60" s="414" t="b">
        <f>Wh_hp&gt;='2023'!Maxi_hp</f>
        <v>0</v>
      </c>
      <c r="I60" s="390">
        <f>IF(H60,Wh_hp,'2023'!Maxi_hp)</f>
        <v>40.326165520091415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4.4493804693225503E-2</v>
      </c>
      <c r="M60" s="845"/>
      <c r="N60" s="845"/>
      <c r="O60" s="48">
        <f>IF(t&lt;Tnet,'2023'!Resal+('2023'!Salim-'2023'!Resal)*(1-EXP(('2023'!Tnet-t)/('2023'!Tau_j))),Resal+(Salim-Resal)*(1-EXP((Tnet-t)/(Tau_j))))*Salcycl</f>
        <v>3.0847104009494364E-2</v>
      </c>
      <c r="P60" s="169">
        <f>(INDEX(Models!$BJ60:$BT60,,T60)*(1-R60)+INDEX(Models!$BJ60:$BT60,,T60+1)*R60-ERP_i)*Q60*Ramure*Pc/MaxiM</f>
        <v>2.010414492224515E-4</v>
      </c>
      <c r="Q60" s="305">
        <f t="shared" si="4"/>
        <v>0.5</v>
      </c>
      <c r="R60" s="177">
        <f t="shared" si="5"/>
        <v>1.0921007953390571E-3</v>
      </c>
      <c r="S60" s="811">
        <f t="shared" si="6"/>
        <v>1</v>
      </c>
      <c r="T60" s="176">
        <f t="shared" si="7"/>
        <v>7</v>
      </c>
      <c r="U60" s="251">
        <f t="shared" si="8"/>
        <v>1.0010921007953391</v>
      </c>
      <c r="V60" s="383">
        <f t="shared" si="9"/>
        <v>36.071923549880644</v>
      </c>
      <c r="W60" s="402">
        <f t="shared" si="10"/>
        <v>19.565338589954308</v>
      </c>
      <c r="X60" s="157">
        <f t="shared" si="11"/>
        <v>45337</v>
      </c>
      <c r="Y60" s="385">
        <f t="shared" si="12"/>
        <v>18.731852573181502</v>
      </c>
      <c r="Z60" s="385">
        <f t="shared" si="22"/>
        <v>19.604114201653566</v>
      </c>
      <c r="AA60" s="386">
        <f t="shared" si="13"/>
        <v>21.12815444714747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7.2133145812916341E-2</v>
      </c>
      <c r="AD60" s="231">
        <f>(INDEX(Models!$BJ60:$BT60,,AH60)*(1-AF60)+INDEX(Models!$BJ60:$BT60,,AH60+1)*AF60-ERP_i)*AE60*Ramure*Pc/MaxiM</f>
        <v>2.010414492224515E-4</v>
      </c>
      <c r="AE60" s="305">
        <f t="shared" si="15"/>
        <v>0.5</v>
      </c>
      <c r="AF60" s="177">
        <f t="shared" si="23"/>
        <v>1.0921007953390571E-3</v>
      </c>
      <c r="AG60" s="811">
        <f t="shared" si="24"/>
        <v>1</v>
      </c>
      <c r="AH60" s="176">
        <f t="shared" si="16"/>
        <v>7</v>
      </c>
      <c r="AI60" s="225">
        <f t="shared" si="17"/>
        <v>1.0010921007953391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10.249050476194881</v>
      </c>
      <c r="C61" s="841"/>
      <c r="D61" s="393">
        <f t="shared" si="0"/>
        <v>10.726539515874078</v>
      </c>
      <c r="E61" s="385">
        <f t="shared" si="1"/>
        <v>11.068829286189631</v>
      </c>
      <c r="F61" s="385">
        <f t="shared" si="2"/>
        <v>11.068829286189631</v>
      </c>
      <c r="G61" s="110">
        <f t="shared" si="21"/>
        <v>0.28159340744192063</v>
      </c>
      <c r="H61" s="414" t="b">
        <f>Wh_hp&gt;='2023'!Maxi_hp</f>
        <v>0</v>
      </c>
      <c r="I61" s="390">
        <f>IF(H61,Wh_hp,'2023'!Maxi_hp)</f>
        <v>40.772992464506032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4.4514732731144702E-2</v>
      </c>
      <c r="M61" s="845"/>
      <c r="N61" s="845"/>
      <c r="O61" s="48">
        <f>IF(t&lt;Tnet,'2023'!Resal+('2023'!Salim-'2023'!Resal)*(1-EXP(('2023'!Tnet-t)/('2023'!Tau_j))),Resal+(Salim-Resal)*(1-EXP((Tnet-t)/(Tau_j))))*Salcycl</f>
        <v>3.0923755481767283E-2</v>
      </c>
      <c r="P61" s="169">
        <f>(INDEX(Models!$BJ61:$BT61,,T61)*(1-R61)+INDEX(Models!$BJ61:$BT61,,T61+1)*R61-ERP_i)*Q61*Ramure*Pc/MaxiM</f>
        <v>2.0534325998186782E-4</v>
      </c>
      <c r="Q61" s="305">
        <f t="shared" si="4"/>
        <v>0.5</v>
      </c>
      <c r="R61" s="177">
        <f t="shared" si="5"/>
        <v>1.2749781411269812E-3</v>
      </c>
      <c r="S61" s="811">
        <f t="shared" si="6"/>
        <v>1</v>
      </c>
      <c r="T61" s="176">
        <f t="shared" si="7"/>
        <v>7</v>
      </c>
      <c r="U61" s="251">
        <f t="shared" si="8"/>
        <v>1.001274978141127</v>
      </c>
      <c r="V61" s="383">
        <f t="shared" si="9"/>
        <v>36.389154120633449</v>
      </c>
      <c r="W61" s="402">
        <f t="shared" si="10"/>
        <v>10.249050476194881</v>
      </c>
      <c r="X61" s="157">
        <f t="shared" si="11"/>
        <v>45338</v>
      </c>
      <c r="Y61" s="385">
        <f t="shared" si="12"/>
        <v>9.8128465220560841</v>
      </c>
      <c r="Z61" s="385">
        <f t="shared" si="22"/>
        <v>10.270013424806619</v>
      </c>
      <c r="AA61" s="386">
        <f t="shared" si="13"/>
        <v>11.068829286189631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7.2168053253805278E-2</v>
      </c>
      <c r="AD61" s="231">
        <f>(INDEX(Models!$BJ61:$BT61,,AH61)*(1-AF61)+INDEX(Models!$BJ61:$BT61,,AH61+1)*AF61-ERP_i)*AE61*Ramure*Pc/MaxiM</f>
        <v>2.0534325998186782E-4</v>
      </c>
      <c r="AE61" s="305">
        <f t="shared" si="15"/>
        <v>0.5</v>
      </c>
      <c r="AF61" s="177">
        <f t="shared" si="23"/>
        <v>1.2749781411269812E-3</v>
      </c>
      <c r="AG61" s="811">
        <f t="shared" si="24"/>
        <v>1</v>
      </c>
      <c r="AH61" s="176">
        <f t="shared" si="16"/>
        <v>7</v>
      </c>
      <c r="AI61" s="225">
        <f t="shared" si="17"/>
        <v>1.001274978141127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11.08839271840445</v>
      </c>
      <c r="C62" s="841"/>
      <c r="D62" s="393">
        <f t="shared" si="0"/>
        <v>11.605239732976363</v>
      </c>
      <c r="E62" s="385">
        <f t="shared" si="1"/>
        <v>11.976515695971591</v>
      </c>
      <c r="F62" s="385">
        <f t="shared" si="2"/>
        <v>11.976523164941938</v>
      </c>
      <c r="G62" s="110">
        <f t="shared" si="21"/>
        <v>0.30200670477977481</v>
      </c>
      <c r="H62" s="414" t="b">
        <f>Wh_hp&gt;='2023'!Maxi_hp</f>
        <v>0</v>
      </c>
      <c r="I62" s="390">
        <f>IF(H62,Wh_hp,'2023'!Maxi_hp)</f>
        <v>41.216821259374889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4.4535660310686231E-2</v>
      </c>
      <c r="M62" s="845"/>
      <c r="N62" s="845"/>
      <c r="O62" s="48">
        <f>IF(t&lt;Tnet,'2023'!Resal+('2023'!Salim-'2023'!Resal)*(1-EXP(('2023'!Tnet-t)/('2023'!Tau_j))),Resal+(Salim-Resal)*(1-EXP((Tnet-t)/(Tau_j))))*Salcycl</f>
        <v>3.1000332018110095E-2</v>
      </c>
      <c r="P62" s="169">
        <f>(INDEX(Models!$BJ62:$BT62,,T62)*(1-R62)+INDEX(Models!$BJ62:$BT62,,T62+1)*R62-ERP_i)*Q62*Ramure*Pc/MaxiM</f>
        <v>2.1086904869718778E-4</v>
      </c>
      <c r="Q62" s="305">
        <f t="shared" si="4"/>
        <v>0.5</v>
      </c>
      <c r="R62" s="177">
        <f t="shared" si="5"/>
        <v>1.4653842882834667E-3</v>
      </c>
      <c r="S62" s="811">
        <f t="shared" si="6"/>
        <v>1</v>
      </c>
      <c r="T62" s="176">
        <f t="shared" si="7"/>
        <v>7</v>
      </c>
      <c r="U62" s="251">
        <f t="shared" si="8"/>
        <v>1.0014653842882835</v>
      </c>
      <c r="V62" s="383">
        <f t="shared" si="9"/>
        <v>36.70799772909762</v>
      </c>
      <c r="W62" s="402">
        <f t="shared" si="10"/>
        <v>11.08839271840445</v>
      </c>
      <c r="X62" s="157">
        <f t="shared" si="11"/>
        <v>45339</v>
      </c>
      <c r="Y62" s="385">
        <f t="shared" si="12"/>
        <v>10.616905892663198</v>
      </c>
      <c r="Z62" s="385">
        <f t="shared" si="22"/>
        <v>11.111776182160261</v>
      </c>
      <c r="AA62" s="386">
        <f t="shared" si="13"/>
        <v>11.976515695971591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7.220292911252929E-2</v>
      </c>
      <c r="AD62" s="231">
        <f>(INDEX(Models!$BJ62:$BT62,,AH62)*(1-AF62)+INDEX(Models!$BJ62:$BT62,,AH62+1)*AF62-ERP_i)*AE62*Ramure*Pc/MaxiM</f>
        <v>2.1086904869718778E-4</v>
      </c>
      <c r="AE62" s="305">
        <f t="shared" si="15"/>
        <v>0.5</v>
      </c>
      <c r="AF62" s="177">
        <f t="shared" si="23"/>
        <v>1.4653842882834667E-3</v>
      </c>
      <c r="AG62" s="811">
        <f t="shared" si="24"/>
        <v>1</v>
      </c>
      <c r="AH62" s="176">
        <f t="shared" si="16"/>
        <v>7</v>
      </c>
      <c r="AI62" s="225">
        <f t="shared" si="17"/>
        <v>1.0014653842882835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28.237765819008196</v>
      </c>
      <c r="C63" s="841"/>
      <c r="D63" s="393">
        <f t="shared" si="0"/>
        <v>29.554618774447139</v>
      </c>
      <c r="E63" s="385">
        <f t="shared" si="1"/>
        <v>30.50254108705985</v>
      </c>
      <c r="F63" s="385">
        <f t="shared" si="2"/>
        <v>30.506927710239061</v>
      </c>
      <c r="G63" s="110">
        <f t="shared" si="21"/>
        <v>0.76253602519444519</v>
      </c>
      <c r="H63" s="414" t="b">
        <f>Wh_hp&gt;='2023'!Maxi_hp</f>
        <v>0</v>
      </c>
      <c r="I63" s="390">
        <f>IF(H63,Wh_hp,'2023'!Maxi_hp)</f>
        <v>40.739227562492772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4.4556587431859973E-2</v>
      </c>
      <c r="M63" s="845"/>
      <c r="N63" s="845"/>
      <c r="O63" s="48">
        <f>IF(t&lt;Tnet,'2023'!Resal+('2023'!Salim-'2023'!Resal)*(1-EXP(('2023'!Tnet-t)/('2023'!Tau_j))),Resal+(Salim-Resal)*(1-EXP((Tnet-t)/(Tau_j))))*Salcycl</f>
        <v>3.1076830940319575E-2</v>
      </c>
      <c r="P63" s="169">
        <f>(INDEX(Models!$BJ63:$BT63,,T63)*(1-R63)+INDEX(Models!$BJ63:$BT63,,T63+1)*R63-ERP_i)*Q63*Ramure*Pc/MaxiM</f>
        <v>2.1758627049146899E-4</v>
      </c>
      <c r="Q63" s="305">
        <f t="shared" si="4"/>
        <v>0.5</v>
      </c>
      <c r="R63" s="177">
        <f t="shared" si="5"/>
        <v>1.6636229910316214E-3</v>
      </c>
      <c r="S63" s="811">
        <f t="shared" si="6"/>
        <v>1</v>
      </c>
      <c r="T63" s="176">
        <f t="shared" si="7"/>
        <v>7</v>
      </c>
      <c r="U63" s="251">
        <f t="shared" si="8"/>
        <v>1.0016636229910316</v>
      </c>
      <c r="V63" s="383">
        <f t="shared" si="9"/>
        <v>37.028652777404652</v>
      </c>
      <c r="W63" s="402">
        <f t="shared" si="10"/>
        <v>28.237765819008196</v>
      </c>
      <c r="X63" s="157">
        <f t="shared" si="11"/>
        <v>45340</v>
      </c>
      <c r="Y63" s="385">
        <f t="shared" si="12"/>
        <v>27.038194056591241</v>
      </c>
      <c r="Z63" s="385">
        <f t="shared" si="22"/>
        <v>28.299105630876845</v>
      </c>
      <c r="AA63" s="386">
        <f t="shared" si="13"/>
        <v>30.50254108705985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7.2237767007476375E-2</v>
      </c>
      <c r="AD63" s="231">
        <f>(INDEX(Models!$BJ63:$BT63,,AH63)*(1-AF63)+INDEX(Models!$BJ63:$BT63,,AH63+1)*AF63-ERP_i)*AE63*Ramure*Pc/MaxiM</f>
        <v>2.1758627049146899E-4</v>
      </c>
      <c r="AE63" s="305">
        <f t="shared" si="15"/>
        <v>0.5</v>
      </c>
      <c r="AF63" s="177">
        <f t="shared" si="23"/>
        <v>1.6636229910316214E-3</v>
      </c>
      <c r="AG63" s="811">
        <f t="shared" si="24"/>
        <v>1</v>
      </c>
      <c r="AH63" s="176">
        <f t="shared" si="16"/>
        <v>7</v>
      </c>
      <c r="AI63" s="225">
        <f t="shared" si="17"/>
        <v>1.0016636229910316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20.463949784701111</v>
      </c>
      <c r="C64" s="841"/>
      <c r="D64" s="393">
        <f t="shared" si="0"/>
        <v>21.418744154121736</v>
      </c>
      <c r="E64" s="385">
        <f t="shared" si="1"/>
        <v>22.107463487306827</v>
      </c>
      <c r="F64" s="385">
        <f t="shared" si="2"/>
        <v>22.109228664832607</v>
      </c>
      <c r="G64" s="110">
        <f t="shared" si="21"/>
        <v>0.54779779745479595</v>
      </c>
      <c r="H64" s="414" t="b">
        <f>Wh_hp&gt;='2023'!Maxi_hp</f>
        <v>0</v>
      </c>
      <c r="I64" s="390">
        <f>IF(H64,Wh_hp,'2023'!Maxi_hp)</f>
        <v>38.479174675338513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4.4577514094676141E-2</v>
      </c>
      <c r="M64" s="845"/>
      <c r="N64" s="845"/>
      <c r="O64" s="48">
        <f>IF(t&lt;Tnet,'2023'!Resal+('2023'!Salim-'2023'!Resal)*(1-EXP(('2023'!Tnet-t)/('2023'!Tau_j))),Resal+(Salim-Resal)*(1-EXP((Tnet-t)/(Tau_j))))*Salcycl</f>
        <v>3.1153249832597259E-2</v>
      </c>
      <c r="P64" s="169">
        <f>(INDEX(Models!$BJ64:$BT64,,T64)*(1-R64)+INDEX(Models!$BJ64:$BT64,,T64+1)*R64-ERP_i)*Q64*Ramure*Pc/MaxiM</f>
        <v>2.2546315310752006E-4</v>
      </c>
      <c r="Q64" s="305">
        <f t="shared" si="4"/>
        <v>0.5</v>
      </c>
      <c r="R64" s="177">
        <f t="shared" si="5"/>
        <v>1.8700097338406607E-3</v>
      </c>
      <c r="S64" s="811">
        <f t="shared" si="6"/>
        <v>1</v>
      </c>
      <c r="T64" s="176">
        <f t="shared" si="7"/>
        <v>7</v>
      </c>
      <c r="U64" s="251">
        <f t="shared" si="8"/>
        <v>1.0018700097338407</v>
      </c>
      <c r="V64" s="383">
        <f t="shared" si="9"/>
        <v>37.351317576256747</v>
      </c>
      <c r="W64" s="402">
        <f t="shared" si="10"/>
        <v>20.463949784701111</v>
      </c>
      <c r="X64" s="157">
        <f t="shared" si="11"/>
        <v>45341</v>
      </c>
      <c r="Y64" s="385">
        <f t="shared" si="12"/>
        <v>19.595429016893064</v>
      </c>
      <c r="Z64" s="385">
        <f t="shared" si="22"/>
        <v>20.509700479076692</v>
      </c>
      <c r="AA64" s="386">
        <f t="shared" si="13"/>
        <v>22.107463487306827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7.2272561216600154E-2</v>
      </c>
      <c r="AD64" s="231">
        <f>(INDEX(Models!$BJ64:$BT64,,AH64)*(1-AF64)+INDEX(Models!$BJ64:$BT64,,AH64+1)*AF64-ERP_i)*AE64*Ramure*Pc/MaxiM</f>
        <v>2.2546315310752006E-4</v>
      </c>
      <c r="AE64" s="305">
        <f t="shared" si="15"/>
        <v>0.5</v>
      </c>
      <c r="AF64" s="177">
        <f t="shared" si="23"/>
        <v>1.8700097338406607E-3</v>
      </c>
      <c r="AG64" s="811">
        <f t="shared" si="24"/>
        <v>1</v>
      </c>
      <c r="AH64" s="176">
        <f t="shared" si="16"/>
        <v>7</v>
      </c>
      <c r="AI64" s="225">
        <f t="shared" si="17"/>
        <v>1.0018700097338407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19.519127070526796</v>
      </c>
      <c r="C65" s="841"/>
      <c r="D65" s="393">
        <f t="shared" si="0"/>
        <v>20.430285959171353</v>
      </c>
      <c r="E65" s="385">
        <f t="shared" si="1"/>
        <v>21.088883058741835</v>
      </c>
      <c r="F65" s="385">
        <f t="shared" si="2"/>
        <v>21.09042360213202</v>
      </c>
      <c r="G65" s="110">
        <f t="shared" si="21"/>
        <v>0.51799023779128195</v>
      </c>
      <c r="H65" s="414" t="b">
        <f>Wh_hp&gt;='2023'!Maxi_hp</f>
        <v>0</v>
      </c>
      <c r="I65" s="390">
        <f>IF(H65,Wh_hp,'2023'!Maxi_hp)</f>
        <v>40.655100676030095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4.4598440299144615E-2</v>
      </c>
      <c r="M65" s="845"/>
      <c r="N65" s="845"/>
      <c r="O65" s="48">
        <f>IF(t&lt;Tnet,'2023'!Resal+('2023'!Salim-'2023'!Resal)*(1-EXP(('2023'!Tnet-t)/('2023'!Tau_j))),Resal+(Salim-Resal)*(1-EXP((Tnet-t)/(Tau_j))))*Salcycl</f>
        <v>3.122958659005318E-2</v>
      </c>
      <c r="P65" s="169">
        <f>(INDEX(Models!$BJ65:$BT65,,T65)*(1-R65)+INDEX(Models!$BJ65:$BT65,,T65+1)*R65-ERP_i)*Q65*Ramure*Pc/MaxiM</f>
        <v>2.3446770670358574E-4</v>
      </c>
      <c r="Q65" s="305">
        <f t="shared" si="4"/>
        <v>0.5</v>
      </c>
      <c r="R65" s="177">
        <f t="shared" si="5"/>
        <v>2.0848721397508374E-3</v>
      </c>
      <c r="S65" s="811">
        <f t="shared" si="6"/>
        <v>1</v>
      </c>
      <c r="T65" s="176">
        <f t="shared" si="7"/>
        <v>7</v>
      </c>
      <c r="U65" s="251">
        <f t="shared" si="8"/>
        <v>1.0020848721397508</v>
      </c>
      <c r="V65" s="383">
        <f t="shared" si="9"/>
        <v>37.676339398094342</v>
      </c>
      <c r="W65" s="402">
        <f t="shared" si="10"/>
        <v>19.519127070526796</v>
      </c>
      <c r="X65" s="157">
        <f t="shared" si="11"/>
        <v>45342</v>
      </c>
      <c r="Y65" s="385">
        <f t="shared" si="12"/>
        <v>18.691478714306516</v>
      </c>
      <c r="Z65" s="385">
        <f t="shared" si="22"/>
        <v>19.564002721702675</v>
      </c>
      <c r="AA65" s="386">
        <f t="shared" si="13"/>
        <v>21.088883058741835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7.2307306782995504E-2</v>
      </c>
      <c r="AD65" s="231">
        <f>(INDEX(Models!$BJ65:$BT65,,AH65)*(1-AF65)+INDEX(Models!$BJ65:$BT65,,AH65+1)*AF65-ERP_i)*AE65*Ramure*Pc/MaxiM</f>
        <v>2.3446770670358574E-4</v>
      </c>
      <c r="AE65" s="305">
        <f t="shared" si="15"/>
        <v>0.5</v>
      </c>
      <c r="AF65" s="177">
        <f t="shared" si="23"/>
        <v>2.0848721397508374E-3</v>
      </c>
      <c r="AG65" s="811">
        <f t="shared" si="24"/>
        <v>1</v>
      </c>
      <c r="AH65" s="176">
        <f t="shared" si="16"/>
        <v>7</v>
      </c>
      <c r="AI65" s="225">
        <f t="shared" si="17"/>
        <v>1.0020848721397508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21.577709615262144</v>
      </c>
      <c r="C66" s="841"/>
      <c r="D66" s="393">
        <f t="shared" si="0"/>
        <v>22.585458453289846</v>
      </c>
      <c r="E66" s="385">
        <f t="shared" si="1"/>
        <v>23.315365544096924</v>
      </c>
      <c r="F66" s="385">
        <f t="shared" si="2"/>
        <v>23.317539243724816</v>
      </c>
      <c r="G66" s="110">
        <f t="shared" si="21"/>
        <v>0.56769272874527399</v>
      </c>
      <c r="H66" s="414" t="b">
        <f>Wh_hp&gt;='2023'!Maxi_hp</f>
        <v>0</v>
      </c>
      <c r="I66" s="390">
        <f>IF(H66,Wh_hp,'2023'!Maxi_hp)</f>
        <v>38.737384022485628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4.4619366045275499E-2</v>
      </c>
      <c r="M66" s="845"/>
      <c r="N66" s="845"/>
      <c r="O66" s="48">
        <f>IF(t&lt;Tnet,'2023'!Resal+('2023'!Salim-'2023'!Resal)*(1-EXP(('2023'!Tnet-t)/('2023'!Tau_j))),Resal+(Salim-Resal)*(1-EXP((Tnet-t)/(Tau_j))))*Salcycl</f>
        <v>3.1305839465677159E-2</v>
      </c>
      <c r="P66" s="169">
        <f>(INDEX(Models!$BJ66:$BT66,,T66)*(1-R66)+INDEX(Models!$BJ66:$BT66,,T66+1)*R66-ERP_i)*Q66*Ramure*Pc/MaxiM</f>
        <v>2.4369110961184668E-4</v>
      </c>
      <c r="Q66" s="305">
        <f t="shared" si="4"/>
        <v>0.5</v>
      </c>
      <c r="R66" s="177">
        <f t="shared" si="5"/>
        <v>2.3085503890376557E-3</v>
      </c>
      <c r="S66" s="811">
        <f t="shared" si="6"/>
        <v>1</v>
      </c>
      <c r="T66" s="176">
        <f t="shared" si="7"/>
        <v>7</v>
      </c>
      <c r="U66" s="251">
        <f t="shared" si="8"/>
        <v>1.0023085503890377</v>
      </c>
      <c r="V66" s="383">
        <f t="shared" si="9"/>
        <v>38.003767591099454</v>
      </c>
      <c r="W66" s="402">
        <f t="shared" si="10"/>
        <v>21.577709615262144</v>
      </c>
      <c r="X66" s="157">
        <f t="shared" si="11"/>
        <v>45343</v>
      </c>
      <c r="Y66" s="385">
        <f t="shared" si="12"/>
        <v>20.663627148867519</v>
      </c>
      <c r="Z66" s="385">
        <f t="shared" si="22"/>
        <v>21.628685378865203</v>
      </c>
      <c r="AA66" s="386">
        <f t="shared" si="13"/>
        <v>23.315365544096924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7.2341999615732441E-2</v>
      </c>
      <c r="AD66" s="231">
        <f>(INDEX(Models!$BJ66:$BT66,,AH66)*(1-AF66)+INDEX(Models!$BJ66:$BT66,,AH66+1)*AF66-ERP_i)*AE66*Ramure*Pc/MaxiM</f>
        <v>2.4369110961184668E-4</v>
      </c>
      <c r="AE66" s="305">
        <f t="shared" si="15"/>
        <v>0.5</v>
      </c>
      <c r="AF66" s="177">
        <f t="shared" si="23"/>
        <v>2.3085503890376557E-3</v>
      </c>
      <c r="AG66" s="811">
        <f t="shared" si="24"/>
        <v>1</v>
      </c>
      <c r="AH66" s="176">
        <f t="shared" si="16"/>
        <v>7</v>
      </c>
      <c r="AI66" s="225">
        <f t="shared" si="17"/>
        <v>1.0023085503890377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33.35061436203646</v>
      </c>
      <c r="C67" s="841"/>
      <c r="D67" s="393">
        <f t="shared" si="0"/>
        <v>34.908960530241387</v>
      </c>
      <c r="E67" s="385">
        <f t="shared" si="1"/>
        <v>36.03996703207865</v>
      </c>
      <c r="F67" s="385">
        <f t="shared" si="2"/>
        <v>36.047382156468842</v>
      </c>
      <c r="G67" s="110">
        <f t="shared" si="21"/>
        <v>0.86997543666077015</v>
      </c>
      <c r="H67" s="414" t="b">
        <f>Wh_hp&gt;='2023'!Maxi_hp</f>
        <v>0</v>
      </c>
      <c r="I67" s="390">
        <f>IF(H67,Wh_hp,'2023'!Maxi_hp)</f>
        <v>40.196901311599696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4.4640291333078896E-2</v>
      </c>
      <c r="M67" s="845"/>
      <c r="N67" s="845"/>
      <c r="O67" s="48">
        <f>IF(t&lt;Tnet,'2023'!Resal+('2023'!Salim-'2023'!Resal)*(1-EXP(('2023'!Tnet-t)/('2023'!Tau_j))),Resal+(Salim-Resal)*(1-EXP((Tnet-t)/(Tau_j))))*Salcycl</f>
        <v>3.1382007115338707E-2</v>
      </c>
      <c r="P67" s="169">
        <f>(INDEX(Models!$BJ67:$BT67,,T67)*(1-R67)+INDEX(Models!$BJ67:$BT67,,T67+1)*R67-ERP_i)*Q67*Ramure*Pc/MaxiM</f>
        <v>2.5261289093563732E-4</v>
      </c>
      <c r="Q67" s="305">
        <f t="shared" si="4"/>
        <v>0.5</v>
      </c>
      <c r="R67" s="177">
        <f t="shared" si="5"/>
        <v>2.5413976481067913E-3</v>
      </c>
      <c r="S67" s="811">
        <f t="shared" si="6"/>
        <v>1</v>
      </c>
      <c r="T67" s="176">
        <f t="shared" si="7"/>
        <v>7</v>
      </c>
      <c r="U67" s="251">
        <f t="shared" si="8"/>
        <v>1.0025413976481068</v>
      </c>
      <c r="V67" s="383">
        <f t="shared" si="9"/>
        <v>38.333323247615112</v>
      </c>
      <c r="W67" s="402">
        <f t="shared" si="10"/>
        <v>33.35061436203646</v>
      </c>
      <c r="X67" s="157">
        <f t="shared" si="11"/>
        <v>45344</v>
      </c>
      <c r="Y67" s="385">
        <f t="shared" si="12"/>
        <v>31.939122846907907</v>
      </c>
      <c r="Z67" s="385">
        <f t="shared" si="22"/>
        <v>33.431515435662192</v>
      </c>
      <c r="AA67" s="386">
        <f t="shared" si="13"/>
        <v>36.03996703207865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7.2376636585008938E-2</v>
      </c>
      <c r="AD67" s="231">
        <f>(INDEX(Models!$BJ67:$BT67,,AH67)*(1-AF67)+INDEX(Models!$BJ67:$BT67,,AH67+1)*AF67-ERP_i)*AE67*Ramure*Pc/MaxiM</f>
        <v>2.5261289093563732E-4</v>
      </c>
      <c r="AE67" s="305">
        <f t="shared" si="15"/>
        <v>0.5</v>
      </c>
      <c r="AF67" s="177">
        <f t="shared" si="23"/>
        <v>2.5413976481067913E-3</v>
      </c>
      <c r="AG67" s="811">
        <f t="shared" si="24"/>
        <v>1</v>
      </c>
      <c r="AH67" s="176">
        <f t="shared" si="16"/>
        <v>7</v>
      </c>
      <c r="AI67" s="225">
        <f t="shared" si="17"/>
        <v>1.0025413976481068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34.507442172828604</v>
      </c>
      <c r="C68" s="841"/>
      <c r="D68" s="393">
        <f t="shared" si="0"/>
        <v>36.120633597871965</v>
      </c>
      <c r="E68" s="385">
        <f t="shared" si="1"/>
        <v>37.293826084580544</v>
      </c>
      <c r="F68" s="385">
        <f t="shared" si="2"/>
        <v>37.302074102207982</v>
      </c>
      <c r="G68" s="110">
        <f t="shared" si="21"/>
        <v>0.89244324167818811</v>
      </c>
      <c r="H68" s="414" t="b">
        <f>Wh_hp&gt;='2023'!Maxi_hp</f>
        <v>0</v>
      </c>
      <c r="I68" s="390">
        <f>IF(H68,Wh_hp,'2023'!Maxi_hp)</f>
        <v>40.899659056750139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4.4661216162564799E-2</v>
      </c>
      <c r="M68" s="845"/>
      <c r="N68" s="845"/>
      <c r="O68" s="48">
        <f>IF(t&lt;Tnet,'2023'!Resal+('2023'!Salim-'2023'!Resal)*(1-EXP(('2023'!Tnet-t)/('2023'!Tau_j))),Resal+(Salim-Resal)*(1-EXP((Tnet-t)/(Tau_j))))*Salcycl</f>
        <v>3.1458088640404884E-2</v>
      </c>
      <c r="P68" s="169">
        <f>(INDEX(Models!$BJ68:$BT68,,T68)*(1-R68)+INDEX(Models!$BJ68:$BT68,,T68+1)*R68-ERP_i)*Q68*Ramure*Pc/MaxiM</f>
        <v>2.6124117758390559E-4</v>
      </c>
      <c r="Q68" s="305">
        <f t="shared" si="4"/>
        <v>0.5</v>
      </c>
      <c r="R68" s="177">
        <f t="shared" si="5"/>
        <v>2.7837805084847123E-3</v>
      </c>
      <c r="S68" s="811">
        <f t="shared" si="6"/>
        <v>1</v>
      </c>
      <c r="T68" s="176">
        <f t="shared" si="7"/>
        <v>7</v>
      </c>
      <c r="U68" s="251">
        <f t="shared" si="8"/>
        <v>1.0027837805084847</v>
      </c>
      <c r="V68" s="383">
        <f t="shared" si="9"/>
        <v>38.664707821357581</v>
      </c>
      <c r="W68" s="402">
        <f t="shared" si="10"/>
        <v>34.507442172828604</v>
      </c>
      <c r="X68" s="157">
        <f t="shared" si="11"/>
        <v>45345</v>
      </c>
      <c r="Y68" s="385">
        <f t="shared" si="12"/>
        <v>33.048354399598068</v>
      </c>
      <c r="Z68" s="385">
        <f t="shared" si="22"/>
        <v>34.593334803019708</v>
      </c>
      <c r="AA68" s="386">
        <f t="shared" si="13"/>
        <v>37.293826084580544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7.2411215610762317E-2</v>
      </c>
      <c r="AD68" s="231">
        <f>(INDEX(Models!$BJ68:$BT68,,AH68)*(1-AF68)+INDEX(Models!$BJ68:$BT68,,AH68+1)*AF68-ERP_i)*AE68*Ramure*Pc/MaxiM</f>
        <v>2.6124117758390559E-4</v>
      </c>
      <c r="AE68" s="305">
        <f t="shared" si="15"/>
        <v>0.5</v>
      </c>
      <c r="AF68" s="177">
        <f t="shared" si="23"/>
        <v>2.7837805084847123E-3</v>
      </c>
      <c r="AG68" s="811">
        <f t="shared" si="24"/>
        <v>1</v>
      </c>
      <c r="AH68" s="176">
        <f t="shared" si="16"/>
        <v>7</v>
      </c>
      <c r="AI68" s="225">
        <f t="shared" si="17"/>
        <v>1.0027837805084847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21.214633999941022</v>
      </c>
      <c r="C69" s="841"/>
      <c r="D69" s="393">
        <f t="shared" si="0"/>
        <v>22.206885163639456</v>
      </c>
      <c r="E69" s="385">
        <f t="shared" si="1"/>
        <v>22.929960454179032</v>
      </c>
      <c r="F69" s="385">
        <f t="shared" si="2"/>
        <v>22.932115363345666</v>
      </c>
      <c r="G69" s="110">
        <f t="shared" si="21"/>
        <v>0.54390258890650189</v>
      </c>
      <c r="H69" s="414" t="b">
        <f>Wh_hp&gt;='2023'!Maxi_hp</f>
        <v>0</v>
      </c>
      <c r="I69" s="390">
        <f>IF(H69,Wh_hp,'2023'!Maxi_hp)</f>
        <v>41.03378848015074</v>
      </c>
      <c r="J69" s="85">
        <f>IF(H69,An,'2023'!An_max)</f>
        <v>2019</v>
      </c>
      <c r="K69" s="197">
        <f t="shared" si="3"/>
        <v>45346</v>
      </c>
      <c r="L69" s="147">
        <f>IF(t&lt;Tvie,1-EXP((T0-t)*PertePVj)+'2023'!Pspv,1-EXP((T0-t)*PertePVj)+Pspv)</f>
        <v>4.4682140533743198E-2</v>
      </c>
      <c r="M69" s="845"/>
      <c r="N69" s="845"/>
      <c r="O69" s="48">
        <f>IF(t&lt;Tnet,'2023'!Resal+('2023'!Salim-'2023'!Resal)*(1-EXP(('2023'!Tnet-t)/('2023'!Tau_j))),Resal+(Salim-Resal)*(1-EXP((Tnet-t)/(Tau_j))))*Salcycl</f>
        <v>3.1534083627597145E-2</v>
      </c>
      <c r="P69" s="169">
        <f>(INDEX(Models!$BJ69:$BT69,,T69)*(1-R69)+INDEX(Models!$BJ69:$BT69,,T69+1)*R69-ERP_i)*Q69*Ramure*Pc/MaxiM</f>
        <v>2.6958541203214715E-4</v>
      </c>
      <c r="Q69" s="305">
        <f t="shared" si="4"/>
        <v>0.5</v>
      </c>
      <c r="R69" s="177">
        <f t="shared" si="5"/>
        <v>3.036079435702943E-3</v>
      </c>
      <c r="S69" s="811">
        <f t="shared" si="6"/>
        <v>1</v>
      </c>
      <c r="T69" s="176">
        <f t="shared" si="7"/>
        <v>7</v>
      </c>
      <c r="U69" s="251">
        <f t="shared" si="8"/>
        <v>1.0030360794357029</v>
      </c>
      <c r="V69" s="383">
        <f t="shared" si="9"/>
        <v>38.997622820068884</v>
      </c>
      <c r="W69" s="402">
        <f t="shared" si="10"/>
        <v>21.214633999941022</v>
      </c>
      <c r="X69" s="157">
        <f t="shared" si="11"/>
        <v>45346</v>
      </c>
      <c r="Y69" s="385">
        <f t="shared" si="12"/>
        <v>20.318447865448391</v>
      </c>
      <c r="Z69" s="385">
        <f t="shared" si="22"/>
        <v>21.268782598496021</v>
      </c>
      <c r="AA69" s="386">
        <f t="shared" si="13"/>
        <v>22.929960454179032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7.244573574396454E-2</v>
      </c>
      <c r="AD69" s="231">
        <f>(INDEX(Models!$BJ69:$BT69,,AH69)*(1-AF69)+INDEX(Models!$BJ69:$BT69,,AH69+1)*AF69-ERP_i)*AE69*Ramure*Pc/MaxiM</f>
        <v>2.6958541203214715E-4</v>
      </c>
      <c r="AE69" s="305">
        <f t="shared" si="15"/>
        <v>0.5</v>
      </c>
      <c r="AF69" s="177">
        <f t="shared" si="23"/>
        <v>3.036079435702943E-3</v>
      </c>
      <c r="AG69" s="811">
        <f t="shared" si="24"/>
        <v>1</v>
      </c>
      <c r="AH69" s="176">
        <f t="shared" si="16"/>
        <v>7</v>
      </c>
      <c r="AI69" s="225">
        <f t="shared" si="17"/>
        <v>1.0030360794357029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30.8983074706303</v>
      </c>
      <c r="C70" s="841"/>
      <c r="D70" s="393">
        <f t="shared" si="0"/>
        <v>32.344191968680192</v>
      </c>
      <c r="E70" s="385">
        <f t="shared" si="1"/>
        <v>33.399964588321147</v>
      </c>
      <c r="F70" s="385">
        <f t="shared" si="2"/>
        <v>33.406398860944719</v>
      </c>
      <c r="G70" s="110">
        <f t="shared" si="21"/>
        <v>0.78551459059806406</v>
      </c>
      <c r="H70" s="414" t="b">
        <f>Wh_hp&gt;='2023'!Maxi_hp</f>
        <v>0</v>
      </c>
      <c r="I70" s="390">
        <f>IF(H70,Wh_hp,'2023'!Maxi_hp)</f>
        <v>42.028165575806206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4.4703064446624086E-2</v>
      </c>
      <c r="M70" s="845"/>
      <c r="N70" s="845"/>
      <c r="O70" s="48">
        <f>IF(t&lt;Tnet,'2023'!Resal+('2023'!Salim-'2023'!Resal)*(1-EXP(('2023'!Tnet-t)/('2023'!Tau_j))),Resal+(Salim-Resal)*(1-EXP((Tnet-t)/(Tau_j))))*Salcycl</f>
        <v>3.1609992185743903E-2</v>
      </c>
      <c r="P70" s="169">
        <f>(INDEX(Models!$BJ70:$BT70,,T70)*(1-R70)+INDEX(Models!$BJ70:$BT70,,T70+1)*R70-ERP_i)*Q70*Ramure*Pc/MaxiM</f>
        <v>2.7765517887893036E-4</v>
      </c>
      <c r="Q70" s="305">
        <f t="shared" si="4"/>
        <v>0.5</v>
      </c>
      <c r="R70" s="177">
        <f t="shared" si="5"/>
        <v>3.2986892278390467E-3</v>
      </c>
      <c r="S70" s="811">
        <f t="shared" si="6"/>
        <v>1</v>
      </c>
      <c r="T70" s="176">
        <f t="shared" si="7"/>
        <v>7</v>
      </c>
      <c r="U70" s="251">
        <f t="shared" si="8"/>
        <v>1.003298689227839</v>
      </c>
      <c r="V70" s="383">
        <f t="shared" si="9"/>
        <v>39.331769846526143</v>
      </c>
      <c r="W70" s="402">
        <f t="shared" si="10"/>
        <v>30.8983074706303</v>
      </c>
      <c r="X70" s="157">
        <f t="shared" si="11"/>
        <v>45347</v>
      </c>
      <c r="Y70" s="385">
        <f t="shared" si="12"/>
        <v>29.594266586315594</v>
      </c>
      <c r="Z70" s="385">
        <f t="shared" si="22"/>
        <v>30.979128567153303</v>
      </c>
      <c r="AA70" s="386">
        <f t="shared" si="13"/>
        <v>33.399964588321147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7.2480197239919497E-2</v>
      </c>
      <c r="AD70" s="231">
        <f>(INDEX(Models!$BJ70:$BT70,,AH70)*(1-AF70)+INDEX(Models!$BJ70:$BT70,,AH70+1)*AF70-ERP_i)*AE70*Ramure*Pc/MaxiM</f>
        <v>2.7765517887893036E-4</v>
      </c>
      <c r="AE70" s="305">
        <f t="shared" si="15"/>
        <v>0.5</v>
      </c>
      <c r="AF70" s="177">
        <f t="shared" si="23"/>
        <v>3.2986892278390467E-3</v>
      </c>
      <c r="AG70" s="811">
        <f t="shared" si="24"/>
        <v>1</v>
      </c>
      <c r="AH70" s="176">
        <f t="shared" si="16"/>
        <v>7</v>
      </c>
      <c r="AI70" s="225">
        <f t="shared" si="17"/>
        <v>1.003298689227839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39.790625921588173</v>
      </c>
      <c r="C71" s="841"/>
      <c r="D71" s="393">
        <f t="shared" si="0"/>
        <v>41.653538262901066</v>
      </c>
      <c r="E71" s="385">
        <f t="shared" si="1"/>
        <v>43.016552795829405</v>
      </c>
      <c r="F71" s="385">
        <f t="shared" si="2"/>
        <v>43.028835815721585</v>
      </c>
      <c r="G71" s="110">
        <f t="shared" si="21"/>
        <v>1.0031203719459276</v>
      </c>
      <c r="H71" s="414" t="b">
        <f>Wh_hp&gt;='2023'!Maxi_hp</f>
        <v>1</v>
      </c>
      <c r="I71" s="390">
        <f>IF(H71,Wh_hp,'2023'!Maxi_hp)</f>
        <v>43.028835815721585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4.4723987901217677E-2</v>
      </c>
      <c r="M71" s="845"/>
      <c r="N71" s="845"/>
      <c r="O71" s="48">
        <f>IF(t&lt;Tnet,'2023'!Resal+('2023'!Salim-'2023'!Resal)*(1-EXP(('2023'!Tnet-t)/('2023'!Tau_j))),Resal+(Salim-Resal)*(1-EXP((Tnet-t)/(Tau_j))))*Salcycl</f>
        <v>3.1685814979123303E-2</v>
      </c>
      <c r="P71" s="169">
        <f>(INDEX(Models!$BJ71:$BT71,,T71)*(1-R71)+INDEX(Models!$BJ71:$BT71,,T71+1)*R71-ERP_i)*Q71*Ramure*Pc/MaxiM</f>
        <v>2.8546019568792883E-4</v>
      </c>
      <c r="Q71" s="305">
        <f t="shared" si="4"/>
        <v>0.5</v>
      </c>
      <c r="R71" s="177">
        <f t="shared" si="5"/>
        <v>3.5720194834043539E-3</v>
      </c>
      <c r="S71" s="811">
        <f t="shared" si="6"/>
        <v>1</v>
      </c>
      <c r="T71" s="176">
        <f t="shared" si="7"/>
        <v>7</v>
      </c>
      <c r="U71" s="251">
        <f t="shared" si="8"/>
        <v>1.0035720194834044</v>
      </c>
      <c r="V71" s="383">
        <f t="shared" si="9"/>
        <v>39.666850593811937</v>
      </c>
      <c r="W71" s="402">
        <f t="shared" si="10"/>
        <v>39.790625921588173</v>
      </c>
      <c r="X71" s="157">
        <f t="shared" si="11"/>
        <v>45348</v>
      </c>
      <c r="Y71" s="385">
        <f t="shared" si="12"/>
        <v>38.112861616046288</v>
      </c>
      <c r="Z71" s="385">
        <f t="shared" si="22"/>
        <v>39.897224606646091</v>
      </c>
      <c r="AA71" s="386">
        <f t="shared" si="13"/>
        <v>43.016552795829405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7.2514601622976696E-2</v>
      </c>
      <c r="AD71" s="231">
        <f>(INDEX(Models!$BJ71:$BT71,,AH71)*(1-AF71)+INDEX(Models!$BJ71:$BT71,,AH71+1)*AF71-ERP_i)*AE71*Ramure*Pc/MaxiM</f>
        <v>2.8546019568792883E-4</v>
      </c>
      <c r="AE71" s="305">
        <f t="shared" si="15"/>
        <v>0.5</v>
      </c>
      <c r="AF71" s="177">
        <f t="shared" si="23"/>
        <v>3.5720194834043539E-3</v>
      </c>
      <c r="AG71" s="811">
        <f t="shared" si="24"/>
        <v>1</v>
      </c>
      <c r="AH71" s="176">
        <f t="shared" si="16"/>
        <v>7</v>
      </c>
      <c r="AI71" s="225">
        <f t="shared" si="17"/>
        <v>1.0035720194834044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27.729682496476737</v>
      </c>
      <c r="C72" s="841"/>
      <c r="D72" s="393">
        <f t="shared" si="0"/>
        <v>29.028562959586907</v>
      </c>
      <c r="E72" s="385">
        <f t="shared" si="1"/>
        <v>29.980799726801102</v>
      </c>
      <c r="F72" s="385">
        <f t="shared" si="2"/>
        <v>29.985706036948542</v>
      </c>
      <c r="G72" s="110">
        <f t="shared" si="21"/>
        <v>0.69310787258556927</v>
      </c>
      <c r="H72" s="414" t="b">
        <f>Wh_hp&gt;='2023'!Maxi_hp</f>
        <v>0</v>
      </c>
      <c r="I72" s="390">
        <f>IF(H72,Wh_hp,'2023'!Maxi_hp)</f>
        <v>42.246597609719124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4.4744910897533963E-2</v>
      </c>
      <c r="M72" s="845"/>
      <c r="N72" s="845"/>
      <c r="O72" s="48">
        <f>IF(t&lt;Tnet,'2023'!Resal+('2023'!Salim-'2023'!Resal)*(1-EXP(('2023'!Tnet-t)/('2023'!Tau_j))),Resal+(Salim-Resal)*(1-EXP((Tnet-t)/(Tau_j))))*Salcycl</f>
        <v>3.1761553257131828E-2</v>
      </c>
      <c r="P72" s="169">
        <f>(INDEX(Models!$BJ72:$BT72,,T72)*(1-R72)+INDEX(Models!$BJ72:$BT72,,T72+1)*R72-ERP_i)*Q72*Ramure*Pc/MaxiM</f>
        <v>2.9129245748888604E-4</v>
      </c>
      <c r="Q72" s="305">
        <f t="shared" si="4"/>
        <v>0.5</v>
      </c>
      <c r="R72" s="177">
        <f t="shared" si="5"/>
        <v>3.8564950782145058E-3</v>
      </c>
      <c r="S72" s="811">
        <f t="shared" si="6"/>
        <v>1</v>
      </c>
      <c r="T72" s="176">
        <f t="shared" si="7"/>
        <v>7</v>
      </c>
      <c r="U72" s="251">
        <f t="shared" si="8"/>
        <v>1.0038564950782145</v>
      </c>
      <c r="V72" s="383">
        <f t="shared" si="9"/>
        <v>40.002635581417252</v>
      </c>
      <c r="W72" s="402">
        <f t="shared" si="10"/>
        <v>27.729682496476737</v>
      </c>
      <c r="X72" s="157">
        <f t="shared" si="11"/>
        <v>45349</v>
      </c>
      <c r="Y72" s="385">
        <f t="shared" si="12"/>
        <v>26.561559485402007</v>
      </c>
      <c r="Z72" s="385">
        <f t="shared" si="22"/>
        <v>27.805724134229518</v>
      </c>
      <c r="AA72" s="386">
        <f t="shared" si="13"/>
        <v>29.980799726801102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7.2548951742177584E-2</v>
      </c>
      <c r="AD72" s="231">
        <f>(INDEX(Models!$BJ72:$BT72,,AH72)*(1-AF72)+INDEX(Models!$BJ72:$BT72,,AH72+1)*AF72-ERP_i)*AE72*Ramure*Pc/MaxiM</f>
        <v>2.9129245748888604E-4</v>
      </c>
      <c r="AE72" s="305">
        <f t="shared" si="15"/>
        <v>0.5</v>
      </c>
      <c r="AF72" s="177">
        <f t="shared" si="23"/>
        <v>3.8564950782145058E-3</v>
      </c>
      <c r="AG72" s="811">
        <f t="shared" si="24"/>
        <v>1</v>
      </c>
      <c r="AH72" s="176">
        <f t="shared" si="16"/>
        <v>7</v>
      </c>
      <c r="AI72" s="225">
        <f t="shared" si="17"/>
        <v>1.0038564950782145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34.264921247423167</v>
      </c>
      <c r="C73" s="841"/>
      <c r="D73" s="393">
        <f t="shared" si="0"/>
        <v>35.870703170783706</v>
      </c>
      <c r="E73" s="385">
        <f t="shared" si="1"/>
        <v>37.050280696379033</v>
      </c>
      <c r="F73" s="385">
        <f t="shared" si="2"/>
        <v>37.058847033579013</v>
      </c>
      <c r="G73" s="110">
        <f t="shared" si="21"/>
        <v>0.84937339279119262</v>
      </c>
      <c r="H73" s="414" t="b">
        <f>Wh_hp&gt;='2023'!Maxi_hp</f>
        <v>0</v>
      </c>
      <c r="I73" s="390">
        <f>IF(H73,Wh_hp,'2023'!Maxi_hp)</f>
        <v>37.059968091396428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4.4765833435582825E-2</v>
      </c>
      <c r="M73" s="845"/>
      <c r="N73" s="845"/>
      <c r="O73" s="48">
        <f>IF(t&lt;Tnet,'2023'!Resal+('2023'!Salim-'2023'!Resal)*(1-EXP(('2023'!Tnet-t)/('2023'!Tau_j))),Resal+(Salim-Resal)*(1-EXP((Tnet-t)/(Tau_j))))*Salcycl</f>
        <v>3.1837208880056089E-2</v>
      </c>
      <c r="P73" s="169">
        <f>(INDEX(Models!$BJ73:$BT73,,T73)*(1-R73)+INDEX(Models!$BJ73:$BT73,,T73+1)*R73-ERP_i)*Q73*Ramure*Pc/MaxiM</f>
        <v>2.9450395674484166E-4</v>
      </c>
      <c r="Q73" s="305">
        <f t="shared" si="4"/>
        <v>0.5</v>
      </c>
      <c r="R73" s="177">
        <f t="shared" si="5"/>
        <v>4.1525566508020528E-3</v>
      </c>
      <c r="S73" s="811">
        <f t="shared" si="6"/>
        <v>1</v>
      </c>
      <c r="T73" s="176">
        <f t="shared" si="7"/>
        <v>7</v>
      </c>
      <c r="U73" s="251">
        <f t="shared" si="8"/>
        <v>1.0041525566508021</v>
      </c>
      <c r="V73" s="383">
        <f t="shared" si="9"/>
        <v>40.33885495918561</v>
      </c>
      <c r="W73" s="402">
        <f t="shared" si="10"/>
        <v>34.264921247423167</v>
      </c>
      <c r="X73" s="157">
        <f t="shared" si="11"/>
        <v>45350</v>
      </c>
      <c r="Y73" s="385">
        <f t="shared" si="12"/>
        <v>32.822849763991151</v>
      </c>
      <c r="Z73" s="385">
        <f t="shared" si="22"/>
        <v>34.361050842686446</v>
      </c>
      <c r="AA73" s="386">
        <f t="shared" si="13"/>
        <v>37.050280696379033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7.2583251817452746E-2</v>
      </c>
      <c r="AD73" s="231">
        <f>(INDEX(Models!$BJ73:$BT73,,AH73)*(1-AF73)+INDEX(Models!$BJ73:$BT73,,AH73+1)*AF73-ERP_i)*AE73*Ramure*Pc/MaxiM</f>
        <v>2.9450395674484166E-4</v>
      </c>
      <c r="AE73" s="305">
        <f t="shared" si="15"/>
        <v>0.5</v>
      </c>
      <c r="AF73" s="177">
        <f t="shared" si="23"/>
        <v>4.1525566508020528E-3</v>
      </c>
      <c r="AG73" s="811">
        <f t="shared" si="24"/>
        <v>1</v>
      </c>
      <c r="AH73" s="176">
        <f t="shared" si="16"/>
        <v>7</v>
      </c>
      <c r="AI73" s="225">
        <f t="shared" si="17"/>
        <v>1.0041525566508021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39.775599345307526</v>
      </c>
      <c r="C74" s="841"/>
      <c r="D74" s="393">
        <f t="shared" si="0"/>
        <v>41.640544218760283</v>
      </c>
      <c r="E74" s="385">
        <f t="shared" si="1"/>
        <v>43.013215695039079</v>
      </c>
      <c r="F74" s="385">
        <f t="shared" si="2"/>
        <v>43.025513925776032</v>
      </c>
      <c r="G74" s="110">
        <f t="shared" si="21"/>
        <v>0.97787393242860643</v>
      </c>
      <c r="H74" s="414" t="b">
        <f>Wh_hp&gt;='2023'!Maxi_hp</f>
        <v>0</v>
      </c>
      <c r="I74" s="390">
        <f>IF(H74,Wh_hp,'2023'!Maxi_hp)</f>
        <v>43.025708603641178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4.4786755515374477E-2</v>
      </c>
      <c r="M74" s="845"/>
      <c r="N74" s="845"/>
      <c r="O74" s="48">
        <f>IF(t&lt;Tnet,'2023'!Resal+('2023'!Salim-'2023'!Resal)*(1-EXP(('2023'!Tnet-t)/('2023'!Tau_j))),Resal+(Salim-Resal)*(1-EXP((Tnet-t)/(Tau_j))))*Salcycl</f>
        <v>3.1912784340769794E-2</v>
      </c>
      <c r="P74" s="169">
        <f>(INDEX(Models!$BJ74:$BT74,,T74)*(1-R74)+INDEX(Models!$BJ74:$BT74,,T74+1)*R74-ERP_i)*Q74*Ramure*Pc/MaxiM</f>
        <v>2.951615842117236E-4</v>
      </c>
      <c r="Q74" s="305">
        <f t="shared" si="4"/>
        <v>0.5</v>
      </c>
      <c r="R74" s="177">
        <f t="shared" si="5"/>
        <v>4.4606610958608517E-3</v>
      </c>
      <c r="S74" s="811">
        <f t="shared" si="6"/>
        <v>1</v>
      </c>
      <c r="T74" s="176">
        <f t="shared" si="7"/>
        <v>7</v>
      </c>
      <c r="U74" s="251">
        <f t="shared" si="8"/>
        <v>1.0044606610958609</v>
      </c>
      <c r="V74" s="383">
        <f t="shared" si="9"/>
        <v>40.67521076102561</v>
      </c>
      <c r="W74" s="402">
        <f t="shared" si="10"/>
        <v>39.775599345307526</v>
      </c>
      <c r="X74" s="157">
        <f t="shared" si="11"/>
        <v>45351</v>
      </c>
      <c r="Y74" s="385">
        <f t="shared" si="12"/>
        <v>38.103172798707796</v>
      </c>
      <c r="Z74" s="385">
        <f t="shared" si="22"/>
        <v>39.889703182733747</v>
      </c>
      <c r="AA74" s="386">
        <f t="shared" si="13"/>
        <v>43.013215695039079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7.2617507476093773E-2</v>
      </c>
      <c r="AD74" s="231">
        <f>(INDEX(Models!$BJ74:$BT74,,AH74)*(1-AF74)+INDEX(Models!$BJ74:$BT74,,AH74+1)*AF74-ERP_i)*AE74*Ramure*Pc/MaxiM</f>
        <v>2.951615842117236E-4</v>
      </c>
      <c r="AE74" s="305">
        <f t="shared" si="15"/>
        <v>0.5</v>
      </c>
      <c r="AF74" s="177">
        <f t="shared" si="23"/>
        <v>4.4606610958608517E-3</v>
      </c>
      <c r="AG74" s="811">
        <f t="shared" si="24"/>
        <v>1</v>
      </c>
      <c r="AH74" s="176">
        <f t="shared" si="16"/>
        <v>7</v>
      </c>
      <c r="AI74" s="225">
        <f t="shared" si="17"/>
        <v>1.0044606610958609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10.953508299218713</v>
      </c>
      <c r="C75" s="841"/>
      <c r="D75" s="393">
        <f t="shared" si="0"/>
        <v>11.467332847050956</v>
      </c>
      <c r="E75" s="385">
        <f t="shared" si="1"/>
        <v>11.84627483643475</v>
      </c>
      <c r="F75" s="385">
        <f t="shared" si="2"/>
        <v>11.84627483643475</v>
      </c>
      <c r="G75" s="110">
        <f t="shared" si="21"/>
        <v>0.26700609931090596</v>
      </c>
      <c r="H75" s="414" t="b">
        <f>Wh_hp&gt;='2023'!Maxi_hp</f>
        <v>0</v>
      </c>
      <c r="I75" s="390">
        <f>IF(H75,Wh_hp,'2023'!Maxi_hp)</f>
        <v>29.154269715170336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4.48076771369188E-2</v>
      </c>
      <c r="M75" s="845"/>
      <c r="N75" s="845"/>
      <c r="O75" s="48">
        <f>IF(t&lt;Tnet,'2023'!Resal+('2023'!Salim-'2023'!Resal)*(1-EXP(('2023'!Tnet-t)/('2023'!Tau_j))),Resal+(Salim-Resal)*(1-EXP((Tnet-t)/(Tau_j))))*Salcycl</f>
        <v>3.1988282782221905E-2</v>
      </c>
      <c r="P75" s="169">
        <f>(INDEX(Models!$BJ75:$BT75,,T75)*(1-R75)+INDEX(Models!$BJ75:$BT75,,T75+1)*R75-ERP_i)*Q75*Ramure*Pc/MaxiM</f>
        <v>2.9333020668459453E-4</v>
      </c>
      <c r="Q75" s="305">
        <f t="shared" si="4"/>
        <v>0.5</v>
      </c>
      <c r="R75" s="177">
        <f t="shared" si="5"/>
        <v>4.7812820651225163E-3</v>
      </c>
      <c r="S75" s="811">
        <f t="shared" si="6"/>
        <v>1</v>
      </c>
      <c r="T75" s="176">
        <f t="shared" si="7"/>
        <v>7</v>
      </c>
      <c r="U75" s="251">
        <f t="shared" si="8"/>
        <v>1.0047812820651225</v>
      </c>
      <c r="V75" s="383">
        <f t="shared" si="9"/>
        <v>41.011405105074729</v>
      </c>
      <c r="W75" s="402">
        <f t="shared" si="10"/>
        <v>10.953508299218713</v>
      </c>
      <c r="X75" s="157">
        <f t="shared" si="11"/>
        <v>45352</v>
      </c>
      <c r="Y75" s="385">
        <f t="shared" si="12"/>
        <v>10.493382298240357</v>
      </c>
      <c r="Z75" s="385">
        <f t="shared" si="22"/>
        <v>10.985622525511541</v>
      </c>
      <c r="AA75" s="386">
        <f t="shared" si="13"/>
        <v>11.84627483643475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7.2651725779327742E-2</v>
      </c>
      <c r="AD75" s="231">
        <f>(INDEX(Models!$BJ75:$BT75,,AH75)*(1-AF75)+INDEX(Models!$BJ75:$BT75,,AH75+1)*AF75-ERP_i)*AE75*Ramure*Pc/MaxiM</f>
        <v>2.9333020668459453E-4</v>
      </c>
      <c r="AE75" s="305">
        <f t="shared" si="15"/>
        <v>0.5</v>
      </c>
      <c r="AF75" s="177">
        <f t="shared" si="23"/>
        <v>4.7812820651225163E-3</v>
      </c>
      <c r="AG75" s="811">
        <f t="shared" si="24"/>
        <v>1</v>
      </c>
      <c r="AH75" s="176">
        <f t="shared" si="16"/>
        <v>7</v>
      </c>
      <c r="AI75" s="225">
        <f t="shared" si="17"/>
        <v>1.0047812820651225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35.301725595065555</v>
      </c>
      <c r="C76" s="841"/>
      <c r="D76" s="393">
        <f t="shared" si="0"/>
        <v>36.958524441000243</v>
      </c>
      <c r="E76" s="385">
        <f t="shared" si="1"/>
        <v>38.182806809568426</v>
      </c>
      <c r="F76" s="385">
        <f t="shared" si="2"/>
        <v>38.191540950033115</v>
      </c>
      <c r="G76" s="110">
        <f t="shared" si="21"/>
        <v>0.85373724623216996</v>
      </c>
      <c r="H76" s="414" t="b">
        <f>Wh_hp&gt;='2023'!Maxi_hp</f>
        <v>0</v>
      </c>
      <c r="I76" s="390">
        <f>IF(H76,Wh_hp,'2023'!Maxi_hp)</f>
        <v>39.010447727103518</v>
      </c>
      <c r="J76" s="85">
        <f>IF(H76,An,'2023'!An_max)</f>
        <v>2019</v>
      </c>
      <c r="K76" s="197">
        <f t="shared" si="3"/>
        <v>45353</v>
      </c>
      <c r="L76" s="147">
        <f>IF(t&lt;Tvie,1-EXP((T0-t)*PertePVj)+'2023'!Pspv,1-EXP((T0-t)*PertePVj)+Pspv)</f>
        <v>4.4828598300226008E-2</v>
      </c>
      <c r="M76" s="845"/>
      <c r="N76" s="845"/>
      <c r="O76" s="48">
        <f>IF(t&lt;Tnet,'2023'!Resal+('2023'!Salim-'2023'!Resal)*(1-EXP(('2023'!Tnet-t)/('2023'!Tau_j))),Resal+(Salim-Resal)*(1-EXP((Tnet-t)/(Tau_j))))*Salcycl</f>
        <v>3.2063708010627051E-2</v>
      </c>
      <c r="P76" s="169">
        <f>(INDEX(Models!$BJ76:$BT76,,T76)*(1-R76)+INDEX(Models!$BJ76:$BT76,,T76+1)*R76-ERP_i)*Q76*Ramure*Pc/MaxiM</f>
        <v>2.8907255095221573E-4</v>
      </c>
      <c r="Q76" s="305">
        <f t="shared" si="4"/>
        <v>0.5</v>
      </c>
      <c r="R76" s="177">
        <f t="shared" si="5"/>
        <v>5.1149104749803609E-3</v>
      </c>
      <c r="S76" s="811">
        <f t="shared" si="6"/>
        <v>1</v>
      </c>
      <c r="T76" s="176">
        <f t="shared" si="7"/>
        <v>7</v>
      </c>
      <c r="U76" s="251">
        <f t="shared" si="8"/>
        <v>1.0051149104749804</v>
      </c>
      <c r="V76" s="383">
        <f t="shared" si="9"/>
        <v>41.347140192317759</v>
      </c>
      <c r="W76" s="402">
        <f t="shared" si="10"/>
        <v>35.301725595065555</v>
      </c>
      <c r="X76" s="157">
        <f t="shared" si="11"/>
        <v>45353</v>
      </c>
      <c r="Y76" s="385">
        <f t="shared" si="12"/>
        <v>33.820187993358374</v>
      </c>
      <c r="Z76" s="385">
        <f t="shared" si="22"/>
        <v>35.407454550223868</v>
      </c>
      <c r="AA76" s="386">
        <f t="shared" si="13"/>
        <v>38.182806809568426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7.2685915238925453E-2</v>
      </c>
      <c r="AD76" s="231">
        <f>(INDEX(Models!$BJ76:$BT76,,AH76)*(1-AF76)+INDEX(Models!$BJ76:$BT76,,AH76+1)*AF76-ERP_i)*AE76*Ramure*Pc/MaxiM</f>
        <v>2.8907255095221573E-4</v>
      </c>
      <c r="AE76" s="305">
        <f t="shared" si="15"/>
        <v>0.5</v>
      </c>
      <c r="AF76" s="177">
        <f t="shared" si="23"/>
        <v>5.1149104749803609E-3</v>
      </c>
      <c r="AG76" s="811">
        <f t="shared" si="24"/>
        <v>1</v>
      </c>
      <c r="AH76" s="176">
        <f t="shared" si="16"/>
        <v>7</v>
      </c>
      <c r="AI76" s="225">
        <f t="shared" si="17"/>
        <v>1.0051149104749804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4.0603795504292011</v>
      </c>
      <c r="C77" s="841"/>
      <c r="D77" s="393">
        <f t="shared" si="0"/>
        <v>4.2510364923867501</v>
      </c>
      <c r="E77" s="385">
        <f t="shared" si="1"/>
        <v>4.3921976148459798</v>
      </c>
      <c r="F77" s="385">
        <f t="shared" si="2"/>
        <v>4.3921976148459798</v>
      </c>
      <c r="G77" s="110">
        <f t="shared" si="21"/>
        <v>9.7385470433528812E-2</v>
      </c>
      <c r="H77" s="414" t="b">
        <f>Wh_hp&gt;='2023'!Maxi_hp</f>
        <v>0</v>
      </c>
      <c r="I77" s="390">
        <f>IF(H77,Wh_hp,'2023'!Maxi_hp)</f>
        <v>30.286197485540761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4.4849519005305982E-2</v>
      </c>
      <c r="M77" s="845"/>
      <c r="N77" s="845"/>
      <c r="O77" s="48">
        <f>IF(t&lt;Tnet,'2023'!Resal+('2023'!Salim-'2023'!Resal)*(1-EXP(('2023'!Tnet-t)/('2023'!Tau_j))),Resal+(Salim-Resal)*(1-EXP((Tnet-t)/(Tau_j))))*Salcycl</f>
        <v>3.2139064504314287E-2</v>
      </c>
      <c r="P77" s="169">
        <f>(INDEX(Models!$BJ77:$BT77,,T77)*(1-R77)+INDEX(Models!$BJ77:$BT77,,T77+1)*R77-ERP_i)*Q77*Ramure*Pc/MaxiM</f>
        <v>2.8244909224340686E-4</v>
      </c>
      <c r="Q77" s="305">
        <f t="shared" si="4"/>
        <v>0.5</v>
      </c>
      <c r="R77" s="177">
        <f t="shared" si="5"/>
        <v>5.4620550200785711E-3</v>
      </c>
      <c r="S77" s="811">
        <f t="shared" si="6"/>
        <v>1</v>
      </c>
      <c r="T77" s="176">
        <f t="shared" si="7"/>
        <v>7</v>
      </c>
      <c r="U77" s="251">
        <f t="shared" si="8"/>
        <v>1.0054620550200786</v>
      </c>
      <c r="V77" s="383">
        <f t="shared" si="9"/>
        <v>41.682118306156134</v>
      </c>
      <c r="W77" s="402">
        <f t="shared" si="10"/>
        <v>4.0603795504292011</v>
      </c>
      <c r="X77" s="157">
        <f t="shared" si="11"/>
        <v>45354</v>
      </c>
      <c r="Y77" s="385">
        <f t="shared" si="12"/>
        <v>3.8901336575963716</v>
      </c>
      <c r="Z77" s="385">
        <f t="shared" si="22"/>
        <v>4.0727966273389562</v>
      </c>
      <c r="AA77" s="386">
        <f t="shared" si="13"/>
        <v>4.3921976148459798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7.2720085823876068E-2</v>
      </c>
      <c r="AD77" s="231">
        <f>(INDEX(Models!$BJ77:$BT77,,AH77)*(1-AF77)+INDEX(Models!$BJ77:$BT77,,AH77+1)*AF77-ERP_i)*AE77*Ramure*Pc/MaxiM</f>
        <v>2.8244909224340686E-4</v>
      </c>
      <c r="AE77" s="305">
        <f t="shared" si="15"/>
        <v>0.5</v>
      </c>
      <c r="AF77" s="177">
        <f t="shared" si="23"/>
        <v>5.4620550200785711E-3</v>
      </c>
      <c r="AG77" s="811">
        <f t="shared" si="24"/>
        <v>1</v>
      </c>
      <c r="AH77" s="176">
        <f t="shared" si="16"/>
        <v>7</v>
      </c>
      <c r="AI77" s="225">
        <f t="shared" si="17"/>
        <v>1.0054620550200786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13.441982074262137</v>
      </c>
      <c r="C78" s="841"/>
      <c r="D78" s="393">
        <f t="shared" si="0"/>
        <v>14.073464613258921</v>
      </c>
      <c r="E78" s="385">
        <f t="shared" si="1"/>
        <v>14.541923328925474</v>
      </c>
      <c r="F78" s="385">
        <f t="shared" si="2"/>
        <v>14.542036545834947</v>
      </c>
      <c r="G78" s="110">
        <f t="shared" si="21"/>
        <v>0.31983998244500572</v>
      </c>
      <c r="H78" s="414" t="b">
        <f>Wh_hp&gt;='2023'!Maxi_hp</f>
        <v>0</v>
      </c>
      <c r="I78" s="390">
        <f>IF(H78,Wh_hp,'2023'!Maxi_hp)</f>
        <v>44.531611979407565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4.4870439252168937E-2</v>
      </c>
      <c r="M78" s="845"/>
      <c r="N78" s="845"/>
      <c r="O78" s="48">
        <f>IF(t&lt;Tnet,'2023'!Resal+('2023'!Salim-'2023'!Resal)*(1-EXP(('2023'!Tnet-t)/('2023'!Tau_j))),Resal+(Salim-Resal)*(1-EXP((Tnet-t)/(Tau_j))))*Salcycl</f>
        <v>3.2214357418233565E-2</v>
      </c>
      <c r="P78" s="169">
        <f>(INDEX(Models!$BJ78:$BT78,,T78)*(1-R78)+INDEX(Models!$BJ78:$BT78,,T78+1)*R78-ERP_i)*Q78*Ramure*Pc/MaxiM</f>
        <v>2.7351794632062628E-4</v>
      </c>
      <c r="Q78" s="305">
        <f t="shared" si="4"/>
        <v>0.5</v>
      </c>
      <c r="R78" s="177">
        <f t="shared" si="5"/>
        <v>5.8232426919742064E-3</v>
      </c>
      <c r="S78" s="811">
        <f t="shared" si="6"/>
        <v>1</v>
      </c>
      <c r="T78" s="176">
        <f t="shared" si="7"/>
        <v>7</v>
      </c>
      <c r="U78" s="251">
        <f t="shared" si="8"/>
        <v>1.0058232426919742</v>
      </c>
      <c r="V78" s="383">
        <f t="shared" si="9"/>
        <v>42.016041812019992</v>
      </c>
      <c r="W78" s="402">
        <f t="shared" si="10"/>
        <v>13.441982074262137</v>
      </c>
      <c r="X78" s="157">
        <f t="shared" si="11"/>
        <v>45355</v>
      </c>
      <c r="Y78" s="385">
        <f t="shared" si="12"/>
        <v>12.878906459804405</v>
      </c>
      <c r="Z78" s="385">
        <f t="shared" si="22"/>
        <v>13.483936618735472</v>
      </c>
      <c r="AA78" s="386">
        <f t="shared" si="13"/>
        <v>14.541923328925474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7.2754248957257975E-2</v>
      </c>
      <c r="AD78" s="231">
        <f>(INDEX(Models!$BJ78:$BT78,,AH78)*(1-AF78)+INDEX(Models!$BJ78:$BT78,,AH78+1)*AF78-ERP_i)*AE78*Ramure*Pc/MaxiM</f>
        <v>2.7351794632062628E-4</v>
      </c>
      <c r="AE78" s="305">
        <f t="shared" si="15"/>
        <v>0.5</v>
      </c>
      <c r="AF78" s="177">
        <f t="shared" si="23"/>
        <v>5.8232426919742064E-3</v>
      </c>
      <c r="AG78" s="811">
        <f t="shared" si="24"/>
        <v>1</v>
      </c>
      <c r="AH78" s="176">
        <f t="shared" si="16"/>
        <v>7</v>
      </c>
      <c r="AI78" s="225">
        <f t="shared" si="17"/>
        <v>1.0058232426919742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16.060680850986291</v>
      </c>
      <c r="C79" s="841"/>
      <c r="D79" s="393">
        <f t="shared" ref="D79:D142" si="25">Wh/(1-Ppv)</f>
        <v>16.815553919454885</v>
      </c>
      <c r="E79" s="385">
        <f t="shared" si="1"/>
        <v>17.376638497005466</v>
      </c>
      <c r="F79" s="385">
        <f t="shared" ref="F79:F142" si="26">Wh_sa/(1-Pvg*MEDIAN((-Sdif+Wh/Env_an)/Csdif,0,1))</f>
        <v>17.377154511737761</v>
      </c>
      <c r="G79" s="110">
        <f t="shared" si="21"/>
        <v>0.37915053400182308</v>
      </c>
      <c r="H79" s="414" t="b">
        <f>Wh_hp&gt;='2023'!Maxi_hp</f>
        <v>0</v>
      </c>
      <c r="I79" s="390">
        <f>IF(H79,Wh_hp,'2023'!Maxi_hp)</f>
        <v>23.382336400970807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4.4891359040824641E-2</v>
      </c>
      <c r="M79" s="845"/>
      <c r="N79" s="845"/>
      <c r="O79" s="48">
        <f>IF(t&lt;Tnet,'2023'!Resal+('2023'!Salim-'2023'!Resal)*(1-EXP(('2023'!Tnet-t)/('2023'!Tau_j))),Resal+(Salim-Resal)*(1-EXP((Tnet-t)/(Tau_j))))*Salcycl</f>
        <v>3.2289592584162509E-2</v>
      </c>
      <c r="P79" s="169">
        <f>(INDEX(Models!$BJ79:$BT79,,T79)*(1-R79)+INDEX(Models!$BJ79:$BT79,,T79+1)*R79-ERP_i)*Q79*Ramure*Pc/MaxiM</f>
        <v>2.6232749265000073E-4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6.1990193018723883E-3</v>
      </c>
      <c r="S79" s="81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1.0061990193018724</v>
      </c>
      <c r="V79" s="383">
        <f t="shared" ref="V79:V142" si="33">MaxiM*(1-Ppv)*(1-Pvg)*(1-Psa)</f>
        <v>42.349787390402298</v>
      </c>
      <c r="W79" s="402">
        <f t="shared" ref="W79:W142" si="34">Wh*(A79&gt;Tmaj)</f>
        <v>16.060680850986291</v>
      </c>
      <c r="X79" s="157">
        <f t="shared" ref="X79:X142" si="35">t</f>
        <v>45356</v>
      </c>
      <c r="Y79" s="385">
        <f t="shared" ref="Y79:Y142" si="36">Wh_pvt_s*(1-Ppv)</f>
        <v>15.388538961340974</v>
      </c>
      <c r="Z79" s="385">
        <f t="shared" ref="Z79:Z142" si="37">Wh_sa_s*(1-Psa_s)</f>
        <v>16.111820479277533</v>
      </c>
      <c r="AA79" s="386">
        <f t="shared" ref="AA79:AA142" si="38">Wh_hp*(1-Pvg_s*MEDIAN((-Sdif+Wh/Env_an)/Csdif,0,1))</f>
        <v>17.376638497005466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7.2788417503529296E-2</v>
      </c>
      <c r="AD79" s="231">
        <f>(INDEX(Models!$BJ79:$BT79,,AH79)*(1-AF79)+INDEX(Models!$BJ79:$BT79,,AH79+1)*AF79-ERP_i)*AE79*Ramure*Pc/MaxiM</f>
        <v>2.6232749265000073E-4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6.1990193018723883E-3</v>
      </c>
      <c r="AG79" s="81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1.0061990193018724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37.513200134312193</v>
      </c>
      <c r="C80" s="841"/>
      <c r="D80" s="393">
        <f t="shared" si="25"/>
        <v>39.277230022746721</v>
      </c>
      <c r="E80" s="385">
        <f t="shared" ref="E80:E143" si="47">Wh_pvt/(1-Psa)</f>
        <v>40.590946948944485</v>
      </c>
      <c r="F80" s="385">
        <f t="shared" si="26"/>
        <v>40.599313695739674</v>
      </c>
      <c r="G80" s="110">
        <f t="shared" ref="G80:G143" si="48">+Wh_hp/MaxiM</f>
        <v>0.87881480549201707</v>
      </c>
      <c r="H80" s="414" t="b">
        <f>Wh_hp&gt;='2023'!Maxi_hp</f>
        <v>0</v>
      </c>
      <c r="I80" s="390">
        <f>IF(H80,Wh_hp,'2023'!Maxi_hp)</f>
        <v>42.685529835046331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4.4912278371283421E-2</v>
      </c>
      <c r="M80" s="845"/>
      <c r="N80" s="845"/>
      <c r="O80" s="48">
        <f>IF(t&lt;Tnet,'2023'!Resal+('2023'!Salim-'2023'!Resal)*(1-EXP(('2023'!Tnet-t)/('2023'!Tau_j))),Resal+(Salim-Resal)*(1-EXP((Tnet-t)/(Tau_j))))*Salcycl</f>
        <v>3.2364776506696447E-2</v>
      </c>
      <c r="P80" s="169">
        <f>(INDEX(Models!$BJ80:$BT80,,T80)*(1-R80)+INDEX(Models!$BJ80:$BT80,,T80+1)*R80-ERP_i)*Q80*Ramure*Pc/MaxiM</f>
        <v>2.492113951982257E-4</v>
      </c>
      <c r="Q80" s="305">
        <f t="shared" si="28"/>
        <v>0.5</v>
      </c>
      <c r="R80" s="177">
        <f t="shared" si="29"/>
        <v>6.5899500063080207E-3</v>
      </c>
      <c r="S80" s="811">
        <f t="shared" si="30"/>
        <v>1</v>
      </c>
      <c r="T80" s="176">
        <f t="shared" si="31"/>
        <v>7</v>
      </c>
      <c r="U80" s="251">
        <f t="shared" si="32"/>
        <v>1.006589950006308</v>
      </c>
      <c r="V80" s="383">
        <f t="shared" si="33"/>
        <v>42.684285252024239</v>
      </c>
      <c r="W80" s="402">
        <f t="shared" si="34"/>
        <v>37.513200134312193</v>
      </c>
      <c r="X80" s="157">
        <f t="shared" si="35"/>
        <v>45357</v>
      </c>
      <c r="Y80" s="385">
        <f t="shared" si="36"/>
        <v>35.944734447629898</v>
      </c>
      <c r="Z80" s="385">
        <f t="shared" si="37"/>
        <v>37.635008422402429</v>
      </c>
      <c r="AA80" s="386">
        <f t="shared" si="38"/>
        <v>40.590946948944485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7.2822605746548683E-2</v>
      </c>
      <c r="AD80" s="231">
        <f>(INDEX(Models!$BJ80:$BT80,,AH80)*(1-AF80)+INDEX(Models!$BJ80:$BT80,,AH80+1)*AF80-ERP_i)*AE80*Ramure*Pc/MaxiM</f>
        <v>2.492113951982257E-4</v>
      </c>
      <c r="AE80" s="305">
        <f t="shared" si="40"/>
        <v>0.5</v>
      </c>
      <c r="AF80" s="177">
        <f t="shared" si="41"/>
        <v>6.5899500063080207E-3</v>
      </c>
      <c r="AG80" s="811">
        <f t="shared" ref="AG80:AG143" si="49">INDEX(Echel_vg,AH80)</f>
        <v>1</v>
      </c>
      <c r="AH80" s="176">
        <f t="shared" si="42"/>
        <v>7</v>
      </c>
      <c r="AI80" s="225">
        <f t="shared" si="43"/>
        <v>1.006589950006308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32.41956032868621</v>
      </c>
      <c r="C81" s="841"/>
      <c r="D81" s="393">
        <f t="shared" si="25"/>
        <v>33.944809132847261</v>
      </c>
      <c r="E81" s="385">
        <f t="shared" si="47"/>
        <v>35.082895322608962</v>
      </c>
      <c r="F81" s="385">
        <f t="shared" si="26"/>
        <v>35.088238368982886</v>
      </c>
      <c r="G81" s="110">
        <f t="shared" si="48"/>
        <v>0.75354261718975502</v>
      </c>
      <c r="H81" s="414" t="b">
        <f>Wh_hp&gt;='2023'!Maxi_hp</f>
        <v>0</v>
      </c>
      <c r="I81" s="390">
        <f>IF(H81,Wh_hp,'2023'!Maxi_hp)</f>
        <v>35.089826516602166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4.4933197243555045E-2</v>
      </c>
      <c r="M81" s="845"/>
      <c r="N81" s="845"/>
      <c r="O81" s="48">
        <f>IF(t&lt;Tnet,'2023'!Resal+('2023'!Salim-'2023'!Resal)*(1-EXP(('2023'!Tnet-t)/('2023'!Tau_j))),Resal+(Salim-Resal)*(1-EXP((Tnet-t)/(Tau_j))))*Salcycl</f>
        <v>3.2439916355143782E-2</v>
      </c>
      <c r="P81" s="169">
        <f>(INDEX(Models!$BJ81:$BT81,,T81)*(1-R81)+INDEX(Models!$BJ81:$BT81,,T81+1)*R81-ERP_i)*Q81*Ramure*Pc/MaxiM</f>
        <v>2.3498904887631002E-4</v>
      </c>
      <c r="Q81" s="305">
        <f t="shared" si="28"/>
        <v>0.5</v>
      </c>
      <c r="R81" s="177">
        <f t="shared" si="29"/>
        <v>6.9966198345181585E-3</v>
      </c>
      <c r="S81" s="811">
        <f t="shared" si="30"/>
        <v>1</v>
      </c>
      <c r="T81" s="176">
        <f t="shared" si="31"/>
        <v>7</v>
      </c>
      <c r="U81" s="251">
        <f t="shared" si="32"/>
        <v>1.0069966198345182</v>
      </c>
      <c r="V81" s="383">
        <f t="shared" si="33"/>
        <v>43.01930324009183</v>
      </c>
      <c r="W81" s="402">
        <f t="shared" si="34"/>
        <v>32.41956032868621</v>
      </c>
      <c r="X81" s="157">
        <f t="shared" si="35"/>
        <v>45358</v>
      </c>
      <c r="Y81" s="385">
        <f t="shared" si="36"/>
        <v>31.065330682830339</v>
      </c>
      <c r="Z81" s="385">
        <f t="shared" si="37"/>
        <v>32.526866804679862</v>
      </c>
      <c r="AA81" s="386">
        <f t="shared" si="38"/>
        <v>35.082895322608962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7.2856829358718456E-2</v>
      </c>
      <c r="AD81" s="231">
        <f>(INDEX(Models!$BJ81:$BT81,,AH81)*(1-AF81)+INDEX(Models!$BJ81:$BT81,,AH81+1)*AF81-ERP_i)*AE81*Ramure*Pc/MaxiM</f>
        <v>2.3498904887631002E-4</v>
      </c>
      <c r="AE81" s="305">
        <f t="shared" si="40"/>
        <v>0.5</v>
      </c>
      <c r="AF81" s="177">
        <f t="shared" si="41"/>
        <v>6.9966198345181585E-3</v>
      </c>
      <c r="AG81" s="811">
        <f t="shared" si="49"/>
        <v>1</v>
      </c>
      <c r="AH81" s="176">
        <f t="shared" si="42"/>
        <v>7</v>
      </c>
      <c r="AI81" s="225">
        <f t="shared" si="43"/>
        <v>1.0069966198345182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28.928038341784671</v>
      </c>
      <c r="C82" s="841"/>
      <c r="D82" s="393">
        <f t="shared" si="25"/>
        <v>30.289684313654387</v>
      </c>
      <c r="E82" s="385">
        <f t="shared" si="47"/>
        <v>31.307653284845284</v>
      </c>
      <c r="F82" s="385">
        <f t="shared" si="26"/>
        <v>31.31126201559703</v>
      </c>
      <c r="G82" s="110">
        <f t="shared" si="48"/>
        <v>0.66717230859148635</v>
      </c>
      <c r="H82" s="414" t="b">
        <f>Wh_hp&gt;='2023'!Maxi_hp</f>
        <v>0</v>
      </c>
      <c r="I82" s="390">
        <f>IF(H82,Wh_hp,'2023'!Maxi_hp)</f>
        <v>44.010087492548095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4.4954115657649729E-2</v>
      </c>
      <c r="M82" s="845"/>
      <c r="N82" s="845"/>
      <c r="O82" s="48">
        <f>IF(t&lt;Tnet,'2023'!Resal+('2023'!Salim-'2023'!Resal)*(1-EXP(('2023'!Tnet-t)/('2023'!Tau_j))),Resal+(Salim-Resal)*(1-EXP((Tnet-t)/(Tau_j))))*Salcycl</f>
        <v>3.25150199514843E-2</v>
      </c>
      <c r="P82" s="169">
        <f>(INDEX(Models!$BJ82:$BT82,,T82)*(1-R82)+INDEX(Models!$BJ82:$BT82,,T82+1)*R82-ERP_i)*Q82*Ramure*Pc/MaxiM</f>
        <v>2.1968459666838418E-4</v>
      </c>
      <c r="Q82" s="305">
        <f t="shared" si="28"/>
        <v>0.5</v>
      </c>
      <c r="R82" s="177">
        <f t="shared" si="29"/>
        <v>7.419634216105031E-3</v>
      </c>
      <c r="S82" s="811">
        <f t="shared" si="30"/>
        <v>1</v>
      </c>
      <c r="T82" s="176">
        <f t="shared" si="31"/>
        <v>7</v>
      </c>
      <c r="U82" s="251">
        <f t="shared" si="32"/>
        <v>1.007419634216105</v>
      </c>
      <c r="V82" s="383">
        <f t="shared" si="33"/>
        <v>43.354642620304809</v>
      </c>
      <c r="W82" s="402">
        <f t="shared" si="34"/>
        <v>28.928038341784671</v>
      </c>
      <c r="X82" s="157">
        <f t="shared" si="35"/>
        <v>45359</v>
      </c>
      <c r="Y82" s="385">
        <f t="shared" si="36"/>
        <v>27.720783478996204</v>
      </c>
      <c r="Z82" s="385">
        <f t="shared" si="37"/>
        <v>29.025603830631535</v>
      </c>
      <c r="AA82" s="386">
        <f t="shared" si="38"/>
        <v>31.307653284845284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7.2891105361716529E-2</v>
      </c>
      <c r="AD82" s="231">
        <f>(INDEX(Models!$BJ82:$BT82,,AH82)*(1-AF82)+INDEX(Models!$BJ82:$BT82,,AH82+1)*AF82-ERP_i)*AE82*Ramure*Pc/MaxiM</f>
        <v>2.1968459666838418E-4</v>
      </c>
      <c r="AE82" s="305">
        <f t="shared" si="40"/>
        <v>0.5</v>
      </c>
      <c r="AF82" s="177">
        <f t="shared" si="41"/>
        <v>7.419634216105031E-3</v>
      </c>
      <c r="AG82" s="811">
        <f t="shared" si="49"/>
        <v>1</v>
      </c>
      <c r="AH82" s="176">
        <f t="shared" si="42"/>
        <v>7</v>
      </c>
      <c r="AI82" s="225">
        <f t="shared" si="43"/>
        <v>1.007419634216105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25.130000677907695</v>
      </c>
      <c r="C83" s="841"/>
      <c r="D83" s="393">
        <f t="shared" si="25"/>
        <v>26.313448927930526</v>
      </c>
      <c r="E83" s="385">
        <f t="shared" si="47"/>
        <v>27.199896147905438</v>
      </c>
      <c r="F83" s="385">
        <f t="shared" si="26"/>
        <v>27.202070422277043</v>
      </c>
      <c r="G83" s="110">
        <f t="shared" si="48"/>
        <v>0.57511648906777735</v>
      </c>
      <c r="H83" s="414" t="b">
        <f>Wh_hp&gt;='2023'!Maxi_hp</f>
        <v>0</v>
      </c>
      <c r="I83" s="390">
        <f>IF(H83,Wh_hp,'2023'!Maxi_hp)</f>
        <v>43.468612982947825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4.4975033613577575E-2</v>
      </c>
      <c r="M83" s="845"/>
      <c r="N83" s="845"/>
      <c r="O83" s="48">
        <f>IF(t&lt;Tnet,'2023'!Resal+('2023'!Salim-'2023'!Resal)*(1-EXP(('2023'!Tnet-t)/('2023'!Tau_j))),Resal+(Salim-Resal)*(1-EXP((Tnet-t)/(Tau_j))))*Salcycl</f>
        <v>3.2590095754581536E-2</v>
      </c>
      <c r="P83" s="169">
        <f>(INDEX(Models!$BJ83:$BT83,,T83)*(1-R83)+INDEX(Models!$BJ83:$BT83,,T83+1)*R83-ERP_i)*Q83*Ramure*Pc/MaxiM</f>
        <v>2.0332078370042866E-4</v>
      </c>
      <c r="Q83" s="305">
        <f t="shared" si="28"/>
        <v>0.5</v>
      </c>
      <c r="R83" s="177">
        <f t="shared" si="29"/>
        <v>7.8596195074416286E-3</v>
      </c>
      <c r="S83" s="811">
        <f t="shared" si="30"/>
        <v>1</v>
      </c>
      <c r="T83" s="176">
        <f t="shared" si="31"/>
        <v>7</v>
      </c>
      <c r="U83" s="251">
        <f t="shared" si="32"/>
        <v>1.0078596195074416</v>
      </c>
      <c r="V83" s="383">
        <f t="shared" si="33"/>
        <v>43.690104716336471</v>
      </c>
      <c r="W83" s="402">
        <f t="shared" si="34"/>
        <v>25.130000677907695</v>
      </c>
      <c r="X83" s="157">
        <f t="shared" si="35"/>
        <v>45360</v>
      </c>
      <c r="Y83" s="385">
        <f t="shared" si="36"/>
        <v>24.082226071366236</v>
      </c>
      <c r="Z83" s="385">
        <f t="shared" si="37"/>
        <v>25.216331424808093</v>
      </c>
      <c r="AA83" s="386">
        <f t="shared" si="38"/>
        <v>27.199896147905438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7.2925452079348863E-2</v>
      </c>
      <c r="AD83" s="231">
        <f>(INDEX(Models!$BJ83:$BT83,,AH83)*(1-AF83)+INDEX(Models!$BJ83:$BT83,,AH83+1)*AF83-ERP_i)*AE83*Ramure*Pc/MaxiM</f>
        <v>2.0332078370042866E-4</v>
      </c>
      <c r="AE83" s="305">
        <f t="shared" si="40"/>
        <v>0.5</v>
      </c>
      <c r="AF83" s="177">
        <f t="shared" si="41"/>
        <v>7.8596195074416286E-3</v>
      </c>
      <c r="AG83" s="811">
        <f t="shared" si="49"/>
        <v>1</v>
      </c>
      <c r="AH83" s="176">
        <f t="shared" si="42"/>
        <v>7</v>
      </c>
      <c r="AI83" s="225">
        <f t="shared" si="43"/>
        <v>1.0078596195074416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15.946046151857185</v>
      </c>
      <c r="C84" s="841"/>
      <c r="D84" s="393">
        <f t="shared" si="25"/>
        <v>16.697359734143294</v>
      </c>
      <c r="E84" s="385">
        <f t="shared" si="47"/>
        <v>17.261199452475125</v>
      </c>
      <c r="F84" s="385">
        <f t="shared" si="26"/>
        <v>17.261484617412819</v>
      </c>
      <c r="G84" s="110">
        <f t="shared" si="48"/>
        <v>0.36213894584577727</v>
      </c>
      <c r="H84" s="414" t="b">
        <f>Wh_hp&gt;='2023'!Maxi_hp</f>
        <v>0</v>
      </c>
      <c r="I84" s="390">
        <f>IF(H84,Wh_hp,'2023'!Maxi_hp)</f>
        <v>34.137173352401021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4.4995951111348353E-2</v>
      </c>
      <c r="M84" s="845"/>
      <c r="N84" s="845"/>
      <c r="O84" s="48">
        <f>IF(t&lt;Tnet,'2023'!Resal+('2023'!Salim-'2023'!Resal)*(1-EXP(('2023'!Tnet-t)/('2023'!Tau_j))),Resal+(Salim-Resal)*(1-EXP((Tnet-t)/(Tau_j))))*Salcycl</f>
        <v>3.2665152840869432E-2</v>
      </c>
      <c r="P84" s="169">
        <f>(INDEX(Models!$BJ84:$BT84,,T84)*(1-R84)+INDEX(Models!$BJ84:$BT84,,T84+1)*R84-ERP_i)*Q84*Ramure*Pc/MaxiM</f>
        <v>1.85918890756067E-4</v>
      </c>
      <c r="Q84" s="305">
        <f t="shared" si="28"/>
        <v>0.5</v>
      </c>
      <c r="R84" s="177">
        <f t="shared" si="29"/>
        <v>8.3172235151065532E-3</v>
      </c>
      <c r="S84" s="811">
        <f t="shared" si="30"/>
        <v>1</v>
      </c>
      <c r="T84" s="176">
        <f t="shared" si="31"/>
        <v>7</v>
      </c>
      <c r="U84" s="251">
        <f t="shared" si="32"/>
        <v>1.0083172235151066</v>
      </c>
      <c r="V84" s="383">
        <f t="shared" si="33"/>
        <v>44.025490912831806</v>
      </c>
      <c r="W84" s="402">
        <f t="shared" si="34"/>
        <v>15.946046151857185</v>
      </c>
      <c r="X84" s="157">
        <f t="shared" si="35"/>
        <v>45361</v>
      </c>
      <c r="Y84" s="385">
        <f t="shared" si="36"/>
        <v>15.281806953111532</v>
      </c>
      <c r="Z84" s="385">
        <f t="shared" si="37"/>
        <v>16.001824254981049</v>
      </c>
      <c r="AA84" s="386">
        <f t="shared" si="38"/>
        <v>17.261199452475125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7.2959889083113044E-2</v>
      </c>
      <c r="AD84" s="231">
        <f>(INDEX(Models!$BJ84:$BT84,,AH84)*(1-AF84)+INDEX(Models!$BJ84:$BT84,,AH84+1)*AF84-ERP_i)*AE84*Ramure*Pc/MaxiM</f>
        <v>1.85918890756067E-4</v>
      </c>
      <c r="AE84" s="305">
        <f t="shared" si="40"/>
        <v>0.5</v>
      </c>
      <c r="AF84" s="177">
        <f t="shared" si="41"/>
        <v>8.3172235151065532E-3</v>
      </c>
      <c r="AG84" s="811">
        <f t="shared" si="49"/>
        <v>1</v>
      </c>
      <c r="AH84" s="176">
        <f t="shared" si="42"/>
        <v>7</v>
      </c>
      <c r="AI84" s="225">
        <f t="shared" si="43"/>
        <v>1.0083172235151066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14.816323126993499</v>
      </c>
      <c r="C85" s="841"/>
      <c r="D85" s="393">
        <f t="shared" si="25"/>
        <v>15.514748515302358</v>
      </c>
      <c r="E85" s="385">
        <f t="shared" si="47"/>
        <v>16.039897997875752</v>
      </c>
      <c r="F85" s="385">
        <f t="shared" si="26"/>
        <v>16.040028483703711</v>
      </c>
      <c r="G85" s="110">
        <f t="shared" si="48"/>
        <v>0.33394410888322484</v>
      </c>
      <c r="H85" s="414" t="b">
        <f>Wh_hp&gt;='2023'!Maxi_hp</f>
        <v>0</v>
      </c>
      <c r="I85" s="390">
        <f>IF(H85,Wh_hp,'2023'!Maxi_hp)</f>
        <v>42.294025676295831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4.5016868150972278E-2</v>
      </c>
      <c r="M85" s="845"/>
      <c r="N85" s="845"/>
      <c r="O85" s="48">
        <f>IF(t&lt;Tnet,'2023'!Resal+('2023'!Salim-'2023'!Resal)*(1-EXP(('2023'!Tnet-t)/('2023'!Tau_j))),Resal+(Salim-Resal)*(1-EXP((Tnet-t)/(Tau_j))))*Salcycl</f>
        <v>3.2740200881760155E-2</v>
      </c>
      <c r="P85" s="169">
        <f>(INDEX(Models!$BJ85:$BT85,,T85)*(1-R85)+INDEX(Models!$BJ85:$BT85,,T85+1)*R85-ERP_i)*Q85*Ramure*Pc/MaxiM</f>
        <v>1.674986682828885E-4</v>
      </c>
      <c r="Q85" s="305">
        <f t="shared" si="28"/>
        <v>0.5</v>
      </c>
      <c r="R85" s="177">
        <f t="shared" si="29"/>
        <v>8.7931160144618659E-3</v>
      </c>
      <c r="S85" s="811">
        <f t="shared" si="30"/>
        <v>1</v>
      </c>
      <c r="T85" s="176">
        <f t="shared" si="31"/>
        <v>7</v>
      </c>
      <c r="U85" s="251">
        <f t="shared" si="32"/>
        <v>1.0087931160144619</v>
      </c>
      <c r="V85" s="383">
        <f t="shared" si="33"/>
        <v>44.360602658640076</v>
      </c>
      <c r="W85" s="402">
        <f t="shared" si="34"/>
        <v>14.816323126993499</v>
      </c>
      <c r="X85" s="157">
        <f t="shared" si="35"/>
        <v>45362</v>
      </c>
      <c r="Y85" s="385">
        <f t="shared" si="36"/>
        <v>14.199715497849377</v>
      </c>
      <c r="Z85" s="385">
        <f t="shared" si="37"/>
        <v>14.869074671880377</v>
      </c>
      <c r="AA85" s="386">
        <f t="shared" si="38"/>
        <v>16.039897997875752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7.2994437131110965E-2</v>
      </c>
      <c r="AD85" s="231">
        <f>(INDEX(Models!$BJ85:$BT85,,AH85)*(1-AF85)+INDEX(Models!$BJ85:$BT85,,AH85+1)*AF85-ERP_i)*AE85*Ramure*Pc/MaxiM</f>
        <v>1.674986682828885E-4</v>
      </c>
      <c r="AE85" s="305">
        <f t="shared" si="40"/>
        <v>0.5</v>
      </c>
      <c r="AF85" s="177">
        <f t="shared" si="41"/>
        <v>8.7931160144618659E-3</v>
      </c>
      <c r="AG85" s="811">
        <f t="shared" si="49"/>
        <v>1</v>
      </c>
      <c r="AH85" s="176">
        <f t="shared" si="42"/>
        <v>7</v>
      </c>
      <c r="AI85" s="225">
        <f t="shared" si="43"/>
        <v>1.0087931160144619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10.057218535983218</v>
      </c>
      <c r="C86" s="841"/>
      <c r="D86" s="393">
        <f t="shared" si="25"/>
        <v>10.531535567787468</v>
      </c>
      <c r="E86" s="385">
        <f t="shared" si="47"/>
        <v>10.888856104351111</v>
      </c>
      <c r="F86" s="385">
        <f t="shared" si="26"/>
        <v>10.888856104351111</v>
      </c>
      <c r="G86" s="110">
        <f t="shared" si="48"/>
        <v>0.22498433725112227</v>
      </c>
      <c r="H86" s="414" t="b">
        <f>Wh_hp&gt;='2023'!Maxi_hp</f>
        <v>0</v>
      </c>
      <c r="I86" s="390">
        <f>IF(H86,Wh_hp,'2023'!Maxi_hp)</f>
        <v>41.647039184319176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4.5037784732459341E-2</v>
      </c>
      <c r="M86" s="845"/>
      <c r="N86" s="845"/>
      <c r="O86" s="48">
        <f>IF(t&lt;Tnet,'2023'!Resal+('2023'!Salim-'2023'!Resal)*(1-EXP(('2023'!Tnet-t)/('2023'!Tau_j))),Resal+(Salim-Resal)*(1-EXP((Tnet-t)/(Tau_j))))*Salcycl</f>
        <v>3.2815250118041275E-2</v>
      </c>
      <c r="P86" s="169">
        <f>(INDEX(Models!$BJ86:$BT86,,T86)*(1-R86)+INDEX(Models!$BJ86:$BT86,,T86+1)*R86-ERP_i)*Q86*Ramure*Pc/MaxiM</f>
        <v>1.4892089293098006E-4</v>
      </c>
      <c r="Q86" s="305">
        <f t="shared" si="28"/>
        <v>0.5</v>
      </c>
      <c r="R86" s="177">
        <f t="shared" si="29"/>
        <v>9.2879892613075832E-3</v>
      </c>
      <c r="S86" s="811">
        <f t="shared" si="30"/>
        <v>1</v>
      </c>
      <c r="T86" s="176">
        <f t="shared" si="31"/>
        <v>7</v>
      </c>
      <c r="U86" s="251">
        <f t="shared" si="32"/>
        <v>1.0092879892613076</v>
      </c>
      <c r="V86" s="383">
        <f t="shared" si="33"/>
        <v>44.69520380342955</v>
      </c>
      <c r="W86" s="402">
        <f t="shared" si="34"/>
        <v>10.057218535983218</v>
      </c>
      <c r="X86" s="157">
        <f t="shared" si="35"/>
        <v>45363</v>
      </c>
      <c r="Y86" s="385">
        <f t="shared" si="36"/>
        <v>9.6390567953943158</v>
      </c>
      <c r="Z86" s="385">
        <f t="shared" si="37"/>
        <v>10.093652545921781</v>
      </c>
      <c r="AA86" s="386">
        <f t="shared" si="38"/>
        <v>10.888856104351111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7.3029118100988832E-2</v>
      </c>
      <c r="AD86" s="231">
        <f>(INDEX(Models!$BJ86:$BT86,,AH86)*(1-AF86)+INDEX(Models!$BJ86:$BT86,,AH86+1)*AF86-ERP_i)*AE86*Ramure*Pc/MaxiM</f>
        <v>1.4892089293098006E-4</v>
      </c>
      <c r="AE86" s="305">
        <f t="shared" si="40"/>
        <v>0.5</v>
      </c>
      <c r="AF86" s="177">
        <f t="shared" si="41"/>
        <v>9.2879892613075832E-3</v>
      </c>
      <c r="AG86" s="811">
        <f t="shared" si="49"/>
        <v>1</v>
      </c>
      <c r="AH86" s="176">
        <f t="shared" si="42"/>
        <v>7</v>
      </c>
      <c r="AI86" s="225">
        <f t="shared" si="43"/>
        <v>1.0092879892613076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14.493154849991937</v>
      </c>
      <c r="C87" s="841"/>
      <c r="D87" s="393">
        <f t="shared" si="25"/>
        <v>15.177011260253087</v>
      </c>
      <c r="E87" s="385">
        <f t="shared" si="47"/>
        <v>15.693164320532565</v>
      </c>
      <c r="F87" s="385">
        <f t="shared" si="26"/>
        <v>15.693228880381023</v>
      </c>
      <c r="G87" s="110">
        <f t="shared" si="48"/>
        <v>0.32182142227705779</v>
      </c>
      <c r="H87" s="414" t="b">
        <f>Wh_hp&gt;='2023'!Maxi_hp</f>
        <v>0</v>
      </c>
      <c r="I87" s="390">
        <f>IF(H87,Wh_hp,'2023'!Maxi_hp)</f>
        <v>41.178376020580401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4.5058700855819644E-2</v>
      </c>
      <c r="M87" s="845"/>
      <c r="N87" s="845"/>
      <c r="O87" s="48">
        <f>IF(t&lt;Tnet,'2023'!Resal+('2023'!Salim-'2023'!Resal)*(1-EXP(('2023'!Tnet-t)/('2023'!Tau_j))),Resal+(Salim-Resal)*(1-EXP((Tnet-t)/(Tau_j))))*Salcycl</f>
        <v>3.2890311331549418E-2</v>
      </c>
      <c r="P87" s="169">
        <f>(INDEX(Models!$BJ87:$BT87,,T87)*(1-R87)+INDEX(Models!$BJ87:$BT87,,T87+1)*R87-ERP_i)*Q87*Ramure*Pc/MaxiM</f>
        <v>1.3171903334815185E-4</v>
      </c>
      <c r="Q87" s="305">
        <f t="shared" si="28"/>
        <v>0.5</v>
      </c>
      <c r="R87" s="177">
        <f t="shared" si="29"/>
        <v>9.8025584943453037E-3</v>
      </c>
      <c r="S87" s="811">
        <f t="shared" si="30"/>
        <v>1</v>
      </c>
      <c r="T87" s="176">
        <f t="shared" si="31"/>
        <v>7</v>
      </c>
      <c r="U87" s="251">
        <f t="shared" si="32"/>
        <v>1.0098025584943453</v>
      </c>
      <c r="V87" s="383">
        <f t="shared" si="33"/>
        <v>45.029026776425034</v>
      </c>
      <c r="W87" s="402">
        <f t="shared" si="34"/>
        <v>14.493154849991937</v>
      </c>
      <c r="X87" s="157">
        <f t="shared" si="35"/>
        <v>45364</v>
      </c>
      <c r="Y87" s="385">
        <f t="shared" si="36"/>
        <v>13.89111058944602</v>
      </c>
      <c r="Z87" s="385">
        <f t="shared" si="37"/>
        <v>14.5465596701025</v>
      </c>
      <c r="AA87" s="386">
        <f t="shared" si="38"/>
        <v>15.693164320532565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7.3063954917611806E-2</v>
      </c>
      <c r="AD87" s="231">
        <f>(INDEX(Models!$BJ87:$BT87,,AH87)*(1-AF87)+INDEX(Models!$BJ87:$BT87,,AH87+1)*AF87-ERP_i)*AE87*Ramure*Pc/MaxiM</f>
        <v>1.3171903334815185E-4</v>
      </c>
      <c r="AE87" s="305">
        <f t="shared" si="40"/>
        <v>0.5</v>
      </c>
      <c r="AF87" s="177">
        <f t="shared" si="41"/>
        <v>9.8025584943453037E-3</v>
      </c>
      <c r="AG87" s="811">
        <f t="shared" si="49"/>
        <v>1</v>
      </c>
      <c r="AH87" s="176">
        <f t="shared" si="42"/>
        <v>7</v>
      </c>
      <c r="AI87" s="225">
        <f t="shared" si="43"/>
        <v>1.0098025584943453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14.5171450869515</v>
      </c>
      <c r="C88" s="841"/>
      <c r="D88" s="393">
        <f t="shared" si="25"/>
        <v>15.202466444441242</v>
      </c>
      <c r="E88" s="385">
        <f t="shared" si="47"/>
        <v>15.720705731357469</v>
      </c>
      <c r="F88" s="385">
        <f t="shared" si="26"/>
        <v>15.720757848716717</v>
      </c>
      <c r="G88" s="110">
        <f t="shared" si="48"/>
        <v>0.31999364822617493</v>
      </c>
      <c r="H88" s="414" t="b">
        <f>Wh_hp&gt;='2023'!Maxi_hp</f>
        <v>0</v>
      </c>
      <c r="I88" s="390">
        <f>IF(H88,Wh_hp,'2023'!Maxi_hp)</f>
        <v>31.428093358036886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4.5079616521063182E-2</v>
      </c>
      <c r="M88" s="845"/>
      <c r="N88" s="845"/>
      <c r="O88" s="48">
        <f>IF(t&lt;Tnet,'2023'!Resal+('2023'!Salim-'2023'!Resal)*(1-EXP(('2023'!Tnet-t)/('2023'!Tau_j))),Resal+(Salim-Resal)*(1-EXP((Tnet-t)/(Tau_j))))*Salcycl</f>
        <v>3.2965395814420463E-2</v>
      </c>
      <c r="P88" s="169">
        <f>(INDEX(Models!$BJ88:$BT88,,T88)*(1-R88)+INDEX(Models!$BJ88:$BT88,,T88+1)*R88-ERP_i)*Q88*Ramure*Pc/MaxiM</f>
        <v>1.1585992863226694E-4</v>
      </c>
      <c r="Q88" s="305">
        <f t="shared" si="28"/>
        <v>0.5</v>
      </c>
      <c r="R88" s="177">
        <f t="shared" si="29"/>
        <v>1.0337562425976943E-2</v>
      </c>
      <c r="S88" s="811">
        <f t="shared" si="30"/>
        <v>1</v>
      </c>
      <c r="T88" s="176">
        <f t="shared" si="31"/>
        <v>7</v>
      </c>
      <c r="U88" s="251">
        <f t="shared" si="32"/>
        <v>1.0103375624259769</v>
      </c>
      <c r="V88" s="383">
        <f t="shared" si="33"/>
        <v>45.361873067653036</v>
      </c>
      <c r="W88" s="402">
        <f t="shared" si="34"/>
        <v>14.5171450869515</v>
      </c>
      <c r="X88" s="157">
        <f t="shared" si="35"/>
        <v>45365</v>
      </c>
      <c r="Y88" s="385">
        <f t="shared" si="36"/>
        <v>13.914658952310141</v>
      </c>
      <c r="Z88" s="385">
        <f t="shared" si="37"/>
        <v>14.571538311515228</v>
      </c>
      <c r="AA88" s="386">
        <f t="shared" si="38"/>
        <v>15.720705731357469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7.3098971476200508E-2</v>
      </c>
      <c r="AD88" s="231">
        <f>(INDEX(Models!$BJ88:$BT88,,AH88)*(1-AF88)+INDEX(Models!$BJ88:$BT88,,AH88+1)*AF88-ERP_i)*AE88*Ramure*Pc/MaxiM</f>
        <v>1.1585992863226694E-4</v>
      </c>
      <c r="AE88" s="305">
        <f t="shared" si="40"/>
        <v>0.5</v>
      </c>
      <c r="AF88" s="177">
        <f t="shared" si="41"/>
        <v>1.0337562425976943E-2</v>
      </c>
      <c r="AG88" s="811">
        <f t="shared" si="49"/>
        <v>1</v>
      </c>
      <c r="AH88" s="176">
        <f t="shared" si="42"/>
        <v>7</v>
      </c>
      <c r="AI88" s="225">
        <f t="shared" si="43"/>
        <v>1.0103375624259769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13.084757183168835</v>
      </c>
      <c r="C89" s="841"/>
      <c r="D89" s="393">
        <f t="shared" si="25"/>
        <v>13.702758895499169</v>
      </c>
      <c r="E89" s="385">
        <f t="shared" si="47"/>
        <v>14.170975219570678</v>
      </c>
      <c r="F89" s="385">
        <f t="shared" si="26"/>
        <v>14.170975219570678</v>
      </c>
      <c r="G89" s="110">
        <f t="shared" si="48"/>
        <v>0.28632997892251222</v>
      </c>
      <c r="H89" s="414" t="b">
        <f>Wh_hp&gt;='2023'!Maxi_hp</f>
        <v>0</v>
      </c>
      <c r="I89" s="390">
        <f>IF(H89,Wh_hp,'2023'!Maxi_hp)</f>
        <v>50.491533478793343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4.5100531728199944E-2</v>
      </c>
      <c r="M89" s="845"/>
      <c r="N89" s="845"/>
      <c r="O89" s="48">
        <f>IF(t&lt;Tnet,'2023'!Resal+('2023'!Salim-'2023'!Resal)*(1-EXP(('2023'!Tnet-t)/('2023'!Tau_j))),Resal+(Salim-Resal)*(1-EXP((Tnet-t)/(Tau_j))))*Salcycl</f>
        <v>3.304051533622647E-2</v>
      </c>
      <c r="P89" s="169">
        <f>(INDEX(Models!$BJ89:$BT89,,T89)*(1-R89)+INDEX(Models!$BJ89:$BT89,,T89+1)*R89-ERP_i)*Q89*Ramure*Pc/MaxiM</f>
        <v>1.0131107689258821E-4</v>
      </c>
      <c r="Q89" s="305">
        <f t="shared" si="28"/>
        <v>0.5</v>
      </c>
      <c r="R89" s="177">
        <f t="shared" si="29"/>
        <v>1.0893763718748728E-2</v>
      </c>
      <c r="S89" s="811">
        <f t="shared" si="30"/>
        <v>1</v>
      </c>
      <c r="T89" s="176">
        <f t="shared" si="31"/>
        <v>7</v>
      </c>
      <c r="U89" s="251">
        <f t="shared" si="32"/>
        <v>1.0108937637187487</v>
      </c>
      <c r="V89" s="383">
        <f t="shared" si="33"/>
        <v>45.693544216229</v>
      </c>
      <c r="W89" s="402">
        <f t="shared" si="34"/>
        <v>13.084757183168835</v>
      </c>
      <c r="X89" s="157">
        <f t="shared" si="35"/>
        <v>45366</v>
      </c>
      <c r="Y89" s="385">
        <f t="shared" si="36"/>
        <v>12.542215288295491</v>
      </c>
      <c r="Z89" s="385">
        <f t="shared" si="37"/>
        <v>13.134592389075985</v>
      </c>
      <c r="AA89" s="386">
        <f t="shared" si="38"/>
        <v>14.170975219570678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7.313419256166695E-2</v>
      </c>
      <c r="AD89" s="231">
        <f>(INDEX(Models!$BJ89:$BT89,,AH89)*(1-AF89)+INDEX(Models!$BJ89:$BT89,,AH89+1)*AF89-ERP_i)*AE89*Ramure*Pc/MaxiM</f>
        <v>1.0131107689258821E-4</v>
      </c>
      <c r="AE89" s="305">
        <f t="shared" si="40"/>
        <v>0.5</v>
      </c>
      <c r="AF89" s="177">
        <f t="shared" si="41"/>
        <v>1.0893763718748728E-2</v>
      </c>
      <c r="AG89" s="811">
        <f t="shared" si="49"/>
        <v>1</v>
      </c>
      <c r="AH89" s="176">
        <f t="shared" si="42"/>
        <v>7</v>
      </c>
      <c r="AI89" s="225">
        <f t="shared" si="43"/>
        <v>1.0108937637187487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10.915727430797306</v>
      </c>
      <c r="C90" s="841"/>
      <c r="D90" s="393">
        <f t="shared" si="25"/>
        <v>11.431534817204504</v>
      </c>
      <c r="E90" s="385">
        <f t="shared" si="47"/>
        <v>11.823063634068509</v>
      </c>
      <c r="F90" s="385">
        <f t="shared" si="26"/>
        <v>11.823063634068509</v>
      </c>
      <c r="G90" s="110">
        <f t="shared" si="48"/>
        <v>0.23715461320662734</v>
      </c>
      <c r="H90" s="414" t="b">
        <f>Wh_hp&gt;='2023'!Maxi_hp</f>
        <v>0</v>
      </c>
      <c r="I90" s="390">
        <f>IF(H90,Wh_hp,'2023'!Maxi_hp)</f>
        <v>27.136616542417517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4.5121446477239924E-2</v>
      </c>
      <c r="M90" s="845"/>
      <c r="N90" s="845"/>
      <c r="O90" s="48">
        <f>IF(t&lt;Tnet,'2023'!Resal+('2023'!Salim-'2023'!Resal)*(1-EXP(('2023'!Tnet-t)/('2023'!Tau_j))),Resal+(Salim-Resal)*(1-EXP((Tnet-t)/(Tau_j))))*Salcycl</f>
        <v>3.3115682109314142E-2</v>
      </c>
      <c r="P90" s="169">
        <f>(INDEX(Models!$BJ90:$BT90,,T90)*(1-R90)+INDEX(Models!$BJ90:$BT90,,T90+1)*R90-ERP_i)*Q90*Ramure*Pc/MaxiM</f>
        <v>8.8040680529651502E-5</v>
      </c>
      <c r="Q90" s="305">
        <f t="shared" si="28"/>
        <v>0.5</v>
      </c>
      <c r="R90" s="177">
        <f t="shared" si="29"/>
        <v>1.1471949444513019E-2</v>
      </c>
      <c r="S90" s="811">
        <f t="shared" si="30"/>
        <v>1</v>
      </c>
      <c r="T90" s="176">
        <f t="shared" si="31"/>
        <v>7</v>
      </c>
      <c r="U90" s="251">
        <f t="shared" si="32"/>
        <v>1.011471949444513</v>
      </c>
      <c r="V90" s="383">
        <f t="shared" si="33"/>
        <v>46.023841809967394</v>
      </c>
      <c r="W90" s="402">
        <f t="shared" si="34"/>
        <v>10.915727430797306</v>
      </c>
      <c r="X90" s="157">
        <f t="shared" si="35"/>
        <v>45367</v>
      </c>
      <c r="Y90" s="385">
        <f t="shared" si="36"/>
        <v>10.463534629791221</v>
      </c>
      <c r="Z90" s="385">
        <f t="shared" si="37"/>
        <v>10.957974279754119</v>
      </c>
      <c r="AA90" s="386">
        <f t="shared" si="38"/>
        <v>11.823063634068509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7.3169643764887535E-2</v>
      </c>
      <c r="AD90" s="231">
        <f>(INDEX(Models!$BJ90:$BT90,,AH90)*(1-AF90)+INDEX(Models!$BJ90:$BT90,,AH90+1)*AF90-ERP_i)*AE90*Ramure*Pc/MaxiM</f>
        <v>8.8040680529651502E-5</v>
      </c>
      <c r="AE90" s="305">
        <f t="shared" si="40"/>
        <v>0.5</v>
      </c>
      <c r="AF90" s="177">
        <f t="shared" si="41"/>
        <v>1.1471949444513019E-2</v>
      </c>
      <c r="AG90" s="811">
        <f t="shared" si="49"/>
        <v>1</v>
      </c>
      <c r="AH90" s="176">
        <f t="shared" si="42"/>
        <v>7</v>
      </c>
      <c r="AI90" s="225">
        <f t="shared" si="43"/>
        <v>1.011471949444513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14.553721497476023</v>
      </c>
      <c r="C91" s="841"/>
      <c r="D91" s="393">
        <f t="shared" si="25"/>
        <v>15.241771023777586</v>
      </c>
      <c r="E91" s="385">
        <f t="shared" si="47"/>
        <v>15.765026582562705</v>
      </c>
      <c r="F91" s="385">
        <f t="shared" si="26"/>
        <v>15.765050514647401</v>
      </c>
      <c r="G91" s="110">
        <f t="shared" si="48"/>
        <v>0.31395536510311989</v>
      </c>
      <c r="H91" s="414" t="b">
        <f>Wh_hp&gt;='2023'!Maxi_hp</f>
        <v>0</v>
      </c>
      <c r="I91" s="390">
        <f>IF(H91,Wh_hp,'2023'!Maxi_hp)</f>
        <v>35.441978382349127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4.5142360768193335E-2</v>
      </c>
      <c r="M91" s="845"/>
      <c r="N91" s="845"/>
      <c r="O91" s="48">
        <f>IF(t&lt;Tnet,'2023'!Resal+('2023'!Salim-'2023'!Resal)*(1-EXP(('2023'!Tnet-t)/('2023'!Tau_j))),Resal+(Salim-Resal)*(1-EXP((Tnet-t)/(Tau_j))))*Salcycl</f>
        <v>3.3190908752661251E-2</v>
      </c>
      <c r="P91" s="169">
        <f>(INDEX(Models!$BJ91:$BT91,,T91)*(1-R91)+INDEX(Models!$BJ91:$BT91,,T91+1)*R91-ERP_i)*Q91*Ramure*Pc/MaxiM</f>
        <v>7.6017689674063424E-5</v>
      </c>
      <c r="Q91" s="305">
        <f t="shared" si="28"/>
        <v>0.5</v>
      </c>
      <c r="R91" s="177">
        <f t="shared" si="29"/>
        <v>1.2072931523138486E-2</v>
      </c>
      <c r="S91" s="811">
        <f t="shared" si="30"/>
        <v>1</v>
      </c>
      <c r="T91" s="176">
        <f t="shared" si="31"/>
        <v>7</v>
      </c>
      <c r="U91" s="251">
        <f t="shared" si="32"/>
        <v>1.0120729315231385</v>
      </c>
      <c r="V91" s="383">
        <f t="shared" si="33"/>
        <v>46.352567486771107</v>
      </c>
      <c r="W91" s="402">
        <f t="shared" si="34"/>
        <v>14.553721497476023</v>
      </c>
      <c r="X91" s="157">
        <f t="shared" si="35"/>
        <v>45368</v>
      </c>
      <c r="Y91" s="385">
        <f t="shared" si="36"/>
        <v>13.951369844611557</v>
      </c>
      <c r="Z91" s="385">
        <f t="shared" si="37"/>
        <v>14.610942271808796</v>
      </c>
      <c r="AA91" s="386">
        <f t="shared" si="38"/>
        <v>15.765026582562705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7.320535139664229E-2</v>
      </c>
      <c r="AD91" s="231">
        <f>(INDEX(Models!$BJ91:$BT91,,AH91)*(1-AF91)+INDEX(Models!$BJ91:$BT91,,AH91+1)*AF91-ERP_i)*AE91*Ramure*Pc/MaxiM</f>
        <v>7.6017689674063424E-5</v>
      </c>
      <c r="AE91" s="305">
        <f t="shared" si="40"/>
        <v>0.5</v>
      </c>
      <c r="AF91" s="177">
        <f t="shared" si="41"/>
        <v>1.2072931523138486E-2</v>
      </c>
      <c r="AG91" s="811">
        <f t="shared" si="49"/>
        <v>1</v>
      </c>
      <c r="AH91" s="176">
        <f t="shared" si="42"/>
        <v>7</v>
      </c>
      <c r="AI91" s="225">
        <f t="shared" si="43"/>
        <v>1.0120729315231385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29.535453434645113</v>
      </c>
      <c r="C92" s="841"/>
      <c r="D92" s="393">
        <f t="shared" si="25"/>
        <v>30.932464838221662</v>
      </c>
      <c r="E92" s="385">
        <f t="shared" si="47"/>
        <v>31.996879701880616</v>
      </c>
      <c r="F92" s="385">
        <f t="shared" si="26"/>
        <v>31.99787153640418</v>
      </c>
      <c r="G92" s="110">
        <f t="shared" si="48"/>
        <v>0.63270661294784958</v>
      </c>
      <c r="H92" s="414" t="b">
        <f>Wh_hp&gt;='2023'!Maxi_hp</f>
        <v>0</v>
      </c>
      <c r="I92" s="390">
        <f>IF(H92,Wh_hp,'2023'!Maxi_hp)</f>
        <v>46.110957889709681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4.5163274601070058E-2</v>
      </c>
      <c r="M92" s="845"/>
      <c r="N92" s="845"/>
      <c r="O92" s="48">
        <f>IF(t&lt;Tnet,'2023'!Resal+('2023'!Salim-'2023'!Resal)*(1-EXP(('2023'!Tnet-t)/('2023'!Tau_j))),Resal+(Salim-Resal)*(1-EXP((Tnet-t)/(Tau_j))))*Salcycl</f>
        <v>3.3266208254562821E-2</v>
      </c>
      <c r="P92" s="169">
        <f>(INDEX(Models!$BJ92:$BT92,,T92)*(1-R92)+INDEX(Models!$BJ92:$BT92,,T92+1)*R92-ERP_i)*Q92*Ramure*Pc/MaxiM</f>
        <v>6.5211843643750707E-5</v>
      </c>
      <c r="Q92" s="305">
        <f t="shared" si="28"/>
        <v>0.5</v>
      </c>
      <c r="R92" s="177">
        <f t="shared" si="29"/>
        <v>1.2697547137344944E-2</v>
      </c>
      <c r="S92" s="811">
        <f t="shared" si="30"/>
        <v>1</v>
      </c>
      <c r="T92" s="176">
        <f t="shared" si="31"/>
        <v>7</v>
      </c>
      <c r="U92" s="251">
        <f t="shared" si="32"/>
        <v>1.0126975471373449</v>
      </c>
      <c r="V92" s="383">
        <f t="shared" si="33"/>
        <v>46.679522933328627</v>
      </c>
      <c r="W92" s="402">
        <f t="shared" si="34"/>
        <v>29.535453434645113</v>
      </c>
      <c r="X92" s="157">
        <f t="shared" si="35"/>
        <v>45369</v>
      </c>
      <c r="Y92" s="385">
        <f t="shared" si="36"/>
        <v>28.314141297658072</v>
      </c>
      <c r="Z92" s="385">
        <f t="shared" si="37"/>
        <v>29.653385279905784</v>
      </c>
      <c r="AA92" s="386">
        <f t="shared" si="38"/>
        <v>31.996879701880616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7.3241342399930701E-2</v>
      </c>
      <c r="AD92" s="231">
        <f>(INDEX(Models!$BJ92:$BT92,,AH92)*(1-AF92)+INDEX(Models!$BJ92:$BT92,,AH92+1)*AF92-ERP_i)*AE92*Ramure*Pc/MaxiM</f>
        <v>6.5211843643750707E-5</v>
      </c>
      <c r="AE92" s="305">
        <f t="shared" si="40"/>
        <v>0.5</v>
      </c>
      <c r="AF92" s="177">
        <f t="shared" si="41"/>
        <v>1.2697547137344944E-2</v>
      </c>
      <c r="AG92" s="811">
        <f t="shared" si="49"/>
        <v>1</v>
      </c>
      <c r="AH92" s="176">
        <f t="shared" si="42"/>
        <v>7</v>
      </c>
      <c r="AI92" s="225">
        <f t="shared" si="43"/>
        <v>1.0126975471373449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30.505619789255821</v>
      </c>
      <c r="C93" s="841"/>
      <c r="D93" s="393">
        <f t="shared" si="25"/>
        <v>31.949219320726129</v>
      </c>
      <c r="E93" s="385">
        <f t="shared" si="47"/>
        <v>33.051198976031777</v>
      </c>
      <c r="F93" s="385">
        <f t="shared" si="26"/>
        <v>33.052114931519348</v>
      </c>
      <c r="G93" s="110">
        <f t="shared" si="48"/>
        <v>0.64893889112825998</v>
      </c>
      <c r="H93" s="414" t="b">
        <f>Wh_hp&gt;='2023'!Maxi_hp</f>
        <v>0</v>
      </c>
      <c r="I93" s="390">
        <f>IF(H93,Wh_hp,'2023'!Maxi_hp)</f>
        <v>51.145293953169229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4.5184187975880086E-2</v>
      </c>
      <c r="M93" s="845"/>
      <c r="N93" s="845"/>
      <c r="O93" s="48">
        <f>IF(t&lt;Tnet,'2023'!Resal+('2023'!Salim-'2023'!Resal)*(1-EXP(('2023'!Tnet-t)/('2023'!Tau_j))),Resal+(Salim-Resal)*(1-EXP((Tnet-t)/(Tau_j))))*Salcycl</f>
        <v>3.3341593934452719E-2</v>
      </c>
      <c r="P93" s="169">
        <f>(INDEX(Models!$BJ93:$BT93,,T93)*(1-R93)+INDEX(Models!$BJ93:$BT93,,T93+1)*R93-ERP_i)*Q93*Ramure*Pc/MaxiM</f>
        <v>5.5590587111891115E-5</v>
      </c>
      <c r="Q93" s="305">
        <f t="shared" si="28"/>
        <v>0.5</v>
      </c>
      <c r="R93" s="177">
        <f t="shared" si="29"/>
        <v>1.3346659119966464E-2</v>
      </c>
      <c r="S93" s="811">
        <f t="shared" si="30"/>
        <v>1</v>
      </c>
      <c r="T93" s="176">
        <f t="shared" si="31"/>
        <v>7</v>
      </c>
      <c r="U93" s="251">
        <f t="shared" si="32"/>
        <v>1.0133466591199665</v>
      </c>
      <c r="V93" s="383">
        <f t="shared" si="33"/>
        <v>47.007152357865102</v>
      </c>
      <c r="W93" s="402">
        <f t="shared" si="34"/>
        <v>30.505619789255821</v>
      </c>
      <c r="X93" s="157">
        <f t="shared" si="35"/>
        <v>45370</v>
      </c>
      <c r="Y93" s="385">
        <f t="shared" si="36"/>
        <v>29.245325605175392</v>
      </c>
      <c r="Z93" s="385">
        <f t="shared" si="37"/>
        <v>30.629284975055079</v>
      </c>
      <c r="AA93" s="386">
        <f t="shared" si="38"/>
        <v>33.051198976031777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7.3277644261348404E-2</v>
      </c>
      <c r="AD93" s="231">
        <f>(INDEX(Models!$BJ93:$BT93,,AH93)*(1-AF93)+INDEX(Models!$BJ93:$BT93,,AH93+1)*AF93-ERP_i)*AE93*Ramure*Pc/MaxiM</f>
        <v>5.5590587111891115E-5</v>
      </c>
      <c r="AE93" s="305">
        <f t="shared" si="40"/>
        <v>0.5</v>
      </c>
      <c r="AF93" s="177">
        <f t="shared" si="41"/>
        <v>1.3346659119966464E-2</v>
      </c>
      <c r="AG93" s="811">
        <f t="shared" si="49"/>
        <v>1</v>
      </c>
      <c r="AH93" s="176">
        <f t="shared" si="42"/>
        <v>7</v>
      </c>
      <c r="AI93" s="225">
        <f t="shared" si="43"/>
        <v>1.0133466591199665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44.478858438926231</v>
      </c>
      <c r="C94" s="841"/>
      <c r="D94" s="393">
        <f t="shared" si="25"/>
        <v>46.584725662557815</v>
      </c>
      <c r="E94" s="385">
        <f t="shared" si="47"/>
        <v>48.195270855645632</v>
      </c>
      <c r="F94" s="385">
        <f t="shared" si="26"/>
        <v>48.197351184339141</v>
      </c>
      <c r="G94" s="110">
        <f t="shared" si="48"/>
        <v>0.93961032726462468</v>
      </c>
      <c r="H94" s="414" t="b">
        <f>Wh_hp&gt;='2023'!Maxi_hp</f>
        <v>0</v>
      </c>
      <c r="I94" s="390">
        <f>IF(H94,Wh_hp,'2023'!Maxi_hp)</f>
        <v>51.378117175877115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4.5205100892633632E-2</v>
      </c>
      <c r="M94" s="845"/>
      <c r="N94" s="845"/>
      <c r="O94" s="48">
        <f>IF(t&lt;Tnet,'2023'!Resal+('2023'!Salim-'2023'!Resal)*(1-EXP(('2023'!Tnet-t)/('2023'!Tau_j))),Resal+(Salim-Resal)*(1-EXP((Tnet-t)/(Tau_j))))*Salcycl</f>
        <v>3.341707940415399E-2</v>
      </c>
      <c r="P94" s="169">
        <f>(INDEX(Models!$BJ94:$BT94,,T94)*(1-R94)+INDEX(Models!$BJ94:$BT94,,T94+1)*R94-ERP_i)*Q94*Ramure*Pc/MaxiM</f>
        <v>4.7237701874928683E-5</v>
      </c>
      <c r="Q94" s="305">
        <f t="shared" si="28"/>
        <v>0.5</v>
      </c>
      <c r="R94" s="177">
        <f t="shared" si="29"/>
        <v>1.4021156309666827E-2</v>
      </c>
      <c r="S94" s="811">
        <f t="shared" si="30"/>
        <v>1</v>
      </c>
      <c r="T94" s="176">
        <f t="shared" si="31"/>
        <v>7</v>
      </c>
      <c r="U94" s="251">
        <f t="shared" si="32"/>
        <v>1.0140211563096668</v>
      </c>
      <c r="V94" s="383">
        <f t="shared" si="33"/>
        <v>47.337365171338554</v>
      </c>
      <c r="W94" s="402">
        <f t="shared" si="34"/>
        <v>44.478858438926231</v>
      </c>
      <c r="X94" s="157">
        <f t="shared" si="35"/>
        <v>45371</v>
      </c>
      <c r="Y94" s="385">
        <f t="shared" si="36"/>
        <v>42.642924740396936</v>
      </c>
      <c r="Z94" s="385">
        <f t="shared" si="37"/>
        <v>44.661869036233462</v>
      </c>
      <c r="AA94" s="386">
        <f t="shared" si="38"/>
        <v>48.195270855645632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7.331428492217433E-2</v>
      </c>
      <c r="AD94" s="231">
        <f>(INDEX(Models!$BJ94:$BT94,,AH94)*(1-AF94)+INDEX(Models!$BJ94:$BT94,,AH94+1)*AF94-ERP_i)*AE94*Ramure*Pc/MaxiM</f>
        <v>4.7237701874928683E-5</v>
      </c>
      <c r="AE94" s="305">
        <f t="shared" si="40"/>
        <v>0.5</v>
      </c>
      <c r="AF94" s="177">
        <f t="shared" si="41"/>
        <v>1.4021156309666827E-2</v>
      </c>
      <c r="AG94" s="811">
        <f t="shared" si="49"/>
        <v>1</v>
      </c>
      <c r="AH94" s="176">
        <f t="shared" si="42"/>
        <v>7</v>
      </c>
      <c r="AI94" s="225">
        <f t="shared" si="43"/>
        <v>1.0140211563096668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41.853578599053378</v>
      </c>
      <c r="C95" s="841"/>
      <c r="D95" s="393">
        <f t="shared" si="25"/>
        <v>43.836111147061217</v>
      </c>
      <c r="E95" s="385">
        <f t="shared" si="47"/>
        <v>45.355177527611829</v>
      </c>
      <c r="F95" s="385">
        <f t="shared" si="26"/>
        <v>45.356671150174002</v>
      </c>
      <c r="G95" s="110">
        <f t="shared" si="48"/>
        <v>0.87799469008523134</v>
      </c>
      <c r="H95" s="414" t="b">
        <f>Wh_hp&gt;='2023'!Maxi_hp</f>
        <v>0</v>
      </c>
      <c r="I95" s="390">
        <f>IF(H95,Wh_hp,'2023'!Maxi_hp)</f>
        <v>50.23936086110939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4.5226013351340577E-2</v>
      </c>
      <c r="M95" s="845"/>
      <c r="N95" s="845"/>
      <c r="O95" s="48">
        <f>IF(t&lt;Tnet,'2023'!Resal+('2023'!Salim-'2023'!Resal)*(1-EXP(('2023'!Tnet-t)/('2023'!Tau_j))),Resal+(Salim-Resal)*(1-EXP((Tnet-t)/(Tau_j))))*Salcycl</f>
        <v>3.3492678528836486E-2</v>
      </c>
      <c r="P95" s="169">
        <f>(INDEX(Models!$BJ95:$BT95,,T95)*(1-R95)+INDEX(Models!$BJ95:$BT95,,T95+1)*R95-ERP_i)*Q95*Ramure*Pc/MaxiM</f>
        <v>3.988129922894334E-5</v>
      </c>
      <c r="Q95" s="305">
        <f t="shared" si="28"/>
        <v>0.5</v>
      </c>
      <c r="R95" s="177">
        <f t="shared" si="29"/>
        <v>1.4721953870841409E-2</v>
      </c>
      <c r="S95" s="811">
        <f t="shared" si="30"/>
        <v>1</v>
      </c>
      <c r="T95" s="176">
        <f t="shared" si="31"/>
        <v>7</v>
      </c>
      <c r="U95" s="251">
        <f t="shared" si="32"/>
        <v>1.0147219538708414</v>
      </c>
      <c r="V95" s="383">
        <f t="shared" si="33"/>
        <v>47.6691808625039</v>
      </c>
      <c r="W95" s="402">
        <f t="shared" si="34"/>
        <v>41.853578599053378</v>
      </c>
      <c r="X95" s="157">
        <f t="shared" si="35"/>
        <v>45372</v>
      </c>
      <c r="Y95" s="385">
        <f t="shared" si="36"/>
        <v>40.12754341693504</v>
      </c>
      <c r="Z95" s="385">
        <f t="shared" si="37"/>
        <v>42.028316625787262</v>
      </c>
      <c r="AA95" s="386">
        <f t="shared" si="38"/>
        <v>45.355177527611829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7.3351292689775097E-2</v>
      </c>
      <c r="AD95" s="231">
        <f>(INDEX(Models!$BJ95:$BT95,,AH95)*(1-AF95)+INDEX(Models!$BJ95:$BT95,,AH95+1)*AF95-ERP_i)*AE95*Ramure*Pc/MaxiM</f>
        <v>3.988129922894334E-5</v>
      </c>
      <c r="AE95" s="305">
        <f t="shared" si="40"/>
        <v>0.5</v>
      </c>
      <c r="AF95" s="177">
        <f t="shared" si="41"/>
        <v>1.4721953870841409E-2</v>
      </c>
      <c r="AG95" s="811">
        <f t="shared" si="49"/>
        <v>1</v>
      </c>
      <c r="AH95" s="176">
        <f t="shared" si="42"/>
        <v>7</v>
      </c>
      <c r="AI95" s="225">
        <f t="shared" si="43"/>
        <v>1.0147219538708414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48.022994277529037</v>
      </c>
      <c r="C96" s="841"/>
      <c r="D96" s="393">
        <f t="shared" si="25"/>
        <v>50.298863185368418</v>
      </c>
      <c r="E96" s="385">
        <f t="shared" si="47"/>
        <v>52.045963176068589</v>
      </c>
      <c r="F96" s="385">
        <f t="shared" si="26"/>
        <v>52.047706946675831</v>
      </c>
      <c r="G96" s="110">
        <f t="shared" si="48"/>
        <v>1.0004455446389742</v>
      </c>
      <c r="H96" s="414" t="b">
        <f>Wh_hp&gt;='2023'!Maxi_hp</f>
        <v>1</v>
      </c>
      <c r="I96" s="390">
        <f>IF(H96,Wh_hp,'2023'!Maxi_hp)</f>
        <v>52.047706946675831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4.5246925352011025E-2</v>
      </c>
      <c r="M96" s="845"/>
      <c r="N96" s="845"/>
      <c r="O96" s="48">
        <f>IF(t&lt;Tnet,'2023'!Resal+('2023'!Salim-'2023'!Resal)*(1-EXP(('2023'!Tnet-t)/('2023'!Tau_j))),Resal+(Salim-Resal)*(1-EXP((Tnet-t)/(Tau_j))))*Salcycl</f>
        <v>3.3568405387941924E-2</v>
      </c>
      <c r="P96" s="169">
        <f>(INDEX(Models!$BJ96:$BT96,,T96)*(1-R96)+INDEX(Models!$BJ96:$BT96,,T96+1)*R96-ERP_i)*Q96*Ramure*Pc/MaxiM</f>
        <v>3.3503312817047731E-5</v>
      </c>
      <c r="Q96" s="305">
        <f t="shared" si="28"/>
        <v>0.5</v>
      </c>
      <c r="R96" s="177">
        <f t="shared" si="29"/>
        <v>1.5449993573136034E-2</v>
      </c>
      <c r="S96" s="811">
        <f t="shared" si="30"/>
        <v>1</v>
      </c>
      <c r="T96" s="176">
        <f t="shared" si="31"/>
        <v>7</v>
      </c>
      <c r="U96" s="251">
        <f t="shared" si="32"/>
        <v>1.015449993573136</v>
      </c>
      <c r="V96" s="383">
        <f t="shared" si="33"/>
        <v>48.001607418681502</v>
      </c>
      <c r="W96" s="402">
        <f t="shared" si="34"/>
        <v>48.022994277529037</v>
      </c>
      <c r="X96" s="157">
        <f t="shared" si="35"/>
        <v>45373</v>
      </c>
      <c r="Y96" s="385">
        <f t="shared" si="36"/>
        <v>46.044282482455785</v>
      </c>
      <c r="Z96" s="385">
        <f t="shared" si="37"/>
        <v>48.226377798711987</v>
      </c>
      <c r="AA96" s="386">
        <f t="shared" si="38"/>
        <v>52.045963176068589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7.338869614988501E-2</v>
      </c>
      <c r="AD96" s="231">
        <f>(INDEX(Models!$BJ96:$BT96,,AH96)*(1-AF96)+INDEX(Models!$BJ96:$BT96,,AH96+1)*AF96-ERP_i)*AE96*Ramure*Pc/MaxiM</f>
        <v>3.3503312817047731E-5</v>
      </c>
      <c r="AE96" s="305">
        <f t="shared" si="40"/>
        <v>0.5</v>
      </c>
      <c r="AF96" s="177">
        <f t="shared" si="41"/>
        <v>1.5449993573136034E-2</v>
      </c>
      <c r="AG96" s="811">
        <f t="shared" si="49"/>
        <v>1</v>
      </c>
      <c r="AH96" s="176">
        <f t="shared" si="42"/>
        <v>7</v>
      </c>
      <c r="AI96" s="225">
        <f t="shared" si="43"/>
        <v>1.015449993573136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46.994757790460518</v>
      </c>
      <c r="C97" s="841"/>
      <c r="D97" s="393">
        <f t="shared" si="25"/>
        <v>49.222975412922295</v>
      </c>
      <c r="E97" s="385">
        <f t="shared" si="47"/>
        <v>50.936703845804509</v>
      </c>
      <c r="F97" s="385">
        <f t="shared" si="26"/>
        <v>50.938077872698727</v>
      </c>
      <c r="G97" s="110">
        <f t="shared" si="48"/>
        <v>0.97229781873115073</v>
      </c>
      <c r="H97" s="414" t="b">
        <f>Wh_hp&gt;='2023'!Maxi_hp</f>
        <v>0</v>
      </c>
      <c r="I97" s="390">
        <f>IF(H97,Wh_hp,'2023'!Maxi_hp)</f>
        <v>51.495753799818651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4.5267836894654967E-2</v>
      </c>
      <c r="M97" s="845"/>
      <c r="N97" s="845"/>
      <c r="O97" s="48">
        <f>IF(t&lt;Tnet,'2023'!Resal+('2023'!Salim-'2023'!Resal)*(1-EXP(('2023'!Tnet-t)/('2023'!Tau_j))),Resal+(Salim-Resal)*(1-EXP((Tnet-t)/(Tau_j))))*Salcycl</f>
        <v>3.3644274236315067E-2</v>
      </c>
      <c r="P97" s="169">
        <f>(INDEX(Models!$BJ97:$BT97,,T97)*(1-R97)+INDEX(Models!$BJ97:$BT97,,T97+1)*R97-ERP_i)*Q97*Ramure*Pc/MaxiM</f>
        <v>2.8085898375104803E-5</v>
      </c>
      <c r="Q97" s="305">
        <f t="shared" si="28"/>
        <v>0.5</v>
      </c>
      <c r="R97" s="177">
        <f t="shared" si="29"/>
        <v>1.6206244025695815E-2</v>
      </c>
      <c r="S97" s="811">
        <f t="shared" si="30"/>
        <v>1</v>
      </c>
      <c r="T97" s="176">
        <f t="shared" si="31"/>
        <v>7</v>
      </c>
      <c r="U97" s="251">
        <f t="shared" si="32"/>
        <v>1.0162062440256958</v>
      </c>
      <c r="V97" s="383">
        <f t="shared" si="33"/>
        <v>48.333653178788303</v>
      </c>
      <c r="W97" s="402">
        <f t="shared" si="34"/>
        <v>46.994757790460518</v>
      </c>
      <c r="X97" s="157">
        <f t="shared" si="35"/>
        <v>45374</v>
      </c>
      <c r="Y97" s="385">
        <f t="shared" si="36"/>
        <v>45.06011080081435</v>
      </c>
      <c r="Z97" s="385">
        <f t="shared" si="37"/>
        <v>47.196598734301176</v>
      </c>
      <c r="AA97" s="386">
        <f t="shared" si="38"/>
        <v>50.936703845804509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7.3426524080265843E-2</v>
      </c>
      <c r="AD97" s="231">
        <f>(INDEX(Models!$BJ97:$BT97,,AH97)*(1-AF97)+INDEX(Models!$BJ97:$BT97,,AH97+1)*AF97-ERP_i)*AE97*Ramure*Pc/MaxiM</f>
        <v>2.8085898375104803E-5</v>
      </c>
      <c r="AE97" s="305">
        <f t="shared" si="40"/>
        <v>0.5</v>
      </c>
      <c r="AF97" s="177">
        <f t="shared" si="41"/>
        <v>1.6206244025695815E-2</v>
      </c>
      <c r="AG97" s="811">
        <f t="shared" si="49"/>
        <v>1</v>
      </c>
      <c r="AH97" s="176">
        <f t="shared" si="42"/>
        <v>7</v>
      </c>
      <c r="AI97" s="225">
        <f t="shared" si="43"/>
        <v>1.0162062440256958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41.165095152964298</v>
      </c>
      <c r="C98" s="841"/>
      <c r="D98" s="393">
        <f t="shared" si="25"/>
        <v>43.117848528374736</v>
      </c>
      <c r="E98" s="385">
        <f t="shared" si="47"/>
        <v>44.622533728624724</v>
      </c>
      <c r="F98" s="385">
        <f t="shared" si="26"/>
        <v>44.623355409265407</v>
      </c>
      <c r="G98" s="110">
        <f t="shared" si="48"/>
        <v>0.84589439234090968</v>
      </c>
      <c r="H98" s="414" t="b">
        <f>Wh_hp&gt;='2023'!Maxi_hp</f>
        <v>0</v>
      </c>
      <c r="I98" s="390">
        <f>IF(H98,Wh_hp,'2023'!Maxi_hp)</f>
        <v>48.049790210842104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4.5288747979282507E-2</v>
      </c>
      <c r="M98" s="845"/>
      <c r="N98" s="845"/>
      <c r="O98" s="48">
        <f>IF(t&lt;Tnet,'2023'!Resal+('2023'!Salim-'2023'!Resal)*(1-EXP(('2023'!Tnet-t)/('2023'!Tau_j))),Resal+(Salim-Resal)*(1-EXP((Tnet-t)/(Tau_j))))*Salcycl</f>
        <v>3.37202994657552E-2</v>
      </c>
      <c r="P98" s="169">
        <f>(INDEX(Models!$BJ98:$BT98,,T98)*(1-R98)+INDEX(Models!$BJ98:$BT98,,T98+1)*R98-ERP_i)*Q98*Ramure*Pc/MaxiM</f>
        <v>2.3611671919634296E-5</v>
      </c>
      <c r="Q98" s="305">
        <f t="shared" si="28"/>
        <v>0.5</v>
      </c>
      <c r="R98" s="177">
        <f t="shared" si="29"/>
        <v>1.6991700860943038E-2</v>
      </c>
      <c r="S98" s="811">
        <f t="shared" si="30"/>
        <v>1</v>
      </c>
      <c r="T98" s="176">
        <f t="shared" si="31"/>
        <v>7</v>
      </c>
      <c r="U98" s="251">
        <f t="shared" si="32"/>
        <v>1.016991700860943</v>
      </c>
      <c r="V98" s="383">
        <f t="shared" si="33"/>
        <v>48.664326831263033</v>
      </c>
      <c r="W98" s="402">
        <f t="shared" si="34"/>
        <v>41.165095152964298</v>
      </c>
      <c r="X98" s="157">
        <f t="shared" si="35"/>
        <v>45375</v>
      </c>
      <c r="Y98" s="385">
        <f t="shared" si="36"/>
        <v>39.471914217574295</v>
      </c>
      <c r="Z98" s="385">
        <f t="shared" si="37"/>
        <v>41.344347973305069</v>
      </c>
      <c r="AA98" s="386">
        <f t="shared" si="38"/>
        <v>44.622533728624724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7.3464805366189823E-2</v>
      </c>
      <c r="AD98" s="231">
        <f>(INDEX(Models!$BJ98:$BT98,,AH98)*(1-AF98)+INDEX(Models!$BJ98:$BT98,,AH98+1)*AF98-ERP_i)*AE98*Ramure*Pc/MaxiM</f>
        <v>2.3611671919634296E-5</v>
      </c>
      <c r="AE98" s="305">
        <f t="shared" si="40"/>
        <v>0.5</v>
      </c>
      <c r="AF98" s="177">
        <f t="shared" si="41"/>
        <v>1.6991700860943038E-2</v>
      </c>
      <c r="AG98" s="811">
        <f t="shared" si="49"/>
        <v>1</v>
      </c>
      <c r="AH98" s="176">
        <f t="shared" si="42"/>
        <v>7</v>
      </c>
      <c r="AI98" s="225">
        <f t="shared" si="43"/>
        <v>1.016991700860943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46.328989774745828</v>
      </c>
      <c r="C99" s="841"/>
      <c r="D99" s="393">
        <f t="shared" si="25"/>
        <v>48.527766298644487</v>
      </c>
      <c r="E99" s="385">
        <f t="shared" si="47"/>
        <v>50.225202119434464</v>
      </c>
      <c r="F99" s="385">
        <f t="shared" si="26"/>
        <v>50.226131583431169</v>
      </c>
      <c r="G99" s="110">
        <f t="shared" si="48"/>
        <v>0.9456302011725547</v>
      </c>
      <c r="H99" s="414" t="b">
        <f>Wh_hp&gt;='2023'!Maxi_hp</f>
        <v>0</v>
      </c>
      <c r="I99" s="390">
        <f>IF(H99,Wh_hp,'2023'!Maxi_hp)</f>
        <v>54.932815887950575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4.5309658605903635E-2</v>
      </c>
      <c r="M99" s="845"/>
      <c r="N99" s="845"/>
      <c r="O99" s="48">
        <f>IF(t&lt;Tnet,'2023'!Resal+('2023'!Salim-'2023'!Resal)*(1-EXP(('2023'!Tnet-t)/('2023'!Tau_j))),Resal+(Salim-Resal)*(1-EXP((Tnet-t)/(Tau_j))))*Salcycl</f>
        <v>3.3796495567175823E-2</v>
      </c>
      <c r="P99" s="169">
        <f>(INDEX(Models!$BJ99:$BT99,,T99)*(1-R99)+INDEX(Models!$BJ99:$BT99,,T99+1)*R99-ERP_i)*Q99*Ramure*Pc/MaxiM</f>
        <v>2.0063932261318342E-5</v>
      </c>
      <c r="Q99" s="305">
        <f t="shared" si="28"/>
        <v>0.5</v>
      </c>
      <c r="R99" s="177">
        <f t="shared" si="29"/>
        <v>1.780738686234673E-2</v>
      </c>
      <c r="S99" s="811">
        <f t="shared" si="30"/>
        <v>1</v>
      </c>
      <c r="T99" s="176">
        <f t="shared" si="31"/>
        <v>7</v>
      </c>
      <c r="U99" s="251">
        <f t="shared" si="32"/>
        <v>1.0178073868623467</v>
      </c>
      <c r="V99" s="383">
        <f t="shared" si="33"/>
        <v>48.992637417200207</v>
      </c>
      <c r="W99" s="402">
        <f t="shared" si="34"/>
        <v>46.328989774745828</v>
      </c>
      <c r="X99" s="157">
        <f t="shared" si="35"/>
        <v>45376</v>
      </c>
      <c r="Y99" s="385">
        <f t="shared" si="36"/>
        <v>44.425054851283562</v>
      </c>
      <c r="Z99" s="385">
        <f t="shared" si="37"/>
        <v>46.533470514021772</v>
      </c>
      <c r="AA99" s="386">
        <f t="shared" si="38"/>
        <v>50.225202119434464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7.3503568918126733E-2</v>
      </c>
      <c r="AD99" s="231">
        <f>(INDEX(Models!$BJ99:$BT99,,AH99)*(1-AF99)+INDEX(Models!$BJ99:$BT99,,AH99+1)*AF99-ERP_i)*AE99*Ramure*Pc/MaxiM</f>
        <v>2.0063932261318342E-5</v>
      </c>
      <c r="AE99" s="305">
        <f t="shared" si="40"/>
        <v>0.5</v>
      </c>
      <c r="AF99" s="177">
        <f t="shared" si="41"/>
        <v>1.780738686234673E-2</v>
      </c>
      <c r="AG99" s="811">
        <f t="shared" si="49"/>
        <v>1</v>
      </c>
      <c r="AH99" s="176">
        <f t="shared" si="42"/>
        <v>7</v>
      </c>
      <c r="AI99" s="225">
        <f t="shared" si="43"/>
        <v>1.0178073868623467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45.126689485550202</v>
      </c>
      <c r="C100" s="841"/>
      <c r="D100" s="393">
        <f t="shared" si="25"/>
        <v>47.26944009050635</v>
      </c>
      <c r="E100" s="385">
        <f t="shared" si="47"/>
        <v>48.926729174420011</v>
      </c>
      <c r="F100" s="385">
        <f t="shared" si="26"/>
        <v>48.927482669181607</v>
      </c>
      <c r="G100" s="110">
        <f t="shared" si="48"/>
        <v>0.91502026083828691</v>
      </c>
      <c r="H100" s="414" t="b">
        <f>Wh_hp&gt;='2023'!Maxi_hp</f>
        <v>0</v>
      </c>
      <c r="I100" s="390">
        <f>IF(H100,Wh_hp,'2023'!Maxi_hp)</f>
        <v>54.175577399192605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4.5330568774528346E-2</v>
      </c>
      <c r="M100" s="845"/>
      <c r="N100" s="845"/>
      <c r="O100" s="48">
        <f>IF(t&lt;Tnet,'2023'!Resal+('2023'!Salim-'2023'!Resal)*(1-EXP(('2023'!Tnet-t)/('2023'!Tau_j))),Resal+(Salim-Resal)*(1-EXP((Tnet-t)/(Tau_j))))*Salcycl</f>
        <v>3.3872877093532081E-2</v>
      </c>
      <c r="P100" s="169">
        <f>(INDEX(Models!$BJ100:$BT100,,T100)*(1-R100)+INDEX(Models!$BJ100:$BT100,,T100+1)*R100-ERP_i)*Q100*Ramure*Pc/MaxiM</f>
        <v>1.7528090528002906E-5</v>
      </c>
      <c r="Q100" s="305">
        <f t="shared" si="28"/>
        <v>0.5</v>
      </c>
      <c r="R100" s="177">
        <f t="shared" si="29"/>
        <v>1.8654352030311294E-2</v>
      </c>
      <c r="S100" s="811">
        <f t="shared" si="30"/>
        <v>1</v>
      </c>
      <c r="T100" s="176">
        <f t="shared" si="31"/>
        <v>7</v>
      </c>
      <c r="U100" s="251">
        <f t="shared" si="32"/>
        <v>1.0186543520303113</v>
      </c>
      <c r="V100" s="383">
        <f t="shared" si="33"/>
        <v>49.317589339149272</v>
      </c>
      <c r="W100" s="402">
        <f t="shared" si="34"/>
        <v>45.126689485550202</v>
      </c>
      <c r="X100" s="157">
        <f t="shared" si="35"/>
        <v>45377</v>
      </c>
      <c r="Y100" s="385">
        <f t="shared" si="36"/>
        <v>43.273750863259259</v>
      </c>
      <c r="Z100" s="385">
        <f t="shared" si="37"/>
        <v>45.328518383280006</v>
      </c>
      <c r="AA100" s="386">
        <f t="shared" si="38"/>
        <v>48.926729174420011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7.3542843591948751E-2</v>
      </c>
      <c r="AD100" s="231">
        <f>(INDEX(Models!$BJ100:$BT100,,AH100)*(1-AF100)+INDEX(Models!$BJ100:$BT100,,AH100+1)*AF100-ERP_i)*AE100*Ramure*Pc/MaxiM</f>
        <v>1.7528090528002906E-5</v>
      </c>
      <c r="AE100" s="305">
        <f t="shared" si="40"/>
        <v>0.5</v>
      </c>
      <c r="AF100" s="177">
        <f t="shared" si="41"/>
        <v>1.8654352030311294E-2</v>
      </c>
      <c r="AG100" s="811">
        <f t="shared" si="49"/>
        <v>1</v>
      </c>
      <c r="AH100" s="176">
        <f t="shared" si="42"/>
        <v>7</v>
      </c>
      <c r="AI100" s="225">
        <f t="shared" si="43"/>
        <v>1.0186543520303113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35.331801884111712</v>
      </c>
      <c r="C101" s="841"/>
      <c r="D101" s="393">
        <f t="shared" si="25"/>
        <v>37.010272459278852</v>
      </c>
      <c r="E101" s="385">
        <f t="shared" si="47"/>
        <v>38.310907011707137</v>
      </c>
      <c r="F101" s="385">
        <f t="shared" si="26"/>
        <v>38.311250044181868</v>
      </c>
      <c r="G101" s="110">
        <f t="shared" si="48"/>
        <v>0.71178162825368751</v>
      </c>
      <c r="H101" s="414" t="b">
        <f>Wh_hp&gt;='2023'!Maxi_hp</f>
        <v>0</v>
      </c>
      <c r="I101" s="390">
        <f>IF(H101,Wh_hp,'2023'!Maxi_hp)</f>
        <v>52.923988977147388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4.535147848516663E-2</v>
      </c>
      <c r="M101" s="845"/>
      <c r="N101" s="845"/>
      <c r="O101" s="48">
        <f>IF(t&lt;Tnet,'2023'!Resal+('2023'!Salim-'2023'!Resal)*(1-EXP(('2023'!Tnet-t)/('2023'!Tau_j))),Resal+(Salim-Resal)*(1-EXP((Tnet-t)/(Tau_j))))*Salcycl</f>
        <v>3.3949458623645519E-2</v>
      </c>
      <c r="P101" s="169">
        <f>(INDEX(Models!$BJ101:$BT101,,T101)*(1-R101)+INDEX(Models!$BJ101:$BT101,,T101+1)*R101-ERP_i)*Q101*Ramure*Pc/MaxiM</f>
        <v>1.5220723011216698E-5</v>
      </c>
      <c r="Q101" s="305">
        <f t="shared" si="28"/>
        <v>0.5</v>
      </c>
      <c r="R101" s="177">
        <f t="shared" si="29"/>
        <v>1.9533673579975597E-2</v>
      </c>
      <c r="S101" s="811">
        <f t="shared" si="30"/>
        <v>1</v>
      </c>
      <c r="T101" s="176">
        <f t="shared" si="31"/>
        <v>7</v>
      </c>
      <c r="U101" s="251">
        <f t="shared" si="32"/>
        <v>1.0195336735799756</v>
      </c>
      <c r="V101" s="383">
        <f t="shared" si="33"/>
        <v>49.638230405357874</v>
      </c>
      <c r="W101" s="402">
        <f t="shared" si="34"/>
        <v>35.331801884111712</v>
      </c>
      <c r="X101" s="157">
        <f t="shared" si="35"/>
        <v>45378</v>
      </c>
      <c r="Y101" s="385">
        <f t="shared" si="36"/>
        <v>33.882279015093545</v>
      </c>
      <c r="Z101" s="385">
        <f t="shared" si="37"/>
        <v>35.491888639107984</v>
      </c>
      <c r="AA101" s="386">
        <f t="shared" si="38"/>
        <v>38.310907011707137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7.3582658111897806E-2</v>
      </c>
      <c r="AD101" s="231">
        <f>(INDEX(Models!$BJ101:$BT101,,AH101)*(1-AF101)+INDEX(Models!$BJ101:$BT101,,AH101+1)*AF101-ERP_i)*AE101*Ramure*Pc/MaxiM</f>
        <v>1.5220723011216698E-5</v>
      </c>
      <c r="AE101" s="305">
        <f t="shared" si="40"/>
        <v>0.5</v>
      </c>
      <c r="AF101" s="177">
        <f t="shared" si="41"/>
        <v>1.9533673579975597E-2</v>
      </c>
      <c r="AG101" s="811">
        <f t="shared" si="49"/>
        <v>1</v>
      </c>
      <c r="AH101" s="176">
        <f t="shared" si="42"/>
        <v>7</v>
      </c>
      <c r="AI101" s="225">
        <f t="shared" si="43"/>
        <v>1.0195336735799756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27.827339452165273</v>
      </c>
      <c r="C102" s="841"/>
      <c r="D102" s="393">
        <f t="shared" si="25"/>
        <v>29.149941919470685</v>
      </c>
      <c r="E102" s="385">
        <f t="shared" si="47"/>
        <v>30.176743479951604</v>
      </c>
      <c r="F102" s="385">
        <f t="shared" si="26"/>
        <v>30.176889083620459</v>
      </c>
      <c r="G102" s="110">
        <f t="shared" si="48"/>
        <v>0.55705943812251324</v>
      </c>
      <c r="H102" s="414" t="b">
        <f>Wh_hp&gt;='2023'!Maxi_hp</f>
        <v>0</v>
      </c>
      <c r="I102" s="390">
        <f>IF(H102,Wh_hp,'2023'!Maxi_hp)</f>
        <v>54.418783965233558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4.5372387737828701E-2</v>
      </c>
      <c r="M102" s="845"/>
      <c r="N102" s="845"/>
      <c r="O102" s="48">
        <f>IF(t&lt;Tnet,'2023'!Resal+('2023'!Salim-'2023'!Resal)*(1-EXP(('2023'!Tnet-t)/('2023'!Tau_j))),Resal+(Salim-Resal)*(1-EXP((Tnet-t)/(Tau_j))))*Salcycl</f>
        <v>3.4026254727024821E-2</v>
      </c>
      <c r="P102" s="169">
        <f>(INDEX(Models!$BJ102:$BT102,,T102)*(1-R102)+INDEX(Models!$BJ102:$BT102,,T102+1)*R102-ERP_i)*Q102*Ramure*Pc/MaxiM</f>
        <v>1.3138764044808787E-5</v>
      </c>
      <c r="Q102" s="305">
        <f t="shared" si="28"/>
        <v>0.5</v>
      </c>
      <c r="R102" s="177">
        <f t="shared" si="29"/>
        <v>2.0446455864362001E-2</v>
      </c>
      <c r="S102" s="811">
        <f t="shared" si="30"/>
        <v>1</v>
      </c>
      <c r="T102" s="176">
        <f t="shared" si="31"/>
        <v>7</v>
      </c>
      <c r="U102" s="251">
        <f t="shared" si="32"/>
        <v>1.020446455864362</v>
      </c>
      <c r="V102" s="383">
        <f t="shared" si="33"/>
        <v>49.953570834500276</v>
      </c>
      <c r="W102" s="402">
        <f t="shared" si="34"/>
        <v>27.827339452165273</v>
      </c>
      <c r="X102" s="157">
        <f t="shared" si="35"/>
        <v>45379</v>
      </c>
      <c r="Y102" s="385">
        <f t="shared" si="36"/>
        <v>26.686652949941653</v>
      </c>
      <c r="Z102" s="385">
        <f t="shared" si="37"/>
        <v>27.955039857586524</v>
      </c>
      <c r="AA102" s="386">
        <f t="shared" si="38"/>
        <v>30.176743479951604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7.3623040996491265E-2</v>
      </c>
      <c r="AD102" s="231">
        <f>(INDEX(Models!$BJ102:$BT102,,AH102)*(1-AF102)+INDEX(Models!$BJ102:$BT102,,AH102+1)*AF102-ERP_i)*AE102*Ramure*Pc/MaxiM</f>
        <v>1.3138764044808787E-5</v>
      </c>
      <c r="AE102" s="305">
        <f t="shared" si="40"/>
        <v>0.5</v>
      </c>
      <c r="AF102" s="177">
        <f t="shared" si="41"/>
        <v>2.0446455864362001E-2</v>
      </c>
      <c r="AG102" s="811">
        <f t="shared" si="49"/>
        <v>1</v>
      </c>
      <c r="AH102" s="176">
        <f t="shared" si="42"/>
        <v>7</v>
      </c>
      <c r="AI102" s="225">
        <f t="shared" si="43"/>
        <v>1.020446455864362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7.8256574756050901</v>
      </c>
      <c r="C103" s="841"/>
      <c r="D103" s="393">
        <f t="shared" si="25"/>
        <v>8.197781816510906</v>
      </c>
      <c r="E103" s="385">
        <f t="shared" si="47"/>
        <v>8.4872239921413968</v>
      </c>
      <c r="F103" s="385">
        <f t="shared" si="26"/>
        <v>8.4872239921413968</v>
      </c>
      <c r="G103" s="110">
        <f t="shared" si="48"/>
        <v>0.15569361517142907</v>
      </c>
      <c r="H103" s="414" t="b">
        <f>Wh_hp&gt;='2023'!Maxi_hp</f>
        <v>0</v>
      </c>
      <c r="I103" s="390">
        <f>IF(H103,Wh_hp,'2023'!Maxi_hp)</f>
        <v>55.483183570295765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4.5393296532524441E-2</v>
      </c>
      <c r="M103" s="845"/>
      <c r="N103" s="845"/>
      <c r="O103" s="48">
        <f>IF(t&lt;Tnet,'2023'!Resal+('2023'!Salim-'2023'!Resal)*(1-EXP(('2023'!Tnet-t)/('2023'!Tau_j))),Resal+(Salim-Resal)*(1-EXP((Tnet-t)/(Tau_j))))*Salcycl</f>
        <v>3.4103279929750388E-2</v>
      </c>
      <c r="P103" s="169">
        <f>(INDEX(Models!$BJ103:$BT103,,T103)*(1-R103)+INDEX(Models!$BJ103:$BT103,,T103+1)*R103-ERP_i)*Q103*Ramure*Pc/MaxiM</f>
        <v>1.1279430672535635E-5</v>
      </c>
      <c r="Q103" s="305">
        <f t="shared" si="28"/>
        <v>0.5</v>
      </c>
      <c r="R103" s="177">
        <f t="shared" si="29"/>
        <v>2.1393830215980181E-2</v>
      </c>
      <c r="S103" s="811">
        <f t="shared" si="30"/>
        <v>1</v>
      </c>
      <c r="T103" s="176">
        <f t="shared" si="31"/>
        <v>7</v>
      </c>
      <c r="U103" s="251">
        <f t="shared" si="32"/>
        <v>1.0213938302159802</v>
      </c>
      <c r="V103" s="383">
        <f t="shared" si="33"/>
        <v>50.262621225845713</v>
      </c>
      <c r="W103" s="402">
        <f t="shared" si="34"/>
        <v>7.8256574756050901</v>
      </c>
      <c r="X103" s="157">
        <f t="shared" si="35"/>
        <v>45380</v>
      </c>
      <c r="Y103" s="385">
        <f t="shared" si="36"/>
        <v>7.5051379017696123</v>
      </c>
      <c r="Z103" s="385">
        <f t="shared" si="37"/>
        <v>7.8620209501025364</v>
      </c>
      <c r="AA103" s="386">
        <f t="shared" si="38"/>
        <v>8.4872239921413968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7.3664020487471102E-2</v>
      </c>
      <c r="AD103" s="231">
        <f>(INDEX(Models!$BJ103:$BT103,,AH103)*(1-AF103)+INDEX(Models!$BJ103:$BT103,,AH103+1)*AF103-ERP_i)*AE103*Ramure*Pc/MaxiM</f>
        <v>1.1279430672535635E-5</v>
      </c>
      <c r="AE103" s="305">
        <f t="shared" si="40"/>
        <v>0.5</v>
      </c>
      <c r="AF103" s="177">
        <f t="shared" si="41"/>
        <v>2.1393830215980181E-2</v>
      </c>
      <c r="AG103" s="811">
        <f t="shared" si="49"/>
        <v>1</v>
      </c>
      <c r="AH103" s="176">
        <f t="shared" si="42"/>
        <v>7</v>
      </c>
      <c r="AI103" s="225">
        <f t="shared" si="43"/>
        <v>1.0213938302159802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28.518188633338248</v>
      </c>
      <c r="C104" s="841"/>
      <c r="D104" s="393">
        <f t="shared" si="25"/>
        <v>29.874935054352566</v>
      </c>
      <c r="E104" s="385">
        <f t="shared" si="47"/>
        <v>30.93221513976258</v>
      </c>
      <c r="F104" s="385">
        <f t="shared" si="26"/>
        <v>30.932327601232135</v>
      </c>
      <c r="G104" s="110">
        <f t="shared" si="48"/>
        <v>0.56399406678911745</v>
      </c>
      <c r="H104" s="414" t="b">
        <f>Wh_hp&gt;='2023'!Maxi_hp</f>
        <v>0</v>
      </c>
      <c r="I104" s="390">
        <f>IF(H104,Wh_hp,'2023'!Maxi_hp)</f>
        <v>49.250450204262727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4.5414204869263841E-2</v>
      </c>
      <c r="M104" s="845"/>
      <c r="N104" s="845"/>
      <c r="O104" s="48">
        <f>IF(t&lt;Tnet,'2023'!Resal+('2023'!Salim-'2023'!Resal)*(1-EXP(('2023'!Tnet-t)/('2023'!Tau_j))),Resal+(Salim-Resal)*(1-EXP((Tnet-t)/(Tau_j))))*Salcycl</f>
        <v>3.4180548681458811E-2</v>
      </c>
      <c r="P104" s="169">
        <f>(INDEX(Models!$BJ104:$BT104,,T104)*(1-R104)+INDEX(Models!$BJ104:$BT104,,T104+1)*R104-ERP_i)*Q104*Ramure*Pc/MaxiM</f>
        <v>9.6402757287417043E-6</v>
      </c>
      <c r="Q104" s="305">
        <f t="shared" si="28"/>
        <v>0.5</v>
      </c>
      <c r="R104" s="177">
        <f t="shared" si="29"/>
        <v>2.2376954699644624E-2</v>
      </c>
      <c r="S104" s="811">
        <f t="shared" si="30"/>
        <v>1</v>
      </c>
      <c r="T104" s="176">
        <f t="shared" si="31"/>
        <v>7</v>
      </c>
      <c r="U104" s="251">
        <f t="shared" si="32"/>
        <v>1.0223769546996446</v>
      </c>
      <c r="V104" s="383">
        <f t="shared" si="33"/>
        <v>50.564392558581133</v>
      </c>
      <c r="W104" s="402">
        <f t="shared" si="34"/>
        <v>28.518188633338248</v>
      </c>
      <c r="X104" s="157">
        <f t="shared" si="35"/>
        <v>45381</v>
      </c>
      <c r="Y104" s="385">
        <f t="shared" si="36"/>
        <v>27.35111380803497</v>
      </c>
      <c r="Z104" s="385">
        <f t="shared" si="37"/>
        <v>28.652336906279938</v>
      </c>
      <c r="AA104" s="386">
        <f t="shared" si="38"/>
        <v>30.93221513976258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7.3705624481834084E-2</v>
      </c>
      <c r="AD104" s="231">
        <f>(INDEX(Models!$BJ104:$BT104,,AH104)*(1-AF104)+INDEX(Models!$BJ104:$BT104,,AH104+1)*AF104-ERP_i)*AE104*Ramure*Pc/MaxiM</f>
        <v>9.6402757287417043E-6</v>
      </c>
      <c r="AE104" s="305">
        <f t="shared" si="40"/>
        <v>0.5</v>
      </c>
      <c r="AF104" s="177">
        <f t="shared" si="41"/>
        <v>2.2376954699644624E-2</v>
      </c>
      <c r="AG104" s="811">
        <f t="shared" si="49"/>
        <v>1</v>
      </c>
      <c r="AH104" s="176">
        <f t="shared" si="42"/>
        <v>7</v>
      </c>
      <c r="AI104" s="225">
        <f t="shared" si="43"/>
        <v>1.0223769546996446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31.208672333273256</v>
      </c>
      <c r="C105" s="841"/>
      <c r="D105" s="393">
        <f t="shared" si="25"/>
        <v>32.694133997656884</v>
      </c>
      <c r="E105" s="385">
        <f t="shared" si="47"/>
        <v>33.853903576368339</v>
      </c>
      <c r="F105" s="385">
        <f t="shared" si="26"/>
        <v>33.854028252042241</v>
      </c>
      <c r="G105" s="110">
        <f t="shared" si="48"/>
        <v>0.61364179581039369</v>
      </c>
      <c r="H105" s="414" t="b">
        <f>Wh_hp&gt;='2023'!Maxi_hp</f>
        <v>0</v>
      </c>
      <c r="I105" s="390">
        <f>IF(H105,Wh_hp,'2023'!Maxi_hp)</f>
        <v>50.405835504746996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4.5435112748057116E-2</v>
      </c>
      <c r="M105" s="845"/>
      <c r="N105" s="845"/>
      <c r="O105" s="48">
        <f>IF(t&lt;Tnet,'2023'!Resal+('2023'!Salim-'2023'!Resal)*(1-EXP(('2023'!Tnet-t)/('2023'!Tau_j))),Resal+(Salim-Resal)*(1-EXP((Tnet-t)/(Tau_j))))*Salcycl</f>
        <v>3.4258075323432738E-2</v>
      </c>
      <c r="P105" s="169">
        <f>(INDEX(Models!$BJ105:$BT105,,T105)*(1-R105)+INDEX(Models!$BJ105:$BT105,,T105+1)*R105-ERP_i)*Q105*Ramure*Pc/MaxiM</f>
        <v>8.2192393122555561E-6</v>
      </c>
      <c r="Q105" s="305">
        <f t="shared" si="28"/>
        <v>0.5</v>
      </c>
      <c r="R105" s="177">
        <f t="shared" si="29"/>
        <v>2.3397013768929886E-2</v>
      </c>
      <c r="S105" s="811">
        <f t="shared" si="30"/>
        <v>1</v>
      </c>
      <c r="T105" s="176">
        <f t="shared" si="31"/>
        <v>7</v>
      </c>
      <c r="U105" s="251">
        <f t="shared" si="32"/>
        <v>1.0233970137689299</v>
      </c>
      <c r="V105" s="383">
        <f t="shared" si="33"/>
        <v>50.857896199034549</v>
      </c>
      <c r="W105" s="402">
        <f t="shared" si="34"/>
        <v>31.208672333273256</v>
      </c>
      <c r="X105" s="157">
        <f t="shared" si="35"/>
        <v>45382</v>
      </c>
      <c r="Y105" s="385">
        <f t="shared" si="36"/>
        <v>29.932529755492514</v>
      </c>
      <c r="Z105" s="385">
        <f t="shared" si="37"/>
        <v>31.357249942079921</v>
      </c>
      <c r="AA105" s="386">
        <f t="shared" si="38"/>
        <v>33.853903576368339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7.3747880466913149E-2</v>
      </c>
      <c r="AD105" s="231">
        <f>(INDEX(Models!$BJ105:$BT105,,AH105)*(1-AF105)+INDEX(Models!$BJ105:$BT105,,AH105+1)*AF105-ERP_i)*AE105*Ramure*Pc/MaxiM</f>
        <v>8.2192393122555561E-6</v>
      </c>
      <c r="AE105" s="305">
        <f t="shared" si="40"/>
        <v>0.5</v>
      </c>
      <c r="AF105" s="177">
        <f t="shared" si="41"/>
        <v>2.3397013768929886E-2</v>
      </c>
      <c r="AG105" s="811">
        <f t="shared" si="49"/>
        <v>1</v>
      </c>
      <c r="AH105" s="176">
        <f t="shared" si="42"/>
        <v>7</v>
      </c>
      <c r="AI105" s="225">
        <f t="shared" si="43"/>
        <v>1.0233970137689299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21.275827568708294</v>
      </c>
      <c r="C106" s="841"/>
      <c r="D106" s="393">
        <f t="shared" si="25"/>
        <v>22.28899664997439</v>
      </c>
      <c r="E106" s="385">
        <f t="shared" si="47"/>
        <v>23.081520842690857</v>
      </c>
      <c r="F106" s="385">
        <f t="shared" si="26"/>
        <v>23.081547676655813</v>
      </c>
      <c r="G106" s="110">
        <f t="shared" si="48"/>
        <v>0.41601116875079475</v>
      </c>
      <c r="H106" s="414" t="b">
        <f>Wh_hp&gt;='2023'!Maxi_hp</f>
        <v>0</v>
      </c>
      <c r="I106" s="390">
        <f>IF(H106,Wh_hp,'2023'!Maxi_hp)</f>
        <v>45.758995612636852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4.5456020168914146E-2</v>
      </c>
      <c r="M106" s="845"/>
      <c r="N106" s="845"/>
      <c r="O106" s="48">
        <f>IF(t&lt;Tnet,'2023'!Resal+('2023'!Salim-'2023'!Resal)*(1-EXP(('2023'!Tnet-t)/('2023'!Tau_j))),Resal+(Salim-Resal)*(1-EXP((Tnet-t)/(Tau_j))))*Salcycl</f>
        <v>3.4335874057771706E-2</v>
      </c>
      <c r="P106" s="169">
        <f>(INDEX(Models!$BJ106:$BT106,,T106)*(1-R106)+INDEX(Models!$BJ106:$BT106,,T106+1)*R106-ERP_i)*Q106*Ramure*Pc/MaxiM</f>
        <v>7.0146990983816653E-6</v>
      </c>
      <c r="Q106" s="305">
        <f t="shared" si="28"/>
        <v>0.5</v>
      </c>
      <c r="R106" s="177">
        <f t="shared" si="29"/>
        <v>2.4455217818369235E-2</v>
      </c>
      <c r="S106" s="811">
        <f t="shared" si="30"/>
        <v>1</v>
      </c>
      <c r="T106" s="176">
        <f t="shared" si="31"/>
        <v>7</v>
      </c>
      <c r="U106" s="251">
        <f t="shared" si="32"/>
        <v>1.0244552178183692</v>
      </c>
      <c r="V106" s="383">
        <f t="shared" si="33"/>
        <v>51.14214390831652</v>
      </c>
      <c r="W106" s="402">
        <f t="shared" si="34"/>
        <v>21.275827568708294</v>
      </c>
      <c r="X106" s="157">
        <f t="shared" si="35"/>
        <v>45383</v>
      </c>
      <c r="Y106" s="385">
        <f t="shared" si="36"/>
        <v>20.406543407246296</v>
      </c>
      <c r="Z106" s="385">
        <f t="shared" si="37"/>
        <v>21.378316597688244</v>
      </c>
      <c r="AA106" s="386">
        <f t="shared" si="38"/>
        <v>23.081520842690857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7.3790815458417217E-2</v>
      </c>
      <c r="AD106" s="231">
        <f>(INDEX(Models!$BJ106:$BT106,,AH106)*(1-AF106)+INDEX(Models!$BJ106:$BT106,,AH106+1)*AF106-ERP_i)*AE106*Ramure*Pc/MaxiM</f>
        <v>7.0146990983816653E-6</v>
      </c>
      <c r="AE106" s="305">
        <f t="shared" si="40"/>
        <v>0.5</v>
      </c>
      <c r="AF106" s="177">
        <f t="shared" si="41"/>
        <v>2.4455217818369235E-2</v>
      </c>
      <c r="AG106" s="811">
        <f t="shared" si="49"/>
        <v>1</v>
      </c>
      <c r="AH106" s="176">
        <f t="shared" si="42"/>
        <v>7</v>
      </c>
      <c r="AI106" s="225">
        <f t="shared" si="43"/>
        <v>1.0244552178183692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23.049619896446263</v>
      </c>
      <c r="C107" s="841"/>
      <c r="D107" s="393">
        <f t="shared" si="25"/>
        <v>24.147787048443643</v>
      </c>
      <c r="E107" s="385">
        <f t="shared" si="47"/>
        <v>25.008425993166075</v>
      </c>
      <c r="F107" s="385">
        <f t="shared" si="26"/>
        <v>25.008457909983687</v>
      </c>
      <c r="G107" s="110">
        <f t="shared" si="48"/>
        <v>0.44826978219670083</v>
      </c>
      <c r="H107" s="414" t="b">
        <f>Wh_hp&gt;='2023'!Maxi_hp</f>
        <v>0</v>
      </c>
      <c r="I107" s="390">
        <f>IF(H107,Wh_hp,'2023'!Maxi_hp)</f>
        <v>53.35954700357199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4.5476927131844924E-2</v>
      </c>
      <c r="M107" s="845"/>
      <c r="N107" s="845"/>
      <c r="O107" s="48">
        <f>IF(t&lt;Tnet,'2023'!Resal+('2023'!Salim-'2023'!Resal)*(1-EXP(('2023'!Tnet-t)/('2023'!Tau_j))),Resal+(Salim-Resal)*(1-EXP((Tnet-t)/(Tau_j))))*Salcycl</f>
        <v>3.4413958917591067E-2</v>
      </c>
      <c r="P107" s="169">
        <f>(INDEX(Models!$BJ107:$BT107,,T107)*(1-R107)+INDEX(Models!$BJ107:$BT107,,T107+1)*R107-ERP_i)*Q107*Ramure*Pc/MaxiM</f>
        <v>6.0252049476165085E-6</v>
      </c>
      <c r="Q107" s="305">
        <f t="shared" si="28"/>
        <v>0.5</v>
      </c>
      <c r="R107" s="177">
        <f t="shared" si="29"/>
        <v>2.5552802623182824E-2</v>
      </c>
      <c r="S107" s="811">
        <f t="shared" si="30"/>
        <v>1</v>
      </c>
      <c r="T107" s="176">
        <f t="shared" si="31"/>
        <v>7</v>
      </c>
      <c r="U107" s="251">
        <f t="shared" si="32"/>
        <v>1.0255528026231828</v>
      </c>
      <c r="V107" s="383">
        <f t="shared" si="33"/>
        <v>51.418836044533897</v>
      </c>
      <c r="W107" s="402">
        <f t="shared" si="34"/>
        <v>23.049619896446263</v>
      </c>
      <c r="X107" s="157">
        <f t="shared" si="35"/>
        <v>45384</v>
      </c>
      <c r="Y107" s="385">
        <f t="shared" si="36"/>
        <v>22.10860849625411</v>
      </c>
      <c r="Z107" s="385">
        <f t="shared" si="37"/>
        <v>23.161942466012967</v>
      </c>
      <c r="AA107" s="386">
        <f t="shared" si="38"/>
        <v>25.008425993166075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7.3834455941276994E-2</v>
      </c>
      <c r="AD107" s="231">
        <f>(INDEX(Models!$BJ107:$BT107,,AH107)*(1-AF107)+INDEX(Models!$BJ107:$BT107,,AH107+1)*AF107-ERP_i)*AE107*Ramure*Pc/MaxiM</f>
        <v>6.0252049476165085E-6</v>
      </c>
      <c r="AE107" s="305">
        <f t="shared" si="40"/>
        <v>0.5</v>
      </c>
      <c r="AF107" s="177">
        <f t="shared" si="41"/>
        <v>2.5552802623182824E-2</v>
      </c>
      <c r="AG107" s="811">
        <f t="shared" si="49"/>
        <v>1</v>
      </c>
      <c r="AH107" s="176">
        <f t="shared" si="42"/>
        <v>7</v>
      </c>
      <c r="AI107" s="225">
        <f t="shared" si="43"/>
        <v>1.0255528026231828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48.473870569778683</v>
      </c>
      <c r="C108" s="841"/>
      <c r="D108" s="393">
        <f t="shared" si="25"/>
        <v>50.784453171515167</v>
      </c>
      <c r="E108" s="385">
        <f t="shared" si="47"/>
        <v>52.598705812585735</v>
      </c>
      <c r="F108" s="385">
        <f t="shared" si="26"/>
        <v>52.598960945135424</v>
      </c>
      <c r="G108" s="110">
        <f t="shared" si="48"/>
        <v>0.93777523392431172</v>
      </c>
      <c r="H108" s="414" t="b">
        <f>Wh_hp&gt;='2023'!Maxi_hp</f>
        <v>0</v>
      </c>
      <c r="I108" s="390">
        <f>IF(H108,Wh_hp,'2023'!Maxi_hp)</f>
        <v>56.536713073450201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4.5497833636859664E-2</v>
      </c>
      <c r="M108" s="845"/>
      <c r="N108" s="845"/>
      <c r="O108" s="48">
        <f>IF(t&lt;Tnet,'2023'!Resal+('2023'!Salim-'2023'!Resal)*(1-EXP(('2023'!Tnet-t)/('2023'!Tau_j))),Resal+(Salim-Resal)*(1-EXP((Tnet-t)/(Tau_j))))*Salcycl</f>
        <v>3.4492343738169513E-2</v>
      </c>
      <c r="P108" s="169">
        <f>(INDEX(Models!$BJ108:$BT108,,T108)*(1-R108)+INDEX(Models!$BJ108:$BT108,,T108+1)*R108-ERP_i)*Q108*Ramure*Pc/MaxiM</f>
        <v>5.3237639522463064E-6</v>
      </c>
      <c r="Q108" s="305">
        <f t="shared" si="28"/>
        <v>0.5</v>
      </c>
      <c r="R108" s="177">
        <f t="shared" si="29"/>
        <v>2.6691028658035298E-2</v>
      </c>
      <c r="S108" s="811">
        <f t="shared" si="30"/>
        <v>1</v>
      </c>
      <c r="T108" s="176">
        <f t="shared" si="31"/>
        <v>7</v>
      </c>
      <c r="U108" s="251">
        <f t="shared" si="32"/>
        <v>1.0266910286580353</v>
      </c>
      <c r="V108" s="383">
        <f t="shared" si="33"/>
        <v>51.690262097316889</v>
      </c>
      <c r="W108" s="402">
        <f t="shared" si="34"/>
        <v>48.473870569778683</v>
      </c>
      <c r="X108" s="157">
        <f t="shared" si="35"/>
        <v>45385</v>
      </c>
      <c r="Y108" s="385">
        <f t="shared" si="36"/>
        <v>46.496449345965459</v>
      </c>
      <c r="Z108" s="385">
        <f t="shared" si="37"/>
        <v>48.712775082666376</v>
      </c>
      <c r="AA108" s="386">
        <f t="shared" si="38"/>
        <v>52.598705812585735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7.3878827813089354E-2</v>
      </c>
      <c r="AD108" s="231">
        <f>(INDEX(Models!$BJ108:$BT108,,AH108)*(1-AF108)+INDEX(Models!$BJ108:$BT108,,AH108+1)*AF108-ERP_i)*AE108*Ramure*Pc/MaxiM</f>
        <v>5.3237639522463064E-6</v>
      </c>
      <c r="AE108" s="305">
        <f t="shared" si="40"/>
        <v>0.5</v>
      </c>
      <c r="AF108" s="177">
        <f t="shared" si="41"/>
        <v>2.6691028658035298E-2</v>
      </c>
      <c r="AG108" s="811">
        <f t="shared" si="49"/>
        <v>1</v>
      </c>
      <c r="AH108" s="176">
        <f t="shared" si="42"/>
        <v>7</v>
      </c>
      <c r="AI108" s="225">
        <f t="shared" si="43"/>
        <v>1.0266910286580353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51.523570545987127</v>
      </c>
      <c r="C109" s="841"/>
      <c r="D109" s="393">
        <f t="shared" si="25"/>
        <v>53.980704166918386</v>
      </c>
      <c r="E109" s="385">
        <f t="shared" si="47"/>
        <v>55.913699011013058</v>
      </c>
      <c r="F109" s="385">
        <f t="shared" si="26"/>
        <v>55.913964003550269</v>
      </c>
      <c r="G109" s="110">
        <f t="shared" si="48"/>
        <v>0.99167066209104737</v>
      </c>
      <c r="H109" s="414" t="b">
        <f>Wh_hp&gt;='2023'!Maxi_hp</f>
        <v>0</v>
      </c>
      <c r="I109" s="390">
        <f>IF(H109,Wh_hp,'2023'!Maxi_hp)</f>
        <v>58.623693621493487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4.5518739683968246E-2</v>
      </c>
      <c r="M109" s="845"/>
      <c r="N109" s="845"/>
      <c r="O109" s="48">
        <f>IF(t&lt;Tnet,'2023'!Resal+('2023'!Salim-'2023'!Resal)*(1-EXP(('2023'!Tnet-t)/('2023'!Tau_j))),Resal+(Salim-Resal)*(1-EXP((Tnet-t)/(Tau_j))))*Salcycl</f>
        <v>3.4571042128941257E-2</v>
      </c>
      <c r="P109" s="169">
        <f>(INDEX(Models!$BJ109:$BT109,,T109)*(1-R109)+INDEX(Models!$BJ109:$BT109,,T109+1)*R109-ERP_i)*Q109*Ramure*Pc/MaxiM</f>
        <v>4.7963626269216838E-6</v>
      </c>
      <c r="Q109" s="305">
        <f t="shared" si="28"/>
        <v>0.5</v>
      </c>
      <c r="R109" s="177">
        <f t="shared" si="29"/>
        <v>2.7871180286054065E-2</v>
      </c>
      <c r="S109" s="811">
        <f t="shared" si="30"/>
        <v>1</v>
      </c>
      <c r="T109" s="176">
        <f t="shared" si="31"/>
        <v>7</v>
      </c>
      <c r="U109" s="251">
        <f t="shared" si="32"/>
        <v>1.0278711802860541</v>
      </c>
      <c r="V109" s="383">
        <f t="shared" si="33"/>
        <v>51.956329429760082</v>
      </c>
      <c r="W109" s="402">
        <f t="shared" si="34"/>
        <v>51.523570545987127</v>
      </c>
      <c r="X109" s="157">
        <f t="shared" si="35"/>
        <v>45386</v>
      </c>
      <c r="Y109" s="385">
        <f t="shared" si="36"/>
        <v>49.423361478823118</v>
      </c>
      <c r="Z109" s="385">
        <f t="shared" si="37"/>
        <v>51.780337167079516</v>
      </c>
      <c r="AA109" s="386">
        <f t="shared" si="38"/>
        <v>55.913699011013058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7.3923956329904381E-2</v>
      </c>
      <c r="AD109" s="231">
        <f>(INDEX(Models!$BJ109:$BT109,,AH109)*(1-AF109)+INDEX(Models!$BJ109:$BT109,,AH109+1)*AF109-ERP_i)*AE109*Ramure*Pc/MaxiM</f>
        <v>4.7963626269216838E-6</v>
      </c>
      <c r="AE109" s="305">
        <f t="shared" si="40"/>
        <v>0.5</v>
      </c>
      <c r="AF109" s="177">
        <f t="shared" si="41"/>
        <v>2.7871180286054065E-2</v>
      </c>
      <c r="AG109" s="811">
        <f t="shared" si="49"/>
        <v>1</v>
      </c>
      <c r="AH109" s="176">
        <f t="shared" si="42"/>
        <v>7</v>
      </c>
      <c r="AI109" s="225">
        <f t="shared" si="43"/>
        <v>1.0278711802860541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11.287250461534288</v>
      </c>
      <c r="C110" s="841"/>
      <c r="D110" s="393">
        <f t="shared" si="25"/>
        <v>11.825792874094669</v>
      </c>
      <c r="E110" s="385">
        <f t="shared" si="47"/>
        <v>12.250265396310777</v>
      </c>
      <c r="F110" s="385">
        <f t="shared" si="26"/>
        <v>12.250265396310777</v>
      </c>
      <c r="G110" s="110">
        <f t="shared" si="48"/>
        <v>0.21615974418748751</v>
      </c>
      <c r="H110" s="414" t="b">
        <f>Wh_hp&gt;='2023'!Maxi_hp</f>
        <v>0</v>
      </c>
      <c r="I110" s="390">
        <f>IF(H110,Wh_hp,'2023'!Maxi_hp)</f>
        <v>59.354429100482541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4.5539645273180773E-2</v>
      </c>
      <c r="M110" s="845"/>
      <c r="N110" s="845"/>
      <c r="O110" s="48">
        <f>IF(t&lt;Tnet,'2023'!Resal+('2023'!Salim-'2023'!Resal)*(1-EXP(('2023'!Tnet-t)/('2023'!Tau_j))),Resal+(Salim-Resal)*(1-EXP((Tnet-t)/(Tau_j))))*Salcycl</f>
        <v>3.4650067446207355E-2</v>
      </c>
      <c r="P110" s="169">
        <f>(INDEX(Models!$BJ110:$BT110,,T110)*(1-R110)+INDEX(Models!$BJ110:$BT110,,T110+1)*R110-ERP_i)*Q110*Ramure*Pc/MaxiM</f>
        <v>4.4420583282033072E-6</v>
      </c>
      <c r="Q110" s="305">
        <f t="shared" si="28"/>
        <v>0.5</v>
      </c>
      <c r="R110" s="177">
        <f t="shared" si="29"/>
        <v>2.9094564809094337E-2</v>
      </c>
      <c r="S110" s="811">
        <f t="shared" si="30"/>
        <v>1</v>
      </c>
      <c r="T110" s="176">
        <f t="shared" si="31"/>
        <v>7</v>
      </c>
      <c r="U110" s="251">
        <f t="shared" si="32"/>
        <v>1.0290945648090943</v>
      </c>
      <c r="V110" s="383">
        <f t="shared" si="33"/>
        <v>52.216939677349679</v>
      </c>
      <c r="W110" s="402">
        <f t="shared" si="34"/>
        <v>11.287250461534288</v>
      </c>
      <c r="X110" s="157">
        <f t="shared" si="35"/>
        <v>45387</v>
      </c>
      <c r="Y110" s="385">
        <f t="shared" si="36"/>
        <v>10.82750793706983</v>
      </c>
      <c r="Z110" s="385">
        <f t="shared" si="37"/>
        <v>11.344114905819032</v>
      </c>
      <c r="AA110" s="386">
        <f t="shared" si="38"/>
        <v>12.250265396310777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7.3969866054055949E-2</v>
      </c>
      <c r="AD110" s="231">
        <f>(INDEX(Models!$BJ110:$BT110,,AH110)*(1-AF110)+INDEX(Models!$BJ110:$BT110,,AH110+1)*AF110-ERP_i)*AE110*Ramure*Pc/MaxiM</f>
        <v>4.4420583282033072E-6</v>
      </c>
      <c r="AE110" s="305">
        <f t="shared" si="40"/>
        <v>0.5</v>
      </c>
      <c r="AF110" s="177">
        <f t="shared" si="41"/>
        <v>2.9094564809094337E-2</v>
      </c>
      <c r="AG110" s="811">
        <f t="shared" si="49"/>
        <v>1</v>
      </c>
      <c r="AH110" s="176">
        <f t="shared" si="42"/>
        <v>7</v>
      </c>
      <c r="AI110" s="225">
        <f t="shared" si="43"/>
        <v>1.0290945648090943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38.58355543925137</v>
      </c>
      <c r="C111" s="841"/>
      <c r="D111" s="393">
        <f t="shared" si="25"/>
        <v>40.425356952296681</v>
      </c>
      <c r="E111" s="385">
        <f t="shared" si="47"/>
        <v>41.879819321699536</v>
      </c>
      <c r="F111" s="385">
        <f t="shared" si="26"/>
        <v>41.879930277204124</v>
      </c>
      <c r="G111" s="110">
        <f t="shared" si="48"/>
        <v>0.73531592696006032</v>
      </c>
      <c r="H111" s="414" t="b">
        <f>Wh_hp&gt;='2023'!Maxi_hp</f>
        <v>0</v>
      </c>
      <c r="I111" s="390">
        <f>IF(H111,Wh_hp,'2023'!Maxi_hp)</f>
        <v>56.351753523847592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4.5560550404507238E-2</v>
      </c>
      <c r="M111" s="845"/>
      <c r="N111" s="845"/>
      <c r="O111" s="48">
        <f>IF(t&lt;Tnet,'2023'!Resal+('2023'!Salim-'2023'!Resal)*(1-EXP(('2023'!Tnet-t)/('2023'!Tau_j))),Resal+(Salim-Resal)*(1-EXP((Tnet-t)/(Tau_j))))*Salcycl</f>
        <v>3.4729432766421743E-2</v>
      </c>
      <c r="P111" s="169">
        <f>(INDEX(Models!$BJ111:$BT111,,T111)*(1-R111)+INDEX(Models!$BJ111:$BT111,,T111+1)*R111-ERP_i)*Q111*Ramure*Pc/MaxiM</f>
        <v>4.2602511667759141E-6</v>
      </c>
      <c r="Q111" s="305">
        <f t="shared" si="28"/>
        <v>0.5</v>
      </c>
      <c r="R111" s="177">
        <f t="shared" si="29"/>
        <v>3.0362511370043421E-2</v>
      </c>
      <c r="S111" s="811">
        <f t="shared" si="30"/>
        <v>1</v>
      </c>
      <c r="T111" s="176">
        <f t="shared" si="31"/>
        <v>7</v>
      </c>
      <c r="U111" s="251">
        <f t="shared" si="32"/>
        <v>1.0303625113700434</v>
      </c>
      <c r="V111" s="383">
        <f t="shared" si="33"/>
        <v>52.471994514172309</v>
      </c>
      <c r="W111" s="402">
        <f t="shared" si="34"/>
        <v>38.58355543925137</v>
      </c>
      <c r="X111" s="157">
        <f t="shared" si="35"/>
        <v>45388</v>
      </c>
      <c r="Y111" s="385">
        <f t="shared" si="36"/>
        <v>37.013179312803452</v>
      </c>
      <c r="Z111" s="385">
        <f t="shared" si="37"/>
        <v>38.780018290830547</v>
      </c>
      <c r="AA111" s="386">
        <f t="shared" si="38"/>
        <v>41.879819321699536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7.401658080370134E-2</v>
      </c>
      <c r="AD111" s="231">
        <f>(INDEX(Models!$BJ111:$BT111,,AH111)*(1-AF111)+INDEX(Models!$BJ111:$BT111,,AH111+1)*AF111-ERP_i)*AE111*Ramure*Pc/MaxiM</f>
        <v>4.2602511667759141E-6</v>
      </c>
      <c r="AE111" s="305">
        <f t="shared" si="40"/>
        <v>0.5</v>
      </c>
      <c r="AF111" s="177">
        <f t="shared" si="41"/>
        <v>3.0362511370043421E-2</v>
      </c>
      <c r="AG111" s="811">
        <f t="shared" si="49"/>
        <v>1</v>
      </c>
      <c r="AH111" s="176">
        <f t="shared" si="42"/>
        <v>7</v>
      </c>
      <c r="AI111" s="225">
        <f t="shared" si="43"/>
        <v>1.0303625113700434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31.782025604626487</v>
      </c>
      <c r="C112" s="841"/>
      <c r="D112" s="393">
        <f t="shared" si="25"/>
        <v>33.299882712591746</v>
      </c>
      <c r="E112" s="385">
        <f t="shared" si="47"/>
        <v>34.50082721179831</v>
      </c>
      <c r="F112" s="385">
        <f t="shared" si="26"/>
        <v>34.500890655768032</v>
      </c>
      <c r="G112" s="110">
        <f t="shared" si="48"/>
        <v>0.60282829304071772</v>
      </c>
      <c r="H112" s="414" t="b">
        <f>Wh_hp&gt;='2023'!Maxi_hp</f>
        <v>0</v>
      </c>
      <c r="I112" s="390">
        <f>IF(H112,Wh_hp,'2023'!Maxi_hp)</f>
        <v>55.793489046232402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4.5581455077957633E-2</v>
      </c>
      <c r="M112" s="845"/>
      <c r="N112" s="845"/>
      <c r="O112" s="48">
        <f>IF(t&lt;Tnet,'2023'!Resal+('2023'!Salim-'2023'!Resal)*(1-EXP(('2023'!Tnet-t)/('2023'!Tau_j))),Resal+(Salim-Resal)*(1-EXP((Tnet-t)/(Tau_j))))*Salcycl</f>
        <v>3.4809150859892363E-2</v>
      </c>
      <c r="P112" s="169">
        <f>(INDEX(Models!$BJ112:$BT112,,T112)*(1-R112)+INDEX(Models!$BJ112:$BT112,,T112+1)*R112-ERP_i)*Q112*Ramure*Pc/MaxiM</f>
        <v>4.2506911306536033E-6</v>
      </c>
      <c r="Q112" s="305">
        <f t="shared" si="28"/>
        <v>0.5</v>
      </c>
      <c r="R112" s="177">
        <f t="shared" si="29"/>
        <v>3.1676369697786866E-2</v>
      </c>
      <c r="S112" s="811">
        <f t="shared" si="30"/>
        <v>1</v>
      </c>
      <c r="T112" s="176">
        <f t="shared" si="31"/>
        <v>7</v>
      </c>
      <c r="U112" s="251">
        <f t="shared" si="32"/>
        <v>1.0316763696977869</v>
      </c>
      <c r="V112" s="383">
        <f t="shared" si="33"/>
        <v>52.721395661153963</v>
      </c>
      <c r="W112" s="402">
        <f t="shared" si="34"/>
        <v>31.782025604626487</v>
      </c>
      <c r="X112" s="157">
        <f t="shared" si="35"/>
        <v>45389</v>
      </c>
      <c r="Y112" s="385">
        <f t="shared" si="36"/>
        <v>30.489428860713801</v>
      </c>
      <c r="Z112" s="385">
        <f t="shared" si="37"/>
        <v>31.945553680753552</v>
      </c>
      <c r="AA112" s="386">
        <f t="shared" si="38"/>
        <v>34.50082721179831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7.4064123603706677E-2</v>
      </c>
      <c r="AD112" s="231">
        <f>(INDEX(Models!$BJ112:$BT112,,AH112)*(1-AF112)+INDEX(Models!$BJ112:$BT112,,AH112+1)*AF112-ERP_i)*AE112*Ramure*Pc/MaxiM</f>
        <v>4.2506911306536033E-6</v>
      </c>
      <c r="AE112" s="305">
        <f t="shared" si="40"/>
        <v>0.5</v>
      </c>
      <c r="AF112" s="177">
        <f t="shared" si="41"/>
        <v>3.1676369697786866E-2</v>
      </c>
      <c r="AG112" s="811">
        <f t="shared" si="49"/>
        <v>1</v>
      </c>
      <c r="AH112" s="176">
        <f t="shared" si="42"/>
        <v>7</v>
      </c>
      <c r="AI112" s="225">
        <f t="shared" si="43"/>
        <v>1.0316763696977869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35.387747372512948</v>
      </c>
      <c r="C113" s="841"/>
      <c r="D113" s="393">
        <f t="shared" si="25"/>
        <v>37.078619920223673</v>
      </c>
      <c r="E113" s="385">
        <f t="shared" si="47"/>
        <v>38.419030470697578</v>
      </c>
      <c r="F113" s="385">
        <f t="shared" si="26"/>
        <v>38.419119644444137</v>
      </c>
      <c r="G113" s="110">
        <f t="shared" si="48"/>
        <v>0.66813260343611636</v>
      </c>
      <c r="H113" s="414" t="b">
        <f>Wh_hp&gt;='2023'!Maxi_hp</f>
        <v>0</v>
      </c>
      <c r="I113" s="390">
        <f>IF(H113,Wh_hp,'2023'!Maxi_hp)</f>
        <v>41.648731192226585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4.5602359293542061E-2</v>
      </c>
      <c r="M113" s="845"/>
      <c r="N113" s="845"/>
      <c r="O113" s="48">
        <f>IF(t&lt;Tnet,'2023'!Resal+('2023'!Salim-'2023'!Resal)*(1-EXP(('2023'!Tnet-t)/('2023'!Tau_j))),Resal+(Salim-Resal)*(1-EXP((Tnet-t)/(Tau_j))))*Salcycl</f>
        <v>3.488923416472578E-2</v>
      </c>
      <c r="P113" s="169">
        <f>(INDEX(Models!$BJ113:$BT113,,T113)*(1-R113)+INDEX(Models!$BJ113:$BT113,,T113+1)*R113-ERP_i)*Q113*Ramure*Pc/MaxiM</f>
        <v>4.4134855917082967E-6</v>
      </c>
      <c r="Q113" s="305">
        <f t="shared" si="28"/>
        <v>0.5</v>
      </c>
      <c r="R113" s="177">
        <f t="shared" si="29"/>
        <v>3.3037508685352934E-2</v>
      </c>
      <c r="S113" s="811">
        <f t="shared" si="30"/>
        <v>1</v>
      </c>
      <c r="T113" s="176">
        <f t="shared" si="31"/>
        <v>7</v>
      </c>
      <c r="U113" s="251">
        <f t="shared" si="32"/>
        <v>1.0330375086853529</v>
      </c>
      <c r="V113" s="383">
        <f t="shared" si="33"/>
        <v>52.96504487991016</v>
      </c>
      <c r="W113" s="402">
        <f t="shared" si="34"/>
        <v>35.387747372512948</v>
      </c>
      <c r="X113" s="157">
        <f t="shared" si="35"/>
        <v>45390</v>
      </c>
      <c r="Y113" s="385">
        <f t="shared" si="36"/>
        <v>33.949546017390972</v>
      </c>
      <c r="Z113" s="385">
        <f t="shared" si="37"/>
        <v>35.571699435741543</v>
      </c>
      <c r="AA113" s="386">
        <f t="shared" si="38"/>
        <v>38.419030470697578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7.4112516637495851E-2</v>
      </c>
      <c r="AD113" s="231">
        <f>(INDEX(Models!$BJ113:$BT113,,AH113)*(1-AF113)+INDEX(Models!$BJ113:$BT113,,AH113+1)*AF113-ERP_i)*AE113*Ramure*Pc/MaxiM</f>
        <v>4.4134855917082967E-6</v>
      </c>
      <c r="AE113" s="305">
        <f t="shared" si="40"/>
        <v>0.5</v>
      </c>
      <c r="AF113" s="177">
        <f t="shared" si="41"/>
        <v>3.3037508685352934E-2</v>
      </c>
      <c r="AG113" s="811">
        <f t="shared" si="49"/>
        <v>1</v>
      </c>
      <c r="AH113" s="176">
        <f t="shared" si="42"/>
        <v>7</v>
      </c>
      <c r="AI113" s="225">
        <f t="shared" si="43"/>
        <v>1.0330375086853529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53.287522028867876</v>
      </c>
      <c r="C114" s="841"/>
      <c r="D114" s="393">
        <f t="shared" si="25"/>
        <v>55.834891993737436</v>
      </c>
      <c r="E114" s="385">
        <f t="shared" si="47"/>
        <v>57.858174702503064</v>
      </c>
      <c r="F114" s="385">
        <f t="shared" si="26"/>
        <v>57.858455433856129</v>
      </c>
      <c r="G114" s="110">
        <f t="shared" si="48"/>
        <v>1.0015917105821719</v>
      </c>
      <c r="H114" s="414" t="b">
        <f>Wh_hp&gt;='2023'!Maxi_hp</f>
        <v>0</v>
      </c>
      <c r="I114" s="390">
        <f>IF(H114,Wh_hp,'2023'!Maxi_hp)</f>
        <v>58.06042842516851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4.5623263051270513E-2</v>
      </c>
      <c r="M114" s="845"/>
      <c r="N114" s="845"/>
      <c r="O114" s="48">
        <f>IF(t&lt;Tnet,'2023'!Resal+('2023'!Salim-'2023'!Resal)*(1-EXP(('2023'!Tnet-t)/('2023'!Tau_j))),Resal+(Salim-Resal)*(1-EXP((Tnet-t)/(Tau_j))))*Salcycl</f>
        <v>3.4969694760835515E-2</v>
      </c>
      <c r="P114" s="169">
        <f>(INDEX(Models!$BJ114:$BT114,,T114)*(1-R114)+INDEX(Models!$BJ114:$BT114,,T114+1)*R114-ERP_i)*Q114*Ramure*Pc/MaxiM</f>
        <v>4.8520367673902666E-6</v>
      </c>
      <c r="Q114" s="305">
        <f t="shared" si="28"/>
        <v>0.5</v>
      </c>
      <c r="R114" s="177">
        <f t="shared" si="29"/>
        <v>3.4447314791695494E-2</v>
      </c>
      <c r="S114" s="811">
        <f t="shared" si="30"/>
        <v>1</v>
      </c>
      <c r="T114" s="176">
        <f t="shared" si="31"/>
        <v>7</v>
      </c>
      <c r="U114" s="251">
        <f t="shared" si="32"/>
        <v>1.0344473147916955</v>
      </c>
      <c r="V114" s="383">
        <f t="shared" si="33"/>
        <v>53.202838507813397</v>
      </c>
      <c r="W114" s="402">
        <f t="shared" si="34"/>
        <v>53.287522028867876</v>
      </c>
      <c r="X114" s="157">
        <f t="shared" si="35"/>
        <v>45391</v>
      </c>
      <c r="Y114" s="385">
        <f t="shared" si="36"/>
        <v>51.123393961471805</v>
      </c>
      <c r="Z114" s="385">
        <f t="shared" si="37"/>
        <v>53.56730940961549</v>
      </c>
      <c r="AA114" s="386">
        <f t="shared" si="38"/>
        <v>57.858174702503064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7.4161781199467189E-2</v>
      </c>
      <c r="AD114" s="231">
        <f>(INDEX(Models!$BJ114:$BT114,,AH114)*(1-AF114)+INDEX(Models!$BJ114:$BT114,,AH114+1)*AF114-ERP_i)*AE114*Ramure*Pc/MaxiM</f>
        <v>4.8520367673902666E-6</v>
      </c>
      <c r="AE114" s="305">
        <f t="shared" si="40"/>
        <v>0.5</v>
      </c>
      <c r="AF114" s="177">
        <f t="shared" si="41"/>
        <v>3.4447314791695494E-2</v>
      </c>
      <c r="AG114" s="811">
        <f t="shared" si="49"/>
        <v>1</v>
      </c>
      <c r="AH114" s="176">
        <f t="shared" si="42"/>
        <v>7</v>
      </c>
      <c r="AI114" s="225">
        <f t="shared" si="43"/>
        <v>1.0344473147916955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44.74760070830223</v>
      </c>
      <c r="C115" s="841"/>
      <c r="D115" s="393">
        <f t="shared" si="25"/>
        <v>46.887753111138842</v>
      </c>
      <c r="E115" s="385">
        <f t="shared" si="47"/>
        <v>48.590890265081271</v>
      </c>
      <c r="F115" s="385">
        <f t="shared" si="26"/>
        <v>48.591094208242659</v>
      </c>
      <c r="G115" s="110">
        <f t="shared" si="48"/>
        <v>0.83742507294564028</v>
      </c>
      <c r="H115" s="414" t="b">
        <f>Wh_hp&gt;='2023'!Maxi_hp</f>
        <v>0</v>
      </c>
      <c r="I115" s="390">
        <f>IF(H115,Wh_hp,'2023'!Maxi_hp)</f>
        <v>59.123099904366789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4.5644166351152982E-2</v>
      </c>
      <c r="M115" s="845"/>
      <c r="N115" s="845"/>
      <c r="O115" s="48">
        <f>IF(t&lt;Tnet,'2023'!Resal+('2023'!Salim-'2023'!Resal)*(1-EXP(('2023'!Tnet-t)/('2023'!Tau_j))),Resal+(Salim-Resal)*(1-EXP((Tnet-t)/(Tau_j))))*Salcycl</f>
        <v>3.5050544343830467E-2</v>
      </c>
      <c r="P115" s="169">
        <f>(INDEX(Models!$BJ115:$BT115,,T115)*(1-R115)+INDEX(Models!$BJ115:$BT115,,T115+1)*R115-ERP_i)*Q115*Ramure*Pc/MaxiM</f>
        <v>5.4667816119321515E-6</v>
      </c>
      <c r="Q115" s="305">
        <f t="shared" si="28"/>
        <v>0.5</v>
      </c>
      <c r="R115" s="177">
        <f t="shared" si="29"/>
        <v>3.5907190257592481E-2</v>
      </c>
      <c r="S115" s="811">
        <f t="shared" si="30"/>
        <v>1</v>
      </c>
      <c r="T115" s="176">
        <f t="shared" si="31"/>
        <v>7</v>
      </c>
      <c r="U115" s="251">
        <f t="shared" si="32"/>
        <v>1.0359071902575925</v>
      </c>
      <c r="V115" s="383">
        <f t="shared" si="33"/>
        <v>53.434683698711623</v>
      </c>
      <c r="W115" s="402">
        <f t="shared" si="34"/>
        <v>44.74760070830223</v>
      </c>
      <c r="X115" s="157">
        <f t="shared" si="35"/>
        <v>45392</v>
      </c>
      <c r="Y115" s="385">
        <f t="shared" si="36"/>
        <v>42.931569432813994</v>
      </c>
      <c r="Z115" s="385">
        <f t="shared" si="37"/>
        <v>44.98486614648867</v>
      </c>
      <c r="AA115" s="386">
        <f t="shared" si="38"/>
        <v>48.590890265081271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7.4211937647579759E-2</v>
      </c>
      <c r="AD115" s="231">
        <f>(INDEX(Models!$BJ115:$BT115,,AH115)*(1-AF115)+INDEX(Models!$BJ115:$BT115,,AH115+1)*AF115-ERP_i)*AE115*Ramure*Pc/MaxiM</f>
        <v>5.4667816119321515E-6</v>
      </c>
      <c r="AE115" s="305">
        <f t="shared" si="40"/>
        <v>0.5</v>
      </c>
      <c r="AF115" s="177">
        <f t="shared" si="41"/>
        <v>3.5907190257592481E-2</v>
      </c>
      <c r="AG115" s="811">
        <f t="shared" si="49"/>
        <v>1</v>
      </c>
      <c r="AH115" s="176">
        <f t="shared" si="42"/>
        <v>7</v>
      </c>
      <c r="AI115" s="225">
        <f t="shared" si="43"/>
        <v>1.0359071902575925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36.288904939430687</v>
      </c>
      <c r="C116" s="841"/>
      <c r="D116" s="393">
        <f t="shared" si="25"/>
        <v>38.02533446905462</v>
      </c>
      <c r="E116" s="385">
        <f t="shared" si="47"/>
        <v>39.409874053702019</v>
      </c>
      <c r="F116" s="385">
        <f t="shared" si="26"/>
        <v>39.410006627606144</v>
      </c>
      <c r="G116" s="110">
        <f t="shared" si="48"/>
        <v>0.6762667475753531</v>
      </c>
      <c r="H116" s="414" t="b">
        <f>Wh_hp&gt;='2023'!Maxi_hp</f>
        <v>0</v>
      </c>
      <c r="I116" s="390">
        <f>IF(H116,Wh_hp,'2023'!Maxi_hp)</f>
        <v>58.323508945597986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4.566506919319957E-2</v>
      </c>
      <c r="M116" s="845"/>
      <c r="N116" s="845"/>
      <c r="O116" s="48">
        <f>IF(t&lt;Tnet,'2023'!Resal+('2023'!Salim-'2023'!Resal)*(1-EXP(('2023'!Tnet-t)/('2023'!Tau_j))),Resal+(Salim-Resal)*(1-EXP((Tnet-t)/(Tau_j))))*Salcycl</f>
        <v>3.5131794198599756E-2</v>
      </c>
      <c r="P116" s="169">
        <f>(INDEX(Models!$BJ116:$BT116,,T116)*(1-R116)+INDEX(Models!$BJ116:$BT116,,T116+1)*R116-ERP_i)*Q116*Ramure*Pc/MaxiM</f>
        <v>6.2582294131338883E-6</v>
      </c>
      <c r="Q116" s="305">
        <f t="shared" si="28"/>
        <v>0.5</v>
      </c>
      <c r="R116" s="177">
        <f t="shared" si="29"/>
        <v>3.7418551126220834E-2</v>
      </c>
      <c r="S116" s="811">
        <f t="shared" si="30"/>
        <v>1</v>
      </c>
      <c r="T116" s="176">
        <f t="shared" si="31"/>
        <v>7</v>
      </c>
      <c r="U116" s="251">
        <f t="shared" si="32"/>
        <v>1.0374185511262208</v>
      </c>
      <c r="V116" s="383">
        <f t="shared" si="33"/>
        <v>53.660482405084139</v>
      </c>
      <c r="W116" s="402">
        <f t="shared" si="34"/>
        <v>36.288904939430687</v>
      </c>
      <c r="X116" s="157">
        <f t="shared" si="35"/>
        <v>45393</v>
      </c>
      <c r="Y116" s="385">
        <f t="shared" si="36"/>
        <v>34.817171501322484</v>
      </c>
      <c r="Z116" s="385">
        <f t="shared" si="37"/>
        <v>36.483178365783843</v>
      </c>
      <c r="AA116" s="386">
        <f t="shared" si="38"/>
        <v>39.409874053702019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7.4263005355716311E-2</v>
      </c>
      <c r="AD116" s="231">
        <f>(INDEX(Models!$BJ116:$BT116,,AH116)*(1-AF116)+INDEX(Models!$BJ116:$BT116,,AH116+1)*AF116-ERP_i)*AE116*Ramure*Pc/MaxiM</f>
        <v>6.2582294131338883E-6</v>
      </c>
      <c r="AE116" s="305">
        <f t="shared" si="40"/>
        <v>0.5</v>
      </c>
      <c r="AF116" s="177">
        <f t="shared" si="41"/>
        <v>3.7418551126220834E-2</v>
      </c>
      <c r="AG116" s="811">
        <f t="shared" si="49"/>
        <v>1</v>
      </c>
      <c r="AH116" s="176">
        <f t="shared" si="42"/>
        <v>7</v>
      </c>
      <c r="AI116" s="225">
        <f t="shared" si="43"/>
        <v>1.0374185511262208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7.2765890409597089</v>
      </c>
      <c r="C117" s="841"/>
      <c r="D117" s="393">
        <f t="shared" si="25"/>
        <v>7.6249419208344307</v>
      </c>
      <c r="E117" s="385">
        <f t="shared" si="47"/>
        <v>7.9032423925408901</v>
      </c>
      <c r="F117" s="385">
        <f t="shared" si="26"/>
        <v>7.9032423925408901</v>
      </c>
      <c r="G117" s="110">
        <f t="shared" si="48"/>
        <v>0.13505044540710284</v>
      </c>
      <c r="H117" s="414" t="b">
        <f>Wh_hp&gt;='2023'!Maxi_hp</f>
        <v>0</v>
      </c>
      <c r="I117" s="390">
        <f>IF(H117,Wh_hp,'2023'!Maxi_hp)</f>
        <v>59.034851740298983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4.568597157742027E-2</v>
      </c>
      <c r="M117" s="845"/>
      <c r="N117" s="845"/>
      <c r="O117" s="48">
        <f>IF(t&lt;Tnet,'2023'!Resal+('2023'!Salim-'2023'!Resal)*(1-EXP(('2023'!Tnet-t)/('2023'!Tau_j))),Resal+(Salim-Resal)*(1-EXP((Tnet-t)/(Tau_j))))*Salcycl</f>
        <v>3.5213455172413852E-2</v>
      </c>
      <c r="P117" s="169">
        <f>(INDEX(Models!$BJ117:$BT117,,T117)*(1-R117)+INDEX(Models!$BJ117:$BT117,,T117+1)*R117-ERP_i)*Q117*Ramure*Pc/MaxiM</f>
        <v>7.2272327004358599E-6</v>
      </c>
      <c r="Q117" s="305">
        <f t="shared" si="28"/>
        <v>0.5</v>
      </c>
      <c r="R117" s="177">
        <f t="shared" si="29"/>
        <v>3.8982825059142412E-2</v>
      </c>
      <c r="S117" s="811">
        <f t="shared" si="30"/>
        <v>1</v>
      </c>
      <c r="T117" s="176">
        <f t="shared" si="31"/>
        <v>7</v>
      </c>
      <c r="U117" s="251">
        <f t="shared" si="32"/>
        <v>1.0389828250591424</v>
      </c>
      <c r="V117" s="383">
        <f t="shared" si="33"/>
        <v>53.880136636518948</v>
      </c>
      <c r="W117" s="402">
        <f t="shared" si="34"/>
        <v>7.2765890409597089</v>
      </c>
      <c r="X117" s="157">
        <f t="shared" si="35"/>
        <v>45394</v>
      </c>
      <c r="Y117" s="385">
        <f t="shared" si="36"/>
        <v>6.9816783236640108</v>
      </c>
      <c r="Z117" s="385">
        <f t="shared" si="37"/>
        <v>7.3159129130735723</v>
      </c>
      <c r="AA117" s="386">
        <f t="shared" si="38"/>
        <v>7.9032423925408901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7.4315002665442872E-2</v>
      </c>
      <c r="AD117" s="231">
        <f>(INDEX(Models!$BJ117:$BT117,,AH117)*(1-AF117)+INDEX(Models!$BJ117:$BT117,,AH117+1)*AF117-ERP_i)*AE117*Ramure*Pc/MaxiM</f>
        <v>7.2272327004358599E-6</v>
      </c>
      <c r="AE117" s="305">
        <f t="shared" si="40"/>
        <v>0.5</v>
      </c>
      <c r="AF117" s="177">
        <f t="shared" si="41"/>
        <v>3.8982825059142412E-2</v>
      </c>
      <c r="AG117" s="811">
        <f t="shared" si="49"/>
        <v>1</v>
      </c>
      <c r="AH117" s="176">
        <f t="shared" si="42"/>
        <v>7</v>
      </c>
      <c r="AI117" s="225">
        <f t="shared" si="43"/>
        <v>1.0389828250591424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39.333626992660207</v>
      </c>
      <c r="C118" s="841"/>
      <c r="D118" s="393">
        <f t="shared" si="25"/>
        <v>41.217552448564</v>
      </c>
      <c r="E118" s="385">
        <f t="shared" si="47"/>
        <v>42.725574574462506</v>
      </c>
      <c r="F118" s="385">
        <f t="shared" si="26"/>
        <v>42.725792921636462</v>
      </c>
      <c r="G118" s="110">
        <f t="shared" si="48"/>
        <v>0.72713844261846305</v>
      </c>
      <c r="H118" s="414" t="b">
        <f>Wh_hp&gt;='2023'!Maxi_hp</f>
        <v>0</v>
      </c>
      <c r="I118" s="390">
        <f>IF(H118,Wh_hp,'2023'!Maxi_hp)</f>
        <v>57.514245582008527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4.5706873503825074E-2</v>
      </c>
      <c r="M118" s="845"/>
      <c r="N118" s="845"/>
      <c r="O118" s="48">
        <f>IF(t&lt;Tnet,'2023'!Resal+('2023'!Salim-'2023'!Resal)*(1-EXP(('2023'!Tnet-t)/('2023'!Tau_j))),Resal+(Salim-Resal)*(1-EXP((Tnet-t)/(Tau_j))))*Salcycl</f>
        <v>3.529553764737127E-2</v>
      </c>
      <c r="P118" s="169">
        <f>(INDEX(Models!$BJ118:$BT118,,T118)*(1-R118)+INDEX(Models!$BJ118:$BT118,,T118+1)*R118-ERP_i)*Q118*Ramure*Pc/MaxiM</f>
        <v>8.374992187611191E-6</v>
      </c>
      <c r="Q118" s="305">
        <f t="shared" si="28"/>
        <v>0.5</v>
      </c>
      <c r="R118" s="177">
        <f t="shared" si="29"/>
        <v>4.0601448938706097E-2</v>
      </c>
      <c r="S118" s="811">
        <f t="shared" si="30"/>
        <v>1</v>
      </c>
      <c r="T118" s="176">
        <f t="shared" si="31"/>
        <v>7</v>
      </c>
      <c r="U118" s="251">
        <f t="shared" si="32"/>
        <v>1.0406014489387061</v>
      </c>
      <c r="V118" s="383">
        <f t="shared" si="33"/>
        <v>54.093548462780596</v>
      </c>
      <c r="W118" s="402">
        <f t="shared" si="34"/>
        <v>39.333626992660207</v>
      </c>
      <c r="X118" s="157">
        <f t="shared" si="35"/>
        <v>45395</v>
      </c>
      <c r="Y118" s="385">
        <f t="shared" si="36"/>
        <v>37.740538509360398</v>
      </c>
      <c r="Z118" s="385">
        <f t="shared" si="37"/>
        <v>39.548161315936788</v>
      </c>
      <c r="AA118" s="386">
        <f t="shared" si="38"/>
        <v>42.725574574462506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7.4367946836808418E-2</v>
      </c>
      <c r="AD118" s="231">
        <f>(INDEX(Models!$BJ118:$BT118,,AH118)*(1-AF118)+INDEX(Models!$BJ118:$BT118,,AH118+1)*AF118-ERP_i)*AE118*Ramure*Pc/MaxiM</f>
        <v>8.374992187611191E-6</v>
      </c>
      <c r="AE118" s="305">
        <f t="shared" si="40"/>
        <v>0.5</v>
      </c>
      <c r="AF118" s="177">
        <f t="shared" si="41"/>
        <v>4.0601448938706097E-2</v>
      </c>
      <c r="AG118" s="811">
        <f t="shared" si="49"/>
        <v>1</v>
      </c>
      <c r="AH118" s="176">
        <f t="shared" si="42"/>
        <v>7</v>
      </c>
      <c r="AI118" s="225">
        <f t="shared" si="43"/>
        <v>1.0406014489387061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45.076252324327314</v>
      </c>
      <c r="C119" s="841"/>
      <c r="D119" s="393">
        <f t="shared" si="25"/>
        <v>47.23626145885649</v>
      </c>
      <c r="E119" s="385">
        <f t="shared" si="47"/>
        <v>48.96867786690801</v>
      </c>
      <c r="F119" s="385">
        <f t="shared" si="26"/>
        <v>48.969037707260412</v>
      </c>
      <c r="G119" s="110">
        <f t="shared" si="48"/>
        <v>0.83012212689390941</v>
      </c>
      <c r="H119" s="414" t="b">
        <f>Wh_hp&gt;='2023'!Maxi_hp</f>
        <v>0</v>
      </c>
      <c r="I119" s="390">
        <f>IF(H119,Wh_hp,'2023'!Maxi_hp)</f>
        <v>58.00017289991299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4.5727774972424085E-2</v>
      </c>
      <c r="M119" s="845"/>
      <c r="N119" s="845"/>
      <c r="O119" s="48">
        <f>IF(t&lt;Tnet,'2023'!Resal+('2023'!Salim-'2023'!Resal)*(1-EXP(('2023'!Tnet-t)/('2023'!Tau_j))),Resal+(Salim-Resal)*(1-EXP((Tnet-t)/(Tau_j))))*Salcycl</f>
        <v>3.5378051512030974E-2</v>
      </c>
      <c r="P119" s="169">
        <f>(INDEX(Models!$BJ119:$BT119,,T119)*(1-R119)+INDEX(Models!$BJ119:$BT119,,T119+1)*R119-ERP_i)*Q119*Ramure*Pc/MaxiM</f>
        <v>9.7030618688882441E-6</v>
      </c>
      <c r="Q119" s="305">
        <f t="shared" si="28"/>
        <v>0.5</v>
      </c>
      <c r="R119" s="177">
        <f t="shared" si="29"/>
        <v>4.2275866248237426E-2</v>
      </c>
      <c r="S119" s="811">
        <f t="shared" si="30"/>
        <v>1</v>
      </c>
      <c r="T119" s="176">
        <f t="shared" si="31"/>
        <v>7</v>
      </c>
      <c r="U119" s="251">
        <f t="shared" si="32"/>
        <v>1.0422758662482374</v>
      </c>
      <c r="V119" s="383">
        <f t="shared" si="33"/>
        <v>54.300620017742709</v>
      </c>
      <c r="W119" s="402">
        <f t="shared" si="34"/>
        <v>45.076252324327314</v>
      </c>
      <c r="X119" s="157">
        <f t="shared" si="35"/>
        <v>45396</v>
      </c>
      <c r="Y119" s="385">
        <f t="shared" si="36"/>
        <v>43.251756940087922</v>
      </c>
      <c r="Z119" s="385">
        <f t="shared" si="37"/>
        <v>45.324338072228876</v>
      </c>
      <c r="AA119" s="386">
        <f t="shared" si="38"/>
        <v>48.96867786690801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7.4421853997857251E-2</v>
      </c>
      <c r="AD119" s="231">
        <f>(INDEX(Models!$BJ119:$BT119,,AH119)*(1-AF119)+INDEX(Models!$BJ119:$BT119,,AH119+1)*AF119-ERP_i)*AE119*Ramure*Pc/MaxiM</f>
        <v>9.7030618688882441E-6</v>
      </c>
      <c r="AE119" s="305">
        <f t="shared" si="40"/>
        <v>0.5</v>
      </c>
      <c r="AF119" s="177">
        <f t="shared" si="41"/>
        <v>4.2275866248237426E-2</v>
      </c>
      <c r="AG119" s="811">
        <f t="shared" si="49"/>
        <v>1</v>
      </c>
      <c r="AH119" s="176">
        <f t="shared" si="42"/>
        <v>7</v>
      </c>
      <c r="AI119" s="225">
        <f t="shared" si="43"/>
        <v>1.0422758662482374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43.495900748899324</v>
      </c>
      <c r="C120" s="841"/>
      <c r="D120" s="393">
        <f t="shared" si="25"/>
        <v>45.581179354103575</v>
      </c>
      <c r="E120" s="385">
        <f t="shared" si="47"/>
        <v>47.256958654743258</v>
      </c>
      <c r="F120" s="385">
        <f t="shared" si="26"/>
        <v>47.257335704344378</v>
      </c>
      <c r="G120" s="110">
        <f t="shared" si="48"/>
        <v>0.79806898477241828</v>
      </c>
      <c r="H120" s="414" t="b">
        <f>Wh_hp&gt;='2023'!Maxi_hp</f>
        <v>0</v>
      </c>
      <c r="I120" s="390">
        <f>IF(H120,Wh_hp,'2023'!Maxi_hp)</f>
        <v>52.848516926149152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4.5748675983227294E-2</v>
      </c>
      <c r="M120" s="845"/>
      <c r="N120" s="845"/>
      <c r="O120" s="48">
        <f>IF(t&lt;Tnet,'2023'!Resal+('2023'!Salim-'2023'!Resal)*(1-EXP(('2023'!Tnet-t)/('2023'!Tau_j))),Resal+(Salim-Resal)*(1-EXP((Tnet-t)/(Tau_j))))*Salcycl</f>
        <v>3.5461006132088031E-2</v>
      </c>
      <c r="P120" s="169">
        <f>(INDEX(Models!$BJ120:$BT120,,T120)*(1-R120)+INDEX(Models!$BJ120:$BT120,,T120+1)*R120-ERP_i)*Q120*Ramure*Pc/MaxiM</f>
        <v>1.1213354260752045E-5</v>
      </c>
      <c r="Q120" s="305">
        <f t="shared" si="28"/>
        <v>0.5</v>
      </c>
      <c r="R120" s="177">
        <f t="shared" si="29"/>
        <v>4.4007524221879812E-2</v>
      </c>
      <c r="S120" s="811">
        <f t="shared" si="30"/>
        <v>1</v>
      </c>
      <c r="T120" s="176">
        <f t="shared" si="31"/>
        <v>7</v>
      </c>
      <c r="U120" s="251">
        <f t="shared" si="32"/>
        <v>1.0440075242218798</v>
      </c>
      <c r="V120" s="383">
        <f t="shared" si="33"/>
        <v>54.501253502133693</v>
      </c>
      <c r="W120" s="402">
        <f t="shared" si="34"/>
        <v>43.495900748899324</v>
      </c>
      <c r="X120" s="157">
        <f t="shared" si="35"/>
        <v>45397</v>
      </c>
      <c r="Y120" s="385">
        <f t="shared" si="36"/>
        <v>41.736485671558327</v>
      </c>
      <c r="Z120" s="385">
        <f t="shared" si="37"/>
        <v>43.737414474705758</v>
      </c>
      <c r="AA120" s="386">
        <f t="shared" si="38"/>
        <v>47.256958654743258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7.4476739092566149E-2</v>
      </c>
      <c r="AD120" s="231">
        <f>(INDEX(Models!$BJ120:$BT120,,AH120)*(1-AF120)+INDEX(Models!$BJ120:$BT120,,AH120+1)*AF120-ERP_i)*AE120*Ramure*Pc/MaxiM</f>
        <v>1.1213354260752045E-5</v>
      </c>
      <c r="AE120" s="305">
        <f t="shared" si="40"/>
        <v>0.5</v>
      </c>
      <c r="AF120" s="177">
        <f t="shared" si="41"/>
        <v>4.4007524221879812E-2</v>
      </c>
      <c r="AG120" s="811">
        <f t="shared" si="49"/>
        <v>1</v>
      </c>
      <c r="AH120" s="176">
        <f t="shared" si="42"/>
        <v>7</v>
      </c>
      <c r="AI120" s="225">
        <f t="shared" si="43"/>
        <v>1.0440075242218798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53.127473883151907</v>
      </c>
      <c r="C121" s="841"/>
      <c r="D121" s="393">
        <f t="shared" si="25"/>
        <v>55.67572839514466</v>
      </c>
      <c r="E121" s="385">
        <f t="shared" si="47"/>
        <v>57.727622703307418</v>
      </c>
      <c r="F121" s="385">
        <f t="shared" si="26"/>
        <v>57.728337366515845</v>
      </c>
      <c r="G121" s="110">
        <f t="shared" si="48"/>
        <v>0.97134086448812929</v>
      </c>
      <c r="H121" s="414" t="b">
        <f>Wh_hp&gt;='2023'!Maxi_hp</f>
        <v>0</v>
      </c>
      <c r="I121" s="390">
        <f>IF(H121,Wh_hp,'2023'!Maxi_hp)</f>
        <v>57.728351760885495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4.5769576536244805E-2</v>
      </c>
      <c r="M121" s="845"/>
      <c r="N121" s="845"/>
      <c r="O121" s="48">
        <f>IF(t&lt;Tnet,'2023'!Resal+('2023'!Salim-'2023'!Resal)*(1-EXP(('2023'!Tnet-t)/('2023'!Tau_j))),Resal+(Salim-Resal)*(1-EXP((Tnet-t)/(Tau_j))))*Salcycl</f>
        <v>3.554441031996973E-2</v>
      </c>
      <c r="P121" s="169">
        <f>(INDEX(Models!$BJ121:$BT121,,T121)*(1-R121)+INDEX(Models!$BJ121:$BT121,,T121+1)*R121-ERP_i)*Q121*Ramure*Pc/MaxiM</f>
        <v>1.290823905223076E-5</v>
      </c>
      <c r="Q121" s="305">
        <f t="shared" si="28"/>
        <v>0.5</v>
      </c>
      <c r="R121" s="177">
        <f t="shared" si="29"/>
        <v>4.5797870756556724E-2</v>
      </c>
      <c r="S121" s="811">
        <f t="shared" si="30"/>
        <v>1</v>
      </c>
      <c r="T121" s="176">
        <f t="shared" si="31"/>
        <v>7</v>
      </c>
      <c r="U121" s="251">
        <f t="shared" si="32"/>
        <v>1.0457978707565567</v>
      </c>
      <c r="V121" s="383">
        <f t="shared" si="33"/>
        <v>54.694955960975655</v>
      </c>
      <c r="W121" s="402">
        <f t="shared" si="34"/>
        <v>53.127473883151907</v>
      </c>
      <c r="X121" s="157">
        <f t="shared" si="35"/>
        <v>45398</v>
      </c>
      <c r="Y121" s="385">
        <f t="shared" si="36"/>
        <v>50.979790887700609</v>
      </c>
      <c r="Z121" s="385">
        <f t="shared" si="37"/>
        <v>53.425031977757925</v>
      </c>
      <c r="AA121" s="386">
        <f t="shared" si="38"/>
        <v>57.727622703307418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7.4532615826963286E-2</v>
      </c>
      <c r="AD121" s="231">
        <f>(INDEX(Models!$BJ121:$BT121,,AH121)*(1-AF121)+INDEX(Models!$BJ121:$BT121,,AH121+1)*AF121-ERP_i)*AE121*Ramure*Pc/MaxiM</f>
        <v>1.290823905223076E-5</v>
      </c>
      <c r="AE121" s="305">
        <f t="shared" si="40"/>
        <v>0.5</v>
      </c>
      <c r="AF121" s="177">
        <f t="shared" si="41"/>
        <v>4.5797870756556724E-2</v>
      </c>
      <c r="AG121" s="811">
        <f t="shared" si="49"/>
        <v>1</v>
      </c>
      <c r="AH121" s="176">
        <f t="shared" si="42"/>
        <v>7</v>
      </c>
      <c r="AI121" s="225">
        <f t="shared" si="43"/>
        <v>1.0457978707565567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36.748948370665687</v>
      </c>
      <c r="C122" s="841"/>
      <c r="D122" s="393">
        <f t="shared" si="25"/>
        <v>38.512451899385759</v>
      </c>
      <c r="E122" s="385">
        <f t="shared" si="47"/>
        <v>39.935276816302782</v>
      </c>
      <c r="F122" s="385">
        <f t="shared" si="26"/>
        <v>39.935592232391542</v>
      </c>
      <c r="G122" s="110">
        <f t="shared" si="48"/>
        <v>0.66960080046569548</v>
      </c>
      <c r="H122" s="414" t="b">
        <f>Wh_hp&gt;='2023'!Maxi_hp</f>
        <v>0</v>
      </c>
      <c r="I122" s="390">
        <f>IF(H122,Wh_hp,'2023'!Maxi_hp)</f>
        <v>42.565319321773202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4.5790476631486499E-2</v>
      </c>
      <c r="M122" s="845"/>
      <c r="N122" s="845"/>
      <c r="O122" s="48">
        <f>IF(t&lt;Tnet,'2023'!Resal+('2023'!Salim-'2023'!Resal)*(1-EXP(('2023'!Tnet-t)/('2023'!Tau_j))),Resal+(Salim-Resal)*(1-EXP((Tnet-t)/(Tau_j))))*Salcycl</f>
        <v>3.5628272303252891E-2</v>
      </c>
      <c r="P122" s="169">
        <f>(INDEX(Models!$BJ122:$BT122,,T122)*(1-R122)+INDEX(Models!$BJ122:$BT122,,T122+1)*R122-ERP_i)*Q122*Ramure*Pc/MaxiM</f>
        <v>1.4958336355944558E-5</v>
      </c>
      <c r="Q122" s="305">
        <f t="shared" si="28"/>
        <v>0.5</v>
      </c>
      <c r="R122" s="177">
        <f t="shared" si="29"/>
        <v>4.7648351079279561E-2</v>
      </c>
      <c r="S122" s="811">
        <f t="shared" si="30"/>
        <v>1</v>
      </c>
      <c r="T122" s="176">
        <f t="shared" si="31"/>
        <v>7</v>
      </c>
      <c r="U122" s="251">
        <f t="shared" si="32"/>
        <v>1.0476483510792796</v>
      </c>
      <c r="V122" s="383">
        <f t="shared" si="33"/>
        <v>54.88148892223839</v>
      </c>
      <c r="W122" s="402">
        <f t="shared" si="34"/>
        <v>36.748948370665687</v>
      </c>
      <c r="X122" s="157">
        <f t="shared" si="35"/>
        <v>45399</v>
      </c>
      <c r="Y122" s="385">
        <f t="shared" si="36"/>
        <v>35.264267744404286</v>
      </c>
      <c r="Z122" s="385">
        <f t="shared" si="37"/>
        <v>36.956524621464411</v>
      </c>
      <c r="AA122" s="386">
        <f t="shared" si="38"/>
        <v>39.935276816302782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7.4589496613238923E-2</v>
      </c>
      <c r="AD122" s="231">
        <f>(INDEX(Models!$BJ122:$BT122,,AH122)*(1-AF122)+INDEX(Models!$BJ122:$BT122,,AH122+1)*AF122-ERP_i)*AE122*Ramure*Pc/MaxiM</f>
        <v>1.4958336355944558E-5</v>
      </c>
      <c r="AE122" s="305">
        <f t="shared" si="40"/>
        <v>0.5</v>
      </c>
      <c r="AF122" s="177">
        <f t="shared" si="41"/>
        <v>4.7648351079279561E-2</v>
      </c>
      <c r="AG122" s="811">
        <f t="shared" si="49"/>
        <v>1</v>
      </c>
      <c r="AH122" s="176">
        <f t="shared" si="42"/>
        <v>7</v>
      </c>
      <c r="AI122" s="225">
        <f t="shared" si="43"/>
        <v>1.0476483510792796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8.7849595431232164</v>
      </c>
      <c r="C123" s="841"/>
      <c r="D123" s="393">
        <f t="shared" si="25"/>
        <v>9.2067326361244497</v>
      </c>
      <c r="E123" s="385">
        <f t="shared" si="47"/>
        <v>9.5477060399027671</v>
      </c>
      <c r="F123" s="385">
        <f t="shared" si="26"/>
        <v>9.5477060399027671</v>
      </c>
      <c r="G123" s="110">
        <f t="shared" si="48"/>
        <v>0.15954637660602505</v>
      </c>
      <c r="H123" s="414" t="b">
        <f>Wh_hp&gt;='2023'!Maxi_hp</f>
        <v>0</v>
      </c>
      <c r="I123" s="390">
        <f>IF(H123,Wh_hp,'2023'!Maxi_hp)</f>
        <v>57.730407119667383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4.5811376268962367E-2</v>
      </c>
      <c r="M123" s="845"/>
      <c r="N123" s="845"/>
      <c r="O123" s="48">
        <f>IF(t&lt;Tnet,'2023'!Resal+('2023'!Salim-'2023'!Resal)*(1-EXP(('2023'!Tnet-t)/('2023'!Tau_j))),Resal+(Salim-Resal)*(1-EXP((Tnet-t)/(Tau_j))))*Salcycl</f>
        <v>3.5712599691830244E-2</v>
      </c>
      <c r="P123" s="169">
        <f>(INDEX(Models!$BJ123:$BT123,,T123)*(1-R123)+INDEX(Models!$BJ123:$BT123,,T123+1)*R123-ERP_i)*Q123*Ramure*Pc/MaxiM</f>
        <v>1.7291849757288963E-5</v>
      </c>
      <c r="Q123" s="305">
        <f t="shared" si="28"/>
        <v>0.5</v>
      </c>
      <c r="R123" s="177">
        <f t="shared" si="29"/>
        <v>4.9560404163916383E-2</v>
      </c>
      <c r="S123" s="811">
        <f t="shared" si="30"/>
        <v>1</v>
      </c>
      <c r="T123" s="176">
        <f t="shared" si="31"/>
        <v>7</v>
      </c>
      <c r="U123" s="251">
        <f t="shared" si="32"/>
        <v>1.0495604041639164</v>
      </c>
      <c r="V123" s="383">
        <f t="shared" si="33"/>
        <v>55.061154140876475</v>
      </c>
      <c r="W123" s="402">
        <f t="shared" si="34"/>
        <v>8.7849595431232164</v>
      </c>
      <c r="X123" s="157">
        <f t="shared" si="35"/>
        <v>45400</v>
      </c>
      <c r="Y123" s="385">
        <f t="shared" si="36"/>
        <v>8.4302514139562579</v>
      </c>
      <c r="Z123" s="385">
        <f t="shared" si="37"/>
        <v>8.8349946795556633</v>
      </c>
      <c r="AA123" s="386">
        <f t="shared" si="38"/>
        <v>9.5477060399027671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7.4647392511716065E-2</v>
      </c>
      <c r="AD123" s="231">
        <f>(INDEX(Models!$BJ123:$BT123,,AH123)*(1-AF123)+INDEX(Models!$BJ123:$BT123,,AH123+1)*AF123-ERP_i)*AE123*Ramure*Pc/MaxiM</f>
        <v>1.7291849757288963E-5</v>
      </c>
      <c r="AE123" s="305">
        <f t="shared" si="40"/>
        <v>0.5</v>
      </c>
      <c r="AF123" s="177">
        <f t="shared" si="41"/>
        <v>4.9560404163916383E-2</v>
      </c>
      <c r="AG123" s="811">
        <f t="shared" si="49"/>
        <v>1</v>
      </c>
      <c r="AH123" s="176">
        <f t="shared" si="42"/>
        <v>7</v>
      </c>
      <c r="AI123" s="225">
        <f t="shared" si="43"/>
        <v>1.0495604041639164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10.052909665552493</v>
      </c>
      <c r="C124" s="841"/>
      <c r="D124" s="393">
        <f t="shared" si="25"/>
        <v>10.535788841819942</v>
      </c>
      <c r="E124" s="385">
        <f t="shared" si="47"/>
        <v>10.926945058789718</v>
      </c>
      <c r="F124" s="385">
        <f t="shared" si="26"/>
        <v>10.926945058789718</v>
      </c>
      <c r="G124" s="110">
        <f t="shared" si="48"/>
        <v>0.18200137841406946</v>
      </c>
      <c r="H124" s="414" t="b">
        <f>Wh_hp&gt;='2023'!Maxi_hp</f>
        <v>0</v>
      </c>
      <c r="I124" s="390">
        <f>IF(H124,Wh_hp,'2023'!Maxi_hp)</f>
        <v>54.953153725787914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4.5832275448682624E-2</v>
      </c>
      <c r="M124" s="845"/>
      <c r="N124" s="845"/>
      <c r="O124" s="48">
        <f>IF(t&lt;Tnet,'2023'!Resal+('2023'!Salim-'2023'!Resal)*(1-EXP(('2023'!Tnet-t)/('2023'!Tau_j))),Resal+(Salim-Resal)*(1-EXP((Tnet-t)/(Tau_j))))*Salcycl</f>
        <v>3.5797399443783927E-2</v>
      </c>
      <c r="P124" s="169">
        <f>(INDEX(Models!$BJ124:$BT124,,T124)*(1-R124)+INDEX(Models!$BJ124:$BT124,,T124+1)*R124-ERP_i)*Q124*Ramure*Pc/MaxiM</f>
        <v>1.9911992658726928E-5</v>
      </c>
      <c r="Q124" s="305">
        <f t="shared" si="28"/>
        <v>0.5</v>
      </c>
      <c r="R124" s="177">
        <f t="shared" si="29"/>
        <v>5.1535458892585595E-2</v>
      </c>
      <c r="S124" s="811">
        <f t="shared" si="30"/>
        <v>1</v>
      </c>
      <c r="T124" s="176">
        <f t="shared" si="31"/>
        <v>7</v>
      </c>
      <c r="U124" s="251">
        <f t="shared" si="32"/>
        <v>1.0515354588925856</v>
      </c>
      <c r="V124" s="383">
        <f t="shared" si="33"/>
        <v>55.23424921111431</v>
      </c>
      <c r="W124" s="402">
        <f t="shared" si="34"/>
        <v>10.052909665552493</v>
      </c>
      <c r="X124" s="157">
        <f t="shared" si="35"/>
        <v>45401</v>
      </c>
      <c r="Y124" s="385">
        <f t="shared" si="36"/>
        <v>9.6472399498154093</v>
      </c>
      <c r="Z124" s="385">
        <f t="shared" si="37"/>
        <v>10.110633279229681</v>
      </c>
      <c r="AA124" s="386">
        <f t="shared" si="38"/>
        <v>10.926945058789718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7.4706313170613894E-2</v>
      </c>
      <c r="AD124" s="231">
        <f>(INDEX(Models!$BJ124:$BT124,,AH124)*(1-AF124)+INDEX(Models!$BJ124:$BT124,,AH124+1)*AF124-ERP_i)*AE124*Ramure*Pc/MaxiM</f>
        <v>1.9911992658726928E-5</v>
      </c>
      <c r="AE124" s="305">
        <f t="shared" si="40"/>
        <v>0.5</v>
      </c>
      <c r="AF124" s="177">
        <f t="shared" si="41"/>
        <v>5.1535458892585595E-2</v>
      </c>
      <c r="AG124" s="811">
        <f t="shared" si="49"/>
        <v>1</v>
      </c>
      <c r="AH124" s="176">
        <f t="shared" si="42"/>
        <v>7</v>
      </c>
      <c r="AI124" s="225">
        <f t="shared" si="43"/>
        <v>1.0515354588925856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9.292398875776124</v>
      </c>
      <c r="C125" s="841"/>
      <c r="D125" s="393">
        <f t="shared" si="25"/>
        <v>9.7389611579949307</v>
      </c>
      <c r="E125" s="385">
        <f t="shared" si="47"/>
        <v>10.10142742386828</v>
      </c>
      <c r="F125" s="385">
        <f t="shared" si="26"/>
        <v>10.10142742386828</v>
      </c>
      <c r="G125" s="110">
        <f t="shared" si="48"/>
        <v>0.16772575921215796</v>
      </c>
      <c r="H125" s="414" t="b">
        <f>Wh_hp&gt;='2023'!Maxi_hp</f>
        <v>0</v>
      </c>
      <c r="I125" s="390">
        <f>IF(H125,Wh_hp,'2023'!Maxi_hp)</f>
        <v>55.659407422413302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4.5853174170657263E-2</v>
      </c>
      <c r="M125" s="845"/>
      <c r="N125" s="845"/>
      <c r="O125" s="48">
        <f>IF(t&lt;Tnet,'2023'!Resal+('2023'!Salim-'2023'!Resal)*(1-EXP(('2023'!Tnet-t)/('2023'!Tau_j))),Resal+(Salim-Resal)*(1-EXP((Tnet-t)/(Tau_j))))*Salcycl</f>
        <v>3.5882677829956154E-2</v>
      </c>
      <c r="P125" s="169">
        <f>(INDEX(Models!$BJ125:$BT125,,T125)*(1-R125)+INDEX(Models!$BJ125:$BT125,,T125+1)*R125-ERP_i)*Q125*Ramure*Pc/MaxiM</f>
        <v>2.2822471621047374E-5</v>
      </c>
      <c r="Q125" s="305">
        <f t="shared" si="28"/>
        <v>0.5</v>
      </c>
      <c r="R125" s="177">
        <f t="shared" si="29"/>
        <v>5.3574929958058792E-2</v>
      </c>
      <c r="S125" s="811">
        <f t="shared" si="30"/>
        <v>1</v>
      </c>
      <c r="T125" s="176">
        <f t="shared" si="31"/>
        <v>7</v>
      </c>
      <c r="U125" s="251">
        <f t="shared" si="32"/>
        <v>1.0535749299580588</v>
      </c>
      <c r="V125" s="383">
        <f t="shared" si="33"/>
        <v>55.401071629747172</v>
      </c>
      <c r="W125" s="402">
        <f t="shared" si="34"/>
        <v>9.292398875776124</v>
      </c>
      <c r="X125" s="157">
        <f t="shared" si="35"/>
        <v>45402</v>
      </c>
      <c r="Y125" s="385">
        <f t="shared" si="36"/>
        <v>8.917629322543835</v>
      </c>
      <c r="Z125" s="385">
        <f t="shared" si="37"/>
        <v>9.3461814064021507</v>
      </c>
      <c r="AA125" s="386">
        <f t="shared" si="38"/>
        <v>10.10142742386828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7.4766266763604788E-2</v>
      </c>
      <c r="AD125" s="231">
        <f>(INDEX(Models!$BJ125:$BT125,,AH125)*(1-AF125)+INDEX(Models!$BJ125:$BT125,,AH125+1)*AF125-ERP_i)*AE125*Ramure*Pc/MaxiM</f>
        <v>2.2822471621047374E-5</v>
      </c>
      <c r="AE125" s="305">
        <f t="shared" si="40"/>
        <v>0.5</v>
      </c>
      <c r="AF125" s="177">
        <f t="shared" si="41"/>
        <v>5.3574929958058792E-2</v>
      </c>
      <c r="AG125" s="811">
        <f t="shared" si="49"/>
        <v>1</v>
      </c>
      <c r="AH125" s="176">
        <f t="shared" si="42"/>
        <v>7</v>
      </c>
      <c r="AI125" s="225">
        <f t="shared" si="43"/>
        <v>1.0535749299580588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27.194627497476716</v>
      </c>
      <c r="C126" s="841"/>
      <c r="D126" s="393">
        <f t="shared" si="25"/>
        <v>28.502136575280435</v>
      </c>
      <c r="E126" s="385">
        <f t="shared" si="47"/>
        <v>29.565563794431306</v>
      </c>
      <c r="F126" s="385">
        <f t="shared" si="26"/>
        <v>29.565772056872554</v>
      </c>
      <c r="G126" s="110">
        <f t="shared" si="48"/>
        <v>0.48943794300954635</v>
      </c>
      <c r="H126" s="414" t="b">
        <f>Wh_hp&gt;='2023'!Maxi_hp</f>
        <v>0</v>
      </c>
      <c r="I126" s="390">
        <f>IF(H126,Wh_hp,'2023'!Maxi_hp)</f>
        <v>61.619887493232405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4.5874072434896163E-2</v>
      </c>
      <c r="M126" s="845"/>
      <c r="N126" s="845"/>
      <c r="O126" s="48">
        <f>IF(t&lt;Tnet,'2023'!Resal+('2023'!Salim-'2023'!Resal)*(1-EXP(('2023'!Tnet-t)/('2023'!Tau_j))),Resal+(Salim-Resal)*(1-EXP((Tnet-t)/(Tau_j))))*Salcycl</f>
        <v>3.59684403972425E-2</v>
      </c>
      <c r="P126" s="169">
        <f>(INDEX(Models!$BJ126:$BT126,,T126)*(1-R126)+INDEX(Models!$BJ126:$BT126,,T126+1)*R126-ERP_i)*Q126*Ramure*Pc/MaxiM</f>
        <v>2.6027442803252673E-5</v>
      </c>
      <c r="Q126" s="305">
        <f t="shared" si="28"/>
        <v>0.5</v>
      </c>
      <c r="R126" s="177">
        <f t="shared" si="29"/>
        <v>5.5680213504941234E-2</v>
      </c>
      <c r="S126" s="811">
        <f t="shared" si="30"/>
        <v>1</v>
      </c>
      <c r="T126" s="176">
        <f t="shared" si="31"/>
        <v>7</v>
      </c>
      <c r="U126" s="251">
        <f t="shared" si="32"/>
        <v>1.0556802135049412</v>
      </c>
      <c r="V126" s="383">
        <f t="shared" si="33"/>
        <v>55.561918800205042</v>
      </c>
      <c r="W126" s="402">
        <f t="shared" si="34"/>
        <v>27.194627497476716</v>
      </c>
      <c r="X126" s="157">
        <f t="shared" si="35"/>
        <v>45403</v>
      </c>
      <c r="Y126" s="385">
        <f t="shared" si="36"/>
        <v>26.098448527473931</v>
      </c>
      <c r="Z126" s="385">
        <f t="shared" si="37"/>
        <v>27.353253667549172</v>
      </c>
      <c r="AA126" s="386">
        <f t="shared" si="38"/>
        <v>29.565563794431306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7.482725992523849E-2</v>
      </c>
      <c r="AD126" s="231">
        <f>(INDEX(Models!$BJ126:$BT126,,AH126)*(1-AF126)+INDEX(Models!$BJ126:$BT126,,AH126+1)*AF126-ERP_i)*AE126*Ramure*Pc/MaxiM</f>
        <v>2.6027442803252673E-5</v>
      </c>
      <c r="AE126" s="305">
        <f t="shared" si="40"/>
        <v>0.5</v>
      </c>
      <c r="AF126" s="177">
        <f t="shared" si="41"/>
        <v>5.5680213504941234E-2</v>
      </c>
      <c r="AG126" s="811">
        <f t="shared" si="49"/>
        <v>1</v>
      </c>
      <c r="AH126" s="176">
        <f t="shared" si="42"/>
        <v>7</v>
      </c>
      <c r="AI126" s="225">
        <f t="shared" si="43"/>
        <v>1.0556802135049412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9.4096822617959948</v>
      </c>
      <c r="C127" s="841"/>
      <c r="D127" s="393">
        <f t="shared" si="25"/>
        <v>9.8623128149495773</v>
      </c>
      <c r="E127" s="385">
        <f t="shared" si="47"/>
        <v>10.231195413671999</v>
      </c>
      <c r="F127" s="385">
        <f t="shared" si="26"/>
        <v>10.231195413671999</v>
      </c>
      <c r="G127" s="110">
        <f t="shared" si="48"/>
        <v>0.16887825104779788</v>
      </c>
      <c r="H127" s="414" t="b">
        <f>Wh_hp&gt;='2023'!Maxi_hp</f>
        <v>0</v>
      </c>
      <c r="I127" s="390">
        <f>IF(H127,Wh_hp,'2023'!Maxi_hp)</f>
        <v>61.960154457717145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4.5894970241409538E-2</v>
      </c>
      <c r="M127" s="845"/>
      <c r="N127" s="845"/>
      <c r="O127" s="48">
        <f>IF(t&lt;Tnet,'2023'!Resal+('2023'!Salim-'2023'!Resal)*(1-EXP(('2023'!Tnet-t)/('2023'!Tau_j))),Resal+(Salim-Resal)*(1-EXP((Tnet-t)/(Tau_j))))*Salcycl</f>
        <v>3.6054691930669513E-2</v>
      </c>
      <c r="P127" s="169">
        <f>(INDEX(Models!$BJ127:$BT127,,T127)*(1-R127)+INDEX(Models!$BJ127:$BT127,,T127+1)*R127-ERP_i)*Q127*Ramure*Pc/MaxiM</f>
        <v>2.9531419020524091E-5</v>
      </c>
      <c r="Q127" s="305">
        <f t="shared" si="28"/>
        <v>0.5</v>
      </c>
      <c r="R127" s="177">
        <f t="shared" si="29"/>
        <v>5.7852682508974684E-2</v>
      </c>
      <c r="S127" s="811">
        <f t="shared" si="30"/>
        <v>1</v>
      </c>
      <c r="T127" s="176">
        <f t="shared" si="31"/>
        <v>7</v>
      </c>
      <c r="U127" s="251">
        <f t="shared" si="32"/>
        <v>1.0578526825089747</v>
      </c>
      <c r="V127" s="383">
        <f t="shared" si="33"/>
        <v>55.717088033219341</v>
      </c>
      <c r="W127" s="402">
        <f t="shared" si="34"/>
        <v>9.4096822617959948</v>
      </c>
      <c r="X127" s="157">
        <f t="shared" si="35"/>
        <v>45404</v>
      </c>
      <c r="Y127" s="385">
        <f t="shared" si="36"/>
        <v>9.0305930148796527</v>
      </c>
      <c r="Z127" s="385">
        <f t="shared" si="37"/>
        <v>9.4649883746704404</v>
      </c>
      <c r="AA127" s="386">
        <f t="shared" si="38"/>
        <v>10.231195413671999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7.4889297684381281E-2</v>
      </c>
      <c r="AD127" s="231">
        <f>(INDEX(Models!$BJ127:$BT127,,AH127)*(1-AF127)+INDEX(Models!$BJ127:$BT127,,AH127+1)*AF127-ERP_i)*AE127*Ramure*Pc/MaxiM</f>
        <v>2.9531419020524091E-5</v>
      </c>
      <c r="AE127" s="305">
        <f t="shared" si="40"/>
        <v>0.5</v>
      </c>
      <c r="AF127" s="177">
        <f t="shared" si="41"/>
        <v>5.7852682508974684E-2</v>
      </c>
      <c r="AG127" s="811">
        <f t="shared" si="49"/>
        <v>1</v>
      </c>
      <c r="AH127" s="176">
        <f t="shared" si="42"/>
        <v>7</v>
      </c>
      <c r="AI127" s="225">
        <f t="shared" si="43"/>
        <v>1.0578526825089747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29.857139980695781</v>
      </c>
      <c r="C128" s="841"/>
      <c r="D128" s="393">
        <f t="shared" si="25"/>
        <v>31.294032639745982</v>
      </c>
      <c r="E128" s="385">
        <f t="shared" si="47"/>
        <v>32.467453028927046</v>
      </c>
      <c r="F128" s="385">
        <f t="shared" si="26"/>
        <v>32.467818113127642</v>
      </c>
      <c r="G128" s="110">
        <f t="shared" si="48"/>
        <v>0.5344218636708653</v>
      </c>
      <c r="H128" s="414" t="b">
        <f>Wh_hp&gt;='2023'!Maxi_hp</f>
        <v>0</v>
      </c>
      <c r="I128" s="390">
        <f>IF(H128,Wh_hp,'2023'!Maxi_hp)</f>
        <v>59.446721075347604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4.5915867590207271E-2</v>
      </c>
      <c r="M128" s="845"/>
      <c r="N128" s="845"/>
      <c r="O128" s="48">
        <f>IF(t&lt;Tnet,'2023'!Resal+('2023'!Salim-'2023'!Resal)*(1-EXP(('2023'!Tnet-t)/('2023'!Tau_j))),Resal+(Salim-Resal)*(1-EXP((Tnet-t)/(Tau_j))))*Salcycl</f>
        <v>3.6141436414356222E-2</v>
      </c>
      <c r="P128" s="169">
        <f>(INDEX(Models!$BJ128:$BT128,,T128)*(1-R128)+INDEX(Models!$BJ128:$BT128,,T128+1)*R128-ERP_i)*Q128*Ramure*Pc/MaxiM</f>
        <v>3.3575133708644095E-5</v>
      </c>
      <c r="Q128" s="305">
        <f t="shared" si="28"/>
        <v>0.5</v>
      </c>
      <c r="R128" s="177">
        <f t="shared" si="29"/>
        <v>6.0093681895556195E-2</v>
      </c>
      <c r="S128" s="811">
        <f t="shared" si="30"/>
        <v>1</v>
      </c>
      <c r="T128" s="176">
        <f t="shared" si="31"/>
        <v>7</v>
      </c>
      <c r="U128" s="251">
        <f t="shared" si="32"/>
        <v>1.0600936818955562</v>
      </c>
      <c r="V128" s="383">
        <f t="shared" si="33"/>
        <v>55.866863378486713</v>
      </c>
      <c r="W128" s="402">
        <f t="shared" si="34"/>
        <v>29.857139980695781</v>
      </c>
      <c r="X128" s="157">
        <f t="shared" si="35"/>
        <v>45405</v>
      </c>
      <c r="Y128" s="385">
        <f t="shared" si="36"/>
        <v>28.654905627451679</v>
      </c>
      <c r="Z128" s="385">
        <f t="shared" si="37"/>
        <v>30.033940041614684</v>
      </c>
      <c r="AA128" s="386">
        <f t="shared" si="38"/>
        <v>32.467453028927046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7.4952383395895314E-2</v>
      </c>
      <c r="AD128" s="231">
        <f>(INDEX(Models!$BJ128:$BT128,,AH128)*(1-AF128)+INDEX(Models!$BJ128:$BT128,,AH128+1)*AF128-ERP_i)*AE128*Ramure*Pc/MaxiM</f>
        <v>3.3575133708644095E-5</v>
      </c>
      <c r="AE128" s="305">
        <f t="shared" si="40"/>
        <v>0.5</v>
      </c>
      <c r="AF128" s="177">
        <f t="shared" si="41"/>
        <v>6.0093681895556195E-2</v>
      </c>
      <c r="AG128" s="811">
        <f t="shared" si="49"/>
        <v>1</v>
      </c>
      <c r="AH128" s="176">
        <f t="shared" si="42"/>
        <v>7</v>
      </c>
      <c r="AI128" s="225">
        <f t="shared" si="43"/>
        <v>1.0600936818955562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45.946262340153972</v>
      </c>
      <c r="C129" s="841"/>
      <c r="D129" s="393">
        <f t="shared" si="25"/>
        <v>48.158508398213378</v>
      </c>
      <c r="E129" s="385">
        <f t="shared" si="47"/>
        <v>49.968812360884627</v>
      </c>
      <c r="F129" s="385">
        <f t="shared" si="26"/>
        <v>49.970226015477337</v>
      </c>
      <c r="G129" s="110">
        <f t="shared" si="48"/>
        <v>0.82029180285088643</v>
      </c>
      <c r="H129" s="414" t="b">
        <f>Wh_hp&gt;='2023'!Maxi_hp</f>
        <v>0</v>
      </c>
      <c r="I129" s="390">
        <f>IF(H129,Wh_hp,'2023'!Maxi_hp)</f>
        <v>54.184367462537033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4.5936764481299353E-2</v>
      </c>
      <c r="M129" s="845"/>
      <c r="N129" s="845"/>
      <c r="O129" s="48">
        <f>IF(t&lt;Tnet,'2023'!Resal+('2023'!Salim-'2023'!Resal)*(1-EXP(('2023'!Tnet-t)/('2023'!Tau_j))),Resal+(Salim-Resal)*(1-EXP((Tnet-t)/(Tau_j))))*Salcycl</f>
        <v>3.622867699149776E-2</v>
      </c>
      <c r="P129" s="169">
        <f>(INDEX(Models!$BJ129:$BT129,,T129)*(1-R129)+INDEX(Models!$BJ129:$BT129,,T129+1)*R129-ERP_i)*Q129*Ramure*Pc/MaxiM</f>
        <v>3.8060664007967532E-5</v>
      </c>
      <c r="Q129" s="305">
        <f t="shared" si="28"/>
        <v>0.5</v>
      </c>
      <c r="R129" s="177">
        <f t="shared" si="29"/>
        <v>6.2404523400521938E-2</v>
      </c>
      <c r="S129" s="811">
        <f t="shared" si="30"/>
        <v>1</v>
      </c>
      <c r="T129" s="176">
        <f t="shared" si="31"/>
        <v>7</v>
      </c>
      <c r="U129" s="251">
        <f t="shared" si="32"/>
        <v>1.0624045234005219</v>
      </c>
      <c r="V129" s="383">
        <f t="shared" si="33"/>
        <v>56.011547646127404</v>
      </c>
      <c r="W129" s="402">
        <f t="shared" si="34"/>
        <v>45.946262340153972</v>
      </c>
      <c r="X129" s="157">
        <f t="shared" si="35"/>
        <v>45406</v>
      </c>
      <c r="Y129" s="385">
        <f t="shared" si="36"/>
        <v>44.097113785032896</v>
      </c>
      <c r="Z129" s="385">
        <f t="shared" si="37"/>
        <v>46.220326015453665</v>
      </c>
      <c r="AA129" s="386">
        <f t="shared" si="38"/>
        <v>49.968812360884627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7.5016518670859192E-2</v>
      </c>
      <c r="AD129" s="231">
        <f>(INDEX(Models!$BJ129:$BT129,,AH129)*(1-AF129)+INDEX(Models!$BJ129:$BT129,,AH129+1)*AF129-ERP_i)*AE129*Ramure*Pc/MaxiM</f>
        <v>3.8060664007967532E-5</v>
      </c>
      <c r="AE129" s="305">
        <f t="shared" si="40"/>
        <v>0.5</v>
      </c>
      <c r="AF129" s="177">
        <f t="shared" si="41"/>
        <v>6.2404523400521938E-2</v>
      </c>
      <c r="AG129" s="811">
        <f t="shared" si="49"/>
        <v>1</v>
      </c>
      <c r="AH129" s="176">
        <f t="shared" si="42"/>
        <v>7</v>
      </c>
      <c r="AI129" s="225">
        <f t="shared" si="43"/>
        <v>1.0624045234005219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53.487751457903549</v>
      </c>
      <c r="C130" s="841"/>
      <c r="D130" s="393">
        <f t="shared" si="25"/>
        <v>56.064337259062711</v>
      </c>
      <c r="E130" s="385">
        <f t="shared" si="47"/>
        <v>58.177121812023088</v>
      </c>
      <c r="F130" s="385">
        <f t="shared" si="26"/>
        <v>58.179453706011813</v>
      </c>
      <c r="G130" s="110">
        <f t="shared" si="48"/>
        <v>0.95255968018988524</v>
      </c>
      <c r="H130" s="414" t="b">
        <f>Wh_hp&gt;='2023'!Maxi_hp</f>
        <v>0</v>
      </c>
      <c r="I130" s="390">
        <f>IF(H130,Wh_hp,'2023'!Maxi_hp)</f>
        <v>58.179521946902589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4.5957660914695997E-2</v>
      </c>
      <c r="M130" s="845"/>
      <c r="N130" s="845"/>
      <c r="O130" s="48">
        <f>IF(t&lt;Tnet,'2023'!Resal+('2023'!Salim-'2023'!Resal)*(1-EXP(('2023'!Tnet-t)/('2023'!Tau_j))),Resal+(Salim-Resal)*(1-EXP((Tnet-t)/(Tau_j))))*Salcycl</f>
        <v>3.6316415923548534E-2</v>
      </c>
      <c r="P130" s="169">
        <f>(INDEX(Models!$BJ130:$BT130,,T130)*(1-R130)+INDEX(Models!$BJ130:$BT130,,T130+1)*R130-ERP_i)*Q130*Ramure*Pc/MaxiM</f>
        <v>4.2994719531570077E-5</v>
      </c>
      <c r="Q130" s="305">
        <f t="shared" si="28"/>
        <v>0.5</v>
      </c>
      <c r="R130" s="177">
        <f t="shared" si="29"/>
        <v>6.4786480178380845E-2</v>
      </c>
      <c r="S130" s="811">
        <f t="shared" si="30"/>
        <v>1</v>
      </c>
      <c r="T130" s="176">
        <f t="shared" si="31"/>
        <v>7</v>
      </c>
      <c r="U130" s="251">
        <f t="shared" si="32"/>
        <v>1.0647864801783808</v>
      </c>
      <c r="V130" s="383">
        <f t="shared" si="33"/>
        <v>56.151437772094908</v>
      </c>
      <c r="W130" s="402">
        <f t="shared" si="34"/>
        <v>53.487751457903549</v>
      </c>
      <c r="X130" s="157">
        <f t="shared" si="35"/>
        <v>45407</v>
      </c>
      <c r="Y130" s="385">
        <f t="shared" si="36"/>
        <v>51.336144757371947</v>
      </c>
      <c r="Z130" s="385">
        <f t="shared" si="37"/>
        <v>53.809084412952679</v>
      </c>
      <c r="AA130" s="386">
        <f t="shared" si="38"/>
        <v>58.177121812023088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7.5081703305709055E-2</v>
      </c>
      <c r="AD130" s="231">
        <f>(INDEX(Models!$BJ130:$BT130,,AH130)*(1-AF130)+INDEX(Models!$BJ130:$BT130,,AH130+1)*AF130-ERP_i)*AE130*Ramure*Pc/MaxiM</f>
        <v>4.2994719531570077E-5</v>
      </c>
      <c r="AE130" s="305">
        <f t="shared" si="40"/>
        <v>0.5</v>
      </c>
      <c r="AF130" s="177">
        <f t="shared" si="41"/>
        <v>6.4786480178380845E-2</v>
      </c>
      <c r="AG130" s="811">
        <f t="shared" si="49"/>
        <v>1</v>
      </c>
      <c r="AH130" s="176">
        <f t="shared" si="42"/>
        <v>7</v>
      </c>
      <c r="AI130" s="225">
        <f t="shared" si="43"/>
        <v>1.0647864801783808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40.290213044740341</v>
      </c>
      <c r="C131" s="841"/>
      <c r="D131" s="393">
        <f t="shared" si="25"/>
        <v>42.231978469389617</v>
      </c>
      <c r="E131" s="385">
        <f t="shared" si="47"/>
        <v>43.827503597597328</v>
      </c>
      <c r="F131" s="385">
        <f t="shared" si="26"/>
        <v>43.82876325892687</v>
      </c>
      <c r="G131" s="110">
        <f t="shared" si="48"/>
        <v>0.71578770969984684</v>
      </c>
      <c r="H131" s="414" t="b">
        <f>Wh_hp&gt;='2023'!Maxi_hp</f>
        <v>0</v>
      </c>
      <c r="I131" s="390">
        <f>IF(H131,Wh_hp,'2023'!Maxi_hp)</f>
        <v>43.829103884586168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4.5978556890407085E-2</v>
      </c>
      <c r="M131" s="845"/>
      <c r="N131" s="845"/>
      <c r="O131" s="48">
        <f>IF(t&lt;Tnet,'2023'!Resal+('2023'!Salim-'2023'!Resal)*(1-EXP(('2023'!Tnet-t)/('2023'!Tau_j))),Resal+(Salim-Resal)*(1-EXP((Tnet-t)/(Tau_j))))*Salcycl</f>
        <v>3.6404654548820387E-2</v>
      </c>
      <c r="P131" s="169">
        <f>(INDEX(Models!$BJ131:$BT131,,T131)*(1-R131)+INDEX(Models!$BJ131:$BT131,,T131+1)*R131-ERP_i)*Q131*Ramure*Pc/MaxiM</f>
        <v>4.8384503174864814E-5</v>
      </c>
      <c r="Q131" s="305">
        <f t="shared" si="28"/>
        <v>0.5</v>
      </c>
      <c r="R131" s="177">
        <f t="shared" si="29"/>
        <v>6.7240781165515795E-2</v>
      </c>
      <c r="S131" s="811">
        <f t="shared" si="30"/>
        <v>1</v>
      </c>
      <c r="T131" s="176">
        <f t="shared" si="31"/>
        <v>7</v>
      </c>
      <c r="U131" s="251">
        <f t="shared" si="32"/>
        <v>1.0672407811655158</v>
      </c>
      <c r="V131" s="383">
        <f t="shared" si="33"/>
        <v>56.286830600251875</v>
      </c>
      <c r="W131" s="402">
        <f t="shared" si="34"/>
        <v>40.290213044740341</v>
      </c>
      <c r="X131" s="157">
        <f t="shared" si="35"/>
        <v>45408</v>
      </c>
      <c r="Y131" s="385">
        <f t="shared" si="36"/>
        <v>38.670264339829849</v>
      </c>
      <c r="Z131" s="385">
        <f t="shared" si="37"/>
        <v>40.533957196796059</v>
      </c>
      <c r="AA131" s="386">
        <f t="shared" si="38"/>
        <v>43.827503597597328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7.5147935210752609E-2</v>
      </c>
      <c r="AD131" s="231">
        <f>(INDEX(Models!$BJ131:$BT131,,AH131)*(1-AF131)+INDEX(Models!$BJ131:$BT131,,AH131+1)*AF131-ERP_i)*AE131*Ramure*Pc/MaxiM</f>
        <v>4.8384503174864814E-5</v>
      </c>
      <c r="AE131" s="305">
        <f t="shared" si="40"/>
        <v>0.5</v>
      </c>
      <c r="AF131" s="177">
        <f t="shared" si="41"/>
        <v>6.7240781165515795E-2</v>
      </c>
      <c r="AG131" s="811">
        <f t="shared" si="49"/>
        <v>1</v>
      </c>
      <c r="AH131" s="176">
        <f t="shared" si="42"/>
        <v>7</v>
      </c>
      <c r="AI131" s="225">
        <f t="shared" si="43"/>
        <v>1.0672407811655158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20.054519955893941</v>
      </c>
      <c r="C132" s="841"/>
      <c r="D132" s="393">
        <f t="shared" si="25"/>
        <v>21.021497321487931</v>
      </c>
      <c r="E132" s="385">
        <f t="shared" si="47"/>
        <v>21.817699197926245</v>
      </c>
      <c r="F132" s="385">
        <f t="shared" si="26"/>
        <v>21.817792957853108</v>
      </c>
      <c r="G132" s="110">
        <f t="shared" si="48"/>
        <v>0.35544525308499469</v>
      </c>
      <c r="H132" s="414" t="b">
        <f>Wh_hp&gt;='2023'!Maxi_hp</f>
        <v>0</v>
      </c>
      <c r="I132" s="390">
        <f>IF(H132,Wh_hp,'2023'!Maxi_hp)</f>
        <v>46.870510731346037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4.599945240844272E-2</v>
      </c>
      <c r="M132" s="845"/>
      <c r="N132" s="845"/>
      <c r="O132" s="48">
        <f>IF(t&lt;Tnet,'2023'!Resal+('2023'!Salim-'2023'!Resal)*(1-EXP(('2023'!Tnet-t)/('2023'!Tau_j))),Resal+(Salim-Resal)*(1-EXP((Tnet-t)/(Tau_j))))*Salcycl</f>
        <v>3.6493393240749822E-2</v>
      </c>
      <c r="P132" s="169">
        <f>(INDEX(Models!$BJ132:$BT132,,T132)*(1-R132)+INDEX(Models!$BJ132:$BT132,,T132+1)*R132-ERP_i)*Q132*Ramure*Pc/MaxiM</f>
        <v>5.4237677830207411E-5</v>
      </c>
      <c r="Q132" s="305">
        <f t="shared" si="28"/>
        <v>0.5</v>
      </c>
      <c r="R132" s="177">
        <f t="shared" si="29"/>
        <v>6.9768605208393231E-2</v>
      </c>
      <c r="S132" s="811">
        <f t="shared" si="30"/>
        <v>1</v>
      </c>
      <c r="T132" s="176">
        <f t="shared" si="31"/>
        <v>7</v>
      </c>
      <c r="U132" s="251">
        <f t="shared" si="32"/>
        <v>1.0697686052083932</v>
      </c>
      <c r="V132" s="383">
        <f t="shared" si="33"/>
        <v>56.418022886433604</v>
      </c>
      <c r="W132" s="402">
        <f t="shared" si="34"/>
        <v>20.054519955893941</v>
      </c>
      <c r="X132" s="157">
        <f t="shared" si="35"/>
        <v>45409</v>
      </c>
      <c r="Y132" s="385">
        <f t="shared" si="36"/>
        <v>19.24856029950001</v>
      </c>
      <c r="Z132" s="385">
        <f t="shared" si="37"/>
        <v>20.176676363650294</v>
      </c>
      <c r="AA132" s="386">
        <f t="shared" si="38"/>
        <v>21.817699197926245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7.5215210338582694E-2</v>
      </c>
      <c r="AD132" s="231">
        <f>(INDEX(Models!$BJ132:$BT132,,AH132)*(1-AF132)+INDEX(Models!$BJ132:$BT132,,AH132+1)*AF132-ERP_i)*AE132*Ramure*Pc/MaxiM</f>
        <v>5.4237677830207411E-5</v>
      </c>
      <c r="AE132" s="305">
        <f t="shared" si="40"/>
        <v>0.5</v>
      </c>
      <c r="AF132" s="177">
        <f t="shared" si="41"/>
        <v>6.9768605208393231E-2</v>
      </c>
      <c r="AG132" s="811">
        <f t="shared" si="49"/>
        <v>1</v>
      </c>
      <c r="AH132" s="176">
        <f t="shared" si="42"/>
        <v>7</v>
      </c>
      <c r="AI132" s="225">
        <f t="shared" si="43"/>
        <v>1.0697686052083932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40.356413992133106</v>
      </c>
      <c r="C133" s="841"/>
      <c r="D133" s="393">
        <f t="shared" si="25"/>
        <v>42.303223014301963</v>
      </c>
      <c r="E133" s="385">
        <f t="shared" si="47"/>
        <v>43.909549891432675</v>
      </c>
      <c r="F133" s="385">
        <f t="shared" si="26"/>
        <v>43.911121574822531</v>
      </c>
      <c r="G133" s="110">
        <f t="shared" si="48"/>
        <v>0.71368276876638226</v>
      </c>
      <c r="H133" s="414" t="b">
        <f>Wh_hp&gt;='2023'!Maxi_hp</f>
        <v>0</v>
      </c>
      <c r="I133" s="390">
        <f>IF(H133,Wh_hp,'2023'!Maxi_hp)</f>
        <v>52.731591737433121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4.6020347468812783E-2</v>
      </c>
      <c r="M133" s="845"/>
      <c r="N133" s="845"/>
      <c r="O133" s="48">
        <f>IF(t&lt;Tnet,'2023'!Resal+('2023'!Salim-'2023'!Resal)*(1-EXP(('2023'!Tnet-t)/('2023'!Tau_j))),Resal+(Salim-Resal)*(1-EXP((Tnet-t)/(Tau_j))))*Salcycl</f>
        <v>3.6582631366124024E-2</v>
      </c>
      <c r="P133" s="169">
        <f>(INDEX(Models!$BJ133:$BT133,,T133)*(1-R133)+INDEX(Models!$BJ133:$BT133,,T133+1)*R133-ERP_i)*Q133*Ramure*Pc/MaxiM</f>
        <v>6.0562331006830378E-5</v>
      </c>
      <c r="Q133" s="305">
        <f t="shared" si="28"/>
        <v>0.5</v>
      </c>
      <c r="R133" s="177">
        <f t="shared" si="29"/>
        <v>7.2371074969525218E-2</v>
      </c>
      <c r="S133" s="811">
        <f t="shared" si="30"/>
        <v>1</v>
      </c>
      <c r="T133" s="176">
        <f t="shared" si="31"/>
        <v>7</v>
      </c>
      <c r="U133" s="251">
        <f t="shared" si="32"/>
        <v>1.0723710749695252</v>
      </c>
      <c r="V133" s="383">
        <f t="shared" si="33"/>
        <v>56.545311300655165</v>
      </c>
      <c r="W133" s="402">
        <f t="shared" si="34"/>
        <v>40.356413992133106</v>
      </c>
      <c r="X133" s="157">
        <f t="shared" si="35"/>
        <v>45410</v>
      </c>
      <c r="Y133" s="385">
        <f t="shared" si="36"/>
        <v>38.735279435219866</v>
      </c>
      <c r="Z133" s="385">
        <f t="shared" si="37"/>
        <v>40.603884299255057</v>
      </c>
      <c r="AA133" s="386">
        <f t="shared" si="38"/>
        <v>43.909549891432675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7.5283522612983891E-2</v>
      </c>
      <c r="AD133" s="231">
        <f>(INDEX(Models!$BJ133:$BT133,,AH133)*(1-AF133)+INDEX(Models!$BJ133:$BT133,,AH133+1)*AF133-ERP_i)*AE133*Ramure*Pc/MaxiM</f>
        <v>6.0562331006830378E-5</v>
      </c>
      <c r="AE133" s="305">
        <f t="shared" si="40"/>
        <v>0.5</v>
      </c>
      <c r="AF133" s="177">
        <f t="shared" si="41"/>
        <v>7.2371074969525218E-2</v>
      </c>
      <c r="AG133" s="811">
        <f t="shared" si="49"/>
        <v>1</v>
      </c>
      <c r="AH133" s="176">
        <f t="shared" si="42"/>
        <v>7</v>
      </c>
      <c r="AI133" s="225">
        <f t="shared" si="43"/>
        <v>1.0723710749695252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42.897016482072694</v>
      </c>
      <c r="C134" s="841"/>
      <c r="D134" s="393">
        <f t="shared" si="25"/>
        <v>44.967370051954695</v>
      </c>
      <c r="E134" s="385">
        <f t="shared" si="47"/>
        <v>46.679207076503857</v>
      </c>
      <c r="F134" s="385">
        <f t="shared" si="26"/>
        <v>46.681260052511199</v>
      </c>
      <c r="G134" s="110">
        <f t="shared" si="48"/>
        <v>0.75695739962268704</v>
      </c>
      <c r="H134" s="414" t="b">
        <f>Wh_hp&gt;='2023'!Maxi_hp</f>
        <v>0</v>
      </c>
      <c r="I134" s="390">
        <f>IF(H134,Wh_hp,'2023'!Maxi_hp)</f>
        <v>62.081683557920357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4.6041242071527488E-2</v>
      </c>
      <c r="M134" s="845"/>
      <c r="N134" s="845"/>
      <c r="O134" s="48">
        <f>IF(t&lt;Tnet,'2023'!Resal+('2023'!Salim-'2023'!Resal)*(1-EXP(('2023'!Tnet-t)/('2023'!Tau_j))),Resal+(Salim-Resal)*(1-EXP((Tnet-t)/(Tau_j))))*Salcycl</f>
        <v>3.6672367243590624E-2</v>
      </c>
      <c r="P134" s="169">
        <f>(INDEX(Models!$BJ134:$BT134,,T134)*(1-R134)+INDEX(Models!$BJ134:$BT134,,T134+1)*R134-ERP_i)*Q134*Ramure*Pc/MaxiM</f>
        <v>6.7366937145744597E-5</v>
      </c>
      <c r="Q134" s="305">
        <f t="shared" si="28"/>
        <v>0.5</v>
      </c>
      <c r="R134" s="177">
        <f t="shared" si="29"/>
        <v>7.5049250626804342E-2</v>
      </c>
      <c r="S134" s="811">
        <f t="shared" si="30"/>
        <v>1</v>
      </c>
      <c r="T134" s="176">
        <f t="shared" si="31"/>
        <v>7</v>
      </c>
      <c r="U134" s="251">
        <f t="shared" si="32"/>
        <v>1.0750492506268043</v>
      </c>
      <c r="V134" s="383">
        <f t="shared" si="33"/>
        <v>56.668992428142374</v>
      </c>
      <c r="W134" s="402">
        <f t="shared" si="34"/>
        <v>42.897016482072694</v>
      </c>
      <c r="X134" s="157">
        <f t="shared" si="35"/>
        <v>45411</v>
      </c>
      <c r="Y134" s="385">
        <f t="shared" si="36"/>
        <v>41.174572482311348</v>
      </c>
      <c r="Z134" s="385">
        <f t="shared" si="37"/>
        <v>43.161795140622424</v>
      </c>
      <c r="AA134" s="386">
        <f t="shared" si="38"/>
        <v>46.679207076503857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7.5352863858990801E-2</v>
      </c>
      <c r="AD134" s="231">
        <f>(INDEX(Models!$BJ134:$BT134,,AH134)*(1-AF134)+INDEX(Models!$BJ134:$BT134,,AH134+1)*AF134-ERP_i)*AE134*Ramure*Pc/MaxiM</f>
        <v>6.7366937145744597E-5</v>
      </c>
      <c r="AE134" s="305">
        <f t="shared" si="40"/>
        <v>0.5</v>
      </c>
      <c r="AF134" s="177">
        <f t="shared" si="41"/>
        <v>7.5049250626804342E-2</v>
      </c>
      <c r="AG134" s="811">
        <f t="shared" si="49"/>
        <v>1</v>
      </c>
      <c r="AH134" s="176">
        <f t="shared" si="42"/>
        <v>7</v>
      </c>
      <c r="AI134" s="225">
        <f t="shared" si="43"/>
        <v>1.0750492506268043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46.492417857276699</v>
      </c>
      <c r="C135" s="841"/>
      <c r="D135" s="393">
        <f t="shared" si="25"/>
        <v>48.737365002877226</v>
      </c>
      <c r="E135" s="385">
        <f t="shared" si="47"/>
        <v>50.597459055144796</v>
      </c>
      <c r="F135" s="385">
        <f t="shared" si="26"/>
        <v>50.600258451169957</v>
      </c>
      <c r="G135" s="110">
        <f t="shared" si="48"/>
        <v>0.81867971734034828</v>
      </c>
      <c r="H135" s="414" t="b">
        <f>Wh_hp&gt;='2023'!Maxi_hp</f>
        <v>0</v>
      </c>
      <c r="I135" s="390">
        <f>IF(H135,Wh_hp,'2023'!Maxi_hp)</f>
        <v>57.93362071879104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4.6062136216596716E-2</v>
      </c>
      <c r="M135" s="845"/>
      <c r="N135" s="845"/>
      <c r="O135" s="48">
        <f>IF(t&lt;Tnet,'2023'!Resal+('2023'!Salim-'2023'!Resal)*(1-EXP(('2023'!Tnet-t)/('2023'!Tau_j))),Resal+(Salim-Resal)*(1-EXP((Tnet-t)/(Tau_j))))*Salcycl</f>
        <v>3.6762598102808033E-2</v>
      </c>
      <c r="P135" s="169">
        <f>(INDEX(Models!$BJ135:$BT135,,T135)*(1-R135)+INDEX(Models!$BJ135:$BT135,,T135+1)*R135-ERP_i)*Q135*Ramure*Pc/MaxiM</f>
        <v>7.4661571083391604E-5</v>
      </c>
      <c r="Q135" s="305">
        <f t="shared" si="28"/>
        <v>0.5</v>
      </c>
      <c r="R135" s="177">
        <f t="shared" si="29"/>
        <v>7.780412338486431E-2</v>
      </c>
      <c r="S135" s="811">
        <f t="shared" si="30"/>
        <v>1</v>
      </c>
      <c r="T135" s="176">
        <f t="shared" si="31"/>
        <v>7</v>
      </c>
      <c r="U135" s="251">
        <f t="shared" si="32"/>
        <v>1.0778041233848643</v>
      </c>
      <c r="V135" s="383">
        <f t="shared" si="33"/>
        <v>56.788409143067767</v>
      </c>
      <c r="W135" s="402">
        <f t="shared" si="34"/>
        <v>46.492417857276699</v>
      </c>
      <c r="X135" s="157">
        <f t="shared" si="35"/>
        <v>45412</v>
      </c>
      <c r="Y135" s="385">
        <f t="shared" si="36"/>
        <v>44.626391934729725</v>
      </c>
      <c r="Z135" s="385">
        <f t="shared" si="37"/>
        <v>46.781235580415526</v>
      </c>
      <c r="AA135" s="386">
        <f t="shared" si="38"/>
        <v>50.597459055144796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7.5423223734813846E-2</v>
      </c>
      <c r="AD135" s="231">
        <f>(INDEX(Models!$BJ135:$BT135,,AH135)*(1-AF135)+INDEX(Models!$BJ135:$BT135,,AH135+1)*AF135-ERP_i)*AE135*Ramure*Pc/MaxiM</f>
        <v>7.4661571083391604E-5</v>
      </c>
      <c r="AE135" s="305">
        <f t="shared" si="40"/>
        <v>0.5</v>
      </c>
      <c r="AF135" s="177">
        <f t="shared" si="41"/>
        <v>7.780412338486431E-2</v>
      </c>
      <c r="AG135" s="811">
        <f t="shared" si="49"/>
        <v>1</v>
      </c>
      <c r="AH135" s="176">
        <f t="shared" si="42"/>
        <v>7</v>
      </c>
      <c r="AI135" s="225">
        <f t="shared" si="43"/>
        <v>1.0778041233848643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29.887607438786656</v>
      </c>
      <c r="C136" s="841"/>
      <c r="D136" s="393">
        <f t="shared" si="25"/>
        <v>31.331455855932404</v>
      </c>
      <c r="E136" s="385">
        <f t="shared" si="47"/>
        <v>32.530305620099298</v>
      </c>
      <c r="F136" s="385">
        <f t="shared" si="26"/>
        <v>32.531173675285572</v>
      </c>
      <c r="G136" s="110">
        <f t="shared" si="48"/>
        <v>0.52521061441401629</v>
      </c>
      <c r="H136" s="414" t="b">
        <f>Wh_hp&gt;='2023'!Maxi_hp</f>
        <v>0</v>
      </c>
      <c r="I136" s="390">
        <f>IF(H136,Wh_hp,'2023'!Maxi_hp)</f>
        <v>50.847443819946974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4.608302990403057E-2</v>
      </c>
      <c r="M136" s="845"/>
      <c r="N136" s="845"/>
      <c r="O136" s="48">
        <f>IF(t&lt;Tnet,'2023'!Resal+('2023'!Salim-'2023'!Resal)*(1-EXP(('2023'!Tnet-t)/('2023'!Tau_j))),Resal+(Salim-Resal)*(1-EXP((Tnet-t)/(Tau_j))))*Salcycl</f>
        <v>3.6853320044622224E-2</v>
      </c>
      <c r="P136" s="169">
        <f>(INDEX(Models!$BJ136:$BT136,,T136)*(1-R136)+INDEX(Models!$BJ136:$BT136,,T136+1)*R136-ERP_i)*Q136*Ramure*Pc/MaxiM</f>
        <v>8.2927738680235754E-5</v>
      </c>
      <c r="Q136" s="305">
        <f t="shared" si="28"/>
        <v>0.5</v>
      </c>
      <c r="R136" s="177">
        <f t="shared" si="29"/>
        <v>8.0636608820299438E-2</v>
      </c>
      <c r="S136" s="811">
        <f t="shared" si="30"/>
        <v>1</v>
      </c>
      <c r="T136" s="176">
        <f t="shared" si="31"/>
        <v>7</v>
      </c>
      <c r="U136" s="251">
        <f t="shared" si="32"/>
        <v>1.0806366088202994</v>
      </c>
      <c r="V136" s="383">
        <f t="shared" si="33"/>
        <v>56.902746397043188</v>
      </c>
      <c r="W136" s="402">
        <f t="shared" si="34"/>
        <v>29.887607438786656</v>
      </c>
      <c r="X136" s="157">
        <f t="shared" si="35"/>
        <v>45413</v>
      </c>
      <c r="Y136" s="385">
        <f t="shared" si="36"/>
        <v>28.688522064328946</v>
      </c>
      <c r="Z136" s="385">
        <f t="shared" si="37"/>
        <v>30.074443545587325</v>
      </c>
      <c r="AA136" s="386">
        <f t="shared" si="38"/>
        <v>32.530305620099298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7.5494589666399728E-2</v>
      </c>
      <c r="AD136" s="231">
        <f>(INDEX(Models!$BJ136:$BT136,,AH136)*(1-AF136)+INDEX(Models!$BJ136:$BT136,,AH136+1)*AF136-ERP_i)*AE136*Ramure*Pc/MaxiM</f>
        <v>8.2927738680235754E-5</v>
      </c>
      <c r="AE136" s="305">
        <f t="shared" si="40"/>
        <v>0.5</v>
      </c>
      <c r="AF136" s="177">
        <f t="shared" si="41"/>
        <v>8.0636608820299438E-2</v>
      </c>
      <c r="AG136" s="811">
        <f t="shared" si="49"/>
        <v>1</v>
      </c>
      <c r="AH136" s="176">
        <f t="shared" si="42"/>
        <v>7</v>
      </c>
      <c r="AI136" s="225">
        <f t="shared" si="43"/>
        <v>1.0806366088202994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35.611080257145915</v>
      </c>
      <c r="C137" s="841"/>
      <c r="D137" s="393">
        <f t="shared" si="25"/>
        <v>37.332243124575115</v>
      </c>
      <c r="E137" s="385">
        <f t="shared" si="47"/>
        <v>38.764374649313112</v>
      </c>
      <c r="F137" s="385">
        <f t="shared" si="26"/>
        <v>38.766028719221893</v>
      </c>
      <c r="G137" s="110">
        <f t="shared" si="48"/>
        <v>0.62459223127627983</v>
      </c>
      <c r="H137" s="414" t="b">
        <f>Wh_hp&gt;='2023'!Maxi_hp</f>
        <v>0</v>
      </c>
      <c r="I137" s="390">
        <f>IF(H137,Wh_hp,'2023'!Maxi_hp)</f>
        <v>60.514631083164147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4.6103923133839042E-2</v>
      </c>
      <c r="M137" s="845"/>
      <c r="N137" s="845"/>
      <c r="O137" s="48">
        <f>IF(t&lt;Tnet,'2023'!Resal+('2023'!Salim-'2023'!Resal)*(1-EXP(('2023'!Tnet-t)/('2023'!Tau_j))),Resal+(Salim-Resal)*(1-EXP((Tnet-t)/(Tau_j))))*Salcycl</f>
        <v>3.6944528002681901E-2</v>
      </c>
      <c r="P137" s="169">
        <f>(INDEX(Models!$BJ137:$BT137,,T137)*(1-R137)+INDEX(Models!$BJ137:$BT137,,T137+1)*R137-ERP_i)*Q137*Ramure*Pc/MaxiM</f>
        <v>9.20070767956545E-5</v>
      </c>
      <c r="Q137" s="305">
        <f t="shared" si="28"/>
        <v>0.5</v>
      </c>
      <c r="R137" s="177">
        <f t="shared" si="29"/>
        <v>8.3547540085863181E-2</v>
      </c>
      <c r="S137" s="811">
        <f t="shared" si="30"/>
        <v>1</v>
      </c>
      <c r="T137" s="176">
        <f t="shared" si="31"/>
        <v>7</v>
      </c>
      <c r="U137" s="251">
        <f t="shared" si="32"/>
        <v>1.0835475400858632</v>
      </c>
      <c r="V137" s="383">
        <f t="shared" si="33"/>
        <v>57.012113475221518</v>
      </c>
      <c r="W137" s="402">
        <f t="shared" si="34"/>
        <v>35.611080257145915</v>
      </c>
      <c r="X137" s="157">
        <f t="shared" si="35"/>
        <v>45414</v>
      </c>
      <c r="Y137" s="385">
        <f t="shared" si="36"/>
        <v>34.182931936524923</v>
      </c>
      <c r="Z137" s="385">
        <f t="shared" si="37"/>
        <v>35.835069213017697</v>
      </c>
      <c r="AA137" s="386">
        <f t="shared" si="38"/>
        <v>38.764374649313112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7.5566946785437752E-2</v>
      </c>
      <c r="AD137" s="231">
        <f>(INDEX(Models!$BJ137:$BT137,,AH137)*(1-AF137)+INDEX(Models!$BJ137:$BT137,,AH137+1)*AF137-ERP_i)*AE137*Ramure*Pc/MaxiM</f>
        <v>9.20070767956545E-5</v>
      </c>
      <c r="AE137" s="305">
        <f t="shared" si="40"/>
        <v>0.5</v>
      </c>
      <c r="AF137" s="177">
        <f t="shared" si="41"/>
        <v>8.3547540085863181E-2</v>
      </c>
      <c r="AG137" s="811">
        <f t="shared" si="49"/>
        <v>1</v>
      </c>
      <c r="AH137" s="176">
        <f t="shared" si="42"/>
        <v>7</v>
      </c>
      <c r="AI137" s="225">
        <f t="shared" si="43"/>
        <v>1.0835475400858632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19.753646073726074</v>
      </c>
      <c r="C138" s="841"/>
      <c r="D138" s="393">
        <f t="shared" si="25"/>
        <v>20.708837385772799</v>
      </c>
      <c r="E138" s="385">
        <f t="shared" si="47"/>
        <v>21.505312789073848</v>
      </c>
      <c r="F138" s="385">
        <f t="shared" si="26"/>
        <v>21.505456340529609</v>
      </c>
      <c r="G138" s="110">
        <f t="shared" si="48"/>
        <v>0.34581472484046072</v>
      </c>
      <c r="H138" s="414" t="b">
        <f>Wh_hp&gt;='2023'!Maxi_hp</f>
        <v>0</v>
      </c>
      <c r="I138" s="390">
        <f>IF(H138,Wh_hp,'2023'!Maxi_hp)</f>
        <v>57.253924122877009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4.6124815906032124E-2</v>
      </c>
      <c r="M138" s="845"/>
      <c r="N138" s="845"/>
      <c r="O138" s="48">
        <f>IF(t&lt;Tnet,'2023'!Resal+('2023'!Salim-'2023'!Resal)*(1-EXP(('2023'!Tnet-t)/('2023'!Tau_j))),Resal+(Salim-Resal)*(1-EXP((Tnet-t)/(Tau_j))))*Salcycl</f>
        <v>3.7036215706925731E-2</v>
      </c>
      <c r="P138" s="169">
        <f>(INDEX(Models!$BJ138:$BT138,,T138)*(1-R138)+INDEX(Models!$BJ138:$BT138,,T138+1)*R138-ERP_i)*Q138*Ramure*Pc/MaxiM</f>
        <v>1.0191538953259161E-4</v>
      </c>
      <c r="Q138" s="305">
        <f t="shared" si="28"/>
        <v>0.5</v>
      </c>
      <c r="R138" s="177">
        <f t="shared" si="29"/>
        <v>8.6537661002153543E-2</v>
      </c>
      <c r="S138" s="811">
        <f t="shared" si="30"/>
        <v>1</v>
      </c>
      <c r="T138" s="176">
        <f t="shared" si="31"/>
        <v>7</v>
      </c>
      <c r="U138" s="251">
        <f t="shared" si="32"/>
        <v>1.0865376610021535</v>
      </c>
      <c r="V138" s="383">
        <f t="shared" si="33"/>
        <v>57.1166098484141</v>
      </c>
      <c r="W138" s="402">
        <f t="shared" si="34"/>
        <v>19.753646073726074</v>
      </c>
      <c r="X138" s="157">
        <f t="shared" si="35"/>
        <v>45415</v>
      </c>
      <c r="Y138" s="385">
        <f t="shared" si="36"/>
        <v>18.961746115027157</v>
      </c>
      <c r="Z138" s="385">
        <f t="shared" si="37"/>
        <v>19.878644953991383</v>
      </c>
      <c r="AA138" s="386">
        <f t="shared" si="38"/>
        <v>21.505312789073848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7.5640277871657974E-2</v>
      </c>
      <c r="AD138" s="231">
        <f>(INDEX(Models!$BJ138:$BT138,,AH138)*(1-AF138)+INDEX(Models!$BJ138:$BT138,,AH138+1)*AF138-ERP_i)*AE138*Ramure*Pc/MaxiM</f>
        <v>1.0191538953259161E-4</v>
      </c>
      <c r="AE138" s="305">
        <f t="shared" si="40"/>
        <v>0.5</v>
      </c>
      <c r="AF138" s="177">
        <f t="shared" si="41"/>
        <v>8.6537661002153543E-2</v>
      </c>
      <c r="AG138" s="811">
        <f t="shared" si="49"/>
        <v>1</v>
      </c>
      <c r="AH138" s="176">
        <f t="shared" si="42"/>
        <v>7</v>
      </c>
      <c r="AI138" s="225">
        <f t="shared" si="43"/>
        <v>1.0865376610021535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41.40412726222479</v>
      </c>
      <c r="C139" s="841"/>
      <c r="D139" s="393">
        <f t="shared" si="25"/>
        <v>43.407182437672859</v>
      </c>
      <c r="E139" s="385">
        <f t="shared" si="47"/>
        <v>45.080965457828427</v>
      </c>
      <c r="F139" s="385">
        <f t="shared" si="26"/>
        <v>45.084039636121553</v>
      </c>
      <c r="G139" s="110">
        <f t="shared" si="48"/>
        <v>0.72360953244048953</v>
      </c>
      <c r="H139" s="414" t="b">
        <f>Wh_hp&gt;='2023'!Maxi_hp</f>
        <v>0</v>
      </c>
      <c r="I139" s="390">
        <f>IF(H139,Wh_hp,'2023'!Maxi_hp)</f>
        <v>60.369568048217943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4.6145708220619919E-2</v>
      </c>
      <c r="M139" s="845"/>
      <c r="N139" s="845"/>
      <c r="O139" s="48">
        <f>IF(t&lt;Tnet,'2023'!Resal+('2023'!Salim-'2023'!Resal)*(1-EXP(('2023'!Tnet-t)/('2023'!Tau_j))),Resal+(Salim-Resal)*(1-EXP((Tnet-t)/(Tau_j))))*Salcycl</f>
        <v>3.7128375649393135E-2</v>
      </c>
      <c r="P139" s="169">
        <f>(INDEX(Models!$BJ139:$BT139,,T139)*(1-R139)+INDEX(Models!$BJ139:$BT139,,T139+1)*R139-ERP_i)*Q139*Ramure*Pc/MaxiM</f>
        <v>1.1266928614691655E-4</v>
      </c>
      <c r="Q139" s="305">
        <f t="shared" si="28"/>
        <v>0.5</v>
      </c>
      <c r="R139" s="177">
        <f t="shared" si="29"/>
        <v>8.9607619068730049E-2</v>
      </c>
      <c r="S139" s="811">
        <f t="shared" si="30"/>
        <v>1</v>
      </c>
      <c r="T139" s="176">
        <f t="shared" si="31"/>
        <v>7</v>
      </c>
      <c r="U139" s="251">
        <f t="shared" si="32"/>
        <v>1.08960761906873</v>
      </c>
      <c r="V139" s="383">
        <f t="shared" si="33"/>
        <v>57.216334999014713</v>
      </c>
      <c r="W139" s="402">
        <f t="shared" si="34"/>
        <v>41.40412726222479</v>
      </c>
      <c r="X139" s="157">
        <f t="shared" si="35"/>
        <v>45416</v>
      </c>
      <c r="Y139" s="385">
        <f t="shared" si="36"/>
        <v>39.744895248674226</v>
      </c>
      <c r="Z139" s="385">
        <f t="shared" si="37"/>
        <v>41.667679845033341</v>
      </c>
      <c r="AA139" s="386">
        <f t="shared" si="38"/>
        <v>45.080965457828427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7.5714563300293289E-2</v>
      </c>
      <c r="AD139" s="231">
        <f>(INDEX(Models!$BJ139:$BT139,,AH139)*(1-AF139)+INDEX(Models!$BJ139:$BT139,,AH139+1)*AF139-ERP_i)*AE139*Ramure*Pc/MaxiM</f>
        <v>1.1266928614691655E-4</v>
      </c>
      <c r="AE139" s="305">
        <f t="shared" si="40"/>
        <v>0.5</v>
      </c>
      <c r="AF139" s="177">
        <f t="shared" si="41"/>
        <v>8.9607619068730049E-2</v>
      </c>
      <c r="AG139" s="811">
        <f t="shared" si="49"/>
        <v>1</v>
      </c>
      <c r="AH139" s="176">
        <f t="shared" si="42"/>
        <v>7</v>
      </c>
      <c r="AI139" s="225">
        <f t="shared" si="43"/>
        <v>1.08960761906873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37.876580275717167</v>
      </c>
      <c r="C140" s="841"/>
      <c r="D140" s="393">
        <f t="shared" si="25"/>
        <v>39.709848993334838</v>
      </c>
      <c r="E140" s="385">
        <f t="shared" si="47"/>
        <v>41.245030224245106</v>
      </c>
      <c r="F140" s="385">
        <f t="shared" si="26"/>
        <v>41.247673242293267</v>
      </c>
      <c r="G140" s="110">
        <f t="shared" si="48"/>
        <v>0.66085119633043854</v>
      </c>
      <c r="H140" s="414" t="b">
        <f>Wh_hp&gt;='2023'!Maxi_hp</f>
        <v>0</v>
      </c>
      <c r="I140" s="390">
        <f>IF(H140,Wh_hp,'2023'!Maxi_hp)</f>
        <v>64.189889106761925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4.6166600077612419E-2</v>
      </c>
      <c r="M140" s="845"/>
      <c r="N140" s="845"/>
      <c r="O140" s="48">
        <f>IF(t&lt;Tnet,'2023'!Resal+('2023'!Salim-'2023'!Resal)*(1-EXP(('2023'!Tnet-t)/('2023'!Tau_j))),Resal+(Salim-Resal)*(1-EXP((Tnet-t)/(Tau_j))))*Salcycl</f>
        <v>3.7220999052822612E-2</v>
      </c>
      <c r="P140" s="169">
        <f>(INDEX(Models!$BJ140:$BT140,,T140)*(1-R140)+INDEX(Models!$BJ140:$BT140,,T140+1)*R140-ERP_i)*Q140*Ramure*Pc/MaxiM</f>
        <v>1.2428613223965874E-4</v>
      </c>
      <c r="Q140" s="305">
        <f t="shared" si="28"/>
        <v>0.5</v>
      </c>
      <c r="R140" s="177">
        <f t="shared" si="29"/>
        <v>9.2757958430071508E-2</v>
      </c>
      <c r="S140" s="811">
        <f t="shared" si="30"/>
        <v>1</v>
      </c>
      <c r="T140" s="176">
        <f t="shared" si="31"/>
        <v>7</v>
      </c>
      <c r="U140" s="251">
        <f t="shared" si="32"/>
        <v>1.0927579584300715</v>
      </c>
      <c r="V140" s="383">
        <f t="shared" si="33"/>
        <v>57.311388426760175</v>
      </c>
      <c r="W140" s="402">
        <f t="shared" si="34"/>
        <v>37.876580275717167</v>
      </c>
      <c r="X140" s="157">
        <f t="shared" si="35"/>
        <v>45417</v>
      </c>
      <c r="Y140" s="385">
        <f t="shared" si="36"/>
        <v>36.35925016781615</v>
      </c>
      <c r="Z140" s="385">
        <f t="shared" si="37"/>
        <v>38.11907841639291</v>
      </c>
      <c r="AA140" s="386">
        <f t="shared" si="38"/>
        <v>41.245030224245106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7.578978099559408E-2</v>
      </c>
      <c r="AD140" s="231">
        <f>(INDEX(Models!$BJ140:$BT140,,AH140)*(1-AF140)+INDEX(Models!$BJ140:$BT140,,AH140+1)*AF140-ERP_i)*AE140*Ramure*Pc/MaxiM</f>
        <v>1.2428613223965874E-4</v>
      </c>
      <c r="AE140" s="305">
        <f t="shared" si="40"/>
        <v>0.5</v>
      </c>
      <c r="AF140" s="177">
        <f t="shared" si="41"/>
        <v>9.2757958430071508E-2</v>
      </c>
      <c r="AG140" s="811">
        <f t="shared" si="49"/>
        <v>1</v>
      </c>
      <c r="AH140" s="176">
        <f t="shared" si="42"/>
        <v>7</v>
      </c>
      <c r="AI140" s="225">
        <f t="shared" si="43"/>
        <v>1.0927579584300715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51.502245183694498</v>
      </c>
      <c r="C141" s="841"/>
      <c r="D141" s="393">
        <f t="shared" si="25"/>
        <v>53.996193930658272</v>
      </c>
      <c r="E141" s="385">
        <f t="shared" si="47"/>
        <v>56.089107127970024</v>
      </c>
      <c r="F141" s="385">
        <f t="shared" si="26"/>
        <v>56.095653528531734</v>
      </c>
      <c r="G141" s="110">
        <f t="shared" si="48"/>
        <v>0.89720441236206039</v>
      </c>
      <c r="H141" s="414" t="b">
        <f>Wh_hp&gt;='2023'!Maxi_hp</f>
        <v>0</v>
      </c>
      <c r="I141" s="390">
        <f>IF(H141,Wh_hp,'2023'!Maxi_hp)</f>
        <v>60.114108347336412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4.6187491477019615E-2</v>
      </c>
      <c r="M141" s="845"/>
      <c r="N141" s="845"/>
      <c r="O141" s="48">
        <f>IF(t&lt;Tnet,'2023'!Resal+('2023'!Salim-'2023'!Resal)*(1-EXP(('2023'!Tnet-t)/('2023'!Tau_j))),Resal+(Salim-Resal)*(1-EXP((Tnet-t)/(Tau_j))))*Salcycl</f>
        <v>3.7314075842510251E-2</v>
      </c>
      <c r="P141" s="169">
        <f>(INDEX(Models!$BJ141:$BT141,,T141)*(1-R141)+INDEX(Models!$BJ141:$BT141,,T141+1)*R141-ERP_i)*Q141*Ramure*Pc/MaxiM</f>
        <v>1.3678399709238952E-4</v>
      </c>
      <c r="Q141" s="305">
        <f t="shared" si="28"/>
        <v>0.5</v>
      </c>
      <c r="R141" s="177">
        <f t="shared" si="29"/>
        <v>9.5989112835223711E-2</v>
      </c>
      <c r="S141" s="811">
        <f t="shared" si="30"/>
        <v>1</v>
      </c>
      <c r="T141" s="176">
        <f t="shared" si="31"/>
        <v>7</v>
      </c>
      <c r="U141" s="251">
        <f t="shared" si="32"/>
        <v>1.0959891128352237</v>
      </c>
      <c r="V141" s="383">
        <f t="shared" si="33"/>
        <v>57.401869648794467</v>
      </c>
      <c r="W141" s="402">
        <f t="shared" si="34"/>
        <v>51.502245183694498</v>
      </c>
      <c r="X141" s="157">
        <f t="shared" si="35"/>
        <v>45418</v>
      </c>
      <c r="Y141" s="385">
        <f t="shared" si="36"/>
        <v>49.439780386630865</v>
      </c>
      <c r="Z141" s="385">
        <f t="shared" si="37"/>
        <v>51.833856177028423</v>
      </c>
      <c r="AA141" s="386">
        <f t="shared" si="38"/>
        <v>56.089107127970024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7.5865906391289831E-2</v>
      </c>
      <c r="AD141" s="231">
        <f>(INDEX(Models!$BJ141:$BT141,,AH141)*(1-AF141)+INDEX(Models!$BJ141:$BT141,,AH141+1)*AF141-ERP_i)*AE141*Ramure*Pc/MaxiM</f>
        <v>1.3678399709238952E-4</v>
      </c>
      <c r="AE141" s="305">
        <f t="shared" si="40"/>
        <v>0.5</v>
      </c>
      <c r="AF141" s="177">
        <f t="shared" si="41"/>
        <v>9.5989112835223711E-2</v>
      </c>
      <c r="AG141" s="811">
        <f t="shared" si="49"/>
        <v>1</v>
      </c>
      <c r="AH141" s="176">
        <f t="shared" si="42"/>
        <v>7</v>
      </c>
      <c r="AI141" s="225">
        <f t="shared" si="43"/>
        <v>1.0959891128352237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49.012831262204372</v>
      </c>
      <c r="C142" s="841"/>
      <c r="D142" s="393">
        <f t="shared" si="25"/>
        <v>51.387357949845232</v>
      </c>
      <c r="E142" s="385">
        <f t="shared" si="47"/>
        <v>53.384337610331329</v>
      </c>
      <c r="F142" s="385">
        <f t="shared" si="26"/>
        <v>53.39064344577703</v>
      </c>
      <c r="G142" s="110">
        <f t="shared" si="48"/>
        <v>0.85254945151862005</v>
      </c>
      <c r="H142" s="414" t="b">
        <f>Wh_hp&gt;='2023'!Maxi_hp</f>
        <v>0</v>
      </c>
      <c r="I142" s="390">
        <f>IF(H142,Wh_hp,'2023'!Maxi_hp)</f>
        <v>60.745186891784464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4.6208382418851501E-2</v>
      </c>
      <c r="M142" s="845"/>
      <c r="N142" s="845"/>
      <c r="O142" s="48">
        <f>IF(t&lt;Tnet,'2023'!Resal+('2023'!Salim-'2023'!Resal)*(1-EXP(('2023'!Tnet-t)/('2023'!Tau_j))),Resal+(Salim-Resal)*(1-EXP((Tnet-t)/(Tau_j))))*Salcycl</f>
        <v>3.7407594621903281E-2</v>
      </c>
      <c r="P142" s="169">
        <f>(INDEX(Models!$BJ142:$BT142,,T142)*(1-R142)+INDEX(Models!$BJ142:$BT142,,T142+1)*R142-ERP_i)*Q142*Ramure*Pc/MaxiM</f>
        <v>1.4961779466644606E-4</v>
      </c>
      <c r="Q142" s="305">
        <f t="shared" si="28"/>
        <v>0.5</v>
      </c>
      <c r="R142" s="177">
        <f t="shared" si="29"/>
        <v>9.930139863335663E-2</v>
      </c>
      <c r="S142" s="811">
        <f t="shared" si="30"/>
        <v>1</v>
      </c>
      <c r="T142" s="176">
        <f t="shared" si="31"/>
        <v>7</v>
      </c>
      <c r="U142" s="251">
        <f t="shared" si="32"/>
        <v>1.0993013986333566</v>
      </c>
      <c r="V142" s="383">
        <f t="shared" si="33"/>
        <v>57.487910623532343</v>
      </c>
      <c r="W142" s="402">
        <f t="shared" si="34"/>
        <v>49.012831262204372</v>
      </c>
      <c r="X142" s="157">
        <f t="shared" si="35"/>
        <v>45419</v>
      </c>
      <c r="Y142" s="385">
        <f t="shared" si="36"/>
        <v>47.050707919773807</v>
      </c>
      <c r="Z142" s="385">
        <f t="shared" si="37"/>
        <v>49.330175535717302</v>
      </c>
      <c r="AA142" s="386">
        <f t="shared" si="38"/>
        <v>53.384337610331329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7.5942912398887494E-2</v>
      </c>
      <c r="AD142" s="231">
        <f>(INDEX(Models!$BJ142:$BT142,,AH142)*(1-AF142)+INDEX(Models!$BJ142:$BT142,,AH142+1)*AF142-ERP_i)*AE142*Ramure*Pc/MaxiM</f>
        <v>1.4961779466644606E-4</v>
      </c>
      <c r="AE142" s="305">
        <f t="shared" si="40"/>
        <v>0.5</v>
      </c>
      <c r="AF142" s="177">
        <f t="shared" si="41"/>
        <v>9.930139863335663E-2</v>
      </c>
      <c r="AG142" s="811">
        <f t="shared" si="49"/>
        <v>1</v>
      </c>
      <c r="AH142" s="176">
        <f t="shared" si="42"/>
        <v>7</v>
      </c>
      <c r="AI142" s="225">
        <f t="shared" si="43"/>
        <v>1.0993013986333566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51.288333687044954</v>
      </c>
      <c r="C143" s="841"/>
      <c r="D143" s="393">
        <f t="shared" ref="D143:D206" si="50">Wh/(1-Ppv)</f>
        <v>53.774279530635255</v>
      </c>
      <c r="E143" s="385">
        <f t="shared" si="47"/>
        <v>55.869470875645334</v>
      </c>
      <c r="F143" s="385">
        <f t="shared" ref="F143:F206" si="51">Wh_sa/(1-Pvg*MEDIAN((-Sdif+Wh/Env_an)/Csdif,0,1))</f>
        <v>55.877138050367996</v>
      </c>
      <c r="G143" s="110">
        <f t="shared" si="48"/>
        <v>0.89086967920178084</v>
      </c>
      <c r="H143" s="414" t="b">
        <f>Wh_hp&gt;='2023'!Maxi_hp</f>
        <v>0</v>
      </c>
      <c r="I143" s="390">
        <f>IF(H143,Wh_hp,'2023'!Maxi_hp)</f>
        <v>55.877643331762144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4.6229272903118179E-2</v>
      </c>
      <c r="M143" s="845"/>
      <c r="N143" s="845"/>
      <c r="O143" s="48">
        <f>IF(t&lt;Tnet,'2023'!Resal+('2023'!Salim-'2023'!Resal)*(1-EXP(('2023'!Tnet-t)/('2023'!Tau_j))),Resal+(Salim-Resal)*(1-EXP((Tnet-t)/(Tau_j))))*Salcycl</f>
        <v>3.7501542652400764E-2</v>
      </c>
      <c r="P143" s="169">
        <f>(INDEX(Models!$BJ143:$BT143,,T143)*(1-R143)+INDEX(Models!$BJ143:$BT143,,T143+1)*R143-ERP_i)*Q143*Ramure*Pc/MaxiM</f>
        <v>1.6255148785199576E-4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0.10269500785070207</v>
      </c>
      <c r="S143" s="811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1.1026950078507021</v>
      </c>
      <c r="V143" s="383">
        <f t="shared" ref="V143:V206" si="58">MaxiM*(1-Ppv)*(1-Pvg)*(1-Psa)</f>
        <v>57.569625764123835</v>
      </c>
      <c r="W143" s="402">
        <f t="shared" ref="W143:W206" si="59">Wh*(A143&gt;Tmaj)</f>
        <v>51.288333687044954</v>
      </c>
      <c r="X143" s="157">
        <f t="shared" ref="X143:X206" si="60">t</f>
        <v>45420</v>
      </c>
      <c r="Y143" s="385">
        <f t="shared" ref="Y143:Y206" si="61">Wh_pvt_s*(1-Ppv)</f>
        <v>49.235772522992448</v>
      </c>
      <c r="Z143" s="385">
        <f t="shared" ref="Z143:Z206" si="62">Wh_sa_s*(1-Psa_s)</f>
        <v>51.622230714563742</v>
      </c>
      <c r="AA143" s="386">
        <f t="shared" ref="AA143:AA206" si="63">Wh_hp*(1-Pvg_s*MEDIAN((-Sdif+Wh/Env_an)/Csdif,0,1))</f>
        <v>55.869470875645334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7.6020769384681164E-2</v>
      </c>
      <c r="AD143" s="231">
        <f>(INDEX(Models!$BJ143:$BT143,,AH143)*(1-AF143)+INDEX(Models!$BJ143:$BT143,,AH143+1)*AF143-ERP_i)*AE143*Ramure*Pc/MaxiM</f>
        <v>1.6255148785199576E-4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0.10269500785070207</v>
      </c>
      <c r="AG143" s="81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1.1026950078507021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50.959667074965324</v>
      </c>
      <c r="C144" s="841"/>
      <c r="D144" s="393">
        <f t="shared" si="50"/>
        <v>53.4308527186842</v>
      </c>
      <c r="E144" s="385">
        <f t="shared" ref="E144:E169" si="72">Wh_pvt/(1-Psa)</f>
        <v>55.518106212129837</v>
      </c>
      <c r="F144" s="385">
        <f t="shared" si="51"/>
        <v>55.526240567117725</v>
      </c>
      <c r="G144" s="110">
        <f t="shared" ref="G144:G169" si="73">+Wh_hp/MaxiM</f>
        <v>0.88396762935742335</v>
      </c>
      <c r="H144" s="414" t="b">
        <f>Wh_hp&gt;='2023'!Maxi_hp</f>
        <v>0</v>
      </c>
      <c r="I144" s="390">
        <f>IF(H144,Wh_hp,'2023'!Maxi_hp)</f>
        <v>55.526820084927458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4.6250162929829641E-2</v>
      </c>
      <c r="M144" s="845"/>
      <c r="N144" s="845"/>
      <c r="O144" s="48">
        <f>IF(t&lt;Tnet,'2023'!Resal+('2023'!Salim-'2023'!Resal)*(1-EXP(('2023'!Tnet-t)/('2023'!Tau_j))),Resal+(Salim-Resal)*(1-EXP((Tnet-t)/(Tau_j))))*Salcycl</f>
        <v>3.7595905837825683E-2</v>
      </c>
      <c r="P144" s="169">
        <f>(INDEX(Models!$BJ144:$BT144,,T144)*(1-R144)+INDEX(Models!$BJ144:$BT144,,T144+1)*R144-ERP_i)*Q144*Ramure*Pc/MaxiM</f>
        <v>1.7559614751506825E-4</v>
      </c>
      <c r="Q144" s="305">
        <f t="shared" si="53"/>
        <v>0.5</v>
      </c>
      <c r="R144" s="177">
        <f t="shared" si="54"/>
        <v>0.10617000139742028</v>
      </c>
      <c r="S144" s="811">
        <f t="shared" si="55"/>
        <v>1</v>
      </c>
      <c r="T144" s="176">
        <f t="shared" si="56"/>
        <v>7</v>
      </c>
      <c r="U144" s="251">
        <f t="shared" si="57"/>
        <v>1.1061700013974203</v>
      </c>
      <c r="V144" s="383">
        <f t="shared" si="58"/>
        <v>57.647115364576749</v>
      </c>
      <c r="W144" s="402">
        <f t="shared" si="59"/>
        <v>50.959667074965324</v>
      </c>
      <c r="X144" s="157">
        <f t="shared" si="60"/>
        <v>45421</v>
      </c>
      <c r="Y144" s="385">
        <f t="shared" si="61"/>
        <v>48.920889853650124</v>
      </c>
      <c r="Z144" s="385">
        <f t="shared" si="62"/>
        <v>51.293209133257093</v>
      </c>
      <c r="AA144" s="386">
        <f t="shared" si="63"/>
        <v>55.518106212129837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7.6099445156320361E-2</v>
      </c>
      <c r="AD144" s="231">
        <f>(INDEX(Models!$BJ144:$BT144,,AH144)*(1-AF144)+INDEX(Models!$BJ144:$BT144,,AH144+1)*AF144-ERP_i)*AE144*Ramure*Pc/MaxiM</f>
        <v>1.7559614751506825E-4</v>
      </c>
      <c r="AE144" s="305">
        <f t="shared" si="65"/>
        <v>0.5</v>
      </c>
      <c r="AF144" s="177">
        <f t="shared" si="66"/>
        <v>0.10617000139742028</v>
      </c>
      <c r="AG144" s="811">
        <f t="shared" ref="AG144:AG207" si="74">INDEX(Echel_vg,AH144)</f>
        <v>1</v>
      </c>
      <c r="AH144" s="176">
        <f t="shared" si="67"/>
        <v>7</v>
      </c>
      <c r="AI144" s="225">
        <f t="shared" si="68"/>
        <v>1.1061700013974203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55.007770031689347</v>
      </c>
      <c r="C145" s="841"/>
      <c r="D145" s="393">
        <f t="shared" si="50"/>
        <v>57.676523477475179</v>
      </c>
      <c r="E145" s="385">
        <f t="shared" si="72"/>
        <v>59.935533827152177</v>
      </c>
      <c r="F145" s="385">
        <f t="shared" si="51"/>
        <v>59.946089701299478</v>
      </c>
      <c r="G145" s="110">
        <f t="shared" si="73"/>
        <v>0.95299056771436508</v>
      </c>
      <c r="H145" s="414" t="b">
        <f>Wh_hp&gt;='2023'!Maxi_hp</f>
        <v>0</v>
      </c>
      <c r="I145" s="390">
        <f>IF(H145,Wh_hp,'2023'!Maxi_hp)</f>
        <v>59.946364032556687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4.627105249899599E-2</v>
      </c>
      <c r="M145" s="845"/>
      <c r="N145" s="845"/>
      <c r="O145" s="48">
        <f>IF(t&lt;Tnet,'2023'!Resal+('2023'!Salim-'2023'!Resal)*(1-EXP(('2023'!Tnet-t)/('2023'!Tau_j))),Resal+(Salim-Resal)*(1-EXP((Tnet-t)/(Tau_j))))*Salcycl</f>
        <v>3.7690668714017862E-2</v>
      </c>
      <c r="P145" s="169">
        <f>(INDEX(Models!$BJ145:$BT145,,T145)*(1-R145)+INDEX(Models!$BJ145:$BT145,,T145+1)*R145-ERP_i)*Q145*Ramure*Pc/MaxiM</f>
        <v>1.8876281372256674E-4</v>
      </c>
      <c r="Q145" s="305">
        <f t="shared" si="53"/>
        <v>0.5</v>
      </c>
      <c r="R145" s="177">
        <f t="shared" si="54"/>
        <v>0.10972630245578463</v>
      </c>
      <c r="S145" s="811">
        <f t="shared" si="55"/>
        <v>1</v>
      </c>
      <c r="T145" s="176">
        <f t="shared" si="56"/>
        <v>7</v>
      </c>
      <c r="U145" s="251">
        <f t="shared" si="57"/>
        <v>1.1097263024557846</v>
      </c>
      <c r="V145" s="383">
        <f t="shared" si="58"/>
        <v>57.72047976039029</v>
      </c>
      <c r="W145" s="402">
        <f t="shared" si="59"/>
        <v>55.007770031689347</v>
      </c>
      <c r="X145" s="157">
        <f t="shared" si="60"/>
        <v>45422</v>
      </c>
      <c r="Y145" s="385">
        <f t="shared" si="61"/>
        <v>52.80769571099129</v>
      </c>
      <c r="Z145" s="385">
        <f t="shared" si="62"/>
        <v>55.369710492021845</v>
      </c>
      <c r="AA145" s="386">
        <f t="shared" si="63"/>
        <v>59.935533827152177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7.6178904959747121E-2</v>
      </c>
      <c r="AD145" s="231">
        <f>(INDEX(Models!$BJ145:$BT145,,AH145)*(1-AF145)+INDEX(Models!$BJ145:$BT145,,AH145+1)*AF145-ERP_i)*AE145*Ramure*Pc/MaxiM</f>
        <v>1.8876281372256674E-4</v>
      </c>
      <c r="AE145" s="305">
        <f t="shared" si="65"/>
        <v>0.5</v>
      </c>
      <c r="AF145" s="177">
        <f t="shared" si="66"/>
        <v>0.10972630245578463</v>
      </c>
      <c r="AG145" s="811">
        <f t="shared" si="74"/>
        <v>1</v>
      </c>
      <c r="AH145" s="176">
        <f t="shared" si="67"/>
        <v>7</v>
      </c>
      <c r="AI145" s="225">
        <f t="shared" si="68"/>
        <v>1.1097263024557846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40.108307723075498</v>
      </c>
      <c r="C146" s="841"/>
      <c r="D146" s="393">
        <f t="shared" si="50"/>
        <v>42.055120925381097</v>
      </c>
      <c r="E146" s="385">
        <f t="shared" si="72"/>
        <v>43.706610811478797</v>
      </c>
      <c r="F146" s="385">
        <f t="shared" si="51"/>
        <v>43.711582705547706</v>
      </c>
      <c r="G146" s="110">
        <f t="shared" si="73"/>
        <v>0.69397629962899898</v>
      </c>
      <c r="H146" s="414" t="b">
        <f>Wh_hp&gt;='2023'!Maxi_hp</f>
        <v>0</v>
      </c>
      <c r="I146" s="390">
        <f>IF(H146,Wh_hp,'2023'!Maxi_hp)</f>
        <v>59.238727729135654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4.6291941610626997E-2</v>
      </c>
      <c r="M146" s="845"/>
      <c r="N146" s="845"/>
      <c r="O146" s="48">
        <f>IF(t&lt;Tnet,'2023'!Resal+('2023'!Salim-'2023'!Resal)*(1-EXP(('2023'!Tnet-t)/('2023'!Tau_j))),Resal+(Salim-Resal)*(1-EXP((Tnet-t)/(Tau_j))))*Salcycl</f>
        <v>3.7785814443978029E-2</v>
      </c>
      <c r="P146" s="169">
        <f>(INDEX(Models!$BJ146:$BT146,,T146)*(1-R146)+INDEX(Models!$BJ146:$BT146,,T146+1)*R146-ERP_i)*Q146*Ramure*Pc/MaxiM</f>
        <v>2.0206249268549977E-4</v>
      </c>
      <c r="Q146" s="305">
        <f t="shared" si="53"/>
        <v>0.5</v>
      </c>
      <c r="R146" s="177">
        <f t="shared" si="54"/>
        <v>0.11336369010361325</v>
      </c>
      <c r="S146" s="811">
        <f t="shared" si="55"/>
        <v>1</v>
      </c>
      <c r="T146" s="176">
        <f t="shared" si="56"/>
        <v>7</v>
      </c>
      <c r="U146" s="251">
        <f t="shared" si="57"/>
        <v>1.1133636901036132</v>
      </c>
      <c r="V146" s="383">
        <f t="shared" si="58"/>
        <v>57.789819339738138</v>
      </c>
      <c r="W146" s="402">
        <f t="shared" si="59"/>
        <v>40.108307723075498</v>
      </c>
      <c r="X146" s="157">
        <f t="shared" si="60"/>
        <v>45423</v>
      </c>
      <c r="Y146" s="385">
        <f t="shared" si="61"/>
        <v>38.504611934656353</v>
      </c>
      <c r="Z146" s="385">
        <f t="shared" si="62"/>
        <v>40.373583504875839</v>
      </c>
      <c r="AA146" s="386">
        <f t="shared" si="63"/>
        <v>43.706610811478797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7.6259111487262637E-2</v>
      </c>
      <c r="AD146" s="231">
        <f>(INDEX(Models!$BJ146:$BT146,,AH146)*(1-AF146)+INDEX(Models!$BJ146:$BT146,,AH146+1)*AF146-ERP_i)*AE146*Ramure*Pc/MaxiM</f>
        <v>2.0206249268549977E-4</v>
      </c>
      <c r="AE146" s="305">
        <f t="shared" si="65"/>
        <v>0.5</v>
      </c>
      <c r="AF146" s="177">
        <f t="shared" si="66"/>
        <v>0.11336369010361325</v>
      </c>
      <c r="AG146" s="811">
        <f t="shared" si="74"/>
        <v>1</v>
      </c>
      <c r="AH146" s="176">
        <f t="shared" si="67"/>
        <v>7</v>
      </c>
      <c r="AI146" s="225">
        <f t="shared" si="68"/>
        <v>1.1133636901036132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40.796991661763748</v>
      </c>
      <c r="C147" s="841"/>
      <c r="D147" s="393">
        <f t="shared" si="50"/>
        <v>42.778169777714993</v>
      </c>
      <c r="E147" s="385">
        <f t="shared" si="72"/>
        <v>44.462466929732784</v>
      </c>
      <c r="F147" s="385">
        <f t="shared" si="51"/>
        <v>44.468013597035302</v>
      </c>
      <c r="G147" s="110">
        <f t="shared" si="73"/>
        <v>0.70509243100872321</v>
      </c>
      <c r="H147" s="414" t="b">
        <f>Wh_hp&gt;='2023'!Maxi_hp</f>
        <v>0</v>
      </c>
      <c r="I147" s="390">
        <f>IF(H147,Wh_hp,'2023'!Maxi_hp)</f>
        <v>65.408960512497771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4.6312830264732985E-2</v>
      </c>
      <c r="M147" s="845"/>
      <c r="N147" s="845"/>
      <c r="O147" s="48">
        <f>IF(t&lt;Tnet,'2023'!Resal+('2023'!Salim-'2023'!Resal)*(1-EXP(('2023'!Tnet-t)/('2023'!Tau_j))),Resal+(Salim-Resal)*(1-EXP((Tnet-t)/(Tau_j))))*Salcycl</f>
        <v>3.7881324818967117E-2</v>
      </c>
      <c r="P147" s="169">
        <f>(INDEX(Models!$BJ147:$BT147,,T147)*(1-R147)+INDEX(Models!$BJ147:$BT147,,T147+1)*R147-ERP_i)*Q147*Ramure*Pc/MaxiM</f>
        <v>2.1550615211220528E-4</v>
      </c>
      <c r="Q147" s="305">
        <f t="shared" si="53"/>
        <v>0.5</v>
      </c>
      <c r="R147" s="177">
        <f t="shared" si="54"/>
        <v>0.11708179322906531</v>
      </c>
      <c r="S147" s="811">
        <f t="shared" si="55"/>
        <v>1</v>
      </c>
      <c r="T147" s="176">
        <f t="shared" si="56"/>
        <v>7</v>
      </c>
      <c r="U147" s="251">
        <f t="shared" si="57"/>
        <v>1.1170817932290653</v>
      </c>
      <c r="V147" s="383">
        <f t="shared" si="58"/>
        <v>57.855234533260308</v>
      </c>
      <c r="W147" s="402">
        <f t="shared" si="59"/>
        <v>40.796991661763748</v>
      </c>
      <c r="X147" s="157">
        <f t="shared" si="60"/>
        <v>45424</v>
      </c>
      <c r="Y147" s="385">
        <f t="shared" si="61"/>
        <v>39.166216470618117</v>
      </c>
      <c r="Z147" s="385">
        <f t="shared" si="62"/>
        <v>41.068201097316035</v>
      </c>
      <c r="AA147" s="386">
        <f t="shared" si="63"/>
        <v>44.462466929732784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7.6340024897425265E-2</v>
      </c>
      <c r="AD147" s="231">
        <f>(INDEX(Models!$BJ147:$BT147,,AH147)*(1-AF147)+INDEX(Models!$BJ147:$BT147,,AH147+1)*AF147-ERP_i)*AE147*Ramure*Pc/MaxiM</f>
        <v>2.1550615211220528E-4</v>
      </c>
      <c r="AE147" s="305">
        <f t="shared" si="65"/>
        <v>0.5</v>
      </c>
      <c r="AF147" s="177">
        <f t="shared" si="66"/>
        <v>0.11708179322906531</v>
      </c>
      <c r="AG147" s="811">
        <f t="shared" si="74"/>
        <v>1</v>
      </c>
      <c r="AH147" s="176">
        <f t="shared" si="67"/>
        <v>7</v>
      </c>
      <c r="AI147" s="225">
        <f t="shared" si="68"/>
        <v>1.1170817932290653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49.358689171375268</v>
      </c>
      <c r="C148" s="841"/>
      <c r="D148" s="393">
        <f t="shared" si="50"/>
        <v>51.756772916138281</v>
      </c>
      <c r="E148" s="385">
        <f t="shared" si="72"/>
        <v>53.799943051710095</v>
      </c>
      <c r="F148" s="385">
        <f t="shared" si="51"/>
        <v>53.809668720171707</v>
      </c>
      <c r="G148" s="110">
        <f t="shared" si="73"/>
        <v>0.85219279408225257</v>
      </c>
      <c r="H148" s="414" t="b">
        <f>Wh_hp&gt;='2023'!Maxi_hp</f>
        <v>0</v>
      </c>
      <c r="I148" s="390">
        <f>IF(H148,Wh_hp,'2023'!Maxi_hp)</f>
        <v>63.832836981428784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4.6333718461323725E-2</v>
      </c>
      <c r="M148" s="845"/>
      <c r="N148" s="845"/>
      <c r="O148" s="48">
        <f>IF(t&lt;Tnet,'2023'!Resal+('2023'!Salim-'2023'!Resal)*(1-EXP(('2023'!Tnet-t)/('2023'!Tau_j))),Resal+(Salim-Resal)*(1-EXP((Tnet-t)/(Tau_j))))*Salcycl</f>
        <v>3.7977180265934649E-2</v>
      </c>
      <c r="P148" s="169">
        <f>(INDEX(Models!$BJ148:$BT148,,T148)*(1-R148)+INDEX(Models!$BJ148:$BT148,,T148+1)*R148-ERP_i)*Q148*Ramure*Pc/MaxiM</f>
        <v>2.291047147594532E-4</v>
      </c>
      <c r="Q148" s="305">
        <f t="shared" si="53"/>
        <v>0.5</v>
      </c>
      <c r="R148" s="177">
        <f t="shared" si="54"/>
        <v>0.12088008479466783</v>
      </c>
      <c r="S148" s="811">
        <f t="shared" si="55"/>
        <v>1</v>
      </c>
      <c r="T148" s="176">
        <f t="shared" si="56"/>
        <v>7</v>
      </c>
      <c r="U148" s="251">
        <f t="shared" si="57"/>
        <v>1.1208800847946678</v>
      </c>
      <c r="V148" s="383">
        <f t="shared" si="58"/>
        <v>57.91682582108789</v>
      </c>
      <c r="W148" s="402">
        <f t="shared" si="59"/>
        <v>49.358689171375268</v>
      </c>
      <c r="X148" s="157">
        <f t="shared" si="60"/>
        <v>45425</v>
      </c>
      <c r="Y148" s="385">
        <f t="shared" si="61"/>
        <v>47.386213814609135</v>
      </c>
      <c r="Z148" s="385">
        <f t="shared" si="62"/>
        <v>49.68846517059896</v>
      </c>
      <c r="AA148" s="386">
        <f t="shared" si="63"/>
        <v>53.799943051710095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7.6421602847411299E-2</v>
      </c>
      <c r="AD148" s="231">
        <f>(INDEX(Models!$BJ148:$BT148,,AH148)*(1-AF148)+INDEX(Models!$BJ148:$BT148,,AH148+1)*AF148-ERP_i)*AE148*Ramure*Pc/MaxiM</f>
        <v>2.291047147594532E-4</v>
      </c>
      <c r="AE148" s="305">
        <f t="shared" si="65"/>
        <v>0.5</v>
      </c>
      <c r="AF148" s="177">
        <f t="shared" si="66"/>
        <v>0.12088008479466783</v>
      </c>
      <c r="AG148" s="811">
        <f t="shared" si="74"/>
        <v>1</v>
      </c>
      <c r="AH148" s="176">
        <f t="shared" si="67"/>
        <v>7</v>
      </c>
      <c r="AI148" s="225">
        <f t="shared" si="68"/>
        <v>1.1208800847946678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52.219262774941434</v>
      </c>
      <c r="C149" s="841"/>
      <c r="D149" s="393">
        <f t="shared" si="50"/>
        <v>54.757526345180835</v>
      </c>
      <c r="E149" s="385">
        <f t="shared" si="72"/>
        <v>56.924846511479444</v>
      </c>
      <c r="F149" s="385">
        <f t="shared" si="51"/>
        <v>56.936713893490108</v>
      </c>
      <c r="G149" s="110">
        <f t="shared" si="73"/>
        <v>0.90070454436656477</v>
      </c>
      <c r="H149" s="414" t="b">
        <f>Wh_hp&gt;='2023'!Maxi_hp</f>
        <v>0</v>
      </c>
      <c r="I149" s="390">
        <f>IF(H149,Wh_hp,'2023'!Maxi_hp)</f>
        <v>64.337487236928794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4.6354606200409432E-2</v>
      </c>
      <c r="M149" s="845"/>
      <c r="N149" s="845"/>
      <c r="O149" s="48">
        <f>IF(t&lt;Tnet,'2023'!Resal+('2023'!Salim-'2023'!Resal)*(1-EXP(('2023'!Tnet-t)/('2023'!Tau_j))),Resal+(Salim-Resal)*(1-EXP((Tnet-t)/(Tau_j))))*Salcycl</f>
        <v>3.8073359861612407E-2</v>
      </c>
      <c r="P149" s="169">
        <f>(INDEX(Models!$BJ149:$BT149,,T149)*(1-R149)+INDEX(Models!$BJ149:$BT149,,T149+1)*R149-ERP_i)*Q149*Ramure*Pc/MaxiM</f>
        <v>2.428718688621947E-4</v>
      </c>
      <c r="Q149" s="305">
        <f t="shared" si="53"/>
        <v>0.5</v>
      </c>
      <c r="R149" s="177">
        <f t="shared" si="54"/>
        <v>0.12475787650970749</v>
      </c>
      <c r="S149" s="811">
        <f t="shared" si="55"/>
        <v>1</v>
      </c>
      <c r="T149" s="176">
        <f t="shared" si="56"/>
        <v>7</v>
      </c>
      <c r="U149" s="251">
        <f t="shared" si="57"/>
        <v>1.1247578765097075</v>
      </c>
      <c r="V149" s="383">
        <f t="shared" si="58"/>
        <v>57.974020732030588</v>
      </c>
      <c r="W149" s="402">
        <f t="shared" si="59"/>
        <v>52.219262774941434</v>
      </c>
      <c r="X149" s="157">
        <f t="shared" si="60"/>
        <v>45426</v>
      </c>
      <c r="Y149" s="385">
        <f t="shared" si="61"/>
        <v>50.133023350312598</v>
      </c>
      <c r="Z149" s="385">
        <f t="shared" si="62"/>
        <v>52.569879408286745</v>
      </c>
      <c r="AA149" s="386">
        <f t="shared" si="63"/>
        <v>56.924846511479444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7.6503800538390149E-2</v>
      </c>
      <c r="AD149" s="231">
        <f>(INDEX(Models!$BJ149:$BT149,,AH149)*(1-AF149)+INDEX(Models!$BJ149:$BT149,,AH149+1)*AF149-ERP_i)*AE149*Ramure*Pc/MaxiM</f>
        <v>2.428718688621947E-4</v>
      </c>
      <c r="AE149" s="305">
        <f t="shared" si="65"/>
        <v>0.5</v>
      </c>
      <c r="AF149" s="177">
        <f t="shared" si="66"/>
        <v>0.12475787650970749</v>
      </c>
      <c r="AG149" s="811">
        <f t="shared" si="74"/>
        <v>1</v>
      </c>
      <c r="AH149" s="176">
        <f t="shared" si="67"/>
        <v>7</v>
      </c>
      <c r="AI149" s="225">
        <f t="shared" si="68"/>
        <v>1.1247578765097075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49.775739702758578</v>
      </c>
      <c r="C150" s="841"/>
      <c r="D150" s="393">
        <f t="shared" si="50"/>
        <v>52.196372222549471</v>
      </c>
      <c r="E150" s="385">
        <f t="shared" si="72"/>
        <v>54.267764171592034</v>
      </c>
      <c r="F150" s="385">
        <f t="shared" si="51"/>
        <v>54.278804655804514</v>
      </c>
      <c r="G150" s="110">
        <f t="shared" si="73"/>
        <v>0.8577674127635363</v>
      </c>
      <c r="H150" s="414" t="b">
        <f>Wh_hp&gt;='2023'!Maxi_hp</f>
        <v>0</v>
      </c>
      <c r="I150" s="390">
        <f>IF(H150,Wh_hp,'2023'!Maxi_hp)</f>
        <v>55.759884023555387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4.6375493482000096E-2</v>
      </c>
      <c r="M150" s="845"/>
      <c r="N150" s="845"/>
      <c r="O150" s="48">
        <f>IF(t&lt;Tnet,'2023'!Resal+('2023'!Salim-'2023'!Resal)*(1-EXP(('2023'!Tnet-t)/('2023'!Tau_j))),Resal+(Salim-Resal)*(1-EXP((Tnet-t)/(Tau_j))))*Salcycl</f>
        <v>3.8169841353569059E-2</v>
      </c>
      <c r="P150" s="169">
        <f>(INDEX(Models!$BJ150:$BT150,,T150)*(1-R150)+INDEX(Models!$BJ150:$BT150,,T150+1)*R150-ERP_i)*Q150*Ramure*Pc/MaxiM</f>
        <v>2.5525138830632293E-4</v>
      </c>
      <c r="Q150" s="305">
        <f t="shared" si="53"/>
        <v>0.5</v>
      </c>
      <c r="R150" s="177">
        <f t="shared" si="54"/>
        <v>0.12871431397083355</v>
      </c>
      <c r="S150" s="811">
        <f t="shared" si="55"/>
        <v>1</v>
      </c>
      <c r="T150" s="176">
        <f t="shared" si="56"/>
        <v>7</v>
      </c>
      <c r="U150" s="251">
        <f t="shared" si="57"/>
        <v>1.1287143139708335</v>
      </c>
      <c r="V150" s="383">
        <f t="shared" si="58"/>
        <v>58.026403960655948</v>
      </c>
      <c r="W150" s="402">
        <f t="shared" si="59"/>
        <v>49.775739702758578</v>
      </c>
      <c r="X150" s="157">
        <f t="shared" si="60"/>
        <v>45427</v>
      </c>
      <c r="Y150" s="385">
        <f t="shared" si="61"/>
        <v>47.787632855940153</v>
      </c>
      <c r="Z150" s="385">
        <f t="shared" si="62"/>
        <v>50.111582210097225</v>
      </c>
      <c r="AA150" s="386">
        <f t="shared" si="63"/>
        <v>54.267764171592034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7.6586570774376611E-2</v>
      </c>
      <c r="AD150" s="231">
        <f>(INDEX(Models!$BJ150:$BT150,,AH150)*(1-AF150)+INDEX(Models!$BJ150:$BT150,,AH150+1)*AF150-ERP_i)*AE150*Ramure*Pc/MaxiM</f>
        <v>2.5525138830632293E-4</v>
      </c>
      <c r="AE150" s="305">
        <f t="shared" si="65"/>
        <v>0.5</v>
      </c>
      <c r="AF150" s="177">
        <f t="shared" si="66"/>
        <v>0.12871431397083355</v>
      </c>
      <c r="AG150" s="811">
        <f t="shared" si="74"/>
        <v>1</v>
      </c>
      <c r="AH150" s="176">
        <f t="shared" si="67"/>
        <v>7</v>
      </c>
      <c r="AI150" s="225">
        <f t="shared" si="68"/>
        <v>1.1287143139708335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53.005124985188822</v>
      </c>
      <c r="C151" s="841"/>
      <c r="D151" s="393">
        <f t="shared" si="50"/>
        <v>55.584022428735537</v>
      </c>
      <c r="E151" s="385">
        <f t="shared" si="72"/>
        <v>57.795666135151556</v>
      </c>
      <c r="F151" s="385">
        <f t="shared" si="51"/>
        <v>57.809111114258627</v>
      </c>
      <c r="G151" s="110">
        <f t="shared" si="73"/>
        <v>0.91268346305940273</v>
      </c>
      <c r="H151" s="414" t="b">
        <f>Wh_hp&gt;='2023'!Maxi_hp</f>
        <v>0</v>
      </c>
      <c r="I151" s="390">
        <f>IF(H151,Wh_hp,'2023'!Maxi_hp)</f>
        <v>59.143869986274652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4.63963803061056E-2</v>
      </c>
      <c r="M151" s="845"/>
      <c r="N151" s="845"/>
      <c r="O151" s="48">
        <f>IF(t&lt;Tnet,'2023'!Resal+('2023'!Salim-'2023'!Resal)*(1-EXP(('2023'!Tnet-t)/('2023'!Tau_j))),Resal+(Salim-Resal)*(1-EXP((Tnet-t)/(Tau_j))))*Salcycl</f>
        <v>3.8266601188473685E-2</v>
      </c>
      <c r="P151" s="169">
        <f>(INDEX(Models!$BJ151:$BT151,,T151)*(1-R151)+INDEX(Models!$BJ151:$BT151,,T151+1)*R151-ERP_i)*Q151*Ramure*Pc/MaxiM</f>
        <v>2.6570778657398537E-4</v>
      </c>
      <c r="Q151" s="305">
        <f t="shared" si="53"/>
        <v>0.5</v>
      </c>
      <c r="R151" s="177">
        <f t="shared" si="54"/>
        <v>0.13274837233080738</v>
      </c>
      <c r="S151" s="811">
        <f t="shared" si="55"/>
        <v>1</v>
      </c>
      <c r="T151" s="176">
        <f t="shared" si="56"/>
        <v>7</v>
      </c>
      <c r="U151" s="251">
        <f t="shared" si="57"/>
        <v>1.1327483723308074</v>
      </c>
      <c r="V151" s="383">
        <f t="shared" si="58"/>
        <v>58.074207036125415</v>
      </c>
      <c r="W151" s="402">
        <f t="shared" si="59"/>
        <v>53.005124985188822</v>
      </c>
      <c r="X151" s="157">
        <f t="shared" si="60"/>
        <v>45428</v>
      </c>
      <c r="Y151" s="385">
        <f t="shared" si="61"/>
        <v>50.888561549281668</v>
      </c>
      <c r="Z151" s="385">
        <f t="shared" si="62"/>
        <v>53.36448027076159</v>
      </c>
      <c r="AA151" s="386">
        <f t="shared" si="63"/>
        <v>57.795666135151556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7.6669864034924651E-2</v>
      </c>
      <c r="AD151" s="231">
        <f>(INDEX(Models!$BJ151:$BT151,,AH151)*(1-AF151)+INDEX(Models!$BJ151:$BT151,,AH151+1)*AF151-ERP_i)*AE151*Ramure*Pc/MaxiM</f>
        <v>2.6570778657398537E-4</v>
      </c>
      <c r="AE151" s="305">
        <f t="shared" si="65"/>
        <v>0.5</v>
      </c>
      <c r="AF151" s="177">
        <f t="shared" si="66"/>
        <v>0.13274837233080738</v>
      </c>
      <c r="AG151" s="811">
        <f t="shared" si="74"/>
        <v>1</v>
      </c>
      <c r="AH151" s="176">
        <f t="shared" si="67"/>
        <v>7</v>
      </c>
      <c r="AI151" s="225">
        <f t="shared" si="68"/>
        <v>1.1327483723308074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50.989296375264693</v>
      </c>
      <c r="C152" s="841"/>
      <c r="D152" s="393">
        <f t="shared" si="50"/>
        <v>53.471287380961279</v>
      </c>
      <c r="E152" s="385">
        <f t="shared" si="72"/>
        <v>55.604476067963105</v>
      </c>
      <c r="F152" s="385">
        <f t="shared" si="51"/>
        <v>55.617054468484127</v>
      </c>
      <c r="G152" s="110">
        <f t="shared" si="73"/>
        <v>0.87730425168245663</v>
      </c>
      <c r="H152" s="414" t="b">
        <f>Wh_hp&gt;='2023'!Maxi_hp</f>
        <v>0</v>
      </c>
      <c r="I152" s="390">
        <f>IF(H152,Wh_hp,'2023'!Maxi_hp)</f>
        <v>63.972000087795209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4.6417266672736046E-2</v>
      </c>
      <c r="M152" s="845"/>
      <c r="N152" s="845"/>
      <c r="O152" s="48">
        <f>IF(t&lt;Tnet,'2023'!Resal+('2023'!Salim-'2023'!Resal)*(1-EXP(('2023'!Tnet-t)/('2023'!Tau_j))),Resal+(Salim-Resal)*(1-EXP((Tnet-t)/(Tau_j))))*Salcycl</f>
        <v>3.8363614547766114E-2</v>
      </c>
      <c r="P152" s="169">
        <f>(INDEX(Models!$BJ152:$BT152,,T152)*(1-R152)+INDEX(Models!$BJ152:$BT152,,T152+1)*R152-ERP_i)*Q152*Ramure*Pc/MaxiM</f>
        <v>2.7420729325856668E-4</v>
      </c>
      <c r="Q152" s="305">
        <f t="shared" si="53"/>
        <v>0.5</v>
      </c>
      <c r="R152" s="177">
        <f t="shared" si="54"/>
        <v>0.13685885255476449</v>
      </c>
      <c r="S152" s="811">
        <f t="shared" si="55"/>
        <v>1</v>
      </c>
      <c r="T152" s="176">
        <f t="shared" si="56"/>
        <v>7</v>
      </c>
      <c r="U152" s="251">
        <f t="shared" si="57"/>
        <v>1.1368588525547645</v>
      </c>
      <c r="V152" s="383">
        <f t="shared" si="58"/>
        <v>58.117632359758204</v>
      </c>
      <c r="W152" s="402">
        <f t="shared" si="59"/>
        <v>50.989296375264693</v>
      </c>
      <c r="X152" s="157">
        <f t="shared" si="60"/>
        <v>45429</v>
      </c>
      <c r="Y152" s="385">
        <f t="shared" si="61"/>
        <v>48.953724685142099</v>
      </c>
      <c r="Z152" s="385">
        <f t="shared" si="62"/>
        <v>51.336630765462353</v>
      </c>
      <c r="AA152" s="386">
        <f t="shared" si="63"/>
        <v>55.604476067963105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7.6753628561922527E-2</v>
      </c>
      <c r="AD152" s="231">
        <f>(INDEX(Models!$BJ152:$BT152,,AH152)*(1-AF152)+INDEX(Models!$BJ152:$BT152,,AH152+1)*AF152-ERP_i)*AE152*Ramure*Pc/MaxiM</f>
        <v>2.7420729325856668E-4</v>
      </c>
      <c r="AE152" s="305">
        <f t="shared" si="65"/>
        <v>0.5</v>
      </c>
      <c r="AF152" s="177">
        <f t="shared" si="66"/>
        <v>0.13685885255476449</v>
      </c>
      <c r="AG152" s="811">
        <f t="shared" si="74"/>
        <v>1</v>
      </c>
      <c r="AH152" s="176">
        <f t="shared" si="67"/>
        <v>7</v>
      </c>
      <c r="AI152" s="225">
        <f t="shared" si="68"/>
        <v>1.1368588525547645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53.816710286065586</v>
      </c>
      <c r="C153" s="841"/>
      <c r="D153" s="393">
        <f t="shared" si="50"/>
        <v>56.437566615927246</v>
      </c>
      <c r="E153" s="385">
        <f t="shared" si="72"/>
        <v>58.695027583998886</v>
      </c>
      <c r="F153" s="385">
        <f t="shared" si="51"/>
        <v>58.709751207604981</v>
      </c>
      <c r="G153" s="110">
        <f t="shared" si="73"/>
        <v>0.92534360637365332</v>
      </c>
      <c r="H153" s="414" t="b">
        <f>Wh_hp&gt;='2023'!Maxi_hp</f>
        <v>0</v>
      </c>
      <c r="I153" s="390">
        <f>IF(H153,Wh_hp,'2023'!Maxi_hp)</f>
        <v>63.050548226982031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4.6438152581901537E-2</v>
      </c>
      <c r="M153" s="845"/>
      <c r="N153" s="845"/>
      <c r="O153" s="48">
        <f>IF(t&lt;Tnet,'2023'!Resal+('2023'!Salim-'2023'!Resal)*(1-EXP(('2023'!Tnet-t)/('2023'!Tau_j))),Resal+(Salim-Resal)*(1-EXP((Tnet-t)/(Tau_j))))*Salcycl</f>
        <v>3.8460855390875771E-2</v>
      </c>
      <c r="P153" s="169">
        <f>(INDEX(Models!$BJ153:$BT153,,T153)*(1-R153)+INDEX(Models!$BJ153:$BT153,,T153+1)*R153-ERP_i)*Q153*Ramure*Pc/MaxiM</f>
        <v>2.8071431180310471E-4</v>
      </c>
      <c r="Q153" s="305">
        <f t="shared" si="53"/>
        <v>0.5</v>
      </c>
      <c r="R153" s="177">
        <f t="shared" si="54"/>
        <v>0.14104437832206096</v>
      </c>
      <c r="S153" s="811">
        <f t="shared" si="55"/>
        <v>1</v>
      </c>
      <c r="T153" s="176">
        <f t="shared" si="56"/>
        <v>7</v>
      </c>
      <c r="U153" s="251">
        <f t="shared" si="57"/>
        <v>1.141044378322061</v>
      </c>
      <c r="V153" s="383">
        <f t="shared" si="58"/>
        <v>58.156882378285367</v>
      </c>
      <c r="W153" s="402">
        <f t="shared" si="59"/>
        <v>53.816710286065586</v>
      </c>
      <c r="X153" s="157">
        <f t="shared" si="60"/>
        <v>45430</v>
      </c>
      <c r="Y153" s="385">
        <f t="shared" si="61"/>
        <v>51.66877748038641</v>
      </c>
      <c r="Z153" s="385">
        <f t="shared" si="62"/>
        <v>54.185030179517796</v>
      </c>
      <c r="AA153" s="386">
        <f t="shared" si="63"/>
        <v>58.695027583998886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7.6837810460635703E-2</v>
      </c>
      <c r="AD153" s="231">
        <f>(INDEX(Models!$BJ153:$BT153,,AH153)*(1-AF153)+INDEX(Models!$BJ153:$BT153,,AH153+1)*AF153-ERP_i)*AE153*Ramure*Pc/MaxiM</f>
        <v>2.8071431180310471E-4</v>
      </c>
      <c r="AE153" s="305">
        <f t="shared" si="65"/>
        <v>0.5</v>
      </c>
      <c r="AF153" s="177">
        <f t="shared" si="66"/>
        <v>0.14104437832206096</v>
      </c>
      <c r="AG153" s="811">
        <f t="shared" si="74"/>
        <v>1</v>
      </c>
      <c r="AH153" s="176">
        <f t="shared" si="67"/>
        <v>7</v>
      </c>
      <c r="AI153" s="225">
        <f t="shared" si="68"/>
        <v>1.141044378322061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48.755867152496101</v>
      </c>
      <c r="C154" s="841"/>
      <c r="D154" s="393">
        <f t="shared" si="50"/>
        <v>51.1313819722563</v>
      </c>
      <c r="E154" s="385">
        <f t="shared" si="72"/>
        <v>53.181988867803739</v>
      </c>
      <c r="F154" s="385">
        <f t="shared" si="51"/>
        <v>53.193644977472417</v>
      </c>
      <c r="G154" s="110">
        <f t="shared" si="73"/>
        <v>0.83778718172323596</v>
      </c>
      <c r="H154" s="414" t="b">
        <f>Wh_hp&gt;='2023'!Maxi_hp</f>
        <v>0</v>
      </c>
      <c r="I154" s="390">
        <f>IF(H154,Wh_hp,'2023'!Maxi_hp)</f>
        <v>62.803447200223168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4.6459038033611955E-2</v>
      </c>
      <c r="M154" s="845"/>
      <c r="N154" s="845"/>
      <c r="O154" s="48">
        <f>IF(t&lt;Tnet,'2023'!Resal+('2023'!Salim-'2023'!Resal)*(1-EXP(('2023'!Tnet-t)/('2023'!Tau_j))),Resal+(Salim-Resal)*(1-EXP((Tnet-t)/(Tau_j))))*Salcycl</f>
        <v>3.8558296506072821E-2</v>
      </c>
      <c r="P154" s="169">
        <f>(INDEX(Models!$BJ154:$BT154,,T154)*(1-R154)+INDEX(Models!$BJ154:$BT154,,T154+1)*R154-ERP_i)*Q154*Ramure*Pc/MaxiM</f>
        <v>2.8519161993642052E-4</v>
      </c>
      <c r="Q154" s="305">
        <f t="shared" si="53"/>
        <v>0.5</v>
      </c>
      <c r="R154" s="177">
        <f t="shared" si="54"/>
        <v>0.14530339362972167</v>
      </c>
      <c r="S154" s="811">
        <f t="shared" si="55"/>
        <v>1</v>
      </c>
      <c r="T154" s="176">
        <f t="shared" si="56"/>
        <v>7</v>
      </c>
      <c r="U154" s="251">
        <f t="shared" si="57"/>
        <v>1.1453033936297217</v>
      </c>
      <c r="V154" s="383">
        <f t="shared" si="58"/>
        <v>58.192159563423751</v>
      </c>
      <c r="W154" s="402">
        <f t="shared" si="59"/>
        <v>48.755867152496101</v>
      </c>
      <c r="X154" s="157">
        <f t="shared" si="60"/>
        <v>45431</v>
      </c>
      <c r="Y154" s="385">
        <f t="shared" si="61"/>
        <v>46.810379584410875</v>
      </c>
      <c r="Z154" s="385">
        <f t="shared" si="62"/>
        <v>49.09110510352771</v>
      </c>
      <c r="AA154" s="386">
        <f t="shared" si="63"/>
        <v>53.181988867803739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7.6922353815027003E-2</v>
      </c>
      <c r="AD154" s="231">
        <f>(INDEX(Models!$BJ154:$BT154,,AH154)*(1-AF154)+INDEX(Models!$BJ154:$BT154,,AH154+1)*AF154-ERP_i)*AE154*Ramure*Pc/MaxiM</f>
        <v>2.8519161993642052E-4</v>
      </c>
      <c r="AE154" s="305">
        <f t="shared" si="65"/>
        <v>0.5</v>
      </c>
      <c r="AF154" s="177">
        <f t="shared" si="66"/>
        <v>0.14530339362972167</v>
      </c>
      <c r="AG154" s="811">
        <f t="shared" si="74"/>
        <v>1</v>
      </c>
      <c r="AH154" s="176">
        <f t="shared" si="67"/>
        <v>7</v>
      </c>
      <c r="AI154" s="225">
        <f t="shared" si="68"/>
        <v>1.1453033936297217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48.673999431240446</v>
      </c>
      <c r="C155" s="841"/>
      <c r="D155" s="393">
        <f t="shared" si="50"/>
        <v>51.046643491559635</v>
      </c>
      <c r="E155" s="385">
        <f t="shared" si="72"/>
        <v>53.099243028240195</v>
      </c>
      <c r="F155" s="385">
        <f t="shared" si="51"/>
        <v>53.110938742925519</v>
      </c>
      <c r="G155" s="110">
        <f t="shared" si="73"/>
        <v>0.8359267234156369</v>
      </c>
      <c r="H155" s="414" t="b">
        <f>Wh_hp&gt;='2023'!Maxi_hp</f>
        <v>0</v>
      </c>
      <c r="I155" s="390">
        <f>IF(H155,Wh_hp,'2023'!Maxi_hp)</f>
        <v>61.178268574854386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4.6479923027877401E-2</v>
      </c>
      <c r="M155" s="845"/>
      <c r="N155" s="845"/>
      <c r="O155" s="48">
        <f>IF(t&lt;Tnet,'2023'!Resal+('2023'!Salim-'2023'!Resal)*(1-EXP(('2023'!Tnet-t)/('2023'!Tau_j))),Resal+(Salim-Resal)*(1-EXP((Tnet-t)/(Tau_j))))*Salcycl</f>
        <v>3.8655909568972843E-2</v>
      </c>
      <c r="P155" s="169">
        <f>(INDEX(Models!$BJ155:$BT155,,T155)*(1-R155)+INDEX(Models!$BJ155:$BT155,,T155+1)*R155-ERP_i)*Q155*Ramure*Pc/MaxiM</f>
        <v>2.8760057829780358E-4</v>
      </c>
      <c r="Q155" s="305">
        <f t="shared" si="53"/>
        <v>0.5</v>
      </c>
      <c r="R155" s="177">
        <f t="shared" si="54"/>
        <v>0.14963416115066441</v>
      </c>
      <c r="S155" s="811">
        <f t="shared" si="55"/>
        <v>1</v>
      </c>
      <c r="T155" s="176">
        <f t="shared" si="56"/>
        <v>7</v>
      </c>
      <c r="U155" s="251">
        <f t="shared" si="57"/>
        <v>1.1496341611506644</v>
      </c>
      <c r="V155" s="383">
        <f t="shared" si="58"/>
        <v>58.223666403274656</v>
      </c>
      <c r="W155" s="402">
        <f t="shared" si="59"/>
        <v>48.673999431240446</v>
      </c>
      <c r="X155" s="157">
        <f t="shared" si="60"/>
        <v>45432</v>
      </c>
      <c r="Y155" s="385">
        <f t="shared" si="61"/>
        <v>46.732227752413628</v>
      </c>
      <c r="Z155" s="385">
        <f t="shared" si="62"/>
        <v>49.010218957119982</v>
      </c>
      <c r="AA155" s="386">
        <f t="shared" si="63"/>
        <v>53.099243028240195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7.7007200817260535E-2</v>
      </c>
      <c r="AD155" s="231">
        <f>(INDEX(Models!$BJ155:$BT155,,AH155)*(1-AF155)+INDEX(Models!$BJ155:$BT155,,AH155+1)*AF155-ERP_i)*AE155*Ramure*Pc/MaxiM</f>
        <v>2.8760057829780358E-4</v>
      </c>
      <c r="AE155" s="305">
        <f t="shared" si="65"/>
        <v>0.5</v>
      </c>
      <c r="AF155" s="177">
        <f t="shared" si="66"/>
        <v>0.14963416115066441</v>
      </c>
      <c r="AG155" s="811">
        <f t="shared" si="74"/>
        <v>1</v>
      </c>
      <c r="AH155" s="176">
        <f t="shared" si="67"/>
        <v>7</v>
      </c>
      <c r="AI155" s="225">
        <f t="shared" si="68"/>
        <v>1.1496341611506644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36.838408982334556</v>
      </c>
      <c r="C156" s="841"/>
      <c r="D156" s="393">
        <f t="shared" si="50"/>
        <v>38.634966106522988</v>
      </c>
      <c r="E156" s="385">
        <f t="shared" si="72"/>
        <v>40.192575730246361</v>
      </c>
      <c r="F156" s="385">
        <f t="shared" si="51"/>
        <v>40.198069968607157</v>
      </c>
      <c r="G156" s="110">
        <f t="shared" si="73"/>
        <v>0.63230596295018304</v>
      </c>
      <c r="H156" s="414" t="b">
        <f>Wh_hp&gt;='2023'!Maxi_hp</f>
        <v>0</v>
      </c>
      <c r="I156" s="390">
        <f>IF(H156,Wh_hp,'2023'!Maxi_hp)</f>
        <v>62.875998222350205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4.6500807564707758E-2</v>
      </c>
      <c r="M156" s="845"/>
      <c r="N156" s="845"/>
      <c r="O156" s="48">
        <f>IF(t&lt;Tnet,'2023'!Resal+('2023'!Salim-'2023'!Resal)*(1-EXP(('2023'!Tnet-t)/('2023'!Tau_j))),Resal+(Salim-Resal)*(1-EXP((Tnet-t)/(Tau_j))))*Salcycl</f>
        <v>3.875366520865229E-2</v>
      </c>
      <c r="P156" s="169">
        <f>(INDEX(Models!$BJ156:$BT156,,T156)*(1-R156)+INDEX(Models!$BJ156:$BT156,,T156+1)*R156-ERP_i)*Q156*Ramure*Pc/MaxiM</f>
        <v>2.8783080730065356E-4</v>
      </c>
      <c r="Q156" s="305">
        <f t="shared" si="53"/>
        <v>0.5</v>
      </c>
      <c r="R156" s="177">
        <f t="shared" si="54"/>
        <v>0.15403476139622008</v>
      </c>
      <c r="S156" s="811">
        <f t="shared" si="55"/>
        <v>1</v>
      </c>
      <c r="T156" s="176">
        <f t="shared" si="56"/>
        <v>7</v>
      </c>
      <c r="U156" s="251">
        <f t="shared" si="57"/>
        <v>1.1540347613962201</v>
      </c>
      <c r="V156" s="383">
        <f t="shared" si="58"/>
        <v>58.251609494636455</v>
      </c>
      <c r="W156" s="402">
        <f t="shared" si="59"/>
        <v>36.838408982334556</v>
      </c>
      <c r="X156" s="157">
        <f t="shared" si="60"/>
        <v>45433</v>
      </c>
      <c r="Y156" s="385">
        <f t="shared" si="61"/>
        <v>35.36913522890594</v>
      </c>
      <c r="Z156" s="385">
        <f t="shared" si="62"/>
        <v>37.094037949388415</v>
      </c>
      <c r="AA156" s="386">
        <f t="shared" si="63"/>
        <v>40.192575730246361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7.7092291911169661E-2</v>
      </c>
      <c r="AD156" s="231">
        <f>(INDEX(Models!$BJ156:$BT156,,AH156)*(1-AF156)+INDEX(Models!$BJ156:$BT156,,AH156+1)*AF156-ERP_i)*AE156*Ramure*Pc/MaxiM</f>
        <v>2.8783080730065356E-4</v>
      </c>
      <c r="AE156" s="305">
        <f t="shared" si="65"/>
        <v>0.5</v>
      </c>
      <c r="AF156" s="177">
        <f t="shared" si="66"/>
        <v>0.15403476139622008</v>
      </c>
      <c r="AG156" s="811">
        <f t="shared" si="74"/>
        <v>1</v>
      </c>
      <c r="AH156" s="176">
        <f t="shared" si="67"/>
        <v>7</v>
      </c>
      <c r="AI156" s="225">
        <f t="shared" si="68"/>
        <v>1.1540347613962201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19.206119125643493</v>
      </c>
      <c r="C157" s="841"/>
      <c r="D157" s="393">
        <f t="shared" si="50"/>
        <v>20.143215590044438</v>
      </c>
      <c r="E157" s="385">
        <f t="shared" si="72"/>
        <v>20.957444435842355</v>
      </c>
      <c r="F157" s="385">
        <f t="shared" si="51"/>
        <v>20.957698004869506</v>
      </c>
      <c r="G157" s="110">
        <f t="shared" si="73"/>
        <v>0.32948037784349699</v>
      </c>
      <c r="H157" s="414" t="b">
        <f>Wh_hp&gt;='2023'!Maxi_hp</f>
        <v>0</v>
      </c>
      <c r="I157" s="390">
        <f>IF(H157,Wh_hp,'2023'!Maxi_hp)</f>
        <v>58.76828057791041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4.652169164411335E-2</v>
      </c>
      <c r="M157" s="845"/>
      <c r="N157" s="845"/>
      <c r="O157" s="48">
        <f>IF(t&lt;Tnet,'2023'!Resal+('2023'!Salim-'2023'!Resal)*(1-EXP(('2023'!Tnet-t)/('2023'!Tau_j))),Resal+(Salim-Resal)*(1-EXP((Tnet-t)/(Tau_j))))*Salcycl</f>
        <v>3.8851533081265634E-2</v>
      </c>
      <c r="P157" s="169">
        <f>(INDEX(Models!$BJ157:$BT157,,T157)*(1-R157)+INDEX(Models!$BJ157:$BT157,,T157+1)*R157-ERP_i)*Q157*Ramure*Pc/MaxiM</f>
        <v>2.8640977196484979E-4</v>
      </c>
      <c r="Q157" s="305">
        <f t="shared" si="53"/>
        <v>0.5</v>
      </c>
      <c r="R157" s="177">
        <f t="shared" si="54"/>
        <v>0.15850309272799246</v>
      </c>
      <c r="S157" s="811">
        <f t="shared" si="55"/>
        <v>1</v>
      </c>
      <c r="T157" s="176">
        <f t="shared" si="56"/>
        <v>7</v>
      </c>
      <c r="U157" s="251">
        <f t="shared" si="57"/>
        <v>1.1585030927279925</v>
      </c>
      <c r="V157" s="383">
        <f t="shared" si="58"/>
        <v>58.276158185484562</v>
      </c>
      <c r="W157" s="402">
        <f t="shared" si="59"/>
        <v>19.206119125643493</v>
      </c>
      <c r="X157" s="157">
        <f t="shared" si="60"/>
        <v>45434</v>
      </c>
      <c r="Y157" s="385">
        <f t="shared" si="61"/>
        <v>18.440270374682708</v>
      </c>
      <c r="Z157" s="385">
        <f t="shared" si="62"/>
        <v>19.339999885765476</v>
      </c>
      <c r="AA157" s="386">
        <f t="shared" si="63"/>
        <v>20.957444435842355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7.7177565949341331E-2</v>
      </c>
      <c r="AD157" s="231">
        <f>(INDEX(Models!$BJ157:$BT157,,AH157)*(1-AF157)+INDEX(Models!$BJ157:$BT157,,AH157+1)*AF157-ERP_i)*AE157*Ramure*Pc/MaxiM</f>
        <v>2.8640977196484979E-4</v>
      </c>
      <c r="AE157" s="305">
        <f t="shared" si="65"/>
        <v>0.5</v>
      </c>
      <c r="AF157" s="177">
        <f t="shared" si="66"/>
        <v>0.15850309272799246</v>
      </c>
      <c r="AG157" s="811">
        <f t="shared" si="74"/>
        <v>1</v>
      </c>
      <c r="AH157" s="176">
        <f t="shared" si="67"/>
        <v>7</v>
      </c>
      <c r="AI157" s="225">
        <f t="shared" si="68"/>
        <v>1.1585030927279925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16.652866229675482</v>
      </c>
      <c r="C158" s="841"/>
      <c r="D158" s="393">
        <f t="shared" si="50"/>
        <v>17.46576805390465</v>
      </c>
      <c r="E158" s="385">
        <f t="shared" si="72"/>
        <v>18.17362118420284</v>
      </c>
      <c r="F158" s="385">
        <f t="shared" si="51"/>
        <v>18.17362118420284</v>
      </c>
      <c r="G158" s="110">
        <f t="shared" si="73"/>
        <v>0.28557218219228125</v>
      </c>
      <c r="H158" s="414" t="b">
        <f>Wh_hp&gt;='2023'!Maxi_hp</f>
        <v>0</v>
      </c>
      <c r="I158" s="390">
        <f>IF(H158,Wh_hp,'2023'!Maxi_hp)</f>
        <v>30.554357090064354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4.6542575266103836E-2</v>
      </c>
      <c r="M158" s="845"/>
      <c r="N158" s="845"/>
      <c r="O158" s="48">
        <f>IF(t&lt;Tnet,'2023'!Resal+('2023'!Salim-'2023'!Resal)*(1-EXP(('2023'!Tnet-t)/('2023'!Tau_j))),Resal+(Salim-Resal)*(1-EXP((Tnet-t)/(Tau_j))))*Salcycl</f>
        <v>3.8949481950987373E-2</v>
      </c>
      <c r="P158" s="169">
        <f>(INDEX(Models!$BJ158:$BT158,,T158)*(1-R158)+INDEX(Models!$BJ158:$BT158,,T158+1)*R158-ERP_i)*Q158*Ramure*Pc/MaxiM</f>
        <v>2.8328099225351092E-4</v>
      </c>
      <c r="Q158" s="305">
        <f t="shared" si="53"/>
        <v>0.5</v>
      </c>
      <c r="R158" s="177">
        <f t="shared" si="54"/>
        <v>0.1630368722588218</v>
      </c>
      <c r="S158" s="811">
        <f t="shared" si="55"/>
        <v>1</v>
      </c>
      <c r="T158" s="176">
        <f t="shared" si="56"/>
        <v>7</v>
      </c>
      <c r="U158" s="251">
        <f t="shared" si="57"/>
        <v>1.1630368722588218</v>
      </c>
      <c r="V158" s="383">
        <f t="shared" si="58"/>
        <v>58.297515750314069</v>
      </c>
      <c r="W158" s="402">
        <f t="shared" si="59"/>
        <v>16.652866229675482</v>
      </c>
      <c r="X158" s="157">
        <f t="shared" si="60"/>
        <v>45435</v>
      </c>
      <c r="Y158" s="385">
        <f t="shared" si="61"/>
        <v>15.988978932585511</v>
      </c>
      <c r="Z158" s="385">
        <f t="shared" si="62"/>
        <v>16.769473410989413</v>
      </c>
      <c r="AA158" s="386">
        <f t="shared" si="63"/>
        <v>18.17362118420284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7.7262960363340405E-2</v>
      </c>
      <c r="AD158" s="231">
        <f>(INDEX(Models!$BJ158:$BT158,,AH158)*(1-AF158)+INDEX(Models!$BJ158:$BT158,,AH158+1)*AF158-ERP_i)*AE158*Ramure*Pc/MaxiM</f>
        <v>2.8328099225351092E-4</v>
      </c>
      <c r="AE158" s="305">
        <f t="shared" si="65"/>
        <v>0.5</v>
      </c>
      <c r="AF158" s="177">
        <f t="shared" si="66"/>
        <v>0.1630368722588218</v>
      </c>
      <c r="AG158" s="811">
        <f t="shared" si="74"/>
        <v>1</v>
      </c>
      <c r="AH158" s="176">
        <f t="shared" si="67"/>
        <v>7</v>
      </c>
      <c r="AI158" s="225">
        <f t="shared" si="68"/>
        <v>1.1630368722588218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39.058638129839814</v>
      </c>
      <c r="C159" s="841"/>
      <c r="D159" s="393">
        <f t="shared" si="50"/>
        <v>40.966164424064537</v>
      </c>
      <c r="E159" s="385">
        <f t="shared" si="72"/>
        <v>42.630789307469598</v>
      </c>
      <c r="F159" s="385">
        <f t="shared" si="51"/>
        <v>42.637059486531562</v>
      </c>
      <c r="G159" s="110">
        <f t="shared" si="73"/>
        <v>0.66968901519198065</v>
      </c>
      <c r="H159" s="414" t="b">
        <f>Wh_hp&gt;='2023'!Maxi_hp</f>
        <v>0</v>
      </c>
      <c r="I159" s="390">
        <f>IF(H159,Wh_hp,'2023'!Maxi_hp)</f>
        <v>59.691953884707942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4.6563458430689542E-2</v>
      </c>
      <c r="M159" s="845"/>
      <c r="N159" s="845"/>
      <c r="O159" s="48">
        <f>IF(t&lt;Tnet,'2023'!Resal+('2023'!Salim-'2023'!Resal)*(1-EXP(('2023'!Tnet-t)/('2023'!Tau_j))),Resal+(Salim-Resal)*(1-EXP((Tnet-t)/(Tau_j))))*Salcycl</f>
        <v>3.90474797780343E-2</v>
      </c>
      <c r="P159" s="169">
        <f>(INDEX(Models!$BJ159:$BT159,,T159)*(1-R159)+INDEX(Models!$BJ159:$BT159,,T159+1)*R159-ERP_i)*Q159*Ramure*Pc/MaxiM</f>
        <v>2.7838822122279851E-4</v>
      </c>
      <c r="Q159" s="305">
        <f t="shared" si="53"/>
        <v>0.5</v>
      </c>
      <c r="R159" s="177">
        <f t="shared" si="54"/>
        <v>0.16763363767653905</v>
      </c>
      <c r="S159" s="811">
        <f t="shared" si="55"/>
        <v>1</v>
      </c>
      <c r="T159" s="176">
        <f t="shared" si="56"/>
        <v>7</v>
      </c>
      <c r="U159" s="251">
        <f t="shared" si="57"/>
        <v>1.167633637676539</v>
      </c>
      <c r="V159" s="383">
        <f t="shared" si="58"/>
        <v>58.315885378635834</v>
      </c>
      <c r="W159" s="402">
        <f t="shared" si="59"/>
        <v>39.058638129839814</v>
      </c>
      <c r="X159" s="157">
        <f t="shared" si="60"/>
        <v>45436</v>
      </c>
      <c r="Y159" s="385">
        <f t="shared" si="61"/>
        <v>37.501867951619488</v>
      </c>
      <c r="Z159" s="385">
        <f t="shared" si="62"/>
        <v>39.333365480090819</v>
      </c>
      <c r="AA159" s="386">
        <f t="shared" si="63"/>
        <v>42.630789307469598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7.7348411346468152E-2</v>
      </c>
      <c r="AD159" s="231">
        <f>(INDEX(Models!$BJ159:$BT159,,AH159)*(1-AF159)+INDEX(Models!$BJ159:$BT159,,AH159+1)*AF159-ERP_i)*AE159*Ramure*Pc/MaxiM</f>
        <v>2.7838822122279851E-4</v>
      </c>
      <c r="AE159" s="305">
        <f t="shared" si="65"/>
        <v>0.5</v>
      </c>
      <c r="AF159" s="177">
        <f t="shared" si="66"/>
        <v>0.16763363767653905</v>
      </c>
      <c r="AG159" s="811">
        <f t="shared" si="74"/>
        <v>1</v>
      </c>
      <c r="AH159" s="176">
        <f t="shared" si="67"/>
        <v>7</v>
      </c>
      <c r="AI159" s="225">
        <f t="shared" si="68"/>
        <v>1.167633637676539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23.683225743703339</v>
      </c>
      <c r="C160" s="841"/>
      <c r="D160" s="393">
        <f t="shared" si="50"/>
        <v>24.840399382540809</v>
      </c>
      <c r="E160" s="385">
        <f t="shared" si="72"/>
        <v>25.852404523893838</v>
      </c>
      <c r="F160" s="385">
        <f t="shared" si="51"/>
        <v>25.853468226249785</v>
      </c>
      <c r="G160" s="110">
        <f t="shared" si="73"/>
        <v>0.40591752117858498</v>
      </c>
      <c r="H160" s="414" t="b">
        <f>Wh_hp&gt;='2023'!Maxi_hp</f>
        <v>0</v>
      </c>
      <c r="I160" s="390">
        <f>IF(H160,Wh_hp,'2023'!Maxi_hp)</f>
        <v>61.991403277896538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4.6584341137880236E-2</v>
      </c>
      <c r="M160" s="845"/>
      <c r="N160" s="845"/>
      <c r="O160" s="48">
        <f>IF(t&lt;Tnet,'2023'!Resal+('2023'!Salim-'2023'!Resal)*(1-EXP(('2023'!Tnet-t)/('2023'!Tau_j))),Resal+(Salim-Resal)*(1-EXP((Tnet-t)/(Tau_j))))*Salcycl</f>
        <v>3.9145493813455244E-2</v>
      </c>
      <c r="P160" s="169">
        <f>(INDEX(Models!$BJ160:$BT160,,T160)*(1-R160)+INDEX(Models!$BJ160:$BT160,,T160+1)*R160-ERP_i)*Q160*Ramure*Pc/MaxiM</f>
        <v>2.7167389834955295E-4</v>
      </c>
      <c r="Q160" s="305">
        <f t="shared" si="53"/>
        <v>0.5</v>
      </c>
      <c r="R160" s="177">
        <f t="shared" si="54"/>
        <v>0.17229075001737137</v>
      </c>
      <c r="S160" s="811">
        <f t="shared" si="55"/>
        <v>1</v>
      </c>
      <c r="T160" s="176">
        <f t="shared" si="56"/>
        <v>7</v>
      </c>
      <c r="U160" s="251">
        <f t="shared" si="57"/>
        <v>1.1722907500173714</v>
      </c>
      <c r="V160" s="383">
        <f t="shared" si="58"/>
        <v>58.331470262775618</v>
      </c>
      <c r="W160" s="402">
        <f t="shared" si="59"/>
        <v>23.683225743703339</v>
      </c>
      <c r="X160" s="157">
        <f t="shared" si="60"/>
        <v>45437</v>
      </c>
      <c r="Y160" s="385">
        <f t="shared" si="61"/>
        <v>22.739490898354582</v>
      </c>
      <c r="Z160" s="385">
        <f t="shared" si="62"/>
        <v>23.85055320519243</v>
      </c>
      <c r="AA160" s="386">
        <f t="shared" si="63"/>
        <v>25.852404523893838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7.7433854048323383E-2</v>
      </c>
      <c r="AD160" s="231">
        <f>(INDEX(Models!$BJ160:$BT160,,AH160)*(1-AF160)+INDEX(Models!$BJ160:$BT160,,AH160+1)*AF160-ERP_i)*AE160*Ramure*Pc/MaxiM</f>
        <v>2.7167389834955295E-4</v>
      </c>
      <c r="AE160" s="305">
        <f t="shared" si="65"/>
        <v>0.5</v>
      </c>
      <c r="AF160" s="177">
        <f t="shared" si="66"/>
        <v>0.17229075001737137</v>
      </c>
      <c r="AG160" s="811">
        <f t="shared" si="74"/>
        <v>1</v>
      </c>
      <c r="AH160" s="176">
        <f t="shared" si="67"/>
        <v>7</v>
      </c>
      <c r="AI160" s="225">
        <f t="shared" si="68"/>
        <v>1.1722907500173714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44.053540631649831</v>
      </c>
      <c r="C161" s="841"/>
      <c r="D161" s="393">
        <f t="shared" si="50"/>
        <v>46.207029566686678</v>
      </c>
      <c r="E161" s="385">
        <f t="shared" si="72"/>
        <v>48.094422592429389</v>
      </c>
      <c r="F161" s="385">
        <f t="shared" si="51"/>
        <v>48.102649294319107</v>
      </c>
      <c r="G161" s="110">
        <f t="shared" si="73"/>
        <v>0.75498983650788098</v>
      </c>
      <c r="H161" s="414" t="b">
        <f>Wh_hp&gt;='2023'!Maxi_hp</f>
        <v>0</v>
      </c>
      <c r="I161" s="390">
        <f>IF(H161,Wh_hp,'2023'!Maxi_hp)</f>
        <v>62.096546618278133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4.6605223387686134E-2</v>
      </c>
      <c r="M161" s="845"/>
      <c r="N161" s="845"/>
      <c r="O161" s="48">
        <f>IF(t&lt;Tnet,'2023'!Resal+('2023'!Salim-'2023'!Resal)*(1-EXP(('2023'!Tnet-t)/('2023'!Tau_j))),Resal+(Salim-Resal)*(1-EXP((Tnet-t)/(Tau_j))))*Salcycl</f>
        <v>3.9243490700308581E-2</v>
      </c>
      <c r="P161" s="169">
        <f>(INDEX(Models!$BJ161:$BT161,,T161)*(1-R161)+INDEX(Models!$BJ161:$BT161,,T161+1)*R161-ERP_i)*Q161*Ramure*Pc/MaxiM</f>
        <v>2.6307934767621182E-4</v>
      </c>
      <c r="Q161" s="305">
        <f t="shared" si="53"/>
        <v>0.5</v>
      </c>
      <c r="R161" s="177">
        <f t="shared" si="54"/>
        <v>0.1770053974083472</v>
      </c>
      <c r="S161" s="811">
        <f t="shared" si="55"/>
        <v>1</v>
      </c>
      <c r="T161" s="176">
        <f t="shared" si="56"/>
        <v>7</v>
      </c>
      <c r="U161" s="251">
        <f t="shared" si="57"/>
        <v>1.1770053974083472</v>
      </c>
      <c r="V161" s="383">
        <f t="shared" si="58"/>
        <v>58.344473579381287</v>
      </c>
      <c r="W161" s="402">
        <f t="shared" si="59"/>
        <v>44.053540631649831</v>
      </c>
      <c r="X161" s="157">
        <f t="shared" si="60"/>
        <v>45438</v>
      </c>
      <c r="Y161" s="385">
        <f t="shared" si="61"/>
        <v>42.298484587718804</v>
      </c>
      <c r="Z161" s="385">
        <f t="shared" si="62"/>
        <v>44.366180332996471</v>
      </c>
      <c r="AA161" s="386">
        <f t="shared" si="63"/>
        <v>48.094422592429389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7.7519222780310232E-2</v>
      </c>
      <c r="AD161" s="231">
        <f>(INDEX(Models!$BJ161:$BT161,,AH161)*(1-AF161)+INDEX(Models!$BJ161:$BT161,,AH161+1)*AF161-ERP_i)*AE161*Ramure*Pc/MaxiM</f>
        <v>2.6307934767621182E-4</v>
      </c>
      <c r="AE161" s="305">
        <f t="shared" si="65"/>
        <v>0.5</v>
      </c>
      <c r="AF161" s="177">
        <f t="shared" si="66"/>
        <v>0.1770053974083472</v>
      </c>
      <c r="AG161" s="811">
        <f t="shared" si="74"/>
        <v>1</v>
      </c>
      <c r="AH161" s="176">
        <f t="shared" si="67"/>
        <v>7</v>
      </c>
      <c r="AI161" s="225">
        <f t="shared" si="68"/>
        <v>1.1770053974083472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53.080699830911264</v>
      </c>
      <c r="C162" s="841"/>
      <c r="D162" s="393">
        <f t="shared" si="50"/>
        <v>55.676686889921179</v>
      </c>
      <c r="E162" s="385">
        <f t="shared" si="72"/>
        <v>57.95679027911256</v>
      </c>
      <c r="F162" s="385">
        <f t="shared" si="51"/>
        <v>57.969539878580498</v>
      </c>
      <c r="G162" s="110">
        <f t="shared" si="73"/>
        <v>0.9095857935690379</v>
      </c>
      <c r="H162" s="414" t="b">
        <f>Wh_hp&gt;='2023'!Maxi_hp</f>
        <v>0</v>
      </c>
      <c r="I162" s="390">
        <f>IF(H162,Wh_hp,'2023'!Maxi_hp)</f>
        <v>61.293375317013549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4.6626105180117117E-2</v>
      </c>
      <c r="M162" s="845"/>
      <c r="N162" s="845"/>
      <c r="O162" s="48">
        <f>IF(t&lt;Tnet,'2023'!Resal+('2023'!Salim-'2023'!Resal)*(1-EXP(('2023'!Tnet-t)/('2023'!Tau_j))),Resal+(Salim-Resal)*(1-EXP((Tnet-t)/(Tau_j))))*Salcycl</f>
        <v>3.934143658078184E-2</v>
      </c>
      <c r="P162" s="169">
        <f>(INDEX(Models!$BJ162:$BT162,,T162)*(1-R162)+INDEX(Models!$BJ162:$BT162,,T162+1)*R162-ERP_i)*Q162*Ramure*Pc/MaxiM</f>
        <v>2.5254498853462617E-4</v>
      </c>
      <c r="Q162" s="305">
        <f t="shared" si="53"/>
        <v>0.5</v>
      </c>
      <c r="R162" s="177">
        <f t="shared" si="54"/>
        <v>0.18177459978988963</v>
      </c>
      <c r="S162" s="811">
        <f t="shared" si="55"/>
        <v>1</v>
      </c>
      <c r="T162" s="176">
        <f t="shared" si="56"/>
        <v>7</v>
      </c>
      <c r="U162" s="251">
        <f t="shared" si="57"/>
        <v>1.1817745997898896</v>
      </c>
      <c r="V162" s="383">
        <f t="shared" si="58"/>
        <v>58.355098471553362</v>
      </c>
      <c r="W162" s="402">
        <f t="shared" si="59"/>
        <v>53.080699830911264</v>
      </c>
      <c r="X162" s="157">
        <f t="shared" si="60"/>
        <v>45439</v>
      </c>
      <c r="Y162" s="385">
        <f t="shared" si="61"/>
        <v>50.966496436886096</v>
      </c>
      <c r="Z162" s="385">
        <f t="shared" si="62"/>
        <v>53.459085374385033</v>
      </c>
      <c r="AA162" s="386">
        <f t="shared" si="63"/>
        <v>57.95679027911256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7.7604451231118032E-2</v>
      </c>
      <c r="AD162" s="231">
        <f>(INDEX(Models!$BJ162:$BT162,,AH162)*(1-AF162)+INDEX(Models!$BJ162:$BT162,,AH162+1)*AF162-ERP_i)*AE162*Ramure*Pc/MaxiM</f>
        <v>2.5254498853462617E-4</v>
      </c>
      <c r="AE162" s="305">
        <f t="shared" si="65"/>
        <v>0.5</v>
      </c>
      <c r="AF162" s="177">
        <f t="shared" si="66"/>
        <v>0.18177459978988963</v>
      </c>
      <c r="AG162" s="811">
        <f t="shared" si="74"/>
        <v>1</v>
      </c>
      <c r="AH162" s="176">
        <f t="shared" si="67"/>
        <v>7</v>
      </c>
      <c r="AI162" s="225">
        <f t="shared" si="68"/>
        <v>1.1817745997898896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57.211061532853073</v>
      </c>
      <c r="C163" s="841"/>
      <c r="D163" s="393">
        <f t="shared" si="50"/>
        <v>60.01036418160357</v>
      </c>
      <c r="E163" s="385">
        <f t="shared" si="72"/>
        <v>62.474306940958378</v>
      </c>
      <c r="F163" s="385">
        <f t="shared" si="51"/>
        <v>62.488882015647988</v>
      </c>
      <c r="G163" s="110">
        <f t="shared" si="73"/>
        <v>0.98025135844095834</v>
      </c>
      <c r="H163" s="414" t="b">
        <f>Wh_hp&gt;='2023'!Maxi_hp</f>
        <v>0</v>
      </c>
      <c r="I163" s="390">
        <f>IF(H163,Wh_hp,'2023'!Maxi_hp)</f>
        <v>62.489075261508759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4.6646986515183286E-2</v>
      </c>
      <c r="M163" s="845"/>
      <c r="N163" s="845"/>
      <c r="O163" s="48">
        <f>IF(t&lt;Tnet,'2023'!Resal+('2023'!Salim-'2023'!Resal)*(1-EXP(('2023'!Tnet-t)/('2023'!Tau_j))),Resal+(Salim-Resal)*(1-EXP((Tnet-t)/(Tau_j))))*Salcycl</f>
        <v>3.9439297208744818E-2</v>
      </c>
      <c r="P163" s="169">
        <f>(INDEX(Models!$BJ163:$BT163,,T163)*(1-R163)+INDEX(Models!$BJ163:$BT163,,T163+1)*R163-ERP_i)*Q163*Ramure*Pc/MaxiM</f>
        <v>2.4001170342117105E-4</v>
      </c>
      <c r="Q163" s="305">
        <f t="shared" si="53"/>
        <v>0.5</v>
      </c>
      <c r="R163" s="177">
        <f t="shared" si="54"/>
        <v>0.18659521462111162</v>
      </c>
      <c r="S163" s="811">
        <f t="shared" si="55"/>
        <v>1</v>
      </c>
      <c r="T163" s="176">
        <f t="shared" si="56"/>
        <v>7</v>
      </c>
      <c r="U163" s="251">
        <f t="shared" si="57"/>
        <v>1.1865952146211116</v>
      </c>
      <c r="V163" s="383">
        <f t="shared" si="58"/>
        <v>58.363269468789376</v>
      </c>
      <c r="W163" s="402">
        <f t="shared" si="59"/>
        <v>57.211061532853073</v>
      </c>
      <c r="X163" s="157">
        <f t="shared" si="60"/>
        <v>45440</v>
      </c>
      <c r="Y163" s="385">
        <f t="shared" si="61"/>
        <v>54.932878449989474</v>
      </c>
      <c r="Z163" s="385">
        <f t="shared" si="62"/>
        <v>57.620710977974312</v>
      </c>
      <c r="AA163" s="386">
        <f t="shared" si="63"/>
        <v>62.474306940958378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7.768947269108531E-2</v>
      </c>
      <c r="AD163" s="231">
        <f>(INDEX(Models!$BJ163:$BT163,,AH163)*(1-AF163)+INDEX(Models!$BJ163:$BT163,,AH163+1)*AF163-ERP_i)*AE163*Ramure*Pc/MaxiM</f>
        <v>2.4001170342117105E-4</v>
      </c>
      <c r="AE163" s="305">
        <f t="shared" si="65"/>
        <v>0.5</v>
      </c>
      <c r="AF163" s="177">
        <f t="shared" si="66"/>
        <v>0.18659521462111162</v>
      </c>
      <c r="AG163" s="811">
        <f t="shared" si="74"/>
        <v>1</v>
      </c>
      <c r="AH163" s="176">
        <f t="shared" si="67"/>
        <v>7</v>
      </c>
      <c r="AI163" s="225">
        <f t="shared" si="68"/>
        <v>1.1865952146211116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48.719683648469633</v>
      </c>
      <c r="C164" s="841"/>
      <c r="D164" s="393">
        <f t="shared" si="50"/>
        <v>51.104627634059163</v>
      </c>
      <c r="E164" s="385">
        <f t="shared" si="72"/>
        <v>53.20832729584528</v>
      </c>
      <c r="F164" s="385">
        <f t="shared" si="51"/>
        <v>53.21752550224582</v>
      </c>
      <c r="G164" s="110">
        <f t="shared" si="73"/>
        <v>0.83464441448463256</v>
      </c>
      <c r="H164" s="414" t="b">
        <f>Wh_hp&gt;='2023'!Maxi_hp</f>
        <v>0</v>
      </c>
      <c r="I164" s="390">
        <f>IF(H164,Wh_hp,'2023'!Maxi_hp)</f>
        <v>57.223999787813696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4.6667867392894635E-2</v>
      </c>
      <c r="M164" s="845"/>
      <c r="N164" s="845"/>
      <c r="O164" s="48">
        <f>IF(t&lt;Tnet,'2023'!Resal+('2023'!Salim-'2023'!Resal)*(1-EXP(('2023'!Tnet-t)/('2023'!Tau_j))),Resal+(Salim-Resal)*(1-EXP((Tnet-t)/(Tau_j))))*Salcycl</f>
        <v>3.9537038067166991E-2</v>
      </c>
      <c r="P164" s="169">
        <f>(INDEX(Models!$BJ164:$BT164,,T164)*(1-R164)+INDEX(Models!$BJ164:$BT164,,T164+1)*R164-ERP_i)*Q164*Ramure*Pc/MaxiM</f>
        <v>2.2627951686880594E-4</v>
      </c>
      <c r="Q164" s="305">
        <f t="shared" si="53"/>
        <v>0.5</v>
      </c>
      <c r="R164" s="177">
        <f t="shared" si="54"/>
        <v>0.19146394356119911</v>
      </c>
      <c r="S164" s="811">
        <f t="shared" si="55"/>
        <v>1</v>
      </c>
      <c r="T164" s="176">
        <f t="shared" si="56"/>
        <v>7</v>
      </c>
      <c r="U164" s="251">
        <f t="shared" si="57"/>
        <v>1.1914639435611991</v>
      </c>
      <c r="V164" s="383">
        <f t="shared" si="58"/>
        <v>58.368664401682892</v>
      </c>
      <c r="W164" s="402">
        <f t="shared" si="59"/>
        <v>48.719683648469633</v>
      </c>
      <c r="X164" s="157">
        <f t="shared" si="60"/>
        <v>45441</v>
      </c>
      <c r="Y164" s="385">
        <f t="shared" si="61"/>
        <v>46.780094622072973</v>
      </c>
      <c r="Z164" s="385">
        <f t="shared" si="62"/>
        <v>49.070091127781538</v>
      </c>
      <c r="AA164" s="386">
        <f t="shared" si="63"/>
        <v>53.20832729584528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7.7774220284253695E-2</v>
      </c>
      <c r="AD164" s="231">
        <f>(INDEX(Models!$BJ164:$BT164,,AH164)*(1-AF164)+INDEX(Models!$BJ164:$BT164,,AH164+1)*AF164-ERP_i)*AE164*Ramure*Pc/MaxiM</f>
        <v>2.2627951686880594E-4</v>
      </c>
      <c r="AE164" s="305">
        <f t="shared" si="65"/>
        <v>0.5</v>
      </c>
      <c r="AF164" s="177">
        <f t="shared" si="66"/>
        <v>0.19146394356119911</v>
      </c>
      <c r="AG164" s="811">
        <f t="shared" si="74"/>
        <v>1</v>
      </c>
      <c r="AH164" s="176">
        <f t="shared" si="67"/>
        <v>7</v>
      </c>
      <c r="AI164" s="225">
        <f t="shared" si="68"/>
        <v>1.1914639435611991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51.739884505947948</v>
      </c>
      <c r="C165" s="841"/>
      <c r="D165" s="393">
        <f t="shared" si="50"/>
        <v>54.273863218613208</v>
      </c>
      <c r="E165" s="385">
        <f t="shared" si="72"/>
        <v>56.513765075899748</v>
      </c>
      <c r="F165" s="385">
        <f t="shared" si="51"/>
        <v>56.523853318148205</v>
      </c>
      <c r="G165" s="110">
        <f t="shared" si="73"/>
        <v>0.88636509181769851</v>
      </c>
      <c r="H165" s="414" t="b">
        <f>Wh_hp&gt;='2023'!Maxi_hp</f>
        <v>0</v>
      </c>
      <c r="I165" s="390">
        <f>IF(H165,Wh_hp,'2023'!Maxi_hp)</f>
        <v>63.126585406149495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4.6688747813261156E-2</v>
      </c>
      <c r="M165" s="845"/>
      <c r="N165" s="845"/>
      <c r="O165" s="48">
        <f>IF(t&lt;Tnet,'2023'!Resal+('2023'!Salim-'2023'!Resal)*(1-EXP(('2023'!Tnet-t)/('2023'!Tau_j))),Resal+(Salim-Resal)*(1-EXP((Tnet-t)/(Tau_j))))*Salcycl</f>
        <v>3.9634624489773111E-2</v>
      </c>
      <c r="P165" s="169">
        <f>(INDEX(Models!$BJ165:$BT165,,T165)*(1-R165)+INDEX(Models!$BJ165:$BT165,,T165+1)*R165-ERP_i)*Q165*Ramure*Pc/MaxiM</f>
        <v>2.1305462703400914E-4</v>
      </c>
      <c r="Q165" s="305">
        <f t="shared" si="53"/>
        <v>0.5</v>
      </c>
      <c r="R165" s="177">
        <f t="shared" si="54"/>
        <v>0.19637734011082575</v>
      </c>
      <c r="S165" s="811">
        <f t="shared" si="55"/>
        <v>1</v>
      </c>
      <c r="T165" s="176">
        <f t="shared" si="56"/>
        <v>7</v>
      </c>
      <c r="U165" s="251">
        <f t="shared" si="57"/>
        <v>1.1963773401108257</v>
      </c>
      <c r="V165" s="383">
        <f t="shared" si="58"/>
        <v>58.371088452529023</v>
      </c>
      <c r="W165" s="402">
        <f t="shared" si="59"/>
        <v>51.739884505947948</v>
      </c>
      <c r="X165" s="157">
        <f t="shared" si="60"/>
        <v>45442</v>
      </c>
      <c r="Y165" s="385">
        <f t="shared" si="61"/>
        <v>49.680558403229668</v>
      </c>
      <c r="Z165" s="385">
        <f t="shared" si="62"/>
        <v>52.113680908801463</v>
      </c>
      <c r="AA165" s="386">
        <f t="shared" si="63"/>
        <v>56.513765075899748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7.7858627206819978E-2</v>
      </c>
      <c r="AD165" s="231">
        <f>(INDEX(Models!$BJ165:$BT165,,AH165)*(1-AF165)+INDEX(Models!$BJ165:$BT165,,AH165+1)*AF165-ERP_i)*AE165*Ramure*Pc/MaxiM</f>
        <v>2.1305462703400914E-4</v>
      </c>
      <c r="AE165" s="305">
        <f t="shared" si="65"/>
        <v>0.5</v>
      </c>
      <c r="AF165" s="177">
        <f t="shared" si="66"/>
        <v>0.19637734011082575</v>
      </c>
      <c r="AG165" s="811">
        <f t="shared" si="74"/>
        <v>1</v>
      </c>
      <c r="AH165" s="176">
        <f t="shared" si="67"/>
        <v>7</v>
      </c>
      <c r="AI165" s="225">
        <f t="shared" si="68"/>
        <v>1.1963773401108257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54.05410930154784</v>
      </c>
      <c r="C166" s="841"/>
      <c r="D166" s="393">
        <f t="shared" si="50"/>
        <v>56.702669906817277</v>
      </c>
      <c r="E166" s="385">
        <f t="shared" si="72"/>
        <v>59.0487980368706</v>
      </c>
      <c r="F166" s="385">
        <f t="shared" si="51"/>
        <v>59.059379599108581</v>
      </c>
      <c r="G166" s="110">
        <f t="shared" si="73"/>
        <v>0.92603308907837223</v>
      </c>
      <c r="H166" s="414" t="b">
        <f>Wh_hp&gt;='2023'!Maxi_hp</f>
        <v>0</v>
      </c>
      <c r="I166" s="390">
        <f>IF(H166,Wh_hp,'2023'!Maxi_hp)</f>
        <v>64.729267905613341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4.6709627776292839E-2</v>
      </c>
      <c r="M166" s="845"/>
      <c r="N166" s="845"/>
      <c r="O166" s="48">
        <f>IF(t&lt;Tnet,'2023'!Resal+('2023'!Salim-'2023'!Resal)*(1-EXP(('2023'!Tnet-t)/('2023'!Tau_j))),Resal+(Salim-Resal)*(1-EXP((Tnet-t)/(Tau_j))))*Salcycl</f>
        <v>3.9732021786258565E-2</v>
      </c>
      <c r="P166" s="169">
        <f>(INDEX(Models!$BJ166:$BT166,,T166)*(1-R166)+INDEX(Models!$BJ166:$BT166,,T166+1)*R166-ERP_i)*Q166*Ramure*Pc/MaxiM</f>
        <v>2.0033095619045733E-4</v>
      </c>
      <c r="Q166" s="305">
        <f t="shared" si="53"/>
        <v>0.5</v>
      </c>
      <c r="R166" s="177">
        <f t="shared" si="54"/>
        <v>0.20133181818790802</v>
      </c>
      <c r="S166" s="811">
        <f t="shared" si="55"/>
        <v>1</v>
      </c>
      <c r="T166" s="176">
        <f t="shared" si="56"/>
        <v>7</v>
      </c>
      <c r="U166" s="251">
        <f t="shared" si="57"/>
        <v>1.201331818187908</v>
      </c>
      <c r="V166" s="383">
        <f t="shared" si="58"/>
        <v>58.370446801159481</v>
      </c>
      <c r="W166" s="402">
        <f t="shared" si="59"/>
        <v>54.05410930154784</v>
      </c>
      <c r="X166" s="157">
        <f t="shared" si="60"/>
        <v>45443</v>
      </c>
      <c r="Y166" s="385">
        <f t="shared" si="61"/>
        <v>51.903209473611206</v>
      </c>
      <c r="Z166" s="385">
        <f t="shared" si="62"/>
        <v>54.446379598420158</v>
      </c>
      <c r="AA166" s="386">
        <f t="shared" si="63"/>
        <v>59.0487980368706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7.794262697060575E-2</v>
      </c>
      <c r="AD166" s="231">
        <f>(INDEX(Models!$BJ166:$BT166,,AH166)*(1-AF166)+INDEX(Models!$BJ166:$BT166,,AH166+1)*AF166-ERP_i)*AE166*Ramure*Pc/MaxiM</f>
        <v>2.0033095619045733E-4</v>
      </c>
      <c r="AE166" s="305">
        <f t="shared" si="65"/>
        <v>0.5</v>
      </c>
      <c r="AF166" s="177">
        <f t="shared" si="66"/>
        <v>0.20133181818790802</v>
      </c>
      <c r="AG166" s="811">
        <f t="shared" si="74"/>
        <v>1</v>
      </c>
      <c r="AH166" s="176">
        <f t="shared" si="67"/>
        <v>7</v>
      </c>
      <c r="AI166" s="225">
        <f t="shared" si="68"/>
        <v>1.201331818187908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43.423054989123017</v>
      </c>
      <c r="C167" s="841"/>
      <c r="D167" s="393">
        <f t="shared" si="50"/>
        <v>45.55170948071931</v>
      </c>
      <c r="E167" s="385">
        <f t="shared" si="72"/>
        <v>47.441256556731723</v>
      </c>
      <c r="F167" s="385">
        <f t="shared" si="51"/>
        <v>47.446917090821536</v>
      </c>
      <c r="G167" s="110">
        <f t="shared" si="73"/>
        <v>0.74391919173247134</v>
      </c>
      <c r="H167" s="414" t="b">
        <f>Wh_hp&gt;='2023'!Maxi_hp</f>
        <v>0</v>
      </c>
      <c r="I167" s="390">
        <f>IF(H167,Wh_hp,'2023'!Maxi_hp)</f>
        <v>63.739845271535835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4.6730507281999789E-2</v>
      </c>
      <c r="M167" s="845"/>
      <c r="N167" s="845"/>
      <c r="O167" s="48">
        <f>IF(t&lt;Tnet,'2023'!Resal+('2023'!Salim-'2023'!Resal)*(1-EXP(('2023'!Tnet-t)/('2023'!Tau_j))),Resal+(Salim-Resal)*(1-EXP((Tnet-t)/(Tau_j))))*Salcycl</f>
        <v>3.9829195370338362E-2</v>
      </c>
      <c r="P167" s="169">
        <f>(INDEX(Models!$BJ167:$BT167,,T167)*(1-R167)+INDEX(Models!$BJ167:$BT167,,T167+1)*R167-ERP_i)*Q167*Ramure*Pc/MaxiM</f>
        <v>1.8810201680548866E-4</v>
      </c>
      <c r="Q167" s="305">
        <f t="shared" si="53"/>
        <v>0.5</v>
      </c>
      <c r="R167" s="177">
        <f t="shared" si="54"/>
        <v>0.20632366160232074</v>
      </c>
      <c r="S167" s="811">
        <f t="shared" si="55"/>
        <v>1</v>
      </c>
      <c r="T167" s="176">
        <f t="shared" si="56"/>
        <v>7</v>
      </c>
      <c r="U167" s="251">
        <f t="shared" si="57"/>
        <v>1.2063236616023207</v>
      </c>
      <c r="V167" s="383">
        <f t="shared" si="58"/>
        <v>58.366644695315344</v>
      </c>
      <c r="W167" s="402">
        <f t="shared" si="59"/>
        <v>43.423054989123017</v>
      </c>
      <c r="X167" s="157">
        <f t="shared" si="60"/>
        <v>45444</v>
      </c>
      <c r="Y167" s="385">
        <f t="shared" si="61"/>
        <v>41.695624190559542</v>
      </c>
      <c r="Z167" s="385">
        <f t="shared" si="62"/>
        <v>43.739597783282989</v>
      </c>
      <c r="AA167" s="386">
        <f t="shared" si="63"/>
        <v>47.441256556731723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7.802615365008668E-2</v>
      </c>
      <c r="AD167" s="231">
        <f>(INDEX(Models!$BJ167:$BT167,,AH167)*(1-AF167)+INDEX(Models!$BJ167:$BT167,,AH167+1)*AF167-ERP_i)*AE167*Ramure*Pc/MaxiM</f>
        <v>1.8810201680548866E-4</v>
      </c>
      <c r="AE167" s="305">
        <f t="shared" si="65"/>
        <v>0.5</v>
      </c>
      <c r="AF167" s="177">
        <f t="shared" si="66"/>
        <v>0.20632366160232074</v>
      </c>
      <c r="AG167" s="811">
        <f t="shared" si="74"/>
        <v>1</v>
      </c>
      <c r="AH167" s="176">
        <f t="shared" si="67"/>
        <v>7</v>
      </c>
      <c r="AI167" s="225">
        <f t="shared" si="68"/>
        <v>1.2063236616023207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52.919632737971426</v>
      </c>
      <c r="C168" s="841"/>
      <c r="D168" s="393">
        <f t="shared" si="50"/>
        <v>55.515037713249853</v>
      </c>
      <c r="E168" s="385">
        <f t="shared" si="72"/>
        <v>57.82371371926898</v>
      </c>
      <c r="F168" s="385">
        <f t="shared" si="51"/>
        <v>57.832554934409202</v>
      </c>
      <c r="G168" s="110">
        <f t="shared" si="73"/>
        <v>0.90676428777217599</v>
      </c>
      <c r="H168" s="414" t="b">
        <f>Wh_hp&gt;='2023'!Maxi_hp</f>
        <v>0</v>
      </c>
      <c r="I168" s="390">
        <f>IF(H168,Wh_hp,'2023'!Maxi_hp)</f>
        <v>57.833207872898761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4.6751386330391997E-2</v>
      </c>
      <c r="M168" s="845"/>
      <c r="N168" s="845"/>
      <c r="O168" s="48">
        <f>IF(t&lt;Tnet,'2023'!Resal+('2023'!Salim-'2023'!Resal)*(1-EXP(('2023'!Tnet-t)/('2023'!Tau_j))),Resal+(Salim-Resal)*(1-EXP((Tnet-t)/(Tau_j))))*Salcycl</f>
        <v>3.9926110889861269E-2</v>
      </c>
      <c r="P168" s="169">
        <f>(INDEX(Models!$BJ168:$BT168,,T168)*(1-R168)+INDEX(Models!$BJ168:$BT168,,T168+1)*R168-ERP_i)*Q168*Ramure*Pc/MaxiM</f>
        <v>1.7636092315536487E-4</v>
      </c>
      <c r="Q168" s="305">
        <f t="shared" si="53"/>
        <v>0.5</v>
      </c>
      <c r="R168" s="177">
        <f t="shared" si="54"/>
        <v>0.21134903438459252</v>
      </c>
      <c r="S168" s="811">
        <f t="shared" si="55"/>
        <v>1</v>
      </c>
      <c r="T168" s="176">
        <f t="shared" si="56"/>
        <v>7</v>
      </c>
      <c r="U168" s="251">
        <f t="shared" si="57"/>
        <v>1.2113490343845925</v>
      </c>
      <c r="V168" s="383">
        <f t="shared" si="58"/>
        <v>58.359587439708847</v>
      </c>
      <c r="W168" s="402">
        <f t="shared" si="59"/>
        <v>52.919632737971426</v>
      </c>
      <c r="X168" s="157">
        <f t="shared" si="60"/>
        <v>45445</v>
      </c>
      <c r="Y168" s="385">
        <f t="shared" si="61"/>
        <v>50.814969739584313</v>
      </c>
      <c r="Z168" s="385">
        <f t="shared" si="62"/>
        <v>53.307153045801932</v>
      </c>
      <c r="AA168" s="386">
        <f t="shared" si="63"/>
        <v>57.82371371926898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7.8109142131456796E-2</v>
      </c>
      <c r="AD168" s="231">
        <f>(INDEX(Models!$BJ168:$BT168,,AH168)*(1-AF168)+INDEX(Models!$BJ168:$BT168,,AH168+1)*AF168-ERP_i)*AE168*Ramure*Pc/MaxiM</f>
        <v>1.7636092315536487E-4</v>
      </c>
      <c r="AE168" s="305">
        <f t="shared" si="65"/>
        <v>0.5</v>
      </c>
      <c r="AF168" s="177">
        <f t="shared" si="66"/>
        <v>0.21134903438459252</v>
      </c>
      <c r="AG168" s="811">
        <f t="shared" si="74"/>
        <v>1</v>
      </c>
      <c r="AH168" s="176">
        <f t="shared" si="67"/>
        <v>7</v>
      </c>
      <c r="AI168" s="225">
        <f t="shared" si="68"/>
        <v>1.2113490343845925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23.897384160586</v>
      </c>
      <c r="C169" s="841"/>
      <c r="D169" s="393">
        <f t="shared" si="50"/>
        <v>25.069963117069285</v>
      </c>
      <c r="E169" s="385">
        <f t="shared" si="72"/>
        <v>26.115163363070035</v>
      </c>
      <c r="F169" s="385">
        <f t="shared" si="51"/>
        <v>26.115838200069817</v>
      </c>
      <c r="G169" s="110">
        <f t="shared" si="73"/>
        <v>0.40950114396561704</v>
      </c>
      <c r="H169" s="414" t="b">
        <f>Wh_hp&gt;='2023'!Maxi_hp</f>
        <v>0</v>
      </c>
      <c r="I169" s="390">
        <f>IF(H169,Wh_hp,'2023'!Maxi_hp)</f>
        <v>59.953702782585943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4.6772264921479456E-2</v>
      </c>
      <c r="M169" s="845"/>
      <c r="N169" s="845"/>
      <c r="O169" s="48">
        <f>IF(t&lt;Tnet,'2023'!Resal+('2023'!Salim-'2023'!Resal)*(1-EXP(('2023'!Tnet-t)/('2023'!Tau_j))),Resal+(Salim-Resal)*(1-EXP((Tnet-t)/(Tau_j))))*Salcycl</f>
        <v>4.0022734358184736E-2</v>
      </c>
      <c r="P169" s="169">
        <f>(INDEX(Models!$BJ169:$BT169,,T169)*(1-R169)+INDEX(Models!$BJ169:$BT169,,T169+1)*R169-ERP_i)*Q169*Ramure*Pc/MaxiM</f>
        <v>1.6510040748983129E-4</v>
      </c>
      <c r="Q169" s="305">
        <f t="shared" si="53"/>
        <v>0.5</v>
      </c>
      <c r="R169" s="177">
        <f t="shared" si="54"/>
        <v>0.21640399191425241</v>
      </c>
      <c r="S169" s="811">
        <f t="shared" si="55"/>
        <v>1</v>
      </c>
      <c r="T169" s="176">
        <f t="shared" si="56"/>
        <v>7</v>
      </c>
      <c r="U169" s="251">
        <f t="shared" si="57"/>
        <v>1.2164039919142524</v>
      </c>
      <c r="V169" s="383">
        <f t="shared" si="58"/>
        <v>58.349180388521518</v>
      </c>
      <c r="W169" s="402">
        <f t="shared" si="59"/>
        <v>23.897384160586</v>
      </c>
      <c r="X169" s="157">
        <f t="shared" si="60"/>
        <v>45446</v>
      </c>
      <c r="Y169" s="385">
        <f t="shared" si="61"/>
        <v>22.947221728719249</v>
      </c>
      <c r="Z169" s="385">
        <f t="shared" si="62"/>
        <v>24.073178826284373</v>
      </c>
      <c r="AA169" s="386">
        <f t="shared" si="63"/>
        <v>26.115163363070035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7.819152836214964E-2</v>
      </c>
      <c r="AD169" s="231">
        <f>(INDEX(Models!$BJ169:$BT169,,AH169)*(1-AF169)+INDEX(Models!$BJ169:$BT169,,AH169+1)*AF169-ERP_i)*AE169*Ramure*Pc/MaxiM</f>
        <v>1.6510040748983129E-4</v>
      </c>
      <c r="AE169" s="305">
        <f t="shared" si="65"/>
        <v>0.5</v>
      </c>
      <c r="AF169" s="177">
        <f t="shared" si="66"/>
        <v>0.21640399191425241</v>
      </c>
      <c r="AG169" s="811">
        <f t="shared" si="74"/>
        <v>1</v>
      </c>
      <c r="AH169" s="176">
        <f t="shared" si="67"/>
        <v>7</v>
      </c>
      <c r="AI169" s="225">
        <f t="shared" si="68"/>
        <v>1.2164039919142524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32.96611484710359</v>
      </c>
      <c r="C170" s="841"/>
      <c r="D170" s="393">
        <f t="shared" si="50"/>
        <v>34.584428979842251</v>
      </c>
      <c r="E170" s="385">
        <f t="shared" ref="E170:E232" si="75">Wh_pvt/(1-Psa)</f>
        <v>36.029914273856036</v>
      </c>
      <c r="F170" s="385">
        <f t="shared" si="51"/>
        <v>36.032024414036613</v>
      </c>
      <c r="G170" s="110">
        <f t="shared" ref="G170:G232" si="76">+Wh_hp/MaxiM</f>
        <v>0.56505995188361768</v>
      </c>
      <c r="H170" s="414" t="b">
        <f>Wh_hp&gt;='2023'!Maxi_hp</f>
        <v>0</v>
      </c>
      <c r="I170" s="390">
        <f>IF(H170,Wh_hp,'2023'!Maxi_hp)</f>
        <v>43.180770881481472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4.6793143055272157E-2</v>
      </c>
      <c r="M170" s="845"/>
      <c r="N170" s="845"/>
      <c r="O170" s="48">
        <f>IF(t&lt;Tnet,'2023'!Resal+('2023'!Salim-'2023'!Resal)*(1-EXP(('2023'!Tnet-t)/('2023'!Tau_j))),Resal+(Salim-Resal)*(1-EXP((Tnet-t)/(Tau_j))))*Salcycl</f>
        <v>4.0119032285976179E-2</v>
      </c>
      <c r="P170" s="169">
        <f>(INDEX(Models!$BJ170:$BT170,,T170)*(1-R170)+INDEX(Models!$BJ170:$BT170,,T170+1)*R170-ERP_i)*Q170*Ramure*Pc/MaxiM</f>
        <v>1.5462781685197143E-4</v>
      </c>
      <c r="Q170" s="305">
        <f t="shared" si="53"/>
        <v>0.5</v>
      </c>
      <c r="R170" s="177">
        <f t="shared" si="54"/>
        <v>0.22148449278452431</v>
      </c>
      <c r="S170" s="811">
        <f t="shared" si="55"/>
        <v>1</v>
      </c>
      <c r="T170" s="176">
        <f t="shared" si="56"/>
        <v>7</v>
      </c>
      <c r="U170" s="251">
        <f t="shared" si="57"/>
        <v>1.2214844927845243</v>
      </c>
      <c r="V170" s="383">
        <f t="shared" si="58"/>
        <v>58.335310554175265</v>
      </c>
      <c r="W170" s="402">
        <f t="shared" si="59"/>
        <v>32.96611484710359</v>
      </c>
      <c r="X170" s="157">
        <f t="shared" si="60"/>
        <v>45447</v>
      </c>
      <c r="Y170" s="385">
        <f t="shared" si="61"/>
        <v>31.655747882703373</v>
      </c>
      <c r="Z170" s="385">
        <f t="shared" si="62"/>
        <v>33.209735800860848</v>
      </c>
      <c r="AA170" s="386">
        <f t="shared" si="63"/>
        <v>36.029914273856036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7.8273249599196612E-2</v>
      </c>
      <c r="AD170" s="231">
        <f>(INDEX(Models!$BJ170:$BT170,,AH170)*(1-AF170)+INDEX(Models!$BJ170:$BT170,,AH170+1)*AF170-ERP_i)*AE170*Ramure*Pc/MaxiM</f>
        <v>1.5462781685197143E-4</v>
      </c>
      <c r="AE170" s="305">
        <f t="shared" si="65"/>
        <v>0.5</v>
      </c>
      <c r="AF170" s="177">
        <f t="shared" si="66"/>
        <v>0.22148449278452431</v>
      </c>
      <c r="AG170" s="811">
        <f t="shared" si="74"/>
        <v>1</v>
      </c>
      <c r="AH170" s="176">
        <f t="shared" si="67"/>
        <v>7</v>
      </c>
      <c r="AI170" s="225">
        <f t="shared" si="68"/>
        <v>1.2214844927845243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46.428785943411128</v>
      </c>
      <c r="C171" s="841"/>
      <c r="D171" s="393">
        <f t="shared" si="50"/>
        <v>48.70905253878729</v>
      </c>
      <c r="E171" s="385">
        <f t="shared" si="75"/>
        <v>50.74996078108849</v>
      </c>
      <c r="F171" s="385">
        <f t="shared" si="51"/>
        <v>50.755181353400161</v>
      </c>
      <c r="G171" s="110">
        <f t="shared" si="76"/>
        <v>0.7960994031845976</v>
      </c>
      <c r="H171" s="414" t="b">
        <f>Wh_hp&gt;='2023'!Maxi_hp</f>
        <v>0</v>
      </c>
      <c r="I171" s="390">
        <f>IF(H171,Wh_hp,'2023'!Maxi_hp)</f>
        <v>62.343880742671914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4.6814020731780204E-2</v>
      </c>
      <c r="M171" s="845"/>
      <c r="N171" s="845"/>
      <c r="O171" s="48">
        <f>IF(t&lt;Tnet,'2023'!Resal+('2023'!Salim-'2023'!Resal)*(1-EXP(('2023'!Tnet-t)/('2023'!Tau_j))),Resal+(Salim-Resal)*(1-EXP((Tnet-t)/(Tau_j))))*Salcycl</f>
        <v>4.0214971812583634E-2</v>
      </c>
      <c r="P171" s="169">
        <f>(INDEX(Models!$BJ171:$BT171,,T171)*(1-R171)+INDEX(Models!$BJ171:$BT171,,T171+1)*R171-ERP_i)*Q171*Ramure*Pc/MaxiM</f>
        <v>1.4512345467616511E-4</v>
      </c>
      <c r="Q171" s="305">
        <f t="shared" si="53"/>
        <v>0.5</v>
      </c>
      <c r="R171" s="177">
        <f t="shared" si="54"/>
        <v>0.22658641133166424</v>
      </c>
      <c r="S171" s="811">
        <f t="shared" si="55"/>
        <v>1</v>
      </c>
      <c r="T171" s="176">
        <f t="shared" si="56"/>
        <v>7</v>
      </c>
      <c r="U171" s="251">
        <f t="shared" si="57"/>
        <v>1.2265864113316642</v>
      </c>
      <c r="V171" s="383">
        <f t="shared" si="58"/>
        <v>58.317872389178703</v>
      </c>
      <c r="W171" s="402">
        <f t="shared" si="59"/>
        <v>46.428785943411128</v>
      </c>
      <c r="X171" s="157">
        <f t="shared" si="60"/>
        <v>45448</v>
      </c>
      <c r="Y171" s="385">
        <f t="shared" si="61"/>
        <v>44.583830997435697</v>
      </c>
      <c r="Z171" s="385">
        <f t="shared" si="62"/>
        <v>46.773485937826749</v>
      </c>
      <c r="AA171" s="386">
        <f t="shared" si="63"/>
        <v>50.74996078108849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7.8354244654776903E-2</v>
      </c>
      <c r="AD171" s="231">
        <f>(INDEX(Models!$BJ171:$BT171,,AH171)*(1-AF171)+INDEX(Models!$BJ171:$BT171,,AH171+1)*AF171-ERP_i)*AE171*Ramure*Pc/MaxiM</f>
        <v>1.4512345467616511E-4</v>
      </c>
      <c r="AE171" s="305">
        <f t="shared" si="65"/>
        <v>0.5</v>
      </c>
      <c r="AF171" s="177">
        <f t="shared" si="66"/>
        <v>0.22658641133166424</v>
      </c>
      <c r="AG171" s="811">
        <f t="shared" si="74"/>
        <v>1</v>
      </c>
      <c r="AH171" s="176">
        <f t="shared" si="67"/>
        <v>7</v>
      </c>
      <c r="AI171" s="225">
        <f t="shared" si="68"/>
        <v>1.2265864113316642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24.204870445293121</v>
      </c>
      <c r="C172" s="841"/>
      <c r="D172" s="393">
        <f t="shared" si="50"/>
        <v>25.394205466881591</v>
      </c>
      <c r="E172" s="385">
        <f t="shared" si="75"/>
        <v>26.460856368880471</v>
      </c>
      <c r="F172" s="385">
        <f t="shared" si="51"/>
        <v>26.461451318043505</v>
      </c>
      <c r="G172" s="110">
        <f t="shared" si="76"/>
        <v>0.41515350082588398</v>
      </c>
      <c r="H172" s="414" t="b">
        <f>Wh_hp&gt;='2023'!Maxi_hp</f>
        <v>0</v>
      </c>
      <c r="I172" s="390">
        <f>IF(H172,Wh_hp,'2023'!Maxi_hp)</f>
        <v>54.813719171232592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4.6834897951013477E-2</v>
      </c>
      <c r="M172" s="845"/>
      <c r="N172" s="845"/>
      <c r="O172" s="48">
        <f>IF(t&lt;Tnet,'2023'!Resal+('2023'!Salim-'2023'!Resal)*(1-EXP(('2023'!Tnet-t)/('2023'!Tau_j))),Resal+(Salim-Resal)*(1-EXP((Tnet-t)/(Tau_j))))*Salcycl</f>
        <v>4.0310520836102905E-2</v>
      </c>
      <c r="P172" s="169">
        <f>(INDEX(Models!$BJ172:$BT172,,T172)*(1-R172)+INDEX(Models!$BJ172:$BT172,,T172+1)*R172-ERP_i)*Q172*Ramure*Pc/MaxiM</f>
        <v>1.3661815032691969E-4</v>
      </c>
      <c r="Q172" s="305">
        <f t="shared" si="53"/>
        <v>0.5</v>
      </c>
      <c r="R172" s="177">
        <f t="shared" si="54"/>
        <v>0.23170555074949029</v>
      </c>
      <c r="S172" s="811">
        <f t="shared" si="55"/>
        <v>1</v>
      </c>
      <c r="T172" s="176">
        <f t="shared" si="56"/>
        <v>7</v>
      </c>
      <c r="U172" s="251">
        <f t="shared" si="57"/>
        <v>1.2317055507494903</v>
      </c>
      <c r="V172" s="383">
        <f t="shared" si="58"/>
        <v>58.296769082913741</v>
      </c>
      <c r="W172" s="402">
        <f t="shared" si="59"/>
        <v>24.204870445293121</v>
      </c>
      <c r="X172" s="157">
        <f t="shared" si="60"/>
        <v>45449</v>
      </c>
      <c r="Y172" s="385">
        <f t="shared" si="61"/>
        <v>23.243325188774932</v>
      </c>
      <c r="Z172" s="385">
        <f t="shared" si="62"/>
        <v>24.385413543581851</v>
      </c>
      <c r="AA172" s="386">
        <f t="shared" si="63"/>
        <v>26.460856368880471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7.8434454137299298E-2</v>
      </c>
      <c r="AD172" s="231">
        <f>(INDEX(Models!$BJ172:$BT172,,AH172)*(1-AF172)+INDEX(Models!$BJ172:$BT172,,AH172+1)*AF172-ERP_i)*AE172*Ramure*Pc/MaxiM</f>
        <v>1.3661815032691969E-4</v>
      </c>
      <c r="AE172" s="305">
        <f t="shared" si="65"/>
        <v>0.5</v>
      </c>
      <c r="AF172" s="177">
        <f t="shared" si="66"/>
        <v>0.23170555074949029</v>
      </c>
      <c r="AG172" s="811">
        <f t="shared" si="74"/>
        <v>1</v>
      </c>
      <c r="AH172" s="176">
        <f t="shared" si="67"/>
        <v>7</v>
      </c>
      <c r="AI172" s="225">
        <f t="shared" si="68"/>
        <v>1.2317055507494903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19.789028186028066</v>
      </c>
      <c r="C173" s="841"/>
      <c r="D173" s="393">
        <f t="shared" si="50"/>
        <v>20.761840297641257</v>
      </c>
      <c r="E173" s="385">
        <f t="shared" si="75"/>
        <v>21.636059296749149</v>
      </c>
      <c r="F173" s="385">
        <f t="shared" si="51"/>
        <v>21.63621735932815</v>
      </c>
      <c r="G173" s="110">
        <f t="shared" si="76"/>
        <v>0.33955673021409899</v>
      </c>
      <c r="H173" s="414" t="b">
        <f>Wh_hp&gt;='2023'!Maxi_hp</f>
        <v>0</v>
      </c>
      <c r="I173" s="390">
        <f>IF(H173,Wh_hp,'2023'!Maxi_hp)</f>
        <v>64.469263284236831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4.6855774712982079E-2</v>
      </c>
      <c r="M173" s="845"/>
      <c r="N173" s="845"/>
      <c r="O173" s="48">
        <f>IF(t&lt;Tnet,'2023'!Resal+('2023'!Salim-'2023'!Resal)*(1-EXP(('2023'!Tnet-t)/('2023'!Tau_j))),Resal+(Salim-Resal)*(1-EXP((Tnet-t)/(Tau_j))))*Salcycl</f>
        <v>4.0405648141260492E-2</v>
      </c>
      <c r="P173" s="169">
        <f>(INDEX(Models!$BJ173:$BT173,,T173)*(1-R173)+INDEX(Models!$BJ173:$BT173,,T173+1)*R173-ERP_i)*Q173*Ramure*Pc/MaxiM</f>
        <v>1.2914314252748717E-4</v>
      </c>
      <c r="Q173" s="305">
        <f t="shared" si="53"/>
        <v>0.5</v>
      </c>
      <c r="R173" s="177">
        <f t="shared" si="54"/>
        <v>0.2368376567027568</v>
      </c>
      <c r="S173" s="811">
        <f t="shared" si="55"/>
        <v>1</v>
      </c>
      <c r="T173" s="176">
        <f t="shared" si="56"/>
        <v>7</v>
      </c>
      <c r="U173" s="251">
        <f t="shared" si="57"/>
        <v>1.2368376567027568</v>
      </c>
      <c r="V173" s="383">
        <f t="shared" si="58"/>
        <v>58.271903804286325</v>
      </c>
      <c r="W173" s="402">
        <f t="shared" si="59"/>
        <v>19.789028186028066</v>
      </c>
      <c r="X173" s="157">
        <f t="shared" si="60"/>
        <v>45450</v>
      </c>
      <c r="Y173" s="385">
        <f t="shared" si="61"/>
        <v>19.003150591863157</v>
      </c>
      <c r="Z173" s="385">
        <f t="shared" si="62"/>
        <v>19.937329616764753</v>
      </c>
      <c r="AA173" s="386">
        <f t="shared" si="63"/>
        <v>21.636059296749149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7.8513820686359176E-2</v>
      </c>
      <c r="AD173" s="231">
        <f>(INDEX(Models!$BJ173:$BT173,,AH173)*(1-AF173)+INDEX(Models!$BJ173:$BT173,,AH173+1)*AF173-ERP_i)*AE173*Ramure*Pc/MaxiM</f>
        <v>1.2914314252748717E-4</v>
      </c>
      <c r="AE173" s="305">
        <f t="shared" si="65"/>
        <v>0.5</v>
      </c>
      <c r="AF173" s="177">
        <f t="shared" si="66"/>
        <v>0.2368376567027568</v>
      </c>
      <c r="AG173" s="811">
        <f t="shared" si="74"/>
        <v>1</v>
      </c>
      <c r="AH173" s="176">
        <f t="shared" si="67"/>
        <v>7</v>
      </c>
      <c r="AI173" s="225">
        <f t="shared" si="68"/>
        <v>1.2368376567027568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45.221909662626672</v>
      </c>
      <c r="C174" s="841"/>
      <c r="D174" s="393">
        <f t="shared" si="50"/>
        <v>47.44602019341179</v>
      </c>
      <c r="E174" s="385">
        <f t="shared" si="75"/>
        <v>49.448708901789793</v>
      </c>
      <c r="F174" s="385">
        <f t="shared" si="51"/>
        <v>49.452839809845273</v>
      </c>
      <c r="G174" s="110">
        <f t="shared" si="76"/>
        <v>0.77640226979808535</v>
      </c>
      <c r="H174" s="414" t="b">
        <f>Wh_hp&gt;='2023'!Maxi_hp</f>
        <v>0</v>
      </c>
      <c r="I174" s="390">
        <f>IF(H174,Wh_hp,'2023'!Maxi_hp)</f>
        <v>60.601331416290115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4.6876651017696003E-2</v>
      </c>
      <c r="M174" s="845"/>
      <c r="N174" s="845"/>
      <c r="O174" s="48">
        <f>IF(t&lt;Tnet,'2023'!Resal+('2023'!Salim-'2023'!Resal)*(1-EXP(('2023'!Tnet-t)/('2023'!Tau_j))),Resal+(Salim-Resal)*(1-EXP((Tnet-t)/(Tau_j))))*Salcycl</f>
        <v>4.0500323524230886E-2</v>
      </c>
      <c r="P174" s="169">
        <f>(INDEX(Models!$BJ174:$BT174,,T174)*(1-R174)+INDEX(Models!$BJ174:$BT174,,T174+1)*R174-ERP_i)*Q174*Ramure*Pc/MaxiM</f>
        <v>1.2273000871029994E-4</v>
      </c>
      <c r="Q174" s="305">
        <f t="shared" si="53"/>
        <v>0.5</v>
      </c>
      <c r="R174" s="177">
        <f t="shared" si="54"/>
        <v>0.24197843134706254</v>
      </c>
      <c r="S174" s="811">
        <f t="shared" si="55"/>
        <v>1</v>
      </c>
      <c r="T174" s="176">
        <f t="shared" si="56"/>
        <v>7</v>
      </c>
      <c r="U174" s="251">
        <f t="shared" si="57"/>
        <v>1.2419784313470625</v>
      </c>
      <c r="V174" s="383">
        <f t="shared" si="58"/>
        <v>58.243179698311764</v>
      </c>
      <c r="W174" s="402">
        <f t="shared" si="59"/>
        <v>45.221909662626672</v>
      </c>
      <c r="X174" s="157">
        <f t="shared" si="60"/>
        <v>45451</v>
      </c>
      <c r="Y174" s="385">
        <f t="shared" si="61"/>
        <v>43.426607931014438</v>
      </c>
      <c r="Z174" s="385">
        <f t="shared" si="62"/>
        <v>45.562421671217194</v>
      </c>
      <c r="AA174" s="386">
        <f t="shared" si="63"/>
        <v>49.448708901789793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7.8592289199929666E-2</v>
      </c>
      <c r="AD174" s="231">
        <f>(INDEX(Models!$BJ174:$BT174,,AH174)*(1-AF174)+INDEX(Models!$BJ174:$BT174,,AH174+1)*AF174-ERP_i)*AE174*Ramure*Pc/MaxiM</f>
        <v>1.2273000871029994E-4</v>
      </c>
      <c r="AE174" s="305">
        <f t="shared" si="65"/>
        <v>0.5</v>
      </c>
      <c r="AF174" s="177">
        <f t="shared" si="66"/>
        <v>0.24197843134706254</v>
      </c>
      <c r="AG174" s="811">
        <f t="shared" si="74"/>
        <v>1</v>
      </c>
      <c r="AH174" s="176">
        <f t="shared" si="67"/>
        <v>7</v>
      </c>
      <c r="AI174" s="225">
        <f t="shared" si="68"/>
        <v>1.2419784313470625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55.188088045233748</v>
      </c>
      <c r="C175" s="841"/>
      <c r="D175" s="393">
        <f t="shared" si="50"/>
        <v>57.90362484709064</v>
      </c>
      <c r="E175" s="385">
        <f t="shared" si="75"/>
        <v>60.353652265112785</v>
      </c>
      <c r="F175" s="385">
        <f t="shared" si="51"/>
        <v>60.360213524784243</v>
      </c>
      <c r="G175" s="110">
        <f t="shared" si="76"/>
        <v>0.94806963481869766</v>
      </c>
      <c r="H175" s="414" t="b">
        <f>Wh_hp&gt;='2023'!Maxi_hp</f>
        <v>0</v>
      </c>
      <c r="I175" s="390">
        <f>IF(H175,Wh_hp,'2023'!Maxi_hp)</f>
        <v>61.199848181326935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4.6897526865165351E-2</v>
      </c>
      <c r="M175" s="845"/>
      <c r="N175" s="845"/>
      <c r="O175" s="48">
        <f>IF(t&lt;Tnet,'2023'!Resal+('2023'!Salim-'2023'!Resal)*(1-EXP(('2023'!Tnet-t)/('2023'!Tau_j))),Resal+(Salim-Resal)*(1-EXP((Tnet-t)/(Tau_j))))*Salcycl</f>
        <v>4.0594517913514587E-2</v>
      </c>
      <c r="P175" s="169">
        <f>(INDEX(Models!$BJ175:$BT175,,T175)*(1-R175)+INDEX(Models!$BJ175:$BT175,,T175+1)*R175-ERP_i)*Q175*Ramure*Pc/MaxiM</f>
        <v>1.1741059575520033E-4</v>
      </c>
      <c r="Q175" s="305">
        <f t="shared" si="53"/>
        <v>0.5</v>
      </c>
      <c r="R175" s="177">
        <f t="shared" si="54"/>
        <v>0.24712354765807421</v>
      </c>
      <c r="S175" s="811">
        <f t="shared" si="55"/>
        <v>1</v>
      </c>
      <c r="T175" s="176">
        <f t="shared" si="56"/>
        <v>7</v>
      </c>
      <c r="U175" s="251">
        <f t="shared" si="57"/>
        <v>1.2471235476580742</v>
      </c>
      <c r="V175" s="383">
        <f t="shared" si="58"/>
        <v>58.210499883715535</v>
      </c>
      <c r="W175" s="402">
        <f t="shared" si="59"/>
        <v>55.188088045233748</v>
      </c>
      <c r="X175" s="157">
        <f t="shared" si="60"/>
        <v>45452</v>
      </c>
      <c r="Y175" s="385">
        <f t="shared" si="61"/>
        <v>52.997874992914667</v>
      </c>
      <c r="Z175" s="385">
        <f t="shared" si="62"/>
        <v>55.60564208652211</v>
      </c>
      <c r="AA175" s="386">
        <f t="shared" si="63"/>
        <v>60.353652265112785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7.866980705217809E-2</v>
      </c>
      <c r="AD175" s="231">
        <f>(INDEX(Models!$BJ175:$BT175,,AH175)*(1-AF175)+INDEX(Models!$BJ175:$BT175,,AH175+1)*AF175-ERP_i)*AE175*Ramure*Pc/MaxiM</f>
        <v>1.1741059575520033E-4</v>
      </c>
      <c r="AE175" s="305">
        <f t="shared" si="65"/>
        <v>0.5</v>
      </c>
      <c r="AF175" s="177">
        <f t="shared" si="66"/>
        <v>0.24712354765807421</v>
      </c>
      <c r="AG175" s="811">
        <f t="shared" si="74"/>
        <v>1</v>
      </c>
      <c r="AH175" s="176">
        <f t="shared" si="67"/>
        <v>7</v>
      </c>
      <c r="AI175" s="225">
        <f t="shared" si="68"/>
        <v>1.2471235476580742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53.961583183262285</v>
      </c>
      <c r="C176" s="841"/>
      <c r="D176" s="393">
        <f t="shared" si="50"/>
        <v>56.618009739101609</v>
      </c>
      <c r="E176" s="385">
        <f t="shared" si="75"/>
        <v>59.019403227234697</v>
      </c>
      <c r="F176" s="385">
        <f t="shared" si="51"/>
        <v>59.025394656787064</v>
      </c>
      <c r="G176" s="110">
        <f t="shared" si="76"/>
        <v>0.92758219960077937</v>
      </c>
      <c r="H176" s="414" t="b">
        <f>Wh_hp&gt;='2023'!Maxi_hp</f>
        <v>0</v>
      </c>
      <c r="I176" s="390">
        <f>IF(H176,Wh_hp,'2023'!Maxi_hp)</f>
        <v>59.025709659388554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4.6918402255400005E-2</v>
      </c>
      <c r="M176" s="845"/>
      <c r="N176" s="845"/>
      <c r="O176" s="48">
        <f>IF(t&lt;Tnet,'2023'!Resal+('2023'!Salim-'2023'!Resal)*(1-EXP(('2023'!Tnet-t)/('2023'!Tau_j))),Resal+(Salim-Resal)*(1-EXP((Tnet-t)/(Tau_j))))*Salcycl</f>
        <v>4.0688203486018266E-2</v>
      </c>
      <c r="P176" s="169">
        <f>(INDEX(Models!$BJ176:$BT176,,T176)*(1-R176)+INDEX(Models!$BJ176:$BT176,,T176+1)*R176-ERP_i)*Q176*Ramure*Pc/MaxiM</f>
        <v>1.1321695301820501E-4</v>
      </c>
      <c r="Q176" s="305">
        <f t="shared" si="53"/>
        <v>0.5</v>
      </c>
      <c r="R176" s="177">
        <f t="shared" si="54"/>
        <v>0.25226866396908565</v>
      </c>
      <c r="S176" s="811">
        <f t="shared" si="55"/>
        <v>1</v>
      </c>
      <c r="T176" s="176">
        <f t="shared" si="56"/>
        <v>7</v>
      </c>
      <c r="U176" s="251">
        <f t="shared" si="57"/>
        <v>1.2522686639690856</v>
      </c>
      <c r="V176" s="383">
        <f t="shared" si="58"/>
        <v>58.173767455645326</v>
      </c>
      <c r="W176" s="402">
        <f t="shared" si="59"/>
        <v>53.961583183262285</v>
      </c>
      <c r="X176" s="157">
        <f t="shared" si="60"/>
        <v>45453</v>
      </c>
      <c r="Y176" s="385">
        <f t="shared" si="61"/>
        <v>51.820802198827685</v>
      </c>
      <c r="Z176" s="385">
        <f t="shared" si="62"/>
        <v>54.371842160690058</v>
      </c>
      <c r="AA176" s="386">
        <f t="shared" si="63"/>
        <v>59.019403227234697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7.8746324300344742E-2</v>
      </c>
      <c r="AD176" s="231">
        <f>(INDEX(Models!$BJ176:$BT176,,AH176)*(1-AF176)+INDEX(Models!$BJ176:$BT176,,AH176+1)*AF176-ERP_i)*AE176*Ramure*Pc/MaxiM</f>
        <v>1.1321695301820501E-4</v>
      </c>
      <c r="AE176" s="305">
        <f t="shared" si="65"/>
        <v>0.5</v>
      </c>
      <c r="AF176" s="177">
        <f t="shared" si="66"/>
        <v>0.25226866396908565</v>
      </c>
      <c r="AG176" s="811">
        <f t="shared" si="74"/>
        <v>1</v>
      </c>
      <c r="AH176" s="176">
        <f t="shared" si="67"/>
        <v>7</v>
      </c>
      <c r="AI176" s="225">
        <f t="shared" si="68"/>
        <v>1.2522686639690856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41.289904036885773</v>
      </c>
      <c r="C177" s="841"/>
      <c r="D177" s="393">
        <f t="shared" si="50"/>
        <v>43.323476719382498</v>
      </c>
      <c r="E177" s="385">
        <f t="shared" si="75"/>
        <v>45.165382147224534</v>
      </c>
      <c r="F177" s="385">
        <f t="shared" si="51"/>
        <v>45.168299057138029</v>
      </c>
      <c r="G177" s="110">
        <f t="shared" si="76"/>
        <v>0.71024258441823496</v>
      </c>
      <c r="H177" s="414" t="b">
        <f>Wh_hp&gt;='2023'!Maxi_hp</f>
        <v>0</v>
      </c>
      <c r="I177" s="390">
        <f>IF(H177,Wh_hp,'2023'!Maxi_hp)</f>
        <v>58.244062693126686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4.6939277188410067E-2</v>
      </c>
      <c r="M177" s="845"/>
      <c r="N177" s="845"/>
      <c r="O177" s="48">
        <f>IF(t&lt;Tnet,'2023'!Resal+('2023'!Salim-'2023'!Resal)*(1-EXP(('2023'!Tnet-t)/('2023'!Tau_j))),Resal+(Salim-Resal)*(1-EXP((Tnet-t)/(Tau_j))))*Salcycl</f>
        <v>4.0781353777501889E-2</v>
      </c>
      <c r="P177" s="169">
        <f>(INDEX(Models!$BJ177:$BT177,,T177)*(1-R177)+INDEX(Models!$BJ177:$BT177,,T177+1)*R177-ERP_i)*Q177*Ramure*Pc/MaxiM</f>
        <v>1.1018241566177447E-4</v>
      </c>
      <c r="Q177" s="305">
        <f t="shared" si="53"/>
        <v>0.5</v>
      </c>
      <c r="R177" s="177">
        <f t="shared" si="54"/>
        <v>0.25740943861339161</v>
      </c>
      <c r="S177" s="811">
        <f t="shared" si="55"/>
        <v>1</v>
      </c>
      <c r="T177" s="176">
        <f t="shared" si="56"/>
        <v>7</v>
      </c>
      <c r="U177" s="251">
        <f t="shared" si="57"/>
        <v>1.2574094386133916</v>
      </c>
      <c r="V177" s="383">
        <f t="shared" si="58"/>
        <v>58.132280220769147</v>
      </c>
      <c r="W177" s="402">
        <f t="shared" si="59"/>
        <v>41.289904036885773</v>
      </c>
      <c r="X177" s="157">
        <f t="shared" si="60"/>
        <v>45454</v>
      </c>
      <c r="Y177" s="385">
        <f t="shared" si="61"/>
        <v>39.652439911782714</v>
      </c>
      <c r="Z177" s="385">
        <f t="shared" si="62"/>
        <v>41.605365705141523</v>
      </c>
      <c r="AA177" s="386">
        <f t="shared" si="63"/>
        <v>45.165382147224534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7.8821793879181729E-2</v>
      </c>
      <c r="AD177" s="231">
        <f>(INDEX(Models!$BJ177:$BT177,,AH177)*(1-AF177)+INDEX(Models!$BJ177:$BT177,,AH177+1)*AF177-ERP_i)*AE177*Ramure*Pc/MaxiM</f>
        <v>1.1018241566177447E-4</v>
      </c>
      <c r="AE177" s="305">
        <f t="shared" si="65"/>
        <v>0.5</v>
      </c>
      <c r="AF177" s="177">
        <f t="shared" si="66"/>
        <v>0.25740943861339161</v>
      </c>
      <c r="AG177" s="811">
        <f t="shared" si="74"/>
        <v>1</v>
      </c>
      <c r="AH177" s="176">
        <f t="shared" si="67"/>
        <v>7</v>
      </c>
      <c r="AI177" s="225">
        <f t="shared" si="68"/>
        <v>1.2574094386133916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52.280548973394062</v>
      </c>
      <c r="C178" s="841"/>
      <c r="D178" s="393">
        <f t="shared" si="50"/>
        <v>54.856624373772789</v>
      </c>
      <c r="E178" s="385">
        <f t="shared" si="75"/>
        <v>57.194384427782509</v>
      </c>
      <c r="F178" s="385">
        <f t="shared" si="51"/>
        <v>57.199698758051021</v>
      </c>
      <c r="G178" s="110">
        <f t="shared" si="76"/>
        <v>0.90004553806044629</v>
      </c>
      <c r="H178" s="414" t="b">
        <f>Wh_hp&gt;='2023'!Maxi_hp</f>
        <v>0</v>
      </c>
      <c r="I178" s="390">
        <f>IF(H178,Wh_hp,'2023'!Maxi_hp)</f>
        <v>66.115436428019962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4.6960151664205529E-2</v>
      </c>
      <c r="M178" s="845"/>
      <c r="N178" s="845"/>
      <c r="O178" s="48">
        <f>IF(t&lt;Tnet,'2023'!Resal+('2023'!Salim-'2023'!Resal)*(1-EXP(('2023'!Tnet-t)/('2023'!Tau_j))),Resal+(Salim-Resal)*(1-EXP((Tnet-t)/(Tau_j))))*Salcycl</f>
        <v>4.0873943786588582E-2</v>
      </c>
      <c r="P178" s="169">
        <f>(INDEX(Models!$BJ178:$BT178,,T178)*(1-R178)+INDEX(Models!$BJ178:$BT178,,T178+1)*R178-ERP_i)*Q178*Ramure*Pc/MaxiM</f>
        <v>1.0838234605040039E-4</v>
      </c>
      <c r="Q178" s="305">
        <f t="shared" si="53"/>
        <v>0.5</v>
      </c>
      <c r="R178" s="177">
        <f t="shared" si="54"/>
        <v>0.26254154456665812</v>
      </c>
      <c r="S178" s="811">
        <f t="shared" si="55"/>
        <v>1</v>
      </c>
      <c r="T178" s="176">
        <f t="shared" si="56"/>
        <v>7</v>
      </c>
      <c r="U178" s="251">
        <f t="shared" si="57"/>
        <v>1.2625415445666581</v>
      </c>
      <c r="V178" s="383">
        <f t="shared" si="58"/>
        <v>58.085660890513275</v>
      </c>
      <c r="W178" s="402">
        <f t="shared" si="59"/>
        <v>52.280548973394062</v>
      </c>
      <c r="X178" s="157">
        <f t="shared" si="60"/>
        <v>45455</v>
      </c>
      <c r="Y178" s="385">
        <f t="shared" si="61"/>
        <v>50.208013314614583</v>
      </c>
      <c r="Z178" s="385">
        <f t="shared" si="62"/>
        <v>52.681966449029602</v>
      </c>
      <c r="AA178" s="386">
        <f t="shared" si="63"/>
        <v>57.194384427782509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7.8896171781524999E-2</v>
      </c>
      <c r="AD178" s="231">
        <f>(INDEX(Models!$BJ178:$BT178,,AH178)*(1-AF178)+INDEX(Models!$BJ178:$BT178,,AH178+1)*AF178-ERP_i)*AE178*Ramure*Pc/MaxiM</f>
        <v>1.0838234605040039E-4</v>
      </c>
      <c r="AE178" s="305">
        <f t="shared" si="65"/>
        <v>0.5</v>
      </c>
      <c r="AF178" s="177">
        <f t="shared" si="66"/>
        <v>0.26254154456665812</v>
      </c>
      <c r="AG178" s="811">
        <f t="shared" si="74"/>
        <v>1</v>
      </c>
      <c r="AH178" s="176">
        <f t="shared" si="67"/>
        <v>7</v>
      </c>
      <c r="AI178" s="225">
        <f t="shared" si="68"/>
        <v>1.2625415445666581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47.682655135332112</v>
      </c>
      <c r="C179" s="841"/>
      <c r="D179" s="393">
        <f t="shared" si="50"/>
        <v>50.033269452473021</v>
      </c>
      <c r="E179" s="385">
        <f t="shared" si="75"/>
        <v>52.170482848035419</v>
      </c>
      <c r="F179" s="385">
        <f t="shared" si="51"/>
        <v>52.174639268629484</v>
      </c>
      <c r="G179" s="110">
        <f t="shared" si="76"/>
        <v>0.8216056420618908</v>
      </c>
      <c r="H179" s="414" t="b">
        <f>Wh_hp&gt;='2023'!Maxi_hp</f>
        <v>0</v>
      </c>
      <c r="I179" s="390">
        <f>IF(H179,Wh_hp,'2023'!Maxi_hp)</f>
        <v>57.514759839675243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4.6981025682796385E-2</v>
      </c>
      <c r="M179" s="845"/>
      <c r="N179" s="845"/>
      <c r="O179" s="48">
        <f>IF(t&lt;Tnet,'2023'!Resal+('2023'!Salim-'2023'!Resal)*(1-EXP(('2023'!Tnet-t)/('2023'!Tau_j))),Resal+(Salim-Resal)*(1-EXP((Tnet-t)/(Tau_j))))*Salcycl</f>
        <v>4.0965950071571597E-2</v>
      </c>
      <c r="P179" s="169">
        <f>(INDEX(Models!$BJ179:$BT179,,T179)*(1-R179)+INDEX(Models!$BJ179:$BT179,,T179+1)*R179-ERP_i)*Q179*Ramure*Pc/MaxiM</f>
        <v>1.0690478781513419E-4</v>
      </c>
      <c r="Q179" s="305">
        <f t="shared" si="53"/>
        <v>0.5</v>
      </c>
      <c r="R179" s="177">
        <f t="shared" si="54"/>
        <v>0.26766068398448395</v>
      </c>
      <c r="S179" s="811">
        <f t="shared" si="55"/>
        <v>1</v>
      </c>
      <c r="T179" s="176">
        <f t="shared" si="56"/>
        <v>7</v>
      </c>
      <c r="U179" s="251">
        <f t="shared" si="57"/>
        <v>1.2676606839844839</v>
      </c>
      <c r="V179" s="383">
        <f t="shared" si="58"/>
        <v>58.03435816353057</v>
      </c>
      <c r="W179" s="402">
        <f t="shared" si="59"/>
        <v>47.682655135332112</v>
      </c>
      <c r="X179" s="157">
        <f t="shared" si="60"/>
        <v>45456</v>
      </c>
      <c r="Y179" s="385">
        <f t="shared" si="61"/>
        <v>45.793143268370535</v>
      </c>
      <c r="Z179" s="385">
        <f t="shared" si="62"/>
        <v>48.05061022124908</v>
      </c>
      <c r="AA179" s="386">
        <f t="shared" si="63"/>
        <v>52.170482848035419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7.8969417223660701E-2</v>
      </c>
      <c r="AD179" s="231">
        <f>(INDEX(Models!$BJ179:$BT179,,AH179)*(1-AF179)+INDEX(Models!$BJ179:$BT179,,AH179+1)*AF179-ERP_i)*AE179*Ramure*Pc/MaxiM</f>
        <v>1.0690478781513419E-4</v>
      </c>
      <c r="AE179" s="305">
        <f t="shared" si="65"/>
        <v>0.5</v>
      </c>
      <c r="AF179" s="177">
        <f t="shared" si="66"/>
        <v>0.26766068398448395</v>
      </c>
      <c r="AG179" s="811">
        <f t="shared" si="74"/>
        <v>1</v>
      </c>
      <c r="AH179" s="176">
        <f t="shared" si="67"/>
        <v>7</v>
      </c>
      <c r="AI179" s="225">
        <f t="shared" si="68"/>
        <v>1.2676606839844839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52.01392757459557</v>
      </c>
      <c r="C180" s="841"/>
      <c r="D180" s="393">
        <f t="shared" si="50"/>
        <v>54.57925627904627</v>
      </c>
      <c r="E180" s="385">
        <f t="shared" si="75"/>
        <v>56.916079733043304</v>
      </c>
      <c r="F180" s="385">
        <f t="shared" si="51"/>
        <v>56.921215271729828</v>
      </c>
      <c r="G180" s="110">
        <f t="shared" si="76"/>
        <v>0.89710634055062144</v>
      </c>
      <c r="H180" s="414" t="b">
        <f>Wh_hp&gt;='2023'!Maxi_hp</f>
        <v>0</v>
      </c>
      <c r="I180" s="390">
        <f>IF(H180,Wh_hp,'2023'!Maxi_hp)</f>
        <v>56.92159289770462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4.7001899244192624E-2</v>
      </c>
      <c r="M180" s="845"/>
      <c r="N180" s="845"/>
      <c r="O180" s="48">
        <f>IF(t&lt;Tnet,'2023'!Resal+('2023'!Salim-'2023'!Resal)*(1-EXP(('2023'!Tnet-t)/('2023'!Tau_j))),Resal+(Salim-Resal)*(1-EXP((Tnet-t)/(Tau_j))))*Salcycl</f>
        <v>4.1057350839298339E-2</v>
      </c>
      <c r="P180" s="169">
        <f>(INDEX(Models!$BJ180:$BT180,,T180)*(1-R180)+INDEX(Models!$BJ180:$BT180,,T180+1)*R180-ERP_i)*Q180*Ramure*Pc/MaxiM</f>
        <v>1.0576648095736827E-4</v>
      </c>
      <c r="Q180" s="305">
        <f t="shared" si="53"/>
        <v>0.5</v>
      </c>
      <c r="R180" s="177">
        <f t="shared" si="54"/>
        <v>0.2727626025316241</v>
      </c>
      <c r="S180" s="811">
        <f t="shared" si="55"/>
        <v>1</v>
      </c>
      <c r="T180" s="176">
        <f t="shared" si="56"/>
        <v>7</v>
      </c>
      <c r="U180" s="251">
        <f t="shared" si="57"/>
        <v>1.2727626025316241</v>
      </c>
      <c r="V180" s="383">
        <f t="shared" si="58"/>
        <v>57.978766412054448</v>
      </c>
      <c r="W180" s="402">
        <f t="shared" si="59"/>
        <v>52.01392757459557</v>
      </c>
      <c r="X180" s="157">
        <f t="shared" si="60"/>
        <v>45457</v>
      </c>
      <c r="Y180" s="385">
        <f t="shared" si="61"/>
        <v>49.953632925737118</v>
      </c>
      <c r="Z180" s="385">
        <f t="shared" si="62"/>
        <v>52.417347826947086</v>
      </c>
      <c r="AA180" s="386">
        <f t="shared" si="63"/>
        <v>56.916079733043304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7.9041492794248575E-2</v>
      </c>
      <c r="AD180" s="231">
        <f>(INDEX(Models!$BJ180:$BT180,,AH180)*(1-AF180)+INDEX(Models!$BJ180:$BT180,,AH180+1)*AF180-ERP_i)*AE180*Ramure*Pc/MaxiM</f>
        <v>1.0576648095736827E-4</v>
      </c>
      <c r="AE180" s="305">
        <f t="shared" si="65"/>
        <v>0.5</v>
      </c>
      <c r="AF180" s="177">
        <f t="shared" si="66"/>
        <v>0.2727626025316241</v>
      </c>
      <c r="AG180" s="811">
        <f t="shared" si="74"/>
        <v>1</v>
      </c>
      <c r="AH180" s="176">
        <f t="shared" si="67"/>
        <v>7</v>
      </c>
      <c r="AI180" s="225">
        <f t="shared" si="68"/>
        <v>1.2727626025316241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49.988342197555454</v>
      </c>
      <c r="C181" s="841"/>
      <c r="D181" s="393">
        <f t="shared" si="50"/>
        <v>52.454917858573403</v>
      </c>
      <c r="E181" s="385">
        <f t="shared" si="75"/>
        <v>54.705965835100912</v>
      </c>
      <c r="F181" s="385">
        <f t="shared" si="51"/>
        <v>54.710586023801881</v>
      </c>
      <c r="G181" s="110">
        <f t="shared" si="76"/>
        <v>0.86305140152149362</v>
      </c>
      <c r="H181" s="414" t="b">
        <f>Wh_hp&gt;='2023'!Maxi_hp</f>
        <v>0</v>
      </c>
      <c r="I181" s="390">
        <f>IF(H181,Wh_hp,'2023'!Maxi_hp)</f>
        <v>64.761857489550721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4.7022772348404351E-2</v>
      </c>
      <c r="M181" s="845"/>
      <c r="N181" s="845"/>
      <c r="O181" s="48">
        <f>IF(t&lt;Tnet,'2023'!Resal+('2023'!Salim-'2023'!Resal)*(1-EXP(('2023'!Tnet-t)/('2023'!Tau_j))),Resal+(Salim-Resal)*(1-EXP((Tnet-t)/(Tau_j))))*Salcycl</f>
        <v>4.1148126025464887E-2</v>
      </c>
      <c r="P181" s="169">
        <f>(INDEX(Models!$BJ181:$BT181,,T181)*(1-R181)+INDEX(Models!$BJ181:$BT181,,T181+1)*R181-ERP_i)*Q181*Ramure*Pc/MaxiM</f>
        <v>1.0498437592578338E-4</v>
      </c>
      <c r="Q181" s="305">
        <f t="shared" si="53"/>
        <v>0.5</v>
      </c>
      <c r="R181" s="177">
        <f t="shared" si="54"/>
        <v>0.277843103401896</v>
      </c>
      <c r="S181" s="811">
        <f t="shared" si="55"/>
        <v>1</v>
      </c>
      <c r="T181" s="176">
        <f t="shared" si="56"/>
        <v>7</v>
      </c>
      <c r="U181" s="251">
        <f t="shared" si="57"/>
        <v>1.277843103401896</v>
      </c>
      <c r="V181" s="383">
        <f t="shared" si="58"/>
        <v>57.919279701549961</v>
      </c>
      <c r="W181" s="402">
        <f t="shared" si="59"/>
        <v>49.988342197555454</v>
      </c>
      <c r="X181" s="157">
        <f t="shared" si="60"/>
        <v>45458</v>
      </c>
      <c r="Y181" s="385">
        <f t="shared" si="61"/>
        <v>48.009132061008337</v>
      </c>
      <c r="Z181" s="385">
        <f t="shared" si="62"/>
        <v>50.378047520942722</v>
      </c>
      <c r="AA181" s="386">
        <f t="shared" si="63"/>
        <v>54.705965835100912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7.9112364585678732E-2</v>
      </c>
      <c r="AD181" s="231">
        <f>(INDEX(Models!$BJ181:$BT181,,AH181)*(1-AF181)+INDEX(Models!$BJ181:$BT181,,AH181+1)*AF181-ERP_i)*AE181*Ramure*Pc/MaxiM</f>
        <v>1.0498437592578338E-4</v>
      </c>
      <c r="AE181" s="305">
        <f t="shared" si="65"/>
        <v>0.5</v>
      </c>
      <c r="AF181" s="177">
        <f t="shared" si="66"/>
        <v>0.277843103401896</v>
      </c>
      <c r="AG181" s="811">
        <f t="shared" si="74"/>
        <v>1</v>
      </c>
      <c r="AH181" s="176">
        <f t="shared" si="67"/>
        <v>7</v>
      </c>
      <c r="AI181" s="225">
        <f t="shared" si="68"/>
        <v>1.277843103401896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50.05711320462413</v>
      </c>
      <c r="C182" s="841"/>
      <c r="D182" s="393">
        <f t="shared" si="50"/>
        <v>52.52823273777809</v>
      </c>
      <c r="E182" s="385">
        <f t="shared" si="75"/>
        <v>54.787576935904738</v>
      </c>
      <c r="F182" s="385">
        <f t="shared" si="51"/>
        <v>54.792203420190539</v>
      </c>
      <c r="G182" s="110">
        <f t="shared" si="76"/>
        <v>0.86517997415442371</v>
      </c>
      <c r="H182" s="414" t="b">
        <f>Wh_hp&gt;='2023'!Maxi_hp</f>
        <v>0</v>
      </c>
      <c r="I182" s="390">
        <f>IF(H182,Wh_hp,'2023'!Maxi_hp)</f>
        <v>62.682408537874828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4.7043644995441447E-2</v>
      </c>
      <c r="M182" s="845"/>
      <c r="N182" s="845"/>
      <c r="O182" s="48">
        <f>IF(t&lt;Tnet,'2023'!Resal+('2023'!Salim-'2023'!Resal)*(1-EXP(('2023'!Tnet-t)/('2023'!Tau_j))),Resal+(Salim-Resal)*(1-EXP((Tnet-t)/(Tau_j))))*Salcycl</f>
        <v>4.1238257365713064E-2</v>
      </c>
      <c r="P182" s="169">
        <f>(INDEX(Models!$BJ182:$BT182,,T182)*(1-R182)+INDEX(Models!$BJ182:$BT182,,T182+1)*R182-ERP_i)*Q182*Ramure*Pc/MaxiM</f>
        <v>1.0457556287838832E-4</v>
      </c>
      <c r="Q182" s="305">
        <f t="shared" si="53"/>
        <v>0.5</v>
      </c>
      <c r="R182" s="177">
        <f t="shared" si="54"/>
        <v>0.28289806093155567</v>
      </c>
      <c r="S182" s="811">
        <f t="shared" si="55"/>
        <v>1</v>
      </c>
      <c r="T182" s="176">
        <f t="shared" si="56"/>
        <v>7</v>
      </c>
      <c r="U182" s="251">
        <f t="shared" si="57"/>
        <v>1.2828980609315557</v>
      </c>
      <c r="V182" s="383">
        <f t="shared" si="58"/>
        <v>57.856291791236721</v>
      </c>
      <c r="W182" s="402">
        <f t="shared" si="59"/>
        <v>50.05711320462413</v>
      </c>
      <c r="X182" s="157">
        <f t="shared" si="60"/>
        <v>45459</v>
      </c>
      <c r="Y182" s="385">
        <f t="shared" si="61"/>
        <v>48.076063845366384</v>
      </c>
      <c r="Z182" s="385">
        <f t="shared" si="62"/>
        <v>50.449386892578524</v>
      </c>
      <c r="AA182" s="386">
        <f t="shared" si="63"/>
        <v>54.787576935904738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7.9182002306862481E-2</v>
      </c>
      <c r="AD182" s="231">
        <f>(INDEX(Models!$BJ182:$BT182,,AH182)*(1-AF182)+INDEX(Models!$BJ182:$BT182,,AH182+1)*AF182-ERP_i)*AE182*Ramure*Pc/MaxiM</f>
        <v>1.0457556287838832E-4</v>
      </c>
      <c r="AE182" s="305">
        <f t="shared" si="65"/>
        <v>0.5</v>
      </c>
      <c r="AF182" s="177">
        <f t="shared" si="66"/>
        <v>0.28289806093155567</v>
      </c>
      <c r="AG182" s="811">
        <f t="shared" si="74"/>
        <v>1</v>
      </c>
      <c r="AH182" s="176">
        <f t="shared" si="67"/>
        <v>7</v>
      </c>
      <c r="AI182" s="225">
        <f t="shared" si="68"/>
        <v>1.2828980609315557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53.336948992901448</v>
      </c>
      <c r="C183" s="841"/>
      <c r="D183" s="393">
        <f t="shared" si="50"/>
        <v>55.971206818073433</v>
      </c>
      <c r="E183" s="385">
        <f t="shared" si="75"/>
        <v>58.384088576992092</v>
      </c>
      <c r="F183" s="385">
        <f t="shared" si="51"/>
        <v>58.389521553513568</v>
      </c>
      <c r="G183" s="110">
        <f t="shared" si="76"/>
        <v>0.92293050703919588</v>
      </c>
      <c r="H183" s="414" t="b">
        <f>Wh_hp&gt;='2023'!Maxi_hp</f>
        <v>0</v>
      </c>
      <c r="I183" s="390">
        <f>IF(H183,Wh_hp,'2023'!Maxi_hp)</f>
        <v>60.904385564297691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4.7064517185314125E-2</v>
      </c>
      <c r="M183" s="845"/>
      <c r="N183" s="845"/>
      <c r="O183" s="48">
        <f>IF(t&lt;Tnet,'2023'!Resal+('2023'!Salim-'2023'!Resal)*(1-EXP(('2023'!Tnet-t)/('2023'!Tau_j))),Resal+(Salim-Resal)*(1-EXP((Tnet-t)/(Tau_j))))*Salcycl</f>
        <v>4.1327728456987969E-2</v>
      </c>
      <c r="P183" s="169">
        <f>(INDEX(Models!$BJ183:$BT183,,T183)*(1-R183)+INDEX(Models!$BJ183:$BT183,,T183+1)*R183-ERP_i)*Q183*Ramure*Pc/MaxiM</f>
        <v>1.0455719999606437E-4</v>
      </c>
      <c r="Q183" s="305">
        <f t="shared" si="53"/>
        <v>0.5</v>
      </c>
      <c r="R183" s="177">
        <f t="shared" si="54"/>
        <v>0.28792343371382767</v>
      </c>
      <c r="S183" s="811">
        <f t="shared" si="55"/>
        <v>1</v>
      </c>
      <c r="T183" s="176">
        <f t="shared" si="56"/>
        <v>7</v>
      </c>
      <c r="U183" s="251">
        <f t="shared" si="57"/>
        <v>1.2879234337138277</v>
      </c>
      <c r="V183" s="383">
        <f t="shared" si="58"/>
        <v>57.790196137364205</v>
      </c>
      <c r="W183" s="402">
        <f t="shared" si="59"/>
        <v>53.336948992901448</v>
      </c>
      <c r="X183" s="157">
        <f t="shared" si="60"/>
        <v>45460</v>
      </c>
      <c r="Y183" s="385">
        <f t="shared" si="61"/>
        <v>51.22707416099562</v>
      </c>
      <c r="Z183" s="385">
        <f t="shared" si="62"/>
        <v>53.757127407708857</v>
      </c>
      <c r="AA183" s="386">
        <f t="shared" si="63"/>
        <v>58.384088576992092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7.9250379376592933E-2</v>
      </c>
      <c r="AD183" s="231">
        <f>(INDEX(Models!$BJ183:$BT183,,AH183)*(1-AF183)+INDEX(Models!$BJ183:$BT183,,AH183+1)*AF183-ERP_i)*AE183*Ramure*Pc/MaxiM</f>
        <v>1.0455719999606437E-4</v>
      </c>
      <c r="AE183" s="305">
        <f t="shared" si="65"/>
        <v>0.5</v>
      </c>
      <c r="AF183" s="177">
        <f t="shared" si="66"/>
        <v>0.28792343371382767</v>
      </c>
      <c r="AG183" s="811">
        <f t="shared" si="74"/>
        <v>1</v>
      </c>
      <c r="AH183" s="176">
        <f t="shared" si="67"/>
        <v>7</v>
      </c>
      <c r="AI183" s="225">
        <f t="shared" si="68"/>
        <v>1.2879234337138277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54.425949432205783</v>
      </c>
      <c r="C184" s="841"/>
      <c r="D184" s="393">
        <f t="shared" si="50"/>
        <v>57.115242855190274</v>
      </c>
      <c r="E184" s="385">
        <f t="shared" si="75"/>
        <v>59.582962082453122</v>
      </c>
      <c r="F184" s="385">
        <f t="shared" si="51"/>
        <v>59.588708190693218</v>
      </c>
      <c r="G184" s="110">
        <f t="shared" si="76"/>
        <v>0.9428998455519384</v>
      </c>
      <c r="H184" s="414" t="b">
        <f>Wh_hp&gt;='2023'!Maxi_hp</f>
        <v>0</v>
      </c>
      <c r="I184" s="390">
        <f>IF(H184,Wh_hp,'2023'!Maxi_hp)</f>
        <v>59.588918123363584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4.7085388918032156E-2</v>
      </c>
      <c r="M184" s="845"/>
      <c r="N184" s="845"/>
      <c r="O184" s="48">
        <f>IF(t&lt;Tnet,'2023'!Resal+('2023'!Salim-'2023'!Resal)*(1-EXP(('2023'!Tnet-t)/('2023'!Tau_j))),Resal+(Salim-Resal)*(1-EXP((Tnet-t)/(Tau_j))))*Salcycl</f>
        <v>4.1416524808684858E-2</v>
      </c>
      <c r="P184" s="169">
        <f>(INDEX(Models!$BJ184:$BT184,,T184)*(1-R184)+INDEX(Models!$BJ184:$BT184,,T184+1)*R184-ERP_i)*Q184*Ramure*Pc/MaxiM</f>
        <v>1.0499269794630859E-4</v>
      </c>
      <c r="Q184" s="305">
        <f t="shared" si="53"/>
        <v>0.5</v>
      </c>
      <c r="R184" s="177">
        <f t="shared" si="54"/>
        <v>0.29291527712824017</v>
      </c>
      <c r="S184" s="811">
        <f t="shared" si="55"/>
        <v>1</v>
      </c>
      <c r="T184" s="176">
        <f t="shared" si="56"/>
        <v>7</v>
      </c>
      <c r="U184" s="251">
        <f t="shared" si="57"/>
        <v>1.2929152771282402</v>
      </c>
      <c r="V184" s="383">
        <f t="shared" si="58"/>
        <v>57.721383223072827</v>
      </c>
      <c r="W184" s="402">
        <f t="shared" si="59"/>
        <v>54.425949432205783</v>
      </c>
      <c r="X184" s="157">
        <f t="shared" si="60"/>
        <v>45461</v>
      </c>
      <c r="Y184" s="385">
        <f t="shared" si="61"/>
        <v>52.274029288678555</v>
      </c>
      <c r="Z184" s="385">
        <f t="shared" si="62"/>
        <v>54.85699209641151</v>
      </c>
      <c r="AA184" s="386">
        <f t="shared" si="63"/>
        <v>59.582962082453122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7.9317472996754235E-2</v>
      </c>
      <c r="AD184" s="231">
        <f>(INDEX(Models!$BJ184:$BT184,,AH184)*(1-AF184)+INDEX(Models!$BJ184:$BT184,,AH184+1)*AF184-ERP_i)*AE184*Ramure*Pc/MaxiM</f>
        <v>1.0499269794630859E-4</v>
      </c>
      <c r="AE184" s="305">
        <f t="shared" si="65"/>
        <v>0.5</v>
      </c>
      <c r="AF184" s="177">
        <f t="shared" si="66"/>
        <v>0.29291527712824017</v>
      </c>
      <c r="AG184" s="811">
        <f t="shared" si="74"/>
        <v>1</v>
      </c>
      <c r="AH184" s="176">
        <f t="shared" si="67"/>
        <v>7</v>
      </c>
      <c r="AI184" s="225">
        <f t="shared" si="68"/>
        <v>1.2929152771282402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30.310503021468556</v>
      </c>
      <c r="C185" s="841"/>
      <c r="D185" s="393">
        <f t="shared" si="50"/>
        <v>31.808901407650072</v>
      </c>
      <c r="E185" s="385">
        <f t="shared" si="75"/>
        <v>33.186286060535387</v>
      </c>
      <c r="F185" s="385">
        <f t="shared" si="51"/>
        <v>33.187415352213591</v>
      </c>
      <c r="G185" s="110">
        <f t="shared" si="76"/>
        <v>0.5257275837799299</v>
      </c>
      <c r="H185" s="414" t="b">
        <f>Wh_hp&gt;='2023'!Maxi_hp</f>
        <v>0</v>
      </c>
      <c r="I185" s="390">
        <f>IF(H185,Wh_hp,'2023'!Maxi_hp)</f>
        <v>58.208712843769881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4.7106260193605753E-2</v>
      </c>
      <c r="M185" s="845"/>
      <c r="N185" s="845"/>
      <c r="O185" s="48">
        <f>IF(t&lt;Tnet,'2023'!Resal+('2023'!Salim-'2023'!Resal)*(1-EXP(('2023'!Tnet-t)/('2023'!Tau_j))),Resal+(Salim-Resal)*(1-EXP((Tnet-t)/(Tau_j))))*Salcycl</f>
        <v>4.1504633883189528E-2</v>
      </c>
      <c r="P185" s="169">
        <f>(INDEX(Models!$BJ185:$BT185,,T185)*(1-R185)+INDEX(Models!$BJ185:$BT185,,T185+1)*R185-ERP_i)*Q185*Ramure*Pc/MaxiM</f>
        <v>1.0550518518100879E-4</v>
      </c>
      <c r="Q185" s="305">
        <f t="shared" si="53"/>
        <v>0.5</v>
      </c>
      <c r="R185" s="177">
        <f t="shared" si="54"/>
        <v>0.29786975520532244</v>
      </c>
      <c r="S185" s="811">
        <f t="shared" si="55"/>
        <v>1</v>
      </c>
      <c r="T185" s="176">
        <f t="shared" si="56"/>
        <v>7</v>
      </c>
      <c r="U185" s="251">
        <f t="shared" si="57"/>
        <v>1.2978697552053224</v>
      </c>
      <c r="V185" s="383">
        <f t="shared" si="58"/>
        <v>57.650268626846128</v>
      </c>
      <c r="W185" s="402">
        <f t="shared" si="59"/>
        <v>30.310503021468556</v>
      </c>
      <c r="X185" s="157">
        <f t="shared" si="60"/>
        <v>45462</v>
      </c>
      <c r="Y185" s="385">
        <f t="shared" si="61"/>
        <v>29.112666934410584</v>
      </c>
      <c r="Z185" s="385">
        <f t="shared" si="62"/>
        <v>30.551850346215517</v>
      </c>
      <c r="AA185" s="386">
        <f t="shared" si="63"/>
        <v>33.186286060535387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7.9383264204809553E-2</v>
      </c>
      <c r="AD185" s="231">
        <f>(INDEX(Models!$BJ185:$BT185,,AH185)*(1-AF185)+INDEX(Models!$BJ185:$BT185,,AH185+1)*AF185-ERP_i)*AE185*Ramure*Pc/MaxiM</f>
        <v>1.0550518518100879E-4</v>
      </c>
      <c r="AE185" s="305">
        <f t="shared" si="65"/>
        <v>0.5</v>
      </c>
      <c r="AF185" s="177">
        <f t="shared" si="66"/>
        <v>0.29786975520532244</v>
      </c>
      <c r="AG185" s="811">
        <f t="shared" si="74"/>
        <v>1</v>
      </c>
      <c r="AH185" s="176">
        <f t="shared" si="67"/>
        <v>7</v>
      </c>
      <c r="AI185" s="225">
        <f t="shared" si="68"/>
        <v>1.2978697552053224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22.636108368505923</v>
      </c>
      <c r="C186" s="841"/>
      <c r="D186" s="393">
        <f t="shared" si="50"/>
        <v>23.755643701502066</v>
      </c>
      <c r="E186" s="385">
        <f t="shared" si="75"/>
        <v>24.786567745686867</v>
      </c>
      <c r="F186" s="385">
        <f t="shared" si="51"/>
        <v>24.786917675167384</v>
      </c>
      <c r="G186" s="110">
        <f t="shared" si="76"/>
        <v>0.39310713834003369</v>
      </c>
      <c r="H186" s="414" t="b">
        <f>Wh_hp&gt;='2023'!Maxi_hp</f>
        <v>0</v>
      </c>
      <c r="I186" s="390">
        <f>IF(H186,Wh_hp,'2023'!Maxi_hp)</f>
        <v>54.428674381419142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4.7127131012044798E-2</v>
      </c>
      <c r="M186" s="845"/>
      <c r="N186" s="845"/>
      <c r="O186" s="48">
        <f>IF(t&lt;Tnet,'2023'!Resal+('2023'!Salim-'2023'!Resal)*(1-EXP(('2023'!Tnet-t)/('2023'!Tau_j))),Resal+(Salim-Resal)*(1-EXP((Tnet-t)/(Tau_j))))*Salcycl</f>
        <v>4.1592045125497225E-2</v>
      </c>
      <c r="P186" s="169">
        <f>(INDEX(Models!$BJ186:$BT186,,T186)*(1-R186)+INDEX(Models!$BJ186:$BT186,,T186+1)*R186-ERP_i)*Q186*Ramure*Pc/MaxiM</f>
        <v>1.0609732312667335E-4</v>
      </c>
      <c r="Q186" s="305">
        <f t="shared" si="53"/>
        <v>0.5</v>
      </c>
      <c r="R186" s="177">
        <f t="shared" si="54"/>
        <v>0.3027831517549493</v>
      </c>
      <c r="S186" s="811">
        <f t="shared" si="55"/>
        <v>1</v>
      </c>
      <c r="T186" s="176">
        <f t="shared" si="56"/>
        <v>7</v>
      </c>
      <c r="U186" s="251">
        <f t="shared" si="57"/>
        <v>1.3027831517549493</v>
      </c>
      <c r="V186" s="383">
        <f t="shared" si="58"/>
        <v>57.577245657760578</v>
      </c>
      <c r="W186" s="402">
        <f t="shared" si="59"/>
        <v>22.636108368505923</v>
      </c>
      <c r="X186" s="157">
        <f t="shared" si="60"/>
        <v>45463</v>
      </c>
      <c r="Y186" s="385">
        <f t="shared" si="61"/>
        <v>21.742015660106588</v>
      </c>
      <c r="Z186" s="385">
        <f t="shared" si="62"/>
        <v>22.81733100785916</v>
      </c>
      <c r="AA186" s="386">
        <f t="shared" si="63"/>
        <v>24.786567745686867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7.9447737905155372E-2</v>
      </c>
      <c r="AD186" s="231">
        <f>(INDEX(Models!$BJ186:$BT186,,AH186)*(1-AF186)+INDEX(Models!$BJ186:$BT186,,AH186+1)*AF186-ERP_i)*AE186*Ramure*Pc/MaxiM</f>
        <v>1.0609732312667335E-4</v>
      </c>
      <c r="AE186" s="305">
        <f t="shared" si="65"/>
        <v>0.5</v>
      </c>
      <c r="AF186" s="177">
        <f t="shared" si="66"/>
        <v>0.3027831517549493</v>
      </c>
      <c r="AG186" s="811">
        <f t="shared" si="74"/>
        <v>1</v>
      </c>
      <c r="AH186" s="176">
        <f t="shared" si="67"/>
        <v>7</v>
      </c>
      <c r="AI186" s="225">
        <f t="shared" si="68"/>
        <v>1.3027831517549493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37.862597822913308</v>
      </c>
      <c r="C187" s="841"/>
      <c r="D187" s="393">
        <f t="shared" si="50"/>
        <v>39.736074309006248</v>
      </c>
      <c r="E187" s="385">
        <f t="shared" si="75"/>
        <v>41.464252523093393</v>
      </c>
      <c r="F187" s="385">
        <f t="shared" si="51"/>
        <v>41.466519688928912</v>
      </c>
      <c r="G187" s="110">
        <f t="shared" si="76"/>
        <v>0.6584146546937687</v>
      </c>
      <c r="H187" s="414" t="b">
        <f>Wh_hp&gt;='2023'!Maxi_hp</f>
        <v>0</v>
      </c>
      <c r="I187" s="390">
        <f>IF(H187,Wh_hp,'2023'!Maxi_hp)</f>
        <v>63.004166310746122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4.7148001373359394E-2</v>
      </c>
      <c r="M187" s="845"/>
      <c r="N187" s="845"/>
      <c r="O187" s="48">
        <f>IF(t&lt;Tnet,'2023'!Resal+('2023'!Salim-'2023'!Resal)*(1-EXP(('2023'!Tnet-t)/('2023'!Tau_j))),Resal+(Salim-Resal)*(1-EXP((Tnet-t)/(Tau_j))))*Salcycl</f>
        <v>4.1678749981677372E-2</v>
      </c>
      <c r="P187" s="169">
        <f>(INDEX(Models!$BJ187:$BT187,,T187)*(1-R187)+INDEX(Models!$BJ187:$BT187,,T187+1)*R187-ERP_i)*Q187*Ramure*Pc/MaxiM</f>
        <v>1.0677176395222761E-4</v>
      </c>
      <c r="Q187" s="305">
        <f t="shared" si="53"/>
        <v>0.5</v>
      </c>
      <c r="R187" s="177">
        <f t="shared" si="54"/>
        <v>0.30765188069503679</v>
      </c>
      <c r="S187" s="811">
        <f t="shared" si="55"/>
        <v>1</v>
      </c>
      <c r="T187" s="176">
        <f t="shared" si="56"/>
        <v>7</v>
      </c>
      <c r="U187" s="251">
        <f t="shared" si="57"/>
        <v>1.3076518806950368</v>
      </c>
      <c r="V187" s="383">
        <f t="shared" si="58"/>
        <v>57.502707316137901</v>
      </c>
      <c r="W187" s="402">
        <f t="shared" si="59"/>
        <v>37.862597822913308</v>
      </c>
      <c r="X187" s="157">
        <f t="shared" si="60"/>
        <v>45464</v>
      </c>
      <c r="Y187" s="385">
        <f t="shared" si="61"/>
        <v>36.367876890188079</v>
      </c>
      <c r="Z187" s="385">
        <f t="shared" si="62"/>
        <v>38.16739319706064</v>
      </c>
      <c r="AA187" s="386">
        <f t="shared" si="63"/>
        <v>41.464252523093393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7.9510882879091457E-2</v>
      </c>
      <c r="AD187" s="231">
        <f>(INDEX(Models!$BJ187:$BT187,,AH187)*(1-AF187)+INDEX(Models!$BJ187:$BT187,,AH187+1)*AF187-ERP_i)*AE187*Ramure*Pc/MaxiM</f>
        <v>1.0677176395222761E-4</v>
      </c>
      <c r="AE187" s="305">
        <f t="shared" si="65"/>
        <v>0.5</v>
      </c>
      <c r="AF187" s="177">
        <f t="shared" si="66"/>
        <v>0.30765188069503679</v>
      </c>
      <c r="AG187" s="811">
        <f t="shared" si="74"/>
        <v>1</v>
      </c>
      <c r="AH187" s="176">
        <f t="shared" si="67"/>
        <v>7</v>
      </c>
      <c r="AI187" s="225">
        <f t="shared" si="68"/>
        <v>1.3076518806950368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40.439984608808423</v>
      </c>
      <c r="C188" s="841"/>
      <c r="D188" s="393">
        <f t="shared" si="50"/>
        <v>42.441922172537019</v>
      </c>
      <c r="E188" s="385">
        <f t="shared" si="75"/>
        <v>44.291755927410591</v>
      </c>
      <c r="F188" s="385">
        <f t="shared" si="51"/>
        <v>44.294506197123312</v>
      </c>
      <c r="G188" s="110">
        <f t="shared" si="76"/>
        <v>0.70416553673021809</v>
      </c>
      <c r="H188" s="414" t="b">
        <f>Wh_hp&gt;='2023'!Maxi_hp</f>
        <v>0</v>
      </c>
      <c r="I188" s="390">
        <f>IF(H188,Wh_hp,'2023'!Maxi_hp)</f>
        <v>55.386626209177535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4.7168871277559532E-2</v>
      </c>
      <c r="M188" s="845"/>
      <c r="N188" s="845"/>
      <c r="O188" s="48">
        <f>IF(t&lt;Tnet,'2023'!Resal+('2023'!Salim-'2023'!Resal)*(1-EXP(('2023'!Tnet-t)/('2023'!Tau_j))),Resal+(Salim-Resal)*(1-EXP((Tnet-t)/(Tau_j))))*Salcycl</f>
        <v>4.1764741906038801E-2</v>
      </c>
      <c r="P188" s="169">
        <f>(INDEX(Models!$BJ188:$BT188,,T188)*(1-R188)+INDEX(Models!$BJ188:$BT188,,T188+1)*R188-ERP_i)*Q188*Ramure*Pc/MaxiM</f>
        <v>1.0753003789458726E-4</v>
      </c>
      <c r="Q188" s="305">
        <f t="shared" si="53"/>
        <v>0.5</v>
      </c>
      <c r="R188" s="177">
        <f t="shared" si="54"/>
        <v>0.31247249552625878</v>
      </c>
      <c r="S188" s="811">
        <f t="shared" si="55"/>
        <v>1</v>
      </c>
      <c r="T188" s="176">
        <f t="shared" si="56"/>
        <v>7</v>
      </c>
      <c r="U188" s="251">
        <f t="shared" si="57"/>
        <v>1.3124724955262588</v>
      </c>
      <c r="V188" s="383">
        <f t="shared" si="58"/>
        <v>57.427046358724354</v>
      </c>
      <c r="W188" s="402">
        <f t="shared" si="59"/>
        <v>40.439984608808423</v>
      </c>
      <c r="X188" s="157">
        <f t="shared" si="60"/>
        <v>45465</v>
      </c>
      <c r="Y188" s="385">
        <f t="shared" si="61"/>
        <v>38.844392192636249</v>
      </c>
      <c r="Z188" s="385">
        <f t="shared" si="62"/>
        <v>40.767341684899563</v>
      </c>
      <c r="AA188" s="386">
        <f t="shared" si="63"/>
        <v>44.291755927410591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7.9572691773321436E-2</v>
      </c>
      <c r="AD188" s="231">
        <f>(INDEX(Models!$BJ188:$BT188,,AH188)*(1-AF188)+INDEX(Models!$BJ188:$BT188,,AH188+1)*AF188-ERP_i)*AE188*Ramure*Pc/MaxiM</f>
        <v>1.0753003789458726E-4</v>
      </c>
      <c r="AE188" s="305">
        <f t="shared" si="65"/>
        <v>0.5</v>
      </c>
      <c r="AF188" s="177">
        <f t="shared" si="66"/>
        <v>0.31247249552625878</v>
      </c>
      <c r="AG188" s="811">
        <f t="shared" si="74"/>
        <v>1</v>
      </c>
      <c r="AH188" s="176">
        <f t="shared" si="67"/>
        <v>7</v>
      </c>
      <c r="AI188" s="225">
        <f t="shared" si="68"/>
        <v>1.3124724955262588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38.649983784870386</v>
      </c>
      <c r="C189" s="841"/>
      <c r="D189" s="393">
        <f t="shared" si="50"/>
        <v>40.564197759861912</v>
      </c>
      <c r="E189" s="385">
        <f t="shared" si="75"/>
        <v>42.335958307518155</v>
      </c>
      <c r="F189" s="385">
        <f t="shared" si="51"/>
        <v>42.338409306555342</v>
      </c>
      <c r="G189" s="110">
        <f t="shared" si="76"/>
        <v>0.67388999030509933</v>
      </c>
      <c r="H189" s="414" t="b">
        <f>Wh_hp&gt;='2023'!Maxi_hp</f>
        <v>0</v>
      </c>
      <c r="I189" s="390">
        <f>IF(H189,Wh_hp,'2023'!Maxi_hp)</f>
        <v>62.031075143124923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4.7189740724655205E-2</v>
      </c>
      <c r="M189" s="845"/>
      <c r="N189" s="845"/>
      <c r="O189" s="48">
        <f>IF(t&lt;Tnet,'2023'!Resal+('2023'!Salim-'2023'!Resal)*(1-EXP(('2023'!Tnet-t)/('2023'!Tau_j))),Resal+(Salim-Resal)*(1-EXP((Tnet-t)/(Tau_j))))*Salcycl</f>
        <v>4.1850016356937213E-2</v>
      </c>
      <c r="P189" s="169">
        <f>(INDEX(Models!$BJ189:$BT189,,T189)*(1-R189)+INDEX(Models!$BJ189:$BT189,,T189+1)*R189-ERP_i)*Q189*Ramure*Pc/MaxiM</f>
        <v>1.0837354667876649E-4</v>
      </c>
      <c r="Q189" s="305">
        <f t="shared" si="53"/>
        <v>0.5</v>
      </c>
      <c r="R189" s="177">
        <f t="shared" si="54"/>
        <v>0.31724169790780099</v>
      </c>
      <c r="S189" s="811">
        <f t="shared" si="55"/>
        <v>1</v>
      </c>
      <c r="T189" s="176">
        <f t="shared" si="56"/>
        <v>7</v>
      </c>
      <c r="U189" s="251">
        <f t="shared" si="57"/>
        <v>1.317241697907801</v>
      </c>
      <c r="V189" s="383">
        <f t="shared" si="58"/>
        <v>57.350655248921541</v>
      </c>
      <c r="W189" s="402">
        <f t="shared" si="59"/>
        <v>38.649983784870386</v>
      </c>
      <c r="X189" s="157">
        <f t="shared" si="60"/>
        <v>45466</v>
      </c>
      <c r="Y189" s="385">
        <f t="shared" si="61"/>
        <v>37.125882177274995</v>
      </c>
      <c r="Z189" s="385">
        <f t="shared" si="62"/>
        <v>38.964612120686972</v>
      </c>
      <c r="AA189" s="386">
        <f t="shared" si="63"/>
        <v>42.335958307518155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7.9633161067065944E-2</v>
      </c>
      <c r="AD189" s="231">
        <f>(INDEX(Models!$BJ189:$BT189,,AH189)*(1-AF189)+INDEX(Models!$BJ189:$BT189,,AH189+1)*AF189-ERP_i)*AE189*Ramure*Pc/MaxiM</f>
        <v>1.0837354667876649E-4</v>
      </c>
      <c r="AE189" s="305">
        <f t="shared" si="65"/>
        <v>0.5</v>
      </c>
      <c r="AF189" s="177">
        <f t="shared" si="66"/>
        <v>0.31724169790780099</v>
      </c>
      <c r="AG189" s="811">
        <f t="shared" si="74"/>
        <v>1</v>
      </c>
      <c r="AH189" s="176">
        <f t="shared" si="67"/>
        <v>7</v>
      </c>
      <c r="AI189" s="225">
        <f t="shared" si="68"/>
        <v>1.317241697907801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34.013490826881103</v>
      </c>
      <c r="C190" s="841"/>
      <c r="D190" s="393">
        <f t="shared" si="50"/>
        <v>35.698855564181571</v>
      </c>
      <c r="E190" s="385">
        <f t="shared" si="75"/>
        <v>37.261396221437892</v>
      </c>
      <c r="F190" s="385">
        <f t="shared" si="51"/>
        <v>37.263106161308599</v>
      </c>
      <c r="G190" s="110">
        <f t="shared" si="76"/>
        <v>0.59383625384541927</v>
      </c>
      <c r="H190" s="414" t="b">
        <f>Wh_hp&gt;='2023'!Maxi_hp</f>
        <v>0</v>
      </c>
      <c r="I190" s="390">
        <f>IF(H190,Wh_hp,'2023'!Maxi_hp)</f>
        <v>59.517932616441065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4.7210609714656404E-2</v>
      </c>
      <c r="M190" s="845"/>
      <c r="N190" s="845"/>
      <c r="O190" s="48">
        <f>IF(t&lt;Tnet,'2023'!Resal+('2023'!Salim-'2023'!Resal)*(1-EXP(('2023'!Tnet-t)/('2023'!Tau_j))),Resal+(Salim-Resal)*(1-EXP((Tnet-t)/(Tau_j))))*Salcycl</f>
        <v>4.1934570781256328E-2</v>
      </c>
      <c r="P190" s="169">
        <f>(INDEX(Models!$BJ190:$BT190,,T190)*(1-R190)+INDEX(Models!$BJ190:$BT190,,T190+1)*R190-ERP_i)*Q190*Ramure*Pc/MaxiM</f>
        <v>1.0930468665049395E-4</v>
      </c>
      <c r="Q190" s="305">
        <f t="shared" si="53"/>
        <v>0.5</v>
      </c>
      <c r="R190" s="177">
        <f t="shared" si="54"/>
        <v>0.32195634529877704</v>
      </c>
      <c r="S190" s="811">
        <f t="shared" si="55"/>
        <v>1</v>
      </c>
      <c r="T190" s="176">
        <f t="shared" si="56"/>
        <v>7</v>
      </c>
      <c r="U190" s="251">
        <f t="shared" si="57"/>
        <v>1.321956345298777</v>
      </c>
      <c r="V190" s="383">
        <f t="shared" si="58"/>
        <v>57.273926093778243</v>
      </c>
      <c r="W190" s="402">
        <f t="shared" si="59"/>
        <v>34.013490826881103</v>
      </c>
      <c r="X190" s="157">
        <f t="shared" si="60"/>
        <v>45467</v>
      </c>
      <c r="Y190" s="385">
        <f t="shared" si="61"/>
        <v>32.673006313245175</v>
      </c>
      <c r="Z190" s="385">
        <f t="shared" si="62"/>
        <v>34.291950190020678</v>
      </c>
      <c r="AA190" s="386">
        <f t="shared" si="63"/>
        <v>37.261396221437892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7.9692291018037112E-2</v>
      </c>
      <c r="AD190" s="231">
        <f>(INDEX(Models!$BJ190:$BT190,,AH190)*(1-AF190)+INDEX(Models!$BJ190:$BT190,,AH190+1)*AF190-ERP_i)*AE190*Ramure*Pc/MaxiM</f>
        <v>1.0930468665049395E-4</v>
      </c>
      <c r="AE190" s="305">
        <f t="shared" si="65"/>
        <v>0.5</v>
      </c>
      <c r="AF190" s="177">
        <f t="shared" si="66"/>
        <v>0.32195634529877704</v>
      </c>
      <c r="AG190" s="811">
        <f t="shared" si="74"/>
        <v>1</v>
      </c>
      <c r="AH190" s="176">
        <f t="shared" si="67"/>
        <v>7</v>
      </c>
      <c r="AI190" s="225">
        <f t="shared" si="68"/>
        <v>1.321956345298777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11.412465561939488</v>
      </c>
      <c r="C191" s="841"/>
      <c r="D191" s="393">
        <f t="shared" si="50"/>
        <v>11.978214331586589</v>
      </c>
      <c r="E191" s="385">
        <f t="shared" si="75"/>
        <v>12.503595464619702</v>
      </c>
      <c r="F191" s="385">
        <f t="shared" si="51"/>
        <v>12.503595464619702</v>
      </c>
      <c r="G191" s="110">
        <f t="shared" si="76"/>
        <v>0.1995096235194822</v>
      </c>
      <c r="H191" s="414" t="b">
        <f>Wh_hp&gt;='2023'!Maxi_hp</f>
        <v>0</v>
      </c>
      <c r="I191" s="390">
        <f>IF(H191,Wh_hp,'2023'!Maxi_hp)</f>
        <v>61.557220620707511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4.7231478247573122E-2</v>
      </c>
      <c r="M191" s="845"/>
      <c r="N191" s="845"/>
      <c r="O191" s="48">
        <f>IF(t&lt;Tnet,'2023'!Resal+('2023'!Salim-'2023'!Resal)*(1-EXP(('2023'!Tnet-t)/('2023'!Tau_j))),Resal+(Salim-Resal)*(1-EXP((Tnet-t)/(Tau_j))))*Salcycl</f>
        <v>4.2018404587683356E-2</v>
      </c>
      <c r="P191" s="169">
        <f>(INDEX(Models!$BJ191:$BT191,,T191)*(1-R191)+INDEX(Models!$BJ191:$BT191,,T191+1)*R191-ERP_i)*Q191*Ramure*Pc/MaxiM</f>
        <v>1.1032766895849337E-4</v>
      </c>
      <c r="Q191" s="305">
        <f t="shared" si="53"/>
        <v>0.5</v>
      </c>
      <c r="R191" s="177">
        <f t="shared" si="54"/>
        <v>0.32661345763960936</v>
      </c>
      <c r="S191" s="811">
        <f t="shared" si="55"/>
        <v>1</v>
      </c>
      <c r="T191" s="176">
        <f t="shared" si="56"/>
        <v>7</v>
      </c>
      <c r="U191" s="251">
        <f t="shared" si="57"/>
        <v>1.3266134576396094</v>
      </c>
      <c r="V191" s="383">
        <f t="shared" si="58"/>
        <v>57.19627078591855</v>
      </c>
      <c r="W191" s="402">
        <f t="shared" si="59"/>
        <v>11.412465561939488</v>
      </c>
      <c r="X191" s="157">
        <f t="shared" si="60"/>
        <v>45468</v>
      </c>
      <c r="Y191" s="385">
        <f t="shared" si="61"/>
        <v>10.962966832455734</v>
      </c>
      <c r="Z191" s="385">
        <f t="shared" si="62"/>
        <v>11.506432656162435</v>
      </c>
      <c r="AA191" s="386">
        <f t="shared" si="63"/>
        <v>12.503595464619702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7.9750085587689437E-2</v>
      </c>
      <c r="AD191" s="231">
        <f>(INDEX(Models!$BJ191:$BT191,,AH191)*(1-AF191)+INDEX(Models!$BJ191:$BT191,,AH191+1)*AF191-ERP_i)*AE191*Ramure*Pc/MaxiM</f>
        <v>1.1032766895849337E-4</v>
      </c>
      <c r="AE191" s="305">
        <f t="shared" si="65"/>
        <v>0.5</v>
      </c>
      <c r="AF191" s="177">
        <f t="shared" si="66"/>
        <v>0.32661345763960936</v>
      </c>
      <c r="AG191" s="811">
        <f t="shared" si="74"/>
        <v>1</v>
      </c>
      <c r="AH191" s="176">
        <f t="shared" si="67"/>
        <v>7</v>
      </c>
      <c r="AI191" s="225">
        <f t="shared" si="68"/>
        <v>1.3266134576396094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12.457584884513576</v>
      </c>
      <c r="C192" s="841"/>
      <c r="D192" s="393">
        <f t="shared" si="50"/>
        <v>13.075429612910254</v>
      </c>
      <c r="E192" s="385">
        <f t="shared" si="75"/>
        <v>13.650120418551907</v>
      </c>
      <c r="F192" s="385">
        <f t="shared" si="51"/>
        <v>13.650120418551907</v>
      </c>
      <c r="G192" s="110">
        <f t="shared" si="76"/>
        <v>0.21808273191046953</v>
      </c>
      <c r="H192" s="414" t="b">
        <f>Wh_hp&gt;='2023'!Maxi_hp</f>
        <v>0</v>
      </c>
      <c r="I192" s="390">
        <f>IF(H192,Wh_hp,'2023'!Maxi_hp)</f>
        <v>61.321800192772599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4.7252346323415462E-2</v>
      </c>
      <c r="M192" s="845"/>
      <c r="N192" s="845"/>
      <c r="O192" s="48">
        <f>IF(t&lt;Tnet,'2023'!Resal+('2023'!Salim-'2023'!Resal)*(1-EXP(('2023'!Tnet-t)/('2023'!Tau_j))),Resal+(Salim-Resal)*(1-EXP((Tnet-t)/(Tau_j))))*Salcycl</f>
        <v>4.210151910898819E-2</v>
      </c>
      <c r="P192" s="169">
        <f>(INDEX(Models!$BJ192:$BT192,,T192)*(1-R192)+INDEX(Models!$BJ192:$BT192,,T192+1)*R192-ERP_i)*Q192*Ramure*Pc/MaxiM</f>
        <v>1.1187922278964244E-4</v>
      </c>
      <c r="Q192" s="305">
        <f t="shared" si="53"/>
        <v>0.5</v>
      </c>
      <c r="R192" s="177">
        <f t="shared" si="54"/>
        <v>0.33121022305732639</v>
      </c>
      <c r="S192" s="811">
        <f t="shared" si="55"/>
        <v>1</v>
      </c>
      <c r="T192" s="176">
        <f t="shared" si="56"/>
        <v>7</v>
      </c>
      <c r="U192" s="251">
        <f t="shared" si="57"/>
        <v>1.3312102230573264</v>
      </c>
      <c r="V192" s="383">
        <f t="shared" si="58"/>
        <v>57.116815396060588</v>
      </c>
      <c r="W192" s="402">
        <f t="shared" si="59"/>
        <v>12.457584884513576</v>
      </c>
      <c r="X192" s="157">
        <f t="shared" si="60"/>
        <v>45469</v>
      </c>
      <c r="Y192" s="385">
        <f t="shared" si="61"/>
        <v>11.967226395072602</v>
      </c>
      <c r="Z192" s="385">
        <f t="shared" si="62"/>
        <v>12.560751368835113</v>
      </c>
      <c r="AA192" s="386">
        <f t="shared" si="63"/>
        <v>13.650120418551907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7.9806552346324416E-2</v>
      </c>
      <c r="AD192" s="231">
        <f>(INDEX(Models!$BJ192:$BT192,,AH192)*(1-AF192)+INDEX(Models!$BJ192:$BT192,,AH192+1)*AF192-ERP_i)*AE192*Ramure*Pc/MaxiM</f>
        <v>1.1187922278964244E-4</v>
      </c>
      <c r="AE192" s="305">
        <f t="shared" si="65"/>
        <v>0.5</v>
      </c>
      <c r="AF192" s="177">
        <f t="shared" si="66"/>
        <v>0.33121022305732639</v>
      </c>
      <c r="AG192" s="811">
        <f t="shared" si="74"/>
        <v>1</v>
      </c>
      <c r="AH192" s="176">
        <f t="shared" si="67"/>
        <v>7</v>
      </c>
      <c r="AI192" s="225">
        <f t="shared" si="68"/>
        <v>1.3312102230573264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56.553452187334301</v>
      </c>
      <c r="C193" s="841"/>
      <c r="D193" s="393">
        <f t="shared" si="50"/>
        <v>59.359569831495143</v>
      </c>
      <c r="E193" s="385">
        <f t="shared" si="75"/>
        <v>61.973870474050138</v>
      </c>
      <c r="F193" s="385">
        <f t="shared" si="51"/>
        <v>61.980846423004408</v>
      </c>
      <c r="G193" s="110">
        <f t="shared" si="76"/>
        <v>0.99154583885965286</v>
      </c>
      <c r="H193" s="414" t="b">
        <f>Wh_hp&gt;='2023'!Maxi_hp</f>
        <v>0</v>
      </c>
      <c r="I193" s="390">
        <f>IF(H193,Wh_hp,'2023'!Maxi_hp)</f>
        <v>61.980882161709836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4.7273213942193415E-2</v>
      </c>
      <c r="M193" s="845"/>
      <c r="N193" s="845"/>
      <c r="O193" s="48">
        <f>IF(t&lt;Tnet,'2023'!Resal+('2023'!Salim-'2023'!Resal)*(1-EXP(('2023'!Tnet-t)/('2023'!Tau_j))),Resal+(Salim-Resal)*(1-EXP((Tnet-t)/(Tau_j))))*Salcycl</f>
        <v>4.2183917553602873E-2</v>
      </c>
      <c r="P193" s="169">
        <f>(INDEX(Models!$BJ193:$BT193,,T193)*(1-R193)+INDEX(Models!$BJ193:$BT193,,T193+1)*R193-ERP_i)*Q193*Ramure*Pc/MaxiM</f>
        <v>1.1392577774749506E-4</v>
      </c>
      <c r="Q193" s="305">
        <f t="shared" si="53"/>
        <v>0.5</v>
      </c>
      <c r="R193" s="177">
        <f t="shared" si="54"/>
        <v>0.33574400258815595</v>
      </c>
      <c r="S193" s="811">
        <f t="shared" si="55"/>
        <v>1</v>
      </c>
      <c r="T193" s="176">
        <f t="shared" si="56"/>
        <v>7</v>
      </c>
      <c r="U193" s="251">
        <f t="shared" si="57"/>
        <v>1.335744002588156</v>
      </c>
      <c r="V193" s="383">
        <f t="shared" si="58"/>
        <v>57.035562211541176</v>
      </c>
      <c r="W193" s="402">
        <f t="shared" si="59"/>
        <v>56.553452187334301</v>
      </c>
      <c r="X193" s="157">
        <f t="shared" si="60"/>
        <v>45470</v>
      </c>
      <c r="Y193" s="385">
        <f t="shared" si="61"/>
        <v>54.328798790345886</v>
      </c>
      <c r="Z193" s="385">
        <f t="shared" si="62"/>
        <v>57.024531676229678</v>
      </c>
      <c r="AA193" s="386">
        <f t="shared" si="63"/>
        <v>61.973870474050138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7.9861702358784495E-2</v>
      </c>
      <c r="AD193" s="231">
        <f>(INDEX(Models!$BJ193:$BT193,,AH193)*(1-AF193)+INDEX(Models!$BJ193:$BT193,,AH193+1)*AF193-ERP_i)*AE193*Ramure*Pc/MaxiM</f>
        <v>1.1392577774749506E-4</v>
      </c>
      <c r="AE193" s="305">
        <f t="shared" si="65"/>
        <v>0.5</v>
      </c>
      <c r="AF193" s="177">
        <f t="shared" si="66"/>
        <v>0.33574400258815595</v>
      </c>
      <c r="AG193" s="811">
        <f t="shared" si="74"/>
        <v>1</v>
      </c>
      <c r="AH193" s="176">
        <f t="shared" si="67"/>
        <v>7</v>
      </c>
      <c r="AI193" s="225">
        <f t="shared" si="68"/>
        <v>1.335744002588156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53.691955065902818</v>
      </c>
      <c r="C194" s="841"/>
      <c r="D194" s="393">
        <f t="shared" si="50"/>
        <v>56.357322864244004</v>
      </c>
      <c r="E194" s="385">
        <f t="shared" si="75"/>
        <v>58.844417779439134</v>
      </c>
      <c r="F194" s="385">
        <f t="shared" si="51"/>
        <v>58.850712238550798</v>
      </c>
      <c r="G194" s="110">
        <f t="shared" si="76"/>
        <v>0.94274059125316967</v>
      </c>
      <c r="H194" s="414" t="b">
        <f>Wh_hp&gt;='2023'!Maxi_hp</f>
        <v>0</v>
      </c>
      <c r="I194" s="390">
        <f>IF(H194,Wh_hp,'2023'!Maxi_hp)</f>
        <v>58.85095048223954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4.7294081103916863E-2</v>
      </c>
      <c r="M194" s="845"/>
      <c r="N194" s="845"/>
      <c r="O194" s="48">
        <f>IF(t&lt;Tnet,'2023'!Resal+('2023'!Salim-'2023'!Resal)*(1-EXP(('2023'!Tnet-t)/('2023'!Tau_j))),Resal+(Salim-Resal)*(1-EXP((Tnet-t)/(Tau_j))))*Salcycl</f>
        <v>4.2265604946883237E-2</v>
      </c>
      <c r="P194" s="169">
        <f>(INDEX(Models!$BJ194:$BT194,,T194)*(1-R194)+INDEX(Models!$BJ194:$BT194,,T194+1)*R194-ERP_i)*Q194*Ramure*Pc/MaxiM</f>
        <v>1.1648310435189779E-4</v>
      </c>
      <c r="Q194" s="305">
        <f t="shared" si="53"/>
        <v>0.5</v>
      </c>
      <c r="R194" s="177">
        <f t="shared" si="54"/>
        <v>0.34021233391992833</v>
      </c>
      <c r="S194" s="811">
        <f t="shared" si="55"/>
        <v>1</v>
      </c>
      <c r="T194" s="176">
        <f t="shared" si="56"/>
        <v>7</v>
      </c>
      <c r="U194" s="251">
        <f t="shared" si="57"/>
        <v>1.3402123339199283</v>
      </c>
      <c r="V194" s="383">
        <f t="shared" si="58"/>
        <v>56.952510585476865</v>
      </c>
      <c r="W194" s="402">
        <f t="shared" si="59"/>
        <v>53.691955065902818</v>
      </c>
      <c r="X194" s="157">
        <f t="shared" si="60"/>
        <v>45471</v>
      </c>
      <c r="Y194" s="385">
        <f t="shared" si="61"/>
        <v>51.581245487924974</v>
      </c>
      <c r="Z194" s="385">
        <f t="shared" si="62"/>
        <v>54.141833765127707</v>
      </c>
      <c r="AA194" s="386">
        <f t="shared" si="63"/>
        <v>58.844417779439134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7.9915550051623818E-2</v>
      </c>
      <c r="AD194" s="231">
        <f>(INDEX(Models!$BJ194:$BT194,,AH194)*(1-AF194)+INDEX(Models!$BJ194:$BT194,,AH194+1)*AF194-ERP_i)*AE194*Ramure*Pc/MaxiM</f>
        <v>1.1648310435189779E-4</v>
      </c>
      <c r="AE194" s="305">
        <f t="shared" si="65"/>
        <v>0.5</v>
      </c>
      <c r="AF194" s="177">
        <f t="shared" si="66"/>
        <v>0.34021233391992833</v>
      </c>
      <c r="AG194" s="811">
        <f t="shared" si="74"/>
        <v>1</v>
      </c>
      <c r="AH194" s="176">
        <f t="shared" si="67"/>
        <v>7</v>
      </c>
      <c r="AI194" s="225">
        <f t="shared" si="68"/>
        <v>1.3402123339199283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13.349633197676383</v>
      </c>
      <c r="C195" s="841"/>
      <c r="D195" s="393">
        <f t="shared" si="50"/>
        <v>14.012640554156935</v>
      </c>
      <c r="E195" s="385">
        <f t="shared" si="75"/>
        <v>14.632267143294721</v>
      </c>
      <c r="F195" s="385">
        <f t="shared" si="51"/>
        <v>14.632267143294721</v>
      </c>
      <c r="G195" s="110">
        <f t="shared" si="76"/>
        <v>0.23472105368626345</v>
      </c>
      <c r="H195" s="414" t="b">
        <f>Wh_hp&gt;='2023'!Maxi_hp</f>
        <v>0</v>
      </c>
      <c r="I195" s="390">
        <f>IF(H195,Wh_hp,'2023'!Maxi_hp)</f>
        <v>52.467807817786799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4.731494780859602E-2</v>
      </c>
      <c r="M195" s="845"/>
      <c r="N195" s="845"/>
      <c r="O195" s="48">
        <f>IF(t&lt;Tnet,'2023'!Resal+('2023'!Salim-'2023'!Resal)*(1-EXP(('2023'!Tnet-t)/('2023'!Tau_j))),Resal+(Salim-Resal)*(1-EXP((Tnet-t)/(Tau_j))))*Salcycl</f>
        <v>4.234658806251583E-2</v>
      </c>
      <c r="P195" s="169">
        <f>(INDEX(Models!$BJ195:$BT195,,T195)*(1-R195)+INDEX(Models!$BJ195:$BT195,,T195+1)*R195-ERP_i)*Q195*Ramure*Pc/MaxiM</f>
        <v>1.1956653319979719E-4</v>
      </c>
      <c r="Q195" s="305">
        <f t="shared" si="53"/>
        <v>0.5</v>
      </c>
      <c r="R195" s="177">
        <f t="shared" si="54"/>
        <v>0.34461293416548378</v>
      </c>
      <c r="S195" s="811">
        <f t="shared" si="55"/>
        <v>1</v>
      </c>
      <c r="T195" s="176">
        <f t="shared" si="56"/>
        <v>7</v>
      </c>
      <c r="U195" s="251">
        <f t="shared" si="57"/>
        <v>1.3446129341654838</v>
      </c>
      <c r="V195" s="383">
        <f t="shared" si="58"/>
        <v>56.867659797390445</v>
      </c>
      <c r="W195" s="402">
        <f t="shared" si="59"/>
        <v>13.349633197676383</v>
      </c>
      <c r="X195" s="157">
        <f t="shared" si="60"/>
        <v>45472</v>
      </c>
      <c r="Y195" s="385">
        <f t="shared" si="61"/>
        <v>12.825191314182495</v>
      </c>
      <c r="Z195" s="385">
        <f t="shared" si="62"/>
        <v>13.462152350014815</v>
      </c>
      <c r="AA195" s="386">
        <f t="shared" si="63"/>
        <v>14.632267143294721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7.9968113062787727E-2</v>
      </c>
      <c r="AD195" s="231">
        <f>(INDEX(Models!$BJ195:$BT195,,AH195)*(1-AF195)+INDEX(Models!$BJ195:$BT195,,AH195+1)*AF195-ERP_i)*AE195*Ramure*Pc/MaxiM</f>
        <v>1.1956653319979719E-4</v>
      </c>
      <c r="AE195" s="305">
        <f t="shared" si="65"/>
        <v>0.5</v>
      </c>
      <c r="AF195" s="177">
        <f t="shared" si="66"/>
        <v>0.34461293416548378</v>
      </c>
      <c r="AG195" s="811">
        <f t="shared" si="74"/>
        <v>1</v>
      </c>
      <c r="AH195" s="176">
        <f t="shared" si="67"/>
        <v>7</v>
      </c>
      <c r="AI195" s="225">
        <f t="shared" si="68"/>
        <v>1.3446129341654838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48.057197900387884</v>
      </c>
      <c r="C196" s="841"/>
      <c r="D196" s="393">
        <f t="shared" si="50"/>
        <v>50.445055675919946</v>
      </c>
      <c r="E196" s="385">
        <f t="shared" si="75"/>
        <v>52.680108053444094</v>
      </c>
      <c r="F196" s="385">
        <f t="shared" si="51"/>
        <v>52.685173857202166</v>
      </c>
      <c r="G196" s="110">
        <f t="shared" si="76"/>
        <v>0.84633751975749161</v>
      </c>
      <c r="H196" s="414" t="b">
        <f>Wh_hp&gt;='2023'!Maxi_hp</f>
        <v>0</v>
      </c>
      <c r="I196" s="390">
        <f>IF(H196,Wh_hp,'2023'!Maxi_hp)</f>
        <v>60.470455322225597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4.7335814056240766E-2</v>
      </c>
      <c r="M196" s="845"/>
      <c r="N196" s="845"/>
      <c r="O196" s="48">
        <f>IF(t&lt;Tnet,'2023'!Resal+('2023'!Salim-'2023'!Resal)*(1-EXP(('2023'!Tnet-t)/('2023'!Tau_j))),Resal+(Salim-Resal)*(1-EXP((Tnet-t)/(Tau_j))))*Salcycl</f>
        <v>4.2426875344611759E-2</v>
      </c>
      <c r="P196" s="169">
        <f>(INDEX(Models!$BJ196:$BT196,,T196)*(1-R196)+INDEX(Models!$BJ196:$BT196,,T196+1)*R196-ERP_i)*Q196*Ramure*Pc/MaxiM</f>
        <v>1.2319093883222254E-4</v>
      </c>
      <c r="Q196" s="305">
        <f t="shared" si="53"/>
        <v>0.5</v>
      </c>
      <c r="R196" s="177">
        <f t="shared" si="54"/>
        <v>0.34894370168642674</v>
      </c>
      <c r="S196" s="811">
        <f t="shared" si="55"/>
        <v>1</v>
      </c>
      <c r="T196" s="176">
        <f t="shared" si="56"/>
        <v>7</v>
      </c>
      <c r="U196" s="251">
        <f t="shared" si="57"/>
        <v>1.3489437016864267</v>
      </c>
      <c r="V196" s="383">
        <f t="shared" si="58"/>
        <v>56.781009059872844</v>
      </c>
      <c r="W196" s="402">
        <f t="shared" si="59"/>
        <v>48.057197900387884</v>
      </c>
      <c r="X196" s="157">
        <f t="shared" si="60"/>
        <v>45473</v>
      </c>
      <c r="Y196" s="385">
        <f t="shared" si="61"/>
        <v>46.170561850656952</v>
      </c>
      <c r="Z196" s="385">
        <f t="shared" si="62"/>
        <v>48.464676778961689</v>
      </c>
      <c r="AA196" s="386">
        <f t="shared" si="63"/>
        <v>52.680108053444094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8.0019412074968377E-2</v>
      </c>
      <c r="AD196" s="231">
        <f>(INDEX(Models!$BJ196:$BT196,,AH196)*(1-AF196)+INDEX(Models!$BJ196:$BT196,,AH196+1)*AF196-ERP_i)*AE196*Ramure*Pc/MaxiM</f>
        <v>1.2319093883222254E-4</v>
      </c>
      <c r="AE196" s="305">
        <f t="shared" si="65"/>
        <v>0.5</v>
      </c>
      <c r="AF196" s="177">
        <f t="shared" si="66"/>
        <v>0.34894370168642674</v>
      </c>
      <c r="AG196" s="811">
        <f t="shared" si="74"/>
        <v>1</v>
      </c>
      <c r="AH196" s="176">
        <f t="shared" si="67"/>
        <v>7</v>
      </c>
      <c r="AI196" s="225">
        <f t="shared" si="68"/>
        <v>1.3489437016864267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53.534835234292075</v>
      </c>
      <c r="C197" s="841"/>
      <c r="D197" s="393">
        <f t="shared" si="50"/>
        <v>56.196095749336976</v>
      </c>
      <c r="E197" s="385">
        <f t="shared" si="75"/>
        <v>58.690836427555944</v>
      </c>
      <c r="F197" s="385">
        <f t="shared" si="51"/>
        <v>58.697717903148686</v>
      </c>
      <c r="G197" s="110">
        <f t="shared" si="76"/>
        <v>0.9442913662849296</v>
      </c>
      <c r="H197" s="414" t="b">
        <f>Wh_hp&gt;='2023'!Maxi_hp</f>
        <v>0</v>
      </c>
      <c r="I197" s="390">
        <f>IF(H197,Wh_hp,'2023'!Maxi_hp)</f>
        <v>58.697985022962222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4.7356679846861094E-2</v>
      </c>
      <c r="M197" s="845"/>
      <c r="N197" s="845"/>
      <c r="O197" s="48">
        <f>IF(t&lt;Tnet,'2023'!Resal+('2023'!Salim-'2023'!Resal)*(1-EXP(('2023'!Tnet-t)/('2023'!Tau_j))),Resal+(Salim-Resal)*(1-EXP((Tnet-t)/(Tau_j))))*Salcycl</f>
        <v>4.2506476821101584E-2</v>
      </c>
      <c r="P197" s="169">
        <f>(INDEX(Models!$BJ197:$BT197,,T197)*(1-R197)+INDEX(Models!$BJ197:$BT197,,T197+1)*R197-ERP_i)*Q197*Ramure*Pc/MaxiM</f>
        <v>1.273707287612012E-4</v>
      </c>
      <c r="Q197" s="305">
        <f t="shared" si="53"/>
        <v>0.5</v>
      </c>
      <c r="R197" s="177">
        <f t="shared" si="54"/>
        <v>0.35320271699408723</v>
      </c>
      <c r="S197" s="811">
        <f t="shared" si="55"/>
        <v>1</v>
      </c>
      <c r="T197" s="176">
        <f t="shared" si="56"/>
        <v>7</v>
      </c>
      <c r="U197" s="251">
        <f t="shared" si="57"/>
        <v>1.3532027169940872</v>
      </c>
      <c r="V197" s="383">
        <f t="shared" si="58"/>
        <v>56.692557521816816</v>
      </c>
      <c r="W197" s="402">
        <f t="shared" si="59"/>
        <v>53.534835234292075</v>
      </c>
      <c r="X197" s="157">
        <f t="shared" si="60"/>
        <v>45474</v>
      </c>
      <c r="Y197" s="385">
        <f t="shared" si="61"/>
        <v>51.434634412045135</v>
      </c>
      <c r="Z197" s="385">
        <f t="shared" si="62"/>
        <v>53.991492223739037</v>
      </c>
      <c r="AA197" s="386">
        <f t="shared" si="63"/>
        <v>58.690836427555944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8.0069470633928747E-2</v>
      </c>
      <c r="AD197" s="231">
        <f>(INDEX(Models!$BJ197:$BT197,,AH197)*(1-AF197)+INDEX(Models!$BJ197:$BT197,,AH197+1)*AF197-ERP_i)*AE197*Ramure*Pc/MaxiM</f>
        <v>1.273707287612012E-4</v>
      </c>
      <c r="AE197" s="305">
        <f t="shared" si="65"/>
        <v>0.5</v>
      </c>
      <c r="AF197" s="177">
        <f t="shared" si="66"/>
        <v>0.35320271699408723</v>
      </c>
      <c r="AG197" s="811">
        <f t="shared" si="74"/>
        <v>1</v>
      </c>
      <c r="AH197" s="176">
        <f t="shared" si="67"/>
        <v>7</v>
      </c>
      <c r="AI197" s="225">
        <f t="shared" si="68"/>
        <v>1.3532027169940872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44.60949689556471</v>
      </c>
      <c r="C198" s="841"/>
      <c r="D198" s="393">
        <f t="shared" si="50"/>
        <v>46.828097185695292</v>
      </c>
      <c r="E198" s="385">
        <f t="shared" si="75"/>
        <v>48.91099152006354</v>
      </c>
      <c r="F198" s="385">
        <f t="shared" si="51"/>
        <v>48.915533385905029</v>
      </c>
      <c r="G198" s="110">
        <f t="shared" si="76"/>
        <v>0.78809061834769334</v>
      </c>
      <c r="H198" s="414" t="b">
        <f>Wh_hp&gt;='2023'!Maxi_hp</f>
        <v>0</v>
      </c>
      <c r="I198" s="390">
        <f>IF(H198,Wh_hp,'2023'!Maxi_hp)</f>
        <v>53.763656051916264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4.7377545180467107E-2</v>
      </c>
      <c r="M198" s="845"/>
      <c r="N198" s="845"/>
      <c r="O198" s="48">
        <f>IF(t&lt;Tnet,'2023'!Resal+('2023'!Salim-'2023'!Resal)*(1-EXP(('2023'!Tnet-t)/('2023'!Tau_j))),Resal+(Salim-Resal)*(1-EXP((Tnet-t)/(Tau_j))))*Salcycl</f>
        <v>4.2585404009113766E-2</v>
      </c>
      <c r="P198" s="169">
        <f>(INDEX(Models!$BJ198:$BT198,,T198)*(1-R198)+INDEX(Models!$BJ198:$BT198,,T198+1)*R198-ERP_i)*Q198*Ramure*Pc/MaxiM</f>
        <v>1.3315479897168882E-4</v>
      </c>
      <c r="Q198" s="305">
        <f t="shared" si="53"/>
        <v>0.5</v>
      </c>
      <c r="R198" s="177">
        <f t="shared" si="54"/>
        <v>0.3573882427613837</v>
      </c>
      <c r="S198" s="811">
        <f t="shared" si="55"/>
        <v>1</v>
      </c>
      <c r="T198" s="176">
        <f t="shared" si="56"/>
        <v>7</v>
      </c>
      <c r="U198" s="251">
        <f t="shared" si="57"/>
        <v>1.3573882427613837</v>
      </c>
      <c r="V198" s="383">
        <f t="shared" si="58"/>
        <v>56.602245689385974</v>
      </c>
      <c r="W198" s="402">
        <f t="shared" si="59"/>
        <v>44.60949689556471</v>
      </c>
      <c r="X198" s="157">
        <f t="shared" si="60"/>
        <v>45475</v>
      </c>
      <c r="Y198" s="385">
        <f t="shared" si="61"/>
        <v>42.860699372263007</v>
      </c>
      <c r="Z198" s="385">
        <f t="shared" si="62"/>
        <v>44.992325296785744</v>
      </c>
      <c r="AA198" s="386">
        <f t="shared" si="63"/>
        <v>48.91099152006354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8.0118314953201042E-2</v>
      </c>
      <c r="AD198" s="231">
        <f>(INDEX(Models!$BJ198:$BT198,,AH198)*(1-AF198)+INDEX(Models!$BJ198:$BT198,,AH198+1)*AF198-ERP_i)*AE198*Ramure*Pc/MaxiM</f>
        <v>1.3315479897168882E-4</v>
      </c>
      <c r="AE198" s="305">
        <f t="shared" si="65"/>
        <v>0.5</v>
      </c>
      <c r="AF198" s="177">
        <f t="shared" si="66"/>
        <v>0.3573882427613837</v>
      </c>
      <c r="AG198" s="811">
        <f t="shared" si="74"/>
        <v>1</v>
      </c>
      <c r="AH198" s="176">
        <f t="shared" si="67"/>
        <v>7</v>
      </c>
      <c r="AI198" s="225">
        <f t="shared" si="68"/>
        <v>1.3573882427613837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42.333978690362223</v>
      </c>
      <c r="C199" s="841"/>
      <c r="D199" s="393">
        <f t="shared" si="50"/>
        <v>44.440382146431624</v>
      </c>
      <c r="E199" s="385">
        <f t="shared" si="75"/>
        <v>46.420866674677065</v>
      </c>
      <c r="F199" s="385">
        <f t="shared" si="51"/>
        <v>46.425052234911689</v>
      </c>
      <c r="G199" s="110">
        <f t="shared" si="76"/>
        <v>0.74910264186112485</v>
      </c>
      <c r="H199" s="414" t="b">
        <f>Wh_hp&gt;='2023'!Maxi_hp</f>
        <v>0</v>
      </c>
      <c r="I199" s="390">
        <f>IF(H199,Wh_hp,'2023'!Maxi_hp)</f>
        <v>58.995697367701958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4.7398410057068685E-2</v>
      </c>
      <c r="M199" s="845"/>
      <c r="N199" s="845"/>
      <c r="O199" s="48">
        <f>IF(t&lt;Tnet,'2023'!Resal+('2023'!Salim-'2023'!Resal)*(1-EXP(('2023'!Tnet-t)/('2023'!Tau_j))),Resal+(Salim-Resal)*(1-EXP((Tnet-t)/(Tau_j))))*Salcycl</f>
        <v>4.2663669813080264E-2</v>
      </c>
      <c r="P199" s="169">
        <f>(INDEX(Models!$BJ199:$BT199,,T199)*(1-R199)+INDEX(Models!$BJ199:$BT199,,T199+1)*R199-ERP_i)*Q199*Ramure*Pc/MaxiM</f>
        <v>1.4051320631934037E-4</v>
      </c>
      <c r="Q199" s="305">
        <f t="shared" si="53"/>
        <v>0.5</v>
      </c>
      <c r="R199" s="177">
        <f t="shared" si="54"/>
        <v>0.36149872298534103</v>
      </c>
      <c r="S199" s="811">
        <f t="shared" si="55"/>
        <v>1</v>
      </c>
      <c r="T199" s="176">
        <f t="shared" si="56"/>
        <v>7</v>
      </c>
      <c r="U199" s="251">
        <f t="shared" si="57"/>
        <v>1.361498722985341</v>
      </c>
      <c r="V199" s="383">
        <f t="shared" si="58"/>
        <v>56.510075347929615</v>
      </c>
      <c r="W199" s="402">
        <f t="shared" si="59"/>
        <v>42.333978690362223</v>
      </c>
      <c r="X199" s="157">
        <f t="shared" si="60"/>
        <v>45476</v>
      </c>
      <c r="Y199" s="385">
        <f t="shared" si="61"/>
        <v>40.675604633294341</v>
      </c>
      <c r="Z199" s="385">
        <f t="shared" si="62"/>
        <v>42.699492697394241</v>
      </c>
      <c r="AA199" s="386">
        <f t="shared" si="63"/>
        <v>46.420866674677065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8.0165973706666324E-2</v>
      </c>
      <c r="AD199" s="231">
        <f>(INDEX(Models!$BJ199:$BT199,,AH199)*(1-AF199)+INDEX(Models!$BJ199:$BT199,,AH199+1)*AF199-ERP_i)*AE199*Ramure*Pc/MaxiM</f>
        <v>1.4051320631934037E-4</v>
      </c>
      <c r="AE199" s="305">
        <f t="shared" si="65"/>
        <v>0.5</v>
      </c>
      <c r="AF199" s="177">
        <f t="shared" si="66"/>
        <v>0.36149872298534103</v>
      </c>
      <c r="AG199" s="811">
        <f t="shared" si="74"/>
        <v>1</v>
      </c>
      <c r="AH199" s="176">
        <f t="shared" si="67"/>
        <v>7</v>
      </c>
      <c r="AI199" s="225">
        <f t="shared" si="68"/>
        <v>1.361498722985341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53.041821921427577</v>
      </c>
      <c r="C200" s="841"/>
      <c r="D200" s="393">
        <f t="shared" si="50"/>
        <v>55.682233012102699</v>
      </c>
      <c r="E200" s="385">
        <f t="shared" si="75"/>
        <v>58.168426506127382</v>
      </c>
      <c r="F200" s="385">
        <f t="shared" si="51"/>
        <v>58.176379051940494</v>
      </c>
      <c r="G200" s="110">
        <f t="shared" si="76"/>
        <v>0.94017835139154593</v>
      </c>
      <c r="H200" s="414" t="b">
        <f>Wh_hp&gt;='2023'!Maxi_hp</f>
        <v>0</v>
      </c>
      <c r="I200" s="390">
        <f>IF(H200,Wh_hp,'2023'!Maxi_hp)</f>
        <v>61.322232788721351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4.7419274476675932E-2</v>
      </c>
      <c r="M200" s="845"/>
      <c r="N200" s="845"/>
      <c r="O200" s="48">
        <f>IF(t&lt;Tnet,'2023'!Resal+('2023'!Salim-'2023'!Resal)*(1-EXP(('2023'!Tnet-t)/('2023'!Tau_j))),Resal+(Salim-Resal)*(1-EXP((Tnet-t)/(Tau_j))))*Salcycl</f>
        <v>4.2741288416367797E-2</v>
      </c>
      <c r="P200" s="169">
        <f>(INDEX(Models!$BJ200:$BT200,,T200)*(1-R200)+INDEX(Models!$BJ200:$BT200,,T200+1)*R200-ERP_i)*Q200*Ramure*Pc/MaxiM</f>
        <v>1.4946806164875653E-4</v>
      </c>
      <c r="Q200" s="305">
        <f t="shared" si="53"/>
        <v>0.5</v>
      </c>
      <c r="R200" s="177">
        <f t="shared" si="54"/>
        <v>0.36553278134531464</v>
      </c>
      <c r="S200" s="811">
        <f t="shared" si="55"/>
        <v>1</v>
      </c>
      <c r="T200" s="176">
        <f t="shared" si="56"/>
        <v>7</v>
      </c>
      <c r="U200" s="251">
        <f t="shared" si="57"/>
        <v>1.3655327813453146</v>
      </c>
      <c r="V200" s="383">
        <f t="shared" si="58"/>
        <v>56.416045273151511</v>
      </c>
      <c r="W200" s="402">
        <f t="shared" si="59"/>
        <v>53.041821921427577</v>
      </c>
      <c r="X200" s="157">
        <f t="shared" si="60"/>
        <v>45477</v>
      </c>
      <c r="Y200" s="385">
        <f t="shared" si="61"/>
        <v>50.965538748464454</v>
      </c>
      <c r="Z200" s="385">
        <f t="shared" si="62"/>
        <v>53.502592885726571</v>
      </c>
      <c r="AA200" s="386">
        <f t="shared" si="63"/>
        <v>58.168426506127382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8.0212477810609514E-2</v>
      </c>
      <c r="AD200" s="231">
        <f>(INDEX(Models!$BJ200:$BT200,,AH200)*(1-AF200)+INDEX(Models!$BJ200:$BT200,,AH200+1)*AF200-ERP_i)*AE200*Ramure*Pc/MaxiM</f>
        <v>1.4946806164875653E-4</v>
      </c>
      <c r="AE200" s="305">
        <f t="shared" si="65"/>
        <v>0.5</v>
      </c>
      <c r="AF200" s="177">
        <f t="shared" si="66"/>
        <v>0.36553278134531464</v>
      </c>
      <c r="AG200" s="811">
        <f t="shared" si="74"/>
        <v>1</v>
      </c>
      <c r="AH200" s="176">
        <f t="shared" si="67"/>
        <v>7</v>
      </c>
      <c r="AI200" s="225">
        <f t="shared" si="68"/>
        <v>1.3655327813453146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45.550797232304042</v>
      </c>
      <c r="C201" s="841"/>
      <c r="D201" s="393">
        <f t="shared" si="50"/>
        <v>47.819354006447767</v>
      </c>
      <c r="E201" s="385">
        <f t="shared" si="75"/>
        <v>49.958490395128358</v>
      </c>
      <c r="F201" s="385">
        <f t="shared" si="51"/>
        <v>49.964302383026023</v>
      </c>
      <c r="G201" s="110">
        <f t="shared" si="76"/>
        <v>0.8087478848561902</v>
      </c>
      <c r="H201" s="414" t="b">
        <f>Wh_hp&gt;='2023'!Maxi_hp</f>
        <v>0</v>
      </c>
      <c r="I201" s="390">
        <f>IF(H201,Wh_hp,'2023'!Maxi_hp)</f>
        <v>60.73746121896113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4.7440138439298951E-2</v>
      </c>
      <c r="M201" s="845"/>
      <c r="N201" s="845"/>
      <c r="O201" s="48">
        <f>IF(t&lt;Tnet,'2023'!Resal+('2023'!Salim-'2023'!Resal)*(1-EXP(('2023'!Tnet-t)/('2023'!Tau_j))),Resal+(Salim-Resal)*(1-EXP((Tnet-t)/(Tau_j))))*Salcycl</f>
        <v>4.2818275167281379E-2</v>
      </c>
      <c r="P201" s="169">
        <f>(INDEX(Models!$BJ201:$BT201,,T201)*(1-R201)+INDEX(Models!$BJ201:$BT201,,T201+1)*R201-ERP_i)*Q201*Ramure*Pc/MaxiM</f>
        <v>1.600405777475298E-4</v>
      </c>
      <c r="Q201" s="305">
        <f t="shared" si="53"/>
        <v>0.5</v>
      </c>
      <c r="R201" s="177">
        <f t="shared" si="54"/>
        <v>0.36948921880644092</v>
      </c>
      <c r="S201" s="811">
        <f t="shared" si="55"/>
        <v>1</v>
      </c>
      <c r="T201" s="176">
        <f t="shared" si="56"/>
        <v>7</v>
      </c>
      <c r="U201" s="251">
        <f t="shared" si="57"/>
        <v>1.3694892188064409</v>
      </c>
      <c r="V201" s="383">
        <f t="shared" si="58"/>
        <v>56.320154246113454</v>
      </c>
      <c r="W201" s="402">
        <f t="shared" si="59"/>
        <v>45.550797232304042</v>
      </c>
      <c r="X201" s="157">
        <f t="shared" si="60"/>
        <v>45478</v>
      </c>
      <c r="Y201" s="385">
        <f t="shared" si="61"/>
        <v>43.769105311217096</v>
      </c>
      <c r="Z201" s="385">
        <f t="shared" si="62"/>
        <v>45.948928857347141</v>
      </c>
      <c r="AA201" s="386">
        <f t="shared" si="63"/>
        <v>49.958490395128358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8.0257860196916719E-2</v>
      </c>
      <c r="AD201" s="231">
        <f>(INDEX(Models!$BJ201:$BT201,,AH201)*(1-AF201)+INDEX(Models!$BJ201:$BT201,,AH201+1)*AF201-ERP_i)*AE201*Ramure*Pc/MaxiM</f>
        <v>1.600405777475298E-4</v>
      </c>
      <c r="AE201" s="305">
        <f t="shared" si="65"/>
        <v>0.5</v>
      </c>
      <c r="AF201" s="177">
        <f t="shared" si="66"/>
        <v>0.36948921880644092</v>
      </c>
      <c r="AG201" s="811">
        <f t="shared" si="74"/>
        <v>1</v>
      </c>
      <c r="AH201" s="176">
        <f t="shared" si="67"/>
        <v>7</v>
      </c>
      <c r="AI201" s="225">
        <f t="shared" si="68"/>
        <v>1.3694892188064409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52.316673497243954</v>
      </c>
      <c r="C202" s="841"/>
      <c r="D202" s="393">
        <f t="shared" si="50"/>
        <v>54.923392747244016</v>
      </c>
      <c r="E202" s="385">
        <f t="shared" si="75"/>
        <v>57.384897643838457</v>
      </c>
      <c r="F202" s="385">
        <f t="shared" si="51"/>
        <v>57.393802672167048</v>
      </c>
      <c r="G202" s="110">
        <f t="shared" si="76"/>
        <v>0.93051484903142057</v>
      </c>
      <c r="H202" s="414" t="b">
        <f>Wh_hp&gt;='2023'!Maxi_hp</f>
        <v>0</v>
      </c>
      <c r="I202" s="390">
        <f>IF(H202,Wh_hp,'2023'!Maxi_hp)</f>
        <v>57.394276612159018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4.7461001944947512E-2</v>
      </c>
      <c r="M202" s="845"/>
      <c r="N202" s="845"/>
      <c r="O202" s="48">
        <f>IF(t&lt;Tnet,'2023'!Resal+('2023'!Salim-'2023'!Resal)*(1-EXP(('2023'!Tnet-t)/('2023'!Tau_j))),Resal+(Salim-Resal)*(1-EXP((Tnet-t)/(Tau_j))))*Salcycl</f>
        <v>4.2894646460325946E-2</v>
      </c>
      <c r="P202" s="169">
        <f>(INDEX(Models!$BJ202:$BT202,,T202)*(1-R202)+INDEX(Models!$BJ202:$BT202,,T202+1)*R202-ERP_i)*Q202*Ramure*Pc/MaxiM</f>
        <v>1.7225112539892337E-4</v>
      </c>
      <c r="Q202" s="305">
        <f t="shared" si="53"/>
        <v>0.5</v>
      </c>
      <c r="R202" s="177">
        <f t="shared" si="54"/>
        <v>0.37336701052148058</v>
      </c>
      <c r="S202" s="811">
        <f t="shared" si="55"/>
        <v>1</v>
      </c>
      <c r="T202" s="176">
        <f t="shared" si="56"/>
        <v>7</v>
      </c>
      <c r="U202" s="251">
        <f t="shared" si="57"/>
        <v>1.3733670105214806</v>
      </c>
      <c r="V202" s="383">
        <f t="shared" si="58"/>
        <v>56.222401055895027</v>
      </c>
      <c r="W202" s="402">
        <f t="shared" si="59"/>
        <v>52.316673497243954</v>
      </c>
      <c r="X202" s="157">
        <f t="shared" si="60"/>
        <v>45479</v>
      </c>
      <c r="Y202" s="385">
        <f t="shared" si="61"/>
        <v>50.271928439997737</v>
      </c>
      <c r="Z202" s="385">
        <f t="shared" si="62"/>
        <v>52.776766665349953</v>
      </c>
      <c r="AA202" s="386">
        <f t="shared" si="63"/>
        <v>57.384897643838457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8.0302155579139348E-2</v>
      </c>
      <c r="AD202" s="231">
        <f>(INDEX(Models!$BJ202:$BT202,,AH202)*(1-AF202)+INDEX(Models!$BJ202:$BT202,,AH202+1)*AF202-ERP_i)*AE202*Ramure*Pc/MaxiM</f>
        <v>1.7225112539892337E-4</v>
      </c>
      <c r="AE202" s="305">
        <f t="shared" si="65"/>
        <v>0.5</v>
      </c>
      <c r="AF202" s="177">
        <f t="shared" si="66"/>
        <v>0.37336701052148058</v>
      </c>
      <c r="AG202" s="811">
        <f t="shared" si="74"/>
        <v>1</v>
      </c>
      <c r="AH202" s="176">
        <f t="shared" si="67"/>
        <v>7</v>
      </c>
      <c r="AI202" s="225">
        <f t="shared" si="68"/>
        <v>1.3733670105214806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55.020391480311993</v>
      </c>
      <c r="C203" s="841"/>
      <c r="D203" s="393">
        <f t="shared" si="50"/>
        <v>57.763090757263271</v>
      </c>
      <c r="E203" s="385">
        <f t="shared" si="75"/>
        <v>60.356640945146246</v>
      </c>
      <c r="F203" s="385">
        <f t="shared" si="51"/>
        <v>60.36756123472896</v>
      </c>
      <c r="G203" s="110">
        <f t="shared" si="76"/>
        <v>0.98035235703874191</v>
      </c>
      <c r="H203" s="414" t="b">
        <f>Wh_hp&gt;='2023'!Maxi_hp</f>
        <v>0</v>
      </c>
      <c r="I203" s="390">
        <f>IF(H203,Wh_hp,'2023'!Maxi_hp)</f>
        <v>63.132463716134929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4.7481864993631828E-2</v>
      </c>
      <c r="M203" s="845"/>
      <c r="N203" s="845"/>
      <c r="O203" s="48">
        <f>IF(t&lt;Tnet,'2023'!Resal+('2023'!Salim-'2023'!Resal)*(1-EXP(('2023'!Tnet-t)/('2023'!Tau_j))),Resal+(Salim-Resal)*(1-EXP((Tnet-t)/(Tau_j))))*Salcycl</f>
        <v>4.2970419613643888E-2</v>
      </c>
      <c r="P203" s="169">
        <f>(INDEX(Models!$BJ203:$BT203,,T203)*(1-R203)+INDEX(Models!$BJ203:$BT203,,T203+1)*R203-ERP_i)*Q203*Ramure*Pc/MaxiM</f>
        <v>1.8611929601048107E-4</v>
      </c>
      <c r="Q203" s="305">
        <f t="shared" si="53"/>
        <v>0.5</v>
      </c>
      <c r="R203" s="177">
        <f t="shared" si="54"/>
        <v>0.37716530208708288</v>
      </c>
      <c r="S203" s="811">
        <f t="shared" si="55"/>
        <v>1</v>
      </c>
      <c r="T203" s="176">
        <f t="shared" si="56"/>
        <v>7</v>
      </c>
      <c r="U203" s="251">
        <f t="shared" si="57"/>
        <v>1.3771653020870829</v>
      </c>
      <c r="V203" s="383">
        <f t="shared" si="58"/>
        <v>56.122784508291907</v>
      </c>
      <c r="W203" s="402">
        <f t="shared" si="59"/>
        <v>55.020391480311993</v>
      </c>
      <c r="X203" s="157">
        <f t="shared" si="60"/>
        <v>45480</v>
      </c>
      <c r="Y203" s="385">
        <f t="shared" si="61"/>
        <v>52.871674129980967</v>
      </c>
      <c r="Z203" s="385">
        <f t="shared" si="62"/>
        <v>55.507262472884555</v>
      </c>
      <c r="AA203" s="386">
        <f t="shared" si="63"/>
        <v>60.356640945146246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8.0345400213191656E-2</v>
      </c>
      <c r="AD203" s="231">
        <f>(INDEX(Models!$BJ203:$BT203,,AH203)*(1-AF203)+INDEX(Models!$BJ203:$BT203,,AH203+1)*AF203-ERP_i)*AE203*Ramure*Pc/MaxiM</f>
        <v>1.8611929601048107E-4</v>
      </c>
      <c r="AE203" s="305">
        <f t="shared" si="65"/>
        <v>0.5</v>
      </c>
      <c r="AF203" s="177">
        <f t="shared" si="66"/>
        <v>0.37716530208708288</v>
      </c>
      <c r="AG203" s="811">
        <f t="shared" si="74"/>
        <v>1</v>
      </c>
      <c r="AH203" s="176">
        <f t="shared" si="67"/>
        <v>7</v>
      </c>
      <c r="AI203" s="225">
        <f t="shared" si="68"/>
        <v>1.3771653020870829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54.311325813752255</v>
      </c>
      <c r="C204" s="841"/>
      <c r="D204" s="393">
        <f t="shared" si="50"/>
        <v>57.019927916507058</v>
      </c>
      <c r="E204" s="385">
        <f t="shared" si="75"/>
        <v>59.584791789274384</v>
      </c>
      <c r="F204" s="385">
        <f t="shared" si="51"/>
        <v>59.596286146091067</v>
      </c>
      <c r="G204" s="110">
        <f t="shared" si="76"/>
        <v>0.96946777044918919</v>
      </c>
      <c r="H204" s="414" t="b">
        <f>Wh_hp&gt;='2023'!Maxi_hp</f>
        <v>0</v>
      </c>
      <c r="I204" s="390">
        <f>IF(H204,Wh_hp,'2023'!Maxi_hp)</f>
        <v>60.536567302517156</v>
      </c>
      <c r="J204" s="85">
        <f>IF(H204,An,'2023'!An_max)</f>
        <v>2020</v>
      </c>
      <c r="K204" s="197">
        <f t="shared" si="52"/>
        <v>45481</v>
      </c>
      <c r="L204" s="147">
        <f>IF(t&lt;Tvie,1-EXP((T0-t)*PertePVj)+'2023'!Pspv,1-EXP((T0-t)*PertePVj)+Pspv)</f>
        <v>4.7502727585361781E-2</v>
      </c>
      <c r="M204" s="845"/>
      <c r="N204" s="845"/>
      <c r="O204" s="48">
        <f>IF(t&lt;Tnet,'2023'!Resal+('2023'!Salim-'2023'!Resal)*(1-EXP(('2023'!Tnet-t)/('2023'!Tau_j))),Resal+(Salim-Resal)*(1-EXP((Tnet-t)/(Tau_j))))*Salcycl</f>
        <v>4.3045612743569592E-2</v>
      </c>
      <c r="P204" s="169">
        <f>(INDEX(Models!$BJ204:$BT204,,T204)*(1-R204)+INDEX(Models!$BJ204:$BT204,,T204+1)*R204-ERP_i)*Q204*Ramure*Pc/MaxiM</f>
        <v>2.0166396998654056E-4</v>
      </c>
      <c r="Q204" s="305">
        <f t="shared" si="53"/>
        <v>0.5</v>
      </c>
      <c r="R204" s="177">
        <f t="shared" si="54"/>
        <v>0.38088340521253494</v>
      </c>
      <c r="S204" s="811">
        <f t="shared" si="55"/>
        <v>1</v>
      </c>
      <c r="T204" s="176">
        <f t="shared" si="56"/>
        <v>7</v>
      </c>
      <c r="U204" s="251">
        <f t="shared" si="57"/>
        <v>1.3808834052125349</v>
      </c>
      <c r="V204" s="383">
        <f t="shared" si="58"/>
        <v>56.021303424582683</v>
      </c>
      <c r="W204" s="402">
        <f t="shared" si="59"/>
        <v>54.311325813752255</v>
      </c>
      <c r="X204" s="157">
        <f t="shared" si="60"/>
        <v>45481</v>
      </c>
      <c r="Y204" s="385">
        <f t="shared" si="61"/>
        <v>52.192003740912497</v>
      </c>
      <c r="Z204" s="385">
        <f t="shared" si="62"/>
        <v>54.794911494709702</v>
      </c>
      <c r="AA204" s="386">
        <f t="shared" si="63"/>
        <v>59.584791789274384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8.0387631654473435E-2</v>
      </c>
      <c r="AD204" s="231">
        <f>(INDEX(Models!$BJ204:$BT204,,AH204)*(1-AF204)+INDEX(Models!$BJ204:$BT204,,AH204+1)*AF204-ERP_i)*AE204*Ramure*Pc/MaxiM</f>
        <v>2.0166396998654056E-4</v>
      </c>
      <c r="AE204" s="305">
        <f t="shared" si="65"/>
        <v>0.5</v>
      </c>
      <c r="AF204" s="177">
        <f t="shared" si="66"/>
        <v>0.38088340521253494</v>
      </c>
      <c r="AG204" s="811">
        <f t="shared" si="74"/>
        <v>1</v>
      </c>
      <c r="AH204" s="176">
        <f t="shared" si="67"/>
        <v>7</v>
      </c>
      <c r="AI204" s="225">
        <f t="shared" si="68"/>
        <v>1.3808834052125349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53.619918393508243</v>
      </c>
      <c r="C205" s="841"/>
      <c r="D205" s="393">
        <f t="shared" si="50"/>
        <v>56.295271793402073</v>
      </c>
      <c r="E205" s="385">
        <f t="shared" si="75"/>
        <v>58.832127524801791</v>
      </c>
      <c r="F205" s="385">
        <f t="shared" si="51"/>
        <v>58.844252595649294</v>
      </c>
      <c r="G205" s="110">
        <f t="shared" si="76"/>
        <v>0.95889470409241018</v>
      </c>
      <c r="H205" s="414" t="b">
        <f>Wh_hp&gt;='2023'!Maxi_hp</f>
        <v>0</v>
      </c>
      <c r="I205" s="390">
        <f>IF(H205,Wh_hp,'2023'!Maxi_hp)</f>
        <v>59.982897259607313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4.7523589720147474E-2</v>
      </c>
      <c r="M205" s="845"/>
      <c r="N205" s="845"/>
      <c r="O205" s="48">
        <f>IF(t&lt;Tnet,'2023'!Resal+('2023'!Salim-'2023'!Resal)*(1-EXP(('2023'!Tnet-t)/('2023'!Tau_j))),Resal+(Salim-Resal)*(1-EXP((Tnet-t)/(Tau_j))))*Salcycl</f>
        <v>4.3120244637256409E-2</v>
      </c>
      <c r="P205" s="169">
        <f>(INDEX(Models!$BJ205:$BT205,,T205)*(1-R205)+INDEX(Models!$BJ205:$BT205,,T205+1)*R205-ERP_i)*Q205*Ramure*Pc/MaxiM</f>
        <v>2.1890421966338754E-4</v>
      </c>
      <c r="Q205" s="305">
        <f t="shared" si="53"/>
        <v>0.5</v>
      </c>
      <c r="R205" s="177">
        <f t="shared" si="54"/>
        <v>0.38452079286036378</v>
      </c>
      <c r="S205" s="811">
        <f t="shared" si="55"/>
        <v>1</v>
      </c>
      <c r="T205" s="176">
        <f t="shared" si="56"/>
        <v>7</v>
      </c>
      <c r="U205" s="251">
        <f t="shared" si="57"/>
        <v>1.3845207928603638</v>
      </c>
      <c r="V205" s="383">
        <f t="shared" si="58"/>
        <v>55.917744643051378</v>
      </c>
      <c r="W205" s="402">
        <f t="shared" si="59"/>
        <v>53.619918393508243</v>
      </c>
      <c r="X205" s="157">
        <f t="shared" si="60"/>
        <v>45482</v>
      </c>
      <c r="Y205" s="385">
        <f t="shared" si="61"/>
        <v>51.529283254881811</v>
      </c>
      <c r="Z205" s="385">
        <f t="shared" si="62"/>
        <v>54.100324899113986</v>
      </c>
      <c r="AA205" s="386">
        <f t="shared" si="63"/>
        <v>58.832127524801791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8.0428888513219762E-2</v>
      </c>
      <c r="AD205" s="231">
        <f>(INDEX(Models!$BJ205:$BT205,,AH205)*(1-AF205)+INDEX(Models!$BJ205:$BT205,,AH205+1)*AF205-ERP_i)*AE205*Ramure*Pc/MaxiM</f>
        <v>2.1890421966338754E-4</v>
      </c>
      <c r="AE205" s="305">
        <f t="shared" si="65"/>
        <v>0.5</v>
      </c>
      <c r="AF205" s="177">
        <f t="shared" si="66"/>
        <v>0.38452079286036378</v>
      </c>
      <c r="AG205" s="811">
        <f t="shared" si="74"/>
        <v>1</v>
      </c>
      <c r="AH205" s="176">
        <f t="shared" si="67"/>
        <v>7</v>
      </c>
      <c r="AI205" s="225">
        <f t="shared" si="68"/>
        <v>1.3845207928603638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52.201245356455196</v>
      </c>
      <c r="C206" s="841"/>
      <c r="D206" s="393">
        <f t="shared" si="50"/>
        <v>54.807014808276712</v>
      </c>
      <c r="E206" s="385">
        <f t="shared" si="75"/>
        <v>57.281239850056991</v>
      </c>
      <c r="F206" s="385">
        <f t="shared" si="51"/>
        <v>57.293585162682383</v>
      </c>
      <c r="G206" s="110">
        <f t="shared" si="76"/>
        <v>0.93528477262366727</v>
      </c>
      <c r="H206" s="414" t="b">
        <f>Wh_hp&gt;='2023'!Maxi_hp</f>
        <v>0</v>
      </c>
      <c r="I206" s="390">
        <f>IF(H206,Wh_hp,'2023'!Maxi_hp)</f>
        <v>61.452728703103304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4.7544451397998899E-2</v>
      </c>
      <c r="M206" s="845"/>
      <c r="N206" s="845"/>
      <c r="O206" s="48">
        <f>IF(t&lt;Tnet,'2023'!Resal+('2023'!Salim-'2023'!Resal)*(1-EXP(('2023'!Tnet-t)/('2023'!Tau_j))),Resal+(Salim-Resal)*(1-EXP((Tnet-t)/(Tau_j))))*Salcycl</f>
        <v>4.3194334624337201E-2</v>
      </c>
      <c r="P206" s="169">
        <f>(INDEX(Models!$BJ206:$BT206,,T206)*(1-R206)+INDEX(Models!$BJ206:$BT206,,T206+1)*R206-ERP_i)*Q206*Ramure*Pc/MaxiM</f>
        <v>2.3741691351580757E-4</v>
      </c>
      <c r="Q206" s="305">
        <f t="shared" si="53"/>
        <v>0.5</v>
      </c>
      <c r="R206" s="177">
        <f t="shared" si="54"/>
        <v>0.38807709391872791</v>
      </c>
      <c r="S206" s="811">
        <f t="shared" si="55"/>
        <v>1</v>
      </c>
      <c r="T206" s="176">
        <f t="shared" si="56"/>
        <v>7</v>
      </c>
      <c r="U206" s="251">
        <f t="shared" si="57"/>
        <v>1.3880770939187279</v>
      </c>
      <c r="V206" s="383">
        <f t="shared" si="58"/>
        <v>55.811984992897287</v>
      </c>
      <c r="W206" s="402">
        <f t="shared" si="59"/>
        <v>52.201245356455196</v>
      </c>
      <c r="X206" s="157">
        <f t="shared" si="60"/>
        <v>45483</v>
      </c>
      <c r="Y206" s="385">
        <f t="shared" si="61"/>
        <v>50.167608854827805</v>
      </c>
      <c r="Z206" s="385">
        <f t="shared" si="62"/>
        <v>52.671863719480676</v>
      </c>
      <c r="AA206" s="386">
        <f t="shared" si="63"/>
        <v>57.281239850056991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8.0469210209871786E-2</v>
      </c>
      <c r="AD206" s="231">
        <f>(INDEX(Models!$BJ206:$BT206,,AH206)*(1-AF206)+INDEX(Models!$BJ206:$BT206,,AH206+1)*AF206-ERP_i)*AE206*Ramure*Pc/MaxiM</f>
        <v>2.3741691351580757E-4</v>
      </c>
      <c r="AE206" s="305">
        <f t="shared" si="65"/>
        <v>0.5</v>
      </c>
      <c r="AF206" s="177">
        <f t="shared" si="66"/>
        <v>0.38807709391872791</v>
      </c>
      <c r="AG206" s="811">
        <f t="shared" si="74"/>
        <v>1</v>
      </c>
      <c r="AH206" s="176">
        <f t="shared" si="67"/>
        <v>7</v>
      </c>
      <c r="AI206" s="225">
        <f t="shared" si="68"/>
        <v>1.3880770939187279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52.296108535740146</v>
      </c>
      <c r="C207" s="841"/>
      <c r="D207" s="393">
        <f t="shared" ref="D207:D270" si="77">Wh/(1-Ppv)</f>
        <v>54.907815967454582</v>
      </c>
      <c r="E207" s="385">
        <f t="shared" si="75"/>
        <v>57.391004344874425</v>
      </c>
      <c r="F207" s="385">
        <f t="shared" ref="F207:F270" si="78">Wh_sa/(1-Pvg*MEDIAN((-Sdif+Wh/Env_an)/Csdif,0,1))</f>
        <v>57.404452257032005</v>
      </c>
      <c r="G207" s="110">
        <f t="shared" si="76"/>
        <v>0.93879782664028721</v>
      </c>
      <c r="H207" s="414" t="b">
        <f>Wh_hp&gt;='2023'!Maxi_hp</f>
        <v>0</v>
      </c>
      <c r="I207" s="390">
        <f>IF(H207,Wh_hp,'2023'!Maxi_hp)</f>
        <v>61.87528776158792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4.7565312618926048E-2</v>
      </c>
      <c r="M207" s="845"/>
      <c r="N207" s="845"/>
      <c r="O207" s="48">
        <f>IF(t&lt;Tnet,'2023'!Resal+('2023'!Salim-'2023'!Resal)*(1-EXP(('2023'!Tnet-t)/('2023'!Tau_j))),Resal+(Salim-Resal)*(1-EXP((Tnet-t)/(Tau_j))))*Salcycl</f>
        <v>4.3267902448576277E-2</v>
      </c>
      <c r="P207" s="169">
        <f>(INDEX(Models!$BJ207:$BT207,,T207)*(1-R207)+INDEX(Models!$BJ207:$BT207,,T207+1)*R207-ERP_i)*Q207*Ramure*Pc/MaxiM</f>
        <v>2.5670218953864128E-4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0.39155208746544612</v>
      </c>
      <c r="S207" s="811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1.3915520874654461</v>
      </c>
      <c r="V207" s="383">
        <f t="shared" ref="V207:V270" si="85">MaxiM*(1-Ppv)*(1-Pvg)*(1-Psa)</f>
        <v>55.704149980013447</v>
      </c>
      <c r="W207" s="402">
        <f t="shared" ref="W207:W270" si="86">Wh*(A207&gt;Tmaj)</f>
        <v>52.296108535740146</v>
      </c>
      <c r="X207" s="157">
        <f t="shared" ref="X207:X270" si="87">t</f>
        <v>45484</v>
      </c>
      <c r="Y207" s="385">
        <f t="shared" ref="Y207:Y270" si="88">Wh_pvt_s*(1-Ppv)</f>
        <v>50.260485933515888</v>
      </c>
      <c r="Z207" s="385">
        <f t="shared" ref="Z207:Z270" si="89">Wh_sa_s*(1-Psa_s)</f>
        <v>52.770532824374563</v>
      </c>
      <c r="AA207" s="386">
        <f t="shared" ref="AA207:AA270" si="90">Wh_hp*(1-Pvg_s*MEDIAN((-Sdif+Wh/Env_an)/Csdif,0,1))</f>
        <v>57.391004344874425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8.0508636732239292E-2</v>
      </c>
      <c r="AD207" s="231">
        <f>(INDEX(Models!$BJ207:$BT207,,AH207)*(1-AF207)+INDEX(Models!$BJ207:$BT207,,AH207+1)*AF207-ERP_i)*AE207*Ramure*Pc/MaxiM</f>
        <v>2.5670218953864128E-4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0.39155208746544612</v>
      </c>
      <c r="AG207" s="81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1.3915520874654461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51.679473669459817</v>
      </c>
      <c r="C208" s="841"/>
      <c r="D208" s="393">
        <f t="shared" si="77"/>
        <v>54.261574354735494</v>
      </c>
      <c r="E208" s="385">
        <f t="shared" si="75"/>
        <v>56.719868362359513</v>
      </c>
      <c r="F208" s="385">
        <f t="shared" si="78"/>
        <v>56.73398984581339</v>
      </c>
      <c r="G208" s="110">
        <f t="shared" si="76"/>
        <v>0.92955571772721735</v>
      </c>
      <c r="H208" s="414" t="b">
        <f>Wh_hp&gt;='2023'!Maxi_hp</f>
        <v>0</v>
      </c>
      <c r="I208" s="390">
        <f>IF(H208,Wh_hp,'2023'!Maxi_hp)</f>
        <v>56.734757420394608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4.7586173382938912E-2</v>
      </c>
      <c r="M208" s="845"/>
      <c r="N208" s="845"/>
      <c r="O208" s="48">
        <f>IF(t&lt;Tnet,'2023'!Resal+('2023'!Salim-'2023'!Resal)*(1-EXP(('2023'!Tnet-t)/('2023'!Tau_j))),Resal+(Salim-Resal)*(1-EXP((Tnet-t)/(Tau_j))))*Salcycl</f>
        <v>4.3340968140458451E-2</v>
      </c>
      <c r="P208" s="169">
        <f>(INDEX(Models!$BJ208:$BT208,,T208)*(1-R208)+INDEX(Models!$BJ208:$BT208,,T208+1)*R208-ERP_i)*Q208*Ramure*Pc/MaxiM</f>
        <v>2.7674705326242397E-4</v>
      </c>
      <c r="Q208" s="305">
        <f t="shared" si="80"/>
        <v>0.5</v>
      </c>
      <c r="R208" s="177">
        <f t="shared" si="81"/>
        <v>0.39494569668279156</v>
      </c>
      <c r="S208" s="811">
        <f t="shared" si="82"/>
        <v>1</v>
      </c>
      <c r="T208" s="176">
        <f t="shared" si="83"/>
        <v>7</v>
      </c>
      <c r="U208" s="251">
        <f t="shared" si="84"/>
        <v>1.3949456966827916</v>
      </c>
      <c r="V208" s="383">
        <f t="shared" si="85"/>
        <v>55.594337771258047</v>
      </c>
      <c r="W208" s="402">
        <f t="shared" si="86"/>
        <v>51.679473669459817</v>
      </c>
      <c r="X208" s="157">
        <f t="shared" si="87"/>
        <v>45485</v>
      </c>
      <c r="Y208" s="385">
        <f t="shared" si="88"/>
        <v>49.669563294288878</v>
      </c>
      <c r="Z208" s="385">
        <f t="shared" si="89"/>
        <v>52.151241305172292</v>
      </c>
      <c r="AA208" s="386">
        <f t="shared" si="90"/>
        <v>56.719868362359513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8.0547208396186287E-2</v>
      </c>
      <c r="AD208" s="231">
        <f>(INDEX(Models!$BJ208:$BT208,,AH208)*(1-AF208)+INDEX(Models!$BJ208:$BT208,,AH208+1)*AF208-ERP_i)*AE208*Ramure*Pc/MaxiM</f>
        <v>2.7674705326242397E-4</v>
      </c>
      <c r="AE208" s="305">
        <f t="shared" si="92"/>
        <v>0.5</v>
      </c>
      <c r="AF208" s="177">
        <f t="shared" si="93"/>
        <v>0.39494569668279156</v>
      </c>
      <c r="AG208" s="811">
        <f t="shared" ref="AG208:AG271" si="99">INDEX(Echel_vg,AH208)</f>
        <v>1</v>
      </c>
      <c r="AH208" s="176">
        <f t="shared" si="94"/>
        <v>7</v>
      </c>
      <c r="AI208" s="225">
        <f t="shared" si="95"/>
        <v>1.3949456966827916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51.126808625520738</v>
      </c>
      <c r="C209" s="841"/>
      <c r="D209" s="393">
        <f t="shared" si="77"/>
        <v>53.682471872520864</v>
      </c>
      <c r="E209" s="385">
        <f t="shared" si="75"/>
        <v>56.118787777808684</v>
      </c>
      <c r="F209" s="385">
        <f t="shared" si="78"/>
        <v>56.133616528743758</v>
      </c>
      <c r="G209" s="110">
        <f t="shared" si="76"/>
        <v>0.92146112936731506</v>
      </c>
      <c r="H209" s="414" t="b">
        <f>Wh_hp&gt;='2023'!Maxi_hp</f>
        <v>0</v>
      </c>
      <c r="I209" s="390">
        <f>IF(H209,Wh_hp,'2023'!Maxi_hp)</f>
        <v>61.910407700916835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4.7607033690047484E-2</v>
      </c>
      <c r="M209" s="845"/>
      <c r="N209" s="845"/>
      <c r="O209" s="48">
        <f>IF(t&lt;Tnet,'2023'!Resal+('2023'!Salim-'2023'!Resal)*(1-EXP(('2023'!Tnet-t)/('2023'!Tau_j))),Resal+(Salim-Resal)*(1-EXP((Tnet-t)/(Tau_j))))*Salcycl</f>
        <v>4.3413551891639895E-2</v>
      </c>
      <c r="P209" s="169">
        <f>(INDEX(Models!$BJ209:$BT209,,T209)*(1-R209)+INDEX(Models!$BJ209:$BT209,,T209+1)*R209-ERP_i)*Q209*Ramure*Pc/MaxiM</f>
        <v>2.9753915338560737E-4</v>
      </c>
      <c r="Q209" s="305">
        <f t="shared" si="80"/>
        <v>0.5</v>
      </c>
      <c r="R209" s="177">
        <f t="shared" si="81"/>
        <v>0.39825798248092448</v>
      </c>
      <c r="S209" s="811">
        <f t="shared" si="82"/>
        <v>1</v>
      </c>
      <c r="T209" s="176">
        <f t="shared" si="83"/>
        <v>7</v>
      </c>
      <c r="U209" s="251">
        <f t="shared" si="84"/>
        <v>1.3982579824809245</v>
      </c>
      <c r="V209" s="383">
        <f t="shared" si="85"/>
        <v>55.482646447467722</v>
      </c>
      <c r="W209" s="402">
        <f t="shared" si="86"/>
        <v>51.126808625520738</v>
      </c>
      <c r="X209" s="157">
        <f t="shared" si="87"/>
        <v>45486</v>
      </c>
      <c r="Y209" s="385">
        <f t="shared" si="88"/>
        <v>49.140102918624862</v>
      </c>
      <c r="Z209" s="385">
        <f t="shared" si="89"/>
        <v>51.596457194574043</v>
      </c>
      <c r="AA209" s="386">
        <f t="shared" si="90"/>
        <v>56.118787777808684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8.0584965611515361E-2</v>
      </c>
      <c r="AD209" s="231">
        <f>(INDEX(Models!$BJ209:$BT209,,AH209)*(1-AF209)+INDEX(Models!$BJ209:$BT209,,AH209+1)*AF209-ERP_i)*AE209*Ramure*Pc/MaxiM</f>
        <v>2.9753915338560737E-4</v>
      </c>
      <c r="AE209" s="305">
        <f t="shared" si="92"/>
        <v>0.5</v>
      </c>
      <c r="AF209" s="177">
        <f t="shared" si="93"/>
        <v>0.39825798248092448</v>
      </c>
      <c r="AG209" s="811">
        <f t="shared" si="99"/>
        <v>1</v>
      </c>
      <c r="AH209" s="176">
        <f t="shared" si="94"/>
        <v>7</v>
      </c>
      <c r="AI209" s="225">
        <f t="shared" si="95"/>
        <v>1.3982579824809245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49.416817263454639</v>
      </c>
      <c r="C210" s="841"/>
      <c r="D210" s="393">
        <f t="shared" si="77"/>
        <v>51.888140074946378</v>
      </c>
      <c r="E210" s="385">
        <f t="shared" si="75"/>
        <v>54.247112312739205</v>
      </c>
      <c r="F210" s="385">
        <f t="shared" si="78"/>
        <v>54.261766563613975</v>
      </c>
      <c r="G210" s="110">
        <f t="shared" si="76"/>
        <v>0.89245317490854026</v>
      </c>
      <c r="H210" s="414" t="b">
        <f>Wh_hp&gt;='2023'!Maxi_hp</f>
        <v>0</v>
      </c>
      <c r="I210" s="390">
        <f>IF(H210,Wh_hp,'2023'!Maxi_hp)</f>
        <v>63.341573131215071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4.7627893540261756E-2</v>
      </c>
      <c r="M210" s="845"/>
      <c r="N210" s="845"/>
      <c r="O210" s="48">
        <f>IF(t&lt;Tnet,'2023'!Resal+('2023'!Salim-'2023'!Resal)*(1-EXP(('2023'!Tnet-t)/('2023'!Tau_j))),Resal+(Salim-Resal)*(1-EXP((Tnet-t)/(Tau_j))))*Salcycl</f>
        <v>4.348567393215607E-2</v>
      </c>
      <c r="P210" s="169">
        <f>(INDEX(Models!$BJ210:$BT210,,T210)*(1-R210)+INDEX(Models!$BJ210:$BT210,,T210+1)*R210-ERP_i)*Q210*Ramure*Pc/MaxiM</f>
        <v>3.1906681455454432E-4</v>
      </c>
      <c r="Q210" s="305">
        <f t="shared" si="80"/>
        <v>0.5</v>
      </c>
      <c r="R210" s="177">
        <f t="shared" si="81"/>
        <v>0.4014891368860769</v>
      </c>
      <c r="S210" s="811">
        <f t="shared" si="82"/>
        <v>1</v>
      </c>
      <c r="T210" s="176">
        <f t="shared" si="83"/>
        <v>7</v>
      </c>
      <c r="U210" s="251">
        <f t="shared" si="84"/>
        <v>1.4014891368860769</v>
      </c>
      <c r="V210" s="383">
        <f t="shared" si="85"/>
        <v>55.369174011142022</v>
      </c>
      <c r="W210" s="402">
        <f t="shared" si="86"/>
        <v>49.416817263454639</v>
      </c>
      <c r="X210" s="157">
        <f t="shared" si="87"/>
        <v>45487</v>
      </c>
      <c r="Y210" s="385">
        <f t="shared" si="88"/>
        <v>47.498229687927783</v>
      </c>
      <c r="Z210" s="385">
        <f t="shared" si="89"/>
        <v>49.873604409198201</v>
      </c>
      <c r="AA210" s="386">
        <f t="shared" si="90"/>
        <v>54.247112312739205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8.0621948654655801E-2</v>
      </c>
      <c r="AD210" s="231">
        <f>(INDEX(Models!$BJ210:$BT210,,AH210)*(1-AF210)+INDEX(Models!$BJ210:$BT210,,AH210+1)*AF210-ERP_i)*AE210*Ramure*Pc/MaxiM</f>
        <v>3.1906681455454432E-4</v>
      </c>
      <c r="AE210" s="305">
        <f t="shared" si="92"/>
        <v>0.5</v>
      </c>
      <c r="AF210" s="177">
        <f t="shared" si="93"/>
        <v>0.4014891368860769</v>
      </c>
      <c r="AG210" s="811">
        <f t="shared" si="99"/>
        <v>1</v>
      </c>
      <c r="AH210" s="176">
        <f t="shared" si="94"/>
        <v>7</v>
      </c>
      <c r="AI210" s="225">
        <f t="shared" si="95"/>
        <v>1.4014891368860769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50.78025681486568</v>
      </c>
      <c r="C211" s="841"/>
      <c r="D211" s="393">
        <f t="shared" si="77"/>
        <v>53.32093276644256</v>
      </c>
      <c r="E211" s="385">
        <f t="shared" si="75"/>
        <v>55.749221359342343</v>
      </c>
      <c r="F211" s="385">
        <f t="shared" si="78"/>
        <v>55.766053761516979</v>
      </c>
      <c r="G211" s="110">
        <f t="shared" si="76"/>
        <v>0.91899653475661647</v>
      </c>
      <c r="H211" s="414" t="b">
        <f>Wh_hp&gt;='2023'!Maxi_hp</f>
        <v>0</v>
      </c>
      <c r="I211" s="390">
        <f>IF(H211,Wh_hp,'2023'!Maxi_hp)</f>
        <v>61.340662594559738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4.7648752933591831E-2</v>
      </c>
      <c r="M211" s="845"/>
      <c r="N211" s="845"/>
      <c r="O211" s="48">
        <f>IF(t&lt;Tnet,'2023'!Resal+('2023'!Salim-'2023'!Resal)*(1-EXP(('2023'!Tnet-t)/('2023'!Tau_j))),Resal+(Salim-Resal)*(1-EXP((Tnet-t)/(Tau_j))))*Salcycl</f>
        <v>4.3557354411244267E-2</v>
      </c>
      <c r="P211" s="169">
        <f>(INDEX(Models!$BJ211:$BT211,,T211)*(1-R211)+INDEX(Models!$BJ211:$BT211,,T211+1)*R211-ERP_i)*Q211*Ramure*Pc/MaxiM</f>
        <v>3.4131906310738659E-4</v>
      </c>
      <c r="Q211" s="305">
        <f t="shared" si="80"/>
        <v>0.5</v>
      </c>
      <c r="R211" s="177">
        <f t="shared" si="81"/>
        <v>0.40463947624741836</v>
      </c>
      <c r="S211" s="811">
        <f t="shared" si="82"/>
        <v>1</v>
      </c>
      <c r="T211" s="176">
        <f t="shared" si="83"/>
        <v>7</v>
      </c>
      <c r="U211" s="251">
        <f t="shared" si="84"/>
        <v>1.4046394762474184</v>
      </c>
      <c r="V211" s="383">
        <f t="shared" si="85"/>
        <v>55.254018389366038</v>
      </c>
      <c r="W211" s="402">
        <f t="shared" si="86"/>
        <v>50.78025681486568</v>
      </c>
      <c r="X211" s="157">
        <f t="shared" si="87"/>
        <v>45488</v>
      </c>
      <c r="Y211" s="385">
        <f t="shared" si="88"/>
        <v>48.810467673583844</v>
      </c>
      <c r="Z211" s="385">
        <f t="shared" si="89"/>
        <v>51.252589655274797</v>
      </c>
      <c r="AA211" s="386">
        <f t="shared" si="90"/>
        <v>55.749221359342343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8.0658197449676228E-2</v>
      </c>
      <c r="AD211" s="231">
        <f>(INDEX(Models!$BJ211:$BT211,,AH211)*(1-AF211)+INDEX(Models!$BJ211:$BT211,,AH211+1)*AF211-ERP_i)*AE211*Ramure*Pc/MaxiM</f>
        <v>3.4131906310738659E-4</v>
      </c>
      <c r="AE211" s="305">
        <f t="shared" si="92"/>
        <v>0.5</v>
      </c>
      <c r="AF211" s="177">
        <f t="shared" si="93"/>
        <v>0.40463947624741836</v>
      </c>
      <c r="AG211" s="811">
        <f t="shared" si="99"/>
        <v>1</v>
      </c>
      <c r="AH211" s="176">
        <f t="shared" si="94"/>
        <v>7</v>
      </c>
      <c r="AI211" s="225">
        <f t="shared" si="95"/>
        <v>1.4046394762474184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50.377237983953854</v>
      </c>
      <c r="C212" s="841"/>
      <c r="D212" s="393">
        <f t="shared" si="77"/>
        <v>52.898908416518488</v>
      </c>
      <c r="E212" s="385">
        <f t="shared" si="75"/>
        <v>55.31209857510018</v>
      </c>
      <c r="F212" s="385">
        <f t="shared" si="78"/>
        <v>55.329660938358195</v>
      </c>
      <c r="G212" s="110">
        <f t="shared" si="76"/>
        <v>0.91362646590268193</v>
      </c>
      <c r="H212" s="414" t="b">
        <f>Wh_hp&gt;='2023'!Maxi_hp</f>
        <v>0</v>
      </c>
      <c r="I212" s="390">
        <f>IF(H212,Wh_hp,'2023'!Maxi_hp)</f>
        <v>60.188178256844751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4.766961187004759E-2</v>
      </c>
      <c r="M212" s="845"/>
      <c r="N212" s="845"/>
      <c r="O212" s="48">
        <f>IF(t&lt;Tnet,'2023'!Resal+('2023'!Salim-'2023'!Resal)*(1-EXP(('2023'!Tnet-t)/('2023'!Tau_j))),Resal+(Salim-Resal)*(1-EXP((Tnet-t)/(Tau_j))))*Salcycl</f>
        <v>4.3628613282592675E-2</v>
      </c>
      <c r="P212" s="169">
        <f>(INDEX(Models!$BJ212:$BT212,,T212)*(1-R212)+INDEX(Models!$BJ212:$BT212,,T212+1)*R212-ERP_i)*Q212*Ramure*Pc/MaxiM</f>
        <v>3.6206789761981738E-4</v>
      </c>
      <c r="Q212" s="305">
        <f t="shared" si="80"/>
        <v>0.5</v>
      </c>
      <c r="R212" s="177">
        <f t="shared" si="81"/>
        <v>0.40770943431399465</v>
      </c>
      <c r="S212" s="811">
        <f t="shared" si="82"/>
        <v>1</v>
      </c>
      <c r="T212" s="176">
        <f t="shared" si="83"/>
        <v>7</v>
      </c>
      <c r="U212" s="251">
        <f t="shared" si="84"/>
        <v>1.4077094343139946</v>
      </c>
      <c r="V212" s="383">
        <f t="shared" si="85"/>
        <v>55.137399766803341</v>
      </c>
      <c r="W212" s="402">
        <f t="shared" si="86"/>
        <v>50.377237983953854</v>
      </c>
      <c r="X212" s="157">
        <f t="shared" si="87"/>
        <v>45489</v>
      </c>
      <c r="Y212" s="385">
        <f t="shared" si="88"/>
        <v>48.424817294963482</v>
      </c>
      <c r="Z212" s="385">
        <f t="shared" si="89"/>
        <v>50.848757845534131</v>
      </c>
      <c r="AA212" s="386">
        <f t="shared" si="90"/>
        <v>55.31209857510018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8.0693751359043678E-2</v>
      </c>
      <c r="AD212" s="231">
        <f>(INDEX(Models!$BJ212:$BT212,,AH212)*(1-AF212)+INDEX(Models!$BJ212:$BT212,,AH212+1)*AF212-ERP_i)*AE212*Ramure*Pc/MaxiM</f>
        <v>3.6206789761981738E-4</v>
      </c>
      <c r="AE212" s="305">
        <f t="shared" si="92"/>
        <v>0.5</v>
      </c>
      <c r="AF212" s="177">
        <f t="shared" si="93"/>
        <v>0.40770943431399465</v>
      </c>
      <c r="AG212" s="811">
        <f t="shared" si="99"/>
        <v>1</v>
      </c>
      <c r="AH212" s="176">
        <f t="shared" si="94"/>
        <v>7</v>
      </c>
      <c r="AI212" s="225">
        <f t="shared" si="95"/>
        <v>1.4077094343139946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52.208305882176887</v>
      </c>
      <c r="C213" s="841"/>
      <c r="D213" s="393">
        <f t="shared" si="77"/>
        <v>54.822832552505375</v>
      </c>
      <c r="E213" s="385">
        <f t="shared" si="75"/>
        <v>57.328037414840125</v>
      </c>
      <c r="F213" s="385">
        <f t="shared" si="78"/>
        <v>57.348249782747786</v>
      </c>
      <c r="G213" s="110">
        <f t="shared" si="76"/>
        <v>0.9488795685822049</v>
      </c>
      <c r="H213" s="414" t="b">
        <f>Wh_hp&gt;='2023'!Maxi_hp</f>
        <v>0</v>
      </c>
      <c r="I213" s="390">
        <f>IF(H213,Wh_hp,'2023'!Maxi_hp)</f>
        <v>57.34896442939926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4.7690470349639136E-2</v>
      </c>
      <c r="M213" s="845"/>
      <c r="N213" s="845"/>
      <c r="O213" s="48">
        <f>IF(t&lt;Tnet,'2023'!Resal+('2023'!Salim-'2023'!Resal)*(1-EXP(('2023'!Tnet-t)/('2023'!Tau_j))),Resal+(Salim-Resal)*(1-EXP((Tnet-t)/(Tau_j))))*Salcycl</f>
        <v>4.3699470194774929E-2</v>
      </c>
      <c r="P213" s="169">
        <f>(INDEX(Models!$BJ213:$BT213,,T213)*(1-R213)+INDEX(Models!$BJ213:$BT213,,T213+1)*R213-ERP_i)*Q213*Ramure*Pc/MaxiM</f>
        <v>3.8020107112957563E-4</v>
      </c>
      <c r="Q213" s="305">
        <f t="shared" si="80"/>
        <v>0.5</v>
      </c>
      <c r="R213" s="177">
        <f t="shared" si="81"/>
        <v>0.41069955523028501</v>
      </c>
      <c r="S213" s="811">
        <f t="shared" si="82"/>
        <v>1</v>
      </c>
      <c r="T213" s="176">
        <f t="shared" si="83"/>
        <v>7</v>
      </c>
      <c r="U213" s="251">
        <f t="shared" si="84"/>
        <v>1.410699555230285</v>
      </c>
      <c r="V213" s="383">
        <f t="shared" si="85"/>
        <v>55.01947585640692</v>
      </c>
      <c r="W213" s="402">
        <f t="shared" si="86"/>
        <v>52.208305882176887</v>
      </c>
      <c r="X213" s="157">
        <f t="shared" si="87"/>
        <v>45490</v>
      </c>
      <c r="Y213" s="385">
        <f t="shared" si="88"/>
        <v>50.186733549405496</v>
      </c>
      <c r="Z213" s="385">
        <f t="shared" si="89"/>
        <v>52.700022405353316</v>
      </c>
      <c r="AA213" s="386">
        <f t="shared" si="90"/>
        <v>57.328037414840125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8.0728648985440188E-2</v>
      </c>
      <c r="AD213" s="231">
        <f>(INDEX(Models!$BJ213:$BT213,,AH213)*(1-AF213)+INDEX(Models!$BJ213:$BT213,,AH213+1)*AF213-ERP_i)*AE213*Ramure*Pc/MaxiM</f>
        <v>3.8020107112957563E-4</v>
      </c>
      <c r="AE213" s="305">
        <f t="shared" si="92"/>
        <v>0.5</v>
      </c>
      <c r="AF213" s="177">
        <f t="shared" si="93"/>
        <v>0.41069955523028501</v>
      </c>
      <c r="AG213" s="811">
        <f t="shared" si="99"/>
        <v>1</v>
      </c>
      <c r="AH213" s="176">
        <f t="shared" si="94"/>
        <v>7</v>
      </c>
      <c r="AI213" s="225">
        <f t="shared" si="95"/>
        <v>1.410699555230285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41.885056571843222</v>
      </c>
      <c r="C214" s="841"/>
      <c r="D214" s="393">
        <f t="shared" si="77"/>
        <v>43.983571179372035</v>
      </c>
      <c r="E214" s="385">
        <f t="shared" si="75"/>
        <v>45.996850780016693</v>
      </c>
      <c r="F214" s="385">
        <f t="shared" si="78"/>
        <v>46.008890172769945</v>
      </c>
      <c r="G214" s="110">
        <f t="shared" si="76"/>
        <v>0.76282658017789551</v>
      </c>
      <c r="H214" s="414" t="b">
        <f>Wh_hp&gt;='2023'!Maxi_hp</f>
        <v>0</v>
      </c>
      <c r="I214" s="390">
        <f>IF(H214,Wh_hp,'2023'!Maxi_hp)</f>
        <v>60.582660665176114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4.771132837237646E-2</v>
      </c>
      <c r="M214" s="845"/>
      <c r="N214" s="845"/>
      <c r="O214" s="48">
        <f>IF(t&lt;Tnet,'2023'!Resal+('2023'!Salim-'2023'!Resal)*(1-EXP(('2023'!Tnet-t)/('2023'!Tau_j))),Resal+(Salim-Resal)*(1-EXP((Tnet-t)/(Tau_j))))*Salcycl</f>
        <v>4.3769944387569384E-2</v>
      </c>
      <c r="P214" s="169">
        <f>(INDEX(Models!$BJ214:$BT214,,T214)*(1-R214)+INDEX(Models!$BJ214:$BT214,,T214+1)*R214-ERP_i)*Q214*Ramure*Pc/MaxiM</f>
        <v>3.9568229950927107E-4</v>
      </c>
      <c r="Q214" s="305">
        <f t="shared" si="80"/>
        <v>0.5</v>
      </c>
      <c r="R214" s="177">
        <f t="shared" si="81"/>
        <v>0.41361048649584875</v>
      </c>
      <c r="S214" s="811">
        <f t="shared" si="82"/>
        <v>1</v>
      </c>
      <c r="T214" s="176">
        <f t="shared" si="83"/>
        <v>7</v>
      </c>
      <c r="U214" s="251">
        <f t="shared" si="84"/>
        <v>1.4136104864958488</v>
      </c>
      <c r="V214" s="383">
        <f t="shared" si="85"/>
        <v>54.900344721289734</v>
      </c>
      <c r="W214" s="402">
        <f t="shared" si="86"/>
        <v>41.885056571843222</v>
      </c>
      <c r="X214" s="157">
        <f t="shared" si="87"/>
        <v>45491</v>
      </c>
      <c r="Y214" s="385">
        <f t="shared" si="88"/>
        <v>40.264679548887294</v>
      </c>
      <c r="Z214" s="385">
        <f t="shared" si="89"/>
        <v>42.282010432895412</v>
      </c>
      <c r="AA214" s="386">
        <f t="shared" si="90"/>
        <v>45.996850780016693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8.0762927985826155E-2</v>
      </c>
      <c r="AD214" s="231">
        <f>(INDEX(Models!$BJ214:$BT214,,AH214)*(1-AF214)+INDEX(Models!$BJ214:$BT214,,AH214+1)*AF214-ERP_i)*AE214*Ramure*Pc/MaxiM</f>
        <v>3.9568229950927107E-4</v>
      </c>
      <c r="AE214" s="305">
        <f t="shared" si="92"/>
        <v>0.5</v>
      </c>
      <c r="AF214" s="177">
        <f t="shared" si="93"/>
        <v>0.41361048649584875</v>
      </c>
      <c r="AG214" s="811">
        <f t="shared" si="99"/>
        <v>1</v>
      </c>
      <c r="AH214" s="176">
        <f t="shared" si="94"/>
        <v>7</v>
      </c>
      <c r="AI214" s="225">
        <f t="shared" si="95"/>
        <v>1.4136104864958488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42.305869554579111</v>
      </c>
      <c r="C215" s="841"/>
      <c r="D215" s="393">
        <f t="shared" si="77"/>
        <v>44.426440681777201</v>
      </c>
      <c r="E215" s="385">
        <f t="shared" si="75"/>
        <v>46.46339861365982</v>
      </c>
      <c r="F215" s="385">
        <f t="shared" si="78"/>
        <v>46.476207287024323</v>
      </c>
      <c r="G215" s="110">
        <f t="shared" si="76"/>
        <v>0.77218265512535689</v>
      </c>
      <c r="H215" s="414" t="b">
        <f>Wh_hp&gt;='2023'!Maxi_hp</f>
        <v>0</v>
      </c>
      <c r="I215" s="390">
        <f>IF(H215,Wh_hp,'2023'!Maxi_hp)</f>
        <v>59.347072848746947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4.7732185938269556E-2</v>
      </c>
      <c r="M215" s="845"/>
      <c r="N215" s="845"/>
      <c r="O215" s="48">
        <f>IF(t&lt;Tnet,'2023'!Resal+('2023'!Salim-'2023'!Resal)*(1-EXP(('2023'!Tnet-t)/('2023'!Tau_j))),Resal+(Salim-Resal)*(1-EXP((Tnet-t)/(Tau_j))))*Salcycl</f>
        <v>4.3840054594796049E-2</v>
      </c>
      <c r="P215" s="169">
        <f>(INDEX(Models!$BJ215:$BT215,,T215)*(1-R215)+INDEX(Models!$BJ215:$BT215,,T215+1)*R215-ERP_i)*Q215*Ramure*Pc/MaxiM</f>
        <v>4.0847650174978247E-4</v>
      </c>
      <c r="Q215" s="305">
        <f t="shared" si="80"/>
        <v>0.5</v>
      </c>
      <c r="R215" s="177">
        <f t="shared" si="81"/>
        <v>0.41644297193128388</v>
      </c>
      <c r="S215" s="811">
        <f t="shared" si="82"/>
        <v>1</v>
      </c>
      <c r="T215" s="176">
        <f t="shared" si="83"/>
        <v>7</v>
      </c>
      <c r="U215" s="251">
        <f t="shared" si="84"/>
        <v>1.4164429719312839</v>
      </c>
      <c r="V215" s="383">
        <f t="shared" si="85"/>
        <v>54.780104310777489</v>
      </c>
      <c r="W215" s="402">
        <f t="shared" si="86"/>
        <v>42.305869554579111</v>
      </c>
      <c r="X215" s="157">
        <f t="shared" si="87"/>
        <v>45492</v>
      </c>
      <c r="Y215" s="385">
        <f t="shared" si="88"/>
        <v>40.670703963320683</v>
      </c>
      <c r="Z215" s="385">
        <f t="shared" si="89"/>
        <v>42.709312824348189</v>
      </c>
      <c r="AA215" s="386">
        <f t="shared" si="90"/>
        <v>46.46339861365982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8.0796624898807248E-2</v>
      </c>
      <c r="AD215" s="231">
        <f>(INDEX(Models!$BJ215:$BT215,,AH215)*(1-AF215)+INDEX(Models!$BJ215:$BT215,,AH215+1)*AF215-ERP_i)*AE215*Ramure*Pc/MaxiM</f>
        <v>4.0847650174978247E-4</v>
      </c>
      <c r="AE215" s="305">
        <f t="shared" si="92"/>
        <v>0.5</v>
      </c>
      <c r="AF215" s="177">
        <f t="shared" si="93"/>
        <v>0.41644297193128388</v>
      </c>
      <c r="AG215" s="811">
        <f t="shared" si="99"/>
        <v>1</v>
      </c>
      <c r="AH215" s="176">
        <f t="shared" si="94"/>
        <v>7</v>
      </c>
      <c r="AI215" s="225">
        <f t="shared" si="95"/>
        <v>1.4164429719312839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49.754874048651644</v>
      </c>
      <c r="C216" s="841"/>
      <c r="D216" s="393">
        <f t="shared" si="77"/>
        <v>52.249969070916706</v>
      </c>
      <c r="E216" s="385">
        <f t="shared" si="75"/>
        <v>54.649624174328338</v>
      </c>
      <c r="F216" s="385">
        <f t="shared" si="78"/>
        <v>54.66957330610979</v>
      </c>
      <c r="G216" s="110">
        <f t="shared" si="76"/>
        <v>0.91023140213594544</v>
      </c>
      <c r="H216" s="414" t="b">
        <f>Wh_hp&gt;='2023'!Maxi_hp</f>
        <v>0</v>
      </c>
      <c r="I216" s="390">
        <f>IF(H216,Wh_hp,'2023'!Maxi_hp)</f>
        <v>54.670820501129811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4.7753043047328414E-2</v>
      </c>
      <c r="M216" s="845"/>
      <c r="N216" s="845"/>
      <c r="O216" s="48">
        <f>IF(t&lt;Tnet,'2023'!Resal+('2023'!Salim-'2023'!Resal)*(1-EXP(('2023'!Tnet-t)/('2023'!Tau_j))),Resal+(Salim-Resal)*(1-EXP((Tnet-t)/(Tau_j))))*Salcycl</f>
        <v>4.3909818954233008E-2</v>
      </c>
      <c r="P216" s="169">
        <f>(INDEX(Models!$BJ216:$BT216,,T216)*(1-R216)+INDEX(Models!$BJ216:$BT216,,T216+1)*R216-ERP_i)*Q216*Ramure*Pc/MaxiM</f>
        <v>4.1854970244816679E-4</v>
      </c>
      <c r="Q216" s="305">
        <f t="shared" si="80"/>
        <v>0.5</v>
      </c>
      <c r="R216" s="177">
        <f t="shared" si="81"/>
        <v>0.41919784468934385</v>
      </c>
      <c r="S216" s="811">
        <f t="shared" si="82"/>
        <v>1</v>
      </c>
      <c r="T216" s="176">
        <f t="shared" si="83"/>
        <v>7</v>
      </c>
      <c r="U216" s="251">
        <f t="shared" si="84"/>
        <v>1.4191978446893438</v>
      </c>
      <c r="V216" s="383">
        <f t="shared" si="85"/>
        <v>54.65885247364249</v>
      </c>
      <c r="W216" s="402">
        <f t="shared" si="86"/>
        <v>49.754874048651644</v>
      </c>
      <c r="X216" s="157">
        <f t="shared" si="87"/>
        <v>45493</v>
      </c>
      <c r="Y216" s="385">
        <f t="shared" si="88"/>
        <v>47.833561814021152</v>
      </c>
      <c r="Z216" s="385">
        <f t="shared" si="89"/>
        <v>50.232307349235846</v>
      </c>
      <c r="AA216" s="386">
        <f t="shared" si="90"/>
        <v>54.649624174328338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8.0829774986220779E-2</v>
      </c>
      <c r="AD216" s="231">
        <f>(INDEX(Models!$BJ216:$BT216,,AH216)*(1-AF216)+INDEX(Models!$BJ216:$BT216,,AH216+1)*AF216-ERP_i)*AE216*Ramure*Pc/MaxiM</f>
        <v>4.1854970244816679E-4</v>
      </c>
      <c r="AE216" s="305">
        <f t="shared" si="92"/>
        <v>0.5</v>
      </c>
      <c r="AF216" s="177">
        <f t="shared" si="93"/>
        <v>0.41919784468934385</v>
      </c>
      <c r="AG216" s="811">
        <f t="shared" si="99"/>
        <v>1</v>
      </c>
      <c r="AH216" s="176">
        <f t="shared" si="94"/>
        <v>7</v>
      </c>
      <c r="AI216" s="225">
        <f t="shared" si="95"/>
        <v>1.4191978446893438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39.662630545273736</v>
      </c>
      <c r="C217" s="841"/>
      <c r="D217" s="393">
        <f t="shared" si="77"/>
        <v>41.652534553253453</v>
      </c>
      <c r="E217" s="385">
        <f t="shared" si="75"/>
        <v>43.568651378992882</v>
      </c>
      <c r="F217" s="385">
        <f t="shared" si="78"/>
        <v>43.579979617694242</v>
      </c>
      <c r="G217" s="110">
        <f t="shared" si="76"/>
        <v>0.72714442170393923</v>
      </c>
      <c r="H217" s="414" t="b">
        <f>Wh_hp&gt;='2023'!Maxi_hp</f>
        <v>0</v>
      </c>
      <c r="I217" s="390">
        <f>IF(H217,Wh_hp,'2023'!Maxi_hp)</f>
        <v>55.563972127949256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4.7773899699563138E-2</v>
      </c>
      <c r="M217" s="845"/>
      <c r="N217" s="845"/>
      <c r="O217" s="48">
        <f>IF(t&lt;Tnet,'2023'!Resal+('2023'!Salim-'2023'!Resal)*(1-EXP(('2023'!Tnet-t)/('2023'!Tau_j))),Resal+(Salim-Resal)*(1-EXP((Tnet-t)/(Tau_j))))*Salcycl</f>
        <v>4.397925492509748E-2</v>
      </c>
      <c r="P217" s="169">
        <f>(INDEX(Models!$BJ217:$BT217,,T217)*(1-R217)+INDEX(Models!$BJ217:$BT217,,T217+1)*R217-ERP_i)*Q217*Ramure*Pc/MaxiM</f>
        <v>4.2586893525458795E-4</v>
      </c>
      <c r="Q217" s="305">
        <f t="shared" si="80"/>
        <v>0.5</v>
      </c>
      <c r="R217" s="177">
        <f t="shared" si="81"/>
        <v>0.42187602034662297</v>
      </c>
      <c r="S217" s="811">
        <f t="shared" si="82"/>
        <v>1</v>
      </c>
      <c r="T217" s="176">
        <f t="shared" si="83"/>
        <v>7</v>
      </c>
      <c r="U217" s="251">
        <f t="shared" si="84"/>
        <v>1.421876020346623</v>
      </c>
      <c r="V217" s="383">
        <f t="shared" si="85"/>
        <v>54.536686971556065</v>
      </c>
      <c r="W217" s="402">
        <f t="shared" si="86"/>
        <v>39.662630545273736</v>
      </c>
      <c r="X217" s="157">
        <f t="shared" si="87"/>
        <v>45494</v>
      </c>
      <c r="Y217" s="385">
        <f t="shared" si="88"/>
        <v>38.132451369246915</v>
      </c>
      <c r="Z217" s="385">
        <f t="shared" si="89"/>
        <v>40.045585136991882</v>
      </c>
      <c r="AA217" s="386">
        <f t="shared" si="90"/>
        <v>43.568651378992882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8.086241208970929E-2</v>
      </c>
      <c r="AD217" s="231">
        <f>(INDEX(Models!$BJ217:$BT217,,AH217)*(1-AF217)+INDEX(Models!$BJ217:$BT217,,AH217+1)*AF217-ERP_i)*AE217*Ramure*Pc/MaxiM</f>
        <v>4.2586893525458795E-4</v>
      </c>
      <c r="AE217" s="305">
        <f t="shared" si="92"/>
        <v>0.5</v>
      </c>
      <c r="AF217" s="177">
        <f t="shared" si="93"/>
        <v>0.42187602034662297</v>
      </c>
      <c r="AG217" s="811">
        <f t="shared" si="99"/>
        <v>1</v>
      </c>
      <c r="AH217" s="176">
        <f t="shared" si="94"/>
        <v>7</v>
      </c>
      <c r="AI217" s="225">
        <f t="shared" si="95"/>
        <v>1.421876020346623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44.324636189978492</v>
      </c>
      <c r="C218" s="841"/>
      <c r="D218" s="393">
        <f t="shared" si="77"/>
        <v>46.549456080384736</v>
      </c>
      <c r="E218" s="385">
        <f t="shared" si="75"/>
        <v>48.694363886413456</v>
      </c>
      <c r="F218" s="385">
        <f t="shared" si="78"/>
        <v>48.709775580678631</v>
      </c>
      <c r="G218" s="110">
        <f t="shared" si="76"/>
        <v>0.81449298507416168</v>
      </c>
      <c r="H218" s="414" t="b">
        <f>Wh_hp&gt;='2023'!Maxi_hp</f>
        <v>0</v>
      </c>
      <c r="I218" s="390">
        <f>IF(H218,Wh_hp,'2023'!Maxi_hp)</f>
        <v>57.937152506467669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4.7794755894983498E-2</v>
      </c>
      <c r="M218" s="845"/>
      <c r="N218" s="845"/>
      <c r="O218" s="48">
        <f>IF(t&lt;Tnet,'2023'!Resal+('2023'!Salim-'2023'!Resal)*(1-EXP(('2023'!Tnet-t)/('2023'!Tau_j))),Resal+(Salim-Resal)*(1-EXP((Tnet-t)/(Tau_j))))*Salcycl</f>
        <v>4.4048379213496247E-2</v>
      </c>
      <c r="P218" s="169">
        <f>(INDEX(Models!$BJ218:$BT218,,T218)*(1-R218)+INDEX(Models!$BJ218:$BT218,,T218+1)*R218-ERP_i)*Q218*Ramure*Pc/MaxiM</f>
        <v>4.3040214874549756E-4</v>
      </c>
      <c r="Q218" s="305">
        <f t="shared" si="80"/>
        <v>0.5</v>
      </c>
      <c r="R218" s="177">
        <f t="shared" si="81"/>
        <v>0.42447849010775518</v>
      </c>
      <c r="S218" s="811">
        <f t="shared" si="82"/>
        <v>1</v>
      </c>
      <c r="T218" s="176">
        <f t="shared" si="83"/>
        <v>7</v>
      </c>
      <c r="U218" s="251">
        <f t="shared" si="84"/>
        <v>1.4244784901077552</v>
      </c>
      <c r="V218" s="383">
        <f t="shared" si="85"/>
        <v>54.413705492149276</v>
      </c>
      <c r="W218" s="402">
        <f t="shared" si="86"/>
        <v>44.324636189978492</v>
      </c>
      <c r="X218" s="157">
        <f t="shared" si="87"/>
        <v>45495</v>
      </c>
      <c r="Y218" s="385">
        <f t="shared" si="88"/>
        <v>42.616187875516729</v>
      </c>
      <c r="Z218" s="385">
        <f t="shared" si="89"/>
        <v>44.755254331299071</v>
      </c>
      <c r="AA218" s="386">
        <f t="shared" si="90"/>
        <v>48.694363886413456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8.089456850289535E-2</v>
      </c>
      <c r="AD218" s="231">
        <f>(INDEX(Models!$BJ218:$BT218,,AH218)*(1-AF218)+INDEX(Models!$BJ218:$BT218,,AH218+1)*AF218-ERP_i)*AE218*Ramure*Pc/MaxiM</f>
        <v>4.3040214874549756E-4</v>
      </c>
      <c r="AE218" s="305">
        <f t="shared" si="92"/>
        <v>0.5</v>
      </c>
      <c r="AF218" s="177">
        <f t="shared" si="93"/>
        <v>0.42447849010775518</v>
      </c>
      <c r="AG218" s="811">
        <f t="shared" si="99"/>
        <v>1</v>
      </c>
      <c r="AH218" s="176">
        <f t="shared" si="94"/>
        <v>7</v>
      </c>
      <c r="AI218" s="225">
        <f t="shared" si="95"/>
        <v>1.4244784901077552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49.713253481617066</v>
      </c>
      <c r="C219" s="841"/>
      <c r="D219" s="393">
        <f t="shared" si="77"/>
        <v>52.209691829653714</v>
      </c>
      <c r="E219" s="385">
        <f t="shared" si="75"/>
        <v>54.619344809384081</v>
      </c>
      <c r="F219" s="385">
        <f t="shared" si="78"/>
        <v>54.640112488752003</v>
      </c>
      <c r="G219" s="110">
        <f t="shared" si="76"/>
        <v>0.91565452172217321</v>
      </c>
      <c r="H219" s="414" t="b">
        <f>Wh_hp&gt;='2023'!Maxi_hp</f>
        <v>0</v>
      </c>
      <c r="I219" s="390">
        <f>IF(H219,Wh_hp,'2023'!Maxi_hp)</f>
        <v>57.924820130429069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4.7815611633599708E-2</v>
      </c>
      <c r="M219" s="845"/>
      <c r="N219" s="845"/>
      <c r="O219" s="48">
        <f>IF(t&lt;Tnet,'2023'!Resal+('2023'!Salim-'2023'!Resal)*(1-EXP(('2023'!Tnet-t)/('2023'!Tau_j))),Resal+(Salim-Resal)*(1-EXP((Tnet-t)/(Tau_j))))*Salcycl</f>
        <v>4.4117207706167179E-2</v>
      </c>
      <c r="P219" s="169">
        <f>(INDEX(Models!$BJ219:$BT219,,T219)*(1-R219)+INDEX(Models!$BJ219:$BT219,,T219+1)*R219-ERP_i)*Q219*Ramure*Pc/MaxiM</f>
        <v>4.3211936188249875E-4</v>
      </c>
      <c r="Q219" s="305">
        <f t="shared" si="80"/>
        <v>0.5</v>
      </c>
      <c r="R219" s="177">
        <f t="shared" si="81"/>
        <v>0.42700631415063239</v>
      </c>
      <c r="S219" s="811">
        <f t="shared" si="82"/>
        <v>1</v>
      </c>
      <c r="T219" s="176">
        <f t="shared" si="83"/>
        <v>7</v>
      </c>
      <c r="U219" s="251">
        <f t="shared" si="84"/>
        <v>1.4270063141506324</v>
      </c>
      <c r="V219" s="383">
        <f t="shared" si="85"/>
        <v>54.289761402596007</v>
      </c>
      <c r="W219" s="402">
        <f t="shared" si="86"/>
        <v>49.713253481617066</v>
      </c>
      <c r="X219" s="157">
        <f t="shared" si="87"/>
        <v>45496</v>
      </c>
      <c r="Y219" s="385">
        <f t="shared" si="88"/>
        <v>47.798899022499832</v>
      </c>
      <c r="Z219" s="385">
        <f t="shared" si="89"/>
        <v>50.199204698687865</v>
      </c>
      <c r="AA219" s="386">
        <f t="shared" si="90"/>
        <v>54.619344809384081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8.0926274859613442E-2</v>
      </c>
      <c r="AD219" s="231">
        <f>(INDEX(Models!$BJ219:$BT219,,AH219)*(1-AF219)+INDEX(Models!$BJ219:$BT219,,AH219+1)*AF219-ERP_i)*AE219*Ramure*Pc/MaxiM</f>
        <v>4.3211936188249875E-4</v>
      </c>
      <c r="AE219" s="305">
        <f t="shared" si="92"/>
        <v>0.5</v>
      </c>
      <c r="AF219" s="177">
        <f t="shared" si="93"/>
        <v>0.42700631415063239</v>
      </c>
      <c r="AG219" s="811">
        <f t="shared" si="99"/>
        <v>1</v>
      </c>
      <c r="AH219" s="176">
        <f t="shared" si="94"/>
        <v>7</v>
      </c>
      <c r="AI219" s="225">
        <f t="shared" si="95"/>
        <v>1.4270063141506324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25.405869089286814</v>
      </c>
      <c r="C220" s="841"/>
      <c r="D220" s="393">
        <f t="shared" si="77"/>
        <v>26.682253842450059</v>
      </c>
      <c r="E220" s="385">
        <f t="shared" si="75"/>
        <v>27.915731527910225</v>
      </c>
      <c r="F220" s="385">
        <f t="shared" si="78"/>
        <v>27.918633367948711</v>
      </c>
      <c r="G220" s="110">
        <f t="shared" si="76"/>
        <v>0.4688955336173099</v>
      </c>
      <c r="H220" s="414" t="b">
        <f>Wh_hp&gt;='2023'!Maxi_hp</f>
        <v>0</v>
      </c>
      <c r="I220" s="390">
        <f>IF(H220,Wh_hp,'2023'!Maxi_hp)</f>
        <v>58.619065963281635</v>
      </c>
      <c r="J220" s="85">
        <f>IF(H220,An,'2023'!An_max)</f>
        <v>2019</v>
      </c>
      <c r="K220" s="197">
        <f t="shared" si="79"/>
        <v>45497</v>
      </c>
      <c r="L220" s="147">
        <f>IF(t&lt;Tvie,1-EXP((T0-t)*PertePVj)+'2023'!Pspv,1-EXP((T0-t)*PertePVj)+Pspv)</f>
        <v>4.783646691542176E-2</v>
      </c>
      <c r="M220" s="845"/>
      <c r="N220" s="845"/>
      <c r="O220" s="48">
        <f>IF(t&lt;Tnet,'2023'!Resal+('2023'!Salim-'2023'!Resal)*(1-EXP(('2023'!Tnet-t)/('2023'!Tau_j))),Resal+(Salim-Resal)*(1-EXP((Tnet-t)/(Tau_j))))*Salcycl</f>
        <v>4.4185755412747489E-2</v>
      </c>
      <c r="P220" s="169">
        <f>(INDEX(Models!$BJ220:$BT220,,T220)*(1-R220)+INDEX(Models!$BJ220:$BT220,,T220+1)*R220-ERP_i)*Q220*Ramure*Pc/MaxiM</f>
        <v>4.3039338581650992E-4</v>
      </c>
      <c r="Q220" s="305">
        <f t="shared" si="80"/>
        <v>0.5</v>
      </c>
      <c r="R220" s="177">
        <f t="shared" si="81"/>
        <v>0.42946061513776734</v>
      </c>
      <c r="S220" s="811">
        <f t="shared" si="82"/>
        <v>1</v>
      </c>
      <c r="T220" s="176">
        <f t="shared" si="83"/>
        <v>7</v>
      </c>
      <c r="U220" s="251">
        <f t="shared" si="84"/>
        <v>1.4294606151377673</v>
      </c>
      <c r="V220" s="383">
        <f t="shared" si="85"/>
        <v>54.164675399138936</v>
      </c>
      <c r="W220" s="402">
        <f t="shared" si="86"/>
        <v>25.405869089286814</v>
      </c>
      <c r="X220" s="157">
        <f t="shared" si="87"/>
        <v>45497</v>
      </c>
      <c r="Y220" s="385">
        <f t="shared" si="88"/>
        <v>24.42846196254747</v>
      </c>
      <c r="Z220" s="385">
        <f t="shared" si="89"/>
        <v>25.655742016720936</v>
      </c>
      <c r="AA220" s="386">
        <f t="shared" si="90"/>
        <v>27.915731527910225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8.0957560038494691E-2</v>
      </c>
      <c r="AD220" s="231">
        <f>(INDEX(Models!$BJ220:$BT220,,AH220)*(1-AF220)+INDEX(Models!$BJ220:$BT220,,AH220+1)*AF220-ERP_i)*AE220*Ramure*Pc/MaxiM</f>
        <v>4.3039338581650992E-4</v>
      </c>
      <c r="AE220" s="305">
        <f t="shared" si="92"/>
        <v>0.5</v>
      </c>
      <c r="AF220" s="177">
        <f t="shared" si="93"/>
        <v>0.42946061513776734</v>
      </c>
      <c r="AG220" s="811">
        <f t="shared" si="99"/>
        <v>1</v>
      </c>
      <c r="AH220" s="176">
        <f t="shared" si="94"/>
        <v>7</v>
      </c>
      <c r="AI220" s="225">
        <f t="shared" si="95"/>
        <v>1.4294606151377673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53.405432482041995</v>
      </c>
      <c r="C221" s="841"/>
      <c r="D221" s="393">
        <f t="shared" si="77"/>
        <v>56.089737075607111</v>
      </c>
      <c r="E221" s="385">
        <f t="shared" si="75"/>
        <v>58.686867863208612</v>
      </c>
      <c r="F221" s="385">
        <f t="shared" si="78"/>
        <v>58.711444221940035</v>
      </c>
      <c r="G221" s="110">
        <f t="shared" si="76"/>
        <v>0.98827932007086206</v>
      </c>
      <c r="H221" s="414" t="b">
        <f>Wh_hp&gt;='2023'!Maxi_hp</f>
        <v>0</v>
      </c>
      <c r="I221" s="390">
        <f>IF(H221,Wh_hp,'2023'!Maxi_hp)</f>
        <v>58.711602889143748</v>
      </c>
      <c r="J221" s="85">
        <f>IF(H221,An,'2023'!An_max)</f>
        <v>2022</v>
      </c>
      <c r="K221" s="197">
        <f t="shared" si="79"/>
        <v>45498</v>
      </c>
      <c r="L221" s="147">
        <f>IF(t&lt;Tvie,1-EXP((T0-t)*PertePVj)+'2023'!Pspv,1-EXP((T0-t)*PertePVj)+Pspv)</f>
        <v>4.7857321740459646E-2</v>
      </c>
      <c r="M221" s="845"/>
      <c r="N221" s="845"/>
      <c r="O221" s="48">
        <f>IF(t&lt;Tnet,'2023'!Resal+('2023'!Salim-'2023'!Resal)*(1-EXP(('2023'!Tnet-t)/('2023'!Tau_j))),Resal+(Salim-Resal)*(1-EXP((Tnet-t)/(Tau_j))))*Salcycl</f>
        <v>4.4254036416717081E-2</v>
      </c>
      <c r="P221" s="169">
        <f>(INDEX(Models!$BJ221:$BT221,,T221)*(1-R221)+INDEX(Models!$BJ221:$BT221,,T221+1)*R221-ERP_i)*Q221*Ramure*Pc/MaxiM</f>
        <v>4.257196033166278E-4</v>
      </c>
      <c r="Q221" s="305">
        <f t="shared" si="80"/>
        <v>0.5</v>
      </c>
      <c r="R221" s="177">
        <f t="shared" si="81"/>
        <v>0.43184257191562625</v>
      </c>
      <c r="S221" s="811">
        <f t="shared" si="82"/>
        <v>1</v>
      </c>
      <c r="T221" s="176">
        <f t="shared" si="83"/>
        <v>7</v>
      </c>
      <c r="U221" s="251">
        <f t="shared" si="84"/>
        <v>1.4318425719156262</v>
      </c>
      <c r="V221" s="383">
        <f t="shared" si="85"/>
        <v>54.038418879728617</v>
      </c>
      <c r="W221" s="402">
        <f t="shared" si="86"/>
        <v>53.405432482041995</v>
      </c>
      <c r="X221" s="157">
        <f t="shared" si="87"/>
        <v>45498</v>
      </c>
      <c r="Y221" s="385">
        <f t="shared" si="88"/>
        <v>51.352776884180265</v>
      </c>
      <c r="Z221" s="385">
        <f t="shared" si="89"/>
        <v>53.933909335993697</v>
      </c>
      <c r="AA221" s="386">
        <f t="shared" si="90"/>
        <v>58.686867863208612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8.0988451084038723E-2</v>
      </c>
      <c r="AD221" s="231">
        <f>(INDEX(Models!$BJ221:$BT221,,AH221)*(1-AF221)+INDEX(Models!$BJ221:$BT221,,AH221+1)*AF221-ERP_i)*AE221*Ramure*Pc/MaxiM</f>
        <v>4.257196033166278E-4</v>
      </c>
      <c r="AE221" s="305">
        <f t="shared" si="92"/>
        <v>0.5</v>
      </c>
      <c r="AF221" s="177">
        <f t="shared" si="93"/>
        <v>0.43184257191562625</v>
      </c>
      <c r="AG221" s="811">
        <f t="shared" si="99"/>
        <v>1</v>
      </c>
      <c r="AH221" s="176">
        <f t="shared" si="94"/>
        <v>7</v>
      </c>
      <c r="AI221" s="225">
        <f t="shared" si="95"/>
        <v>1.4318425719156262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53.414478297140782</v>
      </c>
      <c r="C222" s="841"/>
      <c r="D222" s="393">
        <f t="shared" si="77"/>
        <v>56.100466302556057</v>
      </c>
      <c r="E222" s="385">
        <f t="shared" si="75"/>
        <v>58.702272156333194</v>
      </c>
      <c r="F222" s="385">
        <f t="shared" si="78"/>
        <v>58.726501683567534</v>
      </c>
      <c r="G222" s="110">
        <f t="shared" si="76"/>
        <v>0.99078468646480833</v>
      </c>
      <c r="H222" s="414" t="b">
        <f>Wh_hp&gt;='2023'!Maxi_hp</f>
        <v>0</v>
      </c>
      <c r="I222" s="390">
        <f>IF(H222,Wh_hp,'2023'!Maxi_hp)</f>
        <v>58.726621651171868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4.7878176108723247E-2</v>
      </c>
      <c r="M222" s="845"/>
      <c r="N222" s="845"/>
      <c r="O222" s="48">
        <f>IF(t&lt;Tnet,'2023'!Resal+('2023'!Salim-'2023'!Resal)*(1-EXP(('2023'!Tnet-t)/('2023'!Tau_j))),Resal+(Salim-Resal)*(1-EXP((Tnet-t)/(Tau_j))))*Salcycl</f>
        <v>4.4322063835078272E-2</v>
      </c>
      <c r="P222" s="169">
        <f>(INDEX(Models!$BJ222:$BT222,,T222)*(1-R222)+INDEX(Models!$BJ222:$BT222,,T222+1)*R222-ERP_i)*Q222*Ramure*Pc/MaxiM</f>
        <v>4.1808320358403752E-4</v>
      </c>
      <c r="Q222" s="305">
        <f t="shared" si="80"/>
        <v>0.5</v>
      </c>
      <c r="R222" s="177">
        <f t="shared" si="81"/>
        <v>0.43415341342059222</v>
      </c>
      <c r="S222" s="811">
        <f t="shared" si="82"/>
        <v>1</v>
      </c>
      <c r="T222" s="176">
        <f t="shared" si="83"/>
        <v>7</v>
      </c>
      <c r="U222" s="251">
        <f t="shared" si="84"/>
        <v>1.4341534134205922</v>
      </c>
      <c r="V222" s="383">
        <f t="shared" si="85"/>
        <v>53.91099104444379</v>
      </c>
      <c r="W222" s="402">
        <f t="shared" si="86"/>
        <v>53.414478297140782</v>
      </c>
      <c r="X222" s="157">
        <f t="shared" si="87"/>
        <v>45499</v>
      </c>
      <c r="Y222" s="385">
        <f t="shared" si="88"/>
        <v>51.363425121499503</v>
      </c>
      <c r="Z222" s="385">
        <f t="shared" si="89"/>
        <v>53.946274344998855</v>
      </c>
      <c r="AA222" s="386">
        <f t="shared" si="90"/>
        <v>58.702272156333194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8.1018973144146481E-2</v>
      </c>
      <c r="AD222" s="231">
        <f>(INDEX(Models!$BJ222:$BT222,,AH222)*(1-AF222)+INDEX(Models!$BJ222:$BT222,,AH222+1)*AF222-ERP_i)*AE222*Ramure*Pc/MaxiM</f>
        <v>4.1808320358403752E-4</v>
      </c>
      <c r="AE222" s="305">
        <f t="shared" si="92"/>
        <v>0.5</v>
      </c>
      <c r="AF222" s="177">
        <f t="shared" si="93"/>
        <v>0.43415341342059222</v>
      </c>
      <c r="AG222" s="811">
        <f t="shared" si="99"/>
        <v>1</v>
      </c>
      <c r="AH222" s="176">
        <f t="shared" si="94"/>
        <v>7</v>
      </c>
      <c r="AI222" s="225">
        <f t="shared" si="95"/>
        <v>1.4341534134205922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42.866611996089084</v>
      </c>
      <c r="C223" s="841"/>
      <c r="D223" s="393">
        <f t="shared" si="77"/>
        <v>45.023178578422808</v>
      </c>
      <c r="E223" s="385">
        <f t="shared" si="75"/>
        <v>47.114588065410793</v>
      </c>
      <c r="F223" s="385">
        <f t="shared" si="78"/>
        <v>47.128223443570221</v>
      </c>
      <c r="G223" s="110">
        <f t="shared" si="76"/>
        <v>0.79694385451015437</v>
      </c>
      <c r="H223" s="414" t="b">
        <f>Wh_hp&gt;='2023'!Maxi_hp</f>
        <v>0</v>
      </c>
      <c r="I223" s="390">
        <f>IF(H223,Wh_hp,'2023'!Maxi_hp)</f>
        <v>56.44038029737262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4.7899030020222777E-2</v>
      </c>
      <c r="M223" s="845"/>
      <c r="N223" s="845"/>
      <c r="O223" s="48">
        <f>IF(t&lt;Tnet,'2023'!Resal+('2023'!Salim-'2023'!Resal)*(1-EXP(('2023'!Tnet-t)/('2023'!Tau_j))),Resal+(Salim-Resal)*(1-EXP((Tnet-t)/(Tau_j))))*Salcycl</f>
        <v>4.4389849786745671E-2</v>
      </c>
      <c r="P223" s="169">
        <f>(INDEX(Models!$BJ223:$BT223,,T223)*(1-R223)+INDEX(Models!$BJ223:$BT223,,T223+1)*R223-ERP_i)*Q223*Ramure*Pc/MaxiM</f>
        <v>4.0746895376249305E-4</v>
      </c>
      <c r="Q223" s="305">
        <f t="shared" si="80"/>
        <v>0.5</v>
      </c>
      <c r="R223" s="177">
        <f t="shared" si="81"/>
        <v>0.43639441280717373</v>
      </c>
      <c r="S223" s="811">
        <f t="shared" si="82"/>
        <v>1</v>
      </c>
      <c r="T223" s="176">
        <f t="shared" si="83"/>
        <v>7</v>
      </c>
      <c r="U223" s="251">
        <f t="shared" si="84"/>
        <v>1.4363944128071737</v>
      </c>
      <c r="V223" s="383">
        <f t="shared" si="85"/>
        <v>53.782391144964919</v>
      </c>
      <c r="W223" s="402">
        <f t="shared" si="86"/>
        <v>42.866611996089084</v>
      </c>
      <c r="X223" s="157">
        <f t="shared" si="87"/>
        <v>45500</v>
      </c>
      <c r="Y223" s="385">
        <f t="shared" si="88"/>
        <v>41.222154815255578</v>
      </c>
      <c r="Z223" s="385">
        <f t="shared" si="89"/>
        <v>43.295990777250381</v>
      </c>
      <c r="AA223" s="386">
        <f t="shared" si="90"/>
        <v>47.114588065410793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8.1049149423930475E-2</v>
      </c>
      <c r="AD223" s="231">
        <f>(INDEX(Models!$BJ223:$BT223,,AH223)*(1-AF223)+INDEX(Models!$BJ223:$BT223,,AH223+1)*AF223-ERP_i)*AE223*Ramure*Pc/MaxiM</f>
        <v>4.0746895376249305E-4</v>
      </c>
      <c r="AE223" s="305">
        <f t="shared" si="92"/>
        <v>0.5</v>
      </c>
      <c r="AF223" s="177">
        <f t="shared" si="93"/>
        <v>0.43639441280717373</v>
      </c>
      <c r="AG223" s="811">
        <f t="shared" si="99"/>
        <v>1</v>
      </c>
      <c r="AH223" s="176">
        <f t="shared" si="94"/>
        <v>7</v>
      </c>
      <c r="AI223" s="225">
        <f t="shared" si="95"/>
        <v>1.4363944128071737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28.998065813009482</v>
      </c>
      <c r="C224" s="841"/>
      <c r="D224" s="393">
        <f t="shared" si="77"/>
        <v>30.457589975567007</v>
      </c>
      <c r="E224" s="385">
        <f t="shared" si="75"/>
        <v>31.874654407578543</v>
      </c>
      <c r="F224" s="385">
        <f t="shared" si="78"/>
        <v>31.878967858737145</v>
      </c>
      <c r="G224" s="110">
        <f t="shared" si="76"/>
        <v>0.54033834783886725</v>
      </c>
      <c r="H224" s="414" t="b">
        <f>Wh_hp&gt;='2023'!Maxi_hp</f>
        <v>0</v>
      </c>
      <c r="I224" s="390">
        <f>IF(H224,Wh_hp,'2023'!Maxi_hp)</f>
        <v>59.643858292588483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4.7919883474968006E-2</v>
      </c>
      <c r="M224" s="845"/>
      <c r="N224" s="845"/>
      <c r="O224" s="48">
        <f>IF(t&lt;Tnet,'2023'!Resal+('2023'!Salim-'2023'!Resal)*(1-EXP(('2023'!Tnet-t)/('2023'!Tau_j))),Resal+(Salim-Resal)*(1-EXP((Tnet-t)/(Tau_j))))*Salcycl</f>
        <v>4.4457405369534395E-2</v>
      </c>
      <c r="P224" s="169">
        <f>(INDEX(Models!$BJ224:$BT224,,T224)*(1-R224)+INDEX(Models!$BJ224:$BT224,,T224+1)*R224-ERP_i)*Q224*Ramure*Pc/MaxiM</f>
        <v>3.9386113118332599E-4</v>
      </c>
      <c r="Q224" s="305">
        <f t="shared" si="80"/>
        <v>0.5</v>
      </c>
      <c r="R224" s="177">
        <f t="shared" si="81"/>
        <v>0.43856688181120695</v>
      </c>
      <c r="S224" s="811">
        <f t="shared" si="82"/>
        <v>1</v>
      </c>
      <c r="T224" s="176">
        <f t="shared" si="83"/>
        <v>7</v>
      </c>
      <c r="U224" s="251">
        <f t="shared" si="84"/>
        <v>1.438566881811207</v>
      </c>
      <c r="V224" s="383">
        <f t="shared" si="85"/>
        <v>53.652618489804681</v>
      </c>
      <c r="W224" s="402">
        <f t="shared" si="86"/>
        <v>28.998065813009482</v>
      </c>
      <c r="X224" s="157">
        <f t="shared" si="87"/>
        <v>45501</v>
      </c>
      <c r="Y224" s="385">
        <f t="shared" si="88"/>
        <v>27.886702017459871</v>
      </c>
      <c r="Z224" s="385">
        <f t="shared" si="89"/>
        <v>29.290289266036446</v>
      </c>
      <c r="AA224" s="386">
        <f t="shared" si="90"/>
        <v>31.874654407578543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8.1079001155464653E-2</v>
      </c>
      <c r="AD224" s="231">
        <f>(INDEX(Models!$BJ224:$BT224,,AH224)*(1-AF224)+INDEX(Models!$BJ224:$BT224,,AH224+1)*AF224-ERP_i)*AE224*Ramure*Pc/MaxiM</f>
        <v>3.9386113118332599E-4</v>
      </c>
      <c r="AE224" s="305">
        <f t="shared" si="92"/>
        <v>0.5</v>
      </c>
      <c r="AF224" s="177">
        <f t="shared" si="93"/>
        <v>0.43856688181120695</v>
      </c>
      <c r="AG224" s="811">
        <f t="shared" si="99"/>
        <v>1</v>
      </c>
      <c r="AH224" s="176">
        <f t="shared" si="94"/>
        <v>7</v>
      </c>
      <c r="AI224" s="225">
        <f t="shared" si="95"/>
        <v>1.438566881811207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48.80343096918596</v>
      </c>
      <c r="C225" s="841"/>
      <c r="D225" s="393">
        <f t="shared" si="77"/>
        <v>51.260917086597239</v>
      </c>
      <c r="E225" s="385">
        <f t="shared" si="75"/>
        <v>53.649654017447652</v>
      </c>
      <c r="F225" s="385">
        <f t="shared" si="78"/>
        <v>53.667350002473242</v>
      </c>
      <c r="G225" s="110">
        <f t="shared" si="76"/>
        <v>0.91180094680550638</v>
      </c>
      <c r="H225" s="414" t="b">
        <f>Wh_hp&gt;='2023'!Maxi_hp</f>
        <v>0</v>
      </c>
      <c r="I225" s="390">
        <f>IF(H225,Wh_hp,'2023'!Maxi_hp)</f>
        <v>55.994393253662331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4.7940736472969148E-2</v>
      </c>
      <c r="M225" s="845"/>
      <c r="N225" s="845"/>
      <c r="O225" s="48">
        <f>IF(t&lt;Tnet,'2023'!Resal+('2023'!Salim-'2023'!Resal)*(1-EXP(('2023'!Tnet-t)/('2023'!Tau_j))),Resal+(Salim-Resal)*(1-EXP((Tnet-t)/(Tau_j))))*Salcycl</f>
        <v>4.4524740645551238E-2</v>
      </c>
      <c r="P225" s="169">
        <f>(INDEX(Models!$BJ225:$BT225,,T225)*(1-R225)+INDEX(Models!$BJ225:$BT225,,T225+1)*R225-ERP_i)*Q225*Ramure*Pc/MaxiM</f>
        <v>3.7724346525253033E-4</v>
      </c>
      <c r="Q225" s="305">
        <f t="shared" si="80"/>
        <v>0.5</v>
      </c>
      <c r="R225" s="177">
        <f t="shared" si="81"/>
        <v>0.44067216535808962</v>
      </c>
      <c r="S225" s="811">
        <f t="shared" si="82"/>
        <v>1</v>
      </c>
      <c r="T225" s="176">
        <f t="shared" si="83"/>
        <v>7</v>
      </c>
      <c r="U225" s="251">
        <f t="shared" si="84"/>
        <v>1.4406721653580896</v>
      </c>
      <c r="V225" s="383">
        <f t="shared" si="85"/>
        <v>53.521672446540329</v>
      </c>
      <c r="W225" s="402">
        <f t="shared" si="86"/>
        <v>48.80343096918596</v>
      </c>
      <c r="X225" s="157">
        <f t="shared" si="87"/>
        <v>45502</v>
      </c>
      <c r="Y225" s="385">
        <f t="shared" si="88"/>
        <v>46.934816079390139</v>
      </c>
      <c r="Z225" s="385">
        <f t="shared" si="89"/>
        <v>49.29820850176263</v>
      </c>
      <c r="AA225" s="386">
        <f t="shared" si="90"/>
        <v>53.649654017447652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8.1108547582988466E-2</v>
      </c>
      <c r="AD225" s="231">
        <f>(INDEX(Models!$BJ225:$BT225,,AH225)*(1-AF225)+INDEX(Models!$BJ225:$BT225,,AH225+1)*AF225-ERP_i)*AE225*Ramure*Pc/MaxiM</f>
        <v>3.7724346525253033E-4</v>
      </c>
      <c r="AE225" s="305">
        <f t="shared" si="92"/>
        <v>0.5</v>
      </c>
      <c r="AF225" s="177">
        <f t="shared" si="93"/>
        <v>0.44067216535808962</v>
      </c>
      <c r="AG225" s="811">
        <f t="shared" si="99"/>
        <v>1</v>
      </c>
      <c r="AH225" s="176">
        <f t="shared" si="94"/>
        <v>7</v>
      </c>
      <c r="AI225" s="225">
        <f t="shared" si="95"/>
        <v>1.4406721653580896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51.435909657659209</v>
      </c>
      <c r="C226" s="841"/>
      <c r="D226" s="393">
        <f t="shared" si="77"/>
        <v>54.027136997971759</v>
      </c>
      <c r="E226" s="385">
        <f t="shared" si="75"/>
        <v>56.548751259392681</v>
      </c>
      <c r="F226" s="385">
        <f t="shared" si="78"/>
        <v>56.567962637212894</v>
      </c>
      <c r="G226" s="110">
        <f t="shared" si="76"/>
        <v>0.96339043887811138</v>
      </c>
      <c r="H226" s="414" t="b">
        <f>Wh_hp&gt;='2023'!Maxi_hp</f>
        <v>0</v>
      </c>
      <c r="I226" s="390">
        <f>IF(H226,Wh_hp,'2023'!Maxi_hp)</f>
        <v>58.250484133448317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4.7961589014236083E-2</v>
      </c>
      <c r="M226" s="845"/>
      <c r="N226" s="845"/>
      <c r="O226" s="48">
        <f>IF(t&lt;Tnet,'2023'!Resal+('2023'!Salim-'2023'!Resal)*(1-EXP(('2023'!Tnet-t)/('2023'!Tau_j))),Resal+(Salim-Resal)*(1-EXP((Tnet-t)/(Tau_j))))*Salcycl</f>
        <v>4.4591864634713416E-2</v>
      </c>
      <c r="P226" s="169">
        <f>(INDEX(Models!$BJ226:$BT226,,T226)*(1-R226)+INDEX(Models!$BJ226:$BT226,,T226+1)*R226-ERP_i)*Q226*Ramure*Pc/MaxiM</f>
        <v>3.583480037763078E-4</v>
      </c>
      <c r="Q226" s="305">
        <f t="shared" si="80"/>
        <v>0.5</v>
      </c>
      <c r="R226" s="177">
        <f t="shared" si="81"/>
        <v>0.44271163642356259</v>
      </c>
      <c r="S226" s="811">
        <f t="shared" si="82"/>
        <v>1</v>
      </c>
      <c r="T226" s="176">
        <f t="shared" si="83"/>
        <v>7</v>
      </c>
      <c r="U226" s="251">
        <f t="shared" si="84"/>
        <v>1.4427116364235626</v>
      </c>
      <c r="V226" s="383">
        <f t="shared" si="85"/>
        <v>53.389512445089721</v>
      </c>
      <c r="W226" s="402">
        <f t="shared" si="86"/>
        <v>51.435909657659209</v>
      </c>
      <c r="X226" s="157">
        <f t="shared" si="87"/>
        <v>45503</v>
      </c>
      <c r="Y226" s="385">
        <f t="shared" si="88"/>
        <v>49.468401043349559</v>
      </c>
      <c r="Z226" s="385">
        <f t="shared" si="89"/>
        <v>51.960509652261578</v>
      </c>
      <c r="AA226" s="386">
        <f t="shared" si="90"/>
        <v>56.548751259392681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8.1137805962938944E-2</v>
      </c>
      <c r="AD226" s="231">
        <f>(INDEX(Models!$BJ226:$BT226,,AH226)*(1-AF226)+INDEX(Models!$BJ226:$BT226,,AH226+1)*AF226-ERP_i)*AE226*Ramure*Pc/MaxiM</f>
        <v>3.583480037763078E-4</v>
      </c>
      <c r="AE226" s="305">
        <f t="shared" si="92"/>
        <v>0.5</v>
      </c>
      <c r="AF226" s="177">
        <f t="shared" si="93"/>
        <v>0.44271163642356259</v>
      </c>
      <c r="AG226" s="811">
        <f t="shared" si="99"/>
        <v>1</v>
      </c>
      <c r="AH226" s="176">
        <f t="shared" si="94"/>
        <v>7</v>
      </c>
      <c r="AI226" s="225">
        <f t="shared" si="95"/>
        <v>1.4427116364235626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50.539333348421536</v>
      </c>
      <c r="C227" s="841"/>
      <c r="D227" s="393">
        <f t="shared" si="77"/>
        <v>53.086555889527837</v>
      </c>
      <c r="E227" s="385">
        <f t="shared" si="75"/>
        <v>55.568162530379013</v>
      </c>
      <c r="F227" s="385">
        <f t="shared" si="78"/>
        <v>55.585657277168764</v>
      </c>
      <c r="G227" s="110">
        <f t="shared" si="76"/>
        <v>0.94896478446255372</v>
      </c>
      <c r="H227" s="414" t="b">
        <f>Wh_hp&gt;='2023'!Maxi_hp</f>
        <v>0</v>
      </c>
      <c r="I227" s="390">
        <f>IF(H227,Wh_hp,'2023'!Maxi_hp)</f>
        <v>55.586126471663725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4.7982441098778805E-2</v>
      </c>
      <c r="M227" s="845"/>
      <c r="N227" s="845"/>
      <c r="O227" s="48">
        <f>IF(t&lt;Tnet,'2023'!Resal+('2023'!Salim-'2023'!Resal)*(1-EXP(('2023'!Tnet-t)/('2023'!Tau_j))),Resal+(Salim-Resal)*(1-EXP((Tnet-t)/(Tau_j))))*Salcycl</f>
        <v>4.4658785316043004E-2</v>
      </c>
      <c r="P227" s="169">
        <f>(INDEX(Models!$BJ227:$BT227,,T227)*(1-R227)+INDEX(Models!$BJ227:$BT227,,T227+1)*R227-ERP_i)*Q227*Ramure*Pc/MaxiM</f>
        <v>3.3947368080694063E-4</v>
      </c>
      <c r="Q227" s="305">
        <f t="shared" si="80"/>
        <v>0.5</v>
      </c>
      <c r="R227" s="177">
        <f t="shared" si="81"/>
        <v>0.44468669115223181</v>
      </c>
      <c r="S227" s="811">
        <f t="shared" si="82"/>
        <v>1</v>
      </c>
      <c r="T227" s="176">
        <f t="shared" si="83"/>
        <v>7</v>
      </c>
      <c r="U227" s="251">
        <f t="shared" si="84"/>
        <v>1.4446866911522318</v>
      </c>
      <c r="V227" s="383">
        <f t="shared" si="85"/>
        <v>53.256014871386718</v>
      </c>
      <c r="W227" s="402">
        <f t="shared" si="86"/>
        <v>50.539333348421536</v>
      </c>
      <c r="X227" s="157">
        <f t="shared" si="87"/>
        <v>45504</v>
      </c>
      <c r="Y227" s="385">
        <f t="shared" si="88"/>
        <v>48.60799167698287</v>
      </c>
      <c r="Z227" s="385">
        <f t="shared" si="89"/>
        <v>51.057873063900395</v>
      </c>
      <c r="AA227" s="386">
        <f t="shared" si="90"/>
        <v>55.568162530379013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8.1166791578052566E-2</v>
      </c>
      <c r="AD227" s="231">
        <f>(INDEX(Models!$BJ227:$BT227,,AH227)*(1-AF227)+INDEX(Models!$BJ227:$BT227,,AH227+1)*AF227-ERP_i)*AE227*Ramure*Pc/MaxiM</f>
        <v>3.3947368080694063E-4</v>
      </c>
      <c r="AE227" s="305">
        <f t="shared" si="92"/>
        <v>0.5</v>
      </c>
      <c r="AF227" s="177">
        <f t="shared" si="93"/>
        <v>0.44468669115223181</v>
      </c>
      <c r="AG227" s="811">
        <f t="shared" si="99"/>
        <v>1</v>
      </c>
      <c r="AH227" s="176">
        <f t="shared" si="94"/>
        <v>7</v>
      </c>
      <c r="AI227" s="225">
        <f t="shared" si="95"/>
        <v>1.4446866911522318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50.741336031387874</v>
      </c>
      <c r="C228" s="841"/>
      <c r="D228" s="393">
        <f t="shared" si="77"/>
        <v>53.299907072909733</v>
      </c>
      <c r="E228" s="385">
        <f t="shared" si="75"/>
        <v>55.79538406036334</v>
      </c>
      <c r="F228" s="385">
        <f t="shared" si="78"/>
        <v>55.812133655647813</v>
      </c>
      <c r="G228" s="110">
        <f t="shared" si="76"/>
        <v>0.9551801228303306</v>
      </c>
      <c r="H228" s="414" t="b">
        <f>Wh_hp&gt;='2023'!Maxi_hp</f>
        <v>0</v>
      </c>
      <c r="I228" s="390">
        <f>IF(H228,Wh_hp,'2023'!Maxi_hp)</f>
        <v>56.845203333586923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4.8003292726607416E-2</v>
      </c>
      <c r="M228" s="845"/>
      <c r="N228" s="845"/>
      <c r="O228" s="48">
        <f>IF(t&lt;Tnet,'2023'!Resal+('2023'!Salim-'2023'!Resal)*(1-EXP(('2023'!Tnet-t)/('2023'!Tau_j))),Resal+(Salim-Resal)*(1-EXP((Tnet-t)/(Tau_j))))*Salcycl</f>
        <v>4.4725509636313686E-2</v>
      </c>
      <c r="P228" s="169">
        <f>(INDEX(Models!$BJ228:$BT228,,T228)*(1-R228)+INDEX(Models!$BJ228:$BT228,,T228+1)*R228-ERP_i)*Q228*Ramure*Pc/MaxiM</f>
        <v>3.2062694917096217E-4</v>
      </c>
      <c r="Q228" s="305">
        <f t="shared" si="80"/>
        <v>0.5</v>
      </c>
      <c r="R228" s="177">
        <f t="shared" si="81"/>
        <v>0.44659874423686863</v>
      </c>
      <c r="S228" s="811">
        <f t="shared" si="82"/>
        <v>1</v>
      </c>
      <c r="T228" s="176">
        <f t="shared" si="83"/>
        <v>7</v>
      </c>
      <c r="U228" s="251">
        <f t="shared" si="84"/>
        <v>1.4465987442368686</v>
      </c>
      <c r="V228" s="383">
        <f t="shared" si="85"/>
        <v>53.121179221816817</v>
      </c>
      <c r="W228" s="402">
        <f t="shared" si="86"/>
        <v>50.741336031387874</v>
      </c>
      <c r="X228" s="157">
        <f t="shared" si="87"/>
        <v>45505</v>
      </c>
      <c r="Y228" s="385">
        <f t="shared" si="88"/>
        <v>48.804157810703714</v>
      </c>
      <c r="Z228" s="385">
        <f t="shared" si="89"/>
        <v>51.26504896270427</v>
      </c>
      <c r="AA228" s="386">
        <f t="shared" si="90"/>
        <v>55.79538406036334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8.1195517764656638E-2</v>
      </c>
      <c r="AD228" s="231">
        <f>(INDEX(Models!$BJ228:$BT228,,AH228)*(1-AF228)+INDEX(Models!$BJ228:$BT228,,AH228+1)*AF228-ERP_i)*AE228*Ramure*Pc/MaxiM</f>
        <v>3.2062694917096217E-4</v>
      </c>
      <c r="AE228" s="305">
        <f t="shared" si="92"/>
        <v>0.5</v>
      </c>
      <c r="AF228" s="177">
        <f t="shared" si="93"/>
        <v>0.44659874423686863</v>
      </c>
      <c r="AG228" s="811">
        <f t="shared" si="99"/>
        <v>1</v>
      </c>
      <c r="AH228" s="176">
        <f t="shared" si="94"/>
        <v>7</v>
      </c>
      <c r="AI228" s="225">
        <f t="shared" si="95"/>
        <v>1.4465987442368686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48.618994476572283</v>
      </c>
      <c r="C229" s="841"/>
      <c r="D229" s="393">
        <f t="shared" si="77"/>
        <v>51.071667590012154</v>
      </c>
      <c r="E229" s="385">
        <f t="shared" si="75"/>
        <v>53.466543325823736</v>
      </c>
      <c r="F229" s="385">
        <f t="shared" si="78"/>
        <v>53.480784491183108</v>
      </c>
      <c r="G229" s="110">
        <f t="shared" si="76"/>
        <v>0.91756651907505915</v>
      </c>
      <c r="H229" s="414" t="b">
        <f>Wh_hp&gt;='2023'!Maxi_hp</f>
        <v>0</v>
      </c>
      <c r="I229" s="390">
        <f>IF(H229,Wh_hp,'2023'!Maxi_hp)</f>
        <v>57.532187418566849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4.8024143897731908E-2</v>
      </c>
      <c r="M229" s="845"/>
      <c r="N229" s="845"/>
      <c r="O229" s="48">
        <f>IF(t&lt;Tnet,'2023'!Resal+('2023'!Salim-'2023'!Resal)*(1-EXP(('2023'!Tnet-t)/('2023'!Tau_j))),Resal+(Salim-Resal)*(1-EXP((Tnet-t)/(Tau_j))))*Salcycl</f>
        <v>4.4792043525560855E-2</v>
      </c>
      <c r="P229" s="169">
        <f>(INDEX(Models!$BJ229:$BT229,,T229)*(1-R229)+INDEX(Models!$BJ229:$BT229,,T229+1)*R229-ERP_i)*Q229*Ramure*Pc/MaxiM</f>
        <v>3.0181382244179355E-4</v>
      </c>
      <c r="Q229" s="305">
        <f t="shared" si="80"/>
        <v>0.5</v>
      </c>
      <c r="R229" s="177">
        <f t="shared" si="81"/>
        <v>0.44844922455959146</v>
      </c>
      <c r="S229" s="811">
        <f t="shared" si="82"/>
        <v>1</v>
      </c>
      <c r="T229" s="176">
        <f t="shared" si="83"/>
        <v>7</v>
      </c>
      <c r="U229" s="251">
        <f t="shared" si="84"/>
        <v>1.4484492245595915</v>
      </c>
      <c r="V229" s="383">
        <f t="shared" si="85"/>
        <v>52.98500507775605</v>
      </c>
      <c r="W229" s="402">
        <f t="shared" si="86"/>
        <v>48.618994476572283</v>
      </c>
      <c r="X229" s="157">
        <f t="shared" si="87"/>
        <v>45506</v>
      </c>
      <c r="Y229" s="385">
        <f t="shared" si="88"/>
        <v>46.764649690399068</v>
      </c>
      <c r="Z229" s="385">
        <f t="shared" si="89"/>
        <v>49.123777027151071</v>
      </c>
      <c r="AA229" s="386">
        <f t="shared" si="90"/>
        <v>53.466543325823736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8.122399595215947E-2</v>
      </c>
      <c r="AD229" s="231">
        <f>(INDEX(Models!$BJ229:$BT229,,AH229)*(1-AF229)+INDEX(Models!$BJ229:$BT229,,AH229+1)*AF229-ERP_i)*AE229*Ramure*Pc/MaxiM</f>
        <v>3.0181382244179355E-4</v>
      </c>
      <c r="AE229" s="305">
        <f t="shared" si="92"/>
        <v>0.5</v>
      </c>
      <c r="AF229" s="177">
        <f t="shared" si="93"/>
        <v>0.44844922455959146</v>
      </c>
      <c r="AG229" s="811">
        <f t="shared" si="99"/>
        <v>1</v>
      </c>
      <c r="AH229" s="176">
        <f t="shared" si="94"/>
        <v>7</v>
      </c>
      <c r="AI229" s="225">
        <f t="shared" si="95"/>
        <v>1.4484492245595915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45.624276500184806</v>
      </c>
      <c r="C230" s="841"/>
      <c r="D230" s="393">
        <f t="shared" si="77"/>
        <v>47.926925371432795</v>
      </c>
      <c r="E230" s="385">
        <f t="shared" si="75"/>
        <v>50.177821765841962</v>
      </c>
      <c r="F230" s="385">
        <f t="shared" si="78"/>
        <v>50.189253582143223</v>
      </c>
      <c r="G230" s="110">
        <f t="shared" si="76"/>
        <v>0.86327189147285954</v>
      </c>
      <c r="H230" s="414" t="b">
        <f>Wh_hp&gt;='2023'!Maxi_hp</f>
        <v>0</v>
      </c>
      <c r="I230" s="390">
        <f>IF(H230,Wh_hp,'2023'!Maxi_hp)</f>
        <v>54.820289563876685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4.8044994612162162E-2</v>
      </c>
      <c r="M230" s="845"/>
      <c r="N230" s="845"/>
      <c r="O230" s="48">
        <f>IF(t&lt;Tnet,'2023'!Resal+('2023'!Salim-'2023'!Resal)*(1-EXP(('2023'!Tnet-t)/('2023'!Tau_j))),Resal+(Salim-Resal)*(1-EXP((Tnet-t)/(Tau_j))))*Salcycl</f>
        <v>4.4858391918906303E-2</v>
      </c>
      <c r="P230" s="169">
        <f>(INDEX(Models!$BJ230:$BT230,,T230)*(1-R230)+INDEX(Models!$BJ230:$BT230,,T230+1)*R230-ERP_i)*Q230*Ramure*Pc/MaxiM</f>
        <v>2.8303990317301751E-4</v>
      </c>
      <c r="Q230" s="305">
        <f t="shared" si="80"/>
        <v>0.5</v>
      </c>
      <c r="R230" s="177">
        <f t="shared" si="81"/>
        <v>0.45023957109426838</v>
      </c>
      <c r="S230" s="811">
        <f t="shared" si="82"/>
        <v>1</v>
      </c>
      <c r="T230" s="176">
        <f t="shared" si="83"/>
        <v>7</v>
      </c>
      <c r="U230" s="251">
        <f t="shared" si="84"/>
        <v>1.4502395710942684</v>
      </c>
      <c r="V230" s="383">
        <f t="shared" si="85"/>
        <v>52.847492102934652</v>
      </c>
      <c r="W230" s="402">
        <f t="shared" si="86"/>
        <v>45.624276500184806</v>
      </c>
      <c r="X230" s="157">
        <f t="shared" si="87"/>
        <v>45507</v>
      </c>
      <c r="Y230" s="385">
        <f t="shared" si="88"/>
        <v>43.885850723161219</v>
      </c>
      <c r="Z230" s="385">
        <f t="shared" si="89"/>
        <v>46.100761564126238</v>
      </c>
      <c r="AA230" s="386">
        <f t="shared" si="90"/>
        <v>50.177821765841962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8.1252235713650228E-2</v>
      </c>
      <c r="AD230" s="231">
        <f>(INDEX(Models!$BJ230:$BT230,,AH230)*(1-AF230)+INDEX(Models!$BJ230:$BT230,,AH230+1)*AF230-ERP_i)*AE230*Ramure*Pc/MaxiM</f>
        <v>2.8303990317301751E-4</v>
      </c>
      <c r="AE230" s="305">
        <f t="shared" si="92"/>
        <v>0.5</v>
      </c>
      <c r="AF230" s="177">
        <f t="shared" si="93"/>
        <v>0.45023957109426838</v>
      </c>
      <c r="AG230" s="811">
        <f t="shared" si="99"/>
        <v>1</v>
      </c>
      <c r="AH230" s="176">
        <f t="shared" si="94"/>
        <v>7</v>
      </c>
      <c r="AI230" s="225">
        <f t="shared" si="95"/>
        <v>1.4502395710942684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42.449239685164997</v>
      </c>
      <c r="C231" s="841"/>
      <c r="D231" s="393">
        <f t="shared" si="77"/>
        <v>44.592621723257601</v>
      </c>
      <c r="E231" s="385">
        <f t="shared" si="75"/>
        <v>46.690156399045144</v>
      </c>
      <c r="F231" s="385">
        <f t="shared" si="78"/>
        <v>46.699067311816165</v>
      </c>
      <c r="G231" s="110">
        <f t="shared" si="76"/>
        <v>0.80529718204861378</v>
      </c>
      <c r="H231" s="414" t="b">
        <f>Wh_hp&gt;='2023'!Maxi_hp</f>
        <v>0</v>
      </c>
      <c r="I231" s="390">
        <f>IF(H231,Wh_hp,'2023'!Maxi_hp)</f>
        <v>56.442491959447445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4.8065844869908281E-2</v>
      </c>
      <c r="M231" s="845"/>
      <c r="N231" s="845"/>
      <c r="O231" s="48">
        <f>IF(t&lt;Tnet,'2023'!Resal+('2023'!Salim-'2023'!Resal)*(1-EXP(('2023'!Tnet-t)/('2023'!Tau_j))),Resal+(Salim-Resal)*(1-EXP((Tnet-t)/(Tau_j))))*Salcycl</f>
        <v>4.4924558784096048E-2</v>
      </c>
      <c r="P231" s="169">
        <f>(INDEX(Models!$BJ231:$BT231,,T231)*(1-R231)+INDEX(Models!$BJ231:$BT231,,T231+1)*R231-ERP_i)*Q231*Ramure*Pc/MaxiM</f>
        <v>2.6431041113636971E-4</v>
      </c>
      <c r="Q231" s="305">
        <f t="shared" si="80"/>
        <v>0.5</v>
      </c>
      <c r="R231" s="177">
        <f t="shared" si="81"/>
        <v>0.45197122906791076</v>
      </c>
      <c r="S231" s="811">
        <f t="shared" si="82"/>
        <v>1</v>
      </c>
      <c r="T231" s="176">
        <f t="shared" si="83"/>
        <v>7</v>
      </c>
      <c r="U231" s="251">
        <f t="shared" si="84"/>
        <v>1.4519712290679108</v>
      </c>
      <c r="V231" s="383">
        <f t="shared" si="85"/>
        <v>52.708640038864118</v>
      </c>
      <c r="W231" s="402">
        <f t="shared" si="86"/>
        <v>42.449239685164997</v>
      </c>
      <c r="X231" s="157">
        <f t="shared" si="87"/>
        <v>45508</v>
      </c>
      <c r="Y231" s="385">
        <f t="shared" si="88"/>
        <v>40.83337651443464</v>
      </c>
      <c r="Z231" s="385">
        <f t="shared" si="89"/>
        <v>42.895169055946241</v>
      </c>
      <c r="AA231" s="386">
        <f t="shared" si="90"/>
        <v>46.690156399045144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8.128024482643452E-2</v>
      </c>
      <c r="AD231" s="231">
        <f>(INDEX(Models!$BJ231:$BT231,,AH231)*(1-AF231)+INDEX(Models!$BJ231:$BT231,,AH231+1)*AF231-ERP_i)*AE231*Ramure*Pc/MaxiM</f>
        <v>2.6431041113636971E-4</v>
      </c>
      <c r="AE231" s="305">
        <f t="shared" si="92"/>
        <v>0.5</v>
      </c>
      <c r="AF231" s="177">
        <f t="shared" si="93"/>
        <v>0.45197122906791076</v>
      </c>
      <c r="AG231" s="811">
        <f t="shared" si="99"/>
        <v>1</v>
      </c>
      <c r="AH231" s="176">
        <f t="shared" si="94"/>
        <v>7</v>
      </c>
      <c r="AI231" s="225">
        <f t="shared" si="95"/>
        <v>1.4519712290679108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46.516277984094842</v>
      </c>
      <c r="C232" s="841"/>
      <c r="D232" s="393">
        <f t="shared" si="77"/>
        <v>48.866086568689084</v>
      </c>
      <c r="E232" s="385">
        <f t="shared" si="75"/>
        <v>51.168170559013667</v>
      </c>
      <c r="F232" s="385">
        <f t="shared" si="78"/>
        <v>51.178674024391533</v>
      </c>
      <c r="G232" s="110">
        <f t="shared" si="76"/>
        <v>0.88483490648977992</v>
      </c>
      <c r="H232" s="414" t="b">
        <f>Wh_hp&gt;='2023'!Maxi_hp</f>
        <v>0</v>
      </c>
      <c r="I232" s="390">
        <f>IF(H232,Wh_hp,'2023'!Maxi_hp)</f>
        <v>57.46185272567628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4.8086694670980257E-2</v>
      </c>
      <c r="M232" s="845"/>
      <c r="N232" s="845"/>
      <c r="O232" s="48">
        <f>IF(t&lt;Tnet,'2023'!Resal+('2023'!Salim-'2023'!Resal)*(1-EXP(('2023'!Tnet-t)/('2023'!Tau_j))),Resal+(Salim-Resal)*(1-EXP((Tnet-t)/(Tau_j))))*Salcycl</f>
        <v>4.4990547154104818E-2</v>
      </c>
      <c r="P232" s="169">
        <f>(INDEX(Models!$BJ232:$BT232,,T232)*(1-R232)+INDEX(Models!$BJ232:$BT232,,T232+1)*R232-ERP_i)*Q232*Ramure*Pc/MaxiM</f>
        <v>2.4563021128518454E-4</v>
      </c>
      <c r="Q232" s="305">
        <f t="shared" si="80"/>
        <v>0.5</v>
      </c>
      <c r="R232" s="177">
        <f t="shared" si="81"/>
        <v>0.45364564637744231</v>
      </c>
      <c r="S232" s="811">
        <f t="shared" si="82"/>
        <v>1</v>
      </c>
      <c r="T232" s="176">
        <f t="shared" si="83"/>
        <v>7</v>
      </c>
      <c r="U232" s="251">
        <f t="shared" si="84"/>
        <v>1.4536456463774423</v>
      </c>
      <c r="V232" s="383">
        <f t="shared" si="85"/>
        <v>52.56844870134811</v>
      </c>
      <c r="W232" s="402">
        <f t="shared" si="86"/>
        <v>46.516277984094842</v>
      </c>
      <c r="X232" s="157">
        <f t="shared" si="87"/>
        <v>45509</v>
      </c>
      <c r="Y232" s="385">
        <f t="shared" si="88"/>
        <v>44.747338323795162</v>
      </c>
      <c r="Z232" s="385">
        <f t="shared" si="89"/>
        <v>47.007787445862704</v>
      </c>
      <c r="AA232" s="386">
        <f t="shared" si="90"/>
        <v>51.168170559013667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8.1308029341261606E-2</v>
      </c>
      <c r="AD232" s="231">
        <f>(INDEX(Models!$BJ232:$BT232,,AH232)*(1-AF232)+INDEX(Models!$BJ232:$BT232,,AH232+1)*AF232-ERP_i)*AE232*Ramure*Pc/MaxiM</f>
        <v>2.4563021128518454E-4</v>
      </c>
      <c r="AE232" s="305">
        <f t="shared" si="92"/>
        <v>0.5</v>
      </c>
      <c r="AF232" s="177">
        <f t="shared" si="93"/>
        <v>0.45364564637744231</v>
      </c>
      <c r="AG232" s="811">
        <f t="shared" si="99"/>
        <v>1</v>
      </c>
      <c r="AH232" s="176">
        <f t="shared" si="94"/>
        <v>7</v>
      </c>
      <c r="AI232" s="225">
        <f t="shared" si="95"/>
        <v>1.4536456463774423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49.442369343416487</v>
      </c>
      <c r="C233" s="841"/>
      <c r="D233" s="393">
        <f t="shared" si="77"/>
        <v>51.941129517908223</v>
      </c>
      <c r="E233" s="385">
        <f t="shared" ref="E233:E296" si="100">Wh_pvt/(1-Psa)</f>
        <v>54.391827220759701</v>
      </c>
      <c r="F233" s="385">
        <f t="shared" si="78"/>
        <v>54.403172490180587</v>
      </c>
      <c r="G233" s="110">
        <f t="shared" ref="G233:G296" si="101">+Wh_hp/MaxiM</f>
        <v>0.94305099045999563</v>
      </c>
      <c r="H233" s="414" t="b">
        <f>Wh_hp&gt;='2023'!Maxi_hp</f>
        <v>0</v>
      </c>
      <c r="I233" s="390">
        <f>IF(H233,Wh_hp,'2023'!Maxi_hp)</f>
        <v>55.820902062700583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4.8107544015387971E-2</v>
      </c>
      <c r="M233" s="845"/>
      <c r="N233" s="845"/>
      <c r="O233" s="48">
        <f>IF(t&lt;Tnet,'2023'!Resal+('2023'!Salim-'2023'!Resal)*(1-EXP(('2023'!Tnet-t)/('2023'!Tau_j))),Resal+(Salim-Resal)*(1-EXP((Tnet-t)/(Tau_j))))*Salcycl</f>
        <v>4.5056359164123053E-2</v>
      </c>
      <c r="P233" s="169">
        <f>(INDEX(Models!$BJ233:$BT233,,T233)*(1-R233)+INDEX(Models!$BJ233:$BT233,,T233+1)*R233-ERP_i)*Q233*Ramure*Pc/MaxiM</f>
        <v>2.270029258751635E-4</v>
      </c>
      <c r="Q233" s="305">
        <f t="shared" si="80"/>
        <v>0.5</v>
      </c>
      <c r="R233" s="177">
        <f t="shared" si="81"/>
        <v>0.45526427025700578</v>
      </c>
      <c r="S233" s="811">
        <f t="shared" si="82"/>
        <v>1</v>
      </c>
      <c r="T233" s="176">
        <f t="shared" si="83"/>
        <v>7</v>
      </c>
      <c r="U233" s="251">
        <f t="shared" si="84"/>
        <v>1.4552642702570058</v>
      </c>
      <c r="V233" s="383">
        <f t="shared" si="85"/>
        <v>52.427129424918157</v>
      </c>
      <c r="W233" s="402">
        <f t="shared" si="86"/>
        <v>49.442369343416487</v>
      </c>
      <c r="X233" s="157">
        <f t="shared" si="87"/>
        <v>45510</v>
      </c>
      <c r="Y233" s="385">
        <f t="shared" si="88"/>
        <v>47.564005810025968</v>
      </c>
      <c r="Z233" s="385">
        <f t="shared" si="89"/>
        <v>49.967835663564571</v>
      </c>
      <c r="AA233" s="386">
        <f t="shared" si="90"/>
        <v>54.391827220759701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8.1335593658942676E-2</v>
      </c>
      <c r="AD233" s="231">
        <f>(INDEX(Models!$BJ233:$BT233,,AH233)*(1-AF233)+INDEX(Models!$BJ233:$BT233,,AH233+1)*AF233-ERP_i)*AE233*Ramure*Pc/MaxiM</f>
        <v>2.270029258751635E-4</v>
      </c>
      <c r="AE233" s="305">
        <f t="shared" si="92"/>
        <v>0.5</v>
      </c>
      <c r="AF233" s="177">
        <f t="shared" si="93"/>
        <v>0.45526427025700578</v>
      </c>
      <c r="AG233" s="811">
        <f t="shared" si="99"/>
        <v>1</v>
      </c>
      <c r="AH233" s="176">
        <f t="shared" si="94"/>
        <v>7</v>
      </c>
      <c r="AI233" s="225">
        <f t="shared" si="95"/>
        <v>1.4552642702570058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50.236951160469019</v>
      </c>
      <c r="C234" s="841"/>
      <c r="D234" s="393">
        <f t="shared" si="77"/>
        <v>52.777024533474844</v>
      </c>
      <c r="E234" s="385">
        <f t="shared" si="100"/>
        <v>55.270960601760393</v>
      </c>
      <c r="F234" s="385">
        <f t="shared" si="78"/>
        <v>55.281858368179996</v>
      </c>
      <c r="G234" s="110">
        <f t="shared" si="101"/>
        <v>0.96082142297052209</v>
      </c>
      <c r="H234" s="414" t="b">
        <f>Wh_hp&gt;='2023'!Maxi_hp</f>
        <v>0</v>
      </c>
      <c r="I234" s="390">
        <f>IF(H234,Wh_hp,'2023'!Maxi_hp)</f>
        <v>55.282073058296042</v>
      </c>
      <c r="J234" s="85">
        <f>IF(H234,An,'2023'!An_max)</f>
        <v>2022</v>
      </c>
      <c r="K234" s="197">
        <f t="shared" si="79"/>
        <v>45511</v>
      </c>
      <c r="L234" s="147">
        <f>IF(t&lt;Tvie,1-EXP((T0-t)*PertePVj)+'2023'!Pspv,1-EXP((T0-t)*PertePVj)+Pspv)</f>
        <v>4.8128392903141637E-2</v>
      </c>
      <c r="M234" s="845"/>
      <c r="N234" s="845"/>
      <c r="O234" s="48">
        <f>IF(t&lt;Tnet,'2023'!Resal+('2023'!Salim-'2023'!Resal)*(1-EXP(('2023'!Tnet-t)/('2023'!Tau_j))),Resal+(Salim-Resal)*(1-EXP((Tnet-t)/(Tau_j))))*Salcycl</f>
        <v>4.5121996092213956E-2</v>
      </c>
      <c r="P234" s="169">
        <f>(INDEX(Models!$BJ234:$BT234,,T234)*(1-R234)+INDEX(Models!$BJ234:$BT234,,T234+1)*R234-ERP_i)*Q234*Ramure*Pc/MaxiM</f>
        <v>2.0881486319952597E-4</v>
      </c>
      <c r="Q234" s="305">
        <f t="shared" si="80"/>
        <v>0.5</v>
      </c>
      <c r="R234" s="177">
        <f t="shared" si="81"/>
        <v>0.45682854418992735</v>
      </c>
      <c r="S234" s="811">
        <f t="shared" si="82"/>
        <v>1</v>
      </c>
      <c r="T234" s="176">
        <f t="shared" si="83"/>
        <v>7</v>
      </c>
      <c r="U234" s="251">
        <f t="shared" si="84"/>
        <v>1.4568285441899274</v>
      </c>
      <c r="V234" s="383">
        <f t="shared" si="85"/>
        <v>52.284808478045122</v>
      </c>
      <c r="W234" s="402">
        <f t="shared" si="86"/>
        <v>50.236951160469019</v>
      </c>
      <c r="X234" s="157">
        <f t="shared" si="87"/>
        <v>45511</v>
      </c>
      <c r="Y234" s="385">
        <f t="shared" si="88"/>
        <v>48.330283971100137</v>
      </c>
      <c r="Z234" s="385">
        <f t="shared" si="89"/>
        <v>50.773952716694758</v>
      </c>
      <c r="AA234" s="386">
        <f t="shared" si="90"/>
        <v>55.270960601760393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8.1362940613020657E-2</v>
      </c>
      <c r="AD234" s="231">
        <f>(INDEX(Models!$BJ234:$BT234,,AH234)*(1-AF234)+INDEX(Models!$BJ234:$BT234,,AH234+1)*AF234-ERP_i)*AE234*Ramure*Pc/MaxiM</f>
        <v>2.0881486319952597E-4</v>
      </c>
      <c r="AE234" s="305">
        <f t="shared" si="92"/>
        <v>0.5</v>
      </c>
      <c r="AF234" s="177">
        <f t="shared" si="93"/>
        <v>0.45682854418992735</v>
      </c>
      <c r="AG234" s="811">
        <f t="shared" si="99"/>
        <v>1</v>
      </c>
      <c r="AH234" s="176">
        <f t="shared" si="94"/>
        <v>7</v>
      </c>
      <c r="AI234" s="225">
        <f t="shared" si="95"/>
        <v>1.4568285441899274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48.557260113833898</v>
      </c>
      <c r="C235" s="841"/>
      <c r="D235" s="393">
        <f t="shared" si="77"/>
        <v>51.013522521008177</v>
      </c>
      <c r="E235" s="385">
        <f t="shared" si="100"/>
        <v>53.427788491004762</v>
      </c>
      <c r="F235" s="385">
        <f t="shared" si="78"/>
        <v>53.437025243492705</v>
      </c>
      <c r="G235" s="110">
        <f t="shared" si="101"/>
        <v>0.93124438918159536</v>
      </c>
      <c r="H235" s="414" t="b">
        <f>Wh_hp&gt;='2023'!Maxi_hp</f>
        <v>0</v>
      </c>
      <c r="I235" s="390">
        <f>IF(H235,Wh_hp,'2023'!Maxi_hp)</f>
        <v>55.939165383860541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4.8149241334251136E-2</v>
      </c>
      <c r="M235" s="845"/>
      <c r="N235" s="845"/>
      <c r="O235" s="48">
        <f>IF(t&lt;Tnet,'2023'!Resal+('2023'!Salim-'2023'!Resal)*(1-EXP(('2023'!Tnet-t)/('2023'!Tau_j))),Resal+(Salim-Resal)*(1-EXP((Tnet-t)/(Tau_j))))*Salcycl</f>
        <v>4.5187458402906951E-2</v>
      </c>
      <c r="P235" s="169">
        <f>(INDEX(Models!$BJ235:$BT235,,T235)*(1-R235)+INDEX(Models!$BJ235:$BT235,,T235+1)*R235-ERP_i)*Q235*Ramure*Pc/MaxiM</f>
        <v>1.9167500375623858E-4</v>
      </c>
      <c r="Q235" s="305">
        <f t="shared" si="80"/>
        <v>0.5</v>
      </c>
      <c r="R235" s="177">
        <f t="shared" si="81"/>
        <v>0.45833990505855571</v>
      </c>
      <c r="S235" s="811">
        <f t="shared" si="82"/>
        <v>1</v>
      </c>
      <c r="T235" s="176">
        <f t="shared" si="83"/>
        <v>7</v>
      </c>
      <c r="U235" s="251">
        <f t="shared" si="84"/>
        <v>1.4583399050585557</v>
      </c>
      <c r="V235" s="383">
        <f t="shared" si="85"/>
        <v>52.141356852326339</v>
      </c>
      <c r="W235" s="402">
        <f t="shared" si="86"/>
        <v>48.557260113833898</v>
      </c>
      <c r="X235" s="157">
        <f t="shared" si="87"/>
        <v>45512</v>
      </c>
      <c r="Y235" s="385">
        <f t="shared" si="88"/>
        <v>46.716166048616088</v>
      </c>
      <c r="Z235" s="385">
        <f t="shared" si="89"/>
        <v>49.079296962582866</v>
      </c>
      <c r="AA235" s="386">
        <f t="shared" si="90"/>
        <v>53.427788491004762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8.1390071557126534E-2</v>
      </c>
      <c r="AD235" s="231">
        <f>(INDEX(Models!$BJ235:$BT235,,AH235)*(1-AF235)+INDEX(Models!$BJ235:$BT235,,AH235+1)*AF235-ERP_i)*AE235*Ramure*Pc/MaxiM</f>
        <v>1.9167500375623858E-4</v>
      </c>
      <c r="AE235" s="305">
        <f t="shared" si="92"/>
        <v>0.5</v>
      </c>
      <c r="AF235" s="177">
        <f t="shared" si="93"/>
        <v>0.45833990505855571</v>
      </c>
      <c r="AG235" s="811">
        <f t="shared" si="99"/>
        <v>1</v>
      </c>
      <c r="AH235" s="176">
        <f t="shared" si="94"/>
        <v>7</v>
      </c>
      <c r="AI235" s="225">
        <f t="shared" si="95"/>
        <v>1.4583399050585557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46.558469016937153</v>
      </c>
      <c r="C236" s="841"/>
      <c r="D236" s="393">
        <f t="shared" si="77"/>
        <v>48.914694205316287</v>
      </c>
      <c r="E236" s="385">
        <f t="shared" si="100"/>
        <v>51.233134203610049</v>
      </c>
      <c r="F236" s="385">
        <f t="shared" si="78"/>
        <v>51.240787371991381</v>
      </c>
      <c r="G236" s="110">
        <f t="shared" si="101"/>
        <v>0.89538889581546366</v>
      </c>
      <c r="H236" s="414" t="b">
        <f>Wh_hp&gt;='2023'!Maxi_hp</f>
        <v>0</v>
      </c>
      <c r="I236" s="390">
        <f>IF(H236,Wh_hp,'2023'!Maxi_hp)</f>
        <v>53.022413412282127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4.8170089308726571E-2</v>
      </c>
      <c r="M236" s="845"/>
      <c r="N236" s="845"/>
      <c r="O236" s="48">
        <f>IF(t&lt;Tnet,'2023'!Resal+('2023'!Salim-'2023'!Resal)*(1-EXP(('2023'!Tnet-t)/('2023'!Tau_j))),Resal+(Salim-Resal)*(1-EXP((Tnet-t)/(Tau_j))))*Salcycl</f>
        <v>4.5252745792983273E-2</v>
      </c>
      <c r="P236" s="169">
        <f>(INDEX(Models!$BJ236:$BT236,,T236)*(1-R236)+INDEX(Models!$BJ236:$BT236,,T236+1)*R236-ERP_i)*Q236*Ramure*Pc/MaxiM</f>
        <v>1.7559237207390941E-4</v>
      </c>
      <c r="Q236" s="305">
        <f t="shared" si="80"/>
        <v>0.5</v>
      </c>
      <c r="R236" s="177">
        <f t="shared" si="81"/>
        <v>0.45979978052445292</v>
      </c>
      <c r="S236" s="811">
        <f t="shared" si="82"/>
        <v>1</v>
      </c>
      <c r="T236" s="176">
        <f t="shared" si="83"/>
        <v>7</v>
      </c>
      <c r="U236" s="251">
        <f t="shared" si="84"/>
        <v>1.4597997805244529</v>
      </c>
      <c r="V236" s="383">
        <f t="shared" si="85"/>
        <v>51.996677166282367</v>
      </c>
      <c r="W236" s="402">
        <f t="shared" si="86"/>
        <v>46.558469016937153</v>
      </c>
      <c r="X236" s="157">
        <f t="shared" si="87"/>
        <v>45513</v>
      </c>
      <c r="Y236" s="385">
        <f t="shared" si="88"/>
        <v>44.794911519395768</v>
      </c>
      <c r="Z236" s="385">
        <f t="shared" si="89"/>
        <v>47.061886810074228</v>
      </c>
      <c r="AA236" s="386">
        <f t="shared" si="90"/>
        <v>51.233134203610049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8.1416986455650139E-2</v>
      </c>
      <c r="AD236" s="231">
        <f>(INDEX(Models!$BJ236:$BT236,,AH236)*(1-AF236)+INDEX(Models!$BJ236:$BT236,,AH236+1)*AF236-ERP_i)*AE236*Ramure*Pc/MaxiM</f>
        <v>1.7559237207390941E-4</v>
      </c>
      <c r="AE236" s="305">
        <f t="shared" si="92"/>
        <v>0.5</v>
      </c>
      <c r="AF236" s="177">
        <f t="shared" si="93"/>
        <v>0.45979978052445292</v>
      </c>
      <c r="AG236" s="811">
        <f t="shared" si="99"/>
        <v>1</v>
      </c>
      <c r="AH236" s="176">
        <f t="shared" si="94"/>
        <v>7</v>
      </c>
      <c r="AI236" s="225">
        <f t="shared" si="95"/>
        <v>1.4597997805244529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42.845335637509592</v>
      </c>
      <c r="C237" s="841"/>
      <c r="D237" s="393">
        <f t="shared" si="77"/>
        <v>45.014632971301147</v>
      </c>
      <c r="E237" s="385">
        <f t="shared" si="100"/>
        <v>47.151434969865655</v>
      </c>
      <c r="F237" s="385">
        <f t="shared" si="78"/>
        <v>47.157128492643743</v>
      </c>
      <c r="G237" s="110">
        <f t="shared" si="101"/>
        <v>0.82628877671841749</v>
      </c>
      <c r="H237" s="414" t="b">
        <f>Wh_hp&gt;='2023'!Maxi_hp</f>
        <v>0</v>
      </c>
      <c r="I237" s="390">
        <f>IF(H237,Wh_hp,'2023'!Maxi_hp)</f>
        <v>54.934751797677123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4.8190936826577713E-2</v>
      </c>
      <c r="M237" s="845"/>
      <c r="N237" s="845"/>
      <c r="O237" s="48">
        <f>IF(t&lt;Tnet,'2023'!Resal+('2023'!Salim-'2023'!Resal)*(1-EXP(('2023'!Tnet-t)/('2023'!Tau_j))),Resal+(Salim-Resal)*(1-EXP((Tnet-t)/(Tau_j))))*Salcycl</f>
        <v>4.531785723870612E-2</v>
      </c>
      <c r="P237" s="169">
        <f>(INDEX(Models!$BJ237:$BT237,,T237)*(1-R237)+INDEX(Models!$BJ237:$BT237,,T237+1)*R237-ERP_i)*Q237*Ramure*Pc/MaxiM</f>
        <v>1.6057593986538882E-4</v>
      </c>
      <c r="Q237" s="305">
        <f t="shared" si="80"/>
        <v>0.5</v>
      </c>
      <c r="R237" s="177">
        <f t="shared" si="81"/>
        <v>0.46120958663079525</v>
      </c>
      <c r="S237" s="811">
        <f t="shared" si="82"/>
        <v>1</v>
      </c>
      <c r="T237" s="176">
        <f t="shared" si="83"/>
        <v>7</v>
      </c>
      <c r="U237" s="251">
        <f t="shared" si="84"/>
        <v>1.4612095866307953</v>
      </c>
      <c r="V237" s="383">
        <f t="shared" si="85"/>
        <v>51.850672121366308</v>
      </c>
      <c r="W237" s="402">
        <f t="shared" si="86"/>
        <v>42.845335637509592</v>
      </c>
      <c r="X237" s="157">
        <f t="shared" si="87"/>
        <v>45514</v>
      </c>
      <c r="Y237" s="385">
        <f t="shared" si="88"/>
        <v>41.224038765568082</v>
      </c>
      <c r="Z237" s="385">
        <f t="shared" si="89"/>
        <v>43.311248401148021</v>
      </c>
      <c r="AA237" s="386">
        <f t="shared" si="90"/>
        <v>47.151434969865655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8.1443683976360107E-2</v>
      </c>
      <c r="AD237" s="231">
        <f>(INDEX(Models!$BJ237:$BT237,,AH237)*(1-AF237)+INDEX(Models!$BJ237:$BT237,,AH237+1)*AF237-ERP_i)*AE237*Ramure*Pc/MaxiM</f>
        <v>1.6057593986538882E-4</v>
      </c>
      <c r="AE237" s="305">
        <f t="shared" si="92"/>
        <v>0.5</v>
      </c>
      <c r="AF237" s="177">
        <f t="shared" si="93"/>
        <v>0.46120958663079525</v>
      </c>
      <c r="AG237" s="811">
        <f t="shared" si="99"/>
        <v>1</v>
      </c>
      <c r="AH237" s="176">
        <f t="shared" si="94"/>
        <v>7</v>
      </c>
      <c r="AI237" s="225">
        <f t="shared" si="95"/>
        <v>1.4612095866307953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44.966107197178182</v>
      </c>
      <c r="C238" s="841"/>
      <c r="D238" s="393">
        <f t="shared" si="77"/>
        <v>47.24381583631429</v>
      </c>
      <c r="E238" s="385">
        <f t="shared" si="100"/>
        <v>49.489801140259679</v>
      </c>
      <c r="F238" s="385">
        <f t="shared" si="78"/>
        <v>49.495707900415063</v>
      </c>
      <c r="G238" s="110">
        <f t="shared" si="101"/>
        <v>0.86967230203778079</v>
      </c>
      <c r="H238" s="414" t="b">
        <f>Wh_hp&gt;='2023'!Maxi_hp</f>
        <v>0</v>
      </c>
      <c r="I238" s="390">
        <f>IF(H238,Wh_hp,'2023'!Maxi_hp)</f>
        <v>52.198759439863373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4.8211783887814774E-2</v>
      </c>
      <c r="M238" s="845"/>
      <c r="N238" s="845"/>
      <c r="O238" s="48">
        <f>IF(t&lt;Tnet,'2023'!Resal+('2023'!Salim-'2023'!Resal)*(1-EXP(('2023'!Tnet-t)/('2023'!Tau_j))),Resal+(Salim-Resal)*(1-EXP((Tnet-t)/(Tau_j))))*Salcycl</f>
        <v>4.5382791043754922E-2</v>
      </c>
      <c r="P238" s="169">
        <f>(INDEX(Models!$BJ238:$BT238,,T238)*(1-R238)+INDEX(Models!$BJ238:$BT238,,T238+1)*R238-ERP_i)*Q238*Ramure*Pc/MaxiM</f>
        <v>1.466346588018658E-4</v>
      </c>
      <c r="Q238" s="305">
        <f t="shared" si="80"/>
        <v>0.5</v>
      </c>
      <c r="R238" s="177">
        <f t="shared" si="81"/>
        <v>0.46257072561836132</v>
      </c>
      <c r="S238" s="811">
        <f t="shared" si="82"/>
        <v>1</v>
      </c>
      <c r="T238" s="176">
        <f t="shared" si="83"/>
        <v>7</v>
      </c>
      <c r="U238" s="251">
        <f t="shared" si="84"/>
        <v>1.4625707256183613</v>
      </c>
      <c r="V238" s="383">
        <f t="shared" si="85"/>
        <v>51.703244496140037</v>
      </c>
      <c r="W238" s="402">
        <f t="shared" si="86"/>
        <v>44.966107197178182</v>
      </c>
      <c r="X238" s="157">
        <f t="shared" si="87"/>
        <v>45515</v>
      </c>
      <c r="Y238" s="385">
        <f t="shared" si="88"/>
        <v>43.266254568358889</v>
      </c>
      <c r="Z238" s="385">
        <f t="shared" si="89"/>
        <v>45.457859044620896</v>
      </c>
      <c r="AA238" s="386">
        <f t="shared" si="90"/>
        <v>49.489801140259679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8.1470161583632211E-2</v>
      </c>
      <c r="AD238" s="231">
        <f>(INDEX(Models!$BJ238:$BT238,,AH238)*(1-AF238)+INDEX(Models!$BJ238:$BT238,,AH238+1)*AF238-ERP_i)*AE238*Ramure*Pc/MaxiM</f>
        <v>1.466346588018658E-4</v>
      </c>
      <c r="AE238" s="305">
        <f t="shared" si="92"/>
        <v>0.5</v>
      </c>
      <c r="AF238" s="177">
        <f t="shared" si="93"/>
        <v>0.46257072561836132</v>
      </c>
      <c r="AG238" s="811">
        <f t="shared" si="99"/>
        <v>1</v>
      </c>
      <c r="AH238" s="176">
        <f t="shared" si="94"/>
        <v>7</v>
      </c>
      <c r="AI238" s="225">
        <f t="shared" si="95"/>
        <v>1.4625707256183613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31.323352323292703</v>
      </c>
      <c r="C239" s="841"/>
      <c r="D239" s="393">
        <f t="shared" si="77"/>
        <v>32.910723068284547</v>
      </c>
      <c r="E239" s="385">
        <f t="shared" si="100"/>
        <v>34.477647500674351</v>
      </c>
      <c r="F239" s="385">
        <f t="shared" si="78"/>
        <v>34.479674278047895</v>
      </c>
      <c r="G239" s="110">
        <f t="shared" si="101"/>
        <v>0.60753428529631004</v>
      </c>
      <c r="H239" s="414" t="b">
        <f>Wh_hp&gt;='2023'!Maxi_hp</f>
        <v>0</v>
      </c>
      <c r="I239" s="390">
        <f>IF(H239,Wh_hp,'2023'!Maxi_hp)</f>
        <v>49.571963401626377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4.8232630492447748E-2</v>
      </c>
      <c r="M239" s="845"/>
      <c r="N239" s="845"/>
      <c r="O239" s="48">
        <f>IF(t&lt;Tnet,'2023'!Resal+('2023'!Salim-'2023'!Resal)*(1-EXP(('2023'!Tnet-t)/('2023'!Tau_j))),Resal+(Salim-Resal)*(1-EXP((Tnet-t)/(Tau_j))))*Salcycl</f>
        <v>4.5447544887137661E-2</v>
      </c>
      <c r="P239" s="169">
        <f>(INDEX(Models!$BJ239:$BT239,,T239)*(1-R239)+INDEX(Models!$BJ239:$BT239,,T239+1)*R239-ERP_i)*Q239*Ramure*Pc/MaxiM</f>
        <v>1.3377749102853043E-4</v>
      </c>
      <c r="Q239" s="305">
        <f t="shared" si="80"/>
        <v>0.5</v>
      </c>
      <c r="R239" s="177">
        <f t="shared" si="81"/>
        <v>0.46388458394610499</v>
      </c>
      <c r="S239" s="811">
        <f t="shared" si="82"/>
        <v>1</v>
      </c>
      <c r="T239" s="176">
        <f t="shared" si="83"/>
        <v>7</v>
      </c>
      <c r="U239" s="251">
        <f t="shared" si="84"/>
        <v>1.463884583946105</v>
      </c>
      <c r="V239" s="383">
        <f t="shared" si="85"/>
        <v>51.554297143117374</v>
      </c>
      <c r="W239" s="402">
        <f t="shared" si="86"/>
        <v>31.323352323292703</v>
      </c>
      <c r="X239" s="157">
        <f t="shared" si="87"/>
        <v>45516</v>
      </c>
      <c r="Y239" s="385">
        <f t="shared" si="88"/>
        <v>30.140419449234106</v>
      </c>
      <c r="Z239" s="385">
        <f t="shared" si="89"/>
        <v>31.667842809980829</v>
      </c>
      <c r="AA239" s="386">
        <f t="shared" si="90"/>
        <v>34.477647500674351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8.149641563098424E-2</v>
      </c>
      <c r="AD239" s="231">
        <f>(INDEX(Models!$BJ239:$BT239,,AH239)*(1-AF239)+INDEX(Models!$BJ239:$BT239,,AH239+1)*AF239-ERP_i)*AE239*Ramure*Pc/MaxiM</f>
        <v>1.3377749102853043E-4</v>
      </c>
      <c r="AE239" s="305">
        <f t="shared" si="92"/>
        <v>0.5</v>
      </c>
      <c r="AF239" s="177">
        <f t="shared" si="93"/>
        <v>0.46388458394610499</v>
      </c>
      <c r="AG239" s="811">
        <f t="shared" si="99"/>
        <v>1</v>
      </c>
      <c r="AH239" s="176">
        <f t="shared" si="94"/>
        <v>7</v>
      </c>
      <c r="AI239" s="225">
        <f t="shared" si="95"/>
        <v>1.463884583946105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32.566599675747803</v>
      </c>
      <c r="C240" s="841"/>
      <c r="D240" s="393">
        <f t="shared" si="77"/>
        <v>34.217723812421085</v>
      </c>
      <c r="E240" s="385">
        <f t="shared" si="100"/>
        <v>35.849301370256377</v>
      </c>
      <c r="F240" s="385">
        <f t="shared" si="78"/>
        <v>35.851390594969594</v>
      </c>
      <c r="G240" s="110">
        <f t="shared" si="101"/>
        <v>0.63350503756775156</v>
      </c>
      <c r="H240" s="414" t="b">
        <f>Wh_hp&gt;='2023'!Maxi_hp</f>
        <v>0</v>
      </c>
      <c r="I240" s="390">
        <f>IF(H240,Wh_hp,'2023'!Maxi_hp)</f>
        <v>57.385484130512104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4.8253476640486515E-2</v>
      </c>
      <c r="M240" s="845"/>
      <c r="N240" s="845"/>
      <c r="O240" s="48">
        <f>IF(t&lt;Tnet,'2023'!Resal+('2023'!Salim-'2023'!Resal)*(1-EXP(('2023'!Tnet-t)/('2023'!Tau_j))),Resal+(Salim-Resal)*(1-EXP((Tnet-t)/(Tau_j))))*Salcycl</f>
        <v>4.5512115870380308E-2</v>
      </c>
      <c r="P240" s="169">
        <f>(INDEX(Models!$BJ240:$BT240,,T240)*(1-R240)+INDEX(Models!$BJ240:$BT240,,T240+1)*R240-ERP_i)*Q240*Ramure*Pc/MaxiM</f>
        <v>1.222987364300569E-4</v>
      </c>
      <c r="Q240" s="305">
        <f t="shared" si="80"/>
        <v>0.5</v>
      </c>
      <c r="R240" s="177">
        <f t="shared" si="81"/>
        <v>0.46515253050705385</v>
      </c>
      <c r="S240" s="811">
        <f t="shared" si="82"/>
        <v>1</v>
      </c>
      <c r="T240" s="176">
        <f t="shared" si="83"/>
        <v>7</v>
      </c>
      <c r="U240" s="251">
        <f t="shared" si="84"/>
        <v>1.4651525305070539</v>
      </c>
      <c r="V240" s="383">
        <f t="shared" si="85"/>
        <v>51.403718319550066</v>
      </c>
      <c r="W240" s="402">
        <f t="shared" si="86"/>
        <v>32.566599675747803</v>
      </c>
      <c r="X240" s="157">
        <f t="shared" si="87"/>
        <v>45517</v>
      </c>
      <c r="Y240" s="385">
        <f t="shared" si="88"/>
        <v>31.337947246630183</v>
      </c>
      <c r="Z240" s="385">
        <f t="shared" si="89"/>
        <v>32.926778798216382</v>
      </c>
      <c r="AA240" s="386">
        <f t="shared" si="90"/>
        <v>35.849301370256377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8.1522441451670008E-2</v>
      </c>
      <c r="AD240" s="231">
        <f>(INDEX(Models!$BJ240:$BT240,,AH240)*(1-AF240)+INDEX(Models!$BJ240:$BT240,,AH240+1)*AF240-ERP_i)*AE240*Ramure*Pc/MaxiM</f>
        <v>1.222987364300569E-4</v>
      </c>
      <c r="AE240" s="305">
        <f t="shared" si="92"/>
        <v>0.5</v>
      </c>
      <c r="AF240" s="177">
        <f t="shared" si="93"/>
        <v>0.46515253050705385</v>
      </c>
      <c r="AG240" s="811">
        <f t="shared" si="99"/>
        <v>1</v>
      </c>
      <c r="AH240" s="176">
        <f t="shared" si="94"/>
        <v>7</v>
      </c>
      <c r="AI240" s="225">
        <f t="shared" si="95"/>
        <v>1.4651525305070539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37.342027382096447</v>
      </c>
      <c r="C241" s="841"/>
      <c r="D241" s="393">
        <f t="shared" si="77"/>
        <v>39.236124713575848</v>
      </c>
      <c r="E241" s="385">
        <f t="shared" si="100"/>
        <v>41.109763890698353</v>
      </c>
      <c r="F241" s="385">
        <f t="shared" si="78"/>
        <v>41.112568898862357</v>
      </c>
      <c r="G241" s="110">
        <f t="shared" si="101"/>
        <v>0.72857281651622807</v>
      </c>
      <c r="H241" s="414" t="b">
        <f>Wh_hp&gt;='2023'!Maxi_hp</f>
        <v>0</v>
      </c>
      <c r="I241" s="390">
        <f>IF(H241,Wh_hp,'2023'!Maxi_hp)</f>
        <v>56.300151621417385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4.8274322331941177E-2</v>
      </c>
      <c r="M241" s="845"/>
      <c r="N241" s="845"/>
      <c r="O241" s="48">
        <f>IF(t&lt;Tnet,'2023'!Resal+('2023'!Salim-'2023'!Resal)*(1-EXP(('2023'!Tnet-t)/('2023'!Tau_j))),Resal+(Salim-Resal)*(1-EXP((Tnet-t)/(Tau_j))))*Salcycl</f>
        <v>4.5576500563323449E-2</v>
      </c>
      <c r="P241" s="169">
        <f>(INDEX(Models!$BJ241:$BT241,,T241)*(1-R241)+INDEX(Models!$BJ241:$BT241,,T241+1)*R241-ERP_i)*Q241*Ramure*Pc/MaxiM</f>
        <v>1.11429719063795E-4</v>
      </c>
      <c r="Q241" s="305">
        <f t="shared" si="80"/>
        <v>0.5</v>
      </c>
      <c r="R241" s="177">
        <f t="shared" si="81"/>
        <v>0.46637591503009412</v>
      </c>
      <c r="S241" s="811">
        <f t="shared" si="82"/>
        <v>1</v>
      </c>
      <c r="T241" s="176">
        <f t="shared" si="83"/>
        <v>7</v>
      </c>
      <c r="U241" s="251">
        <f t="shared" si="84"/>
        <v>1.4663759150300941</v>
      </c>
      <c r="V241" s="383">
        <f t="shared" si="85"/>
        <v>51.251451011385576</v>
      </c>
      <c r="W241" s="402">
        <f t="shared" si="86"/>
        <v>37.342027382096447</v>
      </c>
      <c r="X241" s="157">
        <f t="shared" si="87"/>
        <v>45518</v>
      </c>
      <c r="Y241" s="385">
        <f t="shared" si="88"/>
        <v>35.934625494899684</v>
      </c>
      <c r="Z241" s="385">
        <f t="shared" si="89"/>
        <v>37.757335268023418</v>
      </c>
      <c r="AA241" s="386">
        <f t="shared" si="90"/>
        <v>41.109763890698353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8.1548233446153889E-2</v>
      </c>
      <c r="AD241" s="231">
        <f>(INDEX(Models!$BJ241:$BT241,,AH241)*(1-AF241)+INDEX(Models!$BJ241:$BT241,,AH241+1)*AF241-ERP_i)*AE241*Ramure*Pc/MaxiM</f>
        <v>1.11429719063795E-4</v>
      </c>
      <c r="AE241" s="305">
        <f t="shared" si="92"/>
        <v>0.5</v>
      </c>
      <c r="AF241" s="177">
        <f t="shared" si="93"/>
        <v>0.46637591503009412</v>
      </c>
      <c r="AG241" s="811">
        <f t="shared" si="99"/>
        <v>1</v>
      </c>
      <c r="AH241" s="176">
        <f t="shared" si="94"/>
        <v>7</v>
      </c>
      <c r="AI241" s="225">
        <f t="shared" si="95"/>
        <v>1.4663759150300941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31.368375354745908</v>
      </c>
      <c r="C242" s="841"/>
      <c r="D242" s="393">
        <f t="shared" si="77"/>
        <v>32.960193418948897</v>
      </c>
      <c r="E242" s="385">
        <f t="shared" si="100"/>
        <v>34.536461527561805</v>
      </c>
      <c r="F242" s="385">
        <f t="shared" si="78"/>
        <v>34.538028484961735</v>
      </c>
      <c r="G242" s="110">
        <f t="shared" si="101"/>
        <v>0.61385952685808953</v>
      </c>
      <c r="H242" s="414" t="b">
        <f>Wh_hp&gt;='2023'!Maxi_hp</f>
        <v>0</v>
      </c>
      <c r="I242" s="390">
        <f>IF(H242,Wh_hp,'2023'!Maxi_hp)</f>
        <v>56.421516120211891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4.8295167566821617E-2</v>
      </c>
      <c r="M242" s="845"/>
      <c r="N242" s="845"/>
      <c r="O242" s="48">
        <f>IF(t&lt;Tnet,'2023'!Resal+('2023'!Salim-'2023'!Resal)*(1-EXP(('2023'!Tnet-t)/('2023'!Tau_j))),Resal+(Salim-Resal)*(1-EXP((Tnet-t)/(Tau_j))))*Salcycl</f>
        <v>4.5640695047897965E-2</v>
      </c>
      <c r="P242" s="169">
        <f>(INDEX(Models!$BJ242:$BT242,,T242)*(1-R242)+INDEX(Models!$BJ242:$BT242,,T242+1)*R242-ERP_i)*Q242*Ramure*Pc/MaxiM</f>
        <v>1.0117540834360625E-4</v>
      </c>
      <c r="Q242" s="305">
        <f t="shared" si="80"/>
        <v>0.5</v>
      </c>
      <c r="R242" s="177">
        <f t="shared" si="81"/>
        <v>0.46755606665811289</v>
      </c>
      <c r="S242" s="811">
        <f t="shared" si="82"/>
        <v>1</v>
      </c>
      <c r="T242" s="176">
        <f t="shared" si="83"/>
        <v>7</v>
      </c>
      <c r="U242" s="251">
        <f t="shared" si="84"/>
        <v>1.4675560666581129</v>
      </c>
      <c r="V242" s="383">
        <f t="shared" si="85"/>
        <v>51.097398261359096</v>
      </c>
      <c r="W242" s="402">
        <f t="shared" si="86"/>
        <v>31.368375354745908</v>
      </c>
      <c r="X242" s="157">
        <f t="shared" si="87"/>
        <v>45519</v>
      </c>
      <c r="Y242" s="385">
        <f t="shared" si="88"/>
        <v>30.187307959466164</v>
      </c>
      <c r="Z242" s="385">
        <f t="shared" si="89"/>
        <v>31.719191634540419</v>
      </c>
      <c r="AA242" s="386">
        <f t="shared" si="90"/>
        <v>34.536461527561805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8.1573785165369866E-2</v>
      </c>
      <c r="AD242" s="231">
        <f>(INDEX(Models!$BJ242:$BT242,,AH242)*(1-AF242)+INDEX(Models!$BJ242:$BT242,,AH242+1)*AF242-ERP_i)*AE242*Ramure*Pc/MaxiM</f>
        <v>1.0117540834360625E-4</v>
      </c>
      <c r="AE242" s="305">
        <f t="shared" si="92"/>
        <v>0.5</v>
      </c>
      <c r="AF242" s="177">
        <f t="shared" si="93"/>
        <v>0.46755606665811289</v>
      </c>
      <c r="AG242" s="811">
        <f t="shared" si="99"/>
        <v>1</v>
      </c>
      <c r="AH242" s="176">
        <f t="shared" si="94"/>
        <v>7</v>
      </c>
      <c r="AI242" s="225">
        <f t="shared" si="95"/>
        <v>1.4675560666581129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21.562877482017218</v>
      </c>
      <c r="C243" s="841"/>
      <c r="D243" s="393">
        <f t="shared" si="77"/>
        <v>22.657602483312157</v>
      </c>
      <c r="E243" s="385">
        <f t="shared" si="100"/>
        <v>23.742757994964446</v>
      </c>
      <c r="F243" s="385">
        <f t="shared" si="78"/>
        <v>23.743140796277938</v>
      </c>
      <c r="G243" s="110">
        <f t="shared" si="101"/>
        <v>0.42325543635760682</v>
      </c>
      <c r="H243" s="414" t="b">
        <f>Wh_hp&gt;='2023'!Maxi_hp</f>
        <v>0</v>
      </c>
      <c r="I243" s="390">
        <f>IF(H243,Wh_hp,'2023'!Maxi_hp)</f>
        <v>55.293372982977111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4.8316012345137938E-2</v>
      </c>
      <c r="M243" s="845"/>
      <c r="N243" s="845"/>
      <c r="O243" s="48">
        <f>IF(t&lt;Tnet,'2023'!Resal+('2023'!Salim-'2023'!Resal)*(1-EXP(('2023'!Tnet-t)/('2023'!Tau_j))),Resal+(Salim-Resal)*(1-EXP((Tnet-t)/(Tau_j))))*Salcycl</f>
        <v>4.5704694959298221E-2</v>
      </c>
      <c r="P243" s="169">
        <f>(INDEX(Models!$BJ243:$BT243,,T243)*(1-R243)+INDEX(Models!$BJ243:$BT243,,T243+1)*R243-ERP_i)*Q243*Ramure*Pc/MaxiM</f>
        <v>9.1540807033934263E-5</v>
      </c>
      <c r="Q243" s="305">
        <f t="shared" si="80"/>
        <v>0.5</v>
      </c>
      <c r="R243" s="177">
        <f t="shared" si="81"/>
        <v>0.46869429269296559</v>
      </c>
      <c r="S243" s="811">
        <f t="shared" si="82"/>
        <v>1</v>
      </c>
      <c r="T243" s="176">
        <f t="shared" si="83"/>
        <v>7</v>
      </c>
      <c r="U243" s="251">
        <f t="shared" si="84"/>
        <v>1.4686942926929656</v>
      </c>
      <c r="V243" s="383">
        <f t="shared" si="85"/>
        <v>50.941463169206017</v>
      </c>
      <c r="W243" s="402">
        <f t="shared" si="86"/>
        <v>21.562877482017218</v>
      </c>
      <c r="X243" s="157">
        <f t="shared" si="87"/>
        <v>45520</v>
      </c>
      <c r="Y243" s="385">
        <f t="shared" si="88"/>
        <v>20.751822009685469</v>
      </c>
      <c r="Z243" s="385">
        <f t="shared" si="89"/>
        <v>21.805370562997567</v>
      </c>
      <c r="AA243" s="386">
        <f t="shared" si="90"/>
        <v>23.742757994964446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8.1599089388763368E-2</v>
      </c>
      <c r="AD243" s="231">
        <f>(INDEX(Models!$BJ243:$BT243,,AH243)*(1-AF243)+INDEX(Models!$BJ243:$BT243,,AH243+1)*AF243-ERP_i)*AE243*Ramure*Pc/MaxiM</f>
        <v>9.1540807033934263E-5</v>
      </c>
      <c r="AE243" s="305">
        <f t="shared" si="92"/>
        <v>0.5</v>
      </c>
      <c r="AF243" s="177">
        <f t="shared" si="93"/>
        <v>0.46869429269296559</v>
      </c>
      <c r="AG243" s="811">
        <f t="shared" si="99"/>
        <v>1</v>
      </c>
      <c r="AH243" s="176">
        <f t="shared" si="94"/>
        <v>7</v>
      </c>
      <c r="AI243" s="225">
        <f t="shared" si="95"/>
        <v>1.4686942926929656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37.521265030950943</v>
      </c>
      <c r="C244" s="841"/>
      <c r="D244" s="393">
        <f t="shared" si="77"/>
        <v>39.427044426178647</v>
      </c>
      <c r="E244" s="385">
        <f t="shared" si="100"/>
        <v>41.318112262317804</v>
      </c>
      <c r="F244" s="385">
        <f t="shared" si="78"/>
        <v>41.320250198856215</v>
      </c>
      <c r="G244" s="110">
        <f t="shared" si="101"/>
        <v>0.73882409755485445</v>
      </c>
      <c r="H244" s="414" t="b">
        <f>Wh_hp&gt;='2023'!Maxi_hp</f>
        <v>0</v>
      </c>
      <c r="I244" s="390">
        <f>IF(H244,Wh_hp,'2023'!Maxi_hp)</f>
        <v>53.147705265054185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4.8336856666900241E-2</v>
      </c>
      <c r="M244" s="845"/>
      <c r="N244" s="845"/>
      <c r="O244" s="48">
        <f>IF(t&lt;Tnet,'2023'!Resal+('2023'!Salim-'2023'!Resal)*(1-EXP(('2023'!Tnet-t)/('2023'!Tau_j))),Resal+(Salim-Resal)*(1-EXP((Tnet-t)/(Tau_j))))*Salcycl</f>
        <v>4.5768495524027515E-2</v>
      </c>
      <c r="P244" s="169">
        <f>(INDEX(Models!$BJ244:$BT244,,T244)*(1-R244)+INDEX(Models!$BJ244:$BT244,,T244+1)*R244-ERP_i)*Q244*Ramure*Pc/MaxiM</f>
        <v>8.2530965092289976E-5</v>
      </c>
      <c r="Q244" s="305">
        <f t="shared" si="80"/>
        <v>0.5</v>
      </c>
      <c r="R244" s="177">
        <f t="shared" si="81"/>
        <v>0.46979187749777918</v>
      </c>
      <c r="S244" s="811">
        <f t="shared" si="82"/>
        <v>1</v>
      </c>
      <c r="T244" s="176">
        <f t="shared" si="83"/>
        <v>7</v>
      </c>
      <c r="U244" s="251">
        <f t="shared" si="84"/>
        <v>1.4697918774977792</v>
      </c>
      <c r="V244" s="383">
        <f t="shared" si="85"/>
        <v>50.783548890342708</v>
      </c>
      <c r="W244" s="402">
        <f t="shared" si="86"/>
        <v>37.521265030950943</v>
      </c>
      <c r="X244" s="157">
        <f t="shared" si="87"/>
        <v>45521</v>
      </c>
      <c r="Y244" s="385">
        <f t="shared" si="88"/>
        <v>36.111388009234602</v>
      </c>
      <c r="Z244" s="385">
        <f t="shared" si="89"/>
        <v>37.945556957011362</v>
      </c>
      <c r="AA244" s="386">
        <f t="shared" si="90"/>
        <v>41.318112262317804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8.1624138196221926E-2</v>
      </c>
      <c r="AD244" s="231">
        <f>(INDEX(Models!$BJ244:$BT244,,AH244)*(1-AF244)+INDEX(Models!$BJ244:$BT244,,AH244+1)*AF244-ERP_i)*AE244*Ramure*Pc/MaxiM</f>
        <v>8.2530965092289976E-5</v>
      </c>
      <c r="AE244" s="305">
        <f t="shared" si="92"/>
        <v>0.5</v>
      </c>
      <c r="AF244" s="177">
        <f t="shared" si="93"/>
        <v>0.46979187749777918</v>
      </c>
      <c r="AG244" s="811">
        <f t="shared" si="99"/>
        <v>1</v>
      </c>
      <c r="AH244" s="176">
        <f t="shared" si="94"/>
        <v>7</v>
      </c>
      <c r="AI244" s="225">
        <f t="shared" si="95"/>
        <v>1.4697918774977792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38.85037724533688</v>
      </c>
      <c r="C245" s="841"/>
      <c r="D245" s="393">
        <f t="shared" si="77"/>
        <v>40.824559046041117</v>
      </c>
      <c r="E245" s="385">
        <f t="shared" si="100"/>
        <v>42.785508385265459</v>
      </c>
      <c r="F245" s="385">
        <f t="shared" si="78"/>
        <v>42.787627038824759</v>
      </c>
      <c r="G245" s="110">
        <f t="shared" si="101"/>
        <v>0.76741780212333854</v>
      </c>
      <c r="H245" s="414" t="b">
        <f>Wh_hp&gt;='2023'!Maxi_hp</f>
        <v>0</v>
      </c>
      <c r="I245" s="390">
        <f>IF(H245,Wh_hp,'2023'!Maxi_hp)</f>
        <v>53.076716411968974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4.8357700532118297E-2</v>
      </c>
      <c r="M245" s="845"/>
      <c r="N245" s="845"/>
      <c r="O245" s="48">
        <f>IF(t&lt;Tnet,'2023'!Resal+('2023'!Salim-'2023'!Resal)*(1-EXP(('2023'!Tnet-t)/('2023'!Tau_j))),Resal+(Salim-Resal)*(1-EXP((Tnet-t)/(Tau_j))))*Salcycl</f>
        <v>4.5832091594350567E-2</v>
      </c>
      <c r="P245" s="169">
        <f>(INDEX(Models!$BJ245:$BT245,,T245)*(1-R245)+INDEX(Models!$BJ245:$BT245,,T245+1)*R245-ERP_i)*Q245*Ramure*Pc/MaxiM</f>
        <v>7.4150992708270783E-5</v>
      </c>
      <c r="Q245" s="305">
        <f t="shared" si="80"/>
        <v>0.5</v>
      </c>
      <c r="R245" s="177">
        <f t="shared" si="81"/>
        <v>0.47085008154721852</v>
      </c>
      <c r="S245" s="811">
        <f t="shared" si="82"/>
        <v>1</v>
      </c>
      <c r="T245" s="176">
        <f t="shared" si="83"/>
        <v>7</v>
      </c>
      <c r="U245" s="251">
        <f t="shared" si="84"/>
        <v>1.4708500815472185</v>
      </c>
      <c r="V245" s="383">
        <f t="shared" si="85"/>
        <v>50.623558633668587</v>
      </c>
      <c r="W245" s="402">
        <f t="shared" si="86"/>
        <v>38.85037724533688</v>
      </c>
      <c r="X245" s="157">
        <f t="shared" si="87"/>
        <v>45522</v>
      </c>
      <c r="Y245" s="385">
        <f t="shared" si="88"/>
        <v>37.392041242972503</v>
      </c>
      <c r="Z245" s="385">
        <f t="shared" si="89"/>
        <v>39.292117704184186</v>
      </c>
      <c r="AA245" s="386">
        <f t="shared" si="90"/>
        <v>42.785508385265459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8.1648923033115842E-2</v>
      </c>
      <c r="AD245" s="231">
        <f>(INDEX(Models!$BJ245:$BT245,,AH245)*(1-AF245)+INDEX(Models!$BJ245:$BT245,,AH245+1)*AF245-ERP_i)*AE245*Ramure*Pc/MaxiM</f>
        <v>7.4150992708270783E-5</v>
      </c>
      <c r="AE245" s="305">
        <f t="shared" si="92"/>
        <v>0.5</v>
      </c>
      <c r="AF245" s="177">
        <f t="shared" si="93"/>
        <v>0.47085008154721852</v>
      </c>
      <c r="AG245" s="811">
        <f t="shared" si="99"/>
        <v>1</v>
      </c>
      <c r="AH245" s="176">
        <f t="shared" si="94"/>
        <v>7</v>
      </c>
      <c r="AI245" s="225">
        <f t="shared" si="95"/>
        <v>1.4708500815472185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46.26849940696566</v>
      </c>
      <c r="C246" s="841"/>
      <c r="D246" s="393">
        <f t="shared" si="77"/>
        <v>48.620697980655265</v>
      </c>
      <c r="E246" s="385">
        <f t="shared" si="100"/>
        <v>50.959508987931237</v>
      </c>
      <c r="F246" s="385">
        <f t="shared" si="78"/>
        <v>50.962491494418359</v>
      </c>
      <c r="G246" s="110">
        <f t="shared" si="101"/>
        <v>0.91690160511413377</v>
      </c>
      <c r="H246" s="414" t="b">
        <f>Wh_hp&gt;='2023'!Maxi_hp</f>
        <v>0</v>
      </c>
      <c r="I246" s="390">
        <f>IF(H246,Wh_hp,'2023'!Maxi_hp)</f>
        <v>53.656818151544883</v>
      </c>
      <c r="J246" s="85">
        <f>IF(H246,An,'2023'!An_max)</f>
        <v>2018</v>
      </c>
      <c r="K246" s="197">
        <f t="shared" si="79"/>
        <v>45523</v>
      </c>
      <c r="L246" s="147">
        <f>IF(t&lt;Tvie,1-EXP((T0-t)*PertePVj)+'2023'!Pspv,1-EXP((T0-t)*PertePVj)+Pspv)</f>
        <v>4.837854394080221E-2</v>
      </c>
      <c r="M246" s="845"/>
      <c r="N246" s="845"/>
      <c r="O246" s="48">
        <f>IF(t&lt;Tnet,'2023'!Resal+('2023'!Salim-'2023'!Resal)*(1-EXP(('2023'!Tnet-t)/('2023'!Tau_j))),Resal+(Salim-Resal)*(1-EXP((Tnet-t)/(Tau_j))))*Salcycl</f>
        <v>4.5895477678756069E-2</v>
      </c>
      <c r="P246" s="169">
        <f>(INDEX(Models!$BJ246:$BT246,,T246)*(1-R246)+INDEX(Models!$BJ246:$BT246,,T246+1)*R246-ERP_i)*Q246*Ramure*Pc/MaxiM</f>
        <v>6.6406072672851434E-5</v>
      </c>
      <c r="Q246" s="305">
        <f t="shared" si="80"/>
        <v>0.5</v>
      </c>
      <c r="R246" s="177">
        <f t="shared" si="81"/>
        <v>0.47187014061650379</v>
      </c>
      <c r="S246" s="811">
        <f t="shared" si="82"/>
        <v>1</v>
      </c>
      <c r="T246" s="176">
        <f t="shared" si="83"/>
        <v>7</v>
      </c>
      <c r="U246" s="251">
        <f t="shared" si="84"/>
        <v>1.4718701406165038</v>
      </c>
      <c r="V246" s="383">
        <f t="shared" si="85"/>
        <v>50.461395656386614</v>
      </c>
      <c r="W246" s="402">
        <f t="shared" si="86"/>
        <v>46.26849940696566</v>
      </c>
      <c r="X246" s="157">
        <f t="shared" si="87"/>
        <v>45523</v>
      </c>
      <c r="Y246" s="385">
        <f t="shared" si="88"/>
        <v>44.5334773547388</v>
      </c>
      <c r="Z246" s="385">
        <f t="shared" si="89"/>
        <v>46.797470854806463</v>
      </c>
      <c r="AA246" s="386">
        <f t="shared" si="90"/>
        <v>50.959508987931237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8.1673434767797107E-2</v>
      </c>
      <c r="AD246" s="231">
        <f>(INDEX(Models!$BJ246:$BT246,,AH246)*(1-AF246)+INDEX(Models!$BJ246:$BT246,,AH246+1)*AF246-ERP_i)*AE246*Ramure*Pc/MaxiM</f>
        <v>6.6406072672851434E-5</v>
      </c>
      <c r="AE246" s="305">
        <f t="shared" si="92"/>
        <v>0.5</v>
      </c>
      <c r="AF246" s="177">
        <f t="shared" si="93"/>
        <v>0.47187014061650379</v>
      </c>
      <c r="AG246" s="811">
        <f t="shared" si="99"/>
        <v>1</v>
      </c>
      <c r="AH246" s="176">
        <f t="shared" si="94"/>
        <v>7</v>
      </c>
      <c r="AI246" s="225">
        <f t="shared" si="95"/>
        <v>1.4718701406165038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31.191857551315373</v>
      </c>
      <c r="C247" s="841"/>
      <c r="D247" s="393">
        <f t="shared" si="77"/>
        <v>32.778307539622034</v>
      </c>
      <c r="E247" s="385">
        <f t="shared" si="100"/>
        <v>34.357323683938333</v>
      </c>
      <c r="F247" s="385">
        <f t="shared" si="78"/>
        <v>34.358255453033955</v>
      </c>
      <c r="G247" s="110">
        <f t="shared" si="101"/>
        <v>0.62011010162846059</v>
      </c>
      <c r="H247" s="414" t="b">
        <f>Wh_hp&gt;='2023'!Maxi_hp</f>
        <v>0</v>
      </c>
      <c r="I247" s="390">
        <f>IF(H247,Wh_hp,'2023'!Maxi_hp)</f>
        <v>54.498162972904758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4.8399386892961971E-2</v>
      </c>
      <c r="M247" s="845"/>
      <c r="N247" s="845"/>
      <c r="O247" s="48">
        <f>IF(t&lt;Tnet,'2023'!Resal+('2023'!Salim-'2023'!Resal)*(1-EXP(('2023'!Tnet-t)/('2023'!Tau_j))),Resal+(Salim-Resal)*(1-EXP((Tnet-t)/(Tau_j))))*Salcycl</f>
        <v>4.5958647968103235E-2</v>
      </c>
      <c r="P247" s="169">
        <f>(INDEX(Models!$BJ247:$BT247,,T247)*(1-R247)+INDEX(Models!$BJ247:$BT247,,T247+1)*R247-ERP_i)*Q247*Ramure*Pc/MaxiM</f>
        <v>5.9299193173147924E-5</v>
      </c>
      <c r="Q247" s="305">
        <f t="shared" si="80"/>
        <v>0.5</v>
      </c>
      <c r="R247" s="177">
        <f t="shared" si="81"/>
        <v>0.47285326510016801</v>
      </c>
      <c r="S247" s="811">
        <f t="shared" si="82"/>
        <v>1</v>
      </c>
      <c r="T247" s="176">
        <f t="shared" si="83"/>
        <v>7</v>
      </c>
      <c r="U247" s="251">
        <f t="shared" si="84"/>
        <v>1.472853265100168</v>
      </c>
      <c r="V247" s="383">
        <f t="shared" si="85"/>
        <v>50.298896420250465</v>
      </c>
      <c r="W247" s="402">
        <f t="shared" si="86"/>
        <v>31.191857551315373</v>
      </c>
      <c r="X247" s="157">
        <f t="shared" si="87"/>
        <v>45524</v>
      </c>
      <c r="Y247" s="385">
        <f t="shared" si="88"/>
        <v>30.023390076986974</v>
      </c>
      <c r="Z247" s="385">
        <f t="shared" si="89"/>
        <v>31.550410606565972</v>
      </c>
      <c r="AA247" s="386">
        <f t="shared" si="90"/>
        <v>34.357323683938333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8.1697663741037041E-2</v>
      </c>
      <c r="AD247" s="231">
        <f>(INDEX(Models!$BJ247:$BT247,,AH247)*(1-AF247)+INDEX(Models!$BJ247:$BT247,,AH247+1)*AF247-ERP_i)*AE247*Ramure*Pc/MaxiM</f>
        <v>5.9299193173147924E-5</v>
      </c>
      <c r="AE247" s="305">
        <f t="shared" si="92"/>
        <v>0.5</v>
      </c>
      <c r="AF247" s="177">
        <f t="shared" si="93"/>
        <v>0.47285326510016801</v>
      </c>
      <c r="AG247" s="811">
        <f t="shared" si="99"/>
        <v>1</v>
      </c>
      <c r="AH247" s="176">
        <f t="shared" si="94"/>
        <v>7</v>
      </c>
      <c r="AI247" s="225">
        <f t="shared" si="95"/>
        <v>1.472853265100168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24.302539572875617</v>
      </c>
      <c r="C248" s="841"/>
      <c r="D248" s="393">
        <f t="shared" si="77"/>
        <v>25.539151128928658</v>
      </c>
      <c r="E248" s="385">
        <f t="shared" si="100"/>
        <v>26.771204705899624</v>
      </c>
      <c r="F248" s="385">
        <f t="shared" si="78"/>
        <v>26.77157936503745</v>
      </c>
      <c r="G248" s="110">
        <f t="shared" si="101"/>
        <v>0.48469955200395137</v>
      </c>
      <c r="H248" s="414" t="b">
        <f>Wh_hp&gt;='2023'!Maxi_hp</f>
        <v>0</v>
      </c>
      <c r="I248" s="390">
        <f>IF(H248,Wh_hp,'2023'!Maxi_hp)</f>
        <v>56.835581680919191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4.8420229388607572E-2</v>
      </c>
      <c r="M248" s="845"/>
      <c r="N248" s="845"/>
      <c r="O248" s="48">
        <f>IF(t&lt;Tnet,'2023'!Resal+('2023'!Salim-'2023'!Resal)*(1-EXP(('2023'!Tnet-t)/('2023'!Tau_j))),Resal+(Salim-Resal)*(1-EXP((Tnet-t)/(Tau_j))))*Salcycl</f>
        <v>4.6021596357202994E-2</v>
      </c>
      <c r="P248" s="169">
        <f>(INDEX(Models!$BJ248:$BT248,,T248)*(1-R248)+INDEX(Models!$BJ248:$BT248,,T248+1)*R248-ERP_i)*Q248*Ramure*Pc/MaxiM</f>
        <v>5.303346973468113E-5</v>
      </c>
      <c r="Q248" s="305">
        <f t="shared" si="80"/>
        <v>0.5</v>
      </c>
      <c r="R248" s="177">
        <f t="shared" si="81"/>
        <v>0.47380063945178641</v>
      </c>
      <c r="S248" s="811">
        <f t="shared" si="82"/>
        <v>1</v>
      </c>
      <c r="T248" s="176">
        <f t="shared" si="83"/>
        <v>7</v>
      </c>
      <c r="U248" s="251">
        <f t="shared" si="84"/>
        <v>1.4738006394517864</v>
      </c>
      <c r="V248" s="383">
        <f t="shared" si="85"/>
        <v>50.137431975942263</v>
      </c>
      <c r="W248" s="402">
        <f t="shared" si="86"/>
        <v>24.302539572875617</v>
      </c>
      <c r="X248" s="157">
        <f t="shared" si="87"/>
        <v>45525</v>
      </c>
      <c r="Y248" s="385">
        <f t="shared" si="88"/>
        <v>23.393084240052492</v>
      </c>
      <c r="Z248" s="385">
        <f t="shared" si="89"/>
        <v>24.583419028572219</v>
      </c>
      <c r="AA248" s="386">
        <f t="shared" si="90"/>
        <v>26.771204705899624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8.1721599807022455E-2</v>
      </c>
      <c r="AD248" s="231">
        <f>(INDEX(Models!$BJ248:$BT248,,AH248)*(1-AF248)+INDEX(Models!$BJ248:$BT248,,AH248+1)*AF248-ERP_i)*AE248*Ramure*Pc/MaxiM</f>
        <v>5.303346973468113E-5</v>
      </c>
      <c r="AE248" s="305">
        <f t="shared" si="92"/>
        <v>0.5</v>
      </c>
      <c r="AF248" s="177">
        <f t="shared" si="93"/>
        <v>0.47380063945178641</v>
      </c>
      <c r="AG248" s="811">
        <f t="shared" si="99"/>
        <v>1</v>
      </c>
      <c r="AH248" s="176">
        <f t="shared" si="94"/>
        <v>7</v>
      </c>
      <c r="AI248" s="225">
        <f t="shared" si="95"/>
        <v>1.4738006394517864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43.471902874097395</v>
      </c>
      <c r="C249" s="841"/>
      <c r="D249" s="393">
        <f t="shared" si="77"/>
        <v>45.684929822816137</v>
      </c>
      <c r="E249" s="385">
        <f t="shared" si="100"/>
        <v>47.891999902295453</v>
      </c>
      <c r="F249" s="385">
        <f t="shared" si="78"/>
        <v>47.893840948854383</v>
      </c>
      <c r="G249" s="110">
        <f t="shared" si="101"/>
        <v>0.86984372899017126</v>
      </c>
      <c r="H249" s="414" t="b">
        <f>Wh_hp&gt;='2023'!Maxi_hp</f>
        <v>0</v>
      </c>
      <c r="I249" s="390">
        <f>IF(H249,Wh_hp,'2023'!Maxi_hp)</f>
        <v>54.138140935976416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4.8441071427749116E-2</v>
      </c>
      <c r="M249" s="845"/>
      <c r="N249" s="845"/>
      <c r="O249" s="48">
        <f>IF(t&lt;Tnet,'2023'!Resal+('2023'!Salim-'2023'!Resal)*(1-EXP(('2023'!Tnet-t)/('2023'!Tau_j))),Resal+(Salim-Resal)*(1-EXP((Tnet-t)/(Tau_j))))*Salcycl</f>
        <v>4.608431646166302E-2</v>
      </c>
      <c r="P249" s="169">
        <f>(INDEX(Models!$BJ249:$BT249,,T249)*(1-R249)+INDEX(Models!$BJ249:$BT249,,T249+1)*R249-ERP_i)*Q249*Ramure*Pc/MaxiM</f>
        <v>4.7219518082013864E-5</v>
      </c>
      <c r="Q249" s="305">
        <f t="shared" si="80"/>
        <v>0.5</v>
      </c>
      <c r="R249" s="177">
        <f t="shared" si="81"/>
        <v>0.47471342173617259</v>
      </c>
      <c r="S249" s="811">
        <f t="shared" si="82"/>
        <v>1</v>
      </c>
      <c r="T249" s="176">
        <f t="shared" si="83"/>
        <v>7</v>
      </c>
      <c r="U249" s="251">
        <f t="shared" si="84"/>
        <v>1.4747134217361726</v>
      </c>
      <c r="V249" s="383">
        <f t="shared" si="85"/>
        <v>49.976242576553041</v>
      </c>
      <c r="W249" s="402">
        <f t="shared" si="86"/>
        <v>43.471902874097395</v>
      </c>
      <c r="X249" s="157">
        <f t="shared" si="87"/>
        <v>45526</v>
      </c>
      <c r="Y249" s="385">
        <f t="shared" si="88"/>
        <v>41.846761470792039</v>
      </c>
      <c r="Z249" s="385">
        <f t="shared" si="89"/>
        <v>43.97705724182552</v>
      </c>
      <c r="AA249" s="386">
        <f t="shared" si="90"/>
        <v>47.891999902295453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8.1745232365673048E-2</v>
      </c>
      <c r="AD249" s="231">
        <f>(INDEX(Models!$BJ249:$BT249,,AH249)*(1-AF249)+INDEX(Models!$BJ249:$BT249,,AH249+1)*AF249-ERP_i)*AE249*Ramure*Pc/MaxiM</f>
        <v>4.7219518082013864E-5</v>
      </c>
      <c r="AE249" s="305">
        <f t="shared" si="92"/>
        <v>0.5</v>
      </c>
      <c r="AF249" s="177">
        <f t="shared" si="93"/>
        <v>0.47471342173617259</v>
      </c>
      <c r="AG249" s="811">
        <f t="shared" si="99"/>
        <v>1</v>
      </c>
      <c r="AH249" s="176">
        <f t="shared" si="94"/>
        <v>7</v>
      </c>
      <c r="AI249" s="225">
        <f t="shared" si="95"/>
        <v>1.4747134217361726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44.915431432271482</v>
      </c>
      <c r="C250" s="841"/>
      <c r="D250" s="393">
        <f t="shared" si="77"/>
        <v>47.202978048278823</v>
      </c>
      <c r="E250" s="385">
        <f t="shared" si="100"/>
        <v>49.486627637185116</v>
      </c>
      <c r="F250" s="385">
        <f t="shared" si="78"/>
        <v>49.488408284976927</v>
      </c>
      <c r="G250" s="110">
        <f t="shared" si="101"/>
        <v>0.90164757709988663</v>
      </c>
      <c r="H250" s="414" t="b">
        <f>Wh_hp&gt;='2023'!Maxi_hp</f>
        <v>0</v>
      </c>
      <c r="I250" s="390">
        <f>IF(H250,Wh_hp,'2023'!Maxi_hp)</f>
        <v>54.480093410292213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4.8461913010396485E-2</v>
      </c>
      <c r="M250" s="845"/>
      <c r="N250" s="845"/>
      <c r="O250" s="48">
        <f>IF(t&lt;Tnet,'2023'!Resal+('2023'!Salim-'2023'!Resal)*(1-EXP(('2023'!Tnet-t)/('2023'!Tau_j))),Resal+(Salim-Resal)*(1-EXP((Tnet-t)/(Tau_j))))*Salcycl</f>
        <v>4.6146801629907842E-2</v>
      </c>
      <c r="P250" s="169">
        <f>(INDEX(Models!$BJ250:$BT250,,T250)*(1-R250)+INDEX(Models!$BJ250:$BT250,,T250+1)*R250-ERP_i)*Q250*Ramure*Pc/MaxiM</f>
        <v>4.1862636787811371E-5</v>
      </c>
      <c r="Q250" s="305">
        <f t="shared" si="80"/>
        <v>0.5</v>
      </c>
      <c r="R250" s="177">
        <f t="shared" si="81"/>
        <v>0.47559274328583689</v>
      </c>
      <c r="S250" s="811">
        <f t="shared" si="82"/>
        <v>1</v>
      </c>
      <c r="T250" s="176">
        <f t="shared" si="83"/>
        <v>7</v>
      </c>
      <c r="U250" s="251">
        <f t="shared" si="84"/>
        <v>1.4755927432858369</v>
      </c>
      <c r="V250" s="383">
        <f t="shared" si="85"/>
        <v>49.814548823894953</v>
      </c>
      <c r="W250" s="402">
        <f t="shared" si="86"/>
        <v>44.915431432271482</v>
      </c>
      <c r="X250" s="157">
        <f t="shared" si="87"/>
        <v>45527</v>
      </c>
      <c r="Y250" s="385">
        <f t="shared" si="88"/>
        <v>43.238059886530138</v>
      </c>
      <c r="Z250" s="385">
        <f t="shared" si="89"/>
        <v>45.44017783179136</v>
      </c>
      <c r="AA250" s="386">
        <f t="shared" si="90"/>
        <v>49.486627637185116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8.1768550386189284E-2</v>
      </c>
      <c r="AD250" s="231">
        <f>(INDEX(Models!$BJ250:$BT250,,AH250)*(1-AF250)+INDEX(Models!$BJ250:$BT250,,AH250+1)*AF250-ERP_i)*AE250*Ramure*Pc/MaxiM</f>
        <v>4.1862636787811371E-5</v>
      </c>
      <c r="AE250" s="305">
        <f t="shared" si="92"/>
        <v>0.5</v>
      </c>
      <c r="AF250" s="177">
        <f t="shared" si="93"/>
        <v>0.47559274328583689</v>
      </c>
      <c r="AG250" s="811">
        <f t="shared" si="99"/>
        <v>1</v>
      </c>
      <c r="AH250" s="176">
        <f t="shared" si="94"/>
        <v>7</v>
      </c>
      <c r="AI250" s="225">
        <f t="shared" si="95"/>
        <v>1.4755927432858369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32.049766293113258</v>
      </c>
      <c r="C251" s="841"/>
      <c r="D251" s="393">
        <f t="shared" si="77"/>
        <v>33.682801265499052</v>
      </c>
      <c r="E251" s="385">
        <f t="shared" si="100"/>
        <v>35.314657878828697</v>
      </c>
      <c r="F251" s="385">
        <f t="shared" si="78"/>
        <v>35.31530223825127</v>
      </c>
      <c r="G251" s="110">
        <f t="shared" si="101"/>
        <v>0.64548140598942527</v>
      </c>
      <c r="H251" s="414" t="b">
        <f>Wh_hp&gt;='2023'!Maxi_hp</f>
        <v>0</v>
      </c>
      <c r="I251" s="390">
        <f>IF(H251,Wh_hp,'2023'!Maxi_hp)</f>
        <v>50.04617729749566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4.8482754136559669E-2</v>
      </c>
      <c r="M251" s="845"/>
      <c r="N251" s="845"/>
      <c r="O251" s="48">
        <f>IF(t&lt;Tnet,'2023'!Resal+('2023'!Salim-'2023'!Resal)*(1-EXP(('2023'!Tnet-t)/('2023'!Tau_j))),Resal+(Salim-Resal)*(1-EXP((Tnet-t)/(Tau_j))))*Salcycl</f>
        <v>4.6209044950367588E-2</v>
      </c>
      <c r="P251" s="169">
        <f>(INDEX(Models!$BJ251:$BT251,,T251)*(1-R251)+INDEX(Models!$BJ251:$BT251,,T251+1)*R251-ERP_i)*Q251*Ramure*Pc/MaxiM</f>
        <v>3.6967784715575431E-5</v>
      </c>
      <c r="Q251" s="305">
        <f t="shared" si="80"/>
        <v>0.5</v>
      </c>
      <c r="R251" s="177">
        <f t="shared" si="81"/>
        <v>0.47643970845380146</v>
      </c>
      <c r="S251" s="811">
        <f t="shared" si="82"/>
        <v>1</v>
      </c>
      <c r="T251" s="176">
        <f t="shared" si="83"/>
        <v>7</v>
      </c>
      <c r="U251" s="251">
        <f t="shared" si="84"/>
        <v>1.4764397084538015</v>
      </c>
      <c r="V251" s="383">
        <f t="shared" si="85"/>
        <v>49.651571606408787</v>
      </c>
      <c r="W251" s="402">
        <f t="shared" si="86"/>
        <v>32.049766293113258</v>
      </c>
      <c r="X251" s="157">
        <f t="shared" si="87"/>
        <v>45528</v>
      </c>
      <c r="Y251" s="385">
        <f t="shared" si="88"/>
        <v>30.854105208208004</v>
      </c>
      <c r="Z251" s="385">
        <f t="shared" si="89"/>
        <v>32.426217540818087</v>
      </c>
      <c r="AA251" s="386">
        <f t="shared" si="90"/>
        <v>35.314657878828697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8.1791542421886021E-2</v>
      </c>
      <c r="AD251" s="231">
        <f>(INDEX(Models!$BJ251:$BT251,,AH251)*(1-AF251)+INDEX(Models!$BJ251:$BT251,,AH251+1)*AF251-ERP_i)*AE251*Ramure*Pc/MaxiM</f>
        <v>3.6967784715575431E-5</v>
      </c>
      <c r="AE251" s="305">
        <f t="shared" si="92"/>
        <v>0.5</v>
      </c>
      <c r="AF251" s="177">
        <f t="shared" si="93"/>
        <v>0.47643970845380146</v>
      </c>
      <c r="AG251" s="811">
        <f t="shared" si="99"/>
        <v>1</v>
      </c>
      <c r="AH251" s="176">
        <f t="shared" si="94"/>
        <v>7</v>
      </c>
      <c r="AI251" s="225">
        <f t="shared" si="95"/>
        <v>1.4764397084538015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40.264259546424533</v>
      </c>
      <c r="C252" s="841"/>
      <c r="D252" s="393">
        <f t="shared" si="77"/>
        <v>42.316775267506763</v>
      </c>
      <c r="E252" s="385">
        <f t="shared" si="100"/>
        <v>44.369812608398703</v>
      </c>
      <c r="F252" s="385">
        <f t="shared" si="78"/>
        <v>44.370872037120684</v>
      </c>
      <c r="G252" s="110">
        <f t="shared" si="101"/>
        <v>0.81363371053209177</v>
      </c>
      <c r="H252" s="414" t="b">
        <f>Wh_hp&gt;='2023'!Maxi_hp</f>
        <v>0</v>
      </c>
      <c r="I252" s="390">
        <f>IF(H252,Wh_hp,'2023'!Maxi_hp)</f>
        <v>54.589001673677714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4.8503594806248662E-2</v>
      </c>
      <c r="M252" s="845"/>
      <c r="N252" s="845"/>
      <c r="O252" s="48">
        <f>IF(t&lt;Tnet,'2023'!Resal+('2023'!Salim-'2023'!Resal)*(1-EXP(('2023'!Tnet-t)/('2023'!Tau_j))),Resal+(Salim-Resal)*(1-EXP((Tnet-t)/(Tau_j))))*Salcycl</f>
        <v>4.6271039253912023E-2</v>
      </c>
      <c r="P252" s="169">
        <f>(INDEX(Models!$BJ252:$BT252,,T252)*(1-R252)+INDEX(Models!$BJ252:$BT252,,T252+1)*R252-ERP_i)*Q252*Ramure*Pc/MaxiM</f>
        <v>3.2539609701765998E-5</v>
      </c>
      <c r="Q252" s="305">
        <f t="shared" si="80"/>
        <v>0.5</v>
      </c>
      <c r="R252" s="177">
        <f t="shared" si="81"/>
        <v>0.47725539445520515</v>
      </c>
      <c r="S252" s="811">
        <f t="shared" si="82"/>
        <v>1</v>
      </c>
      <c r="T252" s="176">
        <f t="shared" si="83"/>
        <v>7</v>
      </c>
      <c r="U252" s="251">
        <f t="shared" si="84"/>
        <v>1.4772553944552052</v>
      </c>
      <c r="V252" s="383">
        <f t="shared" si="85"/>
        <v>49.486532096807892</v>
      </c>
      <c r="W252" s="402">
        <f t="shared" si="86"/>
        <v>40.264259546424533</v>
      </c>
      <c r="X252" s="157">
        <f t="shared" si="87"/>
        <v>45529</v>
      </c>
      <c r="Y252" s="385">
        <f t="shared" si="88"/>
        <v>38.76370858063688</v>
      </c>
      <c r="Z252" s="385">
        <f t="shared" si="89"/>
        <v>40.739732035817312</v>
      </c>
      <c r="AA252" s="386">
        <f t="shared" si="90"/>
        <v>44.369812608398703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8.181419661651354E-2</v>
      </c>
      <c r="AD252" s="231">
        <f>(INDEX(Models!$BJ252:$BT252,,AH252)*(1-AF252)+INDEX(Models!$BJ252:$BT252,,AH252+1)*AF252-ERP_i)*AE252*Ramure*Pc/MaxiM</f>
        <v>3.2539609701765998E-5</v>
      </c>
      <c r="AE252" s="305">
        <f t="shared" si="92"/>
        <v>0.5</v>
      </c>
      <c r="AF252" s="177">
        <f t="shared" si="93"/>
        <v>0.47725539445520515</v>
      </c>
      <c r="AG252" s="811">
        <f t="shared" si="99"/>
        <v>1</v>
      </c>
      <c r="AH252" s="176">
        <f t="shared" si="94"/>
        <v>7</v>
      </c>
      <c r="AI252" s="225">
        <f t="shared" si="95"/>
        <v>1.4772553944552052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47.43993225851213</v>
      </c>
      <c r="C253" s="841"/>
      <c r="D253" s="393">
        <f t="shared" si="77"/>
        <v>49.859327979151068</v>
      </c>
      <c r="E253" s="385">
        <f t="shared" si="100"/>
        <v>52.281683571073479</v>
      </c>
      <c r="F253" s="385">
        <f t="shared" si="78"/>
        <v>52.283096632047815</v>
      </c>
      <c r="G253" s="110">
        <f t="shared" si="101"/>
        <v>0.96190501532159312</v>
      </c>
      <c r="H253" s="414" t="b">
        <f>Wh_hp&gt;='2023'!Maxi_hp</f>
        <v>0</v>
      </c>
      <c r="I253" s="390">
        <f>IF(H253,Wh_hp,'2023'!Maxi_hp)</f>
        <v>52.283135226272805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4.8524435019473566E-2</v>
      </c>
      <c r="M253" s="845"/>
      <c r="N253" s="845"/>
      <c r="O253" s="48">
        <f>IF(t&lt;Tnet,'2023'!Resal+('2023'!Salim-'2023'!Resal)*(1-EXP(('2023'!Tnet-t)/('2023'!Tau_j))),Resal+(Salim-Resal)*(1-EXP((Tnet-t)/(Tau_j))))*Salcycl</f>
        <v>4.6332777111689281E-2</v>
      </c>
      <c r="P253" s="169">
        <f>(INDEX(Models!$BJ253:$BT253,,T253)*(1-R253)+INDEX(Models!$BJ253:$BT253,,T253+1)*R253-ERP_i)*Q253*Ramure*Pc/MaxiM</f>
        <v>2.8582550972316428E-5</v>
      </c>
      <c r="Q253" s="305">
        <f t="shared" si="80"/>
        <v>0.5</v>
      </c>
      <c r="R253" s="177">
        <f t="shared" si="81"/>
        <v>0.47804085129045237</v>
      </c>
      <c r="S253" s="811">
        <f t="shared" si="82"/>
        <v>1</v>
      </c>
      <c r="T253" s="176">
        <f t="shared" si="83"/>
        <v>7</v>
      </c>
      <c r="U253" s="251">
        <f t="shared" si="84"/>
        <v>1.4780408512904524</v>
      </c>
      <c r="V253" s="383">
        <f t="shared" si="85"/>
        <v>49.318651749222973</v>
      </c>
      <c r="W253" s="402">
        <f t="shared" si="86"/>
        <v>47.43993225851213</v>
      </c>
      <c r="X253" s="157">
        <f t="shared" si="87"/>
        <v>45530</v>
      </c>
      <c r="Y253" s="385">
        <f t="shared" si="88"/>
        <v>45.673808602749205</v>
      </c>
      <c r="Z253" s="385">
        <f t="shared" si="89"/>
        <v>48.003133536786095</v>
      </c>
      <c r="AA253" s="386">
        <f t="shared" si="90"/>
        <v>52.281683571073479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8.1836500702411039E-2</v>
      </c>
      <c r="AD253" s="231">
        <f>(INDEX(Models!$BJ253:$BT253,,AH253)*(1-AF253)+INDEX(Models!$BJ253:$BT253,,AH253+1)*AF253-ERP_i)*AE253*Ramure*Pc/MaxiM</f>
        <v>2.8582550972316428E-5</v>
      </c>
      <c r="AE253" s="305">
        <f t="shared" si="92"/>
        <v>0.5</v>
      </c>
      <c r="AF253" s="177">
        <f t="shared" si="93"/>
        <v>0.47804085129045237</v>
      </c>
      <c r="AG253" s="811">
        <f t="shared" si="99"/>
        <v>1</v>
      </c>
      <c r="AH253" s="176">
        <f t="shared" si="94"/>
        <v>7</v>
      </c>
      <c r="AI253" s="225">
        <f t="shared" si="95"/>
        <v>1.4780408512904524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46.558180086201823</v>
      </c>
      <c r="C254" s="841"/>
      <c r="D254" s="393">
        <f t="shared" si="77"/>
        <v>48.933678978001439</v>
      </c>
      <c r="E254" s="385">
        <f t="shared" si="100"/>
        <v>51.314370766452484</v>
      </c>
      <c r="F254" s="385">
        <f t="shared" si="78"/>
        <v>51.315571723901968</v>
      </c>
      <c r="G254" s="110">
        <f t="shared" si="101"/>
        <v>0.94732042192168775</v>
      </c>
      <c r="H254" s="414" t="b">
        <f>Wh_hp&gt;='2023'!Maxi_hp</f>
        <v>0</v>
      </c>
      <c r="I254" s="390">
        <f>IF(H254,Wh_hp,'2023'!Maxi_hp)</f>
        <v>54.458266820267049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4.8545274776244374E-2</v>
      </c>
      <c r="M254" s="845"/>
      <c r="N254" s="845"/>
      <c r="O254" s="48">
        <f>IF(t&lt;Tnet,'2023'!Resal+('2023'!Salim-'2023'!Resal)*(1-EXP(('2023'!Tnet-t)/('2023'!Tau_j))),Resal+(Salim-Resal)*(1-EXP((Tnet-t)/(Tau_j))))*Salcycl</f>
        <v>4.6394250828609193E-2</v>
      </c>
      <c r="P254" s="169">
        <f>(INDEX(Models!$BJ254:$BT254,,T254)*(1-R254)+INDEX(Models!$BJ254:$BT254,,T254+1)*R254-ERP_i)*Q254*Ramure*Pc/MaxiM</f>
        <v>2.5307891828854134E-5</v>
      </c>
      <c r="Q254" s="305">
        <f t="shared" si="80"/>
        <v>0.5</v>
      </c>
      <c r="R254" s="177">
        <f t="shared" si="81"/>
        <v>0.47879710174301215</v>
      </c>
      <c r="S254" s="811">
        <f t="shared" si="82"/>
        <v>1</v>
      </c>
      <c r="T254" s="176">
        <f t="shared" si="83"/>
        <v>7</v>
      </c>
      <c r="U254" s="251">
        <f t="shared" si="84"/>
        <v>1.4787971017430122</v>
      </c>
      <c r="V254" s="383">
        <f t="shared" si="85"/>
        <v>49.147142124029948</v>
      </c>
      <c r="W254" s="402">
        <f t="shared" si="86"/>
        <v>46.558180086201823</v>
      </c>
      <c r="X254" s="157">
        <f t="shared" si="87"/>
        <v>45531</v>
      </c>
      <c r="Y254" s="385">
        <f t="shared" si="88"/>
        <v>44.826701222757769</v>
      </c>
      <c r="Z254" s="385">
        <f t="shared" si="89"/>
        <v>47.113856323763358</v>
      </c>
      <c r="AA254" s="386">
        <f t="shared" si="90"/>
        <v>51.314370766452484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8.1858441990976763E-2</v>
      </c>
      <c r="AD254" s="231">
        <f>(INDEX(Models!$BJ254:$BT254,,AH254)*(1-AF254)+INDEX(Models!$BJ254:$BT254,,AH254+1)*AF254-ERP_i)*AE254*Ramure*Pc/MaxiM</f>
        <v>2.5307891828854134E-5</v>
      </c>
      <c r="AE254" s="305">
        <f t="shared" si="92"/>
        <v>0.5</v>
      </c>
      <c r="AF254" s="177">
        <f t="shared" si="93"/>
        <v>0.47879710174301215</v>
      </c>
      <c r="AG254" s="811">
        <f t="shared" si="99"/>
        <v>1</v>
      </c>
      <c r="AH254" s="176">
        <f t="shared" si="94"/>
        <v>7</v>
      </c>
      <c r="AI254" s="225">
        <f t="shared" si="95"/>
        <v>1.4787971017430122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31.390883210670363</v>
      </c>
      <c r="C255" s="841"/>
      <c r="D255" s="393">
        <f t="shared" si="77"/>
        <v>32.993236498197085</v>
      </c>
      <c r="E255" s="385">
        <f t="shared" si="100"/>
        <v>34.600624147422501</v>
      </c>
      <c r="F255" s="385">
        <f t="shared" si="78"/>
        <v>34.601002131604368</v>
      </c>
      <c r="G255" s="110">
        <f t="shared" si="101"/>
        <v>0.64099913179219326</v>
      </c>
      <c r="H255" s="414" t="b">
        <f>Wh_hp&gt;='2023'!Maxi_hp</f>
        <v>0</v>
      </c>
      <c r="I255" s="390">
        <f>IF(H255,Wh_hp,'2023'!Maxi_hp)</f>
        <v>53.843045701686705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4.8566114076570854E-2</v>
      </c>
      <c r="M255" s="845"/>
      <c r="N255" s="845"/>
      <c r="O255" s="48">
        <f>IF(t&lt;Tnet,'2023'!Resal+('2023'!Salim-'2023'!Resal)*(1-EXP(('2023'!Tnet-t)/('2023'!Tau_j))),Resal+(Salim-Resal)*(1-EXP((Tnet-t)/(Tau_j))))*Salcycl</f>
        <v>4.6455452432789583E-2</v>
      </c>
      <c r="P255" s="169">
        <f>(INDEX(Models!$BJ255:$BT255,,T255)*(1-R255)+INDEX(Models!$BJ255:$BT255,,T255+1)*R255-ERP_i)*Q255*Ramure*Pc/MaxiM</f>
        <v>2.2424373916115648E-5</v>
      </c>
      <c r="Q255" s="305">
        <f t="shared" si="80"/>
        <v>0.5</v>
      </c>
      <c r="R255" s="177">
        <f t="shared" si="81"/>
        <v>0.47952514144530678</v>
      </c>
      <c r="S255" s="811">
        <f t="shared" si="82"/>
        <v>1</v>
      </c>
      <c r="T255" s="176">
        <f t="shared" si="83"/>
        <v>7</v>
      </c>
      <c r="U255" s="251">
        <f t="shared" si="84"/>
        <v>1.4795251414453068</v>
      </c>
      <c r="V255" s="383">
        <f t="shared" si="85"/>
        <v>48.971239812194256</v>
      </c>
      <c r="W255" s="402">
        <f t="shared" si="86"/>
        <v>31.390883210670363</v>
      </c>
      <c r="X255" s="157">
        <f t="shared" si="87"/>
        <v>45532</v>
      </c>
      <c r="Y255" s="385">
        <f t="shared" si="88"/>
        <v>30.224699554936777</v>
      </c>
      <c r="Z255" s="385">
        <f t="shared" si="89"/>
        <v>31.76752478770684</v>
      </c>
      <c r="AA255" s="386">
        <f t="shared" si="90"/>
        <v>34.600624147422501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8.1880007356072662E-2</v>
      </c>
      <c r="AD255" s="231">
        <f>(INDEX(Models!$BJ255:$BT255,,AH255)*(1-AF255)+INDEX(Models!$BJ255:$BT255,,AH255+1)*AF255-ERP_i)*AE255*Ramure*Pc/MaxiM</f>
        <v>2.2424373916115648E-5</v>
      </c>
      <c r="AE255" s="305">
        <f t="shared" si="92"/>
        <v>0.5</v>
      </c>
      <c r="AF255" s="177">
        <f t="shared" si="93"/>
        <v>0.47952514144530678</v>
      </c>
      <c r="AG255" s="811">
        <f t="shared" si="99"/>
        <v>1</v>
      </c>
      <c r="AH255" s="176">
        <f t="shared" si="94"/>
        <v>7</v>
      </c>
      <c r="AI255" s="225">
        <f t="shared" si="95"/>
        <v>1.4795251414453068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45.580551407883874</v>
      </c>
      <c r="C256" s="841"/>
      <c r="D256" s="393">
        <f t="shared" si="77"/>
        <v>47.90826817836713</v>
      </c>
      <c r="E256" s="385">
        <f t="shared" si="100"/>
        <v>50.245506954675179</v>
      </c>
      <c r="F256" s="385">
        <f t="shared" si="78"/>
        <v>50.24641451972979</v>
      </c>
      <c r="G256" s="110">
        <f t="shared" si="101"/>
        <v>0.9342141817174584</v>
      </c>
      <c r="H256" s="414" t="b">
        <f>Wh_hp&gt;='2023'!Maxi_hp</f>
        <v>0</v>
      </c>
      <c r="I256" s="390">
        <f>IF(H256,Wh_hp,'2023'!Maxi_hp)</f>
        <v>52.67575781397985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4.8586952920463333E-2</v>
      </c>
      <c r="M256" s="845"/>
      <c r="N256" s="845"/>
      <c r="O256" s="48">
        <f>IF(t&lt;Tnet,'2023'!Resal+('2023'!Salim-'2023'!Resal)*(1-EXP(('2023'!Tnet-t)/('2023'!Tau_j))),Resal+(Salim-Resal)*(1-EXP((Tnet-t)/(Tau_j))))*Salcycl</f>
        <v>4.6516373661358246E-2</v>
      </c>
      <c r="P256" s="169">
        <f>(INDEX(Models!$BJ256:$BT256,,T256)*(1-R256)+INDEX(Models!$BJ256:$BT256,,T256+1)*R256-ERP_i)*Q256*Ramure*Pc/MaxiM</f>
        <v>1.9935795991082016E-5</v>
      </c>
      <c r="Q256" s="305">
        <f t="shared" si="80"/>
        <v>0.5</v>
      </c>
      <c r="R256" s="177">
        <f t="shared" si="81"/>
        <v>0.48022593900648158</v>
      </c>
      <c r="S256" s="811">
        <f t="shared" si="82"/>
        <v>1</v>
      </c>
      <c r="T256" s="176">
        <f t="shared" si="83"/>
        <v>7</v>
      </c>
      <c r="U256" s="251">
        <f t="shared" si="84"/>
        <v>1.4802259390064816</v>
      </c>
      <c r="V256" s="383">
        <f t="shared" si="85"/>
        <v>48.790167075903341</v>
      </c>
      <c r="W256" s="402">
        <f t="shared" si="86"/>
        <v>45.580551407883874</v>
      </c>
      <c r="X256" s="157">
        <f t="shared" si="87"/>
        <v>45533</v>
      </c>
      <c r="Y256" s="385">
        <f t="shared" si="88"/>
        <v>43.889007802742142</v>
      </c>
      <c r="Z256" s="385">
        <f t="shared" si="89"/>
        <v>46.130340484045398</v>
      </c>
      <c r="AA256" s="386">
        <f t="shared" si="90"/>
        <v>50.245506954675179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8.1901183211106607E-2</v>
      </c>
      <c r="AD256" s="231">
        <f>(INDEX(Models!$BJ256:$BT256,,AH256)*(1-AF256)+INDEX(Models!$BJ256:$BT256,,AH256+1)*AF256-ERP_i)*AE256*Ramure*Pc/MaxiM</f>
        <v>1.9935795991082016E-5</v>
      </c>
      <c r="AE256" s="305">
        <f t="shared" si="92"/>
        <v>0.5</v>
      </c>
      <c r="AF256" s="177">
        <f t="shared" si="93"/>
        <v>0.48022593900648158</v>
      </c>
      <c r="AG256" s="811">
        <f t="shared" si="99"/>
        <v>1</v>
      </c>
      <c r="AH256" s="176">
        <f t="shared" si="94"/>
        <v>7</v>
      </c>
      <c r="AI256" s="225">
        <f t="shared" si="95"/>
        <v>1.4802259390064816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21.452537940934498</v>
      </c>
      <c r="C257" s="841"/>
      <c r="D257" s="393">
        <f t="shared" si="77"/>
        <v>22.548574336578277</v>
      </c>
      <c r="E257" s="385">
        <f t="shared" si="100"/>
        <v>23.650126415172203</v>
      </c>
      <c r="F257" s="385">
        <f t="shared" si="78"/>
        <v>23.650211660479194</v>
      </c>
      <c r="G257" s="110">
        <f t="shared" si="101"/>
        <v>0.44137538386087416</v>
      </c>
      <c r="H257" s="414" t="b">
        <f>Wh_hp&gt;='2023'!Maxi_hp</f>
        <v>0</v>
      </c>
      <c r="I257" s="390">
        <f>IF(H257,Wh_hp,'2023'!Maxi_hp)</f>
        <v>52.060228799144411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4.860779130793158E-2</v>
      </c>
      <c r="M257" s="845"/>
      <c r="N257" s="845"/>
      <c r="O257" s="48">
        <f>IF(t&lt;Tnet,'2023'!Resal+('2023'!Salim-'2023'!Resal)*(1-EXP(('2023'!Tnet-t)/('2023'!Tau_j))),Resal+(Salim-Resal)*(1-EXP((Tnet-t)/(Tau_j))))*Salcycl</f>
        <v>4.6577005943073985E-2</v>
      </c>
      <c r="P257" s="169">
        <f>(INDEX(Models!$BJ257:$BT257,,T257)*(1-R257)+INDEX(Models!$BJ257:$BT257,,T257+1)*R257-ERP_i)*Q257*Ramure*Pc/MaxiM</f>
        <v>1.7845979119296751E-5</v>
      </c>
      <c r="Q257" s="305">
        <f t="shared" si="80"/>
        <v>0.5</v>
      </c>
      <c r="R257" s="177">
        <f t="shared" si="81"/>
        <v>0.48090043619618172</v>
      </c>
      <c r="S257" s="811">
        <f t="shared" si="82"/>
        <v>1</v>
      </c>
      <c r="T257" s="176">
        <f t="shared" si="83"/>
        <v>7</v>
      </c>
      <c r="U257" s="251">
        <f t="shared" si="84"/>
        <v>1.4809004361961817</v>
      </c>
      <c r="V257" s="383">
        <f t="shared" si="85"/>
        <v>48.603146452358423</v>
      </c>
      <c r="W257" s="402">
        <f t="shared" si="86"/>
        <v>21.452537940934498</v>
      </c>
      <c r="X257" s="157">
        <f t="shared" si="87"/>
        <v>45534</v>
      </c>
      <c r="Y257" s="385">
        <f t="shared" si="88"/>
        <v>20.657257277785256</v>
      </c>
      <c r="Z257" s="385">
        <f t="shared" si="89"/>
        <v>21.71266181187665</v>
      </c>
      <c r="AA257" s="386">
        <f t="shared" si="90"/>
        <v>23.650126415172203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8.1921955480653036E-2</v>
      </c>
      <c r="AD257" s="231">
        <f>(INDEX(Models!$BJ257:$BT257,,AH257)*(1-AF257)+INDEX(Models!$BJ257:$BT257,,AH257+1)*AF257-ERP_i)*AE257*Ramure*Pc/MaxiM</f>
        <v>1.7845979119296751E-5</v>
      </c>
      <c r="AE257" s="305">
        <f t="shared" si="92"/>
        <v>0.5</v>
      </c>
      <c r="AF257" s="177">
        <f t="shared" si="93"/>
        <v>0.48090043619618172</v>
      </c>
      <c r="AG257" s="811">
        <f t="shared" si="99"/>
        <v>1</v>
      </c>
      <c r="AH257" s="176">
        <f t="shared" si="94"/>
        <v>7</v>
      </c>
      <c r="AI257" s="225">
        <f t="shared" si="95"/>
        <v>1.4809004361961817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41.354357575741226</v>
      </c>
      <c r="C258" s="841"/>
      <c r="D258" s="393">
        <f t="shared" si="77"/>
        <v>43.46815433668278</v>
      </c>
      <c r="E258" s="385">
        <f t="shared" si="100"/>
        <v>45.59456351471848</v>
      </c>
      <c r="F258" s="385">
        <f t="shared" si="78"/>
        <v>45.59514688786647</v>
      </c>
      <c r="G258" s="110">
        <f t="shared" si="101"/>
        <v>0.85426007779416047</v>
      </c>
      <c r="H258" s="414" t="b">
        <f>Wh_hp&gt;='2023'!Maxi_hp</f>
        <v>0</v>
      </c>
      <c r="I258" s="390">
        <f>IF(H258,Wh_hp,'2023'!Maxi_hp)</f>
        <v>53.475031417285187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4.8628629238985699E-2</v>
      </c>
      <c r="M258" s="845"/>
      <c r="N258" s="845"/>
      <c r="O258" s="48">
        <f>IF(t&lt;Tnet,'2023'!Resal+('2023'!Salim-'2023'!Resal)*(1-EXP(('2023'!Tnet-t)/('2023'!Tau_j))),Resal+(Salim-Resal)*(1-EXP((Tnet-t)/(Tau_j))))*Salcycl</f>
        <v>4.6637340378294666E-2</v>
      </c>
      <c r="P258" s="169">
        <f>(INDEX(Models!$BJ258:$BT258,,T258)*(1-R258)+INDEX(Models!$BJ258:$BT258,,T258+1)*R258-ERP_i)*Q258*Ramure*Pc/MaxiM</f>
        <v>1.6158833489360287E-5</v>
      </c>
      <c r="Q258" s="305">
        <f t="shared" si="80"/>
        <v>0.5</v>
      </c>
      <c r="R258" s="177">
        <f t="shared" si="81"/>
        <v>0.48154954817880324</v>
      </c>
      <c r="S258" s="811">
        <f t="shared" si="82"/>
        <v>1</v>
      </c>
      <c r="T258" s="176">
        <f t="shared" si="83"/>
        <v>7</v>
      </c>
      <c r="U258" s="251">
        <f t="shared" si="84"/>
        <v>1.4815495481788032</v>
      </c>
      <c r="V258" s="383">
        <f t="shared" si="85"/>
        <v>48.409400748743465</v>
      </c>
      <c r="W258" s="402">
        <f t="shared" si="86"/>
        <v>41.354357575741226</v>
      </c>
      <c r="X258" s="157">
        <f t="shared" si="87"/>
        <v>45535</v>
      </c>
      <c r="Y258" s="385">
        <f t="shared" si="88"/>
        <v>39.822921133041106</v>
      </c>
      <c r="Z258" s="385">
        <f t="shared" si="89"/>
        <v>41.858439676596781</v>
      </c>
      <c r="AA258" s="386">
        <f t="shared" si="90"/>
        <v>45.59456351471848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8.1942309567578822E-2</v>
      </c>
      <c r="AD258" s="231">
        <f>(INDEX(Models!$BJ258:$BT258,,AH258)*(1-AF258)+INDEX(Models!$BJ258:$BT258,,AH258+1)*AF258-ERP_i)*AE258*Ramure*Pc/MaxiM</f>
        <v>1.6158833489360287E-5</v>
      </c>
      <c r="AE258" s="305">
        <f t="shared" si="92"/>
        <v>0.5</v>
      </c>
      <c r="AF258" s="177">
        <f t="shared" si="93"/>
        <v>0.48154954817880324</v>
      </c>
      <c r="AG258" s="811">
        <f t="shared" si="99"/>
        <v>1</v>
      </c>
      <c r="AH258" s="176">
        <f t="shared" si="94"/>
        <v>7</v>
      </c>
      <c r="AI258" s="225">
        <f t="shared" si="95"/>
        <v>1.4815495481788032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37.9330816404985</v>
      </c>
      <c r="C259" s="841"/>
      <c r="D259" s="393">
        <f t="shared" si="77"/>
        <v>39.87287578371528</v>
      </c>
      <c r="E259" s="385">
        <f t="shared" si="100"/>
        <v>41.826041839642635</v>
      </c>
      <c r="F259" s="385">
        <f t="shared" si="78"/>
        <v>41.826474666918557</v>
      </c>
      <c r="G259" s="110">
        <f t="shared" si="101"/>
        <v>0.78685673266468592</v>
      </c>
      <c r="H259" s="414" t="b">
        <f>Wh_hp&gt;='2023'!Maxi_hp</f>
        <v>0</v>
      </c>
      <c r="I259" s="390">
        <f>IF(H259,Wh_hp,'2023'!Maxi_hp)</f>
        <v>51.427835350869806</v>
      </c>
      <c r="J259" s="85">
        <f>IF(H259,An,'2023'!An_max)</f>
        <v>2019</v>
      </c>
      <c r="K259" s="197">
        <f t="shared" si="79"/>
        <v>45536</v>
      </c>
      <c r="L259" s="147">
        <f>IF(t&lt;Tvie,1-EXP((T0-t)*PertePVj)+'2023'!Pspv,1-EXP((T0-t)*PertePVj)+Pspv)</f>
        <v>4.864946671363557E-2</v>
      </c>
      <c r="M259" s="845"/>
      <c r="N259" s="845"/>
      <c r="O259" s="48">
        <f>IF(t&lt;Tnet,'2023'!Resal+('2023'!Salim-'2023'!Resal)*(1-EXP(('2023'!Tnet-t)/('2023'!Tau_j))),Resal+(Salim-Resal)*(1-EXP((Tnet-t)/(Tau_j))))*Salcycl</f>
        <v>4.6697367716878935E-2</v>
      </c>
      <c r="P259" s="169">
        <f>(INDEX(Models!$BJ259:$BT259,,T259)*(1-R259)+INDEX(Models!$BJ259:$BT259,,T259+1)*R259-ERP_i)*Q259*Ramure*Pc/MaxiM</f>
        <v>1.4878427723393244E-5</v>
      </c>
      <c r="Q259" s="305">
        <f t="shared" si="80"/>
        <v>0.5</v>
      </c>
      <c r="R259" s="177">
        <f t="shared" si="81"/>
        <v>0.48217416379300992</v>
      </c>
      <c r="S259" s="811">
        <f t="shared" si="82"/>
        <v>1</v>
      </c>
      <c r="T259" s="176">
        <f t="shared" si="83"/>
        <v>7</v>
      </c>
      <c r="U259" s="251">
        <f t="shared" si="84"/>
        <v>1.4821741637930099</v>
      </c>
      <c r="V259" s="383">
        <f t="shared" si="85"/>
        <v>48.208153043881559</v>
      </c>
      <c r="W259" s="402">
        <f t="shared" si="86"/>
        <v>37.9330816404985</v>
      </c>
      <c r="X259" s="157">
        <f t="shared" si="87"/>
        <v>45536</v>
      </c>
      <c r="Y259" s="385">
        <f t="shared" si="88"/>
        <v>36.529849480279253</v>
      </c>
      <c r="Z259" s="385">
        <f t="shared" si="89"/>
        <v>38.397886165144413</v>
      </c>
      <c r="AA259" s="386">
        <f t="shared" si="90"/>
        <v>41.826041839642635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8.1962230316735871E-2</v>
      </c>
      <c r="AD259" s="231">
        <f>(INDEX(Models!$BJ259:$BT259,,AH259)*(1-AF259)+INDEX(Models!$BJ259:$BT259,,AH259+1)*AF259-ERP_i)*AE259*Ramure*Pc/MaxiM</f>
        <v>1.4878427723393244E-5</v>
      </c>
      <c r="AE259" s="305">
        <f t="shared" si="92"/>
        <v>0.5</v>
      </c>
      <c r="AF259" s="177">
        <f t="shared" si="93"/>
        <v>0.48217416379300992</v>
      </c>
      <c r="AG259" s="811">
        <f t="shared" si="99"/>
        <v>1</v>
      </c>
      <c r="AH259" s="176">
        <f t="shared" si="94"/>
        <v>7</v>
      </c>
      <c r="AI259" s="225">
        <f t="shared" si="95"/>
        <v>1.4821741637930099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31.672908214442607</v>
      </c>
      <c r="C260" s="841"/>
      <c r="D260" s="393">
        <f t="shared" si="77"/>
        <v>33.293303403320216</v>
      </c>
      <c r="E260" s="385">
        <f t="shared" si="100"/>
        <v>34.926357853416803</v>
      </c>
      <c r="F260" s="385">
        <f t="shared" si="78"/>
        <v>34.92660939768502</v>
      </c>
      <c r="G260" s="110">
        <f t="shared" si="101"/>
        <v>0.65986664217824076</v>
      </c>
      <c r="H260" s="414" t="b">
        <f>Wh_hp&gt;='2023'!Maxi_hp</f>
        <v>0</v>
      </c>
      <c r="I260" s="390">
        <f>IF(H260,Wh_hp,'2023'!Maxi_hp)</f>
        <v>54.150203084511908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4.8670303731891407E-2</v>
      </c>
      <c r="M260" s="845"/>
      <c r="N260" s="845"/>
      <c r="O260" s="48">
        <f>IF(t&lt;Tnet,'2023'!Resal+('2023'!Salim-'2023'!Resal)*(1-EXP(('2023'!Tnet-t)/('2023'!Tau_j))),Resal+(Salim-Resal)*(1-EXP((Tnet-t)/(Tau_j))))*Salcycl</f>
        <v>4.6757078334660356E-2</v>
      </c>
      <c r="P260" s="169">
        <f>(INDEX(Models!$BJ260:$BT260,,T260)*(1-R260)+INDEX(Models!$BJ260:$BT260,,T260+1)*R260-ERP_i)*Q260*Ramure*Pc/MaxiM</f>
        <v>1.4009060994517806E-5</v>
      </c>
      <c r="Q260" s="305">
        <f t="shared" si="80"/>
        <v>0.5</v>
      </c>
      <c r="R260" s="177">
        <f t="shared" si="81"/>
        <v>0.48277514587163539</v>
      </c>
      <c r="S260" s="811">
        <f t="shared" si="82"/>
        <v>1</v>
      </c>
      <c r="T260" s="176">
        <f t="shared" si="83"/>
        <v>7</v>
      </c>
      <c r="U260" s="251">
        <f t="shared" si="84"/>
        <v>1.4827751458716354</v>
      </c>
      <c r="V260" s="383">
        <f t="shared" si="85"/>
        <v>47.998626679298631</v>
      </c>
      <c r="W260" s="402">
        <f t="shared" si="86"/>
        <v>31.672908214442607</v>
      </c>
      <c r="X260" s="157">
        <f t="shared" si="87"/>
        <v>45537</v>
      </c>
      <c r="Y260" s="385">
        <f t="shared" si="88"/>
        <v>30.502517911892156</v>
      </c>
      <c r="Z260" s="385">
        <f t="shared" si="89"/>
        <v>32.063035592758141</v>
      </c>
      <c r="AA260" s="386">
        <f t="shared" si="90"/>
        <v>34.926357853416803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8.1981701976364105E-2</v>
      </c>
      <c r="AD260" s="231">
        <f>(INDEX(Models!$BJ260:$BT260,,AH260)*(1-AF260)+INDEX(Models!$BJ260:$BT260,,AH260+1)*AF260-ERP_i)*AE260*Ramure*Pc/MaxiM</f>
        <v>1.4009060994517806E-5</v>
      </c>
      <c r="AE260" s="305">
        <f t="shared" si="92"/>
        <v>0.5</v>
      </c>
      <c r="AF260" s="177">
        <f t="shared" si="93"/>
        <v>0.48277514587163539</v>
      </c>
      <c r="AG260" s="811">
        <f t="shared" si="99"/>
        <v>1</v>
      </c>
      <c r="AH260" s="176">
        <f t="shared" si="94"/>
        <v>7</v>
      </c>
      <c r="AI260" s="225">
        <f t="shared" si="95"/>
        <v>1.4827751458716354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45.938416551464449</v>
      </c>
      <c r="C261" s="841"/>
      <c r="D261" s="393">
        <f t="shared" si="77"/>
        <v>48.289696960932517</v>
      </c>
      <c r="E261" s="385">
        <f t="shared" si="100"/>
        <v>50.661488628782543</v>
      </c>
      <c r="F261" s="385">
        <f t="shared" si="78"/>
        <v>50.662137520542714</v>
      </c>
      <c r="G261" s="110">
        <f t="shared" si="101"/>
        <v>0.9614331926546269</v>
      </c>
      <c r="H261" s="414" t="b">
        <f>Wh_hp&gt;='2023'!Maxi_hp</f>
        <v>0</v>
      </c>
      <c r="I261" s="390">
        <f>IF(H261,Wh_hp,'2023'!Maxi_hp)</f>
        <v>53.283178554064911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4.869114029376298E-2</v>
      </c>
      <c r="M261" s="845"/>
      <c r="N261" s="845"/>
      <c r="O261" s="48">
        <f>IF(t&lt;Tnet,'2023'!Resal+('2023'!Salim-'2023'!Resal)*(1-EXP(('2023'!Tnet-t)/('2023'!Tau_j))),Resal+(Salim-Resal)*(1-EXP((Tnet-t)/(Tau_j))))*Salcycl</f>
        <v>4.6816462209176554E-2</v>
      </c>
      <c r="P261" s="169">
        <f>(INDEX(Models!$BJ261:$BT261,,T261)*(1-R261)+INDEX(Models!$BJ261:$BT261,,T261+1)*R261-ERP_i)*Q261*Ramure*Pc/MaxiM</f>
        <v>1.3555025321701834E-5</v>
      </c>
      <c r="Q261" s="305">
        <f t="shared" si="80"/>
        <v>0.5</v>
      </c>
      <c r="R261" s="177">
        <f t="shared" si="81"/>
        <v>0.48335333159739946</v>
      </c>
      <c r="S261" s="811">
        <f t="shared" si="82"/>
        <v>1</v>
      </c>
      <c r="T261" s="176">
        <f t="shared" si="83"/>
        <v>7</v>
      </c>
      <c r="U261" s="251">
        <f t="shared" si="84"/>
        <v>1.4833533315973995</v>
      </c>
      <c r="V261" s="383">
        <f t="shared" si="85"/>
        <v>47.781148596597845</v>
      </c>
      <c r="W261" s="402">
        <f t="shared" si="86"/>
        <v>45.938416551464449</v>
      </c>
      <c r="X261" s="157">
        <f t="shared" si="87"/>
        <v>45538</v>
      </c>
      <c r="Y261" s="385">
        <f t="shared" si="88"/>
        <v>44.242721564734595</v>
      </c>
      <c r="Z261" s="385">
        <f t="shared" si="89"/>
        <v>46.507210684862841</v>
      </c>
      <c r="AA261" s="386">
        <f t="shared" si="90"/>
        <v>50.661488628782543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8.2000708158415841E-2</v>
      </c>
      <c r="AD261" s="231">
        <f>(INDEX(Models!$BJ261:$BT261,,AH261)*(1-AF261)+INDEX(Models!$BJ261:$BT261,,AH261+1)*AF261-ERP_i)*AE261*Ramure*Pc/MaxiM</f>
        <v>1.3555025321701834E-5</v>
      </c>
      <c r="AE261" s="305">
        <f t="shared" si="92"/>
        <v>0.5</v>
      </c>
      <c r="AF261" s="177">
        <f t="shared" si="93"/>
        <v>0.48335333159739946</v>
      </c>
      <c r="AG261" s="811">
        <f t="shared" si="99"/>
        <v>1</v>
      </c>
      <c r="AH261" s="176">
        <f t="shared" si="94"/>
        <v>7</v>
      </c>
      <c r="AI261" s="225">
        <f t="shared" si="95"/>
        <v>1.4833533315973995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38.83594719697421</v>
      </c>
      <c r="C262" s="841"/>
      <c r="D262" s="393">
        <f t="shared" si="77"/>
        <v>40.824593849058957</v>
      </c>
      <c r="E262" s="385">
        <f t="shared" si="100"/>
        <v>42.832383628863766</v>
      </c>
      <c r="F262" s="385">
        <f t="shared" si="78"/>
        <v>42.832821616776613</v>
      </c>
      <c r="G262" s="110">
        <f t="shared" si="101"/>
        <v>0.81661927035605708</v>
      </c>
      <c r="H262" s="414" t="b">
        <f>Wh_hp&gt;='2023'!Maxi_hp</f>
        <v>0</v>
      </c>
      <c r="I262" s="390">
        <f>IF(H262,Wh_hp,'2023'!Maxi_hp)</f>
        <v>52.787883333438941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4.8711976399260282E-2</v>
      </c>
      <c r="M262" s="845"/>
      <c r="N262" s="845"/>
      <c r="O262" s="48">
        <f>IF(t&lt;Tnet,'2023'!Resal+('2023'!Salim-'2023'!Resal)*(1-EXP(('2023'!Tnet-t)/('2023'!Tau_j))),Resal+(Salim-Resal)*(1-EXP((Tnet-t)/(Tau_j))))*Salcycl</f>
        <v>4.6875508895372398E-2</v>
      </c>
      <c r="P262" s="169">
        <f>(INDEX(Models!$BJ262:$BT262,,T262)*(1-R262)+INDEX(Models!$BJ262:$BT262,,T262+1)*R262-ERP_i)*Q262*Ramure*Pc/MaxiM</f>
        <v>1.3855123060097926E-5</v>
      </c>
      <c r="Q262" s="305">
        <f t="shared" si="80"/>
        <v>0.5</v>
      </c>
      <c r="R262" s="177">
        <f t="shared" si="81"/>
        <v>0.48390953289017147</v>
      </c>
      <c r="S262" s="811">
        <f t="shared" si="82"/>
        <v>1</v>
      </c>
      <c r="T262" s="176">
        <f t="shared" si="83"/>
        <v>7</v>
      </c>
      <c r="U262" s="251">
        <f t="shared" si="84"/>
        <v>1.4839095328901715</v>
      </c>
      <c r="V262" s="383">
        <f t="shared" si="85"/>
        <v>47.556808473993307</v>
      </c>
      <c r="W262" s="402">
        <f t="shared" si="86"/>
        <v>38.83594719697421</v>
      </c>
      <c r="X262" s="157">
        <f t="shared" si="87"/>
        <v>45539</v>
      </c>
      <c r="Y262" s="385">
        <f t="shared" si="88"/>
        <v>37.403983398193688</v>
      </c>
      <c r="Z262" s="385">
        <f t="shared" si="89"/>
        <v>39.319304427501471</v>
      </c>
      <c r="AA262" s="386">
        <f t="shared" si="90"/>
        <v>42.832383628863766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8.2019231799066061E-2</v>
      </c>
      <c r="AD262" s="231">
        <f>(INDEX(Models!$BJ262:$BT262,,AH262)*(1-AF262)+INDEX(Models!$BJ262:$BT262,,AH262+1)*AF262-ERP_i)*AE262*Ramure*Pc/MaxiM</f>
        <v>1.3855123060097926E-5</v>
      </c>
      <c r="AE262" s="305">
        <f t="shared" si="92"/>
        <v>0.5</v>
      </c>
      <c r="AF262" s="177">
        <f t="shared" si="93"/>
        <v>0.48390953289017147</v>
      </c>
      <c r="AG262" s="811">
        <f t="shared" si="99"/>
        <v>1</v>
      </c>
      <c r="AH262" s="176">
        <f t="shared" si="94"/>
        <v>7</v>
      </c>
      <c r="AI262" s="225">
        <f t="shared" si="95"/>
        <v>1.4839095328901715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44.044387271006592</v>
      </c>
      <c r="C263" s="841"/>
      <c r="D263" s="393">
        <f t="shared" si="77"/>
        <v>46.300753173089838</v>
      </c>
      <c r="E263" s="385">
        <f t="shared" si="100"/>
        <v>48.580857205813643</v>
      </c>
      <c r="F263" s="385">
        <f t="shared" si="78"/>
        <v>48.581501050891241</v>
      </c>
      <c r="G263" s="110">
        <f t="shared" si="101"/>
        <v>0.93065790443603158</v>
      </c>
      <c r="H263" s="414" t="b">
        <f>Wh_hp&gt;='2023'!Maxi_hp</f>
        <v>0</v>
      </c>
      <c r="I263" s="390">
        <f>IF(H263,Wh_hp,'2023'!Maxi_hp)</f>
        <v>54.673871330579189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4.8732812048393526E-2</v>
      </c>
      <c r="M263" s="845"/>
      <c r="N263" s="845"/>
      <c r="O263" s="48">
        <f>IF(t&lt;Tnet,'2023'!Resal+('2023'!Salim-'2023'!Resal)*(1-EXP(('2023'!Tnet-t)/('2023'!Tau_j))),Resal+(Salim-Resal)*(1-EXP((Tnet-t)/(Tau_j))))*Salcycl</f>
        <v>4.6934207502023019E-2</v>
      </c>
      <c r="P263" s="169">
        <f>(INDEX(Models!$BJ263:$BT263,,T263)*(1-R263)+INDEX(Models!$BJ263:$BT263,,T263+1)*R263-ERP_i)*Q263*Ramure*Pc/MaxiM</f>
        <v>1.4710035239865655E-5</v>
      </c>
      <c r="Q263" s="305">
        <f t="shared" si="80"/>
        <v>0.5</v>
      </c>
      <c r="R263" s="177">
        <f t="shared" si="81"/>
        <v>0.48444453682180311</v>
      </c>
      <c r="S263" s="811">
        <f t="shared" si="82"/>
        <v>1</v>
      </c>
      <c r="T263" s="176">
        <f t="shared" si="83"/>
        <v>7</v>
      </c>
      <c r="U263" s="251">
        <f t="shared" si="84"/>
        <v>1.4844445368218031</v>
      </c>
      <c r="V263" s="383">
        <f t="shared" si="85"/>
        <v>47.326007634980606</v>
      </c>
      <c r="W263" s="402">
        <f t="shared" si="86"/>
        <v>44.044387271006592</v>
      </c>
      <c r="X263" s="157">
        <f t="shared" si="87"/>
        <v>45540</v>
      </c>
      <c r="Y263" s="385">
        <f t="shared" si="88"/>
        <v>42.422156952931999</v>
      </c>
      <c r="Z263" s="385">
        <f t="shared" si="89"/>
        <v>44.595417029237559</v>
      </c>
      <c r="AA263" s="386">
        <f t="shared" si="90"/>
        <v>48.580857205813643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8.2037255120709363E-2</v>
      </c>
      <c r="AD263" s="231">
        <f>(INDEX(Models!$BJ263:$BT263,,AH263)*(1-AF263)+INDEX(Models!$BJ263:$BT263,,AH263+1)*AF263-ERP_i)*AE263*Ramure*Pc/MaxiM</f>
        <v>1.4710035239865655E-5</v>
      </c>
      <c r="AE263" s="305">
        <f t="shared" si="92"/>
        <v>0.5</v>
      </c>
      <c r="AF263" s="177">
        <f t="shared" si="93"/>
        <v>0.48444453682180311</v>
      </c>
      <c r="AG263" s="811">
        <f t="shared" si="99"/>
        <v>1</v>
      </c>
      <c r="AH263" s="176">
        <f t="shared" si="94"/>
        <v>7</v>
      </c>
      <c r="AI263" s="225">
        <f t="shared" si="95"/>
        <v>1.4844445368218031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34.269210101987881</v>
      </c>
      <c r="C264" s="841"/>
      <c r="D264" s="393">
        <f t="shared" si="77"/>
        <v>36.025588957686409</v>
      </c>
      <c r="E264" s="385">
        <f t="shared" si="100"/>
        <v>37.802001266403714</v>
      </c>
      <c r="F264" s="385">
        <f t="shared" si="78"/>
        <v>37.802373803787511</v>
      </c>
      <c r="G264" s="110">
        <f t="shared" si="101"/>
        <v>0.72774735464292706</v>
      </c>
      <c r="H264" s="414" t="b">
        <f>Wh_hp&gt;='2023'!Maxi_hp</f>
        <v>0</v>
      </c>
      <c r="I264" s="390">
        <f>IF(H264,Wh_hp,'2023'!Maxi_hp)</f>
        <v>50.140065797662274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4.8753647241172593E-2</v>
      </c>
      <c r="M264" s="845"/>
      <c r="N264" s="845"/>
      <c r="O264" s="48">
        <f>IF(t&lt;Tnet,'2023'!Resal+('2023'!Salim-'2023'!Resal)*(1-EXP(('2023'!Tnet-t)/('2023'!Tau_j))),Resal+(Salim-Resal)*(1-EXP((Tnet-t)/(Tau_j))))*Salcycl</f>
        <v>4.6992546669640971E-2</v>
      </c>
      <c r="P264" s="169">
        <f>(INDEX(Models!$BJ264:$BT264,,T264)*(1-R264)+INDEX(Models!$BJ264:$BT264,,T264+1)*R264-ERP_i)*Q264*Ramure*Pc/MaxiM</f>
        <v>1.612712162256775E-5</v>
      </c>
      <c r="Q264" s="305">
        <f t="shared" si="80"/>
        <v>0.5</v>
      </c>
      <c r="R264" s="177">
        <f t="shared" si="81"/>
        <v>0.48495910605484061</v>
      </c>
      <c r="S264" s="811">
        <f t="shared" si="82"/>
        <v>1</v>
      </c>
      <c r="T264" s="176">
        <f t="shared" si="83"/>
        <v>7</v>
      </c>
      <c r="U264" s="251">
        <f t="shared" si="84"/>
        <v>1.4849591060548406</v>
      </c>
      <c r="V264" s="383">
        <f t="shared" si="85"/>
        <v>47.089137371702869</v>
      </c>
      <c r="W264" s="402">
        <f t="shared" si="86"/>
        <v>34.269210101987881</v>
      </c>
      <c r="X264" s="157">
        <f t="shared" si="87"/>
        <v>45541</v>
      </c>
      <c r="Y264" s="385">
        <f t="shared" si="88"/>
        <v>33.008407432248667</v>
      </c>
      <c r="Z264" s="385">
        <f t="shared" si="89"/>
        <v>34.700167140212308</v>
      </c>
      <c r="AA264" s="386">
        <f t="shared" si="90"/>
        <v>37.802001266403714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8.2054759596766211E-2</v>
      </c>
      <c r="AD264" s="231">
        <f>(INDEX(Models!$BJ264:$BT264,,AH264)*(1-AF264)+INDEX(Models!$BJ264:$BT264,,AH264+1)*AF264-ERP_i)*AE264*Ramure*Pc/MaxiM</f>
        <v>1.612712162256775E-5</v>
      </c>
      <c r="AE264" s="305">
        <f t="shared" si="92"/>
        <v>0.5</v>
      </c>
      <c r="AF264" s="177">
        <f t="shared" si="93"/>
        <v>0.48495910605484061</v>
      </c>
      <c r="AG264" s="811">
        <f t="shared" si="99"/>
        <v>1</v>
      </c>
      <c r="AH264" s="176">
        <f t="shared" si="94"/>
        <v>7</v>
      </c>
      <c r="AI264" s="225">
        <f t="shared" si="95"/>
        <v>1.4849591060548406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37.527248030571364</v>
      </c>
      <c r="C265" s="841"/>
      <c r="D265" s="393">
        <f t="shared" si="77"/>
        <v>39.45147319911149</v>
      </c>
      <c r="E265" s="385">
        <f t="shared" si="100"/>
        <v>41.399333124681092</v>
      </c>
      <c r="F265" s="385">
        <f t="shared" si="78"/>
        <v>41.399869924803056</v>
      </c>
      <c r="G265" s="110">
        <f t="shared" si="101"/>
        <v>0.80106269755322823</v>
      </c>
      <c r="H265" s="414" t="b">
        <f>Wh_hp&gt;='2023'!Maxi_hp</f>
        <v>0</v>
      </c>
      <c r="I265" s="390">
        <f>IF(H265,Wh_hp,'2023'!Maxi_hp)</f>
        <v>49.195092920557293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4.8774481977607365E-2</v>
      </c>
      <c r="M265" s="845"/>
      <c r="N265" s="845"/>
      <c r="O265" s="48">
        <f>IF(t&lt;Tnet,'2023'!Resal+('2023'!Salim-'2023'!Resal)*(1-EXP(('2023'!Tnet-t)/('2023'!Tau_j))),Resal+(Salim-Resal)*(1-EXP((Tnet-t)/(Tau_j))))*Salcycl</f>
        <v>4.705051455064016E-2</v>
      </c>
      <c r="P265" s="169">
        <f>(INDEX(Models!$BJ265:$BT265,,T265)*(1-R265)+INDEX(Models!$BJ265:$BT265,,T265+1)*R265-ERP_i)*Q265*Ramure*Pc/MaxiM</f>
        <v>1.8114069211032999E-5</v>
      </c>
      <c r="Q265" s="305">
        <f t="shared" si="80"/>
        <v>0.5</v>
      </c>
      <c r="R265" s="177">
        <f t="shared" si="81"/>
        <v>0.48545397930168654</v>
      </c>
      <c r="S265" s="811">
        <f t="shared" si="82"/>
        <v>1</v>
      </c>
      <c r="T265" s="176">
        <f t="shared" si="83"/>
        <v>7</v>
      </c>
      <c r="U265" s="251">
        <f t="shared" si="84"/>
        <v>1.4854539793016865</v>
      </c>
      <c r="V265" s="383">
        <f t="shared" si="85"/>
        <v>46.846588860457032</v>
      </c>
      <c r="W265" s="402">
        <f t="shared" si="86"/>
        <v>37.527248030571364</v>
      </c>
      <c r="X265" s="157">
        <f t="shared" si="87"/>
        <v>45542</v>
      </c>
      <c r="Y265" s="385">
        <f t="shared" si="88"/>
        <v>36.148109151250026</v>
      </c>
      <c r="Z265" s="385">
        <f t="shared" si="89"/>
        <v>38.001618403175627</v>
      </c>
      <c r="AA265" s="386">
        <f t="shared" si="90"/>
        <v>41.399333124681092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8.2071725920624644E-2</v>
      </c>
      <c r="AD265" s="231">
        <f>(INDEX(Models!$BJ265:$BT265,,AH265)*(1-AF265)+INDEX(Models!$BJ265:$BT265,,AH265+1)*AF265-ERP_i)*AE265*Ramure*Pc/MaxiM</f>
        <v>1.8114069211032999E-5</v>
      </c>
      <c r="AE265" s="305">
        <f t="shared" si="92"/>
        <v>0.5</v>
      </c>
      <c r="AF265" s="177">
        <f t="shared" si="93"/>
        <v>0.48545397930168654</v>
      </c>
      <c r="AG265" s="811">
        <f t="shared" si="99"/>
        <v>1</v>
      </c>
      <c r="AH265" s="176">
        <f t="shared" si="94"/>
        <v>7</v>
      </c>
      <c r="AI265" s="225">
        <f t="shared" si="95"/>
        <v>1.4854539793016865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20.891616601055649</v>
      </c>
      <c r="C266" s="841"/>
      <c r="D266" s="393">
        <f t="shared" si="77"/>
        <v>21.963323938715774</v>
      </c>
      <c r="E266" s="385">
        <f t="shared" si="100"/>
        <v>23.049124366451863</v>
      </c>
      <c r="F266" s="385">
        <f t="shared" si="78"/>
        <v>23.049225364655499</v>
      </c>
      <c r="G266" s="110">
        <f t="shared" si="101"/>
        <v>0.44832264201441907</v>
      </c>
      <c r="H266" s="414" t="b">
        <f>Wh_hp&gt;='2023'!Maxi_hp</f>
        <v>0</v>
      </c>
      <c r="I266" s="390">
        <f>IF(H266,Wh_hp,'2023'!Maxi_hp)</f>
        <v>49.204296027158733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4.8795316257708055E-2</v>
      </c>
      <c r="M266" s="845"/>
      <c r="N266" s="845"/>
      <c r="O266" s="48">
        <f>IF(t&lt;Tnet,'2023'!Resal+('2023'!Salim-'2023'!Resal)*(1-EXP(('2023'!Tnet-t)/('2023'!Tau_j))),Resal+(Salim-Resal)*(1-EXP((Tnet-t)/(Tau_j))))*Salcycl</f>
        <v>4.7108098792528377E-2</v>
      </c>
      <c r="P266" s="169">
        <f>(INDEX(Models!$BJ266:$BT266,,T266)*(1-R266)+INDEX(Models!$BJ266:$BT266,,T266+1)*R266-ERP_i)*Q266*Ramure*Pc/MaxiM</f>
        <v>2.0678856016611857E-5</v>
      </c>
      <c r="Q266" s="305">
        <f t="shared" si="80"/>
        <v>0.5</v>
      </c>
      <c r="R266" s="177">
        <f t="shared" si="81"/>
        <v>0.48592987180104164</v>
      </c>
      <c r="S266" s="811">
        <f t="shared" si="82"/>
        <v>1</v>
      </c>
      <c r="T266" s="176">
        <f t="shared" si="83"/>
        <v>7</v>
      </c>
      <c r="U266" s="251">
        <f t="shared" si="84"/>
        <v>1.4859298718010416</v>
      </c>
      <c r="V266" s="383">
        <f t="shared" si="85"/>
        <v>46.598753154318793</v>
      </c>
      <c r="W266" s="402">
        <f t="shared" si="86"/>
        <v>20.891616601055649</v>
      </c>
      <c r="X266" s="157">
        <f t="shared" si="87"/>
        <v>45543</v>
      </c>
      <c r="Y266" s="385">
        <f t="shared" si="88"/>
        <v>20.124699091417131</v>
      </c>
      <c r="Z266" s="385">
        <f t="shared" si="89"/>
        <v>21.157064757336158</v>
      </c>
      <c r="AA266" s="386">
        <f t="shared" si="90"/>
        <v>23.049124366451863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8.2088133980031355E-2</v>
      </c>
      <c r="AD266" s="231">
        <f>(INDEX(Models!$BJ266:$BT266,,AH266)*(1-AF266)+INDEX(Models!$BJ266:$BT266,,AH266+1)*AF266-ERP_i)*AE266*Ramure*Pc/MaxiM</f>
        <v>2.0678856016611857E-5</v>
      </c>
      <c r="AE266" s="305">
        <f t="shared" si="92"/>
        <v>0.5</v>
      </c>
      <c r="AF266" s="177">
        <f t="shared" si="93"/>
        <v>0.48592987180104164</v>
      </c>
      <c r="AG266" s="811">
        <f t="shared" si="99"/>
        <v>1</v>
      </c>
      <c r="AH266" s="176">
        <f t="shared" si="94"/>
        <v>7</v>
      </c>
      <c r="AI266" s="225">
        <f t="shared" si="95"/>
        <v>1.4859298718010416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44.135110669328121</v>
      </c>
      <c r="C267" s="841"/>
      <c r="D267" s="393">
        <f t="shared" si="77"/>
        <v>46.400189272672172</v>
      </c>
      <c r="E267" s="385">
        <f t="shared" si="100"/>
        <v>48.696997093488214</v>
      </c>
      <c r="F267" s="385">
        <f t="shared" si="78"/>
        <v>48.698078470187518</v>
      </c>
      <c r="G267" s="110">
        <f t="shared" si="101"/>
        <v>0.95229402346780745</v>
      </c>
      <c r="H267" s="414" t="b">
        <f>Wh_hp&gt;='2023'!Maxi_hp</f>
        <v>0</v>
      </c>
      <c r="I267" s="390">
        <f>IF(H267,Wh_hp,'2023'!Maxi_hp)</f>
        <v>48.698139717979124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4.8816150081484433E-2</v>
      </c>
      <c r="M267" s="845"/>
      <c r="N267" s="845"/>
      <c r="O267" s="48">
        <f>IF(t&lt;Tnet,'2023'!Resal+('2023'!Salim-'2023'!Resal)*(1-EXP(('2023'!Tnet-t)/('2023'!Tau_j))),Resal+(Salim-Resal)*(1-EXP((Tnet-t)/(Tau_j))))*Salcycl</f>
        <v>4.7165286524888647E-2</v>
      </c>
      <c r="P267" s="169">
        <f>(INDEX(Models!$BJ267:$BT267,,T267)*(1-R267)+INDEX(Models!$BJ267:$BT267,,T267+1)*R267-ERP_i)*Q267*Ramure*Pc/MaxiM</f>
        <v>2.3829711982443016E-5</v>
      </c>
      <c r="Q267" s="305">
        <f t="shared" si="80"/>
        <v>0.5</v>
      </c>
      <c r="R267" s="177">
        <f t="shared" si="81"/>
        <v>0.48638747580870656</v>
      </c>
      <c r="S267" s="811">
        <f t="shared" si="82"/>
        <v>1</v>
      </c>
      <c r="T267" s="176">
        <f t="shared" si="83"/>
        <v>7</v>
      </c>
      <c r="U267" s="251">
        <f t="shared" si="84"/>
        <v>1.4863874758087066</v>
      </c>
      <c r="V267" s="383">
        <f t="shared" si="85"/>
        <v>46.346021192782935</v>
      </c>
      <c r="W267" s="402">
        <f t="shared" si="86"/>
        <v>44.135110669328121</v>
      </c>
      <c r="X267" s="157">
        <f t="shared" si="87"/>
        <v>45544</v>
      </c>
      <c r="Y267" s="385">
        <f t="shared" si="88"/>
        <v>42.51675826893689</v>
      </c>
      <c r="Z267" s="385">
        <f t="shared" si="89"/>
        <v>44.698780653791744</v>
      </c>
      <c r="AA267" s="386">
        <f t="shared" si="90"/>
        <v>48.696997093488214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8.2103962838215971E-2</v>
      </c>
      <c r="AD267" s="231">
        <f>(INDEX(Models!$BJ267:$BT267,,AH267)*(1-AF267)+INDEX(Models!$BJ267:$BT267,,AH267+1)*AF267-ERP_i)*AE267*Ramure*Pc/MaxiM</f>
        <v>2.3829711982443016E-5</v>
      </c>
      <c r="AE267" s="305">
        <f t="shared" si="92"/>
        <v>0.5</v>
      </c>
      <c r="AF267" s="177">
        <f t="shared" si="93"/>
        <v>0.48638747580870656</v>
      </c>
      <c r="AG267" s="811">
        <f t="shared" si="99"/>
        <v>1</v>
      </c>
      <c r="AH267" s="176">
        <f t="shared" si="94"/>
        <v>7</v>
      </c>
      <c r="AI267" s="225">
        <f t="shared" si="95"/>
        <v>1.4863874758087066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44.654699853253049</v>
      </c>
      <c r="C268" s="841"/>
      <c r="D268" s="393">
        <f t="shared" si="77"/>
        <v>46.947472805631556</v>
      </c>
      <c r="E268" s="385">
        <f t="shared" si="100"/>
        <v>49.274307316580632</v>
      </c>
      <c r="F268" s="385">
        <f t="shared" si="78"/>
        <v>49.275638268494731</v>
      </c>
      <c r="G268" s="110">
        <f t="shared" si="101"/>
        <v>0.96888377082850918</v>
      </c>
      <c r="H268" s="414" t="b">
        <f>Wh_hp&gt;='2023'!Maxi_hp</f>
        <v>0</v>
      </c>
      <c r="I268" s="390">
        <f>IF(H268,Wh_hp,'2023'!Maxi_hp)</f>
        <v>49.275686572099694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4.8836983448946714E-2</v>
      </c>
      <c r="M268" s="845"/>
      <c r="N268" s="845"/>
      <c r="O268" s="48">
        <f>IF(t&lt;Tnet,'2023'!Resal+('2023'!Salim-'2023'!Resal)*(1-EXP(('2023'!Tnet-t)/('2023'!Tau_j))),Resal+(Salim-Resal)*(1-EXP((Tnet-t)/(Tau_j))))*Salcycl</f>
        <v>4.7222064350889534E-2</v>
      </c>
      <c r="P268" s="169">
        <f>(INDEX(Models!$BJ268:$BT268,,T268)*(1-R268)+INDEX(Models!$BJ268:$BT268,,T268+1)*R268-ERP_i)*Q268*Ramure*Pc/MaxiM</f>
        <v>2.8266803349493519E-5</v>
      </c>
      <c r="Q268" s="305">
        <f t="shared" si="80"/>
        <v>0.5</v>
      </c>
      <c r="R268" s="177">
        <f t="shared" si="81"/>
        <v>0.48682746110004338</v>
      </c>
      <c r="S268" s="811">
        <f t="shared" si="82"/>
        <v>1</v>
      </c>
      <c r="T268" s="176">
        <f t="shared" si="83"/>
        <v>7</v>
      </c>
      <c r="U268" s="251">
        <f t="shared" si="84"/>
        <v>1.4868274611000434</v>
      </c>
      <c r="V268" s="383">
        <f t="shared" si="85"/>
        <v>46.088751911608121</v>
      </c>
      <c r="W268" s="402">
        <f t="shared" si="86"/>
        <v>44.654699853253049</v>
      </c>
      <c r="X268" s="157">
        <f t="shared" si="87"/>
        <v>45545</v>
      </c>
      <c r="Y268" s="385">
        <f t="shared" si="88"/>
        <v>43.019144866533736</v>
      </c>
      <c r="Z268" s="385">
        <f t="shared" si="89"/>
        <v>45.227941076307289</v>
      </c>
      <c r="AA268" s="386">
        <f t="shared" si="90"/>
        <v>49.274307316580632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8.2119190722986693E-2</v>
      </c>
      <c r="AD268" s="231">
        <f>(INDEX(Models!$BJ268:$BT268,,AH268)*(1-AF268)+INDEX(Models!$BJ268:$BT268,,AH268+1)*AF268-ERP_i)*AE268*Ramure*Pc/MaxiM</f>
        <v>2.8266803349493519E-5</v>
      </c>
      <c r="AE268" s="305">
        <f t="shared" si="92"/>
        <v>0.5</v>
      </c>
      <c r="AF268" s="177">
        <f t="shared" si="93"/>
        <v>0.48682746110004338</v>
      </c>
      <c r="AG268" s="811">
        <f t="shared" si="99"/>
        <v>1</v>
      </c>
      <c r="AH268" s="176">
        <f t="shared" si="94"/>
        <v>7</v>
      </c>
      <c r="AI268" s="225">
        <f t="shared" si="95"/>
        <v>1.4868274611000434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31.274334114451459</v>
      </c>
      <c r="C269" s="841"/>
      <c r="D269" s="393">
        <f t="shared" si="77"/>
        <v>32.880819137648508</v>
      </c>
      <c r="E269" s="385">
        <f t="shared" si="100"/>
        <v>34.512516322446402</v>
      </c>
      <c r="F269" s="385">
        <f t="shared" si="78"/>
        <v>34.513153441629576</v>
      </c>
      <c r="G269" s="110">
        <f t="shared" si="101"/>
        <v>0.68242779302184009</v>
      </c>
      <c r="H269" s="414" t="b">
        <f>Wh_hp&gt;='2023'!Maxi_hp</f>
        <v>0</v>
      </c>
      <c r="I269" s="390">
        <f>IF(H269,Wh_hp,'2023'!Maxi_hp)</f>
        <v>50.761032411385656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4.8857816360104667E-2</v>
      </c>
      <c r="M269" s="845"/>
      <c r="N269" s="845"/>
      <c r="O269" s="48">
        <f>IF(t&lt;Tnet,'2023'!Resal+('2023'!Salim-'2023'!Resal)*(1-EXP(('2023'!Tnet-t)/('2023'!Tau_j))),Resal+(Salim-Resal)*(1-EXP((Tnet-t)/(Tau_j))))*Salcycl</f>
        <v>4.7278418344033173E-2</v>
      </c>
      <c r="P269" s="169">
        <f>(INDEX(Models!$BJ269:$BT269,,T269)*(1-R269)+INDEX(Models!$BJ269:$BT269,,T269+1)*R269-ERP_i)*Q269*Ramure*Pc/MaxiM</f>
        <v>3.3788798775461691E-5</v>
      </c>
      <c r="Q269" s="305">
        <f t="shared" si="80"/>
        <v>0.5</v>
      </c>
      <c r="R269" s="177">
        <f t="shared" si="81"/>
        <v>0.48725047548163025</v>
      </c>
      <c r="S269" s="811">
        <f t="shared" si="82"/>
        <v>1</v>
      </c>
      <c r="T269" s="176">
        <f t="shared" si="83"/>
        <v>7</v>
      </c>
      <c r="U269" s="251">
        <f t="shared" si="84"/>
        <v>1.4872504754816303</v>
      </c>
      <c r="V269" s="383">
        <f t="shared" si="85"/>
        <v>45.827346179611233</v>
      </c>
      <c r="W269" s="402">
        <f t="shared" si="86"/>
        <v>31.274334114451459</v>
      </c>
      <c r="X269" s="157">
        <f t="shared" si="87"/>
        <v>45546</v>
      </c>
      <c r="Y269" s="385">
        <f t="shared" si="88"/>
        <v>30.130160709551784</v>
      </c>
      <c r="Z269" s="385">
        <f t="shared" si="89"/>
        <v>31.67787238102262</v>
      </c>
      <c r="AA269" s="386">
        <f t="shared" si="90"/>
        <v>34.512516322446402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8.2133795024971062E-2</v>
      </c>
      <c r="AD269" s="231">
        <f>(INDEX(Models!$BJ269:$BT269,,AH269)*(1-AF269)+INDEX(Models!$BJ269:$BT269,,AH269+1)*AF269-ERP_i)*AE269*Ramure*Pc/MaxiM</f>
        <v>3.3788798775461691E-5</v>
      </c>
      <c r="AE269" s="305">
        <f t="shared" si="92"/>
        <v>0.5</v>
      </c>
      <c r="AF269" s="177">
        <f t="shared" si="93"/>
        <v>0.48725047548163025</v>
      </c>
      <c r="AG269" s="811">
        <f t="shared" si="99"/>
        <v>1</v>
      </c>
      <c r="AH269" s="176">
        <f t="shared" si="94"/>
        <v>7</v>
      </c>
      <c r="AI269" s="225">
        <f t="shared" si="95"/>
        <v>1.4872504754816303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11.089489572501078</v>
      </c>
      <c r="C270" s="841"/>
      <c r="D270" s="393">
        <f t="shared" si="77"/>
        <v>11.659384534564742</v>
      </c>
      <c r="E270" s="385">
        <f t="shared" si="100"/>
        <v>12.238695012638978</v>
      </c>
      <c r="F270" s="385">
        <f t="shared" si="78"/>
        <v>12.238695012638978</v>
      </c>
      <c r="G270" s="110">
        <f t="shared" si="101"/>
        <v>0.24338251293677546</v>
      </c>
      <c r="H270" s="414" t="b">
        <f>Wh_hp&gt;='2023'!Maxi_hp</f>
        <v>0</v>
      </c>
      <c r="I270" s="390">
        <f>IF(H270,Wh_hp,'2023'!Maxi_hp)</f>
        <v>48.245201516580117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4.8878648814968395E-2</v>
      </c>
      <c r="M270" s="845"/>
      <c r="N270" s="845"/>
      <c r="O270" s="48">
        <f>IF(t&lt;Tnet,'2023'!Resal+('2023'!Salim-'2023'!Resal)*(1-EXP(('2023'!Tnet-t)/('2023'!Tau_j))),Resal+(Salim-Resal)*(1-EXP((Tnet-t)/(Tau_j))))*Salcycl</f>
        <v>4.733433405080998E-2</v>
      </c>
      <c r="P270" s="169">
        <f>(INDEX(Models!$BJ270:$BT270,,T270)*(1-R270)+INDEX(Models!$BJ270:$BT270,,T270+1)*R270-ERP_i)*Q270*Ramure*Pc/MaxiM</f>
        <v>4.041191992307589E-5</v>
      </c>
      <c r="Q270" s="305">
        <f t="shared" si="80"/>
        <v>0.5</v>
      </c>
      <c r="R270" s="177">
        <f t="shared" si="81"/>
        <v>0.48765714530984039</v>
      </c>
      <c r="S270" s="811">
        <f t="shared" si="82"/>
        <v>1</v>
      </c>
      <c r="T270" s="176">
        <f t="shared" si="83"/>
        <v>7</v>
      </c>
      <c r="U270" s="251">
        <f t="shared" si="84"/>
        <v>1.4876571453098404</v>
      </c>
      <c r="V270" s="383">
        <f t="shared" si="85"/>
        <v>45.562194633996299</v>
      </c>
      <c r="W270" s="402">
        <f t="shared" si="86"/>
        <v>11.089489572501078</v>
      </c>
      <c r="X270" s="157">
        <f t="shared" si="87"/>
        <v>45547</v>
      </c>
      <c r="Y270" s="385">
        <f t="shared" si="88"/>
        <v>10.684244529539983</v>
      </c>
      <c r="Z270" s="385">
        <f t="shared" si="89"/>
        <v>11.233313726190829</v>
      </c>
      <c r="AA270" s="386">
        <f t="shared" si="90"/>
        <v>12.238695012638978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8.2147752306098359E-2</v>
      </c>
      <c r="AD270" s="231">
        <f>(INDEX(Models!$BJ270:$BT270,,AH270)*(1-AF270)+INDEX(Models!$BJ270:$BT270,,AH270+1)*AF270-ERP_i)*AE270*Ramure*Pc/MaxiM</f>
        <v>4.041191992307589E-5</v>
      </c>
      <c r="AE270" s="305">
        <f t="shared" si="92"/>
        <v>0.5</v>
      </c>
      <c r="AF270" s="177">
        <f t="shared" si="93"/>
        <v>0.48765714530984039</v>
      </c>
      <c r="AG270" s="811">
        <f t="shared" si="99"/>
        <v>1</v>
      </c>
      <c r="AH270" s="176">
        <f t="shared" si="94"/>
        <v>7</v>
      </c>
      <c r="AI270" s="225">
        <f t="shared" si="95"/>
        <v>1.4876571453098404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36.800383951013963</v>
      </c>
      <c r="C271" s="841"/>
      <c r="D271" s="393">
        <f t="shared" ref="D271:D334" si="102">Wh/(1-Ppv)</f>
        <v>38.692423364979454</v>
      </c>
      <c r="E271" s="385">
        <f t="shared" si="100"/>
        <v>40.617267401518603</v>
      </c>
      <c r="F271" s="385">
        <f t="shared" ref="F271:F334" si="103">Wh_sa/(1-Pvg*MEDIAN((-Sdif+Wh/Env_an)/Csdif,0,1))</f>
        <v>40.618699350075225</v>
      </c>
      <c r="G271" s="110">
        <f t="shared" si="101"/>
        <v>0.81247323901467206</v>
      </c>
      <c r="H271" s="414" t="b">
        <f>Wh_hp&gt;='2023'!Maxi_hp</f>
        <v>0</v>
      </c>
      <c r="I271" s="390">
        <f>IF(H271,Wh_hp,'2023'!Maxi_hp)</f>
        <v>47.954871485084247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4.8899480813548002E-2</v>
      </c>
      <c r="M271" s="845"/>
      <c r="N271" s="845"/>
      <c r="O271" s="48">
        <f>IF(t&lt;Tnet,'2023'!Resal+('2023'!Salim-'2023'!Resal)*(1-EXP(('2023'!Tnet-t)/('2023'!Tau_j))),Resal+(Salim-Resal)*(1-EXP((Tnet-t)/(Tau_j))))*Salcycl</f>
        <v>4.7389796499879309E-2</v>
      </c>
      <c r="P271" s="169">
        <f>(INDEX(Models!$BJ271:$BT271,,T271)*(1-R271)+INDEX(Models!$BJ271:$BT271,,T271+1)*R271-ERP_i)*Q271*Ramure*Pc/MaxiM</f>
        <v>4.8152558746013503E-5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0.4880480760142758</v>
      </c>
      <c r="S271" s="811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1.4880480760142758</v>
      </c>
      <c r="V271" s="383">
        <f t="shared" ref="V271:V334" si="110">MaxiM*(1-Ppv)*(1-Pvg)*(1-Psa)</f>
        <v>45.293687809449729</v>
      </c>
      <c r="W271" s="402">
        <f t="shared" ref="W271:W334" si="111">Wh*(A271&gt;Tmaj)</f>
        <v>36.800383951013963</v>
      </c>
      <c r="X271" s="157">
        <f t="shared" ref="X271:X334" si="112">t</f>
        <v>45548</v>
      </c>
      <c r="Y271" s="385">
        <f t="shared" ref="Y271:Y334" si="113">Wh_pvt_s*(1-Ppv)</f>
        <v>35.457132488130625</v>
      </c>
      <c r="Z271" s="385">
        <f t="shared" ref="Z271:Z334" si="114">Wh_sa_s*(1-Psa_s)</f>
        <v>37.280110538116183</v>
      </c>
      <c r="AA271" s="386">
        <f t="shared" ref="AA271:AA334" si="115">Wh_hp*(1-Pvg_s*MEDIAN((-Sdif+Wh/Env_an)/Csdif,0,1))</f>
        <v>40.617267401518603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8.2161038319324489E-2</v>
      </c>
      <c r="AD271" s="231">
        <f>(INDEX(Models!$BJ271:$BT271,,AH271)*(1-AF271)+INDEX(Models!$BJ271:$BT271,,AH271+1)*AF271-ERP_i)*AE271*Ramure*Pc/MaxiM</f>
        <v>4.8152558746013503E-5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0.4880480760142758</v>
      </c>
      <c r="AG271" s="81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1.4880480760142758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40.422942200253367</v>
      </c>
      <c r="C272" s="841"/>
      <c r="D272" s="393">
        <f t="shared" si="102"/>
        <v>42.502161202056818</v>
      </c>
      <c r="E272" s="385">
        <f t="shared" si="100"/>
        <v>44.619105292383857</v>
      </c>
      <c r="F272" s="385">
        <f t="shared" si="103"/>
        <v>44.621278563908994</v>
      </c>
      <c r="G272" s="110">
        <f t="shared" si="101"/>
        <v>0.89783687337452178</v>
      </c>
      <c r="H272" s="414" t="b">
        <f>Wh_hp&gt;='2023'!Maxi_hp</f>
        <v>0</v>
      </c>
      <c r="I272" s="390">
        <f>IF(H272,Wh_hp,'2023'!Maxi_hp)</f>
        <v>48.916978336718785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4.8920312355853368E-2</v>
      </c>
      <c r="M272" s="845"/>
      <c r="N272" s="845"/>
      <c r="O272" s="48">
        <f>IF(t&lt;Tnet,'2023'!Resal+('2023'!Salim-'2023'!Resal)*(1-EXP(('2023'!Tnet-t)/('2023'!Tau_j))),Resal+(Salim-Resal)*(1-EXP((Tnet-t)/(Tau_j))))*Salcycl</f>
        <v>4.7444790218336926E-2</v>
      </c>
      <c r="P272" s="169">
        <f>(INDEX(Models!$BJ272:$BT272,,T272)*(1-R272)+INDEX(Models!$BJ272:$BT272,,T272+1)*R272-ERP_i)*Q272*Ramure*Pc/MaxiM</f>
        <v>5.702717961173327E-5</v>
      </c>
      <c r="Q272" s="305">
        <f t="shared" si="105"/>
        <v>0.5</v>
      </c>
      <c r="R272" s="177">
        <f t="shared" si="106"/>
        <v>0.48842385262417398</v>
      </c>
      <c r="S272" s="811">
        <f t="shared" si="107"/>
        <v>1</v>
      </c>
      <c r="T272" s="176">
        <f t="shared" si="108"/>
        <v>7</v>
      </c>
      <c r="U272" s="251">
        <f t="shared" si="109"/>
        <v>1.488423852624174</v>
      </c>
      <c r="V272" s="383">
        <f t="shared" si="110"/>
        <v>45.022216138043788</v>
      </c>
      <c r="W272" s="402">
        <f t="shared" si="111"/>
        <v>40.422942200253367</v>
      </c>
      <c r="X272" s="157">
        <f t="shared" si="112"/>
        <v>45549</v>
      </c>
      <c r="Y272" s="385">
        <f t="shared" si="113"/>
        <v>38.949177961129905</v>
      </c>
      <c r="Z272" s="385">
        <f t="shared" si="114"/>
        <v>40.952591530587945</v>
      </c>
      <c r="AA272" s="386">
        <f t="shared" si="115"/>
        <v>44.619105292383857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8.2173628040492316E-2</v>
      </c>
      <c r="AD272" s="231">
        <f>(INDEX(Models!$BJ272:$BT272,,AH272)*(1-AF272)+INDEX(Models!$BJ272:$BT272,,AH272+1)*AF272-ERP_i)*AE272*Ramure*Pc/MaxiM</f>
        <v>5.702717961173327E-5</v>
      </c>
      <c r="AE272" s="305">
        <f t="shared" si="117"/>
        <v>0.5</v>
      </c>
      <c r="AF272" s="177">
        <f t="shared" si="118"/>
        <v>0.48842385262417398</v>
      </c>
      <c r="AG272" s="811">
        <f t="shared" ref="AG272:AG335" si="124">INDEX(Echel_vg,AH272)</f>
        <v>1</v>
      </c>
      <c r="AH272" s="176">
        <f t="shared" si="119"/>
        <v>7</v>
      </c>
      <c r="AI272" s="225">
        <f t="shared" si="120"/>
        <v>1.488423852624174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26.913958697697087</v>
      </c>
      <c r="C273" s="841"/>
      <c r="D273" s="393">
        <f t="shared" si="102"/>
        <v>28.29894124018681</v>
      </c>
      <c r="E273" s="385">
        <f t="shared" si="100"/>
        <v>29.710152672926629</v>
      </c>
      <c r="F273" s="385">
        <f t="shared" si="103"/>
        <v>29.711010605833742</v>
      </c>
      <c r="G273" s="110">
        <f t="shared" si="101"/>
        <v>0.60143087914404281</v>
      </c>
      <c r="H273" s="414" t="b">
        <f>Wh_hp&gt;='2023'!Maxi_hp</f>
        <v>0</v>
      </c>
      <c r="I273" s="390">
        <f>IF(H273,Wh_hp,'2023'!Maxi_hp)</f>
        <v>46.225866499783969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4.8941143441894375E-2</v>
      </c>
      <c r="M273" s="845"/>
      <c r="N273" s="845"/>
      <c r="O273" s="48">
        <f>IF(t&lt;Tnet,'2023'!Resal+('2023'!Salim-'2023'!Resal)*(1-EXP(('2023'!Tnet-t)/('2023'!Tau_j))),Resal+(Salim-Resal)*(1-EXP((Tnet-t)/(Tau_j))))*Salcycl</f>
        <v>4.7499299255563364E-2</v>
      </c>
      <c r="P273" s="169">
        <f>(INDEX(Models!$BJ273:$BT273,,T273)*(1-R273)+INDEX(Models!$BJ273:$BT273,,T273+1)*R273-ERP_i)*Q273*Ramure*Pc/MaxiM</f>
        <v>6.7052213588767544E-5</v>
      </c>
      <c r="Q273" s="305">
        <f t="shared" si="105"/>
        <v>0.5</v>
      </c>
      <c r="R273" s="177">
        <f t="shared" si="106"/>
        <v>0.48878504029606962</v>
      </c>
      <c r="S273" s="811">
        <f t="shared" si="107"/>
        <v>1</v>
      </c>
      <c r="T273" s="176">
        <f t="shared" si="108"/>
        <v>7</v>
      </c>
      <c r="U273" s="251">
        <f t="shared" si="109"/>
        <v>1.4887850402960696</v>
      </c>
      <c r="V273" s="383">
        <f t="shared" si="110"/>
        <v>44.748169949752125</v>
      </c>
      <c r="W273" s="402">
        <f t="shared" si="111"/>
        <v>26.913958697697087</v>
      </c>
      <c r="X273" s="157">
        <f t="shared" si="112"/>
        <v>45550</v>
      </c>
      <c r="Y273" s="385">
        <f t="shared" si="113"/>
        <v>25.933861929150183</v>
      </c>
      <c r="Z273" s="385">
        <f t="shared" si="114"/>
        <v>27.268409047790339</v>
      </c>
      <c r="AA273" s="386">
        <f t="shared" si="115"/>
        <v>29.710152672926629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8.2185495713097786E-2</v>
      </c>
      <c r="AD273" s="231">
        <f>(INDEX(Models!$BJ273:$BT273,,AH273)*(1-AF273)+INDEX(Models!$BJ273:$BT273,,AH273+1)*AF273-ERP_i)*AE273*Ramure*Pc/MaxiM</f>
        <v>6.7052213588767544E-5</v>
      </c>
      <c r="AE273" s="305">
        <f t="shared" si="117"/>
        <v>0.5</v>
      </c>
      <c r="AF273" s="177">
        <f t="shared" si="118"/>
        <v>0.48878504029606962</v>
      </c>
      <c r="AG273" s="811">
        <f t="shared" si="124"/>
        <v>1</v>
      </c>
      <c r="AH273" s="176">
        <f t="shared" si="119"/>
        <v>7</v>
      </c>
      <c r="AI273" s="225">
        <f t="shared" si="120"/>
        <v>1.4887850402960696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46.544002925110988</v>
      </c>
      <c r="C274" s="841"/>
      <c r="D274" s="393">
        <f t="shared" si="102"/>
        <v>48.940212332392143</v>
      </c>
      <c r="E274" s="385">
        <f t="shared" si="100"/>
        <v>51.383676066208338</v>
      </c>
      <c r="F274" s="385">
        <f t="shared" si="103"/>
        <v>51.387696842313346</v>
      </c>
      <c r="G274" s="110">
        <f t="shared" si="101"/>
        <v>1.0465926037131028</v>
      </c>
      <c r="H274" s="414" t="b">
        <f>Wh_hp&gt;='2023'!Maxi_hp</f>
        <v>1</v>
      </c>
      <c r="I274" s="390">
        <f>IF(H274,Wh_hp,'2023'!Maxi_hp)</f>
        <v>51.387696842313346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4.8961974071681236E-2</v>
      </c>
      <c r="M274" s="845"/>
      <c r="N274" s="845"/>
      <c r="O274" s="48">
        <f>IF(t&lt;Tnet,'2023'!Resal+('2023'!Salim-'2023'!Resal)*(1-EXP(('2023'!Tnet-t)/('2023'!Tau_j))),Resal+(Salim-Resal)*(1-EXP((Tnet-t)/(Tau_j))))*Salcycl</f>
        <v>4.7553307215072949E-2</v>
      </c>
      <c r="P274" s="169">
        <f>(INDEX(Models!$BJ274:$BT274,,T274)*(1-R274)+INDEX(Models!$BJ274:$BT274,,T274+1)*R274-ERP_i)*Q274*Ramure*Pc/MaxiM</f>
        <v>7.8243944603011075E-5</v>
      </c>
      <c r="Q274" s="305">
        <f t="shared" si="105"/>
        <v>0.5</v>
      </c>
      <c r="R274" s="177">
        <f t="shared" si="106"/>
        <v>0.48913218484116783</v>
      </c>
      <c r="S274" s="811">
        <f t="shared" si="107"/>
        <v>1</v>
      </c>
      <c r="T274" s="176">
        <f t="shared" si="108"/>
        <v>7</v>
      </c>
      <c r="U274" s="251">
        <f t="shared" si="109"/>
        <v>1.4891321848411678</v>
      </c>
      <c r="V274" s="383">
        <f t="shared" si="110"/>
        <v>44.471939472897205</v>
      </c>
      <c r="W274" s="402">
        <f t="shared" si="111"/>
        <v>46.544002925110988</v>
      </c>
      <c r="X274" s="157">
        <f t="shared" si="112"/>
        <v>45551</v>
      </c>
      <c r="Y274" s="385">
        <f t="shared" si="113"/>
        <v>44.851059659367529</v>
      </c>
      <c r="Z274" s="385">
        <f t="shared" si="114"/>
        <v>47.160111832108825</v>
      </c>
      <c r="AA274" s="386">
        <f t="shared" si="115"/>
        <v>51.383676066208338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8.2196614906598298E-2</v>
      </c>
      <c r="AD274" s="231">
        <f>(INDEX(Models!$BJ274:$BT274,,AH274)*(1-AF274)+INDEX(Models!$BJ274:$BT274,,AH274+1)*AF274-ERP_i)*AE274*Ramure*Pc/MaxiM</f>
        <v>7.8243944603011075E-5</v>
      </c>
      <c r="AE274" s="305">
        <f t="shared" si="117"/>
        <v>0.5</v>
      </c>
      <c r="AF274" s="177">
        <f t="shared" si="118"/>
        <v>0.48913218484116783</v>
      </c>
      <c r="AG274" s="811">
        <f t="shared" si="124"/>
        <v>1</v>
      </c>
      <c r="AH274" s="176">
        <f t="shared" si="119"/>
        <v>7</v>
      </c>
      <c r="AI274" s="225">
        <f t="shared" si="120"/>
        <v>1.4891321848411678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45.001411373978108</v>
      </c>
      <c r="C275" s="841"/>
      <c r="D275" s="393">
        <f t="shared" si="102"/>
        <v>47.31924046679584</v>
      </c>
      <c r="E275" s="385">
        <f t="shared" si="100"/>
        <v>49.684563405518084</v>
      </c>
      <c r="F275" s="385">
        <f t="shared" si="103"/>
        <v>49.689066419379238</v>
      </c>
      <c r="G275" s="110">
        <f t="shared" si="101"/>
        <v>1.018332913338027</v>
      </c>
      <c r="H275" s="414" t="b">
        <f>Wh_hp&gt;='2023'!Maxi_hp</f>
        <v>1</v>
      </c>
      <c r="I275" s="390">
        <f>IF(H275,Wh_hp,'2023'!Maxi_hp)</f>
        <v>49.689066419379238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4.8982804245223832E-2</v>
      </c>
      <c r="M275" s="845"/>
      <c r="N275" s="845"/>
      <c r="O275" s="48">
        <f>IF(t&lt;Tnet,'2023'!Resal+('2023'!Salim-'2023'!Resal)*(1-EXP(('2023'!Tnet-t)/('2023'!Tau_j))),Resal+(Salim-Resal)*(1-EXP((Tnet-t)/(Tau_j))))*Salcycl</f>
        <v>4.7606797294701499E-2</v>
      </c>
      <c r="P275" s="169">
        <f>(INDEX(Models!$BJ275:$BT275,,T275)*(1-R275)+INDEX(Models!$BJ275:$BT275,,T275+1)*R275-ERP_i)*Q275*Ramure*Pc/MaxiM</f>
        <v>9.0623837106346334E-5</v>
      </c>
      <c r="Q275" s="305">
        <f t="shared" si="105"/>
        <v>0.5</v>
      </c>
      <c r="R275" s="177">
        <f t="shared" si="106"/>
        <v>0.48946581325102567</v>
      </c>
      <c r="S275" s="811">
        <f t="shared" si="107"/>
        <v>1</v>
      </c>
      <c r="T275" s="176">
        <f t="shared" si="108"/>
        <v>7</v>
      </c>
      <c r="U275" s="251">
        <f t="shared" si="109"/>
        <v>1.4894658132510257</v>
      </c>
      <c r="V275" s="383">
        <f t="shared" si="110"/>
        <v>44.191256891095165</v>
      </c>
      <c r="W275" s="402">
        <f t="shared" si="111"/>
        <v>45.001411373978108</v>
      </c>
      <c r="X275" s="157">
        <f t="shared" si="112"/>
        <v>45552</v>
      </c>
      <c r="Y275" s="385">
        <f t="shared" si="113"/>
        <v>43.366523506680444</v>
      </c>
      <c r="Z275" s="385">
        <f t="shared" si="114"/>
        <v>45.600146559140335</v>
      </c>
      <c r="AA275" s="386">
        <f t="shared" si="115"/>
        <v>49.684563405518084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8.2206958588754056E-2</v>
      </c>
      <c r="AD275" s="231">
        <f>(INDEX(Models!$BJ275:$BT275,,AH275)*(1-AF275)+INDEX(Models!$BJ275:$BT275,,AH275+1)*AF275-ERP_i)*AE275*Ramure*Pc/MaxiM</f>
        <v>9.0623837106346334E-5</v>
      </c>
      <c r="AE275" s="305">
        <f t="shared" si="117"/>
        <v>0.5</v>
      </c>
      <c r="AF275" s="177">
        <f t="shared" si="118"/>
        <v>0.48946581325102567</v>
      </c>
      <c r="AG275" s="811">
        <f t="shared" si="124"/>
        <v>1</v>
      </c>
      <c r="AH275" s="176">
        <f t="shared" si="119"/>
        <v>7</v>
      </c>
      <c r="AI275" s="225">
        <f t="shared" si="120"/>
        <v>1.4894658132510257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43.841966086740022</v>
      </c>
      <c r="C276" s="841"/>
      <c r="D276" s="393">
        <f t="shared" si="102"/>
        <v>46.101086873146592</v>
      </c>
      <c r="E276" s="385">
        <f t="shared" si="100"/>
        <v>48.408210181390842</v>
      </c>
      <c r="F276" s="385">
        <f t="shared" si="103"/>
        <v>48.413314238136955</v>
      </c>
      <c r="G276" s="110">
        <f t="shared" si="101"/>
        <v>0.99858566291185868</v>
      </c>
      <c r="H276" s="414" t="b">
        <f>Wh_hp&gt;='2023'!Maxi_hp</f>
        <v>0</v>
      </c>
      <c r="I276" s="390">
        <f>IF(H276,Wh_hp,'2023'!Maxi_hp)</f>
        <v>48.413322483507429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4.9003633962532156E-2</v>
      </c>
      <c r="M276" s="845"/>
      <c r="N276" s="845"/>
      <c r="O276" s="48">
        <f>IF(t&lt;Tnet,'2023'!Resal+('2023'!Salim-'2023'!Resal)*(1-EXP(('2023'!Tnet-t)/('2023'!Tau_j))),Resal+(Salim-Resal)*(1-EXP((Tnet-t)/(Tau_j))))*Salcycl</f>
        <v>4.7659752335382902E-2</v>
      </c>
      <c r="P276" s="169">
        <f>(INDEX(Models!$BJ276:$BT276,,T276)*(1-R276)+INDEX(Models!$BJ276:$BT276,,T276+1)*R276-ERP_i)*Q276*Ramure*Pc/MaxiM</f>
        <v>1.0564012808169999E-4</v>
      </c>
      <c r="Q276" s="305">
        <f t="shared" si="105"/>
        <v>0.5</v>
      </c>
      <c r="R276" s="177">
        <f t="shared" si="106"/>
        <v>0.48978643422028734</v>
      </c>
      <c r="S276" s="811">
        <f t="shared" si="107"/>
        <v>1</v>
      </c>
      <c r="T276" s="176">
        <f t="shared" si="108"/>
        <v>7</v>
      </c>
      <c r="U276" s="251">
        <f t="shared" si="109"/>
        <v>1.4897864342202873</v>
      </c>
      <c r="V276" s="383">
        <f t="shared" si="110"/>
        <v>43.904051858224889</v>
      </c>
      <c r="W276" s="402">
        <f t="shared" si="111"/>
        <v>43.841966086740022</v>
      </c>
      <c r="X276" s="157">
        <f t="shared" si="112"/>
        <v>45553</v>
      </c>
      <c r="Y276" s="385">
        <f t="shared" si="113"/>
        <v>42.251110582771972</v>
      </c>
      <c r="Z276" s="385">
        <f t="shared" si="114"/>
        <v>44.428256607141797</v>
      </c>
      <c r="AA276" s="386">
        <f t="shared" si="115"/>
        <v>48.408210181390842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8.221649921233859E-2</v>
      </c>
      <c r="AD276" s="231">
        <f>(INDEX(Models!$BJ276:$BT276,,AH276)*(1-AF276)+INDEX(Models!$BJ276:$BT276,,AH276+1)*AF276-ERP_i)*AE276*Ramure*Pc/MaxiM</f>
        <v>1.0564012808169999E-4</v>
      </c>
      <c r="AE276" s="305">
        <f t="shared" si="117"/>
        <v>0.5</v>
      </c>
      <c r="AF276" s="177">
        <f t="shared" si="118"/>
        <v>0.48978643422028734</v>
      </c>
      <c r="AG276" s="811">
        <f t="shared" si="124"/>
        <v>1</v>
      </c>
      <c r="AH276" s="176">
        <f t="shared" si="119"/>
        <v>7</v>
      </c>
      <c r="AI276" s="225">
        <f t="shared" si="120"/>
        <v>1.4897864342202873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45.16404675260366</v>
      </c>
      <c r="C277" s="841"/>
      <c r="D277" s="393">
        <f t="shared" si="102"/>
        <v>47.492332879245993</v>
      </c>
      <c r="E277" s="385">
        <f t="shared" si="100"/>
        <v>49.871825123626508</v>
      </c>
      <c r="F277" s="385">
        <f t="shared" si="103"/>
        <v>49.877958814911544</v>
      </c>
      <c r="G277" s="110">
        <f t="shared" si="101"/>
        <v>1.0356084951892768</v>
      </c>
      <c r="H277" s="414" t="b">
        <f>Wh_hp&gt;='2023'!Maxi_hp</f>
        <v>0</v>
      </c>
      <c r="I277" s="390">
        <f>IF(H277,Wh_hp,'2023'!Maxi_hp)</f>
        <v>49.877958814911558</v>
      </c>
      <c r="J277" s="85">
        <f>IF(H277,An,'2023'!An_max)</f>
        <v>2023</v>
      </c>
      <c r="K277" s="197">
        <f t="shared" si="104"/>
        <v>45554</v>
      </c>
      <c r="L277" s="147">
        <f>IF(t&lt;Tvie,1-EXP((T0-t)*PertePVj)+'2023'!Pspv,1-EXP((T0-t)*PertePVj)+Pspv)</f>
        <v>4.9024463223616199E-2</v>
      </c>
      <c r="M277" s="845"/>
      <c r="N277" s="845"/>
      <c r="O277" s="48">
        <f>IF(t&lt;Tnet,'2023'!Resal+('2023'!Salim-'2023'!Resal)*(1-EXP(('2023'!Tnet-t)/('2023'!Tau_j))),Resal+(Salim-Resal)*(1-EXP((Tnet-t)/(Tau_j))))*Salcycl</f>
        <v>4.7712154878672121E-2</v>
      </c>
      <c r="P277" s="169">
        <f>(INDEX(Models!$BJ277:$BT277,,T277)*(1-R277)+INDEX(Models!$BJ277:$BT277,,T277+1)*R277-ERP_i)*Q277*Ramure*Pc/MaxiM</f>
        <v>1.2297398351445433E-4</v>
      </c>
      <c r="Q277" s="305">
        <f t="shared" si="105"/>
        <v>0.5</v>
      </c>
      <c r="R277" s="177">
        <f t="shared" si="106"/>
        <v>0.49009453866534614</v>
      </c>
      <c r="S277" s="811">
        <f t="shared" si="107"/>
        <v>1</v>
      </c>
      <c r="T277" s="176">
        <f t="shared" si="108"/>
        <v>7</v>
      </c>
      <c r="U277" s="251">
        <f t="shared" si="109"/>
        <v>1.4900945386653461</v>
      </c>
      <c r="V277" s="383">
        <f t="shared" si="110"/>
        <v>43.611120382272532</v>
      </c>
      <c r="W277" s="402">
        <f t="shared" si="111"/>
        <v>45.16404675260366</v>
      </c>
      <c r="X277" s="157">
        <f t="shared" si="112"/>
        <v>45554</v>
      </c>
      <c r="Y277" s="385">
        <f t="shared" si="113"/>
        <v>43.527200089481809</v>
      </c>
      <c r="Z277" s="385">
        <f t="shared" si="114"/>
        <v>45.771103888781703</v>
      </c>
      <c r="AA277" s="386">
        <f t="shared" si="115"/>
        <v>49.871825123626508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8.2225208816392656E-2</v>
      </c>
      <c r="AD277" s="231">
        <f>(INDEX(Models!$BJ277:$BT277,,AH277)*(1-AF277)+INDEX(Models!$BJ277:$BT277,,AH277+1)*AF277-ERP_i)*AE277*Ramure*Pc/MaxiM</f>
        <v>1.2297398351445433E-4</v>
      </c>
      <c r="AE277" s="305">
        <f t="shared" si="117"/>
        <v>0.5</v>
      </c>
      <c r="AF277" s="177">
        <f t="shared" si="118"/>
        <v>0.49009453866534614</v>
      </c>
      <c r="AG277" s="811">
        <f t="shared" si="124"/>
        <v>1</v>
      </c>
      <c r="AH277" s="176">
        <f t="shared" si="119"/>
        <v>7</v>
      </c>
      <c r="AI277" s="225">
        <f t="shared" si="120"/>
        <v>1.4900945386653461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44.063594652515434</v>
      </c>
      <c r="C278" s="841"/>
      <c r="D278" s="393">
        <f t="shared" si="102"/>
        <v>46.336165416865853</v>
      </c>
      <c r="E278" s="385">
        <f t="shared" si="100"/>
        <v>48.660379145109381</v>
      </c>
      <c r="F278" s="385">
        <f t="shared" si="103"/>
        <v>48.667322070237326</v>
      </c>
      <c r="G278" s="110">
        <f t="shared" si="101"/>
        <v>1.017323850697549</v>
      </c>
      <c r="H278" s="414" t="b">
        <f>Wh_hp&gt;='2023'!Maxi_hp</f>
        <v>1</v>
      </c>
      <c r="I278" s="390">
        <f>IF(H278,Wh_hp,'2023'!Maxi_hp)</f>
        <v>48.667322070237326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4.9045292028485954E-2</v>
      </c>
      <c r="M278" s="845"/>
      <c r="N278" s="845"/>
      <c r="O278" s="48">
        <f>IF(t&lt;Tnet,'2023'!Resal+('2023'!Salim-'2023'!Resal)*(1-EXP(('2023'!Tnet-t)/('2023'!Tau_j))),Resal+(Salim-Resal)*(1-EXP((Tnet-t)/(Tau_j))))*Salcycl</f>
        <v>4.7763987233073589E-2</v>
      </c>
      <c r="P278" s="169">
        <f>(INDEX(Models!$BJ278:$BT278,,T278)*(1-R278)+INDEX(Models!$BJ278:$BT278,,T278+1)*R278-ERP_i)*Q278*Ramure*Pc/MaxiM</f>
        <v>1.4266092385209874E-4</v>
      </c>
      <c r="Q278" s="305">
        <f t="shared" si="105"/>
        <v>0.5</v>
      </c>
      <c r="R278" s="177">
        <f t="shared" si="106"/>
        <v>0.49039060023793368</v>
      </c>
      <c r="S278" s="811">
        <f t="shared" si="107"/>
        <v>1</v>
      </c>
      <c r="T278" s="176">
        <f t="shared" si="108"/>
        <v>7</v>
      </c>
      <c r="U278" s="251">
        <f t="shared" si="109"/>
        <v>1.4903906002379337</v>
      </c>
      <c r="V278" s="383">
        <f t="shared" si="110"/>
        <v>43.313242506112807</v>
      </c>
      <c r="W278" s="402">
        <f t="shared" si="111"/>
        <v>44.063594652515434</v>
      </c>
      <c r="X278" s="157">
        <f t="shared" si="112"/>
        <v>45555</v>
      </c>
      <c r="Y278" s="385">
        <f t="shared" si="113"/>
        <v>42.468579139259248</v>
      </c>
      <c r="Z278" s="385">
        <f t="shared" si="114"/>
        <v>44.658887308996214</v>
      </c>
      <c r="AA278" s="386">
        <f t="shared" si="115"/>
        <v>48.660379145109381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8.2233059142025583E-2</v>
      </c>
      <c r="AD278" s="231">
        <f>(INDEX(Models!$BJ278:$BT278,,AH278)*(1-AF278)+INDEX(Models!$BJ278:$BT278,,AH278+1)*AF278-ERP_i)*AE278*Ramure*Pc/MaxiM</f>
        <v>1.4266092385209874E-4</v>
      </c>
      <c r="AE278" s="305">
        <f t="shared" si="117"/>
        <v>0.5</v>
      </c>
      <c r="AF278" s="177">
        <f t="shared" si="118"/>
        <v>0.49039060023793368</v>
      </c>
      <c r="AG278" s="811">
        <f t="shared" si="124"/>
        <v>1</v>
      </c>
      <c r="AH278" s="176">
        <f t="shared" si="119"/>
        <v>7</v>
      </c>
      <c r="AI278" s="225">
        <f t="shared" si="120"/>
        <v>1.4903906002379337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42.915801141797303</v>
      </c>
      <c r="C279" s="841"/>
      <c r="D279" s="393">
        <f t="shared" si="102"/>
        <v>45.130163160048738</v>
      </c>
      <c r="E279" s="385">
        <f t="shared" si="100"/>
        <v>47.39643465781559</v>
      </c>
      <c r="F279" s="385">
        <f t="shared" si="103"/>
        <v>47.404219115741917</v>
      </c>
      <c r="G279" s="110">
        <f t="shared" si="101"/>
        <v>0.99778152373590756</v>
      </c>
      <c r="H279" s="414" t="b">
        <f>Wh_hp&gt;='2023'!Maxi_hp</f>
        <v>0</v>
      </c>
      <c r="I279" s="390">
        <f>IF(H279,Wh_hp,'2023'!Maxi_hp)</f>
        <v>47.40423809314786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4.9066120377151412E-2</v>
      </c>
      <c r="M279" s="845"/>
      <c r="N279" s="845"/>
      <c r="O279" s="48">
        <f>IF(t&lt;Tnet,'2023'!Resal+('2023'!Salim-'2023'!Resal)*(1-EXP(('2023'!Tnet-t)/('2023'!Tau_j))),Resal+(Salim-Resal)*(1-EXP((Tnet-t)/(Tau_j))))*Salcycl</f>
        <v>4.7815231549134037E-2</v>
      </c>
      <c r="P279" s="169">
        <f>(INDEX(Models!$BJ279:$BT279,,T279)*(1-R279)+INDEX(Models!$BJ279:$BT279,,T279+1)*R279-ERP_i)*Q279*Ramure*Pc/MaxiM</f>
        <v>1.6473642191872534E-4</v>
      </c>
      <c r="Q279" s="305">
        <f t="shared" si="105"/>
        <v>0.5</v>
      </c>
      <c r="R279" s="177">
        <f t="shared" si="106"/>
        <v>0.49067507583274406</v>
      </c>
      <c r="S279" s="811">
        <f t="shared" si="107"/>
        <v>1</v>
      </c>
      <c r="T279" s="176">
        <f t="shared" si="108"/>
        <v>7</v>
      </c>
      <c r="U279" s="251">
        <f t="shared" si="109"/>
        <v>1.4906750758327441</v>
      </c>
      <c r="V279" s="383">
        <f t="shared" si="110"/>
        <v>43.011198059401806</v>
      </c>
      <c r="W279" s="402">
        <f t="shared" si="111"/>
        <v>42.915801141797303</v>
      </c>
      <c r="X279" s="157">
        <f t="shared" si="112"/>
        <v>45556</v>
      </c>
      <c r="Y279" s="385">
        <f t="shared" si="113"/>
        <v>41.364245708335986</v>
      </c>
      <c r="Z279" s="385">
        <f t="shared" si="114"/>
        <v>43.498550840087354</v>
      </c>
      <c r="AA279" s="386">
        <f t="shared" si="115"/>
        <v>47.39643465781559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8.2240021762596538E-2</v>
      </c>
      <c r="AD279" s="231">
        <f>(INDEX(Models!$BJ279:$BT279,,AH279)*(1-AF279)+INDEX(Models!$BJ279:$BT279,,AH279+1)*AF279-ERP_i)*AE279*Ramure*Pc/MaxiM</f>
        <v>1.6473642191872534E-4</v>
      </c>
      <c r="AE279" s="305">
        <f t="shared" si="117"/>
        <v>0.5</v>
      </c>
      <c r="AF279" s="177">
        <f t="shared" si="118"/>
        <v>0.49067507583274406</v>
      </c>
      <c r="AG279" s="811">
        <f t="shared" si="124"/>
        <v>1</v>
      </c>
      <c r="AH279" s="176">
        <f t="shared" si="119"/>
        <v>7</v>
      </c>
      <c r="AI279" s="225">
        <f t="shared" si="120"/>
        <v>1.4906750758327441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27.114987693156106</v>
      </c>
      <c r="C280" s="841"/>
      <c r="D280" s="393">
        <f t="shared" si="102"/>
        <v>28.514686641239113</v>
      </c>
      <c r="E280" s="385">
        <f t="shared" si="100"/>
        <v>29.948182446037055</v>
      </c>
      <c r="F280" s="385">
        <f t="shared" si="103"/>
        <v>29.950894291946831</v>
      </c>
      <c r="G280" s="110">
        <f t="shared" si="101"/>
        <v>0.63486300634576565</v>
      </c>
      <c r="H280" s="414" t="b">
        <f>Wh_hp&gt;='2023'!Maxi_hp</f>
        <v>0</v>
      </c>
      <c r="I280" s="390">
        <f>IF(H280,Wh_hp,'2023'!Maxi_hp)</f>
        <v>44.303472000025792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4.9086948269622677E-2</v>
      </c>
      <c r="M280" s="845"/>
      <c r="N280" s="845"/>
      <c r="O280" s="48">
        <f>IF(t&lt;Tnet,'2023'!Resal+('2023'!Salim-'2023'!Resal)*(1-EXP(('2023'!Tnet-t)/('2023'!Tau_j))),Resal+(Salim-Resal)*(1-EXP((Tnet-t)/(Tau_j))))*Salcycl</f>
        <v>4.7865869903154404E-2</v>
      </c>
      <c r="P280" s="169">
        <f>(INDEX(Models!$BJ280:$BT280,,T280)*(1-R280)+INDEX(Models!$BJ280:$BT280,,T280+1)*R280-ERP_i)*Q280*Ramure*Pc/MaxiM</f>
        <v>1.8923645910406327E-4</v>
      </c>
      <c r="Q280" s="305">
        <f t="shared" si="105"/>
        <v>0.5</v>
      </c>
      <c r="R280" s="177">
        <f t="shared" si="106"/>
        <v>0.49094840608830914</v>
      </c>
      <c r="S280" s="811">
        <f t="shared" si="107"/>
        <v>1</v>
      </c>
      <c r="T280" s="176">
        <f t="shared" si="108"/>
        <v>7</v>
      </c>
      <c r="U280" s="251">
        <f t="shared" si="109"/>
        <v>1.4909484060883091</v>
      </c>
      <c r="V280" s="383">
        <f t="shared" si="110"/>
        <v>42.705766613891491</v>
      </c>
      <c r="W280" s="402">
        <f t="shared" si="111"/>
        <v>27.114987693156106</v>
      </c>
      <c r="X280" s="157">
        <f t="shared" si="112"/>
        <v>45557</v>
      </c>
      <c r="Y280" s="385">
        <f t="shared" si="113"/>
        <v>26.13590436340532</v>
      </c>
      <c r="Z280" s="385">
        <f t="shared" si="114"/>
        <v>27.485062189277759</v>
      </c>
      <c r="AA280" s="386">
        <f t="shared" si="115"/>
        <v>29.948182446037055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8.2246068227931207E-2</v>
      </c>
      <c r="AD280" s="231">
        <f>(INDEX(Models!$BJ280:$BT280,,AH280)*(1-AF280)+INDEX(Models!$BJ280:$BT280,,AH280+1)*AF280-ERP_i)*AE280*Ramure*Pc/MaxiM</f>
        <v>1.8923645910406327E-4</v>
      </c>
      <c r="AE280" s="305">
        <f t="shared" si="117"/>
        <v>0.5</v>
      </c>
      <c r="AF280" s="177">
        <f t="shared" si="118"/>
        <v>0.49094840608830914</v>
      </c>
      <c r="AG280" s="811">
        <f t="shared" si="124"/>
        <v>1</v>
      </c>
      <c r="AH280" s="176">
        <f t="shared" si="119"/>
        <v>7</v>
      </c>
      <c r="AI280" s="225">
        <f t="shared" si="120"/>
        <v>1.4909484060883091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16.997517030306511</v>
      </c>
      <c r="C281" s="841"/>
      <c r="D281" s="393">
        <f t="shared" si="102"/>
        <v>17.875334970716459</v>
      </c>
      <c r="E281" s="385">
        <f t="shared" si="100"/>
        <v>18.774953470629068</v>
      </c>
      <c r="F281" s="385">
        <f t="shared" si="103"/>
        <v>18.775538611548917</v>
      </c>
      <c r="G281" s="110">
        <f t="shared" si="101"/>
        <v>0.40083214019063079</v>
      </c>
      <c r="H281" s="414" t="b">
        <f>Wh_hp&gt;='2023'!Maxi_hp</f>
        <v>0</v>
      </c>
      <c r="I281" s="390">
        <f>IF(H281,Wh_hp,'2023'!Maxi_hp)</f>
        <v>40.249037915880088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4.9107775705909629E-2</v>
      </c>
      <c r="M281" s="845"/>
      <c r="N281" s="845"/>
      <c r="O281" s="48">
        <f>IF(t&lt;Tnet,'2023'!Resal+('2023'!Salim-'2023'!Resal)*(1-EXP(('2023'!Tnet-t)/('2023'!Tau_j))),Resal+(Salim-Resal)*(1-EXP((Tnet-t)/(Tau_j))))*Salcycl</f>
        <v>4.7915884389271253E-2</v>
      </c>
      <c r="P281" s="169">
        <f>(INDEX(Models!$BJ281:$BT281,,T281)*(1-R281)+INDEX(Models!$BJ281:$BT281,,T281+1)*R281-ERP_i)*Q281*Ramure*Pc/MaxiM</f>
        <v>2.1619603588744283E-4</v>
      </c>
      <c r="Q281" s="305">
        <f t="shared" si="105"/>
        <v>0.5</v>
      </c>
      <c r="R281" s="177">
        <f t="shared" si="106"/>
        <v>0.49121101588044525</v>
      </c>
      <c r="S281" s="811">
        <f t="shared" si="107"/>
        <v>1</v>
      </c>
      <c r="T281" s="176">
        <f t="shared" si="108"/>
        <v>7</v>
      </c>
      <c r="U281" s="251">
        <f t="shared" si="109"/>
        <v>1.4912110158804452</v>
      </c>
      <c r="V281" s="383">
        <f t="shared" si="110"/>
        <v>42.397727530434764</v>
      </c>
      <c r="W281" s="402">
        <f t="shared" si="111"/>
        <v>16.997517030306511</v>
      </c>
      <c r="X281" s="157">
        <f t="shared" si="112"/>
        <v>45558</v>
      </c>
      <c r="Y281" s="385">
        <f t="shared" si="113"/>
        <v>16.384530639593763</v>
      </c>
      <c r="Z281" s="385">
        <f t="shared" si="114"/>
        <v>17.230691576805221</v>
      </c>
      <c r="AA281" s="386">
        <f t="shared" si="115"/>
        <v>18.774953470629068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8.2251170222053513E-2</v>
      </c>
      <c r="AD281" s="231">
        <f>(INDEX(Models!$BJ281:$BT281,,AH281)*(1-AF281)+INDEX(Models!$BJ281:$BT281,,AH281+1)*AF281-ERP_i)*AE281*Ramure*Pc/MaxiM</f>
        <v>2.1619603588744283E-4</v>
      </c>
      <c r="AE281" s="305">
        <f t="shared" si="117"/>
        <v>0.5</v>
      </c>
      <c r="AF281" s="177">
        <f t="shared" si="118"/>
        <v>0.49121101588044525</v>
      </c>
      <c r="AG281" s="811">
        <f t="shared" si="124"/>
        <v>1</v>
      </c>
      <c r="AH281" s="176">
        <f t="shared" si="119"/>
        <v>7</v>
      </c>
      <c r="AI281" s="225">
        <f t="shared" si="120"/>
        <v>1.4912110158804452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30.088818012424152</v>
      </c>
      <c r="C282" s="841"/>
      <c r="D282" s="393">
        <f t="shared" si="102"/>
        <v>31.643414763993391</v>
      </c>
      <c r="E282" s="385">
        <f t="shared" si="100"/>
        <v>33.237668061963582</v>
      </c>
      <c r="F282" s="385">
        <f t="shared" si="103"/>
        <v>33.242494146380622</v>
      </c>
      <c r="G282" s="110">
        <f t="shared" si="101"/>
        <v>0.71483307921390771</v>
      </c>
      <c r="H282" s="414" t="b">
        <f>Wh_hp&gt;='2023'!Maxi_hp</f>
        <v>0</v>
      </c>
      <c r="I282" s="390">
        <f>IF(H282,Wh_hp,'2023'!Maxi_hp)</f>
        <v>46.514117854235721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4.9128602686022149E-2</v>
      </c>
      <c r="M282" s="845"/>
      <c r="N282" s="845"/>
      <c r="O282" s="48">
        <f>IF(t&lt;Tnet,'2023'!Resal+('2023'!Salim-'2023'!Resal)*(1-EXP(('2023'!Tnet-t)/('2023'!Tau_j))),Resal+(Salim-Resal)*(1-EXP((Tnet-t)/(Tau_j))))*Salcycl</f>
        <v>4.7965257219552568E-2</v>
      </c>
      <c r="P282" s="169">
        <f>(INDEX(Models!$BJ282:$BT282,,T282)*(1-R282)+INDEX(Models!$BJ282:$BT282,,T282+1)*R282-ERP_i)*Q282*Ramure*Pc/MaxiM</f>
        <v>2.4493525835001385E-4</v>
      </c>
      <c r="Q282" s="305">
        <f t="shared" si="105"/>
        <v>0.5</v>
      </c>
      <c r="R282" s="177">
        <f t="shared" si="106"/>
        <v>0.49146331480766348</v>
      </c>
      <c r="S282" s="811">
        <f t="shared" si="107"/>
        <v>1</v>
      </c>
      <c r="T282" s="176">
        <f t="shared" si="108"/>
        <v>7</v>
      </c>
      <c r="U282" s="251">
        <f t="shared" si="109"/>
        <v>1.4914633148076635</v>
      </c>
      <c r="V282" s="383">
        <f t="shared" si="110"/>
        <v>42.08788999630724</v>
      </c>
      <c r="W282" s="402">
        <f t="shared" si="111"/>
        <v>30.088818012424152</v>
      </c>
      <c r="X282" s="157">
        <f t="shared" si="112"/>
        <v>45559</v>
      </c>
      <c r="Y282" s="385">
        <f t="shared" si="113"/>
        <v>29.005089864190502</v>
      </c>
      <c r="Z282" s="385">
        <f t="shared" si="114"/>
        <v>30.503693713076341</v>
      </c>
      <c r="AA282" s="386">
        <f t="shared" si="115"/>
        <v>33.237668061963582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8.2255299733736034E-2</v>
      </c>
      <c r="AD282" s="231">
        <f>(INDEX(Models!$BJ282:$BT282,,AH282)*(1-AF282)+INDEX(Models!$BJ282:$BT282,,AH282+1)*AF282-ERP_i)*AE282*Ramure*Pc/MaxiM</f>
        <v>2.4493525835001385E-4</v>
      </c>
      <c r="AE282" s="305">
        <f t="shared" si="117"/>
        <v>0.5</v>
      </c>
      <c r="AF282" s="177">
        <f t="shared" si="118"/>
        <v>0.49146331480766348</v>
      </c>
      <c r="AG282" s="811">
        <f t="shared" si="124"/>
        <v>1</v>
      </c>
      <c r="AH282" s="176">
        <f t="shared" si="119"/>
        <v>7</v>
      </c>
      <c r="AI282" s="225">
        <f t="shared" si="120"/>
        <v>1.4914633148076635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32.449035015872106</v>
      </c>
      <c r="C283" s="841"/>
      <c r="D283" s="393">
        <f t="shared" si="102"/>
        <v>34.126324380192884</v>
      </c>
      <c r="E283" s="385">
        <f t="shared" si="100"/>
        <v>35.847505461824312</v>
      </c>
      <c r="F283" s="385">
        <f t="shared" si="103"/>
        <v>35.854213589235705</v>
      </c>
      <c r="G283" s="110">
        <f t="shared" si="101"/>
        <v>0.77665081723501495</v>
      </c>
      <c r="H283" s="414" t="b">
        <f>Wh_hp&gt;='2023'!Maxi_hp</f>
        <v>0</v>
      </c>
      <c r="I283" s="390">
        <f>IF(H283,Wh_hp,'2023'!Maxi_hp)</f>
        <v>46.475483095151723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4.9149429209970452E-2</v>
      </c>
      <c r="M283" s="845"/>
      <c r="N283" s="845"/>
      <c r="O283" s="48">
        <f>IF(t&lt;Tnet,'2023'!Resal+('2023'!Salim-'2023'!Resal)*(1-EXP(('2023'!Tnet-t)/('2023'!Tau_j))),Resal+(Salim-Resal)*(1-EXP((Tnet-t)/(Tau_j))))*Salcycl</f>
        <v>4.8013970831649481E-2</v>
      </c>
      <c r="P283" s="169">
        <f>(INDEX(Models!$BJ283:$BT283,,T283)*(1-R283)+INDEX(Models!$BJ283:$BT283,,T283+1)*R283-ERP_i)*Q283*Ramure*Pc/MaxiM</f>
        <v>2.747241112668891E-4</v>
      </c>
      <c r="Q283" s="305">
        <f t="shared" si="105"/>
        <v>0.5</v>
      </c>
      <c r="R283" s="177">
        <f t="shared" si="106"/>
        <v>0.4917056976680414</v>
      </c>
      <c r="S283" s="811">
        <f t="shared" si="107"/>
        <v>1</v>
      </c>
      <c r="T283" s="176">
        <f t="shared" si="108"/>
        <v>7</v>
      </c>
      <c r="U283" s="251">
        <f t="shared" si="109"/>
        <v>1.4917056976680414</v>
      </c>
      <c r="V283" s="383">
        <f t="shared" si="110"/>
        <v>41.777064117549322</v>
      </c>
      <c r="W283" s="402">
        <f t="shared" si="111"/>
        <v>32.449035015872106</v>
      </c>
      <c r="X283" s="157">
        <f t="shared" si="112"/>
        <v>45560</v>
      </c>
      <c r="Y283" s="385">
        <f t="shared" si="113"/>
        <v>31.281791384229248</v>
      </c>
      <c r="Z283" s="385">
        <f t="shared" si="114"/>
        <v>32.898745970398132</v>
      </c>
      <c r="AA283" s="386">
        <f t="shared" si="115"/>
        <v>35.847505461824312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8.2258429239001132E-2</v>
      </c>
      <c r="AD283" s="231">
        <f>(INDEX(Models!$BJ283:$BT283,,AH283)*(1-AF283)+INDEX(Models!$BJ283:$BT283,,AH283+1)*AF283-ERP_i)*AE283*Ramure*Pc/MaxiM</f>
        <v>2.747241112668891E-4</v>
      </c>
      <c r="AE283" s="305">
        <f t="shared" si="117"/>
        <v>0.5</v>
      </c>
      <c r="AF283" s="177">
        <f t="shared" si="118"/>
        <v>0.4917056976680414</v>
      </c>
      <c r="AG283" s="811">
        <f t="shared" si="124"/>
        <v>1</v>
      </c>
      <c r="AH283" s="176">
        <f t="shared" si="119"/>
        <v>7</v>
      </c>
      <c r="AI283" s="225">
        <f t="shared" si="120"/>
        <v>1.4917056976680414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14.666479507048072</v>
      </c>
      <c r="C284" s="841"/>
      <c r="D284" s="393">
        <f t="shared" si="102"/>
        <v>15.424927110723242</v>
      </c>
      <c r="E284" s="385">
        <f t="shared" si="100"/>
        <v>16.203709947925923</v>
      </c>
      <c r="F284" s="385">
        <f t="shared" si="103"/>
        <v>16.204089783471929</v>
      </c>
      <c r="G284" s="110">
        <f t="shared" si="101"/>
        <v>0.35359889091114682</v>
      </c>
      <c r="H284" s="414" t="b">
        <f>Wh_hp&gt;='2023'!Maxi_hp</f>
        <v>0</v>
      </c>
      <c r="I284" s="390">
        <f>IF(H284,Wh_hp,'2023'!Maxi_hp)</f>
        <v>45.12039737403196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4.9170255277764419E-2</v>
      </c>
      <c r="M284" s="845"/>
      <c r="N284" s="845"/>
      <c r="O284" s="48">
        <f>IF(t&lt;Tnet,'2023'!Resal+('2023'!Salim-'2023'!Resal)*(1-EXP(('2023'!Tnet-t)/('2023'!Tau_j))),Resal+(Salim-Resal)*(1-EXP((Tnet-t)/(Tau_j))))*Salcycl</f>
        <v>4.8062008003442673E-2</v>
      </c>
      <c r="P284" s="169">
        <f>(INDEX(Models!$BJ284:$BT284,,T284)*(1-R284)+INDEX(Models!$BJ284:$BT284,,T284+1)*R284-ERP_i)*Q284*Ramure*Pc/MaxiM</f>
        <v>3.055662526644124E-4</v>
      </c>
      <c r="Q284" s="305">
        <f t="shared" si="105"/>
        <v>0.5</v>
      </c>
      <c r="R284" s="177">
        <f t="shared" si="106"/>
        <v>0.49193854492711075</v>
      </c>
      <c r="S284" s="811">
        <f t="shared" si="107"/>
        <v>1</v>
      </c>
      <c r="T284" s="176">
        <f t="shared" si="108"/>
        <v>7</v>
      </c>
      <c r="U284" s="251">
        <f t="shared" si="109"/>
        <v>1.4919385449271108</v>
      </c>
      <c r="V284" s="383">
        <f t="shared" si="110"/>
        <v>41.466028312309852</v>
      </c>
      <c r="W284" s="402">
        <f t="shared" si="111"/>
        <v>14.666479507048072</v>
      </c>
      <c r="X284" s="157">
        <f t="shared" si="112"/>
        <v>45561</v>
      </c>
      <c r="Y284" s="385">
        <f t="shared" si="113"/>
        <v>14.139583896160586</v>
      </c>
      <c r="Z284" s="385">
        <f t="shared" si="114"/>
        <v>14.870784148944731</v>
      </c>
      <c r="AA284" s="386">
        <f t="shared" si="115"/>
        <v>16.203709947925923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8.2260531894537303E-2</v>
      </c>
      <c r="AD284" s="231">
        <f>(INDEX(Models!$BJ284:$BT284,,AH284)*(1-AF284)+INDEX(Models!$BJ284:$BT284,,AH284+1)*AF284-ERP_i)*AE284*Ramure*Pc/MaxiM</f>
        <v>3.055662526644124E-4</v>
      </c>
      <c r="AE284" s="305">
        <f t="shared" si="117"/>
        <v>0.5</v>
      </c>
      <c r="AF284" s="177">
        <f t="shared" si="118"/>
        <v>0.49193854492711075</v>
      </c>
      <c r="AG284" s="811">
        <f t="shared" si="124"/>
        <v>1</v>
      </c>
      <c r="AH284" s="176">
        <f t="shared" si="119"/>
        <v>7</v>
      </c>
      <c r="AI284" s="225">
        <f t="shared" si="120"/>
        <v>1.4919385449271108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16.852398871814476</v>
      </c>
      <c r="C285" s="841"/>
      <c r="D285" s="393">
        <f t="shared" si="102"/>
        <v>17.724275123101176</v>
      </c>
      <c r="E285" s="385">
        <f t="shared" si="100"/>
        <v>18.620074858238855</v>
      </c>
      <c r="F285" s="385">
        <f t="shared" si="103"/>
        <v>18.621057665859215</v>
      </c>
      <c r="G285" s="110">
        <f t="shared" si="101"/>
        <v>0.40936390404727885</v>
      </c>
      <c r="H285" s="414" t="b">
        <f>Wh_hp&gt;='2023'!Maxi_hp</f>
        <v>0</v>
      </c>
      <c r="I285" s="390">
        <f>IF(H285,Wh_hp,'2023'!Maxi_hp)</f>
        <v>42.169880552957594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4.9191080889414041E-2</v>
      </c>
      <c r="M285" s="845"/>
      <c r="N285" s="845"/>
      <c r="O285" s="48">
        <f>IF(t&lt;Tnet,'2023'!Resal+('2023'!Salim-'2023'!Resal)*(1-EXP(('2023'!Tnet-t)/('2023'!Tau_j))),Resal+(Salim-Resal)*(1-EXP((Tnet-t)/(Tau_j))))*Salcycl</f>
        <v>4.8109351974023593E-2</v>
      </c>
      <c r="P285" s="169">
        <f>(INDEX(Models!$BJ285:$BT285,,T285)*(1-R285)+INDEX(Models!$BJ285:$BT285,,T285+1)*R285-ERP_i)*Q285*Ramure*Pc/MaxiM</f>
        <v>3.3746249093809537E-4</v>
      </c>
      <c r="Q285" s="305">
        <f t="shared" si="105"/>
        <v>0.5</v>
      </c>
      <c r="R285" s="177">
        <f t="shared" si="106"/>
        <v>0.49216222317639735</v>
      </c>
      <c r="S285" s="811">
        <f t="shared" si="107"/>
        <v>1</v>
      </c>
      <c r="T285" s="176">
        <f t="shared" si="108"/>
        <v>7</v>
      </c>
      <c r="U285" s="251">
        <f t="shared" si="109"/>
        <v>1.4921622231763974</v>
      </c>
      <c r="V285" s="383">
        <f t="shared" si="110"/>
        <v>41.155560757672752</v>
      </c>
      <c r="W285" s="402">
        <f t="shared" si="111"/>
        <v>16.852398871814476</v>
      </c>
      <c r="X285" s="157">
        <f t="shared" si="112"/>
        <v>45562</v>
      </c>
      <c r="Y285" s="385">
        <f t="shared" si="113"/>
        <v>16.2477632452478</v>
      </c>
      <c r="Z285" s="385">
        <f t="shared" si="114"/>
        <v>17.088358048267391</v>
      </c>
      <c r="AA285" s="386">
        <f t="shared" si="115"/>
        <v>18.620074858238855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8.226158174083395E-2</v>
      </c>
      <c r="AD285" s="231">
        <f>(INDEX(Models!$BJ285:$BT285,,AH285)*(1-AF285)+INDEX(Models!$BJ285:$BT285,,AH285+1)*AF285-ERP_i)*AE285*Ramure*Pc/MaxiM</f>
        <v>3.3746249093809537E-4</v>
      </c>
      <c r="AE285" s="305">
        <f t="shared" si="117"/>
        <v>0.5</v>
      </c>
      <c r="AF285" s="177">
        <f t="shared" si="118"/>
        <v>0.49216222317639735</v>
      </c>
      <c r="AG285" s="811">
        <f t="shared" si="124"/>
        <v>1</v>
      </c>
      <c r="AH285" s="176">
        <f t="shared" si="119"/>
        <v>7</v>
      </c>
      <c r="AI285" s="225">
        <f t="shared" si="120"/>
        <v>1.4921622231763974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23.112742381910653</v>
      </c>
      <c r="C286" s="841"/>
      <c r="D286" s="393">
        <f t="shared" si="102"/>
        <v>24.309036397128928</v>
      </c>
      <c r="E286" s="385">
        <f t="shared" si="100"/>
        <v>25.538886681166481</v>
      </c>
      <c r="F286" s="385">
        <f t="shared" si="103"/>
        <v>25.542479839157096</v>
      </c>
      <c r="G286" s="110">
        <f t="shared" si="101"/>
        <v>0.56571471430010078</v>
      </c>
      <c r="H286" s="414" t="b">
        <f>Wh_hp&gt;='2023'!Maxi_hp</f>
        <v>0</v>
      </c>
      <c r="I286" s="390">
        <f>IF(H286,Wh_hp,'2023'!Maxi_hp)</f>
        <v>44.457549596928516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4.921190604492931E-2</v>
      </c>
      <c r="M286" s="845"/>
      <c r="N286" s="845"/>
      <c r="O286" s="48">
        <f>IF(t&lt;Tnet,'2023'!Resal+('2023'!Salim-'2023'!Resal)*(1-EXP(('2023'!Tnet-t)/('2023'!Tau_j))),Resal+(Salim-Resal)*(1-EXP((Tnet-t)/(Tau_j))))*Salcycl</f>
        <v>4.8155986570256396E-2</v>
      </c>
      <c r="P286" s="169">
        <f>(INDEX(Models!$BJ286:$BT286,,T286)*(1-R286)+INDEX(Models!$BJ286:$BT286,,T286+1)*R286-ERP_i)*Q286*Ramure*Pc/MaxiM</f>
        <v>3.7041046006744784E-4</v>
      </c>
      <c r="Q286" s="305">
        <f t="shared" si="105"/>
        <v>0.5</v>
      </c>
      <c r="R286" s="177">
        <f t="shared" si="106"/>
        <v>0.49237708558230753</v>
      </c>
      <c r="S286" s="811">
        <f t="shared" si="107"/>
        <v>1</v>
      </c>
      <c r="T286" s="176">
        <f t="shared" si="108"/>
        <v>7</v>
      </c>
      <c r="U286" s="251">
        <f t="shared" si="109"/>
        <v>1.4923770855823075</v>
      </c>
      <c r="V286" s="383">
        <f t="shared" si="110"/>
        <v>40.846439392089621</v>
      </c>
      <c r="W286" s="402">
        <f t="shared" si="111"/>
        <v>23.112742381910653</v>
      </c>
      <c r="X286" s="157">
        <f t="shared" si="112"/>
        <v>45563</v>
      </c>
      <c r="Y286" s="385">
        <f t="shared" si="113"/>
        <v>22.284588629115309</v>
      </c>
      <c r="Z286" s="385">
        <f t="shared" si="114"/>
        <v>23.438018177548152</v>
      </c>
      <c r="AA286" s="386">
        <f t="shared" si="115"/>
        <v>25.538886681166481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8.2261553913687432E-2</v>
      </c>
      <c r="AD286" s="231">
        <f>(INDEX(Models!$BJ286:$BT286,,AH286)*(1-AF286)+INDEX(Models!$BJ286:$BT286,,AH286+1)*AF286-ERP_i)*AE286*Ramure*Pc/MaxiM</f>
        <v>3.7041046006744784E-4</v>
      </c>
      <c r="AE286" s="305">
        <f t="shared" si="117"/>
        <v>0.5</v>
      </c>
      <c r="AF286" s="177">
        <f t="shared" si="118"/>
        <v>0.49237708558230753</v>
      </c>
      <c r="AG286" s="811">
        <f t="shared" si="124"/>
        <v>1</v>
      </c>
      <c r="AH286" s="176">
        <f t="shared" si="119"/>
        <v>7</v>
      </c>
      <c r="AI286" s="225">
        <f t="shared" si="120"/>
        <v>1.4923770855823075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28.243137665415908</v>
      </c>
      <c r="C287" s="841"/>
      <c r="D287" s="393">
        <f t="shared" si="102"/>
        <v>29.705626790798561</v>
      </c>
      <c r="E287" s="385">
        <f t="shared" si="100"/>
        <v>31.210008379413555</v>
      </c>
      <c r="F287" s="385">
        <f t="shared" si="103"/>
        <v>31.217162473737968</v>
      </c>
      <c r="G287" s="110">
        <f t="shared" si="101"/>
        <v>0.6965608326466507</v>
      </c>
      <c r="H287" s="414" t="b">
        <f>Wh_hp&gt;='2023'!Maxi_hp</f>
        <v>0</v>
      </c>
      <c r="I287" s="390">
        <f>IF(H287,Wh_hp,'2023'!Maxi_hp)</f>
        <v>41.406216750872005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4.923273074432033E-2</v>
      </c>
      <c r="M287" s="845"/>
      <c r="N287" s="845"/>
      <c r="O287" s="48">
        <f>IF(t&lt;Tnet,'2023'!Resal+('2023'!Salim-'2023'!Resal)*(1-EXP(('2023'!Tnet-t)/('2023'!Tau_j))),Resal+(Salim-Resal)*(1-EXP((Tnet-t)/(Tau_j))))*Salcycl</f>
        <v>4.8201896338076623E-2</v>
      </c>
      <c r="P287" s="169">
        <f>(INDEX(Models!$BJ287:$BT287,,T287)*(1-R287)+INDEX(Models!$BJ287:$BT287,,T287+1)*R287-ERP_i)*Q287*Ramure*Pc/MaxiM</f>
        <v>4.0440428768671698E-4</v>
      </c>
      <c r="Q287" s="305">
        <f t="shared" si="105"/>
        <v>0.5</v>
      </c>
      <c r="R287" s="177">
        <f t="shared" si="106"/>
        <v>0.49258347232511657</v>
      </c>
      <c r="S287" s="811">
        <f t="shared" si="107"/>
        <v>1</v>
      </c>
      <c r="T287" s="176">
        <f t="shared" si="108"/>
        <v>7</v>
      </c>
      <c r="U287" s="251">
        <f t="shared" si="109"/>
        <v>1.4925834723251166</v>
      </c>
      <c r="V287" s="383">
        <f t="shared" si="110"/>
        <v>40.539441916802346</v>
      </c>
      <c r="W287" s="402">
        <f t="shared" si="111"/>
        <v>28.243137665415908</v>
      </c>
      <c r="X287" s="157">
        <f t="shared" si="112"/>
        <v>45564</v>
      </c>
      <c r="Y287" s="385">
        <f t="shared" si="113"/>
        <v>27.232503470938713</v>
      </c>
      <c r="Z287" s="385">
        <f t="shared" si="114"/>
        <v>28.642659830158046</v>
      </c>
      <c r="AA287" s="386">
        <f t="shared" si="115"/>
        <v>31.210008379413555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8.2260424862588541E-2</v>
      </c>
      <c r="AD287" s="231">
        <f>(INDEX(Models!$BJ287:$BT287,,AH287)*(1-AF287)+INDEX(Models!$BJ287:$BT287,,AH287+1)*AF287-ERP_i)*AE287*Ramure*Pc/MaxiM</f>
        <v>4.0440428768671698E-4</v>
      </c>
      <c r="AE287" s="305">
        <f t="shared" si="117"/>
        <v>0.5</v>
      </c>
      <c r="AF287" s="177">
        <f t="shared" si="118"/>
        <v>0.49258347232511657</v>
      </c>
      <c r="AG287" s="811">
        <f t="shared" si="124"/>
        <v>1</v>
      </c>
      <c r="AH287" s="176">
        <f t="shared" si="119"/>
        <v>7</v>
      </c>
      <c r="AI287" s="225">
        <f t="shared" si="120"/>
        <v>1.4925834723251166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33.871002924759182</v>
      </c>
      <c r="C288" s="841"/>
      <c r="D288" s="393">
        <f t="shared" si="102"/>
        <v>35.625695055128304</v>
      </c>
      <c r="E288" s="385">
        <f t="shared" si="100"/>
        <v>37.431662995526956</v>
      </c>
      <c r="F288" s="385">
        <f t="shared" si="103"/>
        <v>37.444399183084315</v>
      </c>
      <c r="G288" s="110">
        <f t="shared" si="101"/>
        <v>0.84173847091094711</v>
      </c>
      <c r="H288" s="414" t="b">
        <f>Wh_hp&gt;='2023'!Maxi_hp</f>
        <v>0</v>
      </c>
      <c r="I288" s="390">
        <f>IF(H288,Wh_hp,'2023'!Maxi_hp)</f>
        <v>43.530133856028712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4.925355498759687E-2</v>
      </c>
      <c r="M288" s="845"/>
      <c r="N288" s="845"/>
      <c r="O288" s="48">
        <f>IF(t&lt;Tnet,'2023'!Resal+('2023'!Salim-'2023'!Resal)*(1-EXP(('2023'!Tnet-t)/('2023'!Tau_j))),Resal+(Salim-Resal)*(1-EXP((Tnet-t)/(Tau_j))))*Salcycl</f>
        <v>4.8247066677600314E-2</v>
      </c>
      <c r="P288" s="169">
        <f>(INDEX(Models!$BJ288:$BT288,,T288)*(1-R288)+INDEX(Models!$BJ288:$BT288,,T288+1)*R288-ERP_i)*Q288*Ramure*Pc/MaxiM</f>
        <v>4.3943425849867233E-4</v>
      </c>
      <c r="Q288" s="305">
        <f t="shared" si="105"/>
        <v>0.5</v>
      </c>
      <c r="R288" s="177">
        <f t="shared" si="106"/>
        <v>0.49278171102786494</v>
      </c>
      <c r="S288" s="811">
        <f t="shared" si="107"/>
        <v>1</v>
      </c>
      <c r="T288" s="176">
        <f t="shared" si="108"/>
        <v>7</v>
      </c>
      <c r="U288" s="251">
        <f t="shared" si="109"/>
        <v>1.4927817110278649</v>
      </c>
      <c r="V288" s="383">
        <f t="shared" si="110"/>
        <v>40.235345797582156</v>
      </c>
      <c r="W288" s="402">
        <f t="shared" si="111"/>
        <v>33.871002924759182</v>
      </c>
      <c r="X288" s="157">
        <f t="shared" si="112"/>
        <v>45565</v>
      </c>
      <c r="Y288" s="385">
        <f t="shared" si="113"/>
        <v>32.660614990064332</v>
      </c>
      <c r="Z288" s="385">
        <f t="shared" si="114"/>
        <v>34.352602801095145</v>
      </c>
      <c r="AA288" s="386">
        <f t="shared" si="115"/>
        <v>37.431662995526956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8.2258172574372526E-2</v>
      </c>
      <c r="AD288" s="231">
        <f>(INDEX(Models!$BJ288:$BT288,,AH288)*(1-AF288)+INDEX(Models!$BJ288:$BT288,,AH288+1)*AF288-ERP_i)*AE288*Ramure*Pc/MaxiM</f>
        <v>4.3943425849867233E-4</v>
      </c>
      <c r="AE288" s="305">
        <f t="shared" si="117"/>
        <v>0.5</v>
      </c>
      <c r="AF288" s="177">
        <f t="shared" si="118"/>
        <v>0.49278171102786494</v>
      </c>
      <c r="AG288" s="811">
        <f t="shared" si="124"/>
        <v>1</v>
      </c>
      <c r="AH288" s="176">
        <f t="shared" si="119"/>
        <v>7</v>
      </c>
      <c r="AI288" s="225">
        <f t="shared" si="120"/>
        <v>1.4927817110278649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37.756210263199016</v>
      </c>
      <c r="C289" s="841"/>
      <c r="D289" s="393">
        <f t="shared" si="102"/>
        <v>39.713045930687514</v>
      </c>
      <c r="E289" s="385">
        <f t="shared" si="100"/>
        <v>41.728160736450128</v>
      </c>
      <c r="F289" s="385">
        <f t="shared" si="103"/>
        <v>41.746465747979862</v>
      </c>
      <c r="G289" s="110">
        <f t="shared" si="101"/>
        <v>0.94545426974132196</v>
      </c>
      <c r="H289" s="414" t="b">
        <f>Wh_hp&gt;='2023'!Maxi_hp</f>
        <v>0</v>
      </c>
      <c r="I289" s="390">
        <f>IF(H289,Wh_hp,'2023'!Maxi_hp)</f>
        <v>44.550821163435508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4.9274378774769034E-2</v>
      </c>
      <c r="M289" s="845"/>
      <c r="N289" s="845"/>
      <c r="O289" s="48">
        <f>IF(t&lt;Tnet,'2023'!Resal+('2023'!Salim-'2023'!Resal)*(1-EXP(('2023'!Tnet-t)/('2023'!Tau_j))),Resal+(Salim-Resal)*(1-EXP((Tnet-t)/(Tau_j))))*Salcycl</f>
        <v>4.82914839810418E-2</v>
      </c>
      <c r="P289" s="169">
        <f>(INDEX(Models!$BJ289:$BT289,,T289)*(1-R289)+INDEX(Models!$BJ289:$BT289,,T289+1)*R289-ERP_i)*Q289*Ramure*Pc/MaxiM</f>
        <v>4.755095986858917E-4</v>
      </c>
      <c r="Q289" s="305">
        <f t="shared" si="105"/>
        <v>0.5</v>
      </c>
      <c r="R289" s="177">
        <f t="shared" si="106"/>
        <v>0.49297211717502121</v>
      </c>
      <c r="S289" s="811">
        <f t="shared" si="107"/>
        <v>1</v>
      </c>
      <c r="T289" s="176">
        <f t="shared" si="108"/>
        <v>7</v>
      </c>
      <c r="U289" s="251">
        <f t="shared" si="109"/>
        <v>1.4929721171750212</v>
      </c>
      <c r="V289" s="383">
        <f t="shared" si="110"/>
        <v>39.93298542309762</v>
      </c>
      <c r="W289" s="402">
        <f t="shared" si="111"/>
        <v>37.756210263199016</v>
      </c>
      <c r="X289" s="157">
        <f t="shared" si="112"/>
        <v>45566</v>
      </c>
      <c r="Y289" s="385">
        <f t="shared" si="113"/>
        <v>36.408817439309807</v>
      </c>
      <c r="Z289" s="385">
        <f t="shared" si="114"/>
        <v>38.295820188782315</v>
      </c>
      <c r="AA289" s="386">
        <f t="shared" si="115"/>
        <v>41.728160736450128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8.2254776800397431E-2</v>
      </c>
      <c r="AD289" s="231">
        <f>(INDEX(Models!$BJ289:$BT289,,AH289)*(1-AF289)+INDEX(Models!$BJ289:$BT289,,AH289+1)*AF289-ERP_i)*AE289*Ramure*Pc/MaxiM</f>
        <v>4.755095986858917E-4</v>
      </c>
      <c r="AE289" s="305">
        <f t="shared" si="117"/>
        <v>0.5</v>
      </c>
      <c r="AF289" s="177">
        <f t="shared" si="118"/>
        <v>0.49297211717502121</v>
      </c>
      <c r="AG289" s="811">
        <f t="shared" si="124"/>
        <v>1</v>
      </c>
      <c r="AH289" s="176">
        <f t="shared" si="119"/>
        <v>7</v>
      </c>
      <c r="AI289" s="225">
        <f t="shared" si="120"/>
        <v>1.4929721171750212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34.34085728746674</v>
      </c>
      <c r="C290" s="841"/>
      <c r="D290" s="393">
        <f t="shared" si="102"/>
        <v>36.121472578589099</v>
      </c>
      <c r="E290" s="385">
        <f t="shared" si="100"/>
        <v>37.956085105553697</v>
      </c>
      <c r="F290" s="385">
        <f t="shared" si="103"/>
        <v>37.971738789734317</v>
      </c>
      <c r="G290" s="110">
        <f t="shared" si="101"/>
        <v>0.86643504830920004</v>
      </c>
      <c r="H290" s="414" t="b">
        <f>Wh_hp&gt;='2023'!Maxi_hp</f>
        <v>0</v>
      </c>
      <c r="I290" s="390">
        <f>IF(H290,Wh_hp,'2023'!Maxi_hp)</f>
        <v>42.516161138689995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4.9295202105846925E-2</v>
      </c>
      <c r="M290" s="845"/>
      <c r="N290" s="845"/>
      <c r="O290" s="48">
        <f>IF(t&lt;Tnet,'2023'!Resal+('2023'!Salim-'2023'!Resal)*(1-EXP(('2023'!Tnet-t)/('2023'!Tau_j))),Resal+(Salim-Resal)*(1-EXP((Tnet-t)/(Tau_j))))*Salcycl</f>
        <v>4.8335135772370731E-2</v>
      </c>
      <c r="P290" s="169">
        <f>(INDEX(Models!$BJ290:$BT290,,T290)*(1-R290)+INDEX(Models!$BJ290:$BT290,,T290+1)*R290-ERP_i)*Q290*Ramure*Pc/MaxiM</f>
        <v>5.0937714139462061E-4</v>
      </c>
      <c r="Q290" s="305">
        <f t="shared" si="105"/>
        <v>0.5</v>
      </c>
      <c r="R290" s="177">
        <f t="shared" si="106"/>
        <v>0.49315499452080935</v>
      </c>
      <c r="S290" s="811">
        <f t="shared" si="107"/>
        <v>1</v>
      </c>
      <c r="T290" s="176">
        <f t="shared" si="108"/>
        <v>7</v>
      </c>
      <c r="U290" s="251">
        <f t="shared" si="109"/>
        <v>1.4931549945208094</v>
      </c>
      <c r="V290" s="383">
        <f t="shared" si="110"/>
        <v>39.630807179583918</v>
      </c>
      <c r="W290" s="402">
        <f t="shared" si="111"/>
        <v>34.34085728746674</v>
      </c>
      <c r="X290" s="157">
        <f t="shared" si="112"/>
        <v>45567</v>
      </c>
      <c r="Y290" s="385">
        <f t="shared" si="113"/>
        <v>33.117030406184092</v>
      </c>
      <c r="Z290" s="385">
        <f t="shared" si="114"/>
        <v>34.834188782406024</v>
      </c>
      <c r="AA290" s="386">
        <f t="shared" si="115"/>
        <v>37.956085105553697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8.2250219285415219E-2</v>
      </c>
      <c r="AD290" s="231">
        <f>(INDEX(Models!$BJ290:$BT290,,AH290)*(1-AF290)+INDEX(Models!$BJ290:$BT290,,AH290+1)*AF290-ERP_i)*AE290*Ramure*Pc/MaxiM</f>
        <v>5.0937714139462061E-4</v>
      </c>
      <c r="AE290" s="305">
        <f t="shared" si="117"/>
        <v>0.5</v>
      </c>
      <c r="AF290" s="177">
        <f t="shared" si="118"/>
        <v>0.49315499452080935</v>
      </c>
      <c r="AG290" s="811">
        <f t="shared" si="124"/>
        <v>1</v>
      </c>
      <c r="AH290" s="176">
        <f t="shared" si="119"/>
        <v>7</v>
      </c>
      <c r="AI290" s="225">
        <f t="shared" si="120"/>
        <v>1.4931549945208094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38.640969913620289</v>
      </c>
      <c r="C291" s="841"/>
      <c r="D291" s="393">
        <f t="shared" si="102"/>
        <v>40.645441523132369</v>
      </c>
      <c r="E291" s="385">
        <f t="shared" si="100"/>
        <v>42.711751080209964</v>
      </c>
      <c r="F291" s="385">
        <f t="shared" si="103"/>
        <v>42.734228560373872</v>
      </c>
      <c r="G291" s="110">
        <f t="shared" si="101"/>
        <v>0.98249576039943698</v>
      </c>
      <c r="H291" s="414" t="b">
        <f>Wh_hp&gt;='2023'!Maxi_hp</f>
        <v>0</v>
      </c>
      <c r="I291" s="390">
        <f>IF(H291,Wh_hp,'2023'!Maxi_hp)</f>
        <v>42.734559878391323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4.9316024980840312E-2</v>
      </c>
      <c r="M291" s="845"/>
      <c r="N291" s="845"/>
      <c r="O291" s="48">
        <f>IF(t&lt;Tnet,'2023'!Resal+('2023'!Salim-'2023'!Resal)*(1-EXP(('2023'!Tnet-t)/('2023'!Tau_j))),Resal+(Salim-Resal)*(1-EXP((Tnet-t)/(Tau_j))))*Salcycl</f>
        <v>4.8378010847581435E-2</v>
      </c>
      <c r="P291" s="169">
        <f>(INDEX(Models!$BJ291:$BT291,,T291)*(1-R291)+INDEX(Models!$BJ291:$BT291,,T291+1)*R291-ERP_i)*Q291*Ramure*Pc/MaxiM</f>
        <v>5.3946267908192187E-4</v>
      </c>
      <c r="Q291" s="305">
        <f t="shared" si="105"/>
        <v>0.5</v>
      </c>
      <c r="R291" s="177">
        <f t="shared" si="106"/>
        <v>0.49333063548713962</v>
      </c>
      <c r="S291" s="811">
        <f t="shared" si="107"/>
        <v>1</v>
      </c>
      <c r="T291" s="176">
        <f t="shared" si="108"/>
        <v>7</v>
      </c>
      <c r="U291" s="251">
        <f t="shared" si="109"/>
        <v>1.4933306354871396</v>
      </c>
      <c r="V291" s="383">
        <f t="shared" si="110"/>
        <v>39.328870750665914</v>
      </c>
      <c r="W291" s="402">
        <f t="shared" si="111"/>
        <v>38.640969913620289</v>
      </c>
      <c r="X291" s="157">
        <f t="shared" si="112"/>
        <v>45568</v>
      </c>
      <c r="Y291" s="385">
        <f t="shared" si="113"/>
        <v>37.265808993702542</v>
      </c>
      <c r="Z291" s="385">
        <f t="shared" si="114"/>
        <v>39.198945152043301</v>
      </c>
      <c r="AA291" s="386">
        <f t="shared" si="115"/>
        <v>42.711751080209964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8.224448399621527E-2</v>
      </c>
      <c r="AD291" s="231">
        <f>(INDEX(Models!$BJ291:$BT291,,AH291)*(1-AF291)+INDEX(Models!$BJ291:$BT291,,AH291+1)*AF291-ERP_i)*AE291*Ramure*Pc/MaxiM</f>
        <v>5.3946267908192187E-4</v>
      </c>
      <c r="AE291" s="305">
        <f t="shared" si="117"/>
        <v>0.5</v>
      </c>
      <c r="AF291" s="177">
        <f t="shared" si="118"/>
        <v>0.49333063548713962</v>
      </c>
      <c r="AG291" s="811">
        <f t="shared" si="124"/>
        <v>1</v>
      </c>
      <c r="AH291" s="176">
        <f t="shared" si="119"/>
        <v>7</v>
      </c>
      <c r="AI291" s="225">
        <f t="shared" si="120"/>
        <v>1.4933306354871396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39.853867928336747</v>
      </c>
      <c r="C292" s="841"/>
      <c r="D292" s="393">
        <f t="shared" si="102"/>
        <v>41.92217592459432</v>
      </c>
      <c r="E292" s="385">
        <f t="shared" si="100"/>
        <v>44.055339860368527</v>
      </c>
      <c r="F292" s="385">
        <f t="shared" si="103"/>
        <v>44.080276283019217</v>
      </c>
      <c r="G292" s="110">
        <f t="shared" si="101"/>
        <v>1.0211825004158248</v>
      </c>
      <c r="H292" s="414" t="b">
        <f>Wh_hp&gt;='2023'!Maxi_hp</f>
        <v>1</v>
      </c>
      <c r="I292" s="390">
        <f>IF(H292,Wh_hp,'2023'!Maxi_hp)</f>
        <v>44.080276283019217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4.9336847399759298E-2</v>
      </c>
      <c r="M292" s="845"/>
      <c r="N292" s="845"/>
      <c r="O292" s="48">
        <f>IF(t&lt;Tnet,'2023'!Resal+('2023'!Salim-'2023'!Resal)*(1-EXP(('2023'!Tnet-t)/('2023'!Tau_j))),Resal+(Salim-Resal)*(1-EXP((Tnet-t)/(Tau_j))))*Salcycl</f>
        <v>4.8420099414399648E-2</v>
      </c>
      <c r="P292" s="169">
        <f>(INDEX(Models!$BJ292:$BT292,,T292)*(1-R292)+INDEX(Models!$BJ292:$BT292,,T292+1)*R292-ERP_i)*Q292*Ramure*Pc/MaxiM</f>
        <v>5.6570477214305326E-4</v>
      </c>
      <c r="Q292" s="305">
        <f t="shared" si="105"/>
        <v>0.5</v>
      </c>
      <c r="R292" s="177">
        <f t="shared" si="106"/>
        <v>0.49349932155112142</v>
      </c>
      <c r="S292" s="811">
        <f t="shared" si="107"/>
        <v>1</v>
      </c>
      <c r="T292" s="176">
        <f t="shared" si="108"/>
        <v>7</v>
      </c>
      <c r="U292" s="251">
        <f t="shared" si="109"/>
        <v>1.4934993215511214</v>
      </c>
      <c r="V292" s="383">
        <f t="shared" si="110"/>
        <v>39.027174782282579</v>
      </c>
      <c r="W292" s="402">
        <f t="shared" si="111"/>
        <v>39.853867928336747</v>
      </c>
      <c r="X292" s="157">
        <f t="shared" si="112"/>
        <v>45569</v>
      </c>
      <c r="Y292" s="385">
        <f t="shared" si="113"/>
        <v>38.437532314973581</v>
      </c>
      <c r="Z292" s="385">
        <f t="shared" si="114"/>
        <v>40.432336322113436</v>
      </c>
      <c r="AA292" s="386">
        <f t="shared" si="115"/>
        <v>44.055339860368527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8.2237557348054491E-2</v>
      </c>
      <c r="AD292" s="231">
        <f>(INDEX(Models!$BJ292:$BT292,,AH292)*(1-AF292)+INDEX(Models!$BJ292:$BT292,,AH292+1)*AF292-ERP_i)*AE292*Ramure*Pc/MaxiM</f>
        <v>5.6570477214305326E-4</v>
      </c>
      <c r="AE292" s="305">
        <f t="shared" si="117"/>
        <v>0.5</v>
      </c>
      <c r="AF292" s="177">
        <f t="shared" si="118"/>
        <v>0.49349932155112142</v>
      </c>
      <c r="AG292" s="811">
        <f t="shared" si="124"/>
        <v>1</v>
      </c>
      <c r="AH292" s="176">
        <f t="shared" si="119"/>
        <v>7</v>
      </c>
      <c r="AI292" s="225">
        <f t="shared" si="120"/>
        <v>1.4934993215511214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11.634321854449503</v>
      </c>
      <c r="C293" s="841"/>
      <c r="D293" s="393">
        <f t="shared" si="102"/>
        <v>12.238379755979235</v>
      </c>
      <c r="E293" s="385">
        <f t="shared" si="100"/>
        <v>12.861674417525931</v>
      </c>
      <c r="F293" s="385">
        <f t="shared" si="103"/>
        <v>12.861679050804414</v>
      </c>
      <c r="G293" s="110">
        <f t="shared" si="101"/>
        <v>0.30025226754124823</v>
      </c>
      <c r="H293" s="414" t="b">
        <f>Wh_hp&gt;='2023'!Maxi_hp</f>
        <v>0</v>
      </c>
      <c r="I293" s="390">
        <f>IF(H293,Wh_hp,'2023'!Maxi_hp)</f>
        <v>39.638043153684698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4.9357669362613987E-2</v>
      </c>
      <c r="M293" s="845"/>
      <c r="N293" s="845"/>
      <c r="O293" s="48">
        <f>IF(t&lt;Tnet,'2023'!Resal+('2023'!Salim-'2023'!Resal)*(1-EXP(('2023'!Tnet-t)/('2023'!Tau_j))),Resal+(Salim-Resal)*(1-EXP((Tnet-t)/(Tau_j))))*Salcycl</f>
        <v>4.8461393230213153E-2</v>
      </c>
      <c r="P293" s="169">
        <f>(INDEX(Models!$BJ293:$BT293,,T293)*(1-R293)+INDEX(Models!$BJ293:$BT293,,T293+1)*R293-ERP_i)*Q293*Ramure*Pc/MaxiM</f>
        <v>5.8804315015316465E-4</v>
      </c>
      <c r="Q293" s="305">
        <f t="shared" si="105"/>
        <v>0.5</v>
      </c>
      <c r="R293" s="177">
        <f t="shared" si="106"/>
        <v>0.49366132362216053</v>
      </c>
      <c r="S293" s="811">
        <f t="shared" si="107"/>
        <v>1</v>
      </c>
      <c r="T293" s="176">
        <f t="shared" si="108"/>
        <v>7</v>
      </c>
      <c r="U293" s="251">
        <f t="shared" si="109"/>
        <v>1.4936613236221605</v>
      </c>
      <c r="V293" s="383">
        <f t="shared" si="110"/>
        <v>38.725717727518692</v>
      </c>
      <c r="W293" s="402">
        <f t="shared" si="111"/>
        <v>11.634321854449503</v>
      </c>
      <c r="X293" s="157">
        <f t="shared" si="112"/>
        <v>45570</v>
      </c>
      <c r="Y293" s="385">
        <f t="shared" si="113"/>
        <v>11.221445080901047</v>
      </c>
      <c r="Z293" s="385">
        <f t="shared" si="114"/>
        <v>11.804066281560701</v>
      </c>
      <c r="AA293" s="386">
        <f t="shared" si="115"/>
        <v>12.861674417525931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8.2229428426837101E-2</v>
      </c>
      <c r="AD293" s="231">
        <f>(INDEX(Models!$BJ293:$BT293,,AH293)*(1-AF293)+INDEX(Models!$BJ293:$BT293,,AH293+1)*AF293-ERP_i)*AE293*Ramure*Pc/MaxiM</f>
        <v>5.8804315015316465E-4</v>
      </c>
      <c r="AE293" s="305">
        <f t="shared" si="117"/>
        <v>0.5</v>
      </c>
      <c r="AF293" s="177">
        <f t="shared" si="118"/>
        <v>0.49366132362216053</v>
      </c>
      <c r="AG293" s="811">
        <f t="shared" si="124"/>
        <v>1</v>
      </c>
      <c r="AH293" s="176">
        <f t="shared" si="119"/>
        <v>7</v>
      </c>
      <c r="AI293" s="225">
        <f t="shared" si="120"/>
        <v>1.4936613236221605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28.43692349507598</v>
      </c>
      <c r="C294" s="841"/>
      <c r="D294" s="393">
        <f t="shared" si="102"/>
        <v>29.914033316039383</v>
      </c>
      <c r="E294" s="385">
        <f t="shared" si="100"/>
        <v>31.438878193898955</v>
      </c>
      <c r="F294" s="385">
        <f t="shared" si="103"/>
        <v>31.450868542259283</v>
      </c>
      <c r="G294" s="110">
        <f t="shared" si="101"/>
        <v>0.7399060306501104</v>
      </c>
      <c r="H294" s="414" t="b">
        <f>Wh_hp&gt;='2023'!Maxi_hp</f>
        <v>0</v>
      </c>
      <c r="I294" s="390">
        <f>IF(H294,Wh_hp,'2023'!Maxi_hp)</f>
        <v>42.817625020301556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4.9378490869414149E-2</v>
      </c>
      <c r="M294" s="845"/>
      <c r="N294" s="845"/>
      <c r="O294" s="48">
        <f>IF(t&lt;Tnet,'2023'!Resal+('2023'!Salim-'2023'!Resal)*(1-EXP(('2023'!Tnet-t)/('2023'!Tau_j))),Resal+(Salim-Resal)*(1-EXP((Tnet-t)/(Tau_j))))*Salcycl</f>
        <v>4.8501885736987958E-2</v>
      </c>
      <c r="P294" s="169">
        <f>(INDEX(Models!$BJ294:$BT294,,T294)*(1-R294)+INDEX(Models!$BJ294:$BT294,,T294+1)*R294-ERP_i)*Q294*Ramure*Pc/MaxiM</f>
        <v>6.0641889937203741E-4</v>
      </c>
      <c r="Q294" s="305">
        <f t="shared" si="105"/>
        <v>0.5</v>
      </c>
      <c r="R294" s="177">
        <f t="shared" si="106"/>
        <v>0.49381690240868337</v>
      </c>
      <c r="S294" s="811">
        <f t="shared" si="107"/>
        <v>1</v>
      </c>
      <c r="T294" s="176">
        <f t="shared" si="108"/>
        <v>7</v>
      </c>
      <c r="U294" s="251">
        <f t="shared" si="109"/>
        <v>1.4938169024086834</v>
      </c>
      <c r="V294" s="383">
        <f t="shared" si="110"/>
        <v>38.424497838187285</v>
      </c>
      <c r="W294" s="402">
        <f t="shared" si="111"/>
        <v>28.43692349507598</v>
      </c>
      <c r="X294" s="157">
        <f t="shared" si="112"/>
        <v>45571</v>
      </c>
      <c r="Y294" s="385">
        <f t="shared" si="113"/>
        <v>27.429205289398428</v>
      </c>
      <c r="Z294" s="385">
        <f t="shared" si="114"/>
        <v>28.853970824292077</v>
      </c>
      <c r="AA294" s="386">
        <f t="shared" si="115"/>
        <v>31.438878193898955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8.2220089204980099E-2</v>
      </c>
      <c r="AD294" s="231">
        <f>(INDEX(Models!$BJ294:$BT294,,AH294)*(1-AF294)+INDEX(Models!$BJ294:$BT294,,AH294+1)*AF294-ERP_i)*AE294*Ramure*Pc/MaxiM</f>
        <v>6.0641889937203741E-4</v>
      </c>
      <c r="AE294" s="305">
        <f t="shared" si="117"/>
        <v>0.5</v>
      </c>
      <c r="AF294" s="177">
        <f t="shared" si="118"/>
        <v>0.49381690240868337</v>
      </c>
      <c r="AG294" s="811">
        <f t="shared" si="124"/>
        <v>1</v>
      </c>
      <c r="AH294" s="176">
        <f t="shared" si="119"/>
        <v>7</v>
      </c>
      <c r="AI294" s="225">
        <f t="shared" si="120"/>
        <v>1.4938169024086834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15.499353111439541</v>
      </c>
      <c r="C295" s="841"/>
      <c r="D295" s="393">
        <f t="shared" si="102"/>
        <v>16.304798961115338</v>
      </c>
      <c r="E295" s="385">
        <f t="shared" si="100"/>
        <v>17.136638327622364</v>
      </c>
      <c r="F295" s="385">
        <f t="shared" si="103"/>
        <v>17.138257829995837</v>
      </c>
      <c r="G295" s="110">
        <f t="shared" si="101"/>
        <v>0.40634228286089841</v>
      </c>
      <c r="H295" s="414" t="b">
        <f>Wh_hp&gt;='2023'!Maxi_hp</f>
        <v>0</v>
      </c>
      <c r="I295" s="390">
        <f>IF(H295,Wh_hp,'2023'!Maxi_hp)</f>
        <v>40.412475476580589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4.9399311920169886E-2</v>
      </c>
      <c r="M295" s="845"/>
      <c r="N295" s="845"/>
      <c r="O295" s="48">
        <f>IF(t&lt;Tnet,'2023'!Resal+('2023'!Salim-'2023'!Resal)*(1-EXP(('2023'!Tnet-t)/('2023'!Tau_j))),Resal+(Salim-Resal)*(1-EXP((Tnet-t)/(Tau_j))))*Salcycl</f>
        <v>4.8541572191915364E-2</v>
      </c>
      <c r="P295" s="169">
        <f>(INDEX(Models!$BJ295:$BT295,,T295)*(1-R295)+INDEX(Models!$BJ295:$BT295,,T295+1)*R295-ERP_i)*Q295*Ramure*Pc/MaxiM</f>
        <v>6.207746420618665E-4</v>
      </c>
      <c r="Q295" s="305">
        <f t="shared" si="105"/>
        <v>0.5</v>
      </c>
      <c r="R295" s="177">
        <f t="shared" si="106"/>
        <v>0.4939663087745445</v>
      </c>
      <c r="S295" s="811">
        <f t="shared" si="107"/>
        <v>1</v>
      </c>
      <c r="T295" s="176">
        <f t="shared" si="108"/>
        <v>7</v>
      </c>
      <c r="U295" s="251">
        <f t="shared" si="109"/>
        <v>1.4939663087745445</v>
      </c>
      <c r="V295" s="383">
        <f t="shared" si="110"/>
        <v>38.123513157470555</v>
      </c>
      <c r="W295" s="402">
        <f t="shared" si="111"/>
        <v>15.499353111439541</v>
      </c>
      <c r="X295" s="157">
        <f t="shared" si="112"/>
        <v>45572</v>
      </c>
      <c r="Y295" s="385">
        <f t="shared" si="113"/>
        <v>14.950898628340976</v>
      </c>
      <c r="Z295" s="385">
        <f t="shared" si="114"/>
        <v>15.727843263548554</v>
      </c>
      <c r="AA295" s="386">
        <f t="shared" si="115"/>
        <v>17.136638327622364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8.2209534748888854E-2</v>
      </c>
      <c r="AD295" s="231">
        <f>(INDEX(Models!$BJ295:$BT295,,AH295)*(1-AF295)+INDEX(Models!$BJ295:$BT295,,AH295+1)*AF295-ERP_i)*AE295*Ramure*Pc/MaxiM</f>
        <v>6.207746420618665E-4</v>
      </c>
      <c r="AE295" s="305">
        <f t="shared" si="117"/>
        <v>0.5</v>
      </c>
      <c r="AF295" s="177">
        <f t="shared" si="118"/>
        <v>0.4939663087745445</v>
      </c>
      <c r="AG295" s="811">
        <f t="shared" si="124"/>
        <v>1</v>
      </c>
      <c r="AH295" s="176">
        <f t="shared" si="119"/>
        <v>7</v>
      </c>
      <c r="AI295" s="225">
        <f t="shared" si="120"/>
        <v>1.4939663087745445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36.45407294313096</v>
      </c>
      <c r="C296" s="841"/>
      <c r="D296" s="393">
        <f t="shared" si="102"/>
        <v>38.349300453390917</v>
      </c>
      <c r="E296" s="385">
        <f t="shared" si="100"/>
        <v>40.307454734379235</v>
      </c>
      <c r="F296" s="385">
        <f t="shared" si="103"/>
        <v>40.331562188639573</v>
      </c>
      <c r="G296" s="110">
        <f t="shared" si="101"/>
        <v>0.96378096149901826</v>
      </c>
      <c r="H296" s="414" t="b">
        <f>Wh_hp&gt;='2023'!Maxi_hp</f>
        <v>0</v>
      </c>
      <c r="I296" s="390">
        <f>IF(H296,Wh_hp,'2023'!Maxi_hp)</f>
        <v>40.332218740710523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4.9420132514891191E-2</v>
      </c>
      <c r="M296" s="845"/>
      <c r="N296" s="845"/>
      <c r="O296" s="48">
        <f>IF(t&lt;Tnet,'2023'!Resal+('2023'!Salim-'2023'!Resal)*(1-EXP(('2023'!Tnet-t)/('2023'!Tau_j))),Resal+(Salim-Resal)*(1-EXP((Tnet-t)/(Tau_j))))*Salcycl</f>
        <v>4.8580449792533231E-2</v>
      </c>
      <c r="P296" s="169">
        <f>(INDEX(Models!$BJ296:$BT296,,T296)*(1-R296)+INDEX(Models!$BJ296:$BT296,,T296+1)*R296-ERP_i)*Q296*Ramure*Pc/MaxiM</f>
        <v>6.3031696377141447E-4</v>
      </c>
      <c r="Q296" s="305">
        <f t="shared" si="105"/>
        <v>0.5</v>
      </c>
      <c r="R296" s="177">
        <f t="shared" si="106"/>
        <v>0.49410978408520712</v>
      </c>
      <c r="S296" s="811">
        <f t="shared" si="107"/>
        <v>1</v>
      </c>
      <c r="T296" s="176">
        <f t="shared" si="108"/>
        <v>7</v>
      </c>
      <c r="U296" s="251">
        <f t="shared" si="109"/>
        <v>1.4941097840852071</v>
      </c>
      <c r="V296" s="383">
        <f t="shared" si="110"/>
        <v>37.822789434783125</v>
      </c>
      <c r="W296" s="402">
        <f t="shared" si="111"/>
        <v>36.45407294313096</v>
      </c>
      <c r="X296" s="157">
        <f t="shared" si="112"/>
        <v>45573</v>
      </c>
      <c r="Y296" s="385">
        <f t="shared" si="113"/>
        <v>35.166010276440993</v>
      </c>
      <c r="Z296" s="385">
        <f t="shared" si="114"/>
        <v>36.994272106222446</v>
      </c>
      <c r="AA296" s="386">
        <f t="shared" si="115"/>
        <v>40.307454734379235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8.2197763415979008E-2</v>
      </c>
      <c r="AD296" s="231">
        <f>(INDEX(Models!$BJ296:$BT296,,AH296)*(1-AF296)+INDEX(Models!$BJ296:$BT296,,AH296+1)*AF296-ERP_i)*AE296*Ramure*Pc/MaxiM</f>
        <v>6.3031696377141447E-4</v>
      </c>
      <c r="AE296" s="305">
        <f t="shared" si="117"/>
        <v>0.5</v>
      </c>
      <c r="AF296" s="177">
        <f t="shared" si="118"/>
        <v>0.49410978408520712</v>
      </c>
      <c r="AG296" s="811">
        <f t="shared" si="124"/>
        <v>1</v>
      </c>
      <c r="AH296" s="176">
        <f t="shared" si="119"/>
        <v>7</v>
      </c>
      <c r="AI296" s="225">
        <f t="shared" si="120"/>
        <v>1.4941097840852071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30.045114353525495</v>
      </c>
      <c r="C297" s="841"/>
      <c r="D297" s="393">
        <f t="shared" si="102"/>
        <v>31.607835870269891</v>
      </c>
      <c r="E297" s="385">
        <f t="shared" ref="E297:E360" si="125">Wh_pvt/(1-Psa)</f>
        <v>33.223093429373279</v>
      </c>
      <c r="F297" s="385">
        <f t="shared" si="103"/>
        <v>33.238209158025683</v>
      </c>
      <c r="G297" s="110">
        <f t="shared" ref="G297:G360" si="126">+Wh_hp/MaxiM</f>
        <v>0.80058200543105773</v>
      </c>
      <c r="H297" s="414" t="b">
        <f>Wh_hp&gt;='2023'!Maxi_hp</f>
        <v>0</v>
      </c>
      <c r="I297" s="390">
        <f>IF(H297,Wh_hp,'2023'!Maxi_hp)</f>
        <v>33.241133995143599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4.9440952653588055E-2</v>
      </c>
      <c r="M297" s="845"/>
      <c r="N297" s="845"/>
      <c r="O297" s="48">
        <f>IF(t&lt;Tnet,'2023'!Resal+('2023'!Salim-'2023'!Resal)*(1-EXP(('2023'!Tnet-t)/('2023'!Tau_j))),Resal+(Salim-Resal)*(1-EXP((Tnet-t)/(Tau_j))))*Salcycl</f>
        <v>4.8618517795073854E-2</v>
      </c>
      <c r="P297" s="169">
        <f>(INDEX(Models!$BJ297:$BT297,,T297)*(1-R297)+INDEX(Models!$BJ297:$BT297,,T297+1)*R297-ERP_i)*Q297*Ramure*Pc/MaxiM</f>
        <v>6.3575313408572155E-4</v>
      </c>
      <c r="Q297" s="305">
        <f t="shared" si="105"/>
        <v>0.5</v>
      </c>
      <c r="R297" s="177">
        <f t="shared" si="106"/>
        <v>0.49424756054379815</v>
      </c>
      <c r="S297" s="811">
        <f t="shared" si="107"/>
        <v>1</v>
      </c>
      <c r="T297" s="176">
        <f t="shared" si="108"/>
        <v>7</v>
      </c>
      <c r="U297" s="251">
        <f t="shared" si="109"/>
        <v>1.4942475605437981</v>
      </c>
      <c r="V297" s="383">
        <f t="shared" si="110"/>
        <v>37.522295038069849</v>
      </c>
      <c r="W297" s="402">
        <f t="shared" si="111"/>
        <v>30.045114353525495</v>
      </c>
      <c r="X297" s="157">
        <f t="shared" si="112"/>
        <v>45574</v>
      </c>
      <c r="Y297" s="385">
        <f t="shared" si="113"/>
        <v>28.985074699324048</v>
      </c>
      <c r="Z297" s="385">
        <f t="shared" si="114"/>
        <v>30.492660903327373</v>
      </c>
      <c r="AA297" s="386">
        <f t="shared" si="115"/>
        <v>33.223093429373279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8.2184777039210621E-2</v>
      </c>
      <c r="AD297" s="231">
        <f>(INDEX(Models!$BJ297:$BT297,,AH297)*(1-AF297)+INDEX(Models!$BJ297:$BT297,,AH297+1)*AF297-ERP_i)*AE297*Ramure*Pc/MaxiM</f>
        <v>6.3575313408572155E-4</v>
      </c>
      <c r="AE297" s="305">
        <f t="shared" si="117"/>
        <v>0.5</v>
      </c>
      <c r="AF297" s="177">
        <f t="shared" si="118"/>
        <v>0.49424756054379815</v>
      </c>
      <c r="AG297" s="811">
        <f t="shared" si="124"/>
        <v>1</v>
      </c>
      <c r="AH297" s="176">
        <f t="shared" si="119"/>
        <v>7</v>
      </c>
      <c r="AI297" s="225">
        <f t="shared" si="120"/>
        <v>1.4942475605437981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21.848805005534363</v>
      </c>
      <c r="C298" s="841"/>
      <c r="D298" s="393">
        <f t="shared" si="102"/>
        <v>22.985719426808554</v>
      </c>
      <c r="E298" s="385">
        <f t="shared" si="125"/>
        <v>24.161306587242336</v>
      </c>
      <c r="F298" s="385">
        <f t="shared" si="103"/>
        <v>24.167618463203269</v>
      </c>
      <c r="G298" s="110">
        <f t="shared" si="126"/>
        <v>0.58676521127719905</v>
      </c>
      <c r="H298" s="414" t="b">
        <f>Wh_hp&gt;='2023'!Maxi_hp</f>
        <v>0</v>
      </c>
      <c r="I298" s="390">
        <f>IF(H298,Wh_hp,'2023'!Maxi_hp)</f>
        <v>42.375150802238252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4.946177233627036E-2</v>
      </c>
      <c r="M298" s="845"/>
      <c r="N298" s="845"/>
      <c r="O298" s="48">
        <f>IF(t&lt;Tnet,'2023'!Resal+('2023'!Salim-'2023'!Resal)*(1-EXP(('2023'!Tnet-t)/('2023'!Tau_j))),Resal+(Salim-Resal)*(1-EXP((Tnet-t)/(Tau_j))))*Salcycl</f>
        <v>4.8655777624812498E-2</v>
      </c>
      <c r="P298" s="169">
        <f>(INDEX(Models!$BJ298:$BT298,,T298)*(1-R298)+INDEX(Models!$BJ298:$BT298,,T298+1)*R298-ERP_i)*Q298*Ramure*Pc/MaxiM</f>
        <v>6.3703323038679217E-4</v>
      </c>
      <c r="Q298" s="305">
        <f t="shared" si="105"/>
        <v>0.5</v>
      </c>
      <c r="R298" s="177">
        <f t="shared" si="106"/>
        <v>0.49437986151716462</v>
      </c>
      <c r="S298" s="811">
        <f t="shared" si="107"/>
        <v>1</v>
      </c>
      <c r="T298" s="176">
        <f t="shared" si="108"/>
        <v>7</v>
      </c>
      <c r="U298" s="251">
        <f t="shared" si="109"/>
        <v>1.4943798615171646</v>
      </c>
      <c r="V298" s="383">
        <f t="shared" si="110"/>
        <v>37.222027303649483</v>
      </c>
      <c r="W298" s="402">
        <f t="shared" si="111"/>
        <v>21.848805005534363</v>
      </c>
      <c r="X298" s="157">
        <f t="shared" si="112"/>
        <v>45575</v>
      </c>
      <c r="Y298" s="385">
        <f t="shared" si="113"/>
        <v>21.079095799714239</v>
      </c>
      <c r="Z298" s="385">
        <f t="shared" si="114"/>
        <v>22.175957984902166</v>
      </c>
      <c r="AA298" s="386">
        <f t="shared" si="115"/>
        <v>24.161306587242336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8.2170581097152931E-2</v>
      </c>
      <c r="AD298" s="231">
        <f>(INDEX(Models!$BJ298:$BT298,,AH298)*(1-AF298)+INDEX(Models!$BJ298:$BT298,,AH298+1)*AF298-ERP_i)*AE298*Ramure*Pc/MaxiM</f>
        <v>6.3703323038679217E-4</v>
      </c>
      <c r="AE298" s="305">
        <f t="shared" si="117"/>
        <v>0.5</v>
      </c>
      <c r="AF298" s="177">
        <f t="shared" si="118"/>
        <v>0.49437986151716462</v>
      </c>
      <c r="AG298" s="811">
        <f t="shared" si="124"/>
        <v>1</v>
      </c>
      <c r="AH298" s="176">
        <f t="shared" si="119"/>
        <v>7</v>
      </c>
      <c r="AI298" s="225">
        <f t="shared" si="120"/>
        <v>1.4943798615171646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27.289631416360773</v>
      </c>
      <c r="C299" s="841"/>
      <c r="D299" s="393">
        <f t="shared" si="102"/>
        <v>28.710291020585803</v>
      </c>
      <c r="E299" s="385">
        <f t="shared" si="125"/>
        <v>30.179813532310234</v>
      </c>
      <c r="F299" s="385">
        <f t="shared" si="103"/>
        <v>30.191823305040462</v>
      </c>
      <c r="G299" s="110">
        <f t="shared" si="126"/>
        <v>0.73894133243109594</v>
      </c>
      <c r="H299" s="414" t="b">
        <f>Wh_hp&gt;='2023'!Maxi_hp</f>
        <v>0</v>
      </c>
      <c r="I299" s="390">
        <f>IF(H299,Wh_hp,'2023'!Maxi_hp)</f>
        <v>39.768274465309958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4.9482591562948319E-2</v>
      </c>
      <c r="M299" s="845"/>
      <c r="N299" s="845"/>
      <c r="O299" s="48">
        <f>IF(t&lt;Tnet,'2023'!Resal+('2023'!Salim-'2023'!Resal)*(1-EXP(('2023'!Tnet-t)/('2023'!Tau_j))),Resal+(Salim-Resal)*(1-EXP((Tnet-t)/(Tau_j))))*Salcycl</f>
        <v>4.8692232977224172E-2</v>
      </c>
      <c r="P299" s="169">
        <f>(INDEX(Models!$BJ299:$BT299,,T299)*(1-R299)+INDEX(Models!$BJ299:$BT299,,T299+1)*R299-ERP_i)*Q299*Ramure*Pc/MaxiM</f>
        <v>6.3410934265193178E-4</v>
      </c>
      <c r="Q299" s="305">
        <f t="shared" si="105"/>
        <v>0.5</v>
      </c>
      <c r="R299" s="177">
        <f t="shared" si="106"/>
        <v>0.49450690185206603</v>
      </c>
      <c r="S299" s="811">
        <f t="shared" si="107"/>
        <v>1</v>
      </c>
      <c r="T299" s="176">
        <f t="shared" si="108"/>
        <v>7</v>
      </c>
      <c r="U299" s="251">
        <f t="shared" si="109"/>
        <v>1.494506901852066</v>
      </c>
      <c r="V299" s="383">
        <f t="shared" si="110"/>
        <v>36.921983348955813</v>
      </c>
      <c r="W299" s="402">
        <f t="shared" si="111"/>
        <v>27.289631416360773</v>
      </c>
      <c r="X299" s="157">
        <f t="shared" si="112"/>
        <v>45576</v>
      </c>
      <c r="Y299" s="385">
        <f t="shared" si="113"/>
        <v>26.329698516778169</v>
      </c>
      <c r="Z299" s="385">
        <f t="shared" si="114"/>
        <v>27.700385372291539</v>
      </c>
      <c r="AA299" s="386">
        <f t="shared" si="115"/>
        <v>30.179813532310234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8.2155184867668068E-2</v>
      </c>
      <c r="AD299" s="231">
        <f>(INDEX(Models!$BJ299:$BT299,,AH299)*(1-AF299)+INDEX(Models!$BJ299:$BT299,,AH299+1)*AF299-ERP_i)*AE299*Ramure*Pc/MaxiM</f>
        <v>6.3410934265193178E-4</v>
      </c>
      <c r="AE299" s="305">
        <f t="shared" si="117"/>
        <v>0.5</v>
      </c>
      <c r="AF299" s="177">
        <f t="shared" si="118"/>
        <v>0.49450690185206603</v>
      </c>
      <c r="AG299" s="811">
        <f t="shared" si="124"/>
        <v>1</v>
      </c>
      <c r="AH299" s="176">
        <f t="shared" si="119"/>
        <v>7</v>
      </c>
      <c r="AI299" s="225">
        <f t="shared" si="120"/>
        <v>1.494506901852066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22.521641248184</v>
      </c>
      <c r="C300" s="841"/>
      <c r="D300" s="393">
        <f t="shared" si="102"/>
        <v>23.694605002306503</v>
      </c>
      <c r="E300" s="385">
        <f t="shared" si="125"/>
        <v>24.908335639142123</v>
      </c>
      <c r="F300" s="385">
        <f t="shared" si="103"/>
        <v>24.915364186350345</v>
      </c>
      <c r="G300" s="110">
        <f t="shared" si="126"/>
        <v>0.61476091736565519</v>
      </c>
      <c r="H300" s="414" t="b">
        <f>Wh_hp&gt;='2023'!Maxi_hp</f>
        <v>0</v>
      </c>
      <c r="I300" s="390">
        <f>IF(H300,Wh_hp,'2023'!Maxi_hp)</f>
        <v>39.855056795061437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4.9503410333631703E-2</v>
      </c>
      <c r="M300" s="845"/>
      <c r="N300" s="845"/>
      <c r="O300" s="48">
        <f>IF(t&lt;Tnet,'2023'!Resal+('2023'!Salim-'2023'!Resal)*(1-EXP(('2023'!Tnet-t)/('2023'!Tau_j))),Resal+(Salim-Resal)*(1-EXP((Tnet-t)/(Tau_j))))*Salcycl</f>
        <v>4.8727889908802571E-2</v>
      </c>
      <c r="P300" s="169">
        <f>(INDEX(Models!$BJ300:$BT300,,T300)*(1-R300)+INDEX(Models!$BJ300:$BT300,,T300+1)*R300-ERP_i)*Q300*Ramure*Pc/MaxiM</f>
        <v>6.2693566890299052E-4</v>
      </c>
      <c r="Q300" s="305">
        <f t="shared" si="105"/>
        <v>0.5</v>
      </c>
      <c r="R300" s="177">
        <f t="shared" si="106"/>
        <v>0.49462888818166029</v>
      </c>
      <c r="S300" s="811">
        <f t="shared" si="107"/>
        <v>1</v>
      </c>
      <c r="T300" s="176">
        <f t="shared" si="108"/>
        <v>7</v>
      </c>
      <c r="U300" s="251">
        <f t="shared" si="109"/>
        <v>1.4946288881816603</v>
      </c>
      <c r="V300" s="383">
        <f t="shared" si="110"/>
        <v>36.622160072128935</v>
      </c>
      <c r="W300" s="402">
        <f t="shared" si="111"/>
        <v>22.521641248184</v>
      </c>
      <c r="X300" s="157">
        <f t="shared" si="112"/>
        <v>45577</v>
      </c>
      <c r="Y300" s="385">
        <f t="shared" si="113"/>
        <v>21.730633024828123</v>
      </c>
      <c r="Z300" s="385">
        <f t="shared" si="114"/>
        <v>22.862399782471332</v>
      </c>
      <c r="AA300" s="386">
        <f t="shared" si="115"/>
        <v>24.908335639142123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8.2138601563394392E-2</v>
      </c>
      <c r="AD300" s="231">
        <f>(INDEX(Models!$BJ300:$BT300,,AH300)*(1-AF300)+INDEX(Models!$BJ300:$BT300,,AH300+1)*AF300-ERP_i)*AE300*Ramure*Pc/MaxiM</f>
        <v>6.2693566890299052E-4</v>
      </c>
      <c r="AE300" s="305">
        <f t="shared" si="117"/>
        <v>0.5</v>
      </c>
      <c r="AF300" s="177">
        <f t="shared" si="118"/>
        <v>0.49462888818166029</v>
      </c>
      <c r="AG300" s="811">
        <f t="shared" si="124"/>
        <v>1</v>
      </c>
      <c r="AH300" s="176">
        <f t="shared" si="119"/>
        <v>7</v>
      </c>
      <c r="AI300" s="225">
        <f t="shared" si="120"/>
        <v>1.4946288881816603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19.117076018205644</v>
      </c>
      <c r="C301" s="841"/>
      <c r="D301" s="393">
        <f t="shared" si="102"/>
        <v>20.113165000533673</v>
      </c>
      <c r="E301" s="385">
        <f t="shared" si="125"/>
        <v>21.144215227879947</v>
      </c>
      <c r="F301" s="385">
        <f t="shared" si="103"/>
        <v>21.148423440271969</v>
      </c>
      <c r="G301" s="110">
        <f t="shared" si="126"/>
        <v>0.52609495462705635</v>
      </c>
      <c r="H301" s="414" t="b">
        <f>Wh_hp&gt;='2023'!Maxi_hp</f>
        <v>0</v>
      </c>
      <c r="I301" s="390">
        <f>IF(H301,Wh_hp,'2023'!Maxi_hp)</f>
        <v>41.909965007378638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4.9524228648330615E-2</v>
      </c>
      <c r="M301" s="845"/>
      <c r="N301" s="845"/>
      <c r="O301" s="48">
        <f>IF(t&lt;Tnet,'2023'!Resal+('2023'!Salim-'2023'!Resal)*(1-EXP(('2023'!Tnet-t)/('2023'!Tau_j))),Resal+(Salim-Resal)*(1-EXP((Tnet-t)/(Tau_j))))*Salcycl</f>
        <v>4.8762756916453084E-2</v>
      </c>
      <c r="P301" s="169">
        <f>(INDEX(Models!$BJ301:$BT301,,T301)*(1-R301)+INDEX(Models!$BJ301:$BT301,,T301+1)*R301-ERP_i)*Q301*Ramure*Pc/MaxiM</f>
        <v>6.1546858408849305E-4</v>
      </c>
      <c r="Q301" s="305">
        <f t="shared" si="105"/>
        <v>0.5</v>
      </c>
      <c r="R301" s="177">
        <f t="shared" si="106"/>
        <v>0.4947460192224411</v>
      </c>
      <c r="S301" s="811">
        <f t="shared" si="107"/>
        <v>1</v>
      </c>
      <c r="T301" s="176">
        <f t="shared" si="108"/>
        <v>7</v>
      </c>
      <c r="U301" s="251">
        <f t="shared" si="109"/>
        <v>1.4947460192224411</v>
      </c>
      <c r="V301" s="383">
        <f t="shared" si="110"/>
        <v>36.322554153336071</v>
      </c>
      <c r="W301" s="402">
        <f t="shared" si="111"/>
        <v>19.117076018205644</v>
      </c>
      <c r="X301" s="157">
        <f t="shared" si="112"/>
        <v>45578</v>
      </c>
      <c r="Y301" s="385">
        <f t="shared" si="113"/>
        <v>18.446676308506902</v>
      </c>
      <c r="Z301" s="385">
        <f t="shared" si="114"/>
        <v>19.407834333613707</v>
      </c>
      <c r="AA301" s="386">
        <f t="shared" si="115"/>
        <v>21.144215227879947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8.2120848447319844E-2</v>
      </c>
      <c r="AD301" s="231">
        <f>(INDEX(Models!$BJ301:$BT301,,AH301)*(1-AF301)+INDEX(Models!$BJ301:$BT301,,AH301+1)*AF301-ERP_i)*AE301*Ramure*Pc/MaxiM</f>
        <v>6.1546858408849305E-4</v>
      </c>
      <c r="AE301" s="305">
        <f t="shared" si="117"/>
        <v>0.5</v>
      </c>
      <c r="AF301" s="177">
        <f t="shared" si="118"/>
        <v>0.4947460192224411</v>
      </c>
      <c r="AG301" s="811">
        <f t="shared" si="124"/>
        <v>1</v>
      </c>
      <c r="AH301" s="176">
        <f t="shared" si="119"/>
        <v>7</v>
      </c>
      <c r="AI301" s="225">
        <f t="shared" si="120"/>
        <v>1.4947460192224411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35.403345178176323</v>
      </c>
      <c r="C302" s="841"/>
      <c r="D302" s="393">
        <f t="shared" si="102"/>
        <v>37.24884072419021</v>
      </c>
      <c r="E302" s="385">
        <f t="shared" si="125"/>
        <v>39.159711075983658</v>
      </c>
      <c r="F302" s="385">
        <f t="shared" si="103"/>
        <v>39.182630047040441</v>
      </c>
      <c r="G302" s="110">
        <f t="shared" si="126"/>
        <v>0.98277943994467709</v>
      </c>
      <c r="H302" s="414" t="b">
        <f>Wh_hp&gt;='2023'!Maxi_hp</f>
        <v>0</v>
      </c>
      <c r="I302" s="390">
        <f>IF(H302,Wh_hp,'2023'!Maxi_hp)</f>
        <v>39.182881096445506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4.9545046507054935E-2</v>
      </c>
      <c r="M302" s="845"/>
      <c r="N302" s="845"/>
      <c r="O302" s="48">
        <f>IF(t&lt;Tnet,'2023'!Resal+('2023'!Salim-'2023'!Resal)*(1-EXP(('2023'!Tnet-t)/('2023'!Tau_j))),Resal+(Salim-Resal)*(1-EXP((Tnet-t)/(Tau_j))))*Salcycl</f>
        <v>4.8796845004440564E-2</v>
      </c>
      <c r="P302" s="169">
        <f>(INDEX(Models!$BJ302:$BT302,,T302)*(1-R302)+INDEX(Models!$BJ302:$BT302,,T302+1)*R302-ERP_i)*Q302*Ramure*Pc/MaxiM</f>
        <v>5.9966667947928382E-4</v>
      </c>
      <c r="Q302" s="305">
        <f t="shared" si="105"/>
        <v>0.5</v>
      </c>
      <c r="R302" s="177">
        <f t="shared" si="106"/>
        <v>0.49485848606180705</v>
      </c>
      <c r="S302" s="811">
        <f t="shared" si="107"/>
        <v>1</v>
      </c>
      <c r="T302" s="176">
        <f t="shared" si="108"/>
        <v>7</v>
      </c>
      <c r="U302" s="251">
        <f t="shared" si="109"/>
        <v>1.494858486061807</v>
      </c>
      <c r="V302" s="383">
        <f t="shared" si="110"/>
        <v>36.02316205790418</v>
      </c>
      <c r="W302" s="402">
        <f t="shared" si="111"/>
        <v>35.403345178176323</v>
      </c>
      <c r="X302" s="157">
        <f t="shared" si="112"/>
        <v>45579</v>
      </c>
      <c r="Y302" s="385">
        <f t="shared" si="113"/>
        <v>34.163744559358562</v>
      </c>
      <c r="Z302" s="385">
        <f t="shared" si="114"/>
        <v>35.944622555551916</v>
      </c>
      <c r="AA302" s="386">
        <f t="shared" si="115"/>
        <v>39.159711075983658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8.2101946926864081E-2</v>
      </c>
      <c r="AD302" s="231">
        <f>(INDEX(Models!$BJ302:$BT302,,AH302)*(1-AF302)+INDEX(Models!$BJ302:$BT302,,AH302+1)*AF302-ERP_i)*AE302*Ramure*Pc/MaxiM</f>
        <v>5.9966667947928382E-4</v>
      </c>
      <c r="AE302" s="305">
        <f t="shared" si="117"/>
        <v>0.5</v>
      </c>
      <c r="AF302" s="177">
        <f t="shared" si="118"/>
        <v>0.49485848606180705</v>
      </c>
      <c r="AG302" s="811">
        <f t="shared" si="124"/>
        <v>1</v>
      </c>
      <c r="AH302" s="176">
        <f t="shared" si="119"/>
        <v>7</v>
      </c>
      <c r="AI302" s="225">
        <f t="shared" si="120"/>
        <v>1.494858486061807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31.796019184459528</v>
      </c>
      <c r="C303" s="841"/>
      <c r="D303" s="393">
        <f t="shared" si="102"/>
        <v>33.45420579616308</v>
      </c>
      <c r="E303" s="385">
        <f t="shared" si="125"/>
        <v>35.171643024677508</v>
      </c>
      <c r="F303" s="385">
        <f t="shared" si="103"/>
        <v>35.188832615998066</v>
      </c>
      <c r="G303" s="110">
        <f t="shared" si="126"/>
        <v>0.88998685594810123</v>
      </c>
      <c r="H303" s="414" t="b">
        <f>Wh_hp&gt;='2023'!Maxi_hp</f>
        <v>0</v>
      </c>
      <c r="I303" s="390">
        <f>IF(H303,Wh_hp,'2023'!Maxi_hp)</f>
        <v>38.517225515333379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4.9565863909814767E-2</v>
      </c>
      <c r="M303" s="845"/>
      <c r="N303" s="845"/>
      <c r="O303" s="48">
        <f>IF(t&lt;Tnet,'2023'!Resal+('2023'!Salim-'2023'!Resal)*(1-EXP(('2023'!Tnet-t)/('2023'!Tau_j))),Resal+(Salim-Resal)*(1-EXP((Tnet-t)/(Tau_j))))*Salcycl</f>
        <v>4.8830167737953588E-2</v>
      </c>
      <c r="P303" s="169">
        <f>(INDEX(Models!$BJ303:$BT303,,T303)*(1-R303)+INDEX(Models!$BJ303:$BT303,,T303+1)*R303-ERP_i)*Q303*Ramure*Pc/MaxiM</f>
        <v>5.795044070290937E-4</v>
      </c>
      <c r="Q303" s="305">
        <f t="shared" si="105"/>
        <v>0.5</v>
      </c>
      <c r="R303" s="177">
        <f t="shared" si="106"/>
        <v>0.49496647243643999</v>
      </c>
      <c r="S303" s="811">
        <f t="shared" si="107"/>
        <v>1</v>
      </c>
      <c r="T303" s="176">
        <f t="shared" si="108"/>
        <v>7</v>
      </c>
      <c r="U303" s="251">
        <f t="shared" si="109"/>
        <v>1.49496647243644</v>
      </c>
      <c r="V303" s="383">
        <f t="shared" si="110"/>
        <v>35.723138876965891</v>
      </c>
      <c r="W303" s="402">
        <f t="shared" si="111"/>
        <v>31.796019184459528</v>
      </c>
      <c r="X303" s="157">
        <f t="shared" si="112"/>
        <v>45580</v>
      </c>
      <c r="Y303" s="385">
        <f t="shared" si="113"/>
        <v>30.684468543926492</v>
      </c>
      <c r="Z303" s="385">
        <f t="shared" si="114"/>
        <v>32.284686943330591</v>
      </c>
      <c r="AA303" s="386">
        <f t="shared" si="115"/>
        <v>35.171643024677508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8.2081922625034651E-2</v>
      </c>
      <c r="AD303" s="231">
        <f>(INDEX(Models!$BJ303:$BT303,,AH303)*(1-AF303)+INDEX(Models!$BJ303:$BT303,,AH303+1)*AF303-ERP_i)*AE303*Ramure*Pc/MaxiM</f>
        <v>5.795044070290937E-4</v>
      </c>
      <c r="AE303" s="305">
        <f t="shared" si="117"/>
        <v>0.5</v>
      </c>
      <c r="AF303" s="177">
        <f t="shared" si="118"/>
        <v>0.49496647243643999</v>
      </c>
      <c r="AG303" s="811">
        <f t="shared" si="124"/>
        <v>1</v>
      </c>
      <c r="AH303" s="176">
        <f t="shared" si="119"/>
        <v>7</v>
      </c>
      <c r="AI303" s="225">
        <f t="shared" si="120"/>
        <v>1.49496647243644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19.294870912666596</v>
      </c>
      <c r="C304" s="841"/>
      <c r="D304" s="393">
        <f t="shared" si="102"/>
        <v>20.301557779153725</v>
      </c>
      <c r="E304" s="385">
        <f t="shared" si="125"/>
        <v>21.344509000232755</v>
      </c>
      <c r="F304" s="385">
        <f t="shared" si="103"/>
        <v>21.348662593703217</v>
      </c>
      <c r="G304" s="110">
        <f t="shared" si="126"/>
        <v>0.54451953880136339</v>
      </c>
      <c r="H304" s="414" t="b">
        <f>Wh_hp&gt;='2023'!Maxi_hp</f>
        <v>0</v>
      </c>
      <c r="I304" s="390">
        <f>IF(H304,Wh_hp,'2023'!Maxi_hp)</f>
        <v>36.170374756257267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4.9586680856620102E-2</v>
      </c>
      <c r="M304" s="845"/>
      <c r="N304" s="845"/>
      <c r="O304" s="48">
        <f>IF(t&lt;Tnet,'2023'!Resal+('2023'!Salim-'2023'!Resal)*(1-EXP(('2023'!Tnet-t)/('2023'!Tau_j))),Resal+(Salim-Resal)*(1-EXP((Tnet-t)/(Tau_j))))*Salcycl</f>
        <v>4.8862741282437339E-2</v>
      </c>
      <c r="P304" s="169">
        <f>(INDEX(Models!$BJ304:$BT304,,T304)*(1-R304)+INDEX(Models!$BJ304:$BT304,,T304+1)*R304-ERP_i)*Q304*Ramure*Pc/MaxiM</f>
        <v>5.5652882395873797E-4</v>
      </c>
      <c r="Q304" s="305">
        <f t="shared" si="105"/>
        <v>0.5</v>
      </c>
      <c r="R304" s="177">
        <f t="shared" si="106"/>
        <v>0.49507015500168494</v>
      </c>
      <c r="S304" s="811">
        <f t="shared" si="107"/>
        <v>1</v>
      </c>
      <c r="T304" s="176">
        <f t="shared" si="108"/>
        <v>7</v>
      </c>
      <c r="U304" s="251">
        <f t="shared" si="109"/>
        <v>1.4950701550016849</v>
      </c>
      <c r="V304" s="383">
        <f t="shared" si="110"/>
        <v>35.421842625138694</v>
      </c>
      <c r="W304" s="402">
        <f t="shared" si="111"/>
        <v>19.294870912666596</v>
      </c>
      <c r="X304" s="157">
        <f t="shared" si="112"/>
        <v>45581</v>
      </c>
      <c r="Y304" s="385">
        <f t="shared" si="113"/>
        <v>18.621411476232737</v>
      </c>
      <c r="Z304" s="385">
        <f t="shared" si="114"/>
        <v>19.592961400221601</v>
      </c>
      <c r="AA304" s="386">
        <f t="shared" si="115"/>
        <v>21.344509000232755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8.2060805427384309E-2</v>
      </c>
      <c r="AD304" s="231">
        <f>(INDEX(Models!$BJ304:$BT304,,AH304)*(1-AF304)+INDEX(Models!$BJ304:$BT304,,AH304+1)*AF304-ERP_i)*AE304*Ramure*Pc/MaxiM</f>
        <v>5.5652882395873797E-4</v>
      </c>
      <c r="AE304" s="305">
        <f t="shared" si="117"/>
        <v>0.5</v>
      </c>
      <c r="AF304" s="177">
        <f t="shared" si="118"/>
        <v>0.49507015500168494</v>
      </c>
      <c r="AG304" s="811">
        <f t="shared" si="124"/>
        <v>1</v>
      </c>
      <c r="AH304" s="176">
        <f t="shared" si="119"/>
        <v>7</v>
      </c>
      <c r="AI304" s="225">
        <f t="shared" si="120"/>
        <v>1.4950701550016849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32.753398310163554</v>
      </c>
      <c r="C305" s="841"/>
      <c r="D305" s="393">
        <f t="shared" si="102"/>
        <v>34.46302261302538</v>
      </c>
      <c r="E305" s="385">
        <f t="shared" si="125"/>
        <v>36.234703376488746</v>
      </c>
      <c r="F305" s="385">
        <f t="shared" si="103"/>
        <v>36.252204715644353</v>
      </c>
      <c r="G305" s="110">
        <f t="shared" si="126"/>
        <v>0.93257818006623738</v>
      </c>
      <c r="H305" s="414" t="b">
        <f>Wh_hp&gt;='2023'!Maxi_hp</f>
        <v>0</v>
      </c>
      <c r="I305" s="390">
        <f>IF(H305,Wh_hp,'2023'!Maxi_hp)</f>
        <v>37.794322636082605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4.9607497347480822E-2</v>
      </c>
      <c r="M305" s="845"/>
      <c r="N305" s="845"/>
      <c r="O305" s="48">
        <f>IF(t&lt;Tnet,'2023'!Resal+('2023'!Salim-'2023'!Resal)*(1-EXP(('2023'!Tnet-t)/('2023'!Tau_j))),Resal+(Salim-Resal)*(1-EXP((Tnet-t)/(Tau_j))))*Salcycl</f>
        <v>4.8894584427947613E-2</v>
      </c>
      <c r="P305" s="169">
        <f>(INDEX(Models!$BJ305:$BT305,,T305)*(1-R305)+INDEX(Models!$BJ305:$BT305,,T305+1)*R305-ERP_i)*Q305*Ramure*Pc/MaxiM</f>
        <v>5.3418016171592829E-4</v>
      </c>
      <c r="Q305" s="305">
        <f t="shared" si="105"/>
        <v>0.5</v>
      </c>
      <c r="R305" s="177">
        <f t="shared" si="106"/>
        <v>0.4951697035921252</v>
      </c>
      <c r="S305" s="811">
        <f t="shared" si="107"/>
        <v>1</v>
      </c>
      <c r="T305" s="176">
        <f t="shared" si="108"/>
        <v>7</v>
      </c>
      <c r="U305" s="251">
        <f t="shared" si="109"/>
        <v>1.4951697035921252</v>
      </c>
      <c r="V305" s="383">
        <f t="shared" si="110"/>
        <v>35.119536586785188</v>
      </c>
      <c r="W305" s="402">
        <f t="shared" si="111"/>
        <v>32.753398310163554</v>
      </c>
      <c r="X305" s="157">
        <f t="shared" si="112"/>
        <v>45582</v>
      </c>
      <c r="Y305" s="385">
        <f t="shared" si="113"/>
        <v>31.61201051844089</v>
      </c>
      <c r="Z305" s="385">
        <f t="shared" si="114"/>
        <v>33.262057971009497</v>
      </c>
      <c r="AA305" s="386">
        <f t="shared" si="115"/>
        <v>36.234703376488746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8.2038629503672911E-2</v>
      </c>
      <c r="AD305" s="231">
        <f>(INDEX(Models!$BJ305:$BT305,,AH305)*(1-AF305)+INDEX(Models!$BJ305:$BT305,,AH305+1)*AF305-ERP_i)*AE305*Ramure*Pc/MaxiM</f>
        <v>5.3418016171592829E-4</v>
      </c>
      <c r="AE305" s="305">
        <f t="shared" si="117"/>
        <v>0.5</v>
      </c>
      <c r="AF305" s="177">
        <f t="shared" si="118"/>
        <v>0.4951697035921252</v>
      </c>
      <c r="AG305" s="811">
        <f t="shared" si="124"/>
        <v>1</v>
      </c>
      <c r="AH305" s="176">
        <f t="shared" si="119"/>
        <v>7</v>
      </c>
      <c r="AI305" s="225">
        <f t="shared" si="120"/>
        <v>1.4951697035921252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15.087208673564453</v>
      </c>
      <c r="C306" s="841"/>
      <c r="D306" s="393">
        <f t="shared" si="102"/>
        <v>15.875061185019483</v>
      </c>
      <c r="E306" s="385">
        <f t="shared" si="125"/>
        <v>16.691715353311658</v>
      </c>
      <c r="F306" s="385">
        <f t="shared" si="103"/>
        <v>16.693344838070296</v>
      </c>
      <c r="G306" s="110">
        <f t="shared" si="126"/>
        <v>0.43315389120773429</v>
      </c>
      <c r="H306" s="414" t="b">
        <f>Wh_hp&gt;='2023'!Maxi_hp</f>
        <v>0</v>
      </c>
      <c r="I306" s="390">
        <f>IF(H306,Wh_hp,'2023'!Maxi_hp)</f>
        <v>37.715287299843339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4.9628313382406919E-2</v>
      </c>
      <c r="M306" s="845"/>
      <c r="N306" s="845"/>
      <c r="O306" s="48">
        <f>IF(t&lt;Tnet,'2023'!Resal+('2023'!Salim-'2023'!Resal)*(1-EXP(('2023'!Tnet-t)/('2023'!Tau_j))),Resal+(Salim-Resal)*(1-EXP((Tnet-t)/(Tau_j))))*Salcycl</f>
        <v>4.8925718597888045E-2</v>
      </c>
      <c r="P306" s="169">
        <f>(INDEX(Models!$BJ306:$BT306,,T306)*(1-R306)+INDEX(Models!$BJ306:$BT306,,T306+1)*R306-ERP_i)*Q306*Ramure*Pc/MaxiM</f>
        <v>5.1246607022312359E-4</v>
      </c>
      <c r="Q306" s="305">
        <f t="shared" si="105"/>
        <v>0.5</v>
      </c>
      <c r="R306" s="177">
        <f t="shared" si="106"/>
        <v>0.49526528147355542</v>
      </c>
      <c r="S306" s="811">
        <f t="shared" si="107"/>
        <v>1</v>
      </c>
      <c r="T306" s="176">
        <f t="shared" si="108"/>
        <v>7</v>
      </c>
      <c r="U306" s="251">
        <f t="shared" si="109"/>
        <v>1.4952652814735554</v>
      </c>
      <c r="V306" s="383">
        <f t="shared" si="110"/>
        <v>34.816607656945067</v>
      </c>
      <c r="W306" s="402">
        <f t="shared" si="111"/>
        <v>15.087208673564453</v>
      </c>
      <c r="X306" s="157">
        <f t="shared" si="112"/>
        <v>45583</v>
      </c>
      <c r="Y306" s="385">
        <f t="shared" si="113"/>
        <v>14.562295488052056</v>
      </c>
      <c r="Z306" s="385">
        <f t="shared" si="114"/>
        <v>15.32273708603398</v>
      </c>
      <c r="AA306" s="386">
        <f t="shared" si="115"/>
        <v>16.691715353311658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8.2015433303328569E-2</v>
      </c>
      <c r="AD306" s="231">
        <f>(INDEX(Models!$BJ306:$BT306,,AH306)*(1-AF306)+INDEX(Models!$BJ306:$BT306,,AH306+1)*AF306-ERP_i)*AE306*Ramure*Pc/MaxiM</f>
        <v>5.1246607022312359E-4</v>
      </c>
      <c r="AE306" s="305">
        <f t="shared" si="117"/>
        <v>0.5</v>
      </c>
      <c r="AF306" s="177">
        <f t="shared" si="118"/>
        <v>0.49526528147355542</v>
      </c>
      <c r="AG306" s="811">
        <f t="shared" si="124"/>
        <v>1</v>
      </c>
      <c r="AH306" s="176">
        <f t="shared" si="119"/>
        <v>7</v>
      </c>
      <c r="AI306" s="225">
        <f t="shared" si="120"/>
        <v>1.4952652814735554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6.2504243708258649</v>
      </c>
      <c r="C307" s="841"/>
      <c r="D307" s="393">
        <f t="shared" si="102"/>
        <v>6.5769649518972768</v>
      </c>
      <c r="E307" s="385">
        <f t="shared" si="125"/>
        <v>6.9155224286254802</v>
      </c>
      <c r="F307" s="385">
        <f t="shared" si="103"/>
        <v>6.9155224286254802</v>
      </c>
      <c r="G307" s="110">
        <f t="shared" si="126"/>
        <v>0.18101216437241405</v>
      </c>
      <c r="H307" s="414" t="b">
        <f>Wh_hp&gt;='2023'!Maxi_hp</f>
        <v>0</v>
      </c>
      <c r="I307" s="390">
        <f>IF(H307,Wh_hp,'2023'!Maxi_hp)</f>
        <v>31.908942257613869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4.9649128961408495E-2</v>
      </c>
      <c r="M307" s="845"/>
      <c r="N307" s="845"/>
      <c r="O307" s="48">
        <f>IF(t&lt;Tnet,'2023'!Resal+('2023'!Salim-'2023'!Resal)*(1-EXP(('2023'!Tnet-t)/('2023'!Tau_j))),Resal+(Salim-Resal)*(1-EXP((Tnet-t)/(Tau_j))))*Salcycl</f>
        <v>4.8956167841609437E-2</v>
      </c>
      <c r="P307" s="169">
        <f>(INDEX(Models!$BJ307:$BT307,,T307)*(1-R307)+INDEX(Models!$BJ307:$BT307,,T307+1)*R307-ERP_i)*Q307*Ramure*Pc/MaxiM</f>
        <v>4.9139475204726672E-4</v>
      </c>
      <c r="Q307" s="305">
        <f t="shared" si="105"/>
        <v>0.5</v>
      </c>
      <c r="R307" s="177">
        <f t="shared" si="106"/>
        <v>0.49535704558654881</v>
      </c>
      <c r="S307" s="811">
        <f t="shared" si="107"/>
        <v>1</v>
      </c>
      <c r="T307" s="176">
        <f t="shared" si="108"/>
        <v>7</v>
      </c>
      <c r="U307" s="251">
        <f t="shared" si="109"/>
        <v>1.4953570455865488</v>
      </c>
      <c r="V307" s="383">
        <f t="shared" si="110"/>
        <v>34.513442600678935</v>
      </c>
      <c r="W307" s="402">
        <f t="shared" si="111"/>
        <v>6.2504243708258649</v>
      </c>
      <c r="X307" s="157">
        <f t="shared" si="112"/>
        <v>45584</v>
      </c>
      <c r="Y307" s="385">
        <f t="shared" si="113"/>
        <v>6.0333120410234748</v>
      </c>
      <c r="Z307" s="385">
        <f t="shared" si="114"/>
        <v>6.3485100344359831</v>
      </c>
      <c r="AA307" s="386">
        <f t="shared" si="115"/>
        <v>6.9155224286254802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8.199125952400331E-2</v>
      </c>
      <c r="AD307" s="231">
        <f>(INDEX(Models!$BJ307:$BT307,,AH307)*(1-AF307)+INDEX(Models!$BJ307:$BT307,,AH307+1)*AF307-ERP_i)*AE307*Ramure*Pc/MaxiM</f>
        <v>4.9139475204726672E-4</v>
      </c>
      <c r="AE307" s="305">
        <f t="shared" si="117"/>
        <v>0.5</v>
      </c>
      <c r="AF307" s="177">
        <f t="shared" si="118"/>
        <v>0.49535704558654881</v>
      </c>
      <c r="AG307" s="811">
        <f t="shared" si="124"/>
        <v>1</v>
      </c>
      <c r="AH307" s="176">
        <f t="shared" si="119"/>
        <v>7</v>
      </c>
      <c r="AI307" s="225">
        <f t="shared" si="120"/>
        <v>1.4953570455865488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15.830857287302782</v>
      </c>
      <c r="C308" s="841"/>
      <c r="D308" s="393">
        <f t="shared" si="102"/>
        <v>16.658272764036763</v>
      </c>
      <c r="E308" s="385">
        <f t="shared" si="125"/>
        <v>17.516326828571998</v>
      </c>
      <c r="F308" s="385">
        <f t="shared" si="103"/>
        <v>17.518245099207743</v>
      </c>
      <c r="G308" s="110">
        <f t="shared" si="126"/>
        <v>0.46258217507948546</v>
      </c>
      <c r="H308" s="414" t="b">
        <f>Wh_hp&gt;='2023'!Maxi_hp</f>
        <v>0</v>
      </c>
      <c r="I308" s="390">
        <f>IF(H308,Wh_hp,'2023'!Maxi_hp)</f>
        <v>24.59946864863414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4.9669944084495432E-2</v>
      </c>
      <c r="M308" s="845"/>
      <c r="N308" s="845"/>
      <c r="O308" s="48">
        <f>IF(t&lt;Tnet,'2023'!Resal+('2023'!Salim-'2023'!Resal)*(1-EXP(('2023'!Tnet-t)/('2023'!Tau_j))),Resal+(Salim-Resal)*(1-EXP((Tnet-t)/(Tau_j))))*Salcycl</f>
        <v>4.8985958810474253E-2</v>
      </c>
      <c r="P308" s="169">
        <f>(INDEX(Models!$BJ308:$BT308,,T308)*(1-R308)+INDEX(Models!$BJ308:$BT308,,T308+1)*R308-ERP_i)*Q308*Ramure*Pc/MaxiM</f>
        <v>4.7097488704706539E-4</v>
      </c>
      <c r="Q308" s="305">
        <f t="shared" si="105"/>
        <v>0.5</v>
      </c>
      <c r="R308" s="177">
        <f t="shared" si="106"/>
        <v>0.49544514678183416</v>
      </c>
      <c r="S308" s="811">
        <f t="shared" si="107"/>
        <v>1</v>
      </c>
      <c r="T308" s="176">
        <f t="shared" si="108"/>
        <v>7</v>
      </c>
      <c r="U308" s="251">
        <f t="shared" si="109"/>
        <v>1.4954451467818342</v>
      </c>
      <c r="V308" s="383">
        <f t="shared" si="110"/>
        <v>34.210428063191955</v>
      </c>
      <c r="W308" s="402">
        <f t="shared" si="111"/>
        <v>15.830857287302782</v>
      </c>
      <c r="X308" s="157">
        <f t="shared" si="112"/>
        <v>45585</v>
      </c>
      <c r="Y308" s="385">
        <f t="shared" si="113"/>
        <v>15.281859315237767</v>
      </c>
      <c r="Z308" s="385">
        <f t="shared" si="114"/>
        <v>16.080580867786953</v>
      </c>
      <c r="AA308" s="386">
        <f t="shared" si="115"/>
        <v>17.516326828571998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8.1966155052730943E-2</v>
      </c>
      <c r="AD308" s="231">
        <f>(INDEX(Models!$BJ308:$BT308,,AH308)*(1-AF308)+INDEX(Models!$BJ308:$BT308,,AH308+1)*AF308-ERP_i)*AE308*Ramure*Pc/MaxiM</f>
        <v>4.7097488704706539E-4</v>
      </c>
      <c r="AE308" s="305">
        <f t="shared" si="117"/>
        <v>0.5</v>
      </c>
      <c r="AF308" s="177">
        <f t="shared" si="118"/>
        <v>0.49544514678183416</v>
      </c>
      <c r="AG308" s="811">
        <f t="shared" si="124"/>
        <v>1</v>
      </c>
      <c r="AH308" s="176">
        <f t="shared" si="119"/>
        <v>7</v>
      </c>
      <c r="AI308" s="225">
        <f t="shared" si="120"/>
        <v>1.4954451467818342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31.604183108326406</v>
      </c>
      <c r="C309" s="841"/>
      <c r="D309" s="393">
        <f t="shared" si="102"/>
        <v>33.256735530437737</v>
      </c>
      <c r="E309" s="385">
        <f t="shared" si="125"/>
        <v>34.970835241372086</v>
      </c>
      <c r="F309" s="385">
        <f t="shared" si="103"/>
        <v>34.985088890731582</v>
      </c>
      <c r="G309" s="110">
        <f t="shared" si="126"/>
        <v>0.93201735598264779</v>
      </c>
      <c r="H309" s="414" t="b">
        <f>Wh_hp&gt;='2023'!Maxi_hp</f>
        <v>0</v>
      </c>
      <c r="I309" s="390">
        <f>IF(H309,Wh_hp,'2023'!Maxi_hp)</f>
        <v>34.985698000900676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4.9690758751677833E-2</v>
      </c>
      <c r="M309" s="845"/>
      <c r="N309" s="845"/>
      <c r="O309" s="48">
        <f>IF(t&lt;Tnet,'2023'!Resal+('2023'!Salim-'2023'!Resal)*(1-EXP(('2023'!Tnet-t)/('2023'!Tau_j))),Resal+(Salim-Resal)*(1-EXP((Tnet-t)/(Tau_j))))*Salcycl</f>
        <v>4.9015120717119436E-2</v>
      </c>
      <c r="P309" s="169">
        <f>(INDEX(Models!$BJ309:$BT309,,T309)*(1-R309)+INDEX(Models!$BJ309:$BT309,,T309+1)*R309-ERP_i)*Q309*Ramure*Pc/MaxiM</f>
        <v>4.5121555689231198E-4</v>
      </c>
      <c r="Q309" s="305">
        <f t="shared" si="105"/>
        <v>0.5</v>
      </c>
      <c r="R309" s="177">
        <f t="shared" si="106"/>
        <v>0.49552973004767997</v>
      </c>
      <c r="S309" s="811">
        <f t="shared" si="107"/>
        <v>1</v>
      </c>
      <c r="T309" s="176">
        <f t="shared" si="108"/>
        <v>7</v>
      </c>
      <c r="U309" s="251">
        <f t="shared" si="109"/>
        <v>1.49552973004768</v>
      </c>
      <c r="V309" s="383">
        <f t="shared" si="110"/>
        <v>33.907950576894343</v>
      </c>
      <c r="W309" s="402">
        <f t="shared" si="111"/>
        <v>31.604183108326406</v>
      </c>
      <c r="X309" s="157">
        <f t="shared" si="112"/>
        <v>45586</v>
      </c>
      <c r="Y309" s="385">
        <f t="shared" si="113"/>
        <v>30.509981363536657</v>
      </c>
      <c r="Z309" s="385">
        <f t="shared" si="114"/>
        <v>32.105319025898218</v>
      </c>
      <c r="AA309" s="386">
        <f t="shared" si="115"/>
        <v>34.970835241372086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8.1940170879414034E-2</v>
      </c>
      <c r="AD309" s="231">
        <f>(INDEX(Models!$BJ309:$BT309,,AH309)*(1-AF309)+INDEX(Models!$BJ309:$BT309,,AH309+1)*AF309-ERP_i)*AE309*Ramure*Pc/MaxiM</f>
        <v>4.5121555689231198E-4</v>
      </c>
      <c r="AE309" s="305">
        <f t="shared" si="117"/>
        <v>0.5</v>
      </c>
      <c r="AF309" s="177">
        <f t="shared" si="118"/>
        <v>0.49552973004767997</v>
      </c>
      <c r="AG309" s="811">
        <f t="shared" si="124"/>
        <v>1</v>
      </c>
      <c r="AH309" s="176">
        <f t="shared" si="119"/>
        <v>7</v>
      </c>
      <c r="AI309" s="225">
        <f t="shared" si="120"/>
        <v>1.49552973004768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16.470020946815556</v>
      </c>
      <c r="C310" s="841"/>
      <c r="D310" s="393">
        <f t="shared" si="102"/>
        <v>17.331602151747227</v>
      </c>
      <c r="E310" s="385">
        <f t="shared" si="125"/>
        <v>18.225445147614352</v>
      </c>
      <c r="F310" s="385">
        <f t="shared" si="103"/>
        <v>18.227588753998003</v>
      </c>
      <c r="G310" s="110">
        <f t="shared" si="126"/>
        <v>0.48993173330633188</v>
      </c>
      <c r="H310" s="414" t="b">
        <f>Wh_hp&gt;='2023'!Maxi_hp</f>
        <v>0</v>
      </c>
      <c r="I310" s="390">
        <f>IF(H310,Wh_hp,'2023'!Maxi_hp)</f>
        <v>37.419724893736571</v>
      </c>
      <c r="J310" s="85">
        <f>IF(H310,An,'2023'!An_max)</f>
        <v>2018</v>
      </c>
      <c r="K310" s="197">
        <f t="shared" si="104"/>
        <v>45587</v>
      </c>
      <c r="L310" s="147">
        <f>IF(t&lt;Tvie,1-EXP((T0-t)*PertePVj)+'2023'!Pspv,1-EXP((T0-t)*PertePVj)+Pspv)</f>
        <v>4.9711572962965467E-2</v>
      </c>
      <c r="M310" s="845"/>
      <c r="N310" s="845"/>
      <c r="O310" s="48">
        <f>IF(t&lt;Tnet,'2023'!Resal+('2023'!Salim-'2023'!Resal)*(1-EXP(('2023'!Tnet-t)/('2023'!Tau_j))),Resal+(Salim-Resal)*(1-EXP((Tnet-t)/(Tau_j))))*Salcycl</f>
        <v>4.9043685277784743E-2</v>
      </c>
      <c r="P310" s="169">
        <f>(INDEX(Models!$BJ310:$BT310,,T310)*(1-R310)+INDEX(Models!$BJ310:$BT310,,T310+1)*R310-ERP_i)*Q310*Ramure*Pc/MaxiM</f>
        <v>4.3307479170099408E-4</v>
      </c>
      <c r="Q310" s="305">
        <f t="shared" si="105"/>
        <v>0.5</v>
      </c>
      <c r="R310" s="177">
        <f t="shared" si="106"/>
        <v>0.49561093472950191</v>
      </c>
      <c r="S310" s="811">
        <f t="shared" si="107"/>
        <v>1</v>
      </c>
      <c r="T310" s="176">
        <f t="shared" si="108"/>
        <v>7</v>
      </c>
      <c r="U310" s="251">
        <f t="shared" si="109"/>
        <v>1.4956109347295019</v>
      </c>
      <c r="V310" s="383">
        <f t="shared" si="110"/>
        <v>33.606364678730642</v>
      </c>
      <c r="W310" s="402">
        <f t="shared" si="111"/>
        <v>16.470020946815556</v>
      </c>
      <c r="X310" s="157">
        <f t="shared" si="112"/>
        <v>45587</v>
      </c>
      <c r="Y310" s="385">
        <f t="shared" si="113"/>
        <v>15.900736895106643</v>
      </c>
      <c r="Z310" s="385">
        <f t="shared" si="114"/>
        <v>16.732537661943937</v>
      </c>
      <c r="AA310" s="386">
        <f t="shared" si="115"/>
        <v>18.225445147614352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8.1913361982592234E-2</v>
      </c>
      <c r="AD310" s="231">
        <f>(INDEX(Models!$BJ310:$BT310,,AH310)*(1-AF310)+INDEX(Models!$BJ310:$BT310,,AH310+1)*AF310-ERP_i)*AE310*Ramure*Pc/MaxiM</f>
        <v>4.3307479170099408E-4</v>
      </c>
      <c r="AE310" s="305">
        <f t="shared" si="117"/>
        <v>0.5</v>
      </c>
      <c r="AF310" s="177">
        <f t="shared" si="118"/>
        <v>0.49561093472950191</v>
      </c>
      <c r="AG310" s="811">
        <f t="shared" si="124"/>
        <v>1</v>
      </c>
      <c r="AH310" s="176">
        <f t="shared" si="119"/>
        <v>7</v>
      </c>
      <c r="AI310" s="225">
        <f t="shared" si="120"/>
        <v>1.4956109347295019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24.413242945195442</v>
      </c>
      <c r="C311" s="841"/>
      <c r="D311" s="393">
        <f t="shared" si="102"/>
        <v>25.690913384796239</v>
      </c>
      <c r="E311" s="385">
        <f t="shared" si="125"/>
        <v>27.016666791588559</v>
      </c>
      <c r="F311" s="385">
        <f t="shared" si="103"/>
        <v>27.023643188878886</v>
      </c>
      <c r="G311" s="110">
        <f t="shared" si="126"/>
        <v>0.73288094109340052</v>
      </c>
      <c r="H311" s="414" t="b">
        <f>Wh_hp&gt;='2023'!Maxi_hp</f>
        <v>0</v>
      </c>
      <c r="I311" s="390">
        <f>IF(H311,Wh_hp,'2023'!Maxi_hp)</f>
        <v>38.572719008292552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4.9732386718368549E-2</v>
      </c>
      <c r="M311" s="845"/>
      <c r="N311" s="845"/>
      <c r="O311" s="48">
        <f>IF(t&lt;Tnet,'2023'!Resal+('2023'!Salim-'2023'!Resal)*(1-EXP(('2023'!Tnet-t)/('2023'!Tau_j))),Resal+(Salim-Resal)*(1-EXP((Tnet-t)/(Tau_j))))*Salcycl</f>
        <v>4.9071686637712254E-2</v>
      </c>
      <c r="P311" s="169">
        <f>(INDEX(Models!$BJ311:$BT311,,T311)*(1-R311)+INDEX(Models!$BJ311:$BT311,,T311+1)*R311-ERP_i)*Q311*Ramure*Pc/MaxiM</f>
        <v>4.173494062836117E-4</v>
      </c>
      <c r="Q311" s="305">
        <f t="shared" si="105"/>
        <v>0.5</v>
      </c>
      <c r="R311" s="177">
        <f t="shared" si="106"/>
        <v>0.49568889474189448</v>
      </c>
      <c r="S311" s="811">
        <f t="shared" si="107"/>
        <v>1</v>
      </c>
      <c r="T311" s="176">
        <f t="shared" si="108"/>
        <v>7</v>
      </c>
      <c r="U311" s="251">
        <f t="shared" si="109"/>
        <v>1.4956888947418945</v>
      </c>
      <c r="V311" s="383">
        <f t="shared" si="110"/>
        <v>33.306031333944446</v>
      </c>
      <c r="W311" s="402">
        <f t="shared" si="111"/>
        <v>24.413242945195442</v>
      </c>
      <c r="X311" s="157">
        <f t="shared" si="112"/>
        <v>45588</v>
      </c>
      <c r="Y311" s="385">
        <f t="shared" si="113"/>
        <v>23.570804459036836</v>
      </c>
      <c r="Z311" s="385">
        <f t="shared" si="114"/>
        <v>24.804385764172245</v>
      </c>
      <c r="AA311" s="386">
        <f t="shared" si="115"/>
        <v>27.016666791588559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8.1885787187673822E-2</v>
      </c>
      <c r="AD311" s="231">
        <f>(INDEX(Models!$BJ311:$BT311,,AH311)*(1-AF311)+INDEX(Models!$BJ311:$BT311,,AH311+1)*AF311-ERP_i)*AE311*Ramure*Pc/MaxiM</f>
        <v>4.173494062836117E-4</v>
      </c>
      <c r="AE311" s="305">
        <f t="shared" si="117"/>
        <v>0.5</v>
      </c>
      <c r="AF311" s="177">
        <f t="shared" si="118"/>
        <v>0.49568889474189448</v>
      </c>
      <c r="AG311" s="811">
        <f t="shared" si="124"/>
        <v>1</v>
      </c>
      <c r="AH311" s="176">
        <f t="shared" si="119"/>
        <v>7</v>
      </c>
      <c r="AI311" s="225">
        <f t="shared" si="120"/>
        <v>1.4956888947418945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21.055053823289832</v>
      </c>
      <c r="C312" s="841"/>
      <c r="D312" s="393">
        <f t="shared" si="102"/>
        <v>22.157458276824908</v>
      </c>
      <c r="E312" s="385">
        <f t="shared" si="125"/>
        <v>23.301544571824493</v>
      </c>
      <c r="F312" s="385">
        <f t="shared" si="103"/>
        <v>23.306090251538077</v>
      </c>
      <c r="G312" s="110">
        <f t="shared" si="126"/>
        <v>0.6377567344369276</v>
      </c>
      <c r="H312" s="414" t="b">
        <f>Wh_hp&gt;='2023'!Maxi_hp</f>
        <v>0</v>
      </c>
      <c r="I312" s="390">
        <f>IF(H312,Wh_hp,'2023'!Maxi_hp)</f>
        <v>35.926796289859503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4.9753200017896959E-2</v>
      </c>
      <c r="M312" s="845"/>
      <c r="N312" s="845"/>
      <c r="O312" s="48">
        <f>IF(t&lt;Tnet,'2023'!Resal+('2023'!Salim-'2023'!Resal)*(1-EXP(('2023'!Tnet-t)/('2023'!Tau_j))),Resal+(Salim-Resal)*(1-EXP((Tnet-t)/(Tau_j))))*Salcycl</f>
        <v>4.9099161279762472E-2</v>
      </c>
      <c r="P312" s="169">
        <f>(INDEX(Models!$BJ312:$BT312,,T312)*(1-R312)+INDEX(Models!$BJ312:$BT312,,T312+1)*R312-ERP_i)*Q312*Ramure*Pc/MaxiM</f>
        <v>4.040657023010848E-4</v>
      </c>
      <c r="Q312" s="305">
        <f t="shared" si="105"/>
        <v>0.5</v>
      </c>
      <c r="R312" s="177">
        <f t="shared" si="106"/>
        <v>0.49576373877330271</v>
      </c>
      <c r="S312" s="811">
        <f t="shared" si="107"/>
        <v>1</v>
      </c>
      <c r="T312" s="176">
        <f t="shared" si="108"/>
        <v>7</v>
      </c>
      <c r="U312" s="251">
        <f t="shared" si="109"/>
        <v>1.4957637387733027</v>
      </c>
      <c r="V312" s="383">
        <f t="shared" si="110"/>
        <v>33.007337805695933</v>
      </c>
      <c r="W312" s="402">
        <f t="shared" si="111"/>
        <v>21.055053823289832</v>
      </c>
      <c r="X312" s="157">
        <f t="shared" si="112"/>
        <v>45589</v>
      </c>
      <c r="Y312" s="385">
        <f t="shared" si="113"/>
        <v>20.329711341418939</v>
      </c>
      <c r="Z312" s="385">
        <f t="shared" si="114"/>
        <v>21.394138177368056</v>
      </c>
      <c r="AA312" s="386">
        <f t="shared" si="115"/>
        <v>23.301544571824493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8.1857508998043504E-2</v>
      </c>
      <c r="AD312" s="231">
        <f>(INDEX(Models!$BJ312:$BT312,,AH312)*(1-AF312)+INDEX(Models!$BJ312:$BT312,,AH312+1)*AF312-ERP_i)*AE312*Ramure*Pc/MaxiM</f>
        <v>4.040657023010848E-4</v>
      </c>
      <c r="AE312" s="305">
        <f t="shared" si="117"/>
        <v>0.5</v>
      </c>
      <c r="AF312" s="177">
        <f t="shared" si="118"/>
        <v>0.49576373877330271</v>
      </c>
      <c r="AG312" s="811">
        <f t="shared" si="124"/>
        <v>1</v>
      </c>
      <c r="AH312" s="176">
        <f t="shared" si="119"/>
        <v>7</v>
      </c>
      <c r="AI312" s="225">
        <f t="shared" si="120"/>
        <v>1.4957637387733027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13.19790325634975</v>
      </c>
      <c r="C313" s="841"/>
      <c r="D313" s="393">
        <f t="shared" si="102"/>
        <v>13.889225757858521</v>
      </c>
      <c r="E313" s="385">
        <f t="shared" si="125"/>
        <v>14.606801656629569</v>
      </c>
      <c r="F313" s="385">
        <f t="shared" si="103"/>
        <v>14.607650792314248</v>
      </c>
      <c r="G313" s="110">
        <f t="shared" si="126"/>
        <v>0.4033387147186267</v>
      </c>
      <c r="H313" s="414" t="b">
        <f>Wh_hp&gt;='2023'!Maxi_hp</f>
        <v>0</v>
      </c>
      <c r="I313" s="390">
        <f>IF(H313,Wh_hp,'2023'!Maxi_hp)</f>
        <v>37.208706699200022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4.977401286156069E-2</v>
      </c>
      <c r="M313" s="845"/>
      <c r="N313" s="845"/>
      <c r="O313" s="48">
        <f>IF(t&lt;Tnet,'2023'!Resal+('2023'!Salim-'2023'!Resal)*(1-EXP(('2023'!Tnet-t)/('2023'!Tau_j))),Resal+(Salim-Resal)*(1-EXP((Tnet-t)/(Tau_j))))*Salcycl</f>
        <v>4.9126147916533407E-2</v>
      </c>
      <c r="P313" s="169">
        <f>(INDEX(Models!$BJ313:$BT313,,T313)*(1-R313)+INDEX(Models!$BJ313:$BT313,,T313+1)*R313-ERP_i)*Q313*Ramure*Pc/MaxiM</f>
        <v>3.932455319010252E-4</v>
      </c>
      <c r="Q313" s="305">
        <f t="shared" si="105"/>
        <v>0.5</v>
      </c>
      <c r="R313" s="177">
        <f t="shared" si="106"/>
        <v>0.49583559048353232</v>
      </c>
      <c r="S313" s="811">
        <f t="shared" si="107"/>
        <v>1</v>
      </c>
      <c r="T313" s="176">
        <f t="shared" si="108"/>
        <v>7</v>
      </c>
      <c r="U313" s="251">
        <f t="shared" si="109"/>
        <v>1.4958355904835323</v>
      </c>
      <c r="V313" s="383">
        <f t="shared" si="110"/>
        <v>32.710671425868824</v>
      </c>
      <c r="W313" s="402">
        <f t="shared" si="111"/>
        <v>13.19790325634975</v>
      </c>
      <c r="X313" s="157">
        <f t="shared" si="112"/>
        <v>45590</v>
      </c>
      <c r="Y313" s="385">
        <f t="shared" si="113"/>
        <v>12.744001079118712</v>
      </c>
      <c r="Z313" s="385">
        <f t="shared" si="114"/>
        <v>13.411547622999313</v>
      </c>
      <c r="AA313" s="386">
        <f t="shared" si="115"/>
        <v>14.606801656629569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8.1828593399689703E-2</v>
      </c>
      <c r="AD313" s="231">
        <f>(INDEX(Models!$BJ313:$BT313,,AH313)*(1-AF313)+INDEX(Models!$BJ313:$BT313,,AH313+1)*AF313-ERP_i)*AE313*Ramure*Pc/MaxiM</f>
        <v>3.932455319010252E-4</v>
      </c>
      <c r="AE313" s="305">
        <f t="shared" si="117"/>
        <v>0.5</v>
      </c>
      <c r="AF313" s="177">
        <f t="shared" si="118"/>
        <v>0.49583559048353232</v>
      </c>
      <c r="AG313" s="811">
        <f t="shared" si="124"/>
        <v>1</v>
      </c>
      <c r="AH313" s="176">
        <f t="shared" si="119"/>
        <v>7</v>
      </c>
      <c r="AI313" s="225">
        <f t="shared" si="120"/>
        <v>1.4958355904835323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14.096863403473739</v>
      </c>
      <c r="C314" s="841"/>
      <c r="D314" s="393">
        <f t="shared" si="102"/>
        <v>14.835599487419428</v>
      </c>
      <c r="E314" s="385">
        <f t="shared" si="125"/>
        <v>15.602504513925405</v>
      </c>
      <c r="F314" s="385">
        <f t="shared" si="103"/>
        <v>15.60366168188359</v>
      </c>
      <c r="G314" s="110">
        <f t="shared" si="126"/>
        <v>0.43473285173163656</v>
      </c>
      <c r="H314" s="414" t="b">
        <f>Wh_hp&gt;='2023'!Maxi_hp</f>
        <v>0</v>
      </c>
      <c r="I314" s="390">
        <f>IF(H314,Wh_hp,'2023'!Maxi_hp)</f>
        <v>29.570719829876996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4.9794825249369734E-2</v>
      </c>
      <c r="M314" s="845"/>
      <c r="N314" s="845"/>
      <c r="O314" s="48">
        <f>IF(t&lt;Tnet,'2023'!Resal+('2023'!Salim-'2023'!Resal)*(1-EXP(('2023'!Tnet-t)/('2023'!Tau_j))),Resal+(Salim-Resal)*(1-EXP((Tnet-t)/(Tau_j))))*Salcycl</f>
        <v>4.9152687366410056E-2</v>
      </c>
      <c r="P314" s="169">
        <f>(INDEX(Models!$BJ314:$BT314,,T314)*(1-R314)+INDEX(Models!$BJ314:$BT314,,T314+1)*R314-ERP_i)*Q314*Ramure*Pc/MaxiM</f>
        <v>3.8490983398549152E-4</v>
      </c>
      <c r="Q314" s="305">
        <f t="shared" si="105"/>
        <v>0.5</v>
      </c>
      <c r="R314" s="177">
        <f t="shared" si="106"/>
        <v>0.49590456869430954</v>
      </c>
      <c r="S314" s="811">
        <f t="shared" si="107"/>
        <v>1</v>
      </c>
      <c r="T314" s="176">
        <f t="shared" si="108"/>
        <v>7</v>
      </c>
      <c r="U314" s="251">
        <f t="shared" si="109"/>
        <v>1.4959045686943095</v>
      </c>
      <c r="V314" s="383">
        <f t="shared" si="110"/>
        <v>32.416419474298017</v>
      </c>
      <c r="W314" s="402">
        <f t="shared" si="111"/>
        <v>14.096863403473739</v>
      </c>
      <c r="X314" s="157">
        <f t="shared" si="112"/>
        <v>45591</v>
      </c>
      <c r="Y314" s="385">
        <f t="shared" si="113"/>
        <v>13.612861241095628</v>
      </c>
      <c r="Z314" s="385">
        <f t="shared" si="114"/>
        <v>14.326233536528736</v>
      </c>
      <c r="AA314" s="386">
        <f t="shared" si="115"/>
        <v>15.602504513925405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8.1799109640223619E-2</v>
      </c>
      <c r="AD314" s="231">
        <f>(INDEX(Models!$BJ314:$BT314,,AH314)*(1-AF314)+INDEX(Models!$BJ314:$BT314,,AH314+1)*AF314-ERP_i)*AE314*Ramure*Pc/MaxiM</f>
        <v>3.8490983398549152E-4</v>
      </c>
      <c r="AE314" s="305">
        <f t="shared" si="117"/>
        <v>0.5</v>
      </c>
      <c r="AF314" s="177">
        <f t="shared" si="118"/>
        <v>0.49590456869430954</v>
      </c>
      <c r="AG314" s="811">
        <f t="shared" si="124"/>
        <v>1</v>
      </c>
      <c r="AH314" s="176">
        <f t="shared" si="119"/>
        <v>7</v>
      </c>
      <c r="AI314" s="225">
        <f t="shared" si="120"/>
        <v>1.4959045686943095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16.646590181311506</v>
      </c>
      <c r="C315" s="841"/>
      <c r="D315" s="393">
        <f t="shared" si="102"/>
        <v>17.5193265988196</v>
      </c>
      <c r="E315" s="385">
        <f t="shared" si="125"/>
        <v>18.425469490804478</v>
      </c>
      <c r="F315" s="385">
        <f t="shared" si="103"/>
        <v>18.42764680159047</v>
      </c>
      <c r="G315" s="110">
        <f t="shared" si="126"/>
        <v>0.5180470705113186</v>
      </c>
      <c r="H315" s="414" t="b">
        <f>Wh_hp&gt;='2023'!Maxi_hp</f>
        <v>0</v>
      </c>
      <c r="I315" s="390">
        <f>IF(H315,Wh_hp,'2023'!Maxi_hp)</f>
        <v>24.903019933810778</v>
      </c>
      <c r="J315" s="85">
        <f>IF(H315,An,'2023'!An_max)</f>
        <v>2020</v>
      </c>
      <c r="K315" s="197">
        <f t="shared" si="104"/>
        <v>45592</v>
      </c>
      <c r="L315" s="147">
        <f>IF(t&lt;Tvie,1-EXP((T0-t)*PertePVj)+'2023'!Pspv,1-EXP((T0-t)*PertePVj)+Pspv)</f>
        <v>4.9815637181334083E-2</v>
      </c>
      <c r="M315" s="845"/>
      <c r="N315" s="845"/>
      <c r="O315" s="48">
        <f>IF(t&lt;Tnet,'2023'!Resal+('2023'!Salim-'2023'!Resal)*(1-EXP(('2023'!Tnet-t)/('2023'!Tau_j))),Resal+(Salim-Resal)*(1-EXP((Tnet-t)/(Tau_j))))*Salcycl</f>
        <v>4.9178822414110056E-2</v>
      </c>
      <c r="P315" s="169">
        <f>(INDEX(Models!$BJ315:$BT315,,T315)*(1-R315)+INDEX(Models!$BJ315:$BT315,,T315+1)*R315-ERP_i)*Q315*Ramure*Pc/MaxiM</f>
        <v>3.7907843888322184E-4</v>
      </c>
      <c r="Q315" s="305">
        <f t="shared" si="105"/>
        <v>0.5</v>
      </c>
      <c r="R315" s="177">
        <f t="shared" si="106"/>
        <v>0.49597078757309165</v>
      </c>
      <c r="S315" s="811">
        <f t="shared" si="107"/>
        <v>1</v>
      </c>
      <c r="T315" s="176">
        <f t="shared" si="108"/>
        <v>7</v>
      </c>
      <c r="U315" s="251">
        <f t="shared" si="109"/>
        <v>1.4959707875730917</v>
      </c>
      <c r="V315" s="383">
        <f t="shared" si="110"/>
        <v>32.124969182818852</v>
      </c>
      <c r="W315" s="402">
        <f t="shared" si="111"/>
        <v>16.646590181311506</v>
      </c>
      <c r="X315" s="157">
        <f t="shared" si="112"/>
        <v>45592</v>
      </c>
      <c r="Y315" s="385">
        <f t="shared" si="113"/>
        <v>16.076012341042894</v>
      </c>
      <c r="Z315" s="385">
        <f t="shared" si="114"/>
        <v>16.918834881005989</v>
      </c>
      <c r="AA315" s="386">
        <f t="shared" si="115"/>
        <v>18.425469490804478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8.1769129983385092E-2</v>
      </c>
      <c r="AD315" s="231">
        <f>(INDEX(Models!$BJ315:$BT315,,AH315)*(1-AF315)+INDEX(Models!$BJ315:$BT315,,AH315+1)*AF315-ERP_i)*AE315*Ramure*Pc/MaxiM</f>
        <v>3.7907843888322184E-4</v>
      </c>
      <c r="AE315" s="305">
        <f t="shared" si="117"/>
        <v>0.5</v>
      </c>
      <c r="AF315" s="177">
        <f t="shared" si="118"/>
        <v>0.49597078757309165</v>
      </c>
      <c r="AG315" s="811">
        <f t="shared" si="124"/>
        <v>1</v>
      </c>
      <c r="AH315" s="176">
        <f t="shared" si="119"/>
        <v>7</v>
      </c>
      <c r="AI315" s="225">
        <f t="shared" si="120"/>
        <v>1.4959707875730917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26.140465906159161</v>
      </c>
      <c r="C316" s="841"/>
      <c r="D316" s="393">
        <f t="shared" si="102"/>
        <v>27.511543532925373</v>
      </c>
      <c r="E316" s="385">
        <f t="shared" si="125"/>
        <v>28.935292982184599</v>
      </c>
      <c r="F316" s="385">
        <f t="shared" si="103"/>
        <v>28.94338910773925</v>
      </c>
      <c r="G316" s="110">
        <f t="shared" si="126"/>
        <v>0.82100054768108877</v>
      </c>
      <c r="H316" s="414" t="b">
        <f>Wh_hp&gt;='2023'!Maxi_hp</f>
        <v>0</v>
      </c>
      <c r="I316" s="390">
        <f>IF(H316,Wh_hp,'2023'!Maxi_hp)</f>
        <v>29.923980500554308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4.9836448657463728E-2</v>
      </c>
      <c r="M316" s="845"/>
      <c r="N316" s="845"/>
      <c r="O316" s="48">
        <f>IF(t&lt;Tnet,'2023'!Resal+('2023'!Salim-'2023'!Resal)*(1-EXP(('2023'!Tnet-t)/('2023'!Tau_j))),Resal+(Salim-Resal)*(1-EXP((Tnet-t)/(Tau_j))))*Salcycl</f>
        <v>4.9204597656426916E-2</v>
      </c>
      <c r="P316" s="169">
        <f>(INDEX(Models!$BJ316:$BT316,,T316)*(1-R316)+INDEX(Models!$BJ316:$BT316,,T316+1)*R316-ERP_i)*Q316*Ramure*Pc/MaxiM</f>
        <v>3.7576987498718392E-4</v>
      </c>
      <c r="Q316" s="305">
        <f t="shared" si="105"/>
        <v>0.5</v>
      </c>
      <c r="R316" s="177">
        <f t="shared" si="106"/>
        <v>0.49603435681032781</v>
      </c>
      <c r="S316" s="811">
        <f t="shared" si="107"/>
        <v>1</v>
      </c>
      <c r="T316" s="176">
        <f t="shared" si="108"/>
        <v>7</v>
      </c>
      <c r="U316" s="251">
        <f t="shared" si="109"/>
        <v>1.4960343568103278</v>
      </c>
      <c r="V316" s="383">
        <f t="shared" si="110"/>
        <v>31.836707736597184</v>
      </c>
      <c r="W316" s="402">
        <f t="shared" si="111"/>
        <v>26.140465906159161</v>
      </c>
      <c r="X316" s="157">
        <f t="shared" si="112"/>
        <v>45593</v>
      </c>
      <c r="Y316" s="385">
        <f t="shared" si="113"/>
        <v>25.245996538103952</v>
      </c>
      <c r="Z316" s="385">
        <f t="shared" si="114"/>
        <v>26.570158897836642</v>
      </c>
      <c r="AA316" s="386">
        <f t="shared" si="115"/>
        <v>28.935292982184599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8.1738729440346963E-2</v>
      </c>
      <c r="AD316" s="231">
        <f>(INDEX(Models!$BJ316:$BT316,,AH316)*(1-AF316)+INDEX(Models!$BJ316:$BT316,,AH316+1)*AF316-ERP_i)*AE316*Ramure*Pc/MaxiM</f>
        <v>3.7576987498718392E-4</v>
      </c>
      <c r="AE316" s="305">
        <f t="shared" si="117"/>
        <v>0.5</v>
      </c>
      <c r="AF316" s="177">
        <f t="shared" si="118"/>
        <v>0.49603435681032781</v>
      </c>
      <c r="AG316" s="811">
        <f t="shared" si="124"/>
        <v>1</v>
      </c>
      <c r="AH316" s="176">
        <f t="shared" si="119"/>
        <v>7</v>
      </c>
      <c r="AI316" s="225">
        <f t="shared" si="120"/>
        <v>1.4960343568103278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21.623925520704383</v>
      </c>
      <c r="C317" s="841"/>
      <c r="D317" s="393">
        <f t="shared" si="102"/>
        <v>22.758607315539603</v>
      </c>
      <c r="E317" s="385">
        <f t="shared" si="125"/>
        <v>23.937028656582946</v>
      </c>
      <c r="F317" s="385">
        <f t="shared" si="103"/>
        <v>23.94197187802266</v>
      </c>
      <c r="G317" s="110">
        <f t="shared" si="126"/>
        <v>0.68526576065671463</v>
      </c>
      <c r="H317" s="414" t="b">
        <f>Wh_hp&gt;='2023'!Maxi_hp</f>
        <v>0</v>
      </c>
      <c r="I317" s="390">
        <f>IF(H317,Wh_hp,'2023'!Maxi_hp)</f>
        <v>33.09982659368044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4.9857259677768551E-2</v>
      </c>
      <c r="M317" s="845"/>
      <c r="N317" s="845"/>
      <c r="O317" s="48">
        <f>IF(t&lt;Tnet,'2023'!Resal+('2023'!Salim-'2023'!Resal)*(1-EXP(('2023'!Tnet-t)/('2023'!Tau_j))),Resal+(Salim-Resal)*(1-EXP((Tnet-t)/(Tau_j))))*Salcycl</f>
        <v>4.9230059334004532E-2</v>
      </c>
      <c r="P317" s="169">
        <f>(INDEX(Models!$BJ317:$BT317,,T317)*(1-R317)+INDEX(Models!$BJ317:$BT317,,T317+1)*R317-ERP_i)*Q317*Ramure*Pc/MaxiM</f>
        <v>3.7502268710007223E-4</v>
      </c>
      <c r="Q317" s="305">
        <f t="shared" si="105"/>
        <v>0.5</v>
      </c>
      <c r="R317" s="177">
        <f t="shared" si="106"/>
        <v>0.49609538179037038</v>
      </c>
      <c r="S317" s="811">
        <f t="shared" si="107"/>
        <v>1</v>
      </c>
      <c r="T317" s="176">
        <f t="shared" si="108"/>
        <v>7</v>
      </c>
      <c r="U317" s="251">
        <f t="shared" si="109"/>
        <v>1.4960953817903704</v>
      </c>
      <c r="V317" s="383">
        <f t="shared" si="110"/>
        <v>31.550211857291433</v>
      </c>
      <c r="W317" s="402">
        <f t="shared" si="111"/>
        <v>21.623925520704383</v>
      </c>
      <c r="X317" s="157">
        <f t="shared" si="112"/>
        <v>45594</v>
      </c>
      <c r="Y317" s="385">
        <f t="shared" si="113"/>
        <v>20.885260754397521</v>
      </c>
      <c r="Z317" s="385">
        <f t="shared" si="114"/>
        <v>21.981182266692365</v>
      </c>
      <c r="AA317" s="386">
        <f t="shared" si="115"/>
        <v>23.937028656582946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8.1707985479338191E-2</v>
      </c>
      <c r="AD317" s="231">
        <f>(INDEX(Models!$BJ317:$BT317,,AH317)*(1-AF317)+INDEX(Models!$BJ317:$BT317,,AH317+1)*AF317-ERP_i)*AE317*Ramure*Pc/MaxiM</f>
        <v>3.7502268710007223E-4</v>
      </c>
      <c r="AE317" s="305">
        <f t="shared" si="117"/>
        <v>0.5</v>
      </c>
      <c r="AF317" s="177">
        <f t="shared" si="118"/>
        <v>0.49609538179037038</v>
      </c>
      <c r="AG317" s="811">
        <f t="shared" si="124"/>
        <v>1</v>
      </c>
      <c r="AH317" s="176">
        <f t="shared" si="119"/>
        <v>7</v>
      </c>
      <c r="AI317" s="225">
        <f t="shared" si="120"/>
        <v>1.4960953817903704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21.110608595481285</v>
      </c>
      <c r="C318" s="841"/>
      <c r="D318" s="393">
        <f t="shared" si="102"/>
        <v>22.218841534227078</v>
      </c>
      <c r="E318" s="385">
        <f t="shared" si="125"/>
        <v>23.369933575320399</v>
      </c>
      <c r="F318" s="385">
        <f t="shared" si="103"/>
        <v>23.374662184633159</v>
      </c>
      <c r="G318" s="110">
        <f t="shared" si="126"/>
        <v>0.67511779828472007</v>
      </c>
      <c r="H318" s="414" t="b">
        <f>Wh_hp&gt;='2023'!Maxi_hp</f>
        <v>0</v>
      </c>
      <c r="I318" s="390">
        <f>IF(H318,Wh_hp,'2023'!Maxi_hp)</f>
        <v>33.51042975379562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4.9878070242258654E-2</v>
      </c>
      <c r="M318" s="845"/>
      <c r="N318" s="845"/>
      <c r="O318" s="48">
        <f>IF(t&lt;Tnet,'2023'!Resal+('2023'!Salim-'2023'!Resal)*(1-EXP(('2023'!Tnet-t)/('2023'!Tau_j))),Resal+(Salim-Resal)*(1-EXP((Tnet-t)/(Tau_j))))*Salcycl</f>
        <v>4.9255255150101124E-2</v>
      </c>
      <c r="P318" s="169">
        <f>(INDEX(Models!$BJ318:$BT318,,T318)*(1-R318)+INDEX(Models!$BJ318:$BT318,,T318+1)*R318-ERP_i)*Q318*Ramure*Pc/MaxiM</f>
        <v>3.7738234474106181E-4</v>
      </c>
      <c r="Q318" s="305">
        <f t="shared" si="105"/>
        <v>0.5</v>
      </c>
      <c r="R318" s="177">
        <f t="shared" si="106"/>
        <v>0.49615396375623133</v>
      </c>
      <c r="S318" s="811">
        <f t="shared" si="107"/>
        <v>1</v>
      </c>
      <c r="T318" s="176">
        <f t="shared" si="108"/>
        <v>7</v>
      </c>
      <c r="U318" s="251">
        <f t="shared" si="109"/>
        <v>1.4961539637562313</v>
      </c>
      <c r="V318" s="383">
        <f t="shared" si="110"/>
        <v>31.264042704478754</v>
      </c>
      <c r="W318" s="402">
        <f t="shared" si="111"/>
        <v>21.110608595481285</v>
      </c>
      <c r="X318" s="157">
        <f t="shared" si="112"/>
        <v>45595</v>
      </c>
      <c r="Y318" s="385">
        <f t="shared" si="113"/>
        <v>20.390707382487165</v>
      </c>
      <c r="Z318" s="385">
        <f t="shared" si="114"/>
        <v>21.461148031480878</v>
      </c>
      <c r="AA318" s="386">
        <f t="shared" si="115"/>
        <v>23.369933575320399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8.1676977715301427E-2</v>
      </c>
      <c r="AD318" s="231">
        <f>(INDEX(Models!$BJ318:$BT318,,AH318)*(1-AF318)+INDEX(Models!$BJ318:$BT318,,AH318+1)*AF318-ERP_i)*AE318*Ramure*Pc/MaxiM</f>
        <v>3.7738234474106181E-4</v>
      </c>
      <c r="AE318" s="305">
        <f t="shared" si="117"/>
        <v>0.5</v>
      </c>
      <c r="AF318" s="177">
        <f t="shared" si="118"/>
        <v>0.49615396375623133</v>
      </c>
      <c r="AG318" s="811">
        <f t="shared" si="124"/>
        <v>1</v>
      </c>
      <c r="AH318" s="176">
        <f t="shared" si="119"/>
        <v>7</v>
      </c>
      <c r="AI318" s="225">
        <f t="shared" si="120"/>
        <v>1.4961539637562313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22.456043353346679</v>
      </c>
      <c r="C319" s="841"/>
      <c r="D319" s="393">
        <f t="shared" si="102"/>
        <v>23.635424576324453</v>
      </c>
      <c r="E319" s="385">
        <f t="shared" si="125"/>
        <v>24.860558729825737</v>
      </c>
      <c r="F319" s="385">
        <f t="shared" si="103"/>
        <v>24.866312729112046</v>
      </c>
      <c r="G319" s="110">
        <f t="shared" si="126"/>
        <v>0.72477935330130405</v>
      </c>
      <c r="H319" s="414" t="b">
        <f>Wh_hp&gt;='2023'!Maxi_hp</f>
        <v>0</v>
      </c>
      <c r="I319" s="390">
        <f>IF(H319,Wh_hp,'2023'!Maxi_hp)</f>
        <v>32.377451552901285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4.989888035094403E-2</v>
      </c>
      <c r="M319" s="845"/>
      <c r="N319" s="845"/>
      <c r="O319" s="48">
        <f>IF(t&lt;Tnet,'2023'!Resal+('2023'!Salim-'2023'!Resal)*(1-EXP(('2023'!Tnet-t)/('2023'!Tau_j))),Resal+(Salim-Resal)*(1-EXP((Tnet-t)/(Tau_j))))*Salcycl</f>
        <v>4.9280234077420972E-2</v>
      </c>
      <c r="P319" s="169">
        <f>(INDEX(Models!$BJ319:$BT319,,T319)*(1-R319)+INDEX(Models!$BJ319:$BT319,,T319+1)*R319-ERP_i)*Q319*Ramure*Pc/MaxiM</f>
        <v>3.8122555037370799E-4</v>
      </c>
      <c r="Q319" s="305">
        <f t="shared" si="105"/>
        <v>0.5</v>
      </c>
      <c r="R319" s="177">
        <f t="shared" si="106"/>
        <v>0.49621019996837301</v>
      </c>
      <c r="S319" s="811">
        <f t="shared" si="107"/>
        <v>1</v>
      </c>
      <c r="T319" s="176">
        <f t="shared" si="108"/>
        <v>7</v>
      </c>
      <c r="U319" s="251">
        <f t="shared" si="109"/>
        <v>1.496210199968373</v>
      </c>
      <c r="V319" s="383">
        <f t="shared" si="110"/>
        <v>30.978639118459967</v>
      </c>
      <c r="W319" s="402">
        <f t="shared" si="111"/>
        <v>22.456043353346679</v>
      </c>
      <c r="X319" s="157">
        <f t="shared" si="112"/>
        <v>45596</v>
      </c>
      <c r="Y319" s="385">
        <f t="shared" si="113"/>
        <v>21.69156753334828</v>
      </c>
      <c r="Z319" s="385">
        <f t="shared" si="114"/>
        <v>22.830798832613326</v>
      </c>
      <c r="AA319" s="386">
        <f t="shared" si="115"/>
        <v>24.860558729825737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8.1645787581486093E-2</v>
      </c>
      <c r="AD319" s="231">
        <f>(INDEX(Models!$BJ319:$BT319,,AH319)*(1-AF319)+INDEX(Models!$BJ319:$BT319,,AH319+1)*AF319-ERP_i)*AE319*Ramure*Pc/MaxiM</f>
        <v>3.8122555037370799E-4</v>
      </c>
      <c r="AE319" s="305">
        <f t="shared" si="117"/>
        <v>0.5</v>
      </c>
      <c r="AF319" s="177">
        <f t="shared" si="118"/>
        <v>0.49621019996837301</v>
      </c>
      <c r="AG319" s="811">
        <f t="shared" si="124"/>
        <v>1</v>
      </c>
      <c r="AH319" s="176">
        <f t="shared" si="119"/>
        <v>7</v>
      </c>
      <c r="AI319" s="225">
        <f t="shared" si="120"/>
        <v>1.496210199968373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26.988811428289278</v>
      </c>
      <c r="C320" s="841"/>
      <c r="D320" s="393">
        <f t="shared" si="102"/>
        <v>28.4068737603858</v>
      </c>
      <c r="E320" s="385">
        <f t="shared" si="125"/>
        <v>29.880114168559455</v>
      </c>
      <c r="F320" s="385">
        <f t="shared" si="103"/>
        <v>29.889675670892728</v>
      </c>
      <c r="G320" s="110">
        <f t="shared" si="126"/>
        <v>0.87921647580122109</v>
      </c>
      <c r="H320" s="414" t="b">
        <f>Wh_hp&gt;='2023'!Maxi_hp</f>
        <v>0</v>
      </c>
      <c r="I320" s="390">
        <f>IF(H320,Wh_hp,'2023'!Maxi_hp)</f>
        <v>29.890548238014514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4.991969000383456E-2</v>
      </c>
      <c r="M320" s="845"/>
      <c r="N320" s="845"/>
      <c r="O320" s="48">
        <f>IF(t&lt;Tnet,'2023'!Resal+('2023'!Salim-'2023'!Resal)*(1-EXP(('2023'!Tnet-t)/('2023'!Tau_j))),Resal+(Salim-Resal)*(1-EXP((Tnet-t)/(Tau_j))))*Salcycl</f>
        <v>4.9305046154202219E-2</v>
      </c>
      <c r="P320" s="169">
        <f>(INDEX(Models!$BJ320:$BT320,,T320)*(1-R320)+INDEX(Models!$BJ320:$BT320,,T320+1)*R320-ERP_i)*Q320*Ramure*Pc/MaxiM</f>
        <v>3.865610581539471E-4</v>
      </c>
      <c r="Q320" s="305">
        <f t="shared" si="105"/>
        <v>0.5</v>
      </c>
      <c r="R320" s="177">
        <f t="shared" si="106"/>
        <v>0.49626418385772708</v>
      </c>
      <c r="S320" s="811">
        <f t="shared" si="107"/>
        <v>1</v>
      </c>
      <c r="T320" s="176">
        <f t="shared" si="108"/>
        <v>7</v>
      </c>
      <c r="U320" s="251">
        <f t="shared" si="109"/>
        <v>1.4962641838577271</v>
      </c>
      <c r="V320" s="383">
        <f t="shared" si="110"/>
        <v>30.694387909618836</v>
      </c>
      <c r="W320" s="402">
        <f t="shared" si="111"/>
        <v>26.988811428289278</v>
      </c>
      <c r="X320" s="157">
        <f t="shared" si="112"/>
        <v>45597</v>
      </c>
      <c r="Y320" s="385">
        <f t="shared" si="113"/>
        <v>26.071594292249358</v>
      </c>
      <c r="Z320" s="385">
        <f t="shared" si="114"/>
        <v>27.441463650956607</v>
      </c>
      <c r="AA320" s="386">
        <f t="shared" si="115"/>
        <v>29.880114168559455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8.1614497985046275E-2</v>
      </c>
      <c r="AD320" s="231">
        <f>(INDEX(Models!$BJ320:$BT320,,AH320)*(1-AF320)+INDEX(Models!$BJ320:$BT320,,AH320+1)*AF320-ERP_i)*AE320*Ramure*Pc/MaxiM</f>
        <v>3.865610581539471E-4</v>
      </c>
      <c r="AE320" s="305">
        <f t="shared" si="117"/>
        <v>0.5</v>
      </c>
      <c r="AF320" s="177">
        <f t="shared" si="118"/>
        <v>0.49626418385772708</v>
      </c>
      <c r="AG320" s="811">
        <f t="shared" si="124"/>
        <v>1</v>
      </c>
      <c r="AH320" s="176">
        <f t="shared" si="119"/>
        <v>7</v>
      </c>
      <c r="AI320" s="225">
        <f t="shared" si="120"/>
        <v>1.4962641838577271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9.2673534242657905</v>
      </c>
      <c r="C321" s="841"/>
      <c r="D321" s="393">
        <f t="shared" si="102"/>
        <v>9.7544979198369841</v>
      </c>
      <c r="E321" s="385">
        <f t="shared" si="125"/>
        <v>10.260653302794394</v>
      </c>
      <c r="F321" s="385">
        <f t="shared" si="103"/>
        <v>10.260680578828994</v>
      </c>
      <c r="G321" s="110">
        <f t="shared" si="126"/>
        <v>0.30461104296888519</v>
      </c>
      <c r="H321" s="414" t="b">
        <f>Wh_hp&gt;='2023'!Maxi_hp</f>
        <v>0</v>
      </c>
      <c r="I321" s="390">
        <f>IF(H321,Wh_hp,'2023'!Maxi_hp)</f>
        <v>30.00122544451607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4.9940499200940347E-2</v>
      </c>
      <c r="M321" s="845"/>
      <c r="N321" s="845"/>
      <c r="O321" s="48">
        <f>IF(t&lt;Tnet,'2023'!Resal+('2023'!Salim-'2023'!Resal)*(1-EXP(('2023'!Tnet-t)/('2023'!Tau_j))),Resal+(Salim-Resal)*(1-EXP((Tnet-t)/(Tau_j))))*Salcycl</f>
        <v>4.9329742270851608E-2</v>
      </c>
      <c r="P321" s="169">
        <f>(INDEX(Models!$BJ321:$BT321,,T321)*(1-R321)+INDEX(Models!$BJ321:$BT321,,T321+1)*R321-ERP_i)*Q321*Ramure*Pc/MaxiM</f>
        <v>3.933974708730461E-4</v>
      </c>
      <c r="Q321" s="305">
        <f t="shared" si="105"/>
        <v>0.5</v>
      </c>
      <c r="R321" s="177">
        <f t="shared" si="106"/>
        <v>0.49631600517312036</v>
      </c>
      <c r="S321" s="811">
        <f t="shared" si="107"/>
        <v>1</v>
      </c>
      <c r="T321" s="176">
        <f t="shared" si="108"/>
        <v>7</v>
      </c>
      <c r="U321" s="251">
        <f t="shared" si="109"/>
        <v>1.4963160051731204</v>
      </c>
      <c r="V321" s="383">
        <f t="shared" si="110"/>
        <v>30.411675842144966</v>
      </c>
      <c r="W321" s="402">
        <f t="shared" si="111"/>
        <v>9.2673534242657905</v>
      </c>
      <c r="X321" s="157">
        <f t="shared" si="112"/>
        <v>45598</v>
      </c>
      <c r="Y321" s="385">
        <f t="shared" si="113"/>
        <v>8.9529393315189765</v>
      </c>
      <c r="Z321" s="385">
        <f t="shared" si="114"/>
        <v>9.4235564446110924</v>
      </c>
      <c r="AA321" s="386">
        <f t="shared" si="115"/>
        <v>10.260653302794394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8.1583192948866692E-2</v>
      </c>
      <c r="AD321" s="231">
        <f>(INDEX(Models!$BJ321:$BT321,,AH321)*(1-AF321)+INDEX(Models!$BJ321:$BT321,,AH321+1)*AF321-ERP_i)*AE321*Ramure*Pc/MaxiM</f>
        <v>3.933974708730461E-4</v>
      </c>
      <c r="AE321" s="305">
        <f t="shared" si="117"/>
        <v>0.5</v>
      </c>
      <c r="AF321" s="177">
        <f t="shared" si="118"/>
        <v>0.49631600517312036</v>
      </c>
      <c r="AG321" s="811">
        <f t="shared" si="124"/>
        <v>1</v>
      </c>
      <c r="AH321" s="176">
        <f t="shared" si="119"/>
        <v>7</v>
      </c>
      <c r="AI321" s="225">
        <f t="shared" si="120"/>
        <v>1.4963160051731204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16.253183825159809</v>
      </c>
      <c r="C322" s="841"/>
      <c r="D322" s="393">
        <f t="shared" si="102"/>
        <v>17.107917773281798</v>
      </c>
      <c r="E322" s="385">
        <f t="shared" si="125"/>
        <v>17.996104231120867</v>
      </c>
      <c r="F322" s="385">
        <f t="shared" si="103"/>
        <v>17.998577366127275</v>
      </c>
      <c r="G322" s="110">
        <f t="shared" si="126"/>
        <v>0.53927670661259597</v>
      </c>
      <c r="H322" s="414" t="b">
        <f>Wh_hp&gt;='2023'!Maxi_hp</f>
        <v>0</v>
      </c>
      <c r="I322" s="390">
        <f>IF(H322,Wh_hp,'2023'!Maxi_hp)</f>
        <v>23.180990079496752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4.9961307942271271E-2</v>
      </c>
      <c r="M322" s="845"/>
      <c r="N322" s="845"/>
      <c r="O322" s="48">
        <f>IF(t&lt;Tnet,'2023'!Resal+('2023'!Salim-'2023'!Resal)*(1-EXP(('2023'!Tnet-t)/('2023'!Tau_j))),Resal+(Salim-Resal)*(1-EXP((Tnet-t)/(Tau_j))))*Salcycl</f>
        <v>4.9354373948508043E-2</v>
      </c>
      <c r="P322" s="169">
        <f>(INDEX(Models!$BJ322:$BT322,,T322)*(1-R322)+INDEX(Models!$BJ322:$BT322,,T322+1)*R322-ERP_i)*Q322*Ramure*Pc/MaxiM</f>
        <v>4.017431711274664E-4</v>
      </c>
      <c r="Q322" s="305">
        <f t="shared" si="105"/>
        <v>0.5</v>
      </c>
      <c r="R322" s="177">
        <f t="shared" si="106"/>
        <v>0.49636575012329276</v>
      </c>
      <c r="S322" s="811">
        <f t="shared" si="107"/>
        <v>1</v>
      </c>
      <c r="T322" s="176">
        <f t="shared" si="108"/>
        <v>7</v>
      </c>
      <c r="U322" s="251">
        <f t="shared" si="109"/>
        <v>1.4963657501232928</v>
      </c>
      <c r="V322" s="383">
        <f t="shared" si="110"/>
        <v>30.130889643781583</v>
      </c>
      <c r="W322" s="402">
        <f t="shared" si="111"/>
        <v>16.253183825159809</v>
      </c>
      <c r="X322" s="157">
        <f t="shared" si="112"/>
        <v>45599</v>
      </c>
      <c r="Y322" s="385">
        <f t="shared" si="113"/>
        <v>15.702701894087154</v>
      </c>
      <c r="Z322" s="385">
        <f t="shared" si="114"/>
        <v>16.528486708342385</v>
      </c>
      <c r="AA322" s="386">
        <f t="shared" si="115"/>
        <v>17.996104231120867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8.1551957241974421E-2</v>
      </c>
      <c r="AD322" s="231">
        <f>(INDEX(Models!$BJ322:$BT322,,AH322)*(1-AF322)+INDEX(Models!$BJ322:$BT322,,AH322+1)*AF322-ERP_i)*AE322*Ramure*Pc/MaxiM</f>
        <v>4.017431711274664E-4</v>
      </c>
      <c r="AE322" s="305">
        <f t="shared" si="117"/>
        <v>0.5</v>
      </c>
      <c r="AF322" s="177">
        <f t="shared" si="118"/>
        <v>0.49636575012329276</v>
      </c>
      <c r="AG322" s="811">
        <f t="shared" si="124"/>
        <v>1</v>
      </c>
      <c r="AH322" s="176">
        <f t="shared" si="119"/>
        <v>7</v>
      </c>
      <c r="AI322" s="225">
        <f t="shared" si="120"/>
        <v>1.4963657501232928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28.302012273725865</v>
      </c>
      <c r="C323" s="841"/>
      <c r="D323" s="393">
        <f t="shared" si="102"/>
        <v>29.791031050225342</v>
      </c>
      <c r="E323" s="385">
        <f t="shared" si="125"/>
        <v>31.33849434667906</v>
      </c>
      <c r="F323" s="385">
        <f t="shared" si="103"/>
        <v>31.350440985224918</v>
      </c>
      <c r="G323" s="110">
        <f t="shared" si="126"/>
        <v>0.94803541658506829</v>
      </c>
      <c r="H323" s="414" t="b">
        <f>Wh_hp&gt;='2023'!Maxi_hp</f>
        <v>0</v>
      </c>
      <c r="I323" s="390">
        <f>IF(H323,Wh_hp,'2023'!Maxi_hp)</f>
        <v>31.350870837065635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4.9982116227837436E-2</v>
      </c>
      <c r="M323" s="845"/>
      <c r="N323" s="845"/>
      <c r="O323" s="48">
        <f>IF(t&lt;Tnet,'2023'!Resal+('2023'!Salim-'2023'!Resal)*(1-EXP(('2023'!Tnet-t)/('2023'!Tau_j))),Resal+(Salim-Resal)*(1-EXP((Tnet-t)/(Tau_j))))*Salcycl</f>
        <v>4.9378993110998054E-2</v>
      </c>
      <c r="P323" s="169">
        <f>(INDEX(Models!$BJ323:$BT323,,T323)*(1-R323)+INDEX(Models!$BJ323:$BT323,,T323+1)*R323-ERP_i)*Q323*Ramure*Pc/MaxiM</f>
        <v>4.1160624755284342E-4</v>
      </c>
      <c r="Q323" s="305">
        <f t="shared" si="105"/>
        <v>0.5</v>
      </c>
      <c r="R323" s="177">
        <f t="shared" si="106"/>
        <v>0.49641350151368213</v>
      </c>
      <c r="S323" s="811">
        <f t="shared" si="107"/>
        <v>1</v>
      </c>
      <c r="T323" s="176">
        <f t="shared" si="108"/>
        <v>7</v>
      </c>
      <c r="U323" s="251">
        <f t="shared" si="109"/>
        <v>1.4964135015136821</v>
      </c>
      <c r="V323" s="383">
        <f t="shared" si="110"/>
        <v>29.85241600163857</v>
      </c>
      <c r="W323" s="402">
        <f t="shared" si="111"/>
        <v>28.302012273725865</v>
      </c>
      <c r="X323" s="157">
        <f t="shared" si="112"/>
        <v>45600</v>
      </c>
      <c r="Y323" s="385">
        <f t="shared" si="113"/>
        <v>27.345079955313494</v>
      </c>
      <c r="Z323" s="385">
        <f t="shared" si="114"/>
        <v>28.783752834985062</v>
      </c>
      <c r="AA323" s="386">
        <f t="shared" si="115"/>
        <v>31.33849434667906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8.1520876001010642E-2</v>
      </c>
      <c r="AD323" s="231">
        <f>(INDEX(Models!$BJ323:$BT323,,AH323)*(1-AF323)+INDEX(Models!$BJ323:$BT323,,AH323+1)*AF323-ERP_i)*AE323*Ramure*Pc/MaxiM</f>
        <v>4.1160624755284342E-4</v>
      </c>
      <c r="AE323" s="305">
        <f t="shared" si="117"/>
        <v>0.5</v>
      </c>
      <c r="AF323" s="177">
        <f t="shared" si="118"/>
        <v>0.49641350151368213</v>
      </c>
      <c r="AG323" s="811">
        <f t="shared" si="124"/>
        <v>1</v>
      </c>
      <c r="AH323" s="176">
        <f t="shared" si="119"/>
        <v>7</v>
      </c>
      <c r="AI323" s="225">
        <f t="shared" si="120"/>
        <v>1.4964135015136821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29.157613127218376</v>
      </c>
      <c r="C324" s="841"/>
      <c r="D324" s="393">
        <f t="shared" si="102"/>
        <v>30.692318814029431</v>
      </c>
      <c r="E324" s="385">
        <f t="shared" si="125"/>
        <v>32.287436064546796</v>
      </c>
      <c r="F324" s="385">
        <f t="shared" si="103"/>
        <v>32.30083000730167</v>
      </c>
      <c r="G324" s="110">
        <f t="shared" si="126"/>
        <v>0.98582423617599035</v>
      </c>
      <c r="H324" s="414" t="b">
        <f>Wh_hp&gt;='2023'!Maxi_hp</f>
        <v>0</v>
      </c>
      <c r="I324" s="390">
        <f>IF(H324,Wh_hp,'2023'!Maxi_hp)</f>
        <v>32.30095483773875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5.0002924057648612E-2</v>
      </c>
      <c r="M324" s="845"/>
      <c r="N324" s="845"/>
      <c r="O324" s="48">
        <f>IF(t&lt;Tnet,'2023'!Resal+('2023'!Salim-'2023'!Resal)*(1-EXP(('2023'!Tnet-t)/('2023'!Tau_j))),Resal+(Salim-Resal)*(1-EXP((Tnet-t)/(Tau_j))))*Salcycl</f>
        <v>4.9403651851714733E-2</v>
      </c>
      <c r="P324" s="169">
        <f>(INDEX(Models!$BJ324:$BT324,,T324)*(1-R324)+INDEX(Models!$BJ324:$BT324,,T324+1)*R324-ERP_i)*Q324*Ramure*Pc/MaxiM</f>
        <v>4.2322822039326071E-4</v>
      </c>
      <c r="Q324" s="305">
        <f t="shared" si="105"/>
        <v>0.5</v>
      </c>
      <c r="R324" s="177">
        <f t="shared" si="106"/>
        <v>0.4964593388781513</v>
      </c>
      <c r="S324" s="811">
        <f t="shared" si="107"/>
        <v>1</v>
      </c>
      <c r="T324" s="176">
        <f t="shared" si="108"/>
        <v>7</v>
      </c>
      <c r="U324" s="251">
        <f t="shared" si="109"/>
        <v>1.4964593388781513</v>
      </c>
      <c r="V324" s="383">
        <f t="shared" si="110"/>
        <v>29.57663465507725</v>
      </c>
      <c r="W324" s="402">
        <f t="shared" si="111"/>
        <v>29.157613127218376</v>
      </c>
      <c r="X324" s="157">
        <f t="shared" si="112"/>
        <v>45601</v>
      </c>
      <c r="Y324" s="385">
        <f t="shared" si="113"/>
        <v>28.173428484364138</v>
      </c>
      <c r="Z324" s="385">
        <f t="shared" si="114"/>
        <v>29.656331790724149</v>
      </c>
      <c r="AA324" s="386">
        <f t="shared" si="115"/>
        <v>32.287436064546796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8.1490034345332529E-2</v>
      </c>
      <c r="AD324" s="231">
        <f>(INDEX(Models!$BJ324:$BT324,,AH324)*(1-AF324)+INDEX(Models!$BJ324:$BT324,,AH324+1)*AF324-ERP_i)*AE324*Ramure*Pc/MaxiM</f>
        <v>4.2322822039326071E-4</v>
      </c>
      <c r="AE324" s="305">
        <f t="shared" si="117"/>
        <v>0.5</v>
      </c>
      <c r="AF324" s="177">
        <f t="shared" si="118"/>
        <v>0.4964593388781513</v>
      </c>
      <c r="AG324" s="811">
        <f t="shared" si="124"/>
        <v>1</v>
      </c>
      <c r="AH324" s="176">
        <f t="shared" si="119"/>
        <v>7</v>
      </c>
      <c r="AI324" s="225">
        <f t="shared" si="120"/>
        <v>1.4964593388781513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26.946057209288217</v>
      </c>
      <c r="C325" s="841"/>
      <c r="D325" s="393">
        <f t="shared" si="102"/>
        <v>28.364979316692597</v>
      </c>
      <c r="E325" s="385">
        <f t="shared" si="125"/>
        <v>29.83991882594761</v>
      </c>
      <c r="F325" s="385">
        <f t="shared" si="103"/>
        <v>29.851428322630472</v>
      </c>
      <c r="G325" s="110">
        <f t="shared" si="126"/>
        <v>0.91949027558772234</v>
      </c>
      <c r="H325" s="414" t="b">
        <f>Wh_hp&gt;='2023'!Maxi_hp</f>
        <v>0</v>
      </c>
      <c r="I325" s="390">
        <f>IF(H325,Wh_hp,'2023'!Maxi_hp)</f>
        <v>29.852104958050223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5.0023731431715013E-2</v>
      </c>
      <c r="M325" s="845"/>
      <c r="N325" s="845"/>
      <c r="O325" s="48">
        <f>IF(t&lt;Tnet,'2023'!Resal+('2023'!Salim-'2023'!Resal)*(1-EXP(('2023'!Tnet-t)/('2023'!Tau_j))),Resal+(Salim-Resal)*(1-EXP((Tnet-t)/(Tau_j))))*Salcycl</f>
        <v>4.9428402197008073E-2</v>
      </c>
      <c r="P325" s="169">
        <f>(INDEX(Models!$BJ325:$BT325,,T325)*(1-R325)+INDEX(Models!$BJ325:$BT325,,T325+1)*R325-ERP_i)*Q325*Ramure*Pc/MaxiM</f>
        <v>4.3563470504681001E-4</v>
      </c>
      <c r="Q325" s="305">
        <f t="shared" si="105"/>
        <v>0.5</v>
      </c>
      <c r="R325" s="177">
        <f t="shared" si="106"/>
        <v>0.49650333860582241</v>
      </c>
      <c r="S325" s="811">
        <f t="shared" si="107"/>
        <v>1</v>
      </c>
      <c r="T325" s="176">
        <f t="shared" si="108"/>
        <v>7</v>
      </c>
      <c r="U325" s="251">
        <f t="shared" si="109"/>
        <v>1.4965033386058224</v>
      </c>
      <c r="V325" s="383">
        <f t="shared" si="110"/>
        <v>29.303961194888274</v>
      </c>
      <c r="W325" s="402">
        <f t="shared" si="111"/>
        <v>26.946057209288217</v>
      </c>
      <c r="X325" s="157">
        <f t="shared" si="112"/>
        <v>45602</v>
      </c>
      <c r="Y325" s="385">
        <f t="shared" si="113"/>
        <v>26.038064319914401</v>
      </c>
      <c r="Z325" s="385">
        <f t="shared" si="114"/>
        <v>27.409173451413189</v>
      </c>
      <c r="AA325" s="386">
        <f t="shared" si="115"/>
        <v>29.83991882594761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8.1459516988388686E-2</v>
      </c>
      <c r="AD325" s="231">
        <f>(INDEX(Models!$BJ325:$BT325,,AH325)*(1-AF325)+INDEX(Models!$BJ325:$BT325,,AH325+1)*AF325-ERP_i)*AE325*Ramure*Pc/MaxiM</f>
        <v>4.3563470504681001E-4</v>
      </c>
      <c r="AE325" s="305">
        <f t="shared" si="117"/>
        <v>0.5</v>
      </c>
      <c r="AF325" s="177">
        <f t="shared" si="118"/>
        <v>0.49650333860582241</v>
      </c>
      <c r="AG325" s="811">
        <f t="shared" si="124"/>
        <v>1</v>
      </c>
      <c r="AH325" s="176">
        <f t="shared" si="119"/>
        <v>7</v>
      </c>
      <c r="AI325" s="225">
        <f t="shared" si="120"/>
        <v>1.4965033386058224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20.287478386697718</v>
      </c>
      <c r="C326" s="841"/>
      <c r="D326" s="393">
        <f t="shared" si="102"/>
        <v>21.356241640487976</v>
      </c>
      <c r="E326" s="385">
        <f t="shared" si="125"/>
        <v>22.467324906442403</v>
      </c>
      <c r="F326" s="385">
        <f t="shared" si="103"/>
        <v>22.473070342982187</v>
      </c>
      <c r="G326" s="110">
        <f t="shared" si="126"/>
        <v>0.6985951762889131</v>
      </c>
      <c r="H326" s="414" t="b">
        <f>Wh_hp&gt;='2023'!Maxi_hp</f>
        <v>0</v>
      </c>
      <c r="I326" s="390">
        <f>IF(H326,Wh_hp,'2023'!Maxi_hp)</f>
        <v>27.215230575971084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5.0044538350046408E-2</v>
      </c>
      <c r="M326" s="845"/>
      <c r="N326" s="845"/>
      <c r="O326" s="48">
        <f>IF(t&lt;Tnet,'2023'!Resal+('2023'!Salim-'2023'!Resal)*(1-EXP(('2023'!Tnet-t)/('2023'!Tau_j))),Resal+(Salim-Resal)*(1-EXP((Tnet-t)/(Tau_j))))*Salcycl</f>
        <v>4.945329586771717E-2</v>
      </c>
      <c r="P326" s="169">
        <f>(INDEX(Models!$BJ326:$BT326,,T326)*(1-R326)+INDEX(Models!$BJ326:$BT326,,T326+1)*R326-ERP_i)*Q326*Ramure*Pc/MaxiM</f>
        <v>4.4882759247039735E-4</v>
      </c>
      <c r="Q326" s="305">
        <f t="shared" si="105"/>
        <v>0.5</v>
      </c>
      <c r="R326" s="177">
        <f t="shared" si="106"/>
        <v>0.49654557406318833</v>
      </c>
      <c r="S326" s="811">
        <f t="shared" si="107"/>
        <v>1</v>
      </c>
      <c r="T326" s="176">
        <f t="shared" si="108"/>
        <v>7</v>
      </c>
      <c r="U326" s="251">
        <f t="shared" si="109"/>
        <v>1.4965455740631883</v>
      </c>
      <c r="V326" s="383">
        <f t="shared" si="110"/>
        <v>29.034781750270906</v>
      </c>
      <c r="W326" s="402">
        <f t="shared" si="111"/>
        <v>20.287478386697718</v>
      </c>
      <c r="X326" s="157">
        <f t="shared" si="112"/>
        <v>45603</v>
      </c>
      <c r="Y326" s="385">
        <f t="shared" si="113"/>
        <v>19.605013571584692</v>
      </c>
      <c r="Z326" s="385">
        <f t="shared" si="114"/>
        <v>20.637823943380713</v>
      </c>
      <c r="AA326" s="386">
        <f t="shared" si="115"/>
        <v>22.467324906442403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8.1429407848065113E-2</v>
      </c>
      <c r="AD326" s="231">
        <f>(INDEX(Models!$BJ326:$BT326,,AH326)*(1-AF326)+INDEX(Models!$BJ326:$BT326,,AH326+1)*AF326-ERP_i)*AE326*Ramure*Pc/MaxiM</f>
        <v>4.4882759247039735E-4</v>
      </c>
      <c r="AE326" s="305">
        <f t="shared" si="117"/>
        <v>0.5</v>
      </c>
      <c r="AF326" s="177">
        <f t="shared" si="118"/>
        <v>0.49654557406318833</v>
      </c>
      <c r="AG326" s="811">
        <f t="shared" si="124"/>
        <v>1</v>
      </c>
      <c r="AH326" s="176">
        <f t="shared" si="119"/>
        <v>7</v>
      </c>
      <c r="AI326" s="225">
        <f t="shared" si="120"/>
        <v>1.4965455740631883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9.4863808022981821</v>
      </c>
      <c r="C327" s="841"/>
      <c r="D327" s="393">
        <f t="shared" si="102"/>
        <v>9.9863509037127081</v>
      </c>
      <c r="E327" s="385">
        <f t="shared" si="125"/>
        <v>10.50617969758855</v>
      </c>
      <c r="F327" s="385">
        <f t="shared" si="103"/>
        <v>10.506386265426057</v>
      </c>
      <c r="G327" s="110">
        <f t="shared" si="126"/>
        <v>0.32959149968167872</v>
      </c>
      <c r="H327" s="414" t="b">
        <f>Wh_hp&gt;='2023'!Maxi_hp</f>
        <v>0</v>
      </c>
      <c r="I327" s="390">
        <f>IF(H327,Wh_hp,'2023'!Maxi_hp)</f>
        <v>21.819080346731017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5.0065344812653012E-2</v>
      </c>
      <c r="M327" s="845"/>
      <c r="N327" s="845"/>
      <c r="O327" s="48">
        <f>IF(t&lt;Tnet,'2023'!Resal+('2023'!Salim-'2023'!Resal)*(1-EXP(('2023'!Tnet-t)/('2023'!Tau_j))),Resal+(Salim-Resal)*(1-EXP((Tnet-t)/(Tau_j))))*Salcycl</f>
        <v>4.9478384040504954E-2</v>
      </c>
      <c r="P327" s="169">
        <f>(INDEX(Models!$BJ327:$BT327,,T327)*(1-R327)+INDEX(Models!$BJ327:$BT327,,T327+1)*R327-ERP_i)*Q327*Ramure*Pc/MaxiM</f>
        <v>4.6280826009756793E-4</v>
      </c>
      <c r="Q327" s="305">
        <f t="shared" si="105"/>
        <v>0.5</v>
      </c>
      <c r="R327" s="177">
        <f t="shared" si="106"/>
        <v>0.496586115711658</v>
      </c>
      <c r="S327" s="811">
        <f t="shared" si="107"/>
        <v>1</v>
      </c>
      <c r="T327" s="176">
        <f t="shared" si="108"/>
        <v>7</v>
      </c>
      <c r="U327" s="251">
        <f t="shared" si="109"/>
        <v>1.496586115711658</v>
      </c>
      <c r="V327" s="383">
        <f t="shared" si="110"/>
        <v>28.769482425200533</v>
      </c>
      <c r="W327" s="402">
        <f t="shared" si="111"/>
        <v>9.4863808022981821</v>
      </c>
      <c r="X327" s="157">
        <f t="shared" si="112"/>
        <v>45604</v>
      </c>
      <c r="Y327" s="385">
        <f t="shared" si="113"/>
        <v>9.167799294676815</v>
      </c>
      <c r="Z327" s="385">
        <f t="shared" si="114"/>
        <v>9.650978880088056</v>
      </c>
      <c r="AA327" s="386">
        <f t="shared" si="115"/>
        <v>10.50617969758855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8.1399789658726782E-2</v>
      </c>
      <c r="AD327" s="231">
        <f>(INDEX(Models!$BJ327:$BT327,,AH327)*(1-AF327)+INDEX(Models!$BJ327:$BT327,,AH327+1)*AF327-ERP_i)*AE327*Ramure*Pc/MaxiM</f>
        <v>4.6280826009756793E-4</v>
      </c>
      <c r="AE327" s="305">
        <f t="shared" si="117"/>
        <v>0.5</v>
      </c>
      <c r="AF327" s="177">
        <f t="shared" si="118"/>
        <v>0.496586115711658</v>
      </c>
      <c r="AG327" s="811">
        <f t="shared" si="124"/>
        <v>1</v>
      </c>
      <c r="AH327" s="176">
        <f t="shared" si="119"/>
        <v>7</v>
      </c>
      <c r="AI327" s="225">
        <f t="shared" si="120"/>
        <v>1.496586115711658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19.700199148980648</v>
      </c>
      <c r="C328" s="841"/>
      <c r="D328" s="393">
        <f t="shared" si="102"/>
        <v>20.738932447376282</v>
      </c>
      <c r="E328" s="385">
        <f t="shared" si="125"/>
        <v>21.819056866097185</v>
      </c>
      <c r="F328" s="385">
        <f t="shared" si="103"/>
        <v>21.824879345276372</v>
      </c>
      <c r="G328" s="110">
        <f t="shared" si="126"/>
        <v>0.69088448519965684</v>
      </c>
      <c r="H328" s="414" t="b">
        <f>Wh_hp&gt;='2023'!Maxi_hp</f>
        <v>0</v>
      </c>
      <c r="I328" s="390">
        <f>IF(H328,Wh_hp,'2023'!Maxi_hp)</f>
        <v>21.826965115054627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5.0086150819544595E-2</v>
      </c>
      <c r="M328" s="845"/>
      <c r="N328" s="845"/>
      <c r="O328" s="48">
        <f>IF(t&lt;Tnet,'2023'!Resal+('2023'!Salim-'2023'!Resal)*(1-EXP(('2023'!Tnet-t)/('2023'!Tau_j))),Resal+(Salim-Resal)*(1-EXP((Tnet-t)/(Tau_j))))*Salcycl</f>
        <v>4.9503717110670239E-2</v>
      </c>
      <c r="P328" s="169">
        <f>(INDEX(Models!$BJ328:$BT328,,T328)*(1-R328)+INDEX(Models!$BJ328:$BT328,,T328+1)*R328-ERP_i)*Q328*Ramure*Pc/MaxiM</f>
        <v>4.7757748423227973E-4</v>
      </c>
      <c r="Q328" s="305">
        <f t="shared" si="105"/>
        <v>0.5</v>
      </c>
      <c r="R328" s="177">
        <f t="shared" si="106"/>
        <v>0.49662503122069301</v>
      </c>
      <c r="S328" s="811">
        <f t="shared" si="107"/>
        <v>1</v>
      </c>
      <c r="T328" s="176">
        <f t="shared" si="108"/>
        <v>7</v>
      </c>
      <c r="U328" s="251">
        <f t="shared" si="109"/>
        <v>1.496625031220693</v>
      </c>
      <c r="V328" s="383">
        <f t="shared" si="110"/>
        <v>28.508449305943319</v>
      </c>
      <c r="W328" s="402">
        <f t="shared" si="111"/>
        <v>19.700199148980648</v>
      </c>
      <c r="X328" s="157">
        <f t="shared" si="112"/>
        <v>45605</v>
      </c>
      <c r="Y328" s="385">
        <f t="shared" si="113"/>
        <v>19.039716010661884</v>
      </c>
      <c r="Z328" s="385">
        <f t="shared" si="114"/>
        <v>20.043623984520835</v>
      </c>
      <c r="AA328" s="386">
        <f t="shared" si="115"/>
        <v>21.819056866097185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8.1370743587686686E-2</v>
      </c>
      <c r="AD328" s="231">
        <f>(INDEX(Models!$BJ328:$BT328,,AH328)*(1-AF328)+INDEX(Models!$BJ328:$BT328,,AH328+1)*AF328-ERP_i)*AE328*Ramure*Pc/MaxiM</f>
        <v>4.7757748423227973E-4</v>
      </c>
      <c r="AE328" s="305">
        <f t="shared" si="117"/>
        <v>0.5</v>
      </c>
      <c r="AF328" s="177">
        <f t="shared" si="118"/>
        <v>0.49662503122069301</v>
      </c>
      <c r="AG328" s="811">
        <f t="shared" si="124"/>
        <v>1</v>
      </c>
      <c r="AH328" s="176">
        <f t="shared" si="119"/>
        <v>7</v>
      </c>
      <c r="AI328" s="225">
        <f t="shared" si="120"/>
        <v>1.496625031220693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26.681299426771741</v>
      </c>
      <c r="C329" s="841"/>
      <c r="D329" s="393">
        <f t="shared" si="102"/>
        <v>28.088740733198925</v>
      </c>
      <c r="E329" s="385">
        <f t="shared" si="125"/>
        <v>29.552454428153663</v>
      </c>
      <c r="F329" s="385">
        <f t="shared" si="103"/>
        <v>29.565876373756225</v>
      </c>
      <c r="G329" s="110">
        <f t="shared" si="126"/>
        <v>0.94436462024098244</v>
      </c>
      <c r="H329" s="414" t="b">
        <f>Wh_hp&gt;='2023'!Maxi_hp</f>
        <v>0</v>
      </c>
      <c r="I329" s="390">
        <f>IF(H329,Wh_hp,'2023'!Maxi_hp)</f>
        <v>29.566400484351405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5.010695637073137E-2</v>
      </c>
      <c r="M329" s="845"/>
      <c r="N329" s="845"/>
      <c r="O329" s="48">
        <f>IF(t&lt;Tnet,'2023'!Resal+('2023'!Salim-'2023'!Resal)*(1-EXP(('2023'!Tnet-t)/('2023'!Tau_j))),Resal+(Salim-Resal)*(1-EXP((Tnet-t)/(Tau_j))))*Salcycl</f>
        <v>4.9529344458114001E-2</v>
      </c>
      <c r="P329" s="169">
        <f>(INDEX(Models!$BJ329:$BT329,,T329)*(1-R329)+INDEX(Models!$BJ329:$BT329,,T329+1)*R329-ERP_i)*Q329*Ramure*Pc/MaxiM</f>
        <v>4.9313534274479643E-4</v>
      </c>
      <c r="Q329" s="305">
        <f t="shared" si="105"/>
        <v>0.5</v>
      </c>
      <c r="R329" s="177">
        <f t="shared" si="106"/>
        <v>0.49666238557669029</v>
      </c>
      <c r="S329" s="811">
        <f t="shared" si="107"/>
        <v>1</v>
      </c>
      <c r="T329" s="176">
        <f t="shared" si="108"/>
        <v>7</v>
      </c>
      <c r="U329" s="251">
        <f t="shared" si="109"/>
        <v>1.4966623855766903</v>
      </c>
      <c r="V329" s="383">
        <f t="shared" si="110"/>
        <v>28.252068459684128</v>
      </c>
      <c r="W329" s="402">
        <f t="shared" si="111"/>
        <v>26.681299426771741</v>
      </c>
      <c r="X329" s="157">
        <f t="shared" si="112"/>
        <v>45606</v>
      </c>
      <c r="Y329" s="385">
        <f t="shared" si="113"/>
        <v>25.788255237420682</v>
      </c>
      <c r="Z329" s="385">
        <f t="shared" si="114"/>
        <v>27.148588370424488</v>
      </c>
      <c r="AA329" s="386">
        <f t="shared" si="115"/>
        <v>29.552454428153663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8.1342348858817262E-2</v>
      </c>
      <c r="AD329" s="231">
        <f>(INDEX(Models!$BJ329:$BT329,,AH329)*(1-AF329)+INDEX(Models!$BJ329:$BT329,,AH329+1)*AF329-ERP_i)*AE329*Ramure*Pc/MaxiM</f>
        <v>4.9313534274479643E-4</v>
      </c>
      <c r="AE329" s="305">
        <f t="shared" si="117"/>
        <v>0.5</v>
      </c>
      <c r="AF329" s="177">
        <f t="shared" si="118"/>
        <v>0.49666238557669029</v>
      </c>
      <c r="AG329" s="811">
        <f t="shared" si="124"/>
        <v>1</v>
      </c>
      <c r="AH329" s="176">
        <f t="shared" si="119"/>
        <v>7</v>
      </c>
      <c r="AI329" s="225">
        <f t="shared" si="120"/>
        <v>1.4966623855766903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26.725734472336644</v>
      </c>
      <c r="C330" s="841"/>
      <c r="D330" s="393">
        <f t="shared" si="102"/>
        <v>28.136135985604227</v>
      </c>
      <c r="E330" s="385">
        <f t="shared" si="125"/>
        <v>29.603128310889769</v>
      </c>
      <c r="F330" s="385">
        <f t="shared" si="103"/>
        <v>29.617236182873306</v>
      </c>
      <c r="G330" s="110">
        <f t="shared" si="126"/>
        <v>0.95443412379343717</v>
      </c>
      <c r="H330" s="414" t="b">
        <f>Wh_hp&gt;='2023'!Maxi_hp</f>
        <v>0</v>
      </c>
      <c r="I330" s="390">
        <f>IF(H330,Wh_hp,'2023'!Maxi_hp)</f>
        <v>29.617679160087185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5.0127761466222998E-2</v>
      </c>
      <c r="M330" s="845"/>
      <c r="N330" s="845"/>
      <c r="O330" s="48">
        <f>IF(t&lt;Tnet,'2023'!Resal+('2023'!Salim-'2023'!Resal)*(1-EXP(('2023'!Tnet-t)/('2023'!Tau_j))),Resal+(Salim-Resal)*(1-EXP((Tnet-t)/(Tau_j))))*Salcycl</f>
        <v>4.955531421812253E-2</v>
      </c>
      <c r="P330" s="169">
        <f>(INDEX(Models!$BJ330:$BT330,,T330)*(1-R330)+INDEX(Models!$BJ330:$BT330,,T330+1)*R330-ERP_i)*Q330*Ramure*Pc/MaxiM</f>
        <v>5.0948110722018954E-4</v>
      </c>
      <c r="Q330" s="305">
        <f t="shared" si="105"/>
        <v>0.5</v>
      </c>
      <c r="R330" s="177">
        <f t="shared" si="106"/>
        <v>0.49669824118775341</v>
      </c>
      <c r="S330" s="811">
        <f t="shared" si="107"/>
        <v>1</v>
      </c>
      <c r="T330" s="176">
        <f t="shared" si="108"/>
        <v>7</v>
      </c>
      <c r="U330" s="251">
        <f t="shared" si="109"/>
        <v>1.4966982411877534</v>
      </c>
      <c r="V330" s="383">
        <f t="shared" si="110"/>
        <v>28.00072593958043</v>
      </c>
      <c r="W330" s="402">
        <f t="shared" si="111"/>
        <v>26.725734472336644</v>
      </c>
      <c r="X330" s="157">
        <f t="shared" si="112"/>
        <v>45607</v>
      </c>
      <c r="Y330" s="385">
        <f t="shared" si="113"/>
        <v>25.832686772285559</v>
      </c>
      <c r="Z330" s="385">
        <f t="shared" si="114"/>
        <v>27.195959334658415</v>
      </c>
      <c r="AA330" s="386">
        <f t="shared" si="115"/>
        <v>29.603128310889769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8.1314682385977943E-2</v>
      </c>
      <c r="AD330" s="231">
        <f>(INDEX(Models!$BJ330:$BT330,,AH330)*(1-AF330)+INDEX(Models!$BJ330:$BT330,,AH330+1)*AF330-ERP_i)*AE330*Ramure*Pc/MaxiM</f>
        <v>5.0948110722018954E-4</v>
      </c>
      <c r="AE330" s="305">
        <f t="shared" si="117"/>
        <v>0.5</v>
      </c>
      <c r="AF330" s="177">
        <f t="shared" si="118"/>
        <v>0.49669824118775341</v>
      </c>
      <c r="AG330" s="811">
        <f t="shared" si="124"/>
        <v>1</v>
      </c>
      <c r="AH330" s="176">
        <f t="shared" si="119"/>
        <v>7</v>
      </c>
      <c r="AI330" s="225">
        <f t="shared" si="120"/>
        <v>1.4966982411877534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25.816095248077204</v>
      </c>
      <c r="C331" s="841"/>
      <c r="D331" s="393">
        <f t="shared" si="102"/>
        <v>27.179087515026058</v>
      </c>
      <c r="E331" s="385">
        <f t="shared" si="125"/>
        <v>28.59697329542545</v>
      </c>
      <c r="F331" s="385">
        <f t="shared" si="103"/>
        <v>28.610537936540911</v>
      </c>
      <c r="G331" s="110">
        <f t="shared" si="126"/>
        <v>0.93013922949076422</v>
      </c>
      <c r="H331" s="414" t="b">
        <f>Wh_hp&gt;='2023'!Maxi_hp</f>
        <v>0</v>
      </c>
      <c r="I331" s="390">
        <f>IF(H331,Wh_hp,'2023'!Maxi_hp)</f>
        <v>29.179515996539571</v>
      </c>
      <c r="J331" s="85">
        <f>IF(H331,An,'2023'!An_max)</f>
        <v>2020</v>
      </c>
      <c r="K331" s="197">
        <f t="shared" si="104"/>
        <v>45608</v>
      </c>
      <c r="L331" s="147">
        <f>IF(t&lt;Tvie,1-EXP((T0-t)*PertePVj)+'2023'!Pspv,1-EXP((T0-t)*PertePVj)+Pspv)</f>
        <v>5.0148566106029802E-2</v>
      </c>
      <c r="M331" s="845"/>
      <c r="N331" s="845"/>
      <c r="O331" s="48">
        <f>IF(t&lt;Tnet,'2023'!Resal+('2023'!Salim-'2023'!Resal)*(1-EXP(('2023'!Tnet-t)/('2023'!Tau_j))),Resal+(Salim-Resal)*(1-EXP((Tnet-t)/(Tau_j))))*Salcycl</f>
        <v>4.9581673058603171E-2</v>
      </c>
      <c r="P331" s="169">
        <f>(INDEX(Models!$BJ331:$BT331,,T331)*(1-R331)+INDEX(Models!$BJ331:$BT331,,T331+1)*R331-ERP_i)*Q331*Ramure*Pc/MaxiM</f>
        <v>5.2663548760771279E-4</v>
      </c>
      <c r="Q331" s="305">
        <f t="shared" si="105"/>
        <v>0.5</v>
      </c>
      <c r="R331" s="177">
        <f t="shared" si="106"/>
        <v>0.49673265798450417</v>
      </c>
      <c r="S331" s="811">
        <f t="shared" si="107"/>
        <v>1</v>
      </c>
      <c r="T331" s="176">
        <f t="shared" si="108"/>
        <v>7</v>
      </c>
      <c r="U331" s="251">
        <f t="shared" si="109"/>
        <v>1.4967326579845042</v>
      </c>
      <c r="V331" s="383">
        <f t="shared" si="110"/>
        <v>27.753628567375682</v>
      </c>
      <c r="W331" s="402">
        <f t="shared" si="111"/>
        <v>25.816095248077204</v>
      </c>
      <c r="X331" s="157">
        <f t="shared" si="112"/>
        <v>45608</v>
      </c>
      <c r="Y331" s="385">
        <f t="shared" si="113"/>
        <v>24.954865150374655</v>
      </c>
      <c r="Z331" s="385">
        <f t="shared" si="114"/>
        <v>26.272387722857626</v>
      </c>
      <c r="AA331" s="386">
        <f t="shared" si="115"/>
        <v>28.59697329542545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8.1287818418870145E-2</v>
      </c>
      <c r="AD331" s="231">
        <f>(INDEX(Models!$BJ331:$BT331,,AH331)*(1-AF331)+INDEX(Models!$BJ331:$BT331,,AH331+1)*AF331-ERP_i)*AE331*Ramure*Pc/MaxiM</f>
        <v>5.2663548760771279E-4</v>
      </c>
      <c r="AE331" s="305">
        <f t="shared" si="117"/>
        <v>0.5</v>
      </c>
      <c r="AF331" s="177">
        <f t="shared" si="118"/>
        <v>0.49673265798450417</v>
      </c>
      <c r="AG331" s="811">
        <f t="shared" si="124"/>
        <v>1</v>
      </c>
      <c r="AH331" s="176">
        <f t="shared" si="119"/>
        <v>7</v>
      </c>
      <c r="AI331" s="225">
        <f t="shared" si="120"/>
        <v>1.4967326579845042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9.0903139479087383</v>
      </c>
      <c r="C332" s="841"/>
      <c r="D332" s="393">
        <f t="shared" si="102"/>
        <v>9.5704577885488025</v>
      </c>
      <c r="E332" s="385">
        <f t="shared" si="125"/>
        <v>10.070015825919635</v>
      </c>
      <c r="F332" s="385">
        <f t="shared" si="103"/>
        <v>10.070254171538648</v>
      </c>
      <c r="G332" s="110">
        <f t="shared" si="126"/>
        <v>0.33026709086137029</v>
      </c>
      <c r="H332" s="414" t="b">
        <f>Wh_hp&gt;='2023'!Maxi_hp</f>
        <v>0</v>
      </c>
      <c r="I332" s="390">
        <f>IF(H332,Wh_hp,'2023'!Maxi_hp)</f>
        <v>19.900379192311398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5.0169370290161441E-2</v>
      </c>
      <c r="M332" s="845"/>
      <c r="N332" s="845"/>
      <c r="O332" s="48">
        <f>IF(t&lt;Tnet,'2023'!Resal+('2023'!Salim-'2023'!Resal)*(1-EXP(('2023'!Tnet-t)/('2023'!Tau_j))),Resal+(Salim-Resal)*(1-EXP((Tnet-t)/(Tau_j))))*Salcycl</f>
        <v>4.9608465965366041E-2</v>
      </c>
      <c r="P332" s="169">
        <f>(INDEX(Models!$BJ332:$BT332,,T332)*(1-R332)+INDEX(Models!$BJ332:$BT332,,T332+1)*R332-ERP_i)*Q332*Ramure*Pc/MaxiM</f>
        <v>5.4429275221141245E-4</v>
      </c>
      <c r="Q332" s="305">
        <f t="shared" si="105"/>
        <v>0.5</v>
      </c>
      <c r="R332" s="177">
        <f t="shared" si="106"/>
        <v>0.4967656935170659</v>
      </c>
      <c r="S332" s="811">
        <f t="shared" si="107"/>
        <v>1</v>
      </c>
      <c r="T332" s="176">
        <f t="shared" si="108"/>
        <v>7</v>
      </c>
      <c r="U332" s="251">
        <f t="shared" si="109"/>
        <v>1.4967656935170659</v>
      </c>
      <c r="V332" s="383">
        <f t="shared" si="110"/>
        <v>27.509798727800742</v>
      </c>
      <c r="W332" s="402">
        <f t="shared" si="111"/>
        <v>9.0903139479087383</v>
      </c>
      <c r="X332" s="157">
        <f t="shared" si="112"/>
        <v>45609</v>
      </c>
      <c r="Y332" s="385">
        <f t="shared" si="113"/>
        <v>8.7875555689140032</v>
      </c>
      <c r="Z332" s="385">
        <f t="shared" si="114"/>
        <v>9.2517079298637608</v>
      </c>
      <c r="AA332" s="386">
        <f t="shared" si="115"/>
        <v>10.070015825919635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8.1261828203844241E-2</v>
      </c>
      <c r="AD332" s="231">
        <f>(INDEX(Models!$BJ332:$BT332,,AH332)*(1-AF332)+INDEX(Models!$BJ332:$BT332,,AH332+1)*AF332-ERP_i)*AE332*Ramure*Pc/MaxiM</f>
        <v>5.4429275221141245E-4</v>
      </c>
      <c r="AE332" s="305">
        <f t="shared" si="117"/>
        <v>0.5</v>
      </c>
      <c r="AF332" s="177">
        <f t="shared" si="118"/>
        <v>0.4967656935170659</v>
      </c>
      <c r="AG332" s="811">
        <f t="shared" si="124"/>
        <v>1</v>
      </c>
      <c r="AH332" s="176">
        <f t="shared" si="119"/>
        <v>7</v>
      </c>
      <c r="AI332" s="225">
        <f t="shared" si="120"/>
        <v>1.4967656935170659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11.820504801626848</v>
      </c>
      <c r="C333" s="841"/>
      <c r="D333" s="393">
        <f t="shared" si="102"/>
        <v>12.445127938546593</v>
      </c>
      <c r="E333" s="385">
        <f t="shared" si="125"/>
        <v>13.095113537466704</v>
      </c>
      <c r="F333" s="385">
        <f t="shared" si="103"/>
        <v>13.096516789746143</v>
      </c>
      <c r="G333" s="110">
        <f t="shared" si="126"/>
        <v>0.43327508894169908</v>
      </c>
      <c r="H333" s="414" t="b">
        <f>Wh_hp&gt;='2023'!Maxi_hp</f>
        <v>0</v>
      </c>
      <c r="I333" s="390">
        <f>IF(H333,Wh_hp,'2023'!Maxi_hp)</f>
        <v>27.219183293094108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5.0190174018628131E-2</v>
      </c>
      <c r="M333" s="845"/>
      <c r="N333" s="845"/>
      <c r="O333" s="48">
        <f>IF(t&lt;Tnet,'2023'!Resal+('2023'!Salim-'2023'!Resal)*(1-EXP(('2023'!Tnet-t)/('2023'!Tau_j))),Resal+(Salim-Resal)*(1-EXP((Tnet-t)/(Tau_j))))*Salcycl</f>
        <v>4.9635736036989883E-2</v>
      </c>
      <c r="P333" s="169">
        <f>(INDEX(Models!$BJ333:$BT333,,T333)*(1-R333)+INDEX(Models!$BJ333:$BT333,,T333+1)*R333-ERP_i)*Q333*Ramure*Pc/MaxiM</f>
        <v>5.6193620653580416E-4</v>
      </c>
      <c r="Q333" s="305">
        <f t="shared" si="105"/>
        <v>0.5</v>
      </c>
      <c r="R333" s="177">
        <f t="shared" si="106"/>
        <v>0.49679740304836084</v>
      </c>
      <c r="S333" s="811">
        <f t="shared" si="107"/>
        <v>1</v>
      </c>
      <c r="T333" s="176">
        <f t="shared" si="108"/>
        <v>7</v>
      </c>
      <c r="U333" s="251">
        <f t="shared" si="109"/>
        <v>1.4967974030483608</v>
      </c>
      <c r="V333" s="383">
        <f t="shared" si="110"/>
        <v>27.26934617043138</v>
      </c>
      <c r="W333" s="402">
        <f t="shared" si="111"/>
        <v>11.820504801626848</v>
      </c>
      <c r="X333" s="157">
        <f t="shared" si="112"/>
        <v>45610</v>
      </c>
      <c r="Y333" s="385">
        <f t="shared" si="113"/>
        <v>11.427455207833111</v>
      </c>
      <c r="Z333" s="385">
        <f t="shared" si="114"/>
        <v>12.031308684373656</v>
      </c>
      <c r="AA333" s="386">
        <f t="shared" si="115"/>
        <v>13.095113537466704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8.1236779662075792E-2</v>
      </c>
      <c r="AD333" s="231">
        <f>(INDEX(Models!$BJ333:$BT333,,AH333)*(1-AF333)+INDEX(Models!$BJ333:$BT333,,AH333+1)*AF333-ERP_i)*AE333*Ramure*Pc/MaxiM</f>
        <v>5.6193620653580416E-4</v>
      </c>
      <c r="AE333" s="305">
        <f t="shared" si="117"/>
        <v>0.5</v>
      </c>
      <c r="AF333" s="177">
        <f t="shared" si="118"/>
        <v>0.49679740304836084</v>
      </c>
      <c r="AG333" s="811">
        <f t="shared" si="124"/>
        <v>1</v>
      </c>
      <c r="AH333" s="176">
        <f t="shared" si="119"/>
        <v>7</v>
      </c>
      <c r="AI333" s="225">
        <f t="shared" si="120"/>
        <v>1.4967974030483608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26.243139508893435</v>
      </c>
      <c r="C334" s="841"/>
      <c r="D334" s="393">
        <f t="shared" si="102"/>
        <v>27.630493595361401</v>
      </c>
      <c r="E334" s="385">
        <f t="shared" si="125"/>
        <v>29.074432373796981</v>
      </c>
      <c r="F334" s="385">
        <f t="shared" si="103"/>
        <v>29.090589203323511</v>
      </c>
      <c r="G334" s="110">
        <f t="shared" si="126"/>
        <v>0.97078090234093062</v>
      </c>
      <c r="H334" s="414" t="b">
        <f>Wh_hp&gt;='2023'!Maxi_hp</f>
        <v>0</v>
      </c>
      <c r="I334" s="390">
        <f>IF(H334,Wh_hp,'2023'!Maxi_hp)</f>
        <v>29.09089929988528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5.0210977291439862E-2</v>
      </c>
      <c r="M334" s="845"/>
      <c r="N334" s="845"/>
      <c r="O334" s="48">
        <f>IF(t&lt;Tnet,'2023'!Resal+('2023'!Salim-'2023'!Resal)*(1-EXP(('2023'!Tnet-t)/('2023'!Tau_j))),Resal+(Salim-Resal)*(1-EXP((Tnet-t)/(Tau_j))))*Salcycl</f>
        <v>4.9663524290741272E-2</v>
      </c>
      <c r="P334" s="169">
        <f>(INDEX(Models!$BJ334:$BT334,,T334)*(1-R334)+INDEX(Models!$BJ334:$BT334,,T334+1)*R334-ERP_i)*Q334*Ramure*Pc/MaxiM</f>
        <v>5.7956983550290454E-4</v>
      </c>
      <c r="Q334" s="305">
        <f t="shared" si="105"/>
        <v>0.5</v>
      </c>
      <c r="R334" s="177">
        <f t="shared" si="106"/>
        <v>0.49682783964385058</v>
      </c>
      <c r="S334" s="811">
        <f t="shared" si="107"/>
        <v>1</v>
      </c>
      <c r="T334" s="176">
        <f t="shared" si="108"/>
        <v>7</v>
      </c>
      <c r="U334" s="251">
        <f t="shared" si="109"/>
        <v>1.4968278396438506</v>
      </c>
      <c r="V334" s="383">
        <f t="shared" si="110"/>
        <v>27.032366134524327</v>
      </c>
      <c r="W334" s="402">
        <f t="shared" si="111"/>
        <v>26.243139508893435</v>
      </c>
      <c r="X334" s="157">
        <f t="shared" si="112"/>
        <v>45611</v>
      </c>
      <c r="Y334" s="385">
        <f t="shared" si="113"/>
        <v>25.371921351976379</v>
      </c>
      <c r="Z334" s="385">
        <f t="shared" si="114"/>
        <v>26.713218141458427</v>
      </c>
      <c r="AA334" s="386">
        <f t="shared" si="115"/>
        <v>29.074432373796981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8.121273708739965E-2</v>
      </c>
      <c r="AD334" s="231">
        <f>(INDEX(Models!$BJ334:$BT334,,AH334)*(1-AF334)+INDEX(Models!$BJ334:$BT334,,AH334+1)*AF334-ERP_i)*AE334*Ramure*Pc/MaxiM</f>
        <v>5.7956983550290454E-4</v>
      </c>
      <c r="AE334" s="305">
        <f t="shared" si="117"/>
        <v>0.5</v>
      </c>
      <c r="AF334" s="177">
        <f t="shared" si="118"/>
        <v>0.49682783964385058</v>
      </c>
      <c r="AG334" s="811">
        <f t="shared" si="124"/>
        <v>1</v>
      </c>
      <c r="AH334" s="176">
        <f t="shared" si="119"/>
        <v>7</v>
      </c>
      <c r="AI334" s="225">
        <f t="shared" si="120"/>
        <v>1.4968278396438506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12.283843769795761</v>
      </c>
      <c r="C335" s="841"/>
      <c r="D335" s="393">
        <f t="shared" ref="D335:D380" si="127">Wh/(1-Ppv)</f>
        <v>12.933517370375293</v>
      </c>
      <c r="E335" s="385">
        <f t="shared" si="125"/>
        <v>13.609814495968696</v>
      </c>
      <c r="F335" s="385">
        <f t="shared" ref="F335:F380" si="128">Wh_sa/(1-Pvg*MEDIAN((-Sdif+Wh/Env_an)/Csdif,0,1))</f>
        <v>13.611653592943528</v>
      </c>
      <c r="G335" s="110">
        <f t="shared" si="126"/>
        <v>0.45815843589955696</v>
      </c>
      <c r="H335" s="414" t="b">
        <f>Wh_hp&gt;='2023'!Maxi_hp</f>
        <v>0</v>
      </c>
      <c r="I335" s="390">
        <f>IF(H335,Wh_hp,'2023'!Maxi_hp)</f>
        <v>28.670073792979203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5.0231780108606405E-2</v>
      </c>
      <c r="M335" s="845"/>
      <c r="N335" s="845"/>
      <c r="O335" s="48">
        <f>IF(t&lt;Tnet,'2023'!Resal+('2023'!Salim-'2023'!Resal)*(1-EXP(('2023'!Tnet-t)/('2023'!Tau_j))),Resal+(Salim-Resal)*(1-EXP((Tnet-t)/(Tau_j))))*Salcycl</f>
        <v>4.9691869480934167E-2</v>
      </c>
      <c r="P335" s="169">
        <f>(INDEX(Models!$BJ335:$BT335,,T335)*(1-R335)+INDEX(Models!$BJ335:$BT335,,T335+1)*R335-ERP_i)*Q335*Ramure*Pc/MaxiM</f>
        <v>5.9719769439500129E-4</v>
      </c>
      <c r="Q335" s="305">
        <f t="shared" ref="Q335:Q380" si="130">IF(OR(t&lt;Ttai,Notai),Dd+PousD*Croivg,Dens+PousD*(Croivg-Croi_tai))</f>
        <v>0.5</v>
      </c>
      <c r="R335" s="177">
        <f t="shared" ref="R335:R379" si="131">(Hp_vg-S335)/(INDEX(Echel_vg,T335+1)-S335)</f>
        <v>0.49685705425784477</v>
      </c>
      <c r="S335" s="811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1.4968570542578448</v>
      </c>
      <c r="V335" s="383">
        <f t="shared" ref="V335:V380" si="135">MaxiM*(1-Ppv)*(1-Pvg)*(1-Psa)</f>
        <v>26.798953924083115</v>
      </c>
      <c r="W335" s="402">
        <f t="shared" ref="W335:W380" si="136">Wh*(A335&gt;Tmaj)</f>
        <v>12.283843769795761</v>
      </c>
      <c r="X335" s="157">
        <f t="shared" ref="X335:X380" si="137">t</f>
        <v>45612</v>
      </c>
      <c r="Y335" s="385">
        <f t="shared" ref="Y335:Y380" si="138">Wh_pvt_s*(1-Ppv)</f>
        <v>11.876696693573132</v>
      </c>
      <c r="Z335" s="385">
        <f t="shared" ref="Z335:Z380" si="139">Wh_sa_s*(1-Psa_s)</f>
        <v>12.50483691161117</v>
      </c>
      <c r="AA335" s="386">
        <f t="shared" ref="AA335:AA380" si="140">Wh_hp*(1-Pvg_s*MEDIAN((-Sdif+Wh/Env_an)/Csdif,0,1))</f>
        <v>13.609814495968696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8.1189760865941762E-2</v>
      </c>
      <c r="AD335" s="231">
        <f>(INDEX(Models!$BJ335:$BT335,,AH335)*(1-AF335)+INDEX(Models!$BJ335:$BT335,,AH335+1)*AF335-ERP_i)*AE335*Ramure*Pc/MaxiM</f>
        <v>5.9719769439500129E-4</v>
      </c>
      <c r="AE335" s="305">
        <f t="shared" ref="AE335:AE380" si="142">IF(OR(t&lt;Ttai,Notai),Dd_s+PousD*Croivg,Dens_s+PousD*(Croivg-Croi_tai))</f>
        <v>0.5</v>
      </c>
      <c r="AF335" s="177">
        <f t="shared" ref="AF335:AF379" si="143">(Hp_vg_s-AG335)/(INDEX(Echel_vg,AH335+1)-AG335)</f>
        <v>0.49685705425784477</v>
      </c>
      <c r="AG335" s="811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1.4968570542578448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14.580416558842821</v>
      </c>
      <c r="C336" s="841"/>
      <c r="D336" s="393">
        <f t="shared" si="127"/>
        <v>15.351888607145785</v>
      </c>
      <c r="E336" s="385">
        <f t="shared" si="125"/>
        <v>16.15513497009357</v>
      </c>
      <c r="F336" s="385">
        <f t="shared" si="128"/>
        <v>16.158665650311271</v>
      </c>
      <c r="G336" s="110">
        <f t="shared" si="126"/>
        <v>0.54855374049070504</v>
      </c>
      <c r="H336" s="414" t="b">
        <f>Wh_hp&gt;='2023'!Maxi_hp</f>
        <v>0</v>
      </c>
      <c r="I336" s="390">
        <f>IF(H336,Wh_hp,'2023'!Maxi_hp)</f>
        <v>27.452705708144066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5.0252582470137974E-2</v>
      </c>
      <c r="M336" s="845"/>
      <c r="N336" s="845"/>
      <c r="O336" s="48">
        <f>IF(t&lt;Tnet,'2023'!Resal+('2023'!Salim-'2023'!Resal)*(1-EXP(('2023'!Tnet-t)/('2023'!Tau_j))),Resal+(Salim-Resal)*(1-EXP((Tnet-t)/(Tau_j))))*Salcycl</f>
        <v>4.9720807931023674E-2</v>
      </c>
      <c r="P336" s="169">
        <f>(INDEX(Models!$BJ336:$BT336,,T336)*(1-R336)+INDEX(Models!$BJ336:$BT336,,T336+1)*R336-ERP_i)*Q336*Ramure*Pc/MaxiM</f>
        <v>6.1482382845756331E-4</v>
      </c>
      <c r="Q336" s="305">
        <f t="shared" si="130"/>
        <v>0.5</v>
      </c>
      <c r="R336" s="177">
        <f t="shared" si="131"/>
        <v>0.49688509581650808</v>
      </c>
      <c r="S336" s="811">
        <f t="shared" si="132"/>
        <v>1</v>
      </c>
      <c r="T336" s="176">
        <f t="shared" si="133"/>
        <v>7</v>
      </c>
      <c r="U336" s="251">
        <f t="shared" si="134"/>
        <v>1.4968850958165081</v>
      </c>
      <c r="V336" s="383">
        <f t="shared" si="135"/>
        <v>26.569204918779075</v>
      </c>
      <c r="W336" s="402">
        <f t="shared" si="136"/>
        <v>14.580416558842821</v>
      </c>
      <c r="X336" s="157">
        <f t="shared" si="137"/>
        <v>45613</v>
      </c>
      <c r="Y336" s="385">
        <f t="shared" si="138"/>
        <v>14.097914352101544</v>
      </c>
      <c r="Z336" s="385">
        <f t="shared" si="139"/>
        <v>14.843856473722157</v>
      </c>
      <c r="AA336" s="386">
        <f t="shared" si="140"/>
        <v>16.15513497009357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8.116790721952212E-2</v>
      </c>
      <c r="AD336" s="231">
        <f>(INDEX(Models!$BJ336:$BT336,,AH336)*(1-AF336)+INDEX(Models!$BJ336:$BT336,,AH336+1)*AF336-ERP_i)*AE336*Ramure*Pc/MaxiM</f>
        <v>6.1482382845756331E-4</v>
      </c>
      <c r="AE336" s="305">
        <f t="shared" si="142"/>
        <v>0.5</v>
      </c>
      <c r="AF336" s="177">
        <f t="shared" si="143"/>
        <v>0.49688509581650808</v>
      </c>
      <c r="AG336" s="811">
        <f t="shared" ref="AG336:AG379" si="149">INDEX(Echel_vg,AH336)</f>
        <v>1</v>
      </c>
      <c r="AH336" s="176">
        <f t="shared" si="144"/>
        <v>7</v>
      </c>
      <c r="AI336" s="225">
        <f t="shared" si="145"/>
        <v>1.4968850958165081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7.4671656312921062</v>
      </c>
      <c r="C337" s="841"/>
      <c r="D337" s="393">
        <f t="shared" si="127"/>
        <v>7.8624369460113472</v>
      </c>
      <c r="E337" s="385">
        <f t="shared" si="125"/>
        <v>8.2740752806006022</v>
      </c>
      <c r="F337" s="385">
        <f t="shared" si="128"/>
        <v>8.2740752806006022</v>
      </c>
      <c r="G337" s="110">
        <f t="shared" si="126"/>
        <v>0.28327761546738456</v>
      </c>
      <c r="H337" s="414" t="b">
        <f>Wh_hp&gt;='2023'!Maxi_hp</f>
        <v>0</v>
      </c>
      <c r="I337" s="390">
        <f>IF(H337,Wh_hp,'2023'!Maxi_hp)</f>
        <v>29.080430360791048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5.0273384376044339E-2</v>
      </c>
      <c r="M337" s="845"/>
      <c r="N337" s="845"/>
      <c r="O337" s="48">
        <f>IF(t&lt;Tnet,'2023'!Resal+('2023'!Salim-'2023'!Resal)*(1-EXP(('2023'!Tnet-t)/('2023'!Tau_j))),Resal+(Salim-Resal)*(1-EXP((Tnet-t)/(Tau_j))))*Salcycl</f>
        <v>4.9750373380622097E-2</v>
      </c>
      <c r="P337" s="169">
        <f>(INDEX(Models!$BJ337:$BT337,,T337)*(1-R337)+INDEX(Models!$BJ337:$BT337,,T337+1)*R337-ERP_i)*Q337*Ramure*Pc/MaxiM</f>
        <v>6.3245218760768778E-4</v>
      </c>
      <c r="Q337" s="305">
        <f t="shared" si="130"/>
        <v>0.5</v>
      </c>
      <c r="R337" s="177">
        <f t="shared" si="131"/>
        <v>0.49691201129767859</v>
      </c>
      <c r="S337" s="811">
        <f t="shared" si="132"/>
        <v>1</v>
      </c>
      <c r="T337" s="176">
        <f t="shared" si="133"/>
        <v>7</v>
      </c>
      <c r="U337" s="251">
        <f t="shared" si="134"/>
        <v>1.4969120112976786</v>
      </c>
      <c r="V337" s="383">
        <f t="shared" si="135"/>
        <v>26.343214566180798</v>
      </c>
      <c r="W337" s="402">
        <f t="shared" si="136"/>
        <v>7.4671656312921062</v>
      </c>
      <c r="X337" s="157">
        <f t="shared" si="137"/>
        <v>45614</v>
      </c>
      <c r="Y337" s="385">
        <f t="shared" si="138"/>
        <v>7.2204457095079473</v>
      </c>
      <c r="Z337" s="385">
        <f t="shared" si="139"/>
        <v>7.6026570075265569</v>
      </c>
      <c r="AA337" s="386">
        <f t="shared" si="140"/>
        <v>8.2740752806006022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8.1147227974617639E-2</v>
      </c>
      <c r="AD337" s="231">
        <f>(INDEX(Models!$BJ337:$BT337,,AH337)*(1-AF337)+INDEX(Models!$BJ337:$BT337,,AH337+1)*AF337-ERP_i)*AE337*Ramure*Pc/MaxiM</f>
        <v>6.3245218760768778E-4</v>
      </c>
      <c r="AE337" s="305">
        <f t="shared" si="142"/>
        <v>0.5</v>
      </c>
      <c r="AF337" s="177">
        <f t="shared" si="143"/>
        <v>0.49691201129767859</v>
      </c>
      <c r="AG337" s="811">
        <f t="shared" si="149"/>
        <v>1</v>
      </c>
      <c r="AH337" s="176">
        <f t="shared" si="144"/>
        <v>7</v>
      </c>
      <c r="AI337" s="225">
        <f t="shared" si="145"/>
        <v>1.4969120112976786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14.924555259407308</v>
      </c>
      <c r="C338" s="841"/>
      <c r="D338" s="393">
        <f t="shared" si="127"/>
        <v>15.714924597353455</v>
      </c>
      <c r="E338" s="385">
        <f t="shared" si="125"/>
        <v>16.538206381845569</v>
      </c>
      <c r="F338" s="385">
        <f t="shared" si="128"/>
        <v>16.542371233092641</v>
      </c>
      <c r="G338" s="110">
        <f t="shared" si="126"/>
        <v>0.57113296864610152</v>
      </c>
      <c r="H338" s="414" t="b">
        <f>Wh_hp&gt;='2023'!Maxi_hp</f>
        <v>0</v>
      </c>
      <c r="I338" s="390">
        <f>IF(H338,Wh_hp,'2023'!Maxi_hp)</f>
        <v>30.110087627610774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5.0294185826335602E-2</v>
      </c>
      <c r="M338" s="845"/>
      <c r="N338" s="845"/>
      <c r="O338" s="48">
        <f>IF(t&lt;Tnet,'2023'!Resal+('2023'!Salim-'2023'!Resal)*(1-EXP(('2023'!Tnet-t)/('2023'!Tau_j))),Resal+(Salim-Resal)*(1-EXP((Tnet-t)/(Tau_j))))*Salcycl</f>
        <v>4.9780596848510168E-2</v>
      </c>
      <c r="P338" s="169">
        <f>(INDEX(Models!$BJ338:$BT338,,T338)*(1-R338)+INDEX(Models!$BJ338:$BT338,,T338+1)*R338-ERP_i)*Q338*Ramure*Pc/MaxiM</f>
        <v>6.49461689968528E-4</v>
      </c>
      <c r="Q338" s="305">
        <f t="shared" si="130"/>
        <v>0.5</v>
      </c>
      <c r="R338" s="177">
        <f t="shared" si="131"/>
        <v>0.49693784580761768</v>
      </c>
      <c r="S338" s="811">
        <f t="shared" si="132"/>
        <v>1</v>
      </c>
      <c r="T338" s="176">
        <f t="shared" si="133"/>
        <v>7</v>
      </c>
      <c r="U338" s="251">
        <f t="shared" si="134"/>
        <v>1.4969378458076177</v>
      </c>
      <c r="V338" s="383">
        <f t="shared" si="135"/>
        <v>26.121094723348865</v>
      </c>
      <c r="W338" s="402">
        <f t="shared" si="136"/>
        <v>14.924555259407308</v>
      </c>
      <c r="X338" s="157">
        <f t="shared" si="137"/>
        <v>45615</v>
      </c>
      <c r="Y338" s="385">
        <f t="shared" si="138"/>
        <v>14.432203049250313</v>
      </c>
      <c r="Z338" s="385">
        <f t="shared" si="139"/>
        <v>15.196498572358138</v>
      </c>
      <c r="AA338" s="386">
        <f t="shared" si="140"/>
        <v>16.538206381845569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8.1127770358474863E-2</v>
      </c>
      <c r="AD338" s="231">
        <f>(INDEX(Models!$BJ338:$BT338,,AH338)*(1-AF338)+INDEX(Models!$BJ338:$BT338,,AH338+1)*AF338-ERP_i)*AE338*Ramure*Pc/MaxiM</f>
        <v>6.49461689968528E-4</v>
      </c>
      <c r="AE338" s="305">
        <f t="shared" si="142"/>
        <v>0.5</v>
      </c>
      <c r="AF338" s="177">
        <f t="shared" si="143"/>
        <v>0.49693784580761768</v>
      </c>
      <c r="AG338" s="811">
        <f t="shared" si="149"/>
        <v>1</v>
      </c>
      <c r="AH338" s="176">
        <f t="shared" si="144"/>
        <v>7</v>
      </c>
      <c r="AI338" s="225">
        <f t="shared" si="145"/>
        <v>1.4969378458076177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3.1540648954793395</v>
      </c>
      <c r="C339" s="841"/>
      <c r="D339" s="393">
        <f t="shared" si="127"/>
        <v>3.3211694948427311</v>
      </c>
      <c r="E339" s="385">
        <f t="shared" si="125"/>
        <v>3.4952743772483306</v>
      </c>
      <c r="F339" s="385">
        <f t="shared" si="128"/>
        <v>3.4952743772483306</v>
      </c>
      <c r="G339" s="110">
        <f t="shared" si="126"/>
        <v>0.12168366497543108</v>
      </c>
      <c r="H339" s="414" t="b">
        <f>Wh_hp&gt;='2023'!Maxi_hp</f>
        <v>0</v>
      </c>
      <c r="I339" s="390">
        <f>IF(H339,Wh_hp,'2023'!Maxi_hp)</f>
        <v>29.084066217541494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5.0314986821021757E-2</v>
      </c>
      <c r="M339" s="845"/>
      <c r="N339" s="845"/>
      <c r="O339" s="48">
        <f>IF(t&lt;Tnet,'2023'!Resal+('2023'!Salim-'2023'!Resal)*(1-EXP(('2023'!Tnet-t)/('2023'!Tau_j))),Resal+(Salim-Resal)*(1-EXP((Tnet-t)/(Tau_j))))*Salcycl</f>
        <v>4.9811506512591426E-2</v>
      </c>
      <c r="P339" s="169">
        <f>(INDEX(Models!$BJ339:$BT339,,T339)*(1-R339)+INDEX(Models!$BJ339:$BT339,,T339+1)*R339-ERP_i)*Q339*Ramure*Pc/MaxiM</f>
        <v>6.6561091176125413E-4</v>
      </c>
      <c r="Q339" s="305">
        <f t="shared" si="130"/>
        <v>0.5</v>
      </c>
      <c r="R339" s="177">
        <f t="shared" si="131"/>
        <v>0.49696264265480283</v>
      </c>
      <c r="S339" s="811">
        <f t="shared" si="132"/>
        <v>1</v>
      </c>
      <c r="T339" s="176">
        <f t="shared" si="133"/>
        <v>7</v>
      </c>
      <c r="U339" s="251">
        <f t="shared" si="134"/>
        <v>1.4969626426548028</v>
      </c>
      <c r="V339" s="383">
        <f t="shared" si="135"/>
        <v>25.902946924757018</v>
      </c>
      <c r="W339" s="402">
        <f t="shared" si="136"/>
        <v>3.1540648954793395</v>
      </c>
      <c r="X339" s="157">
        <f t="shared" si="137"/>
        <v>45616</v>
      </c>
      <c r="Y339" s="385">
        <f t="shared" si="138"/>
        <v>3.0501737775156226</v>
      </c>
      <c r="Z339" s="385">
        <f t="shared" si="139"/>
        <v>3.2117741516268246</v>
      </c>
      <c r="AA339" s="386">
        <f t="shared" si="140"/>
        <v>3.4952743772483306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8.1109576823749335E-2</v>
      </c>
      <c r="AD339" s="231">
        <f>(INDEX(Models!$BJ339:$BT339,,AH339)*(1-AF339)+INDEX(Models!$BJ339:$BT339,,AH339+1)*AF339-ERP_i)*AE339*Ramure*Pc/MaxiM</f>
        <v>6.6561091176125413E-4</v>
      </c>
      <c r="AE339" s="305">
        <f t="shared" si="142"/>
        <v>0.5</v>
      </c>
      <c r="AF339" s="177">
        <f t="shared" si="143"/>
        <v>0.49696264265480283</v>
      </c>
      <c r="AG339" s="811">
        <f t="shared" si="149"/>
        <v>1</v>
      </c>
      <c r="AH339" s="176">
        <f t="shared" si="144"/>
        <v>7</v>
      </c>
      <c r="AI339" s="225">
        <f t="shared" si="145"/>
        <v>1.4969626426548028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7.8408559262923792</v>
      </c>
      <c r="C340" s="841"/>
      <c r="D340" s="393">
        <f t="shared" si="127"/>
        <v>8.256450882250558</v>
      </c>
      <c r="E340" s="385">
        <f t="shared" si="125"/>
        <v>8.6895660307772982</v>
      </c>
      <c r="F340" s="385">
        <f t="shared" si="128"/>
        <v>8.6896101856136241</v>
      </c>
      <c r="G340" s="110">
        <f t="shared" si="126"/>
        <v>0.30501762087835055</v>
      </c>
      <c r="H340" s="414" t="b">
        <f>Wh_hp&gt;='2023'!Maxi_hp</f>
        <v>0</v>
      </c>
      <c r="I340" s="390">
        <f>IF(H340,Wh_hp,'2023'!Maxi_hp)</f>
        <v>29.591035421411469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5.0335787360112683E-2</v>
      </c>
      <c r="M340" s="845"/>
      <c r="N340" s="845"/>
      <c r="O340" s="48">
        <f>IF(t&lt;Tnet,'2023'!Resal+('2023'!Salim-'2023'!Resal)*(1-EXP(('2023'!Tnet-t)/('2023'!Tau_j))),Resal+(Salim-Resal)*(1-EXP((Tnet-t)/(Tau_j))))*Salcycl</f>
        <v>4.9843127607604627E-2</v>
      </c>
      <c r="P340" s="169">
        <f>(INDEX(Models!$BJ340:$BT340,,T340)*(1-R340)+INDEX(Models!$BJ340:$BT340,,T340+1)*R340-ERP_i)*Q340*Ramure*Pc/MaxiM</f>
        <v>6.808969959551924E-4</v>
      </c>
      <c r="Q340" s="305">
        <f t="shared" si="130"/>
        <v>0.5</v>
      </c>
      <c r="R340" s="177">
        <f t="shared" si="131"/>
        <v>0.49698644342087128</v>
      </c>
      <c r="S340" s="811">
        <f t="shared" si="132"/>
        <v>1</v>
      </c>
      <c r="T340" s="176">
        <f t="shared" si="133"/>
        <v>7</v>
      </c>
      <c r="U340" s="251">
        <f t="shared" si="134"/>
        <v>1.4969864434208713</v>
      </c>
      <c r="V340" s="383">
        <f t="shared" si="135"/>
        <v>25.68886644511441</v>
      </c>
      <c r="W340" s="402">
        <f t="shared" si="136"/>
        <v>7.8408559262923792</v>
      </c>
      <c r="X340" s="157">
        <f t="shared" si="137"/>
        <v>45617</v>
      </c>
      <c r="Y340" s="385">
        <f t="shared" si="138"/>
        <v>7.5829792707299308</v>
      </c>
      <c r="Z340" s="385">
        <f t="shared" si="139"/>
        <v>7.9849057907011991</v>
      </c>
      <c r="AA340" s="386">
        <f t="shared" si="140"/>
        <v>8.6895660307772982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8.1092684902823203E-2</v>
      </c>
      <c r="AD340" s="231">
        <f>(INDEX(Models!$BJ340:$BT340,,AH340)*(1-AF340)+INDEX(Models!$BJ340:$BT340,,AH340+1)*AF340-ERP_i)*AE340*Ramure*Pc/MaxiM</f>
        <v>6.808969959551924E-4</v>
      </c>
      <c r="AE340" s="305">
        <f t="shared" si="142"/>
        <v>0.5</v>
      </c>
      <c r="AF340" s="177">
        <f t="shared" si="143"/>
        <v>0.49698644342087128</v>
      </c>
      <c r="AG340" s="811">
        <f t="shared" si="149"/>
        <v>1</v>
      </c>
      <c r="AH340" s="176">
        <f t="shared" si="144"/>
        <v>7</v>
      </c>
      <c r="AI340" s="225">
        <f t="shared" si="145"/>
        <v>1.4969864434208713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11.7510102897811</v>
      </c>
      <c r="C341" s="841"/>
      <c r="D341" s="393">
        <f t="shared" si="127"/>
        <v>12.374129209350386</v>
      </c>
      <c r="E341" s="385">
        <f t="shared" si="125"/>
        <v>13.023692136523689</v>
      </c>
      <c r="F341" s="385">
        <f t="shared" si="128"/>
        <v>13.025777889968692</v>
      </c>
      <c r="G341" s="110">
        <f t="shared" si="126"/>
        <v>0.46095780497906241</v>
      </c>
      <c r="H341" s="414" t="b">
        <f>Wh_hp&gt;='2023'!Maxi_hp</f>
        <v>0</v>
      </c>
      <c r="I341" s="390">
        <f>IF(H341,Wh_hp,'2023'!Maxi_hp)</f>
        <v>29.56301535081597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5.0356587443618483E-2</v>
      </c>
      <c r="M341" s="845"/>
      <c r="N341" s="845"/>
      <c r="O341" s="48">
        <f>IF(t&lt;Tnet,'2023'!Resal+('2023'!Salim-'2023'!Resal)*(1-EXP(('2023'!Tnet-t)/('2023'!Tau_j))),Resal+(Salim-Resal)*(1-EXP((Tnet-t)/(Tau_j))))*Salcycl</f>
        <v>4.987548234126838E-2</v>
      </c>
      <c r="P341" s="169">
        <f>(INDEX(Models!$BJ341:$BT341,,T341)*(1-R341)+INDEX(Models!$BJ341:$BT341,,T341+1)*R341-ERP_i)*Q341*Ramure*Pc/MaxiM</f>
        <v>6.953119734987573E-4</v>
      </c>
      <c r="Q341" s="305">
        <f t="shared" si="130"/>
        <v>0.5</v>
      </c>
      <c r="R341" s="177">
        <f t="shared" si="131"/>
        <v>0.49700928802882105</v>
      </c>
      <c r="S341" s="811">
        <f t="shared" si="132"/>
        <v>1</v>
      </c>
      <c r="T341" s="176">
        <f t="shared" si="133"/>
        <v>7</v>
      </c>
      <c r="U341" s="251">
        <f t="shared" si="134"/>
        <v>1.4970092880288211</v>
      </c>
      <c r="V341" s="383">
        <f t="shared" si="135"/>
        <v>25.478948764480315</v>
      </c>
      <c r="W341" s="402">
        <f t="shared" si="136"/>
        <v>11.7510102897811</v>
      </c>
      <c r="X341" s="157">
        <f t="shared" si="137"/>
        <v>45618</v>
      </c>
      <c r="Y341" s="385">
        <f t="shared" si="138"/>
        <v>11.365112608247866</v>
      </c>
      <c r="Z341" s="385">
        <f t="shared" si="139"/>
        <v>11.967768593954318</v>
      </c>
      <c r="AA341" s="386">
        <f t="shared" si="140"/>
        <v>13.023692136523689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8.1077127092718554E-2</v>
      </c>
      <c r="AD341" s="231">
        <f>(INDEX(Models!$BJ341:$BT341,,AH341)*(1-AF341)+INDEX(Models!$BJ341:$BT341,,AH341+1)*AF341-ERP_i)*AE341*Ramure*Pc/MaxiM</f>
        <v>6.953119734987573E-4</v>
      </c>
      <c r="AE341" s="305">
        <f t="shared" si="142"/>
        <v>0.5</v>
      </c>
      <c r="AF341" s="177">
        <f t="shared" si="143"/>
        <v>0.49700928802882105</v>
      </c>
      <c r="AG341" s="811">
        <f t="shared" si="149"/>
        <v>1</v>
      </c>
      <c r="AH341" s="176">
        <f t="shared" si="144"/>
        <v>7</v>
      </c>
      <c r="AI341" s="225">
        <f t="shared" si="145"/>
        <v>1.4970092880288211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12.933887504322948</v>
      </c>
      <c r="C342" s="841"/>
      <c r="D342" s="393">
        <f t="shared" si="127"/>
        <v>13.620028975971161</v>
      </c>
      <c r="E342" s="385">
        <f t="shared" si="125"/>
        <v>14.33549322746255</v>
      </c>
      <c r="F342" s="385">
        <f t="shared" si="128"/>
        <v>14.33856796542362</v>
      </c>
      <c r="G342" s="110">
        <f t="shared" si="126"/>
        <v>0.5115080697710872</v>
      </c>
      <c r="H342" s="414" t="b">
        <f>Wh_hp&gt;='2023'!Maxi_hp</f>
        <v>0</v>
      </c>
      <c r="I342" s="390">
        <f>IF(H342,Wh_hp,'2023'!Maxi_hp)</f>
        <v>27.223770958160259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5.037738707154904E-2</v>
      </c>
      <c r="M342" s="845"/>
      <c r="N342" s="845"/>
      <c r="O342" s="48">
        <f>IF(t&lt;Tnet,'2023'!Resal+('2023'!Salim-'2023'!Resal)*(1-EXP(('2023'!Tnet-t)/('2023'!Tau_j))),Resal+(Salim-Resal)*(1-EXP((Tnet-t)/(Tau_j))))*Salcycl</f>
        <v>4.9908589829387263E-2</v>
      </c>
      <c r="P342" s="169">
        <f>(INDEX(Models!$BJ342:$BT342,,T342)*(1-R342)+INDEX(Models!$BJ342:$BT342,,T342+1)*R342-ERP_i)*Q342*Ramure*Pc/MaxiM</f>
        <v>7.08849593939693E-4</v>
      </c>
      <c r="Q342" s="305">
        <f t="shared" si="130"/>
        <v>0.5</v>
      </c>
      <c r="R342" s="177">
        <f t="shared" si="131"/>
        <v>0.49703121480856916</v>
      </c>
      <c r="S342" s="811">
        <f t="shared" si="132"/>
        <v>1</v>
      </c>
      <c r="T342" s="176">
        <f t="shared" si="133"/>
        <v>7</v>
      </c>
      <c r="U342" s="251">
        <f t="shared" si="134"/>
        <v>1.4970312148085692</v>
      </c>
      <c r="V342" s="383">
        <f t="shared" si="135"/>
        <v>25.273289389817645</v>
      </c>
      <c r="W342" s="402">
        <f t="shared" si="136"/>
        <v>12.933887504322948</v>
      </c>
      <c r="X342" s="157">
        <f t="shared" si="137"/>
        <v>45619</v>
      </c>
      <c r="Y342" s="385">
        <f t="shared" si="138"/>
        <v>12.509773848836442</v>
      </c>
      <c r="Z342" s="385">
        <f t="shared" si="139"/>
        <v>13.173416132392571</v>
      </c>
      <c r="AA342" s="386">
        <f t="shared" si="140"/>
        <v>14.33549322746255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8.1062930771282057E-2</v>
      </c>
      <c r="AD342" s="231">
        <f>(INDEX(Models!$BJ342:$BT342,,AH342)*(1-AF342)+INDEX(Models!$BJ342:$BT342,,AH342+1)*AF342-ERP_i)*AE342*Ramure*Pc/MaxiM</f>
        <v>7.08849593939693E-4</v>
      </c>
      <c r="AE342" s="305">
        <f t="shared" si="142"/>
        <v>0.5</v>
      </c>
      <c r="AF342" s="177">
        <f t="shared" si="143"/>
        <v>0.49703121480856916</v>
      </c>
      <c r="AG342" s="811">
        <f t="shared" si="149"/>
        <v>1</v>
      </c>
      <c r="AH342" s="176">
        <f t="shared" si="144"/>
        <v>7</v>
      </c>
      <c r="AI342" s="225">
        <f t="shared" si="145"/>
        <v>1.4970312148085692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5.0081964544440574</v>
      </c>
      <c r="C343" s="841"/>
      <c r="D343" s="393">
        <f t="shared" si="127"/>
        <v>5.2739963023390564</v>
      </c>
      <c r="E343" s="385">
        <f t="shared" si="125"/>
        <v>5.5512388606754284</v>
      </c>
      <c r="F343" s="385">
        <f t="shared" si="128"/>
        <v>5.5512388606754284</v>
      </c>
      <c r="G343" s="110">
        <f t="shared" si="126"/>
        <v>0.19960857676878371</v>
      </c>
      <c r="H343" s="414" t="b">
        <f>Wh_hp&gt;='2023'!Maxi_hp</f>
        <v>0</v>
      </c>
      <c r="I343" s="390">
        <f>IF(H343,Wh_hp,'2023'!Maxi_hp)</f>
        <v>26.38503248912658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5.0398186243914345E-2</v>
      </c>
      <c r="M343" s="845"/>
      <c r="N343" s="845"/>
      <c r="O343" s="48">
        <f>IF(t&lt;Tnet,'2023'!Resal+('2023'!Salim-'2023'!Resal)*(1-EXP(('2023'!Tnet-t)/('2023'!Tau_j))),Resal+(Salim-Resal)*(1-EXP((Tnet-t)/(Tau_j))))*Salcycl</f>
        <v>4.9942466050296966E-2</v>
      </c>
      <c r="P343" s="169">
        <f>(INDEX(Models!$BJ343:$BT343,,T343)*(1-R343)+INDEX(Models!$BJ343:$BT343,,T343+1)*R343-ERP_i)*Q343*Ramure*Pc/MaxiM</f>
        <v>7.2150626203224932E-4</v>
      </c>
      <c r="Q343" s="305">
        <f t="shared" si="130"/>
        <v>0.5</v>
      </c>
      <c r="R343" s="177">
        <f t="shared" si="131"/>
        <v>0.49705226055996654</v>
      </c>
      <c r="S343" s="811">
        <f t="shared" si="132"/>
        <v>1</v>
      </c>
      <c r="T343" s="176">
        <f t="shared" si="133"/>
        <v>7</v>
      </c>
      <c r="U343" s="251">
        <f t="shared" si="134"/>
        <v>1.4970522605599665</v>
      </c>
      <c r="V343" s="383">
        <f t="shared" si="135"/>
        <v>25.07198383132474</v>
      </c>
      <c r="W343" s="402">
        <f t="shared" si="136"/>
        <v>5.0081964544440574</v>
      </c>
      <c r="X343" s="157">
        <f t="shared" si="137"/>
        <v>45620</v>
      </c>
      <c r="Y343" s="385">
        <f t="shared" si="138"/>
        <v>4.8442135088224081</v>
      </c>
      <c r="Z343" s="385">
        <f t="shared" si="139"/>
        <v>5.1013102951661917</v>
      </c>
      <c r="AA343" s="386">
        <f t="shared" si="140"/>
        <v>5.5512388606754284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8.1050118145068142E-2</v>
      </c>
      <c r="AD343" s="231">
        <f>(INDEX(Models!$BJ343:$BT343,,AH343)*(1-AF343)+INDEX(Models!$BJ343:$BT343,,AH343+1)*AF343-ERP_i)*AE343*Ramure*Pc/MaxiM</f>
        <v>7.2150626203224932E-4</v>
      </c>
      <c r="AE343" s="305">
        <f t="shared" si="142"/>
        <v>0.5</v>
      </c>
      <c r="AF343" s="177">
        <f t="shared" si="143"/>
        <v>0.49705226055996654</v>
      </c>
      <c r="AG343" s="811">
        <f t="shared" si="149"/>
        <v>1</v>
      </c>
      <c r="AH343" s="176">
        <f t="shared" si="144"/>
        <v>7</v>
      </c>
      <c r="AI343" s="225">
        <f t="shared" si="145"/>
        <v>1.4970522605599665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10.039139080873316</v>
      </c>
      <c r="C344" s="841"/>
      <c r="D344" s="393">
        <f t="shared" si="127"/>
        <v>10.572177541331833</v>
      </c>
      <c r="E344" s="385">
        <f t="shared" si="125"/>
        <v>11.128339965695933</v>
      </c>
      <c r="F344" s="385">
        <f t="shared" si="128"/>
        <v>11.129547583918022</v>
      </c>
      <c r="G344" s="110">
        <f t="shared" si="126"/>
        <v>0.40332923525777903</v>
      </c>
      <c r="H344" s="414" t="b">
        <f>Wh_hp&gt;='2023'!Maxi_hp</f>
        <v>0</v>
      </c>
      <c r="I344" s="390">
        <f>IF(H344,Wh_hp,'2023'!Maxi_hp)</f>
        <v>26.793324525882319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5.0418984960724389E-2</v>
      </c>
      <c r="M344" s="845"/>
      <c r="N344" s="845"/>
      <c r="O344" s="48">
        <f>IF(t&lt;Tnet,'2023'!Resal+('2023'!Salim-'2023'!Resal)*(1-EXP(('2023'!Tnet-t)/('2023'!Tau_j))),Resal+(Salim-Resal)*(1-EXP((Tnet-t)/(Tau_j))))*Salcycl</f>
        <v>4.99771238188731E-2</v>
      </c>
      <c r="P344" s="169">
        <f>(INDEX(Models!$BJ344:$BT344,,T344)*(1-R344)+INDEX(Models!$BJ344:$BT344,,T344+1)*R344-ERP_i)*Q344*Ramure*Pc/MaxiM</f>
        <v>7.3327752293055872E-4</v>
      </c>
      <c r="Q344" s="305">
        <f t="shared" si="130"/>
        <v>0.5</v>
      </c>
      <c r="R344" s="177">
        <f t="shared" si="131"/>
        <v>0.49707246061336474</v>
      </c>
      <c r="S344" s="811">
        <f t="shared" si="132"/>
        <v>1</v>
      </c>
      <c r="T344" s="176">
        <f t="shared" si="133"/>
        <v>7</v>
      </c>
      <c r="U344" s="251">
        <f t="shared" si="134"/>
        <v>1.4970724606133647</v>
      </c>
      <c r="V344" s="383">
        <f t="shared" si="135"/>
        <v>24.875127689612203</v>
      </c>
      <c r="W344" s="402">
        <f t="shared" si="136"/>
        <v>10.039139080873316</v>
      </c>
      <c r="X344" s="157">
        <f t="shared" si="137"/>
        <v>45621</v>
      </c>
      <c r="Y344" s="385">
        <f t="shared" si="138"/>
        <v>9.7109032523406924</v>
      </c>
      <c r="Z344" s="385">
        <f t="shared" si="139"/>
        <v>10.226513692398367</v>
      </c>
      <c r="AA344" s="386">
        <f t="shared" si="140"/>
        <v>11.128339965695933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8.103870622909827E-2</v>
      </c>
      <c r="AD344" s="231">
        <f>(INDEX(Models!$BJ344:$BT344,,AH344)*(1-AF344)+INDEX(Models!$BJ344:$BT344,,AH344+1)*AF344-ERP_i)*AE344*Ramure*Pc/MaxiM</f>
        <v>7.3327752293055872E-4</v>
      </c>
      <c r="AE344" s="305">
        <f t="shared" si="142"/>
        <v>0.5</v>
      </c>
      <c r="AF344" s="177">
        <f t="shared" si="143"/>
        <v>0.49707246061336474</v>
      </c>
      <c r="AG344" s="811">
        <f t="shared" si="149"/>
        <v>1</v>
      </c>
      <c r="AH344" s="176">
        <f t="shared" si="144"/>
        <v>7</v>
      </c>
      <c r="AI344" s="225">
        <f t="shared" si="145"/>
        <v>1.4970724606133647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14.280627678106994</v>
      </c>
      <c r="C345" s="841"/>
      <c r="D345" s="393">
        <f t="shared" si="127"/>
        <v>15.03920175443232</v>
      </c>
      <c r="E345" s="385">
        <f t="shared" si="125"/>
        <v>15.830948203646329</v>
      </c>
      <c r="F345" s="385">
        <f t="shared" si="128"/>
        <v>15.835639601333304</v>
      </c>
      <c r="G345" s="110">
        <f t="shared" si="126"/>
        <v>0.57838080002031078</v>
      </c>
      <c r="H345" s="414" t="b">
        <f>Wh_hp&gt;='2023'!Maxi_hp</f>
        <v>0</v>
      </c>
      <c r="I345" s="390">
        <f>IF(H345,Wh_hp,'2023'!Maxi_hp)</f>
        <v>25.130362962848679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5.0439783221989165E-2</v>
      </c>
      <c r="M345" s="845"/>
      <c r="N345" s="845"/>
      <c r="O345" s="48">
        <f>IF(t&lt;Tnet,'2023'!Resal+('2023'!Salim-'2023'!Resal)*(1-EXP(('2023'!Tnet-t)/('2023'!Tau_j))),Resal+(Salim-Resal)*(1-EXP((Tnet-t)/(Tau_j))))*Salcycl</f>
        <v>5.0012572780172876E-2</v>
      </c>
      <c r="P345" s="169">
        <f>(INDEX(Models!$BJ345:$BT345,,T345)*(1-R345)+INDEX(Models!$BJ345:$BT345,,T345+1)*R345-ERP_i)*Q345*Ramure*Pc/MaxiM</f>
        <v>7.4425378622549666E-4</v>
      </c>
      <c r="Q345" s="305">
        <f t="shared" si="130"/>
        <v>0.5</v>
      </c>
      <c r="R345" s="177">
        <f t="shared" si="131"/>
        <v>0.49709184888782532</v>
      </c>
      <c r="S345" s="811">
        <f t="shared" si="132"/>
        <v>1</v>
      </c>
      <c r="T345" s="176">
        <f t="shared" si="133"/>
        <v>7</v>
      </c>
      <c r="U345" s="251">
        <f t="shared" si="134"/>
        <v>1.4970918488878253</v>
      </c>
      <c r="V345" s="383">
        <f t="shared" si="135"/>
        <v>24.679636819016615</v>
      </c>
      <c r="W345" s="402">
        <f t="shared" si="136"/>
        <v>14.280627678106994</v>
      </c>
      <c r="X345" s="157">
        <f t="shared" si="137"/>
        <v>45622</v>
      </c>
      <c r="Y345" s="385">
        <f t="shared" si="138"/>
        <v>13.814379546716506</v>
      </c>
      <c r="Z345" s="385">
        <f t="shared" si="139"/>
        <v>14.54818694236223</v>
      </c>
      <c r="AA345" s="386">
        <f t="shared" si="140"/>
        <v>15.830948203646329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8.1028706858420688E-2</v>
      </c>
      <c r="AD345" s="231">
        <f>(INDEX(Models!$BJ345:$BT345,,AH345)*(1-AF345)+INDEX(Models!$BJ345:$BT345,,AH345+1)*AF345-ERP_i)*AE345*Ramure*Pc/MaxiM</f>
        <v>7.4425378622549666E-4</v>
      </c>
      <c r="AE345" s="305">
        <f t="shared" si="142"/>
        <v>0.5</v>
      </c>
      <c r="AF345" s="177">
        <f t="shared" si="143"/>
        <v>0.49709184888782532</v>
      </c>
      <c r="AG345" s="811">
        <f t="shared" si="149"/>
        <v>1</v>
      </c>
      <c r="AH345" s="176">
        <f t="shared" si="144"/>
        <v>7</v>
      </c>
      <c r="AI345" s="225">
        <f t="shared" si="145"/>
        <v>1.4970918488878253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10.351765352032524</v>
      </c>
      <c r="C346" s="841"/>
      <c r="D346" s="393">
        <f t="shared" si="127"/>
        <v>10.901880580415071</v>
      </c>
      <c r="E346" s="385">
        <f t="shared" si="125"/>
        <v>11.476253520511381</v>
      </c>
      <c r="F346" s="385">
        <f t="shared" si="128"/>
        <v>11.477772056462126</v>
      </c>
      <c r="G346" s="110">
        <f t="shared" si="126"/>
        <v>0.4225466924326377</v>
      </c>
      <c r="H346" s="414" t="b">
        <f>Wh_hp&gt;='2023'!Maxi_hp</f>
        <v>0</v>
      </c>
      <c r="I346" s="390">
        <f>IF(H346,Wh_hp,'2023'!Maxi_hp)</f>
        <v>18.630206084198146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5.0460581027718665E-2</v>
      </c>
      <c r="M346" s="845"/>
      <c r="N346" s="845"/>
      <c r="O346" s="48">
        <f>IF(t&lt;Tnet,'2023'!Resal+('2023'!Salim-'2023'!Resal)*(1-EXP(('2023'!Tnet-t)/('2023'!Tau_j))),Resal+(Salim-Resal)*(1-EXP((Tnet-t)/(Tau_j))))*Salcycl</f>
        <v>5.0048819422622459E-2</v>
      </c>
      <c r="P346" s="169">
        <f>(INDEX(Models!$BJ346:$BT346,,T346)*(1-R346)+INDEX(Models!$BJ346:$BT346,,T346+1)*R346-ERP_i)*Q346*Ramure*Pc/MaxiM</f>
        <v>7.5410720713454601E-4</v>
      </c>
      <c r="Q346" s="305">
        <f t="shared" si="130"/>
        <v>0.5</v>
      </c>
      <c r="R346" s="177">
        <f t="shared" si="131"/>
        <v>0.49711045794705999</v>
      </c>
      <c r="S346" s="811">
        <f t="shared" si="132"/>
        <v>1</v>
      </c>
      <c r="T346" s="176">
        <f t="shared" si="133"/>
        <v>7</v>
      </c>
      <c r="U346" s="251">
        <f t="shared" si="134"/>
        <v>1.49711045794706</v>
      </c>
      <c r="V346" s="383">
        <f t="shared" si="135"/>
        <v>24.483277013826012</v>
      </c>
      <c r="W346" s="402">
        <f t="shared" si="136"/>
        <v>10.351765352032524</v>
      </c>
      <c r="X346" s="157">
        <f t="shared" si="137"/>
        <v>45623</v>
      </c>
      <c r="Y346" s="385">
        <f t="shared" si="138"/>
        <v>10.014266212646577</v>
      </c>
      <c r="Z346" s="385">
        <f t="shared" si="139"/>
        <v>10.546446005880783</v>
      </c>
      <c r="AA346" s="386">
        <f t="shared" si="140"/>
        <v>11.476253520511381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8.1020126731146405E-2</v>
      </c>
      <c r="AD346" s="231">
        <f>(INDEX(Models!$BJ346:$BT346,,AH346)*(1-AF346)+INDEX(Models!$BJ346:$BT346,,AH346+1)*AF346-ERP_i)*AE346*Ramure*Pc/MaxiM</f>
        <v>7.5410720713454601E-4</v>
      </c>
      <c r="AE346" s="305">
        <f t="shared" si="142"/>
        <v>0.5</v>
      </c>
      <c r="AF346" s="177">
        <f t="shared" si="143"/>
        <v>0.49711045794705999</v>
      </c>
      <c r="AG346" s="811">
        <f t="shared" si="149"/>
        <v>1</v>
      </c>
      <c r="AH346" s="176">
        <f t="shared" si="144"/>
        <v>7</v>
      </c>
      <c r="AI346" s="225">
        <f t="shared" si="145"/>
        <v>1.49711045794706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14.403087701958386</v>
      </c>
      <c r="C347" s="841"/>
      <c r="D347" s="393">
        <f t="shared" si="127"/>
        <v>15.168831209811739</v>
      </c>
      <c r="E347" s="385">
        <f t="shared" si="125"/>
        <v>15.968634095031849</v>
      </c>
      <c r="F347" s="385">
        <f t="shared" si="128"/>
        <v>15.973737051993245</v>
      </c>
      <c r="G347" s="110">
        <f t="shared" si="126"/>
        <v>0.59276406433128803</v>
      </c>
      <c r="H347" s="414" t="b">
        <f>Wh_hp&gt;='2023'!Maxi_hp</f>
        <v>0</v>
      </c>
      <c r="I347" s="390">
        <f>IF(H347,Wh_hp,'2023'!Maxi_hp)</f>
        <v>26.41641779115476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5.0481378377922881E-2</v>
      </c>
      <c r="M347" s="845"/>
      <c r="N347" s="845"/>
      <c r="O347" s="48">
        <f>IF(t&lt;Tnet,'2023'!Resal+('2023'!Salim-'2023'!Resal)*(1-EXP(('2023'!Tnet-t)/('2023'!Tau_j))),Resal+(Salim-Resal)*(1-EXP((Tnet-t)/(Tau_j))))*Salcycl</f>
        <v>5.0085867110509073E-2</v>
      </c>
      <c r="P347" s="169">
        <f>(INDEX(Models!$BJ347:$BT347,,T347)*(1-R347)+INDEX(Models!$BJ347:$BT347,,T347+1)*R347-ERP_i)*Q347*Ramure*Pc/MaxiM</f>
        <v>7.631420487442909E-4</v>
      </c>
      <c r="Q347" s="305">
        <f t="shared" si="130"/>
        <v>0.5</v>
      </c>
      <c r="R347" s="177">
        <f t="shared" si="131"/>
        <v>0.49712831905318922</v>
      </c>
      <c r="S347" s="811">
        <f t="shared" si="132"/>
        <v>1</v>
      </c>
      <c r="T347" s="176">
        <f t="shared" si="133"/>
        <v>7</v>
      </c>
      <c r="U347" s="251">
        <f t="shared" si="134"/>
        <v>1.4971283190531892</v>
      </c>
      <c r="V347" s="383">
        <f t="shared" si="135"/>
        <v>24.287395479722704</v>
      </c>
      <c r="W347" s="402">
        <f t="shared" si="136"/>
        <v>14.403087701958386</v>
      </c>
      <c r="X347" s="157">
        <f t="shared" si="137"/>
        <v>45624</v>
      </c>
      <c r="Y347" s="385">
        <f t="shared" si="138"/>
        <v>13.93415506520682</v>
      </c>
      <c r="Z347" s="385">
        <f t="shared" si="139"/>
        <v>14.674967660352875</v>
      </c>
      <c r="AA347" s="386">
        <f t="shared" si="140"/>
        <v>15.968634095031849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8.1012967482388371E-2</v>
      </c>
      <c r="AD347" s="231">
        <f>(INDEX(Models!$BJ347:$BT347,,AH347)*(1-AF347)+INDEX(Models!$BJ347:$BT347,,AH347+1)*AF347-ERP_i)*AE347*Ramure*Pc/MaxiM</f>
        <v>7.631420487442909E-4</v>
      </c>
      <c r="AE347" s="305">
        <f t="shared" si="142"/>
        <v>0.5</v>
      </c>
      <c r="AF347" s="177">
        <f t="shared" si="143"/>
        <v>0.49712831905318922</v>
      </c>
      <c r="AG347" s="811">
        <f t="shared" si="149"/>
        <v>1</v>
      </c>
      <c r="AH347" s="176">
        <f t="shared" si="144"/>
        <v>7</v>
      </c>
      <c r="AI347" s="225">
        <f t="shared" si="145"/>
        <v>1.4971283190531892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4.0128283002331857</v>
      </c>
      <c r="C348" s="841"/>
      <c r="D348" s="393">
        <f t="shared" si="127"/>
        <v>4.2262638162286628</v>
      </c>
      <c r="E348" s="385">
        <f t="shared" si="125"/>
        <v>4.4492781723467285</v>
      </c>
      <c r="F348" s="385">
        <f t="shared" si="128"/>
        <v>4.4492781723467285</v>
      </c>
      <c r="G348" s="110">
        <f t="shared" si="126"/>
        <v>0.16642490652607267</v>
      </c>
      <c r="H348" s="414" t="b">
        <f>Wh_hp&gt;='2023'!Maxi_hp</f>
        <v>0</v>
      </c>
      <c r="I348" s="390">
        <f>IF(H348,Wh_hp,'2023'!Maxi_hp)</f>
        <v>25.687652657075112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5.0502175272611693E-2</v>
      </c>
      <c r="M348" s="845"/>
      <c r="N348" s="845"/>
      <c r="O348" s="48">
        <f>IF(t&lt;Tnet,'2023'!Resal+('2023'!Salim-'2023'!Resal)*(1-EXP(('2023'!Tnet-t)/('2023'!Tau_j))),Resal+(Salim-Resal)*(1-EXP((Tnet-t)/(Tau_j))))*Salcycl</f>
        <v>5.0123716135383634E-2</v>
      </c>
      <c r="P348" s="169">
        <f>(INDEX(Models!$BJ348:$BT348,,T348)*(1-R348)+INDEX(Models!$BJ348:$BT348,,T348+1)*R348-ERP_i)*Q348*Ramure*Pc/MaxiM</f>
        <v>7.7131545543521044E-4</v>
      </c>
      <c r="Q348" s="305">
        <f t="shared" si="130"/>
        <v>0.5</v>
      </c>
      <c r="R348" s="177">
        <f t="shared" si="131"/>
        <v>0.49714546221839839</v>
      </c>
      <c r="S348" s="811">
        <f t="shared" si="132"/>
        <v>1</v>
      </c>
      <c r="T348" s="176">
        <f t="shared" si="133"/>
        <v>7</v>
      </c>
      <c r="U348" s="251">
        <f t="shared" si="134"/>
        <v>1.4971454622183984</v>
      </c>
      <c r="V348" s="383">
        <f t="shared" si="135"/>
        <v>24.093347729277713</v>
      </c>
      <c r="W348" s="402">
        <f t="shared" si="136"/>
        <v>4.0128283002331857</v>
      </c>
      <c r="X348" s="157">
        <f t="shared" si="137"/>
        <v>45625</v>
      </c>
      <c r="Y348" s="385">
        <f t="shared" si="138"/>
        <v>3.8823584446836863</v>
      </c>
      <c r="Z348" s="385">
        <f t="shared" si="139"/>
        <v>4.0888544908445219</v>
      </c>
      <c r="AA348" s="386">
        <f t="shared" si="140"/>
        <v>4.4492781723467285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8.1007225788291115E-2</v>
      </c>
      <c r="AD348" s="231">
        <f>(INDEX(Models!$BJ348:$BT348,,AH348)*(1-AF348)+INDEX(Models!$BJ348:$BT348,,AH348+1)*AF348-ERP_i)*AE348*Ramure*Pc/MaxiM</f>
        <v>7.7131545543521044E-4</v>
      </c>
      <c r="AE348" s="305">
        <f t="shared" si="142"/>
        <v>0.5</v>
      </c>
      <c r="AF348" s="177">
        <f t="shared" si="143"/>
        <v>0.49714546221839839</v>
      </c>
      <c r="AG348" s="811">
        <f t="shared" si="149"/>
        <v>1</v>
      </c>
      <c r="AH348" s="176">
        <f t="shared" si="144"/>
        <v>7</v>
      </c>
      <c r="AI348" s="225">
        <f t="shared" si="145"/>
        <v>1.4971454622183984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3.4529727463426245</v>
      </c>
      <c r="C349" s="841"/>
      <c r="D349" s="393">
        <f t="shared" si="127"/>
        <v>3.6367101503950305</v>
      </c>
      <c r="E349" s="385">
        <f t="shared" si="125"/>
        <v>3.8287703200413397</v>
      </c>
      <c r="F349" s="385">
        <f t="shared" si="128"/>
        <v>3.8287703200413397</v>
      </c>
      <c r="G349" s="110">
        <f t="shared" si="126"/>
        <v>0.14434832802950143</v>
      </c>
      <c r="H349" s="414" t="b">
        <f>Wh_hp&gt;='2023'!Maxi_hp</f>
        <v>0</v>
      </c>
      <c r="I349" s="390">
        <f>IF(H349,Wh_hp,'2023'!Maxi_hp)</f>
        <v>26.512351889003813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5.0522971711795095E-2</v>
      </c>
      <c r="M349" s="845"/>
      <c r="N349" s="845"/>
      <c r="O349" s="48">
        <f>IF(t&lt;Tnet,'2023'!Resal+('2023'!Salim-'2023'!Resal)*(1-EXP(('2023'!Tnet-t)/('2023'!Tau_j))),Resal+(Salim-Resal)*(1-EXP((Tnet-t)/(Tau_j))))*Salcycl</f>
        <v>5.0162363785831748E-2</v>
      </c>
      <c r="P349" s="169">
        <f>(INDEX(Models!$BJ349:$BT349,,T349)*(1-R349)+INDEX(Models!$BJ349:$BT349,,T349+1)*R349-ERP_i)*Q349*Ramure*Pc/MaxiM</f>
        <v>7.7857973333898497E-4</v>
      </c>
      <c r="Q349" s="305">
        <f t="shared" si="130"/>
        <v>0.5</v>
      </c>
      <c r="R349" s="177">
        <f t="shared" si="131"/>
        <v>0.49716191625457373</v>
      </c>
      <c r="S349" s="811">
        <f t="shared" si="132"/>
        <v>1</v>
      </c>
      <c r="T349" s="176">
        <f t="shared" si="133"/>
        <v>7</v>
      </c>
      <c r="U349" s="251">
        <f t="shared" si="134"/>
        <v>1.4971619162545737</v>
      </c>
      <c r="V349" s="383">
        <f t="shared" si="135"/>
        <v>23.902489061303108</v>
      </c>
      <c r="W349" s="402">
        <f t="shared" si="136"/>
        <v>3.4529727463426245</v>
      </c>
      <c r="X349" s="157">
        <f t="shared" si="137"/>
        <v>45626</v>
      </c>
      <c r="Y349" s="385">
        <f t="shared" si="138"/>
        <v>3.340857259945234</v>
      </c>
      <c r="Z349" s="385">
        <f t="shared" si="139"/>
        <v>3.5186288455745007</v>
      </c>
      <c r="AA349" s="386">
        <f t="shared" si="140"/>
        <v>3.8287703200413397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8.1002893499103931E-2</v>
      </c>
      <c r="AD349" s="231">
        <f>(INDEX(Models!$BJ349:$BT349,,AH349)*(1-AF349)+INDEX(Models!$BJ349:$BT349,,AH349+1)*AF349-ERP_i)*AE349*Ramure*Pc/MaxiM</f>
        <v>7.7857973333898497E-4</v>
      </c>
      <c r="AE349" s="305">
        <f t="shared" si="142"/>
        <v>0.5</v>
      </c>
      <c r="AF349" s="177">
        <f t="shared" si="143"/>
        <v>0.49716191625457373</v>
      </c>
      <c r="AG349" s="811">
        <f t="shared" si="149"/>
        <v>1</v>
      </c>
      <c r="AH349" s="176">
        <f t="shared" si="144"/>
        <v>7</v>
      </c>
      <c r="AI349" s="225">
        <f t="shared" si="145"/>
        <v>1.4971619162545737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5.7260869643156624</v>
      </c>
      <c r="C350" s="841"/>
      <c r="D350" s="393">
        <f t="shared" si="127"/>
        <v>6.0309119783408285</v>
      </c>
      <c r="E350" s="385">
        <f t="shared" si="125"/>
        <v>6.3496772330176947</v>
      </c>
      <c r="F350" s="385">
        <f t="shared" si="128"/>
        <v>6.3496772330176947</v>
      </c>
      <c r="G350" s="110">
        <f t="shared" si="126"/>
        <v>0.24125276403246174</v>
      </c>
      <c r="H350" s="414" t="b">
        <f>Wh_hp&gt;='2023'!Maxi_hp</f>
        <v>0</v>
      </c>
      <c r="I350" s="390">
        <f>IF(H350,Wh_hp,'2023'!Maxi_hp)</f>
        <v>10.56169638849005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5.0543767695483188E-2</v>
      </c>
      <c r="M350" s="845"/>
      <c r="N350" s="845"/>
      <c r="O350" s="48">
        <f>IF(t&lt;Tnet,'2023'!Resal+('2023'!Salim-'2023'!Resal)*(1-EXP(('2023'!Tnet-t)/('2023'!Tau_j))),Resal+(Salim-Resal)*(1-EXP((Tnet-t)/(Tau_j))))*Salcycl</f>
        <v>5.0201804434927604E-2</v>
      </c>
      <c r="P350" s="169">
        <f>(INDEX(Models!$BJ350:$BT350,,T350)*(1-R350)+INDEX(Models!$BJ350:$BT350,,T350+1)*R350-ERP_i)*Q350*Ramure*Pc/MaxiM</f>
        <v>7.8488270321226032E-4</v>
      </c>
      <c r="Q350" s="305">
        <f t="shared" si="130"/>
        <v>0.5</v>
      </c>
      <c r="R350" s="177">
        <f t="shared" si="131"/>
        <v>0.49717770882099588</v>
      </c>
      <c r="S350" s="811">
        <f t="shared" si="132"/>
        <v>1</v>
      </c>
      <c r="T350" s="176">
        <f t="shared" si="133"/>
        <v>7</v>
      </c>
      <c r="U350" s="251">
        <f t="shared" si="134"/>
        <v>1.4971777088209959</v>
      </c>
      <c r="V350" s="383">
        <f t="shared" si="135"/>
        <v>23.716174530254971</v>
      </c>
      <c r="W350" s="402">
        <f t="shared" si="136"/>
        <v>5.7260869643156624</v>
      </c>
      <c r="X350" s="157">
        <f t="shared" si="137"/>
        <v>45627</v>
      </c>
      <c r="Y350" s="385">
        <f t="shared" si="138"/>
        <v>5.5404128860405653</v>
      </c>
      <c r="Z350" s="385">
        <f t="shared" si="139"/>
        <v>5.8353536450994632</v>
      </c>
      <c r="AA350" s="386">
        <f t="shared" si="140"/>
        <v>6.3496772330176947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8.0999957800027902E-2</v>
      </c>
      <c r="AD350" s="231">
        <f>(INDEX(Models!$BJ350:$BT350,,AH350)*(1-AF350)+INDEX(Models!$BJ350:$BT350,,AH350+1)*AF350-ERP_i)*AE350*Ramure*Pc/MaxiM</f>
        <v>7.8488270321226032E-4</v>
      </c>
      <c r="AE350" s="305">
        <f t="shared" si="142"/>
        <v>0.5</v>
      </c>
      <c r="AF350" s="177">
        <f t="shared" si="143"/>
        <v>0.49717770882099588</v>
      </c>
      <c r="AG350" s="811">
        <f t="shared" si="149"/>
        <v>1</v>
      </c>
      <c r="AH350" s="176">
        <f t="shared" si="144"/>
        <v>7</v>
      </c>
      <c r="AI350" s="225">
        <f t="shared" si="145"/>
        <v>1.4971777088209959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8.5532217209857873</v>
      </c>
      <c r="C351" s="841"/>
      <c r="D351" s="393">
        <f t="shared" si="127"/>
        <v>9.0087449758849854</v>
      </c>
      <c r="E351" s="385">
        <f t="shared" si="125"/>
        <v>9.4853060011840853</v>
      </c>
      <c r="F351" s="385">
        <f t="shared" si="128"/>
        <v>9.4859850301714914</v>
      </c>
      <c r="G351" s="110">
        <f t="shared" si="126"/>
        <v>0.36315272767434564</v>
      </c>
      <c r="H351" s="414" t="b">
        <f>Wh_hp&gt;='2023'!Maxi_hp</f>
        <v>0</v>
      </c>
      <c r="I351" s="390">
        <f>IF(H351,Wh_hp,'2023'!Maxi_hp)</f>
        <v>17.22212353344614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5.0564563223685854E-2</v>
      </c>
      <c r="M351" s="845"/>
      <c r="N351" s="845"/>
      <c r="O351" s="48">
        <f>IF(t&lt;Tnet,'2023'!Resal+('2023'!Salim-'2023'!Resal)*(1-EXP(('2023'!Tnet-t)/('2023'!Tau_j))),Resal+(Salim-Resal)*(1-EXP((Tnet-t)/(Tau_j))))*Salcycl</f>
        <v>5.0242029644547888E-2</v>
      </c>
      <c r="P351" s="169">
        <f>(INDEX(Models!$BJ351:$BT351,,T351)*(1-R351)+INDEX(Models!$BJ351:$BT351,,T351+1)*R351-ERP_i)*Q351*Ramure*Pc/MaxiM</f>
        <v>7.9016815256867856E-4</v>
      </c>
      <c r="Q351" s="305">
        <f t="shared" si="130"/>
        <v>0.5</v>
      </c>
      <c r="R351" s="177">
        <f t="shared" si="131"/>
        <v>0.49719286647015837</v>
      </c>
      <c r="S351" s="811">
        <f t="shared" si="132"/>
        <v>1</v>
      </c>
      <c r="T351" s="176">
        <f t="shared" si="133"/>
        <v>7</v>
      </c>
      <c r="U351" s="251">
        <f t="shared" si="134"/>
        <v>1.4971928664701584</v>
      </c>
      <c r="V351" s="383">
        <f t="shared" si="135"/>
        <v>23.535758940686865</v>
      </c>
      <c r="W351" s="402">
        <f t="shared" si="136"/>
        <v>8.5532217209857873</v>
      </c>
      <c r="X351" s="157">
        <f t="shared" si="137"/>
        <v>45628</v>
      </c>
      <c r="Y351" s="385">
        <f t="shared" si="138"/>
        <v>8.2762395053536029</v>
      </c>
      <c r="Z351" s="385">
        <f t="shared" si="139"/>
        <v>8.7170113783139467</v>
      </c>
      <c r="AA351" s="386">
        <f t="shared" si="140"/>
        <v>9.4853060011840853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8.099840139835561E-2</v>
      </c>
      <c r="AD351" s="231">
        <f>(INDEX(Models!$BJ351:$BT351,,AH351)*(1-AF351)+INDEX(Models!$BJ351:$BT351,,AH351+1)*AF351-ERP_i)*AE351*Ramure*Pc/MaxiM</f>
        <v>7.9016815256867856E-4</v>
      </c>
      <c r="AE351" s="305">
        <f t="shared" si="142"/>
        <v>0.5</v>
      </c>
      <c r="AF351" s="177">
        <f t="shared" si="143"/>
        <v>0.49719286647015837</v>
      </c>
      <c r="AG351" s="811">
        <f t="shared" si="149"/>
        <v>1</v>
      </c>
      <c r="AH351" s="176">
        <f t="shared" si="144"/>
        <v>7</v>
      </c>
      <c r="AI351" s="225">
        <f t="shared" si="145"/>
        <v>1.4971928664701584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16.982381567065485</v>
      </c>
      <c r="C352" s="841"/>
      <c r="D352" s="393">
        <f t="shared" si="127"/>
        <v>17.887212626711825</v>
      </c>
      <c r="E352" s="385">
        <f t="shared" si="125"/>
        <v>18.834256056751588</v>
      </c>
      <c r="F352" s="385">
        <f t="shared" si="128"/>
        <v>18.843386978431901</v>
      </c>
      <c r="G352" s="110">
        <f t="shared" si="126"/>
        <v>0.72667939589918418</v>
      </c>
      <c r="H352" s="414" t="b">
        <f>Wh_hp&gt;='2023'!Maxi_hp</f>
        <v>0</v>
      </c>
      <c r="I352" s="390">
        <f>IF(H352,Wh_hp,'2023'!Maxi_hp)</f>
        <v>18.845623436406257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5.0585358296413085E-2</v>
      </c>
      <c r="M352" s="845"/>
      <c r="N352" s="845"/>
      <c r="O352" s="48">
        <f>IF(t&lt;Tnet,'2023'!Resal+('2023'!Salim-'2023'!Resal)*(1-EXP(('2023'!Tnet-t)/('2023'!Tau_j))),Resal+(Salim-Resal)*(1-EXP((Tnet-t)/(Tau_j))))*Salcycl</f>
        <v>5.028302828559409E-2</v>
      </c>
      <c r="P352" s="169">
        <f>(INDEX(Models!$BJ352:$BT352,,T352)*(1-R352)+INDEX(Models!$BJ352:$BT352,,T352+1)*R352-ERP_i)*Q352*Ramure*Pc/MaxiM</f>
        <v>7.945525364709495E-4</v>
      </c>
      <c r="Q352" s="305">
        <f t="shared" si="130"/>
        <v>0.5</v>
      </c>
      <c r="R352" s="177">
        <f t="shared" si="131"/>
        <v>0.4972074146917933</v>
      </c>
      <c r="S352" s="811">
        <f t="shared" si="132"/>
        <v>1</v>
      </c>
      <c r="T352" s="176">
        <f t="shared" si="133"/>
        <v>7</v>
      </c>
      <c r="U352" s="251">
        <f t="shared" si="134"/>
        <v>1.4972074146917933</v>
      </c>
      <c r="V352" s="383">
        <f t="shared" si="135"/>
        <v>23.36259270936916</v>
      </c>
      <c r="W352" s="402">
        <f t="shared" si="136"/>
        <v>16.982381567065485</v>
      </c>
      <c r="X352" s="157">
        <f t="shared" si="137"/>
        <v>45629</v>
      </c>
      <c r="Y352" s="385">
        <f t="shared" si="138"/>
        <v>16.433147607961867</v>
      </c>
      <c r="Z352" s="385">
        <f t="shared" si="139"/>
        <v>17.308715166299695</v>
      </c>
      <c r="AA352" s="386">
        <f t="shared" si="140"/>
        <v>18.834256056751588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8.0998202735224359E-2</v>
      </c>
      <c r="AD352" s="231">
        <f>(INDEX(Models!$BJ352:$BT352,,AH352)*(1-AF352)+INDEX(Models!$BJ352:$BT352,,AH352+1)*AF352-ERP_i)*AE352*Ramure*Pc/MaxiM</f>
        <v>7.945525364709495E-4</v>
      </c>
      <c r="AE352" s="305">
        <f t="shared" si="142"/>
        <v>0.5</v>
      </c>
      <c r="AF352" s="177">
        <f t="shared" si="143"/>
        <v>0.4972074146917933</v>
      </c>
      <c r="AG352" s="811">
        <f t="shared" si="149"/>
        <v>1</v>
      </c>
      <c r="AH352" s="176">
        <f t="shared" si="144"/>
        <v>7</v>
      </c>
      <c r="AI352" s="225">
        <f t="shared" si="145"/>
        <v>1.4972074146917933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23.114880870820077</v>
      </c>
      <c r="C353" s="841"/>
      <c r="D353" s="393">
        <f t="shared" si="127"/>
        <v>24.346988282849406</v>
      </c>
      <c r="E353" s="385">
        <f t="shared" si="125"/>
        <v>25.637173573853559</v>
      </c>
      <c r="F353" s="385">
        <f t="shared" si="128"/>
        <v>25.657559495538912</v>
      </c>
      <c r="G353" s="110">
        <f t="shared" si="126"/>
        <v>0.9964122492126255</v>
      </c>
      <c r="H353" s="414" t="b">
        <f>Wh_hp&gt;='2023'!Maxi_hp</f>
        <v>0</v>
      </c>
      <c r="I353" s="390">
        <f>IF(H353,Wh_hp,'2023'!Maxi_hp)</f>
        <v>25.657599625066538</v>
      </c>
      <c r="J353" s="85">
        <f>IF(H353,An,'2023'!An_max)</f>
        <v>2022</v>
      </c>
      <c r="K353" s="197">
        <f t="shared" si="129"/>
        <v>45630</v>
      </c>
      <c r="L353" s="147">
        <f>IF(t&lt;Tvie,1-EXP((T0-t)*PertePVj)+'2023'!Pspv,1-EXP((T0-t)*PertePVj)+Pspv)</f>
        <v>5.0606152913674873E-2</v>
      </c>
      <c r="M353" s="845"/>
      <c r="N353" s="845"/>
      <c r="O353" s="48">
        <f>IF(t&lt;Tnet,'2023'!Resal+('2023'!Salim-'2023'!Resal)*(1-EXP(('2023'!Tnet-t)/('2023'!Tau_j))),Resal+(Salim-Resal)*(1-EXP((Tnet-t)/(Tau_j))))*Salcycl</f>
        <v>5.032478667305073E-2</v>
      </c>
      <c r="P353" s="169">
        <f>(INDEX(Models!$BJ353:$BT353,,T353)*(1-R353)+INDEX(Models!$BJ353:$BT353,,T353+1)*R353-ERP_i)*Q353*Ramure*Pc/MaxiM</f>
        <v>7.9862721001058888E-4</v>
      </c>
      <c r="Q353" s="305">
        <f t="shared" si="130"/>
        <v>0.5</v>
      </c>
      <c r="R353" s="177">
        <f t="shared" si="131"/>
        <v>0.49722137795516241</v>
      </c>
      <c r="S353" s="811">
        <f t="shared" si="132"/>
        <v>1</v>
      </c>
      <c r="T353" s="176">
        <f t="shared" si="133"/>
        <v>7</v>
      </c>
      <c r="U353" s="251">
        <f t="shared" si="134"/>
        <v>1.4972213779551624</v>
      </c>
      <c r="V353" s="383">
        <f t="shared" si="135"/>
        <v>23.198014984720334</v>
      </c>
      <c r="W353" s="402">
        <f t="shared" si="136"/>
        <v>23.114880870820077</v>
      </c>
      <c r="X353" s="157">
        <f t="shared" si="137"/>
        <v>45630</v>
      </c>
      <c r="Y353" s="385">
        <f t="shared" si="138"/>
        <v>22.36826924128971</v>
      </c>
      <c r="Z353" s="385">
        <f t="shared" si="139"/>
        <v>23.560579531811353</v>
      </c>
      <c r="AA353" s="386">
        <f t="shared" si="140"/>
        <v>25.637173573853559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8.0999336220122564E-2</v>
      </c>
      <c r="AD353" s="231">
        <f>(INDEX(Models!$BJ353:$BT353,,AH353)*(1-AF353)+INDEX(Models!$BJ353:$BT353,,AH353+1)*AF353-ERP_i)*AE353*Ramure*Pc/MaxiM</f>
        <v>7.9862721001058888E-4</v>
      </c>
      <c r="AE353" s="305">
        <f t="shared" si="142"/>
        <v>0.5</v>
      </c>
      <c r="AF353" s="177">
        <f t="shared" si="143"/>
        <v>0.49722137795516241</v>
      </c>
      <c r="AG353" s="811">
        <f t="shared" si="149"/>
        <v>1</v>
      </c>
      <c r="AH353" s="176">
        <f t="shared" si="144"/>
        <v>7</v>
      </c>
      <c r="AI353" s="225">
        <f t="shared" si="145"/>
        <v>1.4972213779551624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10.705347545308772</v>
      </c>
      <c r="C354" s="841"/>
      <c r="D354" s="393">
        <f t="shared" si="127"/>
        <v>11.276228572457612</v>
      </c>
      <c r="E354" s="385">
        <f t="shared" si="125"/>
        <v>11.874305127079632</v>
      </c>
      <c r="F354" s="385">
        <f t="shared" si="128"/>
        <v>11.876545438340877</v>
      </c>
      <c r="G354" s="110">
        <f t="shared" si="126"/>
        <v>0.46428850497118734</v>
      </c>
      <c r="H354" s="414" t="b">
        <f>Wh_hp&gt;='2023'!Maxi_hp</f>
        <v>0</v>
      </c>
      <c r="I354" s="390">
        <f>IF(H354,Wh_hp,'2023'!Maxi_hp)</f>
        <v>20.632916228723204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5.0626947075481099E-2</v>
      </c>
      <c r="M354" s="845"/>
      <c r="N354" s="845"/>
      <c r="O354" s="48">
        <f>IF(t&lt;Tnet,'2023'!Resal+('2023'!Salim-'2023'!Resal)*(1-EXP(('2023'!Tnet-t)/('2023'!Tau_j))),Resal+(Salim-Resal)*(1-EXP((Tnet-t)/(Tau_j))))*Salcycl</f>
        <v>5.0367288714696395E-2</v>
      </c>
      <c r="P354" s="169">
        <f>(INDEX(Models!$BJ354:$BT354,,T354)*(1-R354)+INDEX(Models!$BJ354:$BT354,,T354+1)*R354-ERP_i)*Q354*Ramure*Pc/MaxiM</f>
        <v>8.023353311883614E-4</v>
      </c>
      <c r="Q354" s="305">
        <f t="shared" si="130"/>
        <v>0.5</v>
      </c>
      <c r="R354" s="177">
        <f t="shared" si="131"/>
        <v>0.49723477974968522</v>
      </c>
      <c r="S354" s="811">
        <f t="shared" si="132"/>
        <v>1</v>
      </c>
      <c r="T354" s="176">
        <f t="shared" si="133"/>
        <v>7</v>
      </c>
      <c r="U354" s="251">
        <f t="shared" si="134"/>
        <v>1.4972347797496852</v>
      </c>
      <c r="V354" s="383">
        <f t="shared" si="135"/>
        <v>23.043379918003172</v>
      </c>
      <c r="W354" s="402">
        <f t="shared" si="136"/>
        <v>10.705347545308772</v>
      </c>
      <c r="X354" s="157">
        <f t="shared" si="137"/>
        <v>45631</v>
      </c>
      <c r="Y354" s="385">
        <f t="shared" si="138"/>
        <v>10.360000558261149</v>
      </c>
      <c r="Z354" s="385">
        <f t="shared" si="139"/>
        <v>10.91246536474512</v>
      </c>
      <c r="AA354" s="386">
        <f t="shared" si="140"/>
        <v>11.874305127079632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8.1001772486123308E-2</v>
      </c>
      <c r="AD354" s="231">
        <f>(INDEX(Models!$BJ354:$BT354,,AH354)*(1-AF354)+INDEX(Models!$BJ354:$BT354,,AH354+1)*AF354-ERP_i)*AE354*Ramure*Pc/MaxiM</f>
        <v>8.023353311883614E-4</v>
      </c>
      <c r="AE354" s="305">
        <f t="shared" si="142"/>
        <v>0.5</v>
      </c>
      <c r="AF354" s="177">
        <f t="shared" si="143"/>
        <v>0.49723477974968522</v>
      </c>
      <c r="AG354" s="811">
        <f t="shared" si="149"/>
        <v>1</v>
      </c>
      <c r="AH354" s="176">
        <f t="shared" si="144"/>
        <v>7</v>
      </c>
      <c r="AI354" s="225">
        <f t="shared" si="145"/>
        <v>1.4972347797496852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19.424552335606805</v>
      </c>
      <c r="C355" s="841"/>
      <c r="D355" s="393">
        <f t="shared" si="127"/>
        <v>20.460848064557148</v>
      </c>
      <c r="E355" s="385">
        <f t="shared" si="125"/>
        <v>21.547045761210764</v>
      </c>
      <c r="F355" s="385">
        <f t="shared" si="128"/>
        <v>21.560649471192807</v>
      </c>
      <c r="G355" s="110">
        <f t="shared" si="126"/>
        <v>0.84808394471872939</v>
      </c>
      <c r="H355" s="414" t="b">
        <f>Wh_hp&gt;='2023'!Maxi_hp</f>
        <v>0</v>
      </c>
      <c r="I355" s="390">
        <f>IF(H355,Wh_hp,'2023'!Maxi_hp)</f>
        <v>21.562088371382199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5.0647740781841866E-2</v>
      </c>
      <c r="M355" s="845"/>
      <c r="N355" s="845"/>
      <c r="O355" s="48">
        <f>IF(t&lt;Tnet,'2023'!Resal+('2023'!Salim-'2023'!Resal)*(1-EXP(('2023'!Tnet-t)/('2023'!Tau_j))),Resal+(Salim-Resal)*(1-EXP((Tnet-t)/(Tau_j))))*Salcycl</f>
        <v>5.0410516072184844E-2</v>
      </c>
      <c r="P355" s="169">
        <f>(INDEX(Models!$BJ355:$BT355,,T355)*(1-R355)+INDEX(Models!$BJ355:$BT355,,T355+1)*R355-ERP_i)*Q355*Ramure*Pc/MaxiM</f>
        <v>8.0561775424538241E-4</v>
      </c>
      <c r="Q355" s="305">
        <f t="shared" si="130"/>
        <v>0.5</v>
      </c>
      <c r="R355" s="177">
        <f t="shared" si="131"/>
        <v>0.49724764262397025</v>
      </c>
      <c r="S355" s="811">
        <f t="shared" si="132"/>
        <v>1</v>
      </c>
      <c r="T355" s="176">
        <f t="shared" si="133"/>
        <v>7</v>
      </c>
      <c r="U355" s="251">
        <f t="shared" si="134"/>
        <v>1.4972476426239703</v>
      </c>
      <c r="V355" s="383">
        <f t="shared" si="135"/>
        <v>22.90004130835322</v>
      </c>
      <c r="W355" s="402">
        <f t="shared" si="136"/>
        <v>19.424552335606805</v>
      </c>
      <c r="X355" s="157">
        <f t="shared" si="137"/>
        <v>45632</v>
      </c>
      <c r="Y355" s="385">
        <f t="shared" si="138"/>
        <v>18.798709840378141</v>
      </c>
      <c r="Z355" s="385">
        <f t="shared" si="139"/>
        <v>19.801617005535832</v>
      </c>
      <c r="AA355" s="386">
        <f t="shared" si="140"/>
        <v>21.547045761210764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8.1005478663672525E-2</v>
      </c>
      <c r="AD355" s="231">
        <f>(INDEX(Models!$BJ355:$BT355,,AH355)*(1-AF355)+INDEX(Models!$BJ355:$BT355,,AH355+1)*AF355-ERP_i)*AE355*Ramure*Pc/MaxiM</f>
        <v>8.0561775424538241E-4</v>
      </c>
      <c r="AE355" s="305">
        <f t="shared" si="142"/>
        <v>0.5</v>
      </c>
      <c r="AF355" s="177">
        <f t="shared" si="143"/>
        <v>0.49724764262397025</v>
      </c>
      <c r="AG355" s="811">
        <f t="shared" si="149"/>
        <v>1</v>
      </c>
      <c r="AH355" s="176">
        <f t="shared" si="144"/>
        <v>7</v>
      </c>
      <c r="AI355" s="225">
        <f t="shared" si="145"/>
        <v>1.4972476426239703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4.0101367951992515</v>
      </c>
      <c r="C356" s="841"/>
      <c r="D356" s="393">
        <f t="shared" si="127"/>
        <v>4.2241692590622133</v>
      </c>
      <c r="E356" s="385">
        <f t="shared" si="125"/>
        <v>4.4486220293980816</v>
      </c>
      <c r="F356" s="385">
        <f t="shared" si="128"/>
        <v>4.4486220293980816</v>
      </c>
      <c r="G356" s="110">
        <f t="shared" si="126"/>
        <v>0.17597755268990151</v>
      </c>
      <c r="H356" s="414" t="b">
        <f>Wh_hp&gt;='2023'!Maxi_hp</f>
        <v>0</v>
      </c>
      <c r="I356" s="390">
        <f>IF(H356,Wh_hp,'2023'!Maxi_hp)</f>
        <v>16.757981515209075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5.0668534032767054E-2</v>
      </c>
      <c r="M356" s="845"/>
      <c r="N356" s="845"/>
      <c r="O356" s="48">
        <f>IF(t&lt;Tnet,'2023'!Resal+('2023'!Salim-'2023'!Resal)*(1-EXP(('2023'!Tnet-t)/('2023'!Tau_j))),Resal+(Salim-Resal)*(1-EXP((Tnet-t)/(Tau_j))))*Salcycl</f>
        <v>5.0454448333125193E-2</v>
      </c>
      <c r="P356" s="169">
        <f>(INDEX(Models!$BJ356:$BT356,,T356)*(1-R356)+INDEX(Models!$BJ356:$BT356,,T356+1)*R356-ERP_i)*Q356*Ramure*Pc/MaxiM</f>
        <v>8.0841350903756916E-4</v>
      </c>
      <c r="Q356" s="305">
        <f t="shared" si="130"/>
        <v>0.5</v>
      </c>
      <c r="R356" s="177">
        <f t="shared" si="131"/>
        <v>0.49725998822330442</v>
      </c>
      <c r="S356" s="811">
        <f t="shared" si="132"/>
        <v>1</v>
      </c>
      <c r="T356" s="176">
        <f t="shared" si="133"/>
        <v>7</v>
      </c>
      <c r="U356" s="251">
        <f t="shared" si="134"/>
        <v>1.4972599882233044</v>
      </c>
      <c r="V356" s="383">
        <f t="shared" si="135"/>
        <v>22.769352597496713</v>
      </c>
      <c r="W356" s="402">
        <f t="shared" si="136"/>
        <v>4.0101367951992515</v>
      </c>
      <c r="X356" s="157">
        <f t="shared" si="137"/>
        <v>45633</v>
      </c>
      <c r="Y356" s="385">
        <f t="shared" si="138"/>
        <v>3.8810923057080848</v>
      </c>
      <c r="Z356" s="385">
        <f t="shared" si="139"/>
        <v>4.0882372962891385</v>
      </c>
      <c r="AA356" s="386">
        <f t="shared" si="140"/>
        <v>4.4486220293980816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8.1010418670633688E-2</v>
      </c>
      <c r="AD356" s="231">
        <f>(INDEX(Models!$BJ356:$BT356,,AH356)*(1-AF356)+INDEX(Models!$BJ356:$BT356,,AH356+1)*AF356-ERP_i)*AE356*Ramure*Pc/MaxiM</f>
        <v>8.0841350903756916E-4</v>
      </c>
      <c r="AE356" s="305">
        <f t="shared" si="142"/>
        <v>0.5</v>
      </c>
      <c r="AF356" s="177">
        <f t="shared" si="143"/>
        <v>0.49725998822330442</v>
      </c>
      <c r="AG356" s="811">
        <f t="shared" si="149"/>
        <v>1</v>
      </c>
      <c r="AH356" s="176">
        <f t="shared" si="144"/>
        <v>7</v>
      </c>
      <c r="AI356" s="225">
        <f t="shared" si="145"/>
        <v>1.4972599882233044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4.8520308860848109</v>
      </c>
      <c r="C357" s="841"/>
      <c r="D357" s="393">
        <f t="shared" si="127"/>
        <v>5.1111095905766391</v>
      </c>
      <c r="E357" s="385">
        <f t="shared" si="125"/>
        <v>5.3829431783004225</v>
      </c>
      <c r="F357" s="385">
        <f t="shared" si="128"/>
        <v>5.3829431783004225</v>
      </c>
      <c r="G357" s="110">
        <f t="shared" si="126"/>
        <v>0.21401884239896524</v>
      </c>
      <c r="H357" s="414" t="b">
        <f>Wh_hp&gt;='2023'!Maxi_hp</f>
        <v>0</v>
      </c>
      <c r="I357" s="390">
        <f>IF(H357,Wh_hp,'2023'!Maxi_hp)</f>
        <v>11.880379374635188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5.0689326828266767E-2</v>
      </c>
      <c r="M357" s="845"/>
      <c r="N357" s="845"/>
      <c r="O357" s="48">
        <f>IF(t&lt;Tnet,'2023'!Resal+('2023'!Salim-'2023'!Resal)*(1-EXP(('2023'!Tnet-t)/('2023'!Tau_j))),Resal+(Salim-Resal)*(1-EXP((Tnet-t)/(Tau_j))))*Salcycl</f>
        <v>5.0499063192714189E-2</v>
      </c>
      <c r="P357" s="169">
        <f>(INDEX(Models!$BJ357:$BT357,,T357)*(1-R357)+INDEX(Models!$BJ357:$BT357,,T357+1)*R357-ERP_i)*Q357*Ramure*Pc/MaxiM</f>
        <v>8.1066038853586987E-4</v>
      </c>
      <c r="Q357" s="305">
        <f t="shared" si="130"/>
        <v>0.5</v>
      </c>
      <c r="R357" s="177">
        <f t="shared" si="131"/>
        <v>0.49727183732566438</v>
      </c>
      <c r="S357" s="811">
        <f t="shared" si="132"/>
        <v>1</v>
      </c>
      <c r="T357" s="176">
        <f t="shared" si="133"/>
        <v>7</v>
      </c>
      <c r="U357" s="251">
        <f t="shared" si="134"/>
        <v>1.4972718373256644</v>
      </c>
      <c r="V357" s="383">
        <f t="shared" si="135"/>
        <v>22.65266685165918</v>
      </c>
      <c r="W357" s="402">
        <f t="shared" si="136"/>
        <v>4.8520308860848109</v>
      </c>
      <c r="X357" s="157">
        <f t="shared" si="137"/>
        <v>45634</v>
      </c>
      <c r="Y357" s="385">
        <f t="shared" si="138"/>
        <v>4.6960839039647526</v>
      </c>
      <c r="Z357" s="385">
        <f t="shared" si="139"/>
        <v>4.9468356742210737</v>
      </c>
      <c r="AA357" s="386">
        <f t="shared" si="140"/>
        <v>5.3829431783004225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8.1016553516183032E-2</v>
      </c>
      <c r="AD357" s="231">
        <f>(INDEX(Models!$BJ357:$BT357,,AH357)*(1-AF357)+INDEX(Models!$BJ357:$BT357,,AH357+1)*AF357-ERP_i)*AE357*Ramure*Pc/MaxiM</f>
        <v>8.1066038853586987E-4</v>
      </c>
      <c r="AE357" s="305">
        <f t="shared" si="142"/>
        <v>0.5</v>
      </c>
      <c r="AF357" s="177">
        <f t="shared" si="143"/>
        <v>0.49727183732566438</v>
      </c>
      <c r="AG357" s="811">
        <f t="shared" si="149"/>
        <v>1</v>
      </c>
      <c r="AH357" s="176">
        <f t="shared" si="144"/>
        <v>7</v>
      </c>
      <c r="AI357" s="225">
        <f t="shared" si="145"/>
        <v>1.4972718373256644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11.421396944281527</v>
      </c>
      <c r="C358" s="841"/>
      <c r="D358" s="393">
        <f t="shared" si="127"/>
        <v>12.031516584033874</v>
      </c>
      <c r="E358" s="385">
        <f t="shared" si="125"/>
        <v>12.672015185521285</v>
      </c>
      <c r="F358" s="385">
        <f t="shared" si="128"/>
        <v>12.675051915188916</v>
      </c>
      <c r="G358" s="110">
        <f t="shared" si="126"/>
        <v>0.50617195460923836</v>
      </c>
      <c r="H358" s="414" t="b">
        <f>Wh_hp&gt;='2023'!Maxi_hp</f>
        <v>0</v>
      </c>
      <c r="I358" s="390">
        <f>IF(H358,Wh_hp,'2023'!Maxi_hp)</f>
        <v>21.95872257479607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5.0710119168350776E-2</v>
      </c>
      <c r="M358" s="845"/>
      <c r="N358" s="845"/>
      <c r="O358" s="48">
        <f>IF(t&lt;Tnet,'2023'!Resal+('2023'!Salim-'2023'!Resal)*(1-EXP(('2023'!Tnet-t)/('2023'!Tau_j))),Resal+(Salim-Resal)*(1-EXP((Tnet-t)/(Tau_j))))*Salcycl</f>
        <v>5.0544336643411653E-2</v>
      </c>
      <c r="P358" s="169">
        <f>(INDEX(Models!$BJ358:$BT358,,T358)*(1-R358)+INDEX(Models!$BJ358:$BT358,,T358+1)*R358-ERP_i)*Q358*Ramure*Pc/MaxiM</f>
        <v>8.1229564457326389E-4</v>
      </c>
      <c r="Q358" s="305">
        <f t="shared" si="130"/>
        <v>0.5</v>
      </c>
      <c r="R358" s="177">
        <f t="shared" si="131"/>
        <v>0.49728320987630892</v>
      </c>
      <c r="S358" s="811">
        <f t="shared" si="132"/>
        <v>1</v>
      </c>
      <c r="T358" s="176">
        <f t="shared" si="133"/>
        <v>7</v>
      </c>
      <c r="U358" s="251">
        <f t="shared" si="134"/>
        <v>1.4972832098763089</v>
      </c>
      <c r="V358" s="383">
        <f t="shared" si="135"/>
        <v>22.551336747905456</v>
      </c>
      <c r="W358" s="402">
        <f t="shared" si="136"/>
        <v>11.421396944281527</v>
      </c>
      <c r="X358" s="157">
        <f t="shared" si="137"/>
        <v>45635</v>
      </c>
      <c r="Y358" s="385">
        <f t="shared" si="138"/>
        <v>11.054746306033499</v>
      </c>
      <c r="Z358" s="385">
        <f t="shared" si="139"/>
        <v>11.645279834173214</v>
      </c>
      <c r="AA358" s="386">
        <f t="shared" si="140"/>
        <v>12.672015185521285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8.1023841616066947E-2</v>
      </c>
      <c r="AD358" s="231">
        <f>(INDEX(Models!$BJ358:$BT358,,AH358)*(1-AF358)+INDEX(Models!$BJ358:$BT358,,AH358+1)*AF358-ERP_i)*AE358*Ramure*Pc/MaxiM</f>
        <v>8.1229564457326389E-4</v>
      </c>
      <c r="AE358" s="305">
        <f t="shared" si="142"/>
        <v>0.5</v>
      </c>
      <c r="AF358" s="177">
        <f t="shared" si="143"/>
        <v>0.49728320987630892</v>
      </c>
      <c r="AG358" s="811">
        <f t="shared" si="149"/>
        <v>1</v>
      </c>
      <c r="AH358" s="176">
        <f t="shared" si="144"/>
        <v>7</v>
      </c>
      <c r="AI358" s="225">
        <f t="shared" si="145"/>
        <v>1.4972832098763089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15.95618370771497</v>
      </c>
      <c r="C359" s="841"/>
      <c r="D359" s="393">
        <f t="shared" si="127"/>
        <v>16.808915294413779</v>
      </c>
      <c r="E359" s="385">
        <f t="shared" si="125"/>
        <v>17.704595063944595</v>
      </c>
      <c r="F359" s="385">
        <f t="shared" si="128"/>
        <v>17.713040834071645</v>
      </c>
      <c r="G359" s="110">
        <f t="shared" si="126"/>
        <v>0.71009832350678925</v>
      </c>
      <c r="H359" s="414" t="b">
        <f>Wh_hp&gt;='2023'!Maxi_hp</f>
        <v>0</v>
      </c>
      <c r="I359" s="390">
        <f>IF(H359,Wh_hp,'2023'!Maxi_hp)</f>
        <v>18.260406248134906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5.0730911053029293E-2</v>
      </c>
      <c r="M359" s="845"/>
      <c r="N359" s="845"/>
      <c r="O359" s="48">
        <f>IF(t&lt;Tnet,'2023'!Resal+('2023'!Salim-'2023'!Resal)*(1-EXP(('2023'!Tnet-t)/('2023'!Tau_j))),Resal+(Salim-Resal)*(1-EXP((Tnet-t)/(Tau_j))))*Salcycl</f>
        <v>5.0590243171100169E-2</v>
      </c>
      <c r="P359" s="169">
        <f>(INDEX(Models!$BJ359:$BT359,,T359)*(1-R359)+INDEX(Models!$BJ359:$BT359,,T359+1)*R359-ERP_i)*Q359*Ramure*Pc/MaxiM</f>
        <v>8.1339769133675975E-4</v>
      </c>
      <c r="Q359" s="305">
        <f t="shared" si="130"/>
        <v>0.5</v>
      </c>
      <c r="R359" s="177">
        <f t="shared" si="131"/>
        <v>0.49729412502100034</v>
      </c>
      <c r="S359" s="811">
        <f t="shared" si="132"/>
        <v>1</v>
      </c>
      <c r="T359" s="176">
        <f t="shared" si="133"/>
        <v>7</v>
      </c>
      <c r="U359" s="251">
        <f t="shared" si="134"/>
        <v>1.4972941250210003</v>
      </c>
      <c r="V359" s="383">
        <f t="shared" si="135"/>
        <v>22.462819550862701</v>
      </c>
      <c r="W359" s="402">
        <f t="shared" si="136"/>
        <v>15.95618370771497</v>
      </c>
      <c r="X359" s="157">
        <f t="shared" si="137"/>
        <v>45636</v>
      </c>
      <c r="Y359" s="385">
        <f t="shared" si="138"/>
        <v>15.444562591286354</v>
      </c>
      <c r="Z359" s="385">
        <f t="shared" si="139"/>
        <v>16.269952083259227</v>
      </c>
      <c r="AA359" s="386">
        <f t="shared" si="140"/>
        <v>17.704595063944595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8.1032239116669652E-2</v>
      </c>
      <c r="AD359" s="231">
        <f>(INDEX(Models!$BJ359:$BT359,,AH359)*(1-AF359)+INDEX(Models!$BJ359:$BT359,,AH359+1)*AF359-ERP_i)*AE359*Ramure*Pc/MaxiM</f>
        <v>8.1339769133675975E-4</v>
      </c>
      <c r="AE359" s="305">
        <f t="shared" si="142"/>
        <v>0.5</v>
      </c>
      <c r="AF359" s="177">
        <f t="shared" si="143"/>
        <v>0.49729412502100034</v>
      </c>
      <c r="AG359" s="811">
        <f t="shared" si="149"/>
        <v>1</v>
      </c>
      <c r="AH359" s="176">
        <f t="shared" si="144"/>
        <v>7</v>
      </c>
      <c r="AI359" s="225">
        <f t="shared" si="145"/>
        <v>1.4972941250210003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5.5570120066144852</v>
      </c>
      <c r="C360" s="841"/>
      <c r="D360" s="393">
        <f t="shared" si="127"/>
        <v>5.8541184863288507</v>
      </c>
      <c r="E360" s="385">
        <f t="shared" si="125"/>
        <v>6.1663631102810719</v>
      </c>
      <c r="F360" s="385">
        <f t="shared" si="128"/>
        <v>6.1663631102810719</v>
      </c>
      <c r="G360" s="110">
        <f t="shared" si="126"/>
        <v>0.24805804084296937</v>
      </c>
      <c r="H360" s="414" t="b">
        <f>Wh_hp&gt;='2023'!Maxi_hp</f>
        <v>0</v>
      </c>
      <c r="I360" s="390">
        <f>IF(H360,Wh_hp,'2023'!Maxi_hp)</f>
        <v>23.792403120855759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5.0751702482312089E-2</v>
      </c>
      <c r="M360" s="845"/>
      <c r="N360" s="845"/>
      <c r="O360" s="48">
        <f>IF(t&lt;Tnet,'2023'!Resal+('2023'!Salim-'2023'!Resal)*(1-EXP(('2023'!Tnet-t)/('2023'!Tau_j))),Resal+(Salim-Resal)*(1-EXP((Tnet-t)/(Tau_j))))*Salcycl</f>
        <v>5.0636755956135843E-2</v>
      </c>
      <c r="P360" s="169">
        <f>(INDEX(Models!$BJ360:$BT360,,T360)*(1-R360)+INDEX(Models!$BJ360:$BT360,,T360+1)*R360-ERP_i)*Q360*Ramure*Pc/MaxiM</f>
        <v>8.1407531760355634E-4</v>
      </c>
      <c r="Q360" s="305">
        <f t="shared" si="130"/>
        <v>0.5</v>
      </c>
      <c r="R360" s="177">
        <f t="shared" si="131"/>
        <v>0.49730460113791497</v>
      </c>
      <c r="S360" s="811">
        <f t="shared" si="132"/>
        <v>1</v>
      </c>
      <c r="T360" s="176">
        <f t="shared" si="133"/>
        <v>7</v>
      </c>
      <c r="U360" s="251">
        <f t="shared" si="134"/>
        <v>1.497304601137915</v>
      </c>
      <c r="V360" s="383">
        <f t="shared" si="135"/>
        <v>22.383826629571832</v>
      </c>
      <c r="W360" s="402">
        <f t="shared" si="136"/>
        <v>5.5570120066144852</v>
      </c>
      <c r="X360" s="157">
        <f t="shared" si="137"/>
        <v>45637</v>
      </c>
      <c r="Y360" s="385">
        <f t="shared" si="138"/>
        <v>5.3790394113784465</v>
      </c>
      <c r="Z360" s="385">
        <f t="shared" si="139"/>
        <v>5.6666305596173228</v>
      </c>
      <c r="AA360" s="386">
        <f t="shared" si="140"/>
        <v>6.1663631102810719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8.1041700225300328E-2</v>
      </c>
      <c r="AD360" s="231">
        <f>(INDEX(Models!$BJ360:$BT360,,AH360)*(1-AF360)+INDEX(Models!$BJ360:$BT360,,AH360+1)*AF360-ERP_i)*AE360*Ramure*Pc/MaxiM</f>
        <v>8.1407531760355634E-4</v>
      </c>
      <c r="AE360" s="305">
        <f t="shared" si="142"/>
        <v>0.5</v>
      </c>
      <c r="AF360" s="177">
        <f t="shared" si="143"/>
        <v>0.49730460113791497</v>
      </c>
      <c r="AG360" s="811">
        <f t="shared" si="149"/>
        <v>1</v>
      </c>
      <c r="AH360" s="176">
        <f t="shared" si="144"/>
        <v>7</v>
      </c>
      <c r="AI360" s="225">
        <f t="shared" si="145"/>
        <v>1.497304601137915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5.275117058959836</v>
      </c>
      <c r="C361" s="841"/>
      <c r="D361" s="393">
        <f t="shared" si="127"/>
        <v>5.5572737016091507</v>
      </c>
      <c r="E361" s="385">
        <f t="shared" ref="E361:E380" si="150">Wh_pvt/(1-Psa)</f>
        <v>5.8539757113601549</v>
      </c>
      <c r="F361" s="385">
        <f t="shared" si="128"/>
        <v>5.8539757113601549</v>
      </c>
      <c r="G361" s="110">
        <f t="shared" ref="G361:G380" si="151">+Wh_hp/MaxiM</f>
        <v>0.23620515206909964</v>
      </c>
      <c r="H361" s="414" t="b">
        <f>Wh_hp&gt;='2023'!Maxi_hp</f>
        <v>0</v>
      </c>
      <c r="I361" s="390">
        <f>IF(H361,Wh_hp,'2023'!Maxi_hp)</f>
        <v>25.480851358483925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5.0772493456209267E-2</v>
      </c>
      <c r="M361" s="845"/>
      <c r="N361" s="845"/>
      <c r="O361" s="48">
        <f>IF(t&lt;Tnet,'2023'!Resal+('2023'!Salim-'2023'!Resal)*(1-EXP(('2023'!Tnet-t)/('2023'!Tau_j))),Resal+(Salim-Resal)*(1-EXP((Tnet-t)/(Tau_j))))*Salcycl</f>
        <v>5.0683847077675426E-2</v>
      </c>
      <c r="P361" s="169">
        <f>(INDEX(Models!$BJ361:$BT361,,T361)*(1-R361)+INDEX(Models!$BJ361:$BT361,,T361+1)*R361-ERP_i)*Q361*Ramure*Pc/MaxiM</f>
        <v>8.1466634219650076E-4</v>
      </c>
      <c r="Q361" s="305">
        <f t="shared" si="130"/>
        <v>0.5</v>
      </c>
      <c r="R361" s="177">
        <f t="shared" si="131"/>
        <v>0.49731465586829104</v>
      </c>
      <c r="S361" s="811">
        <f t="shared" si="132"/>
        <v>1</v>
      </c>
      <c r="T361" s="176">
        <f t="shared" si="133"/>
        <v>7</v>
      </c>
      <c r="U361" s="251">
        <f t="shared" si="134"/>
        <v>1.497314655868291</v>
      </c>
      <c r="V361" s="383">
        <f t="shared" si="135"/>
        <v>22.314583540916267</v>
      </c>
      <c r="W361" s="402">
        <f t="shared" si="136"/>
        <v>5.275117058959836</v>
      </c>
      <c r="X361" s="157">
        <f t="shared" si="137"/>
        <v>45638</v>
      </c>
      <c r="Y361" s="385">
        <f t="shared" si="138"/>
        <v>5.1063676938485552</v>
      </c>
      <c r="Z361" s="385">
        <f t="shared" si="139"/>
        <v>5.3794982326641874</v>
      </c>
      <c r="AA361" s="386">
        <f t="shared" si="140"/>
        <v>5.8539757113601549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8.1052177544092358E-2</v>
      </c>
      <c r="AD361" s="231">
        <f>(INDEX(Models!$BJ361:$BT361,,AH361)*(1-AF361)+INDEX(Models!$BJ361:$BT361,,AH361+1)*AF361-ERP_i)*AE361*Ramure*Pc/MaxiM</f>
        <v>8.1466634219650076E-4</v>
      </c>
      <c r="AE361" s="305">
        <f t="shared" si="142"/>
        <v>0.5</v>
      </c>
      <c r="AF361" s="177">
        <f t="shared" si="143"/>
        <v>0.49731465586829104</v>
      </c>
      <c r="AG361" s="811">
        <f t="shared" si="149"/>
        <v>1</v>
      </c>
      <c r="AH361" s="176">
        <f t="shared" si="144"/>
        <v>7</v>
      </c>
      <c r="AI361" s="225">
        <f t="shared" si="145"/>
        <v>1.497314655868291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16.73836958624134</v>
      </c>
      <c r="C362" s="841"/>
      <c r="D362" s="393">
        <f t="shared" si="127"/>
        <v>17.63406147854915</v>
      </c>
      <c r="E362" s="385">
        <f t="shared" si="150"/>
        <v>18.576473621977044</v>
      </c>
      <c r="F362" s="385">
        <f t="shared" si="128"/>
        <v>18.586258934318728</v>
      </c>
      <c r="G362" s="110">
        <f t="shared" si="151"/>
        <v>0.75188908981552571</v>
      </c>
      <c r="H362" s="414" t="b">
        <f>Wh_hp&gt;='2023'!Maxi_hp</f>
        <v>0</v>
      </c>
      <c r="I362" s="390">
        <f>IF(H362,Wh_hp,'2023'!Maxi_hp)</f>
        <v>22.845836803064749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5.0793283974730818E-2</v>
      </c>
      <c r="M362" s="845"/>
      <c r="N362" s="845"/>
      <c r="O362" s="48">
        <f>IF(t&lt;Tnet,'2023'!Resal+('2023'!Salim-'2023'!Resal)*(1-EXP(('2023'!Tnet-t)/('2023'!Tau_j))),Resal+(Salim-Resal)*(1-EXP((Tnet-t)/(Tau_j))))*Salcycl</f>
        <v>5.0731487719658706E-2</v>
      </c>
      <c r="P362" s="169">
        <f>(INDEX(Models!$BJ362:$BT362,,T362)*(1-R362)+INDEX(Models!$BJ362:$BT362,,T362+1)*R362-ERP_i)*Q362*Ramure*Pc/MaxiM</f>
        <v>8.1515495647615946E-4</v>
      </c>
      <c r="Q362" s="305">
        <f t="shared" si="130"/>
        <v>0.5</v>
      </c>
      <c r="R362" s="177">
        <f t="shared" si="131"/>
        <v>0.49732430614586032</v>
      </c>
      <c r="S362" s="811">
        <f t="shared" si="132"/>
        <v>1</v>
      </c>
      <c r="T362" s="176">
        <f t="shared" si="133"/>
        <v>7</v>
      </c>
      <c r="U362" s="251">
        <f t="shared" si="134"/>
        <v>1.4973243061458603</v>
      </c>
      <c r="V362" s="383">
        <f t="shared" si="135"/>
        <v>22.255323739103599</v>
      </c>
      <c r="W362" s="402">
        <f t="shared" si="136"/>
        <v>16.73836958624134</v>
      </c>
      <c r="X362" s="157">
        <f t="shared" si="137"/>
        <v>45639</v>
      </c>
      <c r="Y362" s="385">
        <f t="shared" si="138"/>
        <v>16.20352567839717</v>
      </c>
      <c r="Z362" s="385">
        <f t="shared" si="139"/>
        <v>17.070597378670264</v>
      </c>
      <c r="AA362" s="386">
        <f t="shared" si="140"/>
        <v>18.576473621977044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8.1063622404913382E-2</v>
      </c>
      <c r="AD362" s="231">
        <f>(INDEX(Models!$BJ362:$BT362,,AH362)*(1-AF362)+INDEX(Models!$BJ362:$BT362,,AH362+1)*AF362-ERP_i)*AE362*Ramure*Pc/MaxiM</f>
        <v>8.1515495647615946E-4</v>
      </c>
      <c r="AE362" s="305">
        <f t="shared" si="142"/>
        <v>0.5</v>
      </c>
      <c r="AF362" s="177">
        <f t="shared" si="143"/>
        <v>0.49732430614586032</v>
      </c>
      <c r="AG362" s="811">
        <f t="shared" si="149"/>
        <v>1</v>
      </c>
      <c r="AH362" s="176">
        <f t="shared" si="144"/>
        <v>7</v>
      </c>
      <c r="AI362" s="225">
        <f t="shared" si="145"/>
        <v>1.4973243061458603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5.5522323390588451</v>
      </c>
      <c r="C363" s="841"/>
      <c r="D363" s="393">
        <f t="shared" si="127"/>
        <v>5.8494676197721676</v>
      </c>
      <c r="E363" s="385">
        <f t="shared" si="150"/>
        <v>6.1623917036434968</v>
      </c>
      <c r="F363" s="385">
        <f t="shared" si="128"/>
        <v>6.1623917036434968</v>
      </c>
      <c r="G363" s="110">
        <f t="shared" si="151"/>
        <v>0.24982591446117094</v>
      </c>
      <c r="H363" s="414" t="b">
        <f>Wh_hp&gt;='2023'!Maxi_hp</f>
        <v>0</v>
      </c>
      <c r="I363" s="390">
        <f>IF(H363,Wh_hp,'2023'!Maxi_hp)</f>
        <v>25.557265904120406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5.0814074037886514E-2</v>
      </c>
      <c r="M363" s="845"/>
      <c r="N363" s="845"/>
      <c r="O363" s="48">
        <f>IF(t&lt;Tnet,'2023'!Resal+('2023'!Salim-'2023'!Resal)*(1-EXP(('2023'!Tnet-t)/('2023'!Tau_j))),Resal+(Salim-Resal)*(1-EXP((Tnet-t)/(Tau_j))))*Salcycl</f>
        <v>5.077964837683293E-2</v>
      </c>
      <c r="P363" s="169">
        <f>(INDEX(Models!$BJ363:$BT363,,T363)*(1-R363)+INDEX(Models!$BJ363:$BT363,,T363+1)*R363-ERP_i)*Q363*Ramure*Pc/MaxiM</f>
        <v>8.1552542902571501E-4</v>
      </c>
      <c r="Q363" s="305">
        <f t="shared" si="130"/>
        <v>0.5</v>
      </c>
      <c r="R363" s="177">
        <f t="shared" si="131"/>
        <v>0.49733356822511676</v>
      </c>
      <c r="S363" s="811">
        <f t="shared" si="132"/>
        <v>1</v>
      </c>
      <c r="T363" s="176">
        <f t="shared" si="133"/>
        <v>7</v>
      </c>
      <c r="U363" s="251">
        <f t="shared" si="134"/>
        <v>1.4973335682251168</v>
      </c>
      <c r="V363" s="383">
        <f t="shared" si="135"/>
        <v>22.206280578873784</v>
      </c>
      <c r="W363" s="402">
        <f t="shared" si="136"/>
        <v>5.5522323390588451</v>
      </c>
      <c r="X363" s="157">
        <f t="shared" si="137"/>
        <v>45640</v>
      </c>
      <c r="Y363" s="385">
        <f t="shared" si="138"/>
        <v>5.3750213249965864</v>
      </c>
      <c r="Z363" s="385">
        <f t="shared" si="139"/>
        <v>5.6627697250655702</v>
      </c>
      <c r="AA363" s="386">
        <f t="shared" si="140"/>
        <v>6.1623917036434968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8.1075985202713821E-2</v>
      </c>
      <c r="AD363" s="231">
        <f>(INDEX(Models!$BJ363:$BT363,,AH363)*(1-AF363)+INDEX(Models!$BJ363:$BT363,,AH363+1)*AF363-ERP_i)*AE363*Ramure*Pc/MaxiM</f>
        <v>8.1552542902571501E-4</v>
      </c>
      <c r="AE363" s="305">
        <f t="shared" si="142"/>
        <v>0.5</v>
      </c>
      <c r="AF363" s="177">
        <f t="shared" si="143"/>
        <v>0.49733356822511676</v>
      </c>
      <c r="AG363" s="811">
        <f t="shared" si="149"/>
        <v>1</v>
      </c>
      <c r="AH363" s="176">
        <f t="shared" si="144"/>
        <v>7</v>
      </c>
      <c r="AI363" s="225">
        <f t="shared" si="145"/>
        <v>1.4973335682251168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4.7310738199964746</v>
      </c>
      <c r="C364" s="841"/>
      <c r="D364" s="393">
        <f t="shared" si="127"/>
        <v>4.9844580661361482</v>
      </c>
      <c r="E364" s="385">
        <f t="shared" si="150"/>
        <v>5.2513766067780949</v>
      </c>
      <c r="F364" s="385">
        <f t="shared" si="128"/>
        <v>5.2513766067780949</v>
      </c>
      <c r="G364" s="110">
        <f t="shared" si="151"/>
        <v>0.21324797303174836</v>
      </c>
      <c r="H364" s="414" t="b">
        <f>Wh_hp&gt;='2023'!Maxi_hp</f>
        <v>0</v>
      </c>
      <c r="I364" s="390">
        <f>IF(H364,Wh_hp,'2023'!Maxi_hp)</f>
        <v>25.18523938599883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5.0834863645686568E-2</v>
      </c>
      <c r="M364" s="845"/>
      <c r="N364" s="845"/>
      <c r="O364" s="48">
        <f>IF(t&lt;Tnet,'2023'!Resal+('2023'!Salim-'2023'!Resal)*(1-EXP(('2023'!Tnet-t)/('2023'!Tau_j))),Resal+(Salim-Resal)*(1-EXP((Tnet-t)/(Tau_j))))*Salcycl</f>
        <v>5.08282990592272E-2</v>
      </c>
      <c r="P364" s="169">
        <f>(INDEX(Models!$BJ364:$BT364,,T364)*(1-R364)+INDEX(Models!$BJ364:$BT364,,T364+1)*R364-ERP_i)*Q364*Ramure*Pc/MaxiM</f>
        <v>8.1576222729594816E-4</v>
      </c>
      <c r="Q364" s="305">
        <f t="shared" si="130"/>
        <v>0.5</v>
      </c>
      <c r="R364" s="177">
        <f t="shared" si="131"/>
        <v>0.49734245770846197</v>
      </c>
      <c r="S364" s="811">
        <f t="shared" si="132"/>
        <v>1</v>
      </c>
      <c r="T364" s="176">
        <f t="shared" si="133"/>
        <v>7</v>
      </c>
      <c r="U364" s="251">
        <f t="shared" si="134"/>
        <v>1.497342457708462</v>
      </c>
      <c r="V364" s="383">
        <f t="shared" si="135"/>
        <v>22.167687324164081</v>
      </c>
      <c r="W364" s="402">
        <f t="shared" si="136"/>
        <v>4.7310738199964746</v>
      </c>
      <c r="X364" s="157">
        <f t="shared" si="137"/>
        <v>45641</v>
      </c>
      <c r="Y364" s="385">
        <f t="shared" si="138"/>
        <v>4.5802405930222072</v>
      </c>
      <c r="Z364" s="385">
        <f t="shared" si="139"/>
        <v>4.8255465962589374</v>
      </c>
      <c r="AA364" s="386">
        <f t="shared" si="140"/>
        <v>5.2513766067780949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8.1089215724792399E-2</v>
      </c>
      <c r="AD364" s="231">
        <f>(INDEX(Models!$BJ364:$BT364,,AH364)*(1-AF364)+INDEX(Models!$BJ364:$BT364,,AH364+1)*AF364-ERP_i)*AE364*Ramure*Pc/MaxiM</f>
        <v>8.1576222729594816E-4</v>
      </c>
      <c r="AE364" s="305">
        <f t="shared" si="142"/>
        <v>0.5</v>
      </c>
      <c r="AF364" s="177">
        <f t="shared" si="143"/>
        <v>0.49734245770846197</v>
      </c>
      <c r="AG364" s="811">
        <f t="shared" si="149"/>
        <v>1</v>
      </c>
      <c r="AH364" s="176">
        <f t="shared" si="144"/>
        <v>7</v>
      </c>
      <c r="AI364" s="225">
        <f t="shared" si="145"/>
        <v>1.497342457708462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3.4573932576349717</v>
      </c>
      <c r="C365" s="841"/>
      <c r="D365" s="393">
        <f t="shared" si="127"/>
        <v>3.6426422048738929</v>
      </c>
      <c r="E365" s="385">
        <f t="shared" si="150"/>
        <v>3.8379048621422811</v>
      </c>
      <c r="F365" s="385">
        <f t="shared" si="128"/>
        <v>3.8379048621422811</v>
      </c>
      <c r="G365" s="110">
        <f t="shared" si="151"/>
        <v>0.15603465752640761</v>
      </c>
      <c r="H365" s="414" t="b">
        <f>Wh_hp&gt;='2023'!Maxi_hp</f>
        <v>0</v>
      </c>
      <c r="I365" s="390">
        <f>IF(H365,Wh_hp,'2023'!Maxi_hp)</f>
        <v>25.601732712427946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5.085565279814086E-2</v>
      </c>
      <c r="M365" s="845"/>
      <c r="N365" s="845"/>
      <c r="O365" s="48">
        <f>IF(t&lt;Tnet,'2023'!Resal+('2023'!Salim-'2023'!Resal)*(1-EXP(('2023'!Tnet-t)/('2023'!Tau_j))),Resal+(Salim-Resal)*(1-EXP((Tnet-t)/(Tau_j))))*Salcycl</f>
        <v>5.087740949352109E-2</v>
      </c>
      <c r="P365" s="169">
        <f>(INDEX(Models!$BJ365:$BT365,,T365)*(1-R365)+INDEX(Models!$BJ365:$BT365,,T365+1)*R365-ERP_i)*Q365*Ramure*Pc/MaxiM</f>
        <v>8.1585014243207863E-4</v>
      </c>
      <c r="Q365" s="305">
        <f t="shared" si="130"/>
        <v>0.5</v>
      </c>
      <c r="R365" s="177">
        <f t="shared" si="131"/>
        <v>0.4973509895722743</v>
      </c>
      <c r="S365" s="811">
        <f t="shared" si="132"/>
        <v>1</v>
      </c>
      <c r="T365" s="176">
        <f t="shared" si="133"/>
        <v>7</v>
      </c>
      <c r="U365" s="251">
        <f t="shared" si="134"/>
        <v>1.4973509895722743</v>
      </c>
      <c r="V365" s="383">
        <f t="shared" si="135"/>
        <v>22.139777134247421</v>
      </c>
      <c r="W365" s="402">
        <f t="shared" si="136"/>
        <v>3.4573932576349717</v>
      </c>
      <c r="X365" s="157">
        <f t="shared" si="137"/>
        <v>45642</v>
      </c>
      <c r="Y365" s="385">
        <f t="shared" si="138"/>
        <v>3.3472887623863894</v>
      </c>
      <c r="Z365" s="385">
        <f t="shared" si="139"/>
        <v>3.5266382529216131</v>
      </c>
      <c r="AA365" s="386">
        <f t="shared" si="140"/>
        <v>3.8379048621422811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8.1103263473530154E-2</v>
      </c>
      <c r="AD365" s="231">
        <f>(INDEX(Models!$BJ365:$BT365,,AH365)*(1-AF365)+INDEX(Models!$BJ365:$BT365,,AH365+1)*AF365-ERP_i)*AE365*Ramure*Pc/MaxiM</f>
        <v>8.1585014243207863E-4</v>
      </c>
      <c r="AE365" s="305">
        <f t="shared" si="142"/>
        <v>0.5</v>
      </c>
      <c r="AF365" s="177">
        <f t="shared" si="143"/>
        <v>0.4973509895722743</v>
      </c>
      <c r="AG365" s="811">
        <f t="shared" si="149"/>
        <v>1</v>
      </c>
      <c r="AH365" s="176">
        <f t="shared" si="144"/>
        <v>7</v>
      </c>
      <c r="AI365" s="225">
        <f t="shared" si="145"/>
        <v>1.4973509895722743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20.761315269464184</v>
      </c>
      <c r="C366" s="841"/>
      <c r="D366" s="393">
        <f t="shared" si="127"/>
        <v>21.874196550522655</v>
      </c>
      <c r="E366" s="385">
        <f t="shared" si="150"/>
        <v>23.047958779195593</v>
      </c>
      <c r="F366" s="385">
        <f t="shared" si="128"/>
        <v>23.06511920836272</v>
      </c>
      <c r="G366" s="110">
        <f t="shared" si="151"/>
        <v>0.93839115783490235</v>
      </c>
      <c r="H366" s="414" t="b">
        <f>Wh_hp&gt;='2023'!Maxi_hp</f>
        <v>0</v>
      </c>
      <c r="I366" s="390">
        <f>IF(H366,Wh_hp,'2023'!Maxi_hp)</f>
        <v>25.724211482819697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5.0876441495259384E-2</v>
      </c>
      <c r="M366" s="845"/>
      <c r="N366" s="845"/>
      <c r="O366" s="48">
        <f>IF(t&lt;Tnet,'2023'!Resal+('2023'!Salim-'2023'!Resal)*(1-EXP(('2023'!Tnet-t)/('2023'!Tau_j))),Resal+(Salim-Resal)*(1-EXP((Tnet-t)/(Tau_j))))*Salcycl</f>
        <v>5.0926949319800199E-2</v>
      </c>
      <c r="P366" s="169">
        <f>(INDEX(Models!$BJ366:$BT366,,T366)*(1-R366)+INDEX(Models!$BJ366:$BT366,,T366+1)*R366-ERP_i)*Q366*Ramure*Pc/MaxiM</f>
        <v>8.1571378563774727E-4</v>
      </c>
      <c r="Q366" s="305">
        <f t="shared" si="130"/>
        <v>0.5</v>
      </c>
      <c r="R366" s="177">
        <f t="shared" si="131"/>
        <v>0.49735917819194375</v>
      </c>
      <c r="S366" s="811">
        <f t="shared" si="132"/>
        <v>1</v>
      </c>
      <c r="T366" s="176">
        <f t="shared" si="133"/>
        <v>7</v>
      </c>
      <c r="U366" s="251">
        <f t="shared" si="134"/>
        <v>1.4973591781919438</v>
      </c>
      <c r="V366" s="383">
        <f t="shared" si="135"/>
        <v>22.122784403380201</v>
      </c>
      <c r="W366" s="402">
        <f t="shared" si="136"/>
        <v>20.761315269464184</v>
      </c>
      <c r="X366" s="157">
        <f t="shared" si="137"/>
        <v>45643</v>
      </c>
      <c r="Y366" s="385">
        <f t="shared" si="138"/>
        <v>20.100873441502614</v>
      </c>
      <c r="Z366" s="385">
        <f t="shared" si="139"/>
        <v>21.178352661659506</v>
      </c>
      <c r="AA366" s="386">
        <f t="shared" si="140"/>
        <v>23.047958779195593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8.1118077980237388E-2</v>
      </c>
      <c r="AD366" s="231">
        <f>(INDEX(Models!$BJ366:$BT366,,AH366)*(1-AF366)+INDEX(Models!$BJ366:$BT366,,AH366+1)*AF366-ERP_i)*AE366*Ramure*Pc/MaxiM</f>
        <v>8.1571378563774727E-4</v>
      </c>
      <c r="AE366" s="305">
        <f t="shared" si="142"/>
        <v>0.5</v>
      </c>
      <c r="AF366" s="177">
        <f t="shared" si="143"/>
        <v>0.49735917819194375</v>
      </c>
      <c r="AG366" s="811">
        <f t="shared" si="149"/>
        <v>1</v>
      </c>
      <c r="AH366" s="176">
        <f t="shared" si="144"/>
        <v>7</v>
      </c>
      <c r="AI366" s="225">
        <f t="shared" si="145"/>
        <v>1.4973591781919438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16.801259843702585</v>
      </c>
      <c r="C367" s="841"/>
      <c r="D367" s="393">
        <f t="shared" si="127"/>
        <v>17.702255614581983</v>
      </c>
      <c r="E367" s="385">
        <f t="shared" si="150"/>
        <v>18.653134361017432</v>
      </c>
      <c r="F367" s="385">
        <f t="shared" si="128"/>
        <v>18.663124273069158</v>
      </c>
      <c r="G367" s="110">
        <f t="shared" si="151"/>
        <v>0.75944277647453096</v>
      </c>
      <c r="H367" s="414" t="b">
        <f>Wh_hp&gt;='2023'!Maxi_hp</f>
        <v>0</v>
      </c>
      <c r="I367" s="390">
        <f>IF(H367,Wh_hp,'2023'!Maxi_hp)</f>
        <v>25.408167099175618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5.0897229737052019E-2</v>
      </c>
      <c r="M367" s="845"/>
      <c r="N367" s="845"/>
      <c r="O367" s="48">
        <f>IF(t&lt;Tnet,'2023'!Resal+('2023'!Salim-'2023'!Resal)*(1-EXP(('2023'!Tnet-t)/('2023'!Tau_j))),Resal+(Salim-Resal)*(1-EXP((Tnet-t)/(Tau_j))))*Salcycl</f>
        <v>5.0976888282253434E-2</v>
      </c>
      <c r="P367" s="169">
        <f>(INDEX(Models!$BJ367:$BT367,,T367)*(1-R367)+INDEX(Models!$BJ367:$BT367,,T367+1)*R367-ERP_i)*Q367*Ramure*Pc/MaxiM</f>
        <v>8.1516005512810412E-4</v>
      </c>
      <c r="Q367" s="305">
        <f t="shared" si="130"/>
        <v>0.5</v>
      </c>
      <c r="R367" s="177">
        <f t="shared" si="131"/>
        <v>0.49736703736591004</v>
      </c>
      <c r="S367" s="811">
        <f t="shared" si="132"/>
        <v>1</v>
      </c>
      <c r="T367" s="176">
        <f t="shared" si="133"/>
        <v>7</v>
      </c>
      <c r="U367" s="251">
        <f t="shared" si="134"/>
        <v>1.49736703736591</v>
      </c>
      <c r="V367" s="383">
        <f t="shared" si="135"/>
        <v>22.116946044428165</v>
      </c>
      <c r="W367" s="402">
        <f t="shared" si="136"/>
        <v>16.801259843702585</v>
      </c>
      <c r="X367" s="157">
        <f t="shared" si="137"/>
        <v>45644</v>
      </c>
      <c r="Y367" s="385">
        <f t="shared" si="138"/>
        <v>16.267373053834927</v>
      </c>
      <c r="Z367" s="385">
        <f t="shared" si="139"/>
        <v>17.139738249134041</v>
      </c>
      <c r="AA367" s="386">
        <f t="shared" si="140"/>
        <v>18.653134361017432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8.1133609107871263E-2</v>
      </c>
      <c r="AD367" s="231">
        <f>(INDEX(Models!$BJ367:$BT367,,AH367)*(1-AF367)+INDEX(Models!$BJ367:$BT367,,AH367+1)*AF367-ERP_i)*AE367*Ramure*Pc/MaxiM</f>
        <v>8.1516005512810412E-4</v>
      </c>
      <c r="AE367" s="305">
        <f t="shared" si="142"/>
        <v>0.5</v>
      </c>
      <c r="AF367" s="177">
        <f t="shared" si="143"/>
        <v>0.49736703736591004</v>
      </c>
      <c r="AG367" s="811">
        <f t="shared" si="149"/>
        <v>1</v>
      </c>
      <c r="AH367" s="176">
        <f t="shared" si="144"/>
        <v>7</v>
      </c>
      <c r="AI367" s="225">
        <f t="shared" si="145"/>
        <v>1.49736703736591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4.4167573115862426</v>
      </c>
      <c r="C368" s="841"/>
      <c r="D368" s="393">
        <f t="shared" si="127"/>
        <v>4.6537152671062731</v>
      </c>
      <c r="E368" s="385">
        <f t="shared" si="150"/>
        <v>4.9039500916286123</v>
      </c>
      <c r="F368" s="385">
        <f t="shared" si="128"/>
        <v>4.9039500916286123</v>
      </c>
      <c r="G368" s="110">
        <f t="shared" si="151"/>
        <v>0.19948750433384044</v>
      </c>
      <c r="H368" s="414" t="b">
        <f>Wh_hp&gt;='2023'!Maxi_hp</f>
        <v>0</v>
      </c>
      <c r="I368" s="390">
        <f>IF(H368,Wh_hp,'2023'!Maxi_hp)</f>
        <v>22.549218247197125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5.0918017523528758E-2</v>
      </c>
      <c r="M368" s="845"/>
      <c r="N368" s="845"/>
      <c r="O368" s="48">
        <f>IF(t&lt;Tnet,'2023'!Resal+('2023'!Salim-'2023'!Resal)*(1-EXP(('2023'!Tnet-t)/('2023'!Tau_j))),Resal+(Salim-Resal)*(1-EXP((Tnet-t)/(Tau_j))))*Salcycl</f>
        <v>5.1027196412440544E-2</v>
      </c>
      <c r="P368" s="169">
        <f>(INDEX(Models!$BJ368:$BT368,,T368)*(1-R368)+INDEX(Models!$BJ368:$BT368,,T368+1)*R368-ERP_i)*Q368*Ramure*Pc/MaxiM</f>
        <v>8.1417661301308908E-4</v>
      </c>
      <c r="Q368" s="305">
        <f t="shared" si="130"/>
        <v>0.5</v>
      </c>
      <c r="R368" s="177">
        <f t="shared" si="131"/>
        <v>0.49737458033874837</v>
      </c>
      <c r="S368" s="811">
        <f t="shared" si="132"/>
        <v>1</v>
      </c>
      <c r="T368" s="176">
        <f t="shared" si="133"/>
        <v>7</v>
      </c>
      <c r="U368" s="251">
        <f t="shared" si="134"/>
        <v>1.4973745803387484</v>
      </c>
      <c r="V368" s="383">
        <f t="shared" si="135"/>
        <v>22.122494869114263</v>
      </c>
      <c r="W368" s="402">
        <f t="shared" si="136"/>
        <v>4.4167573115862426</v>
      </c>
      <c r="X368" s="157">
        <f t="shared" si="137"/>
        <v>45645</v>
      </c>
      <c r="Y368" s="385">
        <f t="shared" si="138"/>
        <v>4.276559129343652</v>
      </c>
      <c r="Z368" s="385">
        <f t="shared" si="139"/>
        <v>4.5059954864854603</v>
      </c>
      <c r="AA368" s="386">
        <f t="shared" si="140"/>
        <v>4.9039500916286123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8.1149807340512761E-2</v>
      </c>
      <c r="AD368" s="231">
        <f>(INDEX(Models!$BJ368:$BT368,,AH368)*(1-AF368)+INDEX(Models!$BJ368:$BT368,,AH368+1)*AF368-ERP_i)*AE368*Ramure*Pc/MaxiM</f>
        <v>8.1417661301308908E-4</v>
      </c>
      <c r="AE368" s="305">
        <f t="shared" si="142"/>
        <v>0.5</v>
      </c>
      <c r="AF368" s="177">
        <f t="shared" si="143"/>
        <v>0.49737458033874837</v>
      </c>
      <c r="AG368" s="811">
        <f t="shared" si="149"/>
        <v>1</v>
      </c>
      <c r="AH368" s="176">
        <f t="shared" si="144"/>
        <v>7</v>
      </c>
      <c r="AI368" s="225">
        <f t="shared" si="145"/>
        <v>1.4973745803387484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19.919970009754952</v>
      </c>
      <c r="C369" s="841"/>
      <c r="D369" s="393">
        <f t="shared" si="127"/>
        <v>20.989131271672345</v>
      </c>
      <c r="E369" s="385">
        <f t="shared" si="150"/>
        <v>22.118917914886545</v>
      </c>
      <c r="F369" s="385">
        <f t="shared" si="128"/>
        <v>22.134331037821457</v>
      </c>
      <c r="G369" s="110">
        <f t="shared" si="151"/>
        <v>0.89963650393601102</v>
      </c>
      <c r="H369" s="414" t="b">
        <f>Wh_hp&gt;='2023'!Maxi_hp</f>
        <v>0</v>
      </c>
      <c r="I369" s="390">
        <f>IF(H369,Wh_hp,'2023'!Maxi_hp)</f>
        <v>22.13532278533097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5.0938804854699704E-2</v>
      </c>
      <c r="M369" s="845"/>
      <c r="N369" s="845"/>
      <c r="O369" s="48">
        <f>IF(t&lt;Tnet,'2023'!Resal+('2023'!Salim-'2023'!Resal)*(1-EXP(('2023'!Tnet-t)/('2023'!Tau_j))),Resal+(Salim-Resal)*(1-EXP((Tnet-t)/(Tau_j))))*Salcycl</f>
        <v>5.1077844203844501E-2</v>
      </c>
      <c r="P369" s="169">
        <f>(INDEX(Models!$BJ369:$BT369,,T369)*(1-R369)+INDEX(Models!$BJ369:$BT369,,T369+1)*R369-ERP_i)*Q369*Ramure*Pc/MaxiM</f>
        <v>8.1275250125268294E-4</v>
      </c>
      <c r="Q369" s="305">
        <f t="shared" si="130"/>
        <v>0.5</v>
      </c>
      <c r="R369" s="177">
        <f t="shared" si="131"/>
        <v>0.49738181982333529</v>
      </c>
      <c r="S369" s="811">
        <f t="shared" si="132"/>
        <v>1</v>
      </c>
      <c r="T369" s="176">
        <f t="shared" si="133"/>
        <v>7</v>
      </c>
      <c r="U369" s="251">
        <f t="shared" si="134"/>
        <v>1.4973818198233353</v>
      </c>
      <c r="V369" s="383">
        <f t="shared" si="135"/>
        <v>22.139663592808123</v>
      </c>
      <c r="W369" s="402">
        <f t="shared" si="136"/>
        <v>19.919970009754952</v>
      </c>
      <c r="X369" s="157">
        <f t="shared" si="137"/>
        <v>45646</v>
      </c>
      <c r="Y369" s="385">
        <f t="shared" si="138"/>
        <v>19.288340124567092</v>
      </c>
      <c r="Z369" s="385">
        <f t="shared" si="139"/>
        <v>20.323600019927131</v>
      </c>
      <c r="AA369" s="386">
        <f t="shared" si="140"/>
        <v>22.118917914886545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8.1166624057640899E-2</v>
      </c>
      <c r="AD369" s="231">
        <f>(INDEX(Models!$BJ369:$BT369,,AH369)*(1-AF369)+INDEX(Models!$BJ369:$BT369,,AH369+1)*AF369-ERP_i)*AE369*Ramure*Pc/MaxiM</f>
        <v>8.1275250125268294E-4</v>
      </c>
      <c r="AE369" s="305">
        <f t="shared" si="142"/>
        <v>0.5</v>
      </c>
      <c r="AF369" s="177">
        <f t="shared" si="143"/>
        <v>0.49738181982333529</v>
      </c>
      <c r="AG369" s="811">
        <f t="shared" si="149"/>
        <v>1</v>
      </c>
      <c r="AH369" s="176">
        <f t="shared" si="144"/>
        <v>7</v>
      </c>
      <c r="AI369" s="225">
        <f t="shared" si="145"/>
        <v>1.4973818198233353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16.462608635799182</v>
      </c>
      <c r="C370" s="841"/>
      <c r="D370" s="393">
        <f t="shared" si="127"/>
        <v>17.346583446134545</v>
      </c>
      <c r="E370" s="385">
        <f t="shared" si="150"/>
        <v>18.281283589272032</v>
      </c>
      <c r="F370" s="385">
        <f t="shared" si="128"/>
        <v>18.290661471908329</v>
      </c>
      <c r="G370" s="110">
        <f t="shared" si="151"/>
        <v>0.74238493141620443</v>
      </c>
      <c r="H370" s="414" t="b">
        <f>Wh_hp&gt;='2023'!Maxi_hp</f>
        <v>0</v>
      </c>
      <c r="I370" s="390">
        <f>IF(H370,Wh_hp,'2023'!Maxi_hp)</f>
        <v>25.041754314682116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5.0959591730574738E-2</v>
      </c>
      <c r="M370" s="845"/>
      <c r="N370" s="845"/>
      <c r="O370" s="48">
        <f>IF(t&lt;Tnet,'2023'!Resal+('2023'!Salim-'2023'!Resal)*(1-EXP(('2023'!Tnet-t)/('2023'!Tau_j))),Resal+(Salim-Resal)*(1-EXP((Tnet-t)/(Tau_j))))*Salcycl</f>
        <v>5.1128802776518226E-2</v>
      </c>
      <c r="P370" s="169">
        <f>(INDEX(Models!$BJ370:$BT370,,T370)*(1-R370)+INDEX(Models!$BJ370:$BT370,,T370+1)*R370-ERP_i)*Q370*Ramure*Pc/MaxiM</f>
        <v>8.1087828379578224E-4</v>
      </c>
      <c r="Q370" s="305">
        <f t="shared" si="130"/>
        <v>0.5</v>
      </c>
      <c r="R370" s="177">
        <f t="shared" si="131"/>
        <v>0.4973887680221325</v>
      </c>
      <c r="S370" s="811">
        <f t="shared" si="132"/>
        <v>1</v>
      </c>
      <c r="T370" s="176">
        <f t="shared" si="133"/>
        <v>7</v>
      </c>
      <c r="U370" s="251">
        <f t="shared" si="134"/>
        <v>1.4973887680221325</v>
      </c>
      <c r="V370" s="383">
        <f t="shared" si="135"/>
        <v>22.168684820285243</v>
      </c>
      <c r="W370" s="402">
        <f t="shared" si="136"/>
        <v>16.462608635799182</v>
      </c>
      <c r="X370" s="157">
        <f t="shared" si="137"/>
        <v>45647</v>
      </c>
      <c r="Y370" s="385">
        <f t="shared" si="138"/>
        <v>15.941160471994607</v>
      </c>
      <c r="Z370" s="385">
        <f t="shared" si="139"/>
        <v>16.797135646798544</v>
      </c>
      <c r="AA370" s="386">
        <f t="shared" si="140"/>
        <v>18.281283589272032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8.1184011791405566E-2</v>
      </c>
      <c r="AD370" s="231">
        <f>(INDEX(Models!$BJ370:$BT370,,AH370)*(1-AF370)+INDEX(Models!$BJ370:$BT370,,AH370+1)*AF370-ERP_i)*AE370*Ramure*Pc/MaxiM</f>
        <v>8.1087828379578224E-4</v>
      </c>
      <c r="AE370" s="305">
        <f t="shared" si="142"/>
        <v>0.5</v>
      </c>
      <c r="AF370" s="177">
        <f t="shared" si="143"/>
        <v>0.4973887680221325</v>
      </c>
      <c r="AG370" s="811">
        <f t="shared" si="149"/>
        <v>1</v>
      </c>
      <c r="AH370" s="176">
        <f t="shared" si="144"/>
        <v>7</v>
      </c>
      <c r="AI370" s="225">
        <f t="shared" si="145"/>
        <v>1.4973887680221325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17.001085552614789</v>
      </c>
      <c r="C371" s="841"/>
      <c r="D371" s="393">
        <f t="shared" si="127"/>
        <v>17.914366743539045</v>
      </c>
      <c r="E371" s="385">
        <f t="shared" si="150"/>
        <v>18.880680819195867</v>
      </c>
      <c r="F371" s="385">
        <f t="shared" si="128"/>
        <v>18.890837583339028</v>
      </c>
      <c r="G371" s="110">
        <f t="shared" si="151"/>
        <v>0.76526958829136893</v>
      </c>
      <c r="H371" s="414" t="b">
        <f>Wh_hp&gt;='2023'!Maxi_hp</f>
        <v>0</v>
      </c>
      <c r="I371" s="390">
        <f>IF(H371,Wh_hp,'2023'!Maxi_hp)</f>
        <v>19.829576058520093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5.0980378151163852E-2</v>
      </c>
      <c r="M371" s="845"/>
      <c r="N371" s="845"/>
      <c r="O371" s="48">
        <f>IF(t&lt;Tnet,'2023'!Resal+('2023'!Salim-'2023'!Resal)*(1-EXP(('2023'!Tnet-t)/('2023'!Tau_j))),Resal+(Salim-Resal)*(1-EXP((Tnet-t)/(Tau_j))))*Salcycl</f>
        <v>5.1180044030741577E-2</v>
      </c>
      <c r="P371" s="169">
        <f>(INDEX(Models!$BJ371:$BT371,,T371)*(1-R371)+INDEX(Models!$BJ371:$BT371,,T371+1)*R371-ERP_i)*Q371*Ramure*Pc/MaxiM</f>
        <v>8.085444710215872E-4</v>
      </c>
      <c r="Q371" s="305">
        <f t="shared" si="130"/>
        <v>0.5</v>
      </c>
      <c r="R371" s="177">
        <f t="shared" si="131"/>
        <v>0.4973887680221325</v>
      </c>
      <c r="S371" s="811">
        <f t="shared" si="132"/>
        <v>1</v>
      </c>
      <c r="T371" s="176">
        <f t="shared" si="133"/>
        <v>7</v>
      </c>
      <c r="U371" s="251">
        <f t="shared" si="134"/>
        <v>1.4973887680221325</v>
      </c>
      <c r="V371" s="383">
        <f t="shared" si="135"/>
        <v>22.209791072206087</v>
      </c>
      <c r="W371" s="402">
        <f t="shared" si="136"/>
        <v>17.001085552614789</v>
      </c>
      <c r="X371" s="157">
        <f t="shared" si="137"/>
        <v>45648</v>
      </c>
      <c r="Y371" s="385">
        <f t="shared" si="138"/>
        <v>16.463149398862061</v>
      </c>
      <c r="Z371" s="385">
        <f t="shared" si="139"/>
        <v>17.34753320146249</v>
      </c>
      <c r="AA371" s="386">
        <f t="shared" si="140"/>
        <v>18.880680819195867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8.1201924465278505E-2</v>
      </c>
      <c r="AD371" s="231">
        <f>(INDEX(Models!$BJ371:$BT371,,AH371)*(1-AF371)+INDEX(Models!$BJ371:$BT371,,AH371+1)*AF371-ERP_i)*AE371*Ramure*Pc/MaxiM</f>
        <v>8.085444710215872E-4</v>
      </c>
      <c r="AE371" s="305">
        <f t="shared" si="142"/>
        <v>0.5</v>
      </c>
      <c r="AF371" s="177">
        <f t="shared" si="143"/>
        <v>0.4973887680221325</v>
      </c>
      <c r="AG371" s="811">
        <f t="shared" si="149"/>
        <v>1</v>
      </c>
      <c r="AH371" s="176">
        <f t="shared" si="144"/>
        <v>7</v>
      </c>
      <c r="AI371" s="225">
        <f t="shared" si="145"/>
        <v>1.4973887680221325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20.431289503790548</v>
      </c>
      <c r="C372" s="841"/>
      <c r="D372" s="393">
        <f t="shared" si="127"/>
        <v>21.529309342902312</v>
      </c>
      <c r="E372" s="385">
        <f t="shared" si="150"/>
        <v>22.691847661967785</v>
      </c>
      <c r="F372" s="385">
        <f t="shared" si="128"/>
        <v>22.70799373557491</v>
      </c>
      <c r="G372" s="110">
        <f t="shared" si="151"/>
        <v>0.91762816962467575</v>
      </c>
      <c r="H372" s="414" t="b">
        <f>Wh_hp&gt;='2023'!Maxi_hp</f>
        <v>0</v>
      </c>
      <c r="I372" s="390">
        <f>IF(H372,Wh_hp,'2023'!Maxi_hp)</f>
        <v>22.708821562297572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5.1001164116477038E-2</v>
      </c>
      <c r="M372" s="845"/>
      <c r="N372" s="845"/>
      <c r="O372" s="48">
        <f>IF(t&lt;Tnet,'2023'!Resal+('2023'!Salim-'2023'!Resal)*(1-EXP(('2023'!Tnet-t)/('2023'!Tau_j))),Resal+(Salim-Resal)*(1-EXP((Tnet-t)/(Tau_j))))*Salcycl</f>
        <v>5.1231540788717882E-2</v>
      </c>
      <c r="P372" s="169">
        <f>(INDEX(Models!$BJ372:$BT372,,T372)*(1-R372)+INDEX(Models!$BJ372:$BT372,,T372+1)*R372-ERP_i)*Q372*Ramure*Pc/MaxiM</f>
        <v>8.057456085664498E-4</v>
      </c>
      <c r="Q372" s="305">
        <f t="shared" si="130"/>
        <v>0.5</v>
      </c>
      <c r="R372" s="177">
        <f t="shared" si="131"/>
        <v>0.4973887680221325</v>
      </c>
      <c r="S372" s="811">
        <f t="shared" si="132"/>
        <v>1</v>
      </c>
      <c r="T372" s="176">
        <f t="shared" si="133"/>
        <v>7</v>
      </c>
      <c r="U372" s="251">
        <f t="shared" si="134"/>
        <v>1.4973887680221325</v>
      </c>
      <c r="V372" s="383">
        <f t="shared" si="135"/>
        <v>22.263214719238423</v>
      </c>
      <c r="W372" s="402">
        <f t="shared" si="136"/>
        <v>20.431289503790548</v>
      </c>
      <c r="X372" s="157">
        <f t="shared" si="137"/>
        <v>45649</v>
      </c>
      <c r="Y372" s="385">
        <f t="shared" si="138"/>
        <v>19.78549507923335</v>
      </c>
      <c r="Z372" s="385">
        <f t="shared" si="139"/>
        <v>20.848808587644839</v>
      </c>
      <c r="AA372" s="386">
        <f t="shared" si="140"/>
        <v>22.691847661967785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8.1220317612652235E-2</v>
      </c>
      <c r="AD372" s="231">
        <f>(INDEX(Models!$BJ372:$BT372,,AH372)*(1-AF372)+INDEX(Models!$BJ372:$BT372,,AH372+1)*AF372-ERP_i)*AE372*Ramure*Pc/MaxiM</f>
        <v>8.057456085664498E-4</v>
      </c>
      <c r="AE372" s="305">
        <f t="shared" si="142"/>
        <v>0.5</v>
      </c>
      <c r="AF372" s="177">
        <f t="shared" si="143"/>
        <v>0.4973887680221325</v>
      </c>
      <c r="AG372" s="811">
        <f t="shared" si="149"/>
        <v>1</v>
      </c>
      <c r="AH372" s="176">
        <f t="shared" si="144"/>
        <v>7</v>
      </c>
      <c r="AI372" s="225">
        <f t="shared" si="145"/>
        <v>1.4973887680221325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12.156563488691686</v>
      </c>
      <c r="C373" s="841"/>
      <c r="D373" s="393">
        <f t="shared" si="127"/>
        <v>12.810162978909155</v>
      </c>
      <c r="E373" s="385">
        <f t="shared" si="150"/>
        <v>13.502621522620149</v>
      </c>
      <c r="F373" s="385">
        <f t="shared" si="128"/>
        <v>13.506405016826957</v>
      </c>
      <c r="G373" s="110">
        <f t="shared" si="151"/>
        <v>0.54409191779250776</v>
      </c>
      <c r="H373" s="414" t="b">
        <f>Wh_hp&gt;='2023'!Maxi_hp</f>
        <v>0</v>
      </c>
      <c r="I373" s="390">
        <f>IF(H373,Wh_hp,'2023'!Maxi_hp)</f>
        <v>16.332134440633631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5.1021949626524177E-2</v>
      </c>
      <c r="M373" s="845"/>
      <c r="N373" s="845"/>
      <c r="O373" s="48">
        <f>IF(t&lt;Tnet,'2023'!Resal+('2023'!Salim-'2023'!Resal)*(1-EXP(('2023'!Tnet-t)/('2023'!Tau_j))),Resal+(Salim-Resal)*(1-EXP((Tnet-t)/(Tau_j))))*Salcycl</f>
        <v>5.1283266923460767E-2</v>
      </c>
      <c r="P373" s="169">
        <f>(INDEX(Models!$BJ373:$BT373,,T373)*(1-R373)+INDEX(Models!$BJ373:$BT373,,T373+1)*R373-ERP_i)*Q373*Ramure*Pc/MaxiM</f>
        <v>8.0240243408309891E-4</v>
      </c>
      <c r="Q373" s="305">
        <f t="shared" si="130"/>
        <v>0.5</v>
      </c>
      <c r="R373" s="177">
        <f t="shared" si="131"/>
        <v>0.4973887680221325</v>
      </c>
      <c r="S373" s="811">
        <f t="shared" si="132"/>
        <v>1</v>
      </c>
      <c r="T373" s="176">
        <f t="shared" si="133"/>
        <v>7</v>
      </c>
      <c r="U373" s="251">
        <f t="shared" si="134"/>
        <v>1.4973887680221325</v>
      </c>
      <c r="V373" s="383">
        <f t="shared" si="135"/>
        <v>22.331176451602381</v>
      </c>
      <c r="W373" s="402">
        <f t="shared" si="136"/>
        <v>12.156563488691686</v>
      </c>
      <c r="X373" s="157">
        <f t="shared" si="137"/>
        <v>45650</v>
      </c>
      <c r="Y373" s="385">
        <f t="shared" si="138"/>
        <v>11.772718064182829</v>
      </c>
      <c r="Z373" s="385">
        <f t="shared" si="139"/>
        <v>12.405680046603404</v>
      </c>
      <c r="AA373" s="386">
        <f t="shared" si="140"/>
        <v>13.502621522620149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8.1239148574156761E-2</v>
      </c>
      <c r="AD373" s="231">
        <f>(INDEX(Models!$BJ373:$BT373,,AH373)*(1-AF373)+INDEX(Models!$BJ373:$BT373,,AH373+1)*AF373-ERP_i)*AE373*Ramure*Pc/MaxiM</f>
        <v>8.0240243408309891E-4</v>
      </c>
      <c r="AE373" s="305">
        <f t="shared" si="142"/>
        <v>0.5</v>
      </c>
      <c r="AF373" s="177">
        <f t="shared" si="143"/>
        <v>0.4973887680221325</v>
      </c>
      <c r="AG373" s="811">
        <f t="shared" si="149"/>
        <v>1</v>
      </c>
      <c r="AH373" s="176">
        <f t="shared" si="144"/>
        <v>7</v>
      </c>
      <c r="AI373" s="225">
        <f t="shared" si="145"/>
        <v>1.4973887680221325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20.715678113038674</v>
      </c>
      <c r="C374" s="841"/>
      <c r="D374" s="393">
        <f t="shared" si="127"/>
        <v>21.829937838224787</v>
      </c>
      <c r="E374" s="385">
        <f t="shared" si="150"/>
        <v>23.011223542922504</v>
      </c>
      <c r="F374" s="385">
        <f t="shared" si="128"/>
        <v>23.027619094482446</v>
      </c>
      <c r="G374" s="110">
        <f t="shared" si="151"/>
        <v>0.9241080203924511</v>
      </c>
      <c r="H374" s="414" t="b">
        <f>Wh_hp&gt;='2023'!Maxi_hp</f>
        <v>0</v>
      </c>
      <c r="I374" s="390">
        <f>IF(H374,Wh_hp,'2023'!Maxi_hp)</f>
        <v>24.2954595694269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5.104273468131526E-2</v>
      </c>
      <c r="M374" s="845"/>
      <c r="N374" s="845"/>
      <c r="O374" s="48">
        <f>IF(t&lt;Tnet,'2023'!Resal+('2023'!Salim-'2023'!Resal)*(1-EXP(('2023'!Tnet-t)/('2023'!Tau_j))),Resal+(Salim-Resal)*(1-EXP((Tnet-t)/(Tau_j))))*Salcycl</f>
        <v>5.1335197474149212E-2</v>
      </c>
      <c r="P374" s="169">
        <f>(INDEX(Models!$BJ374:$BT374,,T374)*(1-R374)+INDEX(Models!$BJ374:$BT374,,T374+1)*R374-ERP_i)*Q374*Ramure*Pc/MaxiM</f>
        <v>7.9847186956839389E-4</v>
      </c>
      <c r="Q374" s="305">
        <f t="shared" si="130"/>
        <v>0.5</v>
      </c>
      <c r="R374" s="177">
        <f t="shared" si="131"/>
        <v>0.4973887680221325</v>
      </c>
      <c r="S374" s="811">
        <f t="shared" si="132"/>
        <v>1</v>
      </c>
      <c r="T374" s="176">
        <f t="shared" si="133"/>
        <v>7</v>
      </c>
      <c r="U374" s="251">
        <f t="shared" si="134"/>
        <v>1.4973887680221325</v>
      </c>
      <c r="V374" s="383">
        <f t="shared" si="135"/>
        <v>22.415004473789367</v>
      </c>
      <c r="W374" s="402">
        <f t="shared" si="136"/>
        <v>20.715678113038674</v>
      </c>
      <c r="X374" s="157">
        <f t="shared" si="137"/>
        <v>45651</v>
      </c>
      <c r="Y374" s="385">
        <f t="shared" si="138"/>
        <v>20.0622555904101</v>
      </c>
      <c r="Z374" s="385">
        <f t="shared" si="139"/>
        <v>21.141368872572642</v>
      </c>
      <c r="AA374" s="386">
        <f t="shared" si="140"/>
        <v>23.011223542922504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8.1258376672672356E-2</v>
      </c>
      <c r="AD374" s="231">
        <f>(INDEX(Models!$BJ374:$BT374,,AH374)*(1-AF374)+INDEX(Models!$BJ374:$BT374,,AH374+1)*AF374-ERP_i)*AE374*Ramure*Pc/MaxiM</f>
        <v>7.9847186956839389E-4</v>
      </c>
      <c r="AE374" s="305">
        <f t="shared" si="142"/>
        <v>0.5</v>
      </c>
      <c r="AF374" s="177">
        <f t="shared" si="143"/>
        <v>0.4973887680221325</v>
      </c>
      <c r="AG374" s="811">
        <f t="shared" si="149"/>
        <v>1</v>
      </c>
      <c r="AH374" s="176">
        <f t="shared" si="144"/>
        <v>7</v>
      </c>
      <c r="AI374" s="225">
        <f t="shared" si="145"/>
        <v>1.4973887680221325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7.4656530794282068</v>
      </c>
      <c r="C375" s="841"/>
      <c r="D375" s="393">
        <f t="shared" si="127"/>
        <v>7.867389684260484</v>
      </c>
      <c r="E375" s="385">
        <f t="shared" si="150"/>
        <v>8.2935741391690989</v>
      </c>
      <c r="F375" s="385">
        <f t="shared" si="128"/>
        <v>8.2938715471564528</v>
      </c>
      <c r="G375" s="110">
        <f t="shared" si="151"/>
        <v>0.33135506032023054</v>
      </c>
      <c r="H375" s="414" t="b">
        <f>Wh_hp&gt;='2023'!Maxi_hp</f>
        <v>0</v>
      </c>
      <c r="I375" s="390">
        <f>IF(H375,Wh_hp,'2023'!Maxi_hp)</f>
        <v>24.678488393426758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5.1063519280860392E-2</v>
      </c>
      <c r="M375" s="845"/>
      <c r="N375" s="845"/>
      <c r="O375" s="48">
        <f>IF(t&lt;Tnet,'2023'!Resal+('2023'!Salim-'2023'!Resal)*(1-EXP(('2023'!Tnet-t)/('2023'!Tau_j))),Resal+(Salim-Resal)*(1-EXP((Tnet-t)/(Tau_j))))*Salcycl</f>
        <v>5.1387308747361568E-2</v>
      </c>
      <c r="P375" s="169">
        <f>(INDEX(Models!$BJ375:$BT375,,T375)*(1-R375)+INDEX(Models!$BJ375:$BT375,,T375+1)*R375-ERP_i)*Q375*Ramure*Pc/MaxiM</f>
        <v>7.9417555532861517E-4</v>
      </c>
      <c r="Q375" s="305">
        <f t="shared" si="130"/>
        <v>0.5</v>
      </c>
      <c r="R375" s="177">
        <f t="shared" si="131"/>
        <v>0.4973887680221325</v>
      </c>
      <c r="S375" s="811">
        <f t="shared" si="132"/>
        <v>1</v>
      </c>
      <c r="T375" s="176">
        <f t="shared" si="133"/>
        <v>7</v>
      </c>
      <c r="U375" s="251">
        <f t="shared" si="134"/>
        <v>1.4973887680221325</v>
      </c>
      <c r="V375" s="383">
        <f t="shared" si="135"/>
        <v>22.513588713928584</v>
      </c>
      <c r="W375" s="402">
        <f t="shared" si="136"/>
        <v>7.4656530794282068</v>
      </c>
      <c r="X375" s="157">
        <f t="shared" si="137"/>
        <v>45652</v>
      </c>
      <c r="Y375" s="385">
        <f t="shared" si="138"/>
        <v>7.230411384106425</v>
      </c>
      <c r="Z375" s="385">
        <f t="shared" si="139"/>
        <v>7.619489324118879</v>
      </c>
      <c r="AA375" s="386">
        <f t="shared" si="140"/>
        <v>8.2935741391690989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8.1277963365231867E-2</v>
      </c>
      <c r="AD375" s="231">
        <f>(INDEX(Models!$BJ375:$BT375,,AH375)*(1-AF375)+INDEX(Models!$BJ375:$BT375,,AH375+1)*AF375-ERP_i)*AE375*Ramure*Pc/MaxiM</f>
        <v>7.9417555532861517E-4</v>
      </c>
      <c r="AE375" s="305">
        <f t="shared" si="142"/>
        <v>0.5</v>
      </c>
      <c r="AF375" s="177">
        <f t="shared" si="143"/>
        <v>0.4973887680221325</v>
      </c>
      <c r="AG375" s="811">
        <f t="shared" si="149"/>
        <v>1</v>
      </c>
      <c r="AH375" s="176">
        <f t="shared" si="144"/>
        <v>7</v>
      </c>
      <c r="AI375" s="225">
        <f t="shared" si="145"/>
        <v>1.4973887680221325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19.898770057211216</v>
      </c>
      <c r="C376" s="841"/>
      <c r="D376" s="393">
        <f t="shared" si="127"/>
        <v>20.970008325330742</v>
      </c>
      <c r="E376" s="385">
        <f t="shared" si="150"/>
        <v>22.107193013642497</v>
      </c>
      <c r="F376" s="385">
        <f t="shared" si="128"/>
        <v>22.121653014369386</v>
      </c>
      <c r="G376" s="110">
        <f t="shared" si="151"/>
        <v>0.87935204590340543</v>
      </c>
      <c r="H376" s="414" t="b">
        <f>Wh_hp&gt;='2023'!Maxi_hp</f>
        <v>0</v>
      </c>
      <c r="I376" s="390">
        <f>IF(H376,Wh_hp,'2023'!Maxi_hp)</f>
        <v>22.122809606273847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5.1084303425169453E-2</v>
      </c>
      <c r="M376" s="845"/>
      <c r="N376" s="845"/>
      <c r="O376" s="48">
        <f>IF(t&lt;Tnet,'2023'!Resal+('2023'!Salim-'2023'!Resal)*(1-EXP(('2023'!Tnet-t)/('2023'!Tau_j))),Resal+(Salim-Resal)*(1-EXP((Tnet-t)/(Tau_j))))*Salcycl</f>
        <v>5.1439578403734559E-2</v>
      </c>
      <c r="P376" s="169">
        <f>(INDEX(Models!$BJ376:$BT376,,T376)*(1-R376)+INDEX(Models!$BJ376:$BT376,,T376+1)*R376-ERP_i)*Q376*Ramure*Pc/MaxiM</f>
        <v>7.8961711081522348E-4</v>
      </c>
      <c r="Q376" s="305">
        <f t="shared" si="130"/>
        <v>0.5</v>
      </c>
      <c r="R376" s="177">
        <f t="shared" si="131"/>
        <v>0.4973887680221325</v>
      </c>
      <c r="S376" s="811">
        <f t="shared" si="132"/>
        <v>1</v>
      </c>
      <c r="T376" s="176">
        <f t="shared" si="133"/>
        <v>7</v>
      </c>
      <c r="U376" s="251">
        <f t="shared" si="134"/>
        <v>1.4973887680221325</v>
      </c>
      <c r="V376" s="383">
        <f t="shared" si="135"/>
        <v>22.625822008347917</v>
      </c>
      <c r="W376" s="402">
        <f t="shared" si="136"/>
        <v>19.898770057211216</v>
      </c>
      <c r="X376" s="157">
        <f t="shared" si="137"/>
        <v>45653</v>
      </c>
      <c r="Y376" s="385">
        <f t="shared" si="138"/>
        <v>19.272406873135012</v>
      </c>
      <c r="Z376" s="385">
        <f t="shared" si="139"/>
        <v>20.309925257533358</v>
      </c>
      <c r="AA376" s="386">
        <f t="shared" si="140"/>
        <v>22.107193013642497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8.1297872371224725E-2</v>
      </c>
      <c r="AD376" s="231">
        <f>(INDEX(Models!$BJ376:$BT376,,AH376)*(1-AF376)+INDEX(Models!$BJ376:$BT376,,AH376+1)*AF376-ERP_i)*AE376*Ramure*Pc/MaxiM</f>
        <v>7.8961711081522348E-4</v>
      </c>
      <c r="AE376" s="305">
        <f t="shared" si="142"/>
        <v>0.5</v>
      </c>
      <c r="AF376" s="177">
        <f t="shared" si="143"/>
        <v>0.4973887680221325</v>
      </c>
      <c r="AG376" s="811">
        <f t="shared" si="149"/>
        <v>1</v>
      </c>
      <c r="AH376" s="176">
        <f t="shared" si="144"/>
        <v>7</v>
      </c>
      <c r="AI376" s="225">
        <f t="shared" si="145"/>
        <v>1.4973887680221325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9.7818808628963136</v>
      </c>
      <c r="C377" s="841"/>
      <c r="D377" s="393">
        <f t="shared" si="127"/>
        <v>10.308708298528003</v>
      </c>
      <c r="E377" s="385">
        <f t="shared" si="150"/>
        <v>10.868340742787826</v>
      </c>
      <c r="F377" s="385">
        <f t="shared" si="128"/>
        <v>10.869924630236326</v>
      </c>
      <c r="G377" s="110">
        <f t="shared" si="151"/>
        <v>0.42968662785345324</v>
      </c>
      <c r="H377" s="414" t="b">
        <f>Wh_hp&gt;='2023'!Maxi_hp</f>
        <v>0</v>
      </c>
      <c r="I377" s="390">
        <f>IF(H377,Wh_hp,'2023'!Maxi_hp)</f>
        <v>24.70046719987749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5.1105087114252323E-2</v>
      </c>
      <c r="M377" s="845"/>
      <c r="N377" s="845"/>
      <c r="O377" s="48">
        <f>IF(t&lt;Tnet,'2023'!Resal+('2023'!Salim-'2023'!Resal)*(1-EXP(('2023'!Tnet-t)/('2023'!Tau_j))),Resal+(Salim-Resal)*(1-EXP((Tnet-t)/(Tau_j))))*Salcycl</f>
        <v>5.1491985529731506E-2</v>
      </c>
      <c r="P377" s="169">
        <f>(INDEX(Models!$BJ377:$BT377,,T377)*(1-R377)+INDEX(Models!$BJ377:$BT377,,T377+1)*R377-ERP_i)*Q377*Ramure*Pc/MaxiM</f>
        <v>7.8484015713367139E-4</v>
      </c>
      <c r="Q377" s="305">
        <f t="shared" si="130"/>
        <v>0.5</v>
      </c>
      <c r="R377" s="177">
        <f t="shared" si="131"/>
        <v>0.4973887680221325</v>
      </c>
      <c r="S377" s="811">
        <f t="shared" si="132"/>
        <v>1</v>
      </c>
      <c r="T377" s="176">
        <f t="shared" si="133"/>
        <v>7</v>
      </c>
      <c r="U377" s="251">
        <f t="shared" si="134"/>
        <v>1.4973887680221325</v>
      </c>
      <c r="V377" s="383">
        <f t="shared" si="135"/>
        <v>22.750598810168079</v>
      </c>
      <c r="W377" s="402">
        <f t="shared" si="136"/>
        <v>9.7818808628963136</v>
      </c>
      <c r="X377" s="157">
        <f t="shared" si="137"/>
        <v>45654</v>
      </c>
      <c r="Y377" s="385">
        <f t="shared" si="138"/>
        <v>9.4742870437002953</v>
      </c>
      <c r="Z377" s="385">
        <f t="shared" si="139"/>
        <v>9.9845482519106454</v>
      </c>
      <c r="AA377" s="386">
        <f t="shared" si="140"/>
        <v>10.868340742787826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8.1318069776535259E-2</v>
      </c>
      <c r="AD377" s="231">
        <f>(INDEX(Models!$BJ377:$BT377,,AH377)*(1-AF377)+INDEX(Models!$BJ377:$BT377,,AH377+1)*AF377-ERP_i)*AE377*Ramure*Pc/MaxiM</f>
        <v>7.8484015713367139E-4</v>
      </c>
      <c r="AE377" s="305">
        <f t="shared" si="142"/>
        <v>0.5</v>
      </c>
      <c r="AF377" s="177">
        <f t="shared" si="143"/>
        <v>0.4973887680221325</v>
      </c>
      <c r="AG377" s="811">
        <f t="shared" si="149"/>
        <v>1</v>
      </c>
      <c r="AH377" s="176">
        <f t="shared" si="144"/>
        <v>7</v>
      </c>
      <c r="AI377" s="225">
        <f t="shared" si="145"/>
        <v>1.4973887680221325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12.87996793035995</v>
      </c>
      <c r="C378" s="841"/>
      <c r="D378" s="393">
        <f t="shared" si="127"/>
        <v>13.573947827079341</v>
      </c>
      <c r="E378" s="385">
        <f t="shared" si="150"/>
        <v>14.311633998783154</v>
      </c>
      <c r="F378" s="385">
        <f t="shared" si="128"/>
        <v>14.315825049698567</v>
      </c>
      <c r="G378" s="110">
        <f t="shared" si="151"/>
        <v>0.56249384157193028</v>
      </c>
      <c r="H378" s="414" t="b">
        <f>Wh_hp&gt;='2023'!Maxi_hp</f>
        <v>0</v>
      </c>
      <c r="I378" s="390">
        <f>IF(H378,Wh_hp,'2023'!Maxi_hp)</f>
        <v>26.021620495154139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5.1125870348119107E-2</v>
      </c>
      <c r="M378" s="845"/>
      <c r="N378" s="845"/>
      <c r="O378" s="48">
        <f>IF(t&lt;Tnet,'2023'!Resal+('2023'!Salim-'2023'!Resal)*(1-EXP(('2023'!Tnet-t)/('2023'!Tau_j))),Resal+(Salim-Resal)*(1-EXP((Tnet-t)/(Tau_j))))*Salcycl</f>
        <v>5.1544510694343897E-2</v>
      </c>
      <c r="P378" s="169">
        <f>(INDEX(Models!$BJ378:$BT378,,T378)*(1-R378)+INDEX(Models!$BJ378:$BT378,,T378+1)*R378-ERP_i)*Q378*Ramure*Pc/MaxiM</f>
        <v>7.7988759748828969E-4</v>
      </c>
      <c r="Q378" s="305">
        <f t="shared" si="130"/>
        <v>0.5</v>
      </c>
      <c r="R378" s="177">
        <f t="shared" si="131"/>
        <v>0.4973887680221325</v>
      </c>
      <c r="S378" s="811">
        <f t="shared" si="132"/>
        <v>1</v>
      </c>
      <c r="T378" s="176">
        <f t="shared" si="133"/>
        <v>7</v>
      </c>
      <c r="U378" s="251">
        <f t="shared" si="134"/>
        <v>1.4973887680221325</v>
      </c>
      <c r="V378" s="383">
        <f t="shared" si="135"/>
        <v>22.886813879029976</v>
      </c>
      <c r="W378" s="402">
        <f t="shared" si="136"/>
        <v>12.87996793035995</v>
      </c>
      <c r="X378" s="157">
        <f t="shared" si="137"/>
        <v>45655</v>
      </c>
      <c r="Y378" s="385">
        <f t="shared" si="138"/>
        <v>12.475367037980705</v>
      </c>
      <c r="Z378" s="385">
        <f t="shared" si="139"/>
        <v>13.147546811669971</v>
      </c>
      <c r="AA378" s="386">
        <f t="shared" si="140"/>
        <v>14.311633998783154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8.1338524113470215E-2</v>
      </c>
      <c r="AD378" s="231">
        <f>(INDEX(Models!$BJ378:$BT378,,AH378)*(1-AF378)+INDEX(Models!$BJ378:$BT378,,AH378+1)*AF378-ERP_i)*AE378*Ramure*Pc/MaxiM</f>
        <v>7.7988759748828969E-4</v>
      </c>
      <c r="AE378" s="305">
        <f t="shared" si="142"/>
        <v>0.5</v>
      </c>
      <c r="AF378" s="177">
        <f t="shared" si="143"/>
        <v>0.4973887680221325</v>
      </c>
      <c r="AG378" s="811">
        <f t="shared" si="149"/>
        <v>1</v>
      </c>
      <c r="AH378" s="176">
        <f t="shared" si="144"/>
        <v>7</v>
      </c>
      <c r="AI378" s="225">
        <f t="shared" si="145"/>
        <v>1.4973887680221325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11.952289657735795</v>
      </c>
      <c r="C379" s="841"/>
      <c r="D379" s="393">
        <f t="shared" si="127"/>
        <v>12.59656162580073</v>
      </c>
      <c r="E379" s="385">
        <f t="shared" si="150"/>
        <v>13.281867973858258</v>
      </c>
      <c r="F379" s="385">
        <f t="shared" si="128"/>
        <v>13.285087014187519</v>
      </c>
      <c r="G379" s="110">
        <f t="shared" si="151"/>
        <v>0.51863568271900751</v>
      </c>
      <c r="H379" s="414" t="b">
        <f>Wh_hp&gt;='2023'!Maxi_hp</f>
        <v>0</v>
      </c>
      <c r="I379" s="390">
        <f>IF(H379,Wh_hp,'2023'!Maxi_hp)</f>
        <v>25.489311551615195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5.1146653126779795E-2</v>
      </c>
      <c r="M379" s="845"/>
      <c r="N379" s="845"/>
      <c r="O379" s="48">
        <f>IF(t&lt;Tnet,'2023'!Resal+('2023'!Salim-'2023'!Resal)*(1-EXP(('2023'!Tnet-t)/('2023'!Tau_j))),Resal+(Salim-Resal)*(1-EXP((Tnet-t)/(Tau_j))))*Salcycl</f>
        <v>5.1597135990688082E-2</v>
      </c>
      <c r="P379" s="169">
        <f>(INDEX(Models!$BJ379:$BT379,,T379)*(1-R379)+INDEX(Models!$BJ379:$BT379,,T379+1)*R379-ERP_i)*Q379*Ramure*Pc/MaxiM</f>
        <v>7.7480131598705476E-4</v>
      </c>
      <c r="Q379" s="306">
        <f t="shared" si="130"/>
        <v>0.5</v>
      </c>
      <c r="R379" s="177">
        <f t="shared" si="131"/>
        <v>0.4973887680221325</v>
      </c>
      <c r="S379" s="811">
        <f t="shared" si="132"/>
        <v>1</v>
      </c>
      <c r="T379" s="176">
        <f t="shared" si="133"/>
        <v>7</v>
      </c>
      <c r="U379" s="307">
        <f t="shared" si="134"/>
        <v>1.4973887680221325</v>
      </c>
      <c r="V379" s="383">
        <f t="shared" si="135"/>
        <v>23.033362262988302</v>
      </c>
      <c r="W379" s="402">
        <f t="shared" si="136"/>
        <v>11.952289657735795</v>
      </c>
      <c r="X379" s="157">
        <f t="shared" si="137"/>
        <v>45656</v>
      </c>
      <c r="Y379" s="385">
        <f t="shared" si="138"/>
        <v>11.577211829480405</v>
      </c>
      <c r="Z379" s="385">
        <f t="shared" si="139"/>
        <v>12.201265735775793</v>
      </c>
      <c r="AA379" s="386">
        <f t="shared" si="140"/>
        <v>13.281867973858258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8.1359206416547522E-2</v>
      </c>
      <c r="AD379" s="231">
        <f>(INDEX(Models!$BJ379:$BT379,,AH379)*(1-AF379)+INDEX(Models!$BJ379:$BT379,,AH379+1)*AF379-ERP_i)*AE379*Ramure*Pc/MaxiM</f>
        <v>7.7480131598705476E-4</v>
      </c>
      <c r="AE379" s="306">
        <f t="shared" si="142"/>
        <v>0.5</v>
      </c>
      <c r="AF379" s="177">
        <f t="shared" si="143"/>
        <v>0.4973887680221325</v>
      </c>
      <c r="AG379" s="811">
        <f t="shared" si="149"/>
        <v>1</v>
      </c>
      <c r="AH379" s="176">
        <f t="shared" si="144"/>
        <v>7</v>
      </c>
      <c r="AI379" s="222">
        <f t="shared" si="145"/>
        <v>1.4973887680221325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>
        <f>A379+1</f>
        <v>45657</v>
      </c>
      <c r="B380" s="803">
        <f>AVERAGE(B366:B379)</f>
        <v>15.046077808291022</v>
      </c>
      <c r="C380" s="851"/>
      <c r="D380" s="605">
        <f t="shared" si="127"/>
        <v>15.857463550938256</v>
      </c>
      <c r="E380" s="601">
        <f t="shared" si="150"/>
        <v>16.721106089749039</v>
      </c>
      <c r="F380" s="601">
        <f t="shared" si="128"/>
        <v>16.727521718765839</v>
      </c>
      <c r="G380" s="110">
        <f t="shared" si="151"/>
        <v>0.64859097678082955</v>
      </c>
      <c r="H380" s="602" t="b">
        <f>Wh_hp&gt;='2023'!Maxi_hp</f>
        <v>1</v>
      </c>
      <c r="I380" s="603">
        <f>IF(H380,Wh_hp,'2023'!Maxi_hp)</f>
        <v>16.727521718765839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5.116743545024427E-2</v>
      </c>
      <c r="M380" s="845"/>
      <c r="N380" s="845"/>
      <c r="O380" s="48">
        <f>IF(t&lt;Tnet,'2023'!Resal+('2023'!Salim-'2023'!Resal)*(1-EXP(('2023'!Tnet-t)/('2023'!Tau_j))),Resal+(Salim-Resal)*(1-EXP((Tnet-t)/(Tau_j))))*Salcycl</f>
        <v>5.1649845062596851E-2</v>
      </c>
      <c r="P380" s="231">
        <f>(INDEX(Models!$BJ380:$BT380,,T380)*(1-R380)+INDEX(Models!$BJ380:$BT380,,T380+1)*R380-ERP_i)*Q380*Ramure*Pc/MaxiM</f>
        <v>7.6962193118437262E-4</v>
      </c>
      <c r="Q380" s="328">
        <f t="shared" si="130"/>
        <v>0.5</v>
      </c>
      <c r="R380" s="314">
        <f>(Hp_vg-S380)/(INDEX(Echel_vg,T380+1)-S380)</f>
        <v>0.4973887680221325</v>
      </c>
      <c r="S380" s="812">
        <f>INDEX(Echel_vg,T380)</f>
        <v>1</v>
      </c>
      <c r="T380" s="233">
        <f t="shared" si="133"/>
        <v>7</v>
      </c>
      <c r="U380" s="301">
        <f t="shared" si="134"/>
        <v>1.4973887680221325</v>
      </c>
      <c r="V380" s="383">
        <f t="shared" si="135"/>
        <v>23.189139317269486</v>
      </c>
      <c r="W380" s="402">
        <f t="shared" si="136"/>
        <v>15.046077808291022</v>
      </c>
      <c r="X380" s="326">
        <f t="shared" si="137"/>
        <v>45657</v>
      </c>
      <c r="Y380" s="601">
        <f t="shared" si="138"/>
        <v>14.574391712087992</v>
      </c>
      <c r="Z380" s="601">
        <f t="shared" si="139"/>
        <v>15.360340967011284</v>
      </c>
      <c r="AA380" s="604">
        <f t="shared" si="140"/>
        <v>16.721106089749039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8.138009025443467E-2</v>
      </c>
      <c r="AD380" s="231">
        <f>(INDEX(Models!$BJ380:$BT380,,AH380)*(1-AF380)+INDEX(Models!$BJ380:$BT380,,AH380+1)*AF380-ERP_i)*AE380*Ramure*Pc/MaxiM</f>
        <v>7.6962193118437262E-4</v>
      </c>
      <c r="AE380" s="328">
        <f t="shared" si="142"/>
        <v>0.5</v>
      </c>
      <c r="AF380" s="314">
        <f>(Hp_vg_s-AG380)/(INDEX(Echel_vg,AH380+1)-AG380)</f>
        <v>0.4973887680221325</v>
      </c>
      <c r="AG380" s="812">
        <f>INDEX(Echel_vg,AH380)</f>
        <v>1</v>
      </c>
      <c r="AH380" s="233">
        <f t="shared" si="144"/>
        <v>7</v>
      </c>
      <c r="AI380" s="225">
        <f t="shared" si="145"/>
        <v>1.4973887680221325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1.7592444988058968</v>
      </c>
      <c r="C381" s="375"/>
      <c r="D381" s="373">
        <f>MIN(D15:D380)</f>
        <v>1.8397137434522199</v>
      </c>
      <c r="E381" s="373">
        <f>MIN(E15:E380)</f>
        <v>1.8928179245635015</v>
      </c>
      <c r="F381" s="374">
        <f>MIN(F15:F380)</f>
        <v>1.8928179245635015</v>
      </c>
      <c r="G381" s="125">
        <f>+MIN(G15:G380)</f>
        <v>6.8473657862532608E-2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4.3551568403062957E-2</v>
      </c>
      <c r="M381" s="847"/>
      <c r="N381" s="847"/>
      <c r="O381" s="47">
        <f t="shared" si="152"/>
        <v>2.7348642081524471E-2</v>
      </c>
      <c r="P381" s="168">
        <f t="shared" si="152"/>
        <v>4.2506911306536033E-6</v>
      </c>
      <c r="Q381" s="310">
        <f t="shared" si="152"/>
        <v>0.5</v>
      </c>
      <c r="R381" s="311">
        <f t="shared" si="152"/>
        <v>1.3731123094107289E-4</v>
      </c>
      <c r="S381" s="811">
        <f t="shared" si="152"/>
        <v>0</v>
      </c>
      <c r="T381" s="176">
        <f t="shared" si="152"/>
        <v>6</v>
      </c>
      <c r="U381" s="252">
        <f>+MIN(U15:U380)</f>
        <v>0.99739004105830353</v>
      </c>
      <c r="V381" s="373">
        <f>MIN(V15:V380)</f>
        <v>22.116946044428165</v>
      </c>
      <c r="W381" s="804" t="s">
        <v>40</v>
      </c>
      <c r="X381" s="112" t="s">
        <v>7</v>
      </c>
      <c r="Y381" s="373">
        <f>MIN(Y15:Y380)</f>
        <v>1.6816912662815584</v>
      </c>
      <c r="Z381" s="373">
        <f>MIN(Z15:Z380)</f>
        <v>1.758613164299627</v>
      </c>
      <c r="AA381" s="373">
        <f>MIN(AA15:AA380)</f>
        <v>1.8928179245635015</v>
      </c>
      <c r="AB381" s="200" t="s">
        <v>7</v>
      </c>
      <c r="AC381" s="47">
        <f t="shared" ref="AC381:AH381" si="153">MIN(AC15:AC380)</f>
        <v>7.0605893590142563E-2</v>
      </c>
      <c r="AD381" s="168">
        <f t="shared" si="153"/>
        <v>4.2506911306536033E-6</v>
      </c>
      <c r="AE381" s="310">
        <f t="shared" si="153"/>
        <v>0.5</v>
      </c>
      <c r="AF381" s="311">
        <f t="shared" si="153"/>
        <v>1.3731123094107289E-4</v>
      </c>
      <c r="AG381" s="811">
        <f t="shared" si="153"/>
        <v>0</v>
      </c>
      <c r="AH381" s="176">
        <f t="shared" si="153"/>
        <v>6</v>
      </c>
      <c r="AI381" s="226">
        <f>MIN(AI15:AI380)</f>
        <v>0.99739004105830353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29.788752625148124</v>
      </c>
      <c r="C382" s="375"/>
      <c r="D382" s="375">
        <f>AVERAGE(D15:D380)</f>
        <v>31.265937671402227</v>
      </c>
      <c r="E382" s="375">
        <f>AVERAGE(E15:E380)</f>
        <v>32.608849518071651</v>
      </c>
      <c r="F382" s="376">
        <f>AVERAGE(F15:F380)</f>
        <v>32.614212800792345</v>
      </c>
      <c r="G382" s="126">
        <f>AVERAGE(G15:G380)</f>
        <v>0.67325234070726681</v>
      </c>
      <c r="H382" s="94"/>
      <c r="I382" s="376">
        <f>AVERAGE(I15:I380)</f>
        <v>43.934939618333523</v>
      </c>
      <c r="J382" s="59">
        <f>AVERAGE(J15:J380)</f>
        <v>2020.1612021857923</v>
      </c>
      <c r="K382" s="200" t="s">
        <v>8</v>
      </c>
      <c r="L382" s="147">
        <f t="shared" ref="L382:V382" si="154">AVERAGE(L15:L380)</f>
        <v>4.7364561790038867E-2</v>
      </c>
      <c r="M382" s="845"/>
      <c r="N382" s="845"/>
      <c r="O382" s="48">
        <f t="shared" si="154"/>
        <v>4.1171978352295927E-2</v>
      </c>
      <c r="P382" s="169">
        <f t="shared" si="154"/>
        <v>3.0502269762292553E-4</v>
      </c>
      <c r="Q382" s="312">
        <f t="shared" si="154"/>
        <v>0.5</v>
      </c>
      <c r="R382" s="177">
        <f t="shared" si="154"/>
        <v>0.38443242256554738</v>
      </c>
      <c r="S382" s="811">
        <f t="shared" si="154"/>
        <v>0.89344262295081966</v>
      </c>
      <c r="T382" s="176">
        <f t="shared" si="154"/>
        <v>6.8934426229508201</v>
      </c>
      <c r="U382" s="251">
        <f t="shared" si="154"/>
        <v>1.2778750455163665</v>
      </c>
      <c r="V382" s="375">
        <f t="shared" si="154"/>
        <v>42.916371144406121</v>
      </c>
      <c r="X382" s="112" t="s">
        <v>8</v>
      </c>
      <c r="Y382" s="375">
        <f>AVERAGE(Y15:Y380)</f>
        <v>28.634843833974852</v>
      </c>
      <c r="Z382" s="375">
        <f>AVERAGE(Z15:Z380)</f>
        <v>30.054969804704392</v>
      </c>
      <c r="AA382" s="375">
        <f>AVERAGE(AA15:AA380)</f>
        <v>32.608849518071651</v>
      </c>
      <c r="AB382" s="200" t="s">
        <v>8</v>
      </c>
      <c r="AC382" s="48">
        <f t="shared" ref="AC382:AH382" si="155">AVERAGE(AC15:AC380)</f>
        <v>7.7981086526644358E-2</v>
      </c>
      <c r="AD382" s="169">
        <f t="shared" si="155"/>
        <v>3.0502269762292553E-4</v>
      </c>
      <c r="AE382" s="312">
        <f t="shared" si="155"/>
        <v>0.5</v>
      </c>
      <c r="AF382" s="177">
        <f t="shared" si="155"/>
        <v>0.38443242256554738</v>
      </c>
      <c r="AG382" s="811">
        <f t="shared" si="155"/>
        <v>0.89344262295081966</v>
      </c>
      <c r="AH382" s="176">
        <f t="shared" si="155"/>
        <v>6.8934426229508201</v>
      </c>
      <c r="AI382" s="225">
        <f>AVERAGE(AI15:AI380)</f>
        <v>1.2778750455163665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57.211061532853073</v>
      </c>
      <c r="C383" s="377"/>
      <c r="D383" s="377">
        <f>MAX(D15:D380)</f>
        <v>60.01036418160357</v>
      </c>
      <c r="E383" s="377">
        <f>MAX(E15:E380)</f>
        <v>62.474306940958378</v>
      </c>
      <c r="F383" s="378">
        <f>MAX(F15:F380)</f>
        <v>62.488882015647988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2024</v>
      </c>
      <c r="K383" s="200" t="s">
        <v>9</v>
      </c>
      <c r="L383" s="148">
        <f t="shared" ref="L383:T383" si="156">MAX(L15:L380)</f>
        <v>5.116743545024427E-2</v>
      </c>
      <c r="M383" s="848"/>
      <c r="N383" s="848"/>
      <c r="O383" s="49">
        <f t="shared" si="156"/>
        <v>5.1649845062596851E-2</v>
      </c>
      <c r="P383" s="170">
        <f t="shared" si="156"/>
        <v>8.1585014243207863E-4</v>
      </c>
      <c r="Q383" s="313">
        <f t="shared" si="156"/>
        <v>0.5</v>
      </c>
      <c r="R383" s="314">
        <f t="shared" si="156"/>
        <v>0.99999953477234993</v>
      </c>
      <c r="S383" s="812">
        <f t="shared" si="156"/>
        <v>1</v>
      </c>
      <c r="T383" s="233">
        <f t="shared" si="156"/>
        <v>7</v>
      </c>
      <c r="U383" s="253">
        <f>+MAX(U15:U380)</f>
        <v>1.4973887680221325</v>
      </c>
      <c r="V383" s="377">
        <f>MAX(V15:V380)</f>
        <v>58.371088452529023</v>
      </c>
      <c r="X383" s="112" t="s">
        <v>9</v>
      </c>
      <c r="Y383" s="377">
        <f>MAX(Y15:Y380)</f>
        <v>54.932878449989474</v>
      </c>
      <c r="Z383" s="377">
        <f>MAX(Z15:Z380)</f>
        <v>57.620710977974312</v>
      </c>
      <c r="AA383" s="377">
        <f>MAX(AA15:AA380)</f>
        <v>62.474306940958378</v>
      </c>
      <c r="AB383" s="200" t="s">
        <v>9</v>
      </c>
      <c r="AC383" s="49">
        <f t="shared" ref="AC383:AH383" si="157">MAX(AC15:AC380)</f>
        <v>8.226158174083395E-2</v>
      </c>
      <c r="AD383" s="170">
        <f t="shared" si="157"/>
        <v>8.1585014243207863E-4</v>
      </c>
      <c r="AE383" s="313">
        <f t="shared" si="157"/>
        <v>0.5</v>
      </c>
      <c r="AF383" s="314">
        <f t="shared" si="157"/>
        <v>0.99999953477234993</v>
      </c>
      <c r="AG383" s="812">
        <f t="shared" si="157"/>
        <v>1</v>
      </c>
      <c r="AH383" s="233">
        <f t="shared" si="157"/>
        <v>7</v>
      </c>
      <c r="AI383" s="227">
        <f>MAX(AI15:AI380)</f>
        <v>1.4973887680221325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4" stopIfTrue="1" operator="lessThan">
      <formula>0.01</formula>
    </cfRule>
    <cfRule type="cellIs" dxfId="7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'2024'!An+1</f>
        <v>2025</v>
      </c>
      <c r="K1" s="1271"/>
      <c r="L1" s="113" t="str">
        <f>"Calcul pertes et enveloppes en "&amp;TEXT(An,0)</f>
        <v>Calcul pertes et enveloppes en 2025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2025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83.024783056465338</v>
      </c>
      <c r="AK3" s="834">
        <f>AM11-AK11</f>
        <v>-1.2648266374811867E-2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410.69816931298521</v>
      </c>
      <c r="AK4" s="834">
        <f>AM12-AK12</f>
        <v>1.7545023831918281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493.87653993762865</v>
      </c>
      <c r="AA5" s="237">
        <f>Wh_Pvg_s-Wh_Pvg</f>
        <v>1.7309531358197427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2825.8509612780999</v>
      </c>
      <c r="AK5" s="516">
        <f>SUMIF(AK15:AK380,"VRAI",Wh)</f>
        <v>1880.488588482518</v>
      </c>
      <c r="AL5" s="516">
        <f>SUMIF(AJ15:AJ380,"VRAI",Wh_s)</f>
        <v>2742.809188406819</v>
      </c>
      <c r="AM5" s="516">
        <f>SUMIF(AK15:AK380,"VRAI",Wh_s)</f>
        <v>1824.370438757021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8151.8362193665453</v>
      </c>
      <c r="AK6" s="516">
        <f>SUMIF(AK15:AK380,"FAUX",Wh)</f>
        <v>9097.1985921621326</v>
      </c>
      <c r="AL6" s="516">
        <f>SUMIF(AJ15:AJ380,"FAUX",Wh_s)</f>
        <v>7739.2351356534946</v>
      </c>
      <c r="AM6" s="516">
        <f>SUMIF(AK15:AK380,"FAUX",Wh_s)</f>
        <v>8657.6738853032948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2982.7313852634625</v>
      </c>
      <c r="AK7" s="516">
        <f>SUMIF(AK15:AK380,"VRAI",Wh_sa)</f>
        <v>2098.1444028621991</v>
      </c>
      <c r="AL7" s="516">
        <f>SUMIF(AJ15:AJ380,"VRAI",Wh_pvt_s)</f>
        <v>2895.0813618894922</v>
      </c>
      <c r="AM7" s="516">
        <f>SUMIF(AK15:AK380,"VRAI",Wh_sa_s)</f>
        <v>2098.1444028621991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1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8632.3748115151593</v>
      </c>
      <c r="AK8" s="516">
        <f>SUMIF(AK15:AK380,"FAUX",Wh_sa)</f>
        <v>9821.9694886545421</v>
      </c>
      <c r="AL8" s="516">
        <f>SUMIF(AJ15:AJ380,"FAUX",Wh_pvt_s)</f>
        <v>8195.4852129969095</v>
      </c>
      <c r="AM8" s="516">
        <f>SUMIF(AK15:AK380,"FAUX",Wh_sa_s)</f>
        <v>9819.9745792495487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11615.106196778628</v>
      </c>
      <c r="E9" s="184">
        <f>SUM(E$15:E$380)</f>
        <v>11920.113891516747</v>
      </c>
      <c r="F9" s="184">
        <f>SUM(F$15:F$380)</f>
        <v>11920.682988630282</v>
      </c>
      <c r="H9" s="1272">
        <f>+SUM(Wh)</f>
        <v>10977.687180644647</v>
      </c>
      <c r="I9" s="1273"/>
      <c r="J9" s="1274"/>
      <c r="K9" s="191"/>
      <c r="L9" s="232"/>
      <c r="M9" s="232"/>
      <c r="N9" s="232"/>
      <c r="O9" s="223">
        <f>Tnet_2025</f>
        <v>45777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10482.044324060316</v>
      </c>
      <c r="Y9" s="1267"/>
      <c r="Z9" s="516">
        <f>SUM(Z$15:Z$380)</f>
        <v>11090.566574886398</v>
      </c>
      <c r="AA9" s="516">
        <f>SUM(AA$15:AA$380)</f>
        <v>11918.118982111742</v>
      </c>
      <c r="AB9" s="516">
        <f>F9</f>
        <v>11920.682988630282</v>
      </c>
      <c r="AC9" s="325">
        <f>IF(An_Tnet,Tnet,'2024'!Tnet_s)</f>
        <v>45777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3157.5185956913779</v>
      </c>
      <c r="AK9" s="516">
        <f>SUMIF(AK15:AK380,"VRAI",Wh_hp)</f>
        <v>2098.6172960247504</v>
      </c>
      <c r="AL9" s="516">
        <f>SUMIF(AJ15:AJ380,"VRAI",Wh_sa_s)</f>
        <v>3157.5027465874746</v>
      </c>
      <c r="AM9" s="516">
        <f>SUMIF(AK15:AK380,"VRAI",Wh_hp)</f>
        <v>2098.6172960247504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5.0000000000000001E-3</v>
      </c>
      <c r="P10" s="421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IF(OR(Inflex,GainD),'2024'!Resal_s+('2024'!Salim-'2024'!Resal_s)*(1-EXP(('2024'!Tnet_s-Tnet)/('2024'!Tau_j))),IF(Acti_net,'2024'!Resal+('2024'!Salim-'2024'!Resal)*(1-EXP(('2024'!Tnet-Tnet)/'2024'!Tau_j)),'2024'!Resal_s))</f>
        <v>5.7811850614436465E-2</v>
      </c>
      <c r="AD10" s="428"/>
      <c r="AE10" s="428"/>
      <c r="AF10" s="260"/>
      <c r="AG10" s="261"/>
      <c r="AH10" s="262"/>
      <c r="AI10" s="473"/>
      <c r="AJ10" s="516">
        <f>SUMIF(AJ15:AJ380,"FAUX",Wh_sa)</f>
        <v>8762.595295825362</v>
      </c>
      <c r="AK10" s="516">
        <f>SUMIF(AK15:AK380,"FAUX",Wh_hp)</f>
        <v>9822.0656926055253</v>
      </c>
      <c r="AL10" s="516">
        <f>SUMIF(AJ15:AJ380,"FAUX",Wh_sa_s)</f>
        <v>8760.6162355242741</v>
      </c>
      <c r="AM10" s="516">
        <f>SUMIF(AK15:AK380,"FAUX",Wh_hp)</f>
        <v>9822.0656926055253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637.41901613398113</v>
      </c>
      <c r="E11" s="51">
        <f>(E$9-D$9)*Prod_an/D$9</f>
        <v>288.26934543682796</v>
      </c>
      <c r="F11" s="186">
        <f>(F$9-E$9)*Prod_an/E$9</f>
        <v>0.52410322121554764</v>
      </c>
      <c r="G11" s="185" t="s">
        <v>6</v>
      </c>
      <c r="K11" s="194"/>
      <c r="L11" s="211">
        <f>Tvie_2025</f>
        <v>43259</v>
      </c>
      <c r="M11" s="844"/>
      <c r="N11" s="844"/>
      <c r="O11" s="202">
        <f>IF(An_Tnet,Salim_2025,'2024'!Salim)</f>
        <v>0.105</v>
      </c>
      <c r="P11" s="256">
        <f>Ttai_2025</f>
        <v>45747</v>
      </c>
      <c r="Q11" s="272">
        <f>Dens_2025</f>
        <v>0.5</v>
      </c>
      <c r="R11" s="277"/>
      <c r="S11" s="230"/>
      <c r="T11" s="230"/>
      <c r="U11" s="266">
        <f>Htf_2025</f>
        <v>-2.0026106892122759</v>
      </c>
      <c r="V11" s="428"/>
      <c r="W11" s="519"/>
      <c r="X11" s="526" t="s">
        <v>43</v>
      </c>
      <c r="Y11" s="50">
        <f>Z$9-Prod_an_s</f>
        <v>608.52225082608129</v>
      </c>
      <c r="Z11" s="51">
        <f>(AA$9-Z$9)*Prod_an_s/Z$9</f>
        <v>782.14588537445661</v>
      </c>
      <c r="AA11" s="186">
        <f>(AB$9-AA$9)*Prod_an_s/AA$9</f>
        <v>2.2550563570352904</v>
      </c>
      <c r="AB11" s="527" t="s">
        <v>6</v>
      </c>
      <c r="AC11" s="325"/>
      <c r="AD11" s="428"/>
      <c r="AE11" s="272">
        <f>IF(Acti_tai,IF(GainD,Dd_s,Dd)+PousD*Croi_tai,"NA")</f>
        <v>0.5</v>
      </c>
      <c r="AF11" s="247"/>
      <c r="AG11" s="247"/>
      <c r="AH11" s="247"/>
      <c r="AI11" s="266">
        <f>IF(Acti_tai,IF(GainD,Hdd_s,Hdd)+PousH*Croi_tai,"NA")</f>
        <v>1.522376877161703</v>
      </c>
      <c r="AJ11" s="833">
        <f>IF($AJ7=0,0,($AJ9-$AJ7)*$AJ5/$AJ7)</f>
        <v>165.59406222334513</v>
      </c>
      <c r="AK11" s="834">
        <f>IF($AK7=0,0,($AK9-$AK7)*$AK5/$AK7)</f>
        <v>0.42383650740919437</v>
      </c>
      <c r="AL11" s="833">
        <f>IF($AL7=0,0,($AL9-$AL7)*$AL5/$AL7)</f>
        <v>248.61884527981047</v>
      </c>
      <c r="AM11" s="834">
        <f>IF($AM7=0,0,($AM9-$AM7)*$AM5/$AM7)</f>
        <v>0.41118824103438251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Pspv_2025</f>
        <v>0</v>
      </c>
      <c r="M12" s="212"/>
      <c r="N12" s="212"/>
      <c r="O12" s="205">
        <f>IF(An_Tnet,Tau_2025*365,'2024'!Tau_j)</f>
        <v>973.33333333333326</v>
      </c>
      <c r="P12" s="281">
        <f>INDEX(Croivg,MIN(MAX(Ttai-$A$15,0)+1,366))</f>
        <v>4.9976218279140845E-2</v>
      </c>
      <c r="Q12" s="280">
        <f>'2024'!Df</f>
        <v>0.5</v>
      </c>
      <c r="R12" s="278"/>
      <c r="S12" s="279"/>
      <c r="T12" s="279"/>
      <c r="U12" s="267">
        <f>'2024'!Hdf</f>
        <v>1.4973887680221325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'2024'!Df_s</f>
        <v>0.5</v>
      </c>
      <c r="AF12" s="203"/>
      <c r="AG12" s="203"/>
      <c r="AH12" s="203"/>
      <c r="AI12" s="297">
        <f>'2024'!Hdf_s</f>
        <v>1.4973887680221325</v>
      </c>
      <c r="AJ12" s="833">
        <f>IF($AJ8=0,0,($AJ10-$AJ8)*$AJ6/$AJ8)</f>
        <v>122.97149784174414</v>
      </c>
      <c r="AK12" s="834">
        <f>IF($AK8=0,0,($AK10-$AK8)*$AK6/$AK8)</f>
        <v>8.9104985355082503E-2</v>
      </c>
      <c r="AL12" s="833">
        <f>IF($AL8=0,0,($AL10-$AL8)*$AL6/$AL8)</f>
        <v>533.66966715472938</v>
      </c>
      <c r="AM12" s="834">
        <f>IF($AM8=0,0,($AM10-$AM8)*$AM6/$AM8)</f>
        <v>1.8436073685469105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288.56556006508924</v>
      </c>
      <c r="AK13" s="73">
        <f>+AK11+AK12</f>
        <v>0.51294149276427692</v>
      </c>
      <c r="AL13" s="73">
        <f>+AL11+AL12</f>
        <v>782.28851243453983</v>
      </c>
      <c r="AM13" s="73">
        <f>+AM11+AM12</f>
        <v>2.2547956095812931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2025</v>
      </c>
      <c r="W14" s="838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22.053173794182118</v>
      </c>
      <c r="C15" s="841"/>
      <c r="D15" s="393">
        <f t="shared" ref="D15:D78" si="0">Wh/(1-Ppv)</f>
        <v>23.242938374834154</v>
      </c>
      <c r="E15" s="400">
        <f t="shared" ref="E15:E79" si="1">Wh_pvt/(1-Psa)</f>
        <v>24.510232350731641</v>
      </c>
      <c r="F15" s="400">
        <f t="shared" ref="F15:F78" si="2">Wh_sa/(1-Pvg*MEDIAN((-Sdif+Wh/Env_an)/Csdif,0,1))</f>
        <v>24.52779048278472</v>
      </c>
      <c r="G15" s="123">
        <f>+Wh_hp/MaxiM</f>
        <v>0.95103768834022306</v>
      </c>
      <c r="H15" s="414" t="b">
        <f>Wh_hp&gt;='2024'!Maxi_hp</f>
        <v>0</v>
      </c>
      <c r="I15" s="396">
        <f>IF(H15,Wh_hp,'2024'!Maxi_hp)</f>
        <v>24.528525019852513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5.1188217318522411E-2</v>
      </c>
      <c r="M15" s="845"/>
      <c r="N15" s="845"/>
      <c r="O15" s="48">
        <f>IF(t&lt;Tnet,'2024'!Resal+('2024'!Salim-'2024'!Resal)*(1-EXP(('2024'!Tnet-t)/('2024'!Tau_j))),Resal+(Salim-Resal)*(1-EXP((Tnet-t)/(Tau_j))))*Salcycl</f>
        <v>5.170469042329006E-2</v>
      </c>
      <c r="P15" s="302">
        <f>(INDEX(Models!$BJ15:$BT15,,T15)*(1-R15)+INDEX(Models!$BJ15:$BT15,,T15+1)*R15-ERP_i)*Q15*Ramure*Pc/MaxiM</f>
        <v>7.6962231496880795E-4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0.4973899635203618</v>
      </c>
      <c r="S15" s="81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1.4973899635203618</v>
      </c>
      <c r="V15" s="382">
        <f t="shared" ref="V15:V78" si="9">MaxiM*(1-Ppv)*(1-Pvg)*(1-Psa)</f>
        <v>23.187290353234566</v>
      </c>
      <c r="W15" s="402">
        <f t="shared" ref="W15:W78" si="10">Wh*(A15&gt;Tmaj)</f>
        <v>22.053173794182118</v>
      </c>
      <c r="X15" s="156">
        <f t="shared" ref="X15:X78" si="11">t</f>
        <v>45658</v>
      </c>
      <c r="Y15" s="385">
        <f t="shared" ref="Y15:Y78" si="12">Wh_pvt_s*(1-Ppv)</f>
        <v>21.362489157990321</v>
      </c>
      <c r="Z15" s="385">
        <f>Wh_sa_s*(1-Psa_s)</f>
        <v>22.514991432354346</v>
      </c>
      <c r="AA15" s="386">
        <f t="shared" ref="AA15:AA78" si="13">Wh_hp*(1-Pvg_s*MEDIAN((-Sdif+Wh/Env_an)/Csdif,0,1))</f>
        <v>24.510232350731641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8.1404406528106099E-2</v>
      </c>
      <c r="AD15" s="231">
        <f>(INDEX(Models!$BJ15:$BT15,,AH15)*(1-AF15)+INDEX(Models!$BJ15:$BT15,,AH15+1)*AF15-ERP_i)*AE15*Ramure*Pc/MaxiM</f>
        <v>7.6962231496880795E-4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0.4973899635203618</v>
      </c>
      <c r="AG15" s="81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1.4973899635203618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15.85719166415878</v>
      </c>
      <c r="C16" s="841"/>
      <c r="D16" s="393">
        <f t="shared" si="0"/>
        <v>16.713050232306539</v>
      </c>
      <c r="E16" s="385">
        <f t="shared" si="1"/>
        <v>17.625289570396891</v>
      </c>
      <c r="F16" s="385">
        <f t="shared" si="2"/>
        <v>17.632585372269531</v>
      </c>
      <c r="G16" s="110">
        <f t="shared" ref="G16:G79" si="21">+Wh_hp/MaxiM</f>
        <v>0.67883633648088226</v>
      </c>
      <c r="H16" s="414" t="b">
        <f>Wh_hp&gt;='2024'!Maxi_hp</f>
        <v>0</v>
      </c>
      <c r="I16" s="390">
        <f>IF(H16,Wh_hp,'2024'!Maxi_hp)</f>
        <v>24.297474136240545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5.1208998731624433E-2</v>
      </c>
      <c r="M16" s="845"/>
      <c r="N16" s="845"/>
      <c r="O16" s="48">
        <f>IF(t&lt;Tnet,'2024'!Resal+('2024'!Salim-'2024'!Resal)*(1-EXP(('2024'!Tnet-t)/('2024'!Tau_j))),Resal+(Salim-Resal)*(1-EXP((Tnet-t)/(Tau_j))))*Salcycl</f>
        <v>5.1757409967466861E-2</v>
      </c>
      <c r="P16" s="169">
        <f>(INDEX(Models!$BJ16:$BT16,,T16)*(1-R16)+INDEX(Models!$BJ16:$BT16,,T16+1)*R16-ERP_i)*Q16*Ramure*Pc/MaxiM</f>
        <v>7.6406572768105373E-4</v>
      </c>
      <c r="Q16" s="305">
        <f t="shared" si="4"/>
        <v>0.5</v>
      </c>
      <c r="R16" s="177">
        <f t="shared" si="5"/>
        <v>0.49741917813435621</v>
      </c>
      <c r="S16" s="811">
        <f t="shared" si="6"/>
        <v>1</v>
      </c>
      <c r="T16" s="176">
        <f t="shared" si="7"/>
        <v>7</v>
      </c>
      <c r="U16" s="251">
        <f t="shared" si="8"/>
        <v>1.4974191781343562</v>
      </c>
      <c r="V16" s="383">
        <f t="shared" si="9"/>
        <v>23.351187579116267</v>
      </c>
      <c r="W16" s="402">
        <f t="shared" si="10"/>
        <v>15.85719166415878</v>
      </c>
      <c r="X16" s="157">
        <f t="shared" si="11"/>
        <v>45659</v>
      </c>
      <c r="Y16" s="385">
        <f t="shared" si="12"/>
        <v>15.361061584879065</v>
      </c>
      <c r="Z16" s="385">
        <f t="shared" ref="Z16:Z78" si="22">Wh_sa_s*(1-Psa_s)</f>
        <v>16.190142575492267</v>
      </c>
      <c r="AA16" s="386">
        <f t="shared" si="13"/>
        <v>17.625289570396891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8.1425442071321741E-2</v>
      </c>
      <c r="AD16" s="231">
        <f>(INDEX(Models!$BJ16:$BT16,,AH16)*(1-AF16)+INDEX(Models!$BJ16:$BT16,,AH16+1)*AF16-ERP_i)*AE16*Ramure*Pc/MaxiM</f>
        <v>7.6406572768105373E-4</v>
      </c>
      <c r="AE16" s="305">
        <f t="shared" si="15"/>
        <v>0.5</v>
      </c>
      <c r="AF16" s="177">
        <f t="shared" ref="AF16:AF78" si="23">(Hp_vg_s-AG16)/(INDEX(Echel_vg,AH16+1)-AG16)</f>
        <v>0.49741917813435621</v>
      </c>
      <c r="AG16" s="811">
        <f t="shared" ref="AG16:AG79" si="24">INDEX(Echel_vg,AH16)</f>
        <v>1</v>
      </c>
      <c r="AH16" s="176">
        <f t="shared" si="16"/>
        <v>7</v>
      </c>
      <c r="AI16" s="225">
        <f t="shared" si="17"/>
        <v>1.4974191781343562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17.064498371832837</v>
      </c>
      <c r="C17" s="841"/>
      <c r="D17" s="393">
        <f t="shared" si="0"/>
        <v>17.985912717885782</v>
      </c>
      <c r="E17" s="385">
        <f t="shared" si="1"/>
        <v>18.968683740115633</v>
      </c>
      <c r="F17" s="385">
        <f t="shared" si="2"/>
        <v>18.977428940442195</v>
      </c>
      <c r="G17" s="110">
        <f t="shared" si="21"/>
        <v>0.72525042602572887</v>
      </c>
      <c r="H17" s="414" t="b">
        <f>Wh_hp&gt;='2024'!Maxi_hp</f>
        <v>0</v>
      </c>
      <c r="I17" s="390">
        <f>IF(H17,Wh_hp,'2024'!Maxi_hp)</f>
        <v>27.383515682442006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5.1229779689560107E-2</v>
      </c>
      <c r="M17" s="845"/>
      <c r="N17" s="845"/>
      <c r="O17" s="48">
        <f>IF(t&lt;Tnet,'2024'!Resal+('2024'!Salim-'2024'!Resal)*(1-EXP(('2024'!Tnet-t)/('2024'!Tau_j))),Resal+(Salim-Resal)*(1-EXP((Tnet-t)/(Tau_j))))*Salcycl</f>
        <v>5.181018544536397E-2</v>
      </c>
      <c r="P17" s="169">
        <f>(INDEX(Models!$BJ17:$BT17,,T17)*(1-R17)+INDEX(Models!$BJ17:$BT17,,T17+1)*R17-ERP_i)*Q17*Ramure*Pc/MaxiM</f>
        <v>7.5816777740587006E-4</v>
      </c>
      <c r="Q17" s="305">
        <f t="shared" si="4"/>
        <v>0.5</v>
      </c>
      <c r="R17" s="177">
        <f t="shared" si="5"/>
        <v>0.49744961472984572</v>
      </c>
      <c r="S17" s="811">
        <f t="shared" si="6"/>
        <v>1</v>
      </c>
      <c r="T17" s="176">
        <f t="shared" si="7"/>
        <v>7</v>
      </c>
      <c r="U17" s="251">
        <f t="shared" si="8"/>
        <v>1.4974496147298457</v>
      </c>
      <c r="V17" s="383">
        <f t="shared" si="9"/>
        <v>23.522112292561001</v>
      </c>
      <c r="W17" s="402">
        <f t="shared" si="10"/>
        <v>17.064498371832837</v>
      </c>
      <c r="X17" s="157">
        <f t="shared" si="11"/>
        <v>45660</v>
      </c>
      <c r="Y17" s="385">
        <f t="shared" si="12"/>
        <v>16.531133511701331</v>
      </c>
      <c r="Z17" s="385">
        <f t="shared" si="22"/>
        <v>17.423748298394425</v>
      </c>
      <c r="AA17" s="386">
        <f t="shared" si="13"/>
        <v>18.968683740115633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8.1446633983038308E-2</v>
      </c>
      <c r="AD17" s="231">
        <f>(INDEX(Models!$BJ17:$BT17,,AH17)*(1-AF17)+INDEX(Models!$BJ17:$BT17,,AH17+1)*AF17-ERP_i)*AE17*Ramure*Pc/MaxiM</f>
        <v>7.5816777740587006E-4</v>
      </c>
      <c r="AE17" s="305">
        <f t="shared" si="15"/>
        <v>0.5</v>
      </c>
      <c r="AF17" s="177">
        <f>(Hp_vg_s-AG17)/(INDEX(Echel_vg,AH17+1)-AG17)</f>
        <v>0.49744961472984572</v>
      </c>
      <c r="AG17" s="811">
        <f>INDEX(Echel_vg,AH17)</f>
        <v>1</v>
      </c>
      <c r="AH17" s="176">
        <f t="shared" si="16"/>
        <v>7</v>
      </c>
      <c r="AI17" s="225">
        <f t="shared" si="17"/>
        <v>1.4974496147298457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18.030815853022116</v>
      </c>
      <c r="C18" s="841"/>
      <c r="D18" s="393">
        <f t="shared" si="0"/>
        <v>19.004823714760239</v>
      </c>
      <c r="E18" s="385">
        <f t="shared" si="1"/>
        <v>20.044385798738968</v>
      </c>
      <c r="F18" s="385">
        <f t="shared" si="2"/>
        <v>20.054313519624877</v>
      </c>
      <c r="G18" s="110">
        <f t="shared" si="21"/>
        <v>0.76063170097452193</v>
      </c>
      <c r="H18" s="414" t="b">
        <f>Wh_hp&gt;='2024'!Maxi_hp</f>
        <v>0</v>
      </c>
      <c r="I18" s="390">
        <f>IF(H18,Wh_hp,'2024'!Maxi_hp)</f>
        <v>24.454097030053351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5.1250560192339534E-2</v>
      </c>
      <c r="M18" s="845"/>
      <c r="N18" s="845"/>
      <c r="O18" s="48">
        <f>IF(t&lt;Tnet,'2024'!Resal+('2024'!Salim-'2024'!Resal)*(1-EXP(('2024'!Tnet-t)/('2024'!Tau_j))),Resal+(Salim-Resal)*(1-EXP((Tnet-t)/(Tau_j))))*Salcycl</f>
        <v>5.186300515349937E-2</v>
      </c>
      <c r="P18" s="169">
        <f>(INDEX(Models!$BJ18:$BT18,,T18)*(1-R18)+INDEX(Models!$BJ18:$BT18,,T18+1)*R18-ERP_i)*Q18*Ramure*Pc/MaxiM</f>
        <v>7.519719146627257E-4</v>
      </c>
      <c r="Q18" s="305">
        <f t="shared" si="4"/>
        <v>0.5</v>
      </c>
      <c r="R18" s="177">
        <f t="shared" si="5"/>
        <v>0.49748132426114089</v>
      </c>
      <c r="S18" s="811">
        <f t="shared" si="6"/>
        <v>1</v>
      </c>
      <c r="T18" s="176">
        <f t="shared" si="7"/>
        <v>7</v>
      </c>
      <c r="U18" s="251">
        <f t="shared" si="8"/>
        <v>1.4974813242611409</v>
      </c>
      <c r="V18" s="383">
        <f t="shared" si="9"/>
        <v>23.698960842059556</v>
      </c>
      <c r="W18" s="402">
        <f t="shared" si="10"/>
        <v>18.030815853022116</v>
      </c>
      <c r="X18" s="157">
        <f t="shared" si="11"/>
        <v>45661</v>
      </c>
      <c r="Y18" s="385">
        <f t="shared" si="12"/>
        <v>17.467815407722647</v>
      </c>
      <c r="Z18" s="385">
        <f>Wh_sa_s*(1-Psa_s)</f>
        <v>18.411410510307007</v>
      </c>
      <c r="AA18" s="386">
        <f t="shared" si="13"/>
        <v>20.044385798738968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8.1467963390262466E-2</v>
      </c>
      <c r="AD18" s="231">
        <f>(INDEX(Models!$BJ18:$BT18,,AH18)*(1-AF18)+INDEX(Models!$BJ18:$BT18,,AH18+1)*AF18-ERP_i)*AE18*Ramure*Pc/MaxiM</f>
        <v>7.519719146627257E-4</v>
      </c>
      <c r="AE18" s="305">
        <f t="shared" si="15"/>
        <v>0.5</v>
      </c>
      <c r="AF18" s="177">
        <f t="shared" si="23"/>
        <v>0.49748132426114089</v>
      </c>
      <c r="AG18" s="811">
        <f t="shared" si="24"/>
        <v>1</v>
      </c>
      <c r="AH18" s="176">
        <f t="shared" si="16"/>
        <v>7</v>
      </c>
      <c r="AI18" s="225">
        <f t="shared" si="17"/>
        <v>1.4974813242611409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14.355818531621475</v>
      </c>
      <c r="C19" s="841"/>
      <c r="D19" s="393">
        <f t="shared" si="0"/>
        <v>15.131637886066025</v>
      </c>
      <c r="E19" s="385">
        <f t="shared" si="1"/>
        <v>15.960226766971354</v>
      </c>
      <c r="F19" s="385">
        <f t="shared" si="2"/>
        <v>15.965347370055367</v>
      </c>
      <c r="G19" s="110">
        <f t="shared" si="21"/>
        <v>0.60089363124247963</v>
      </c>
      <c r="H19" s="414" t="b">
        <f>Wh_hp&gt;='2024'!Maxi_hp</f>
        <v>0</v>
      </c>
      <c r="I19" s="390">
        <f>IF(H19,Wh_hp,'2024'!Maxi_hp)</f>
        <v>27.046839831733369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5.1271340239972596E-2</v>
      </c>
      <c r="M19" s="845"/>
      <c r="N19" s="845"/>
      <c r="O19" s="48">
        <f>IF(t&lt;Tnet,'2024'!Resal+('2024'!Salim-'2024'!Resal)*(1-EXP(('2024'!Tnet-t)/('2024'!Tau_j))),Resal+(Salim-Resal)*(1-EXP((Tnet-t)/(Tau_j))))*Salcycl</f>
        <v>5.191585890371176E-2</v>
      </c>
      <c r="P19" s="169">
        <f>(INDEX(Models!$BJ19:$BT19,,T19)*(1-R19)+INDEX(Models!$BJ19:$BT19,,T19+1)*R19-ERP_i)*Q19*Ramure*Pc/MaxiM</f>
        <v>7.455199152352637E-4</v>
      </c>
      <c r="Q19" s="305">
        <f t="shared" si="4"/>
        <v>0.5</v>
      </c>
      <c r="R19" s="177">
        <f t="shared" si="5"/>
        <v>0.4975143597937024</v>
      </c>
      <c r="S19" s="811">
        <f t="shared" si="6"/>
        <v>1</v>
      </c>
      <c r="T19" s="176">
        <f t="shared" si="7"/>
        <v>7</v>
      </c>
      <c r="U19" s="251">
        <f t="shared" si="8"/>
        <v>1.4975143597937024</v>
      </c>
      <c r="V19" s="383">
        <f t="shared" si="9"/>
        <v>23.880629874498265</v>
      </c>
      <c r="W19" s="402">
        <f t="shared" si="10"/>
        <v>14.355818531621475</v>
      </c>
      <c r="X19" s="157">
        <f t="shared" si="11"/>
        <v>45662</v>
      </c>
      <c r="Y19" s="385">
        <f t="shared" si="12"/>
        <v>13.908017993840319</v>
      </c>
      <c r="Z19" s="385">
        <f t="shared" si="22"/>
        <v>14.659637242705655</v>
      </c>
      <c r="AA19" s="386">
        <f t="shared" si="13"/>
        <v>15.960226766971354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8.1489413857025142E-2</v>
      </c>
      <c r="AD19" s="231">
        <f>(INDEX(Models!$BJ19:$BT19,,AH19)*(1-AF19)+INDEX(Models!$BJ19:$BT19,,AH19+1)*AF19-ERP_i)*AE19*Ramure*Pc/MaxiM</f>
        <v>7.455199152352637E-4</v>
      </c>
      <c r="AE19" s="305">
        <f t="shared" si="15"/>
        <v>0.5</v>
      </c>
      <c r="AF19" s="177">
        <f t="shared" si="23"/>
        <v>0.4975143597937024</v>
      </c>
      <c r="AG19" s="811">
        <f t="shared" si="24"/>
        <v>1</v>
      </c>
      <c r="AH19" s="176">
        <f t="shared" si="16"/>
        <v>7</v>
      </c>
      <c r="AI19" s="225">
        <f t="shared" si="17"/>
        <v>1.4975143597937024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20.701850362355785</v>
      </c>
      <c r="C20" s="841"/>
      <c r="D20" s="393">
        <f t="shared" si="0"/>
        <v>21.82110088376211</v>
      </c>
      <c r="E20" s="385">
        <f t="shared" si="1"/>
        <v>23.017279870373532</v>
      </c>
      <c r="F20" s="385">
        <f t="shared" si="2"/>
        <v>23.030898132965838</v>
      </c>
      <c r="G20" s="110">
        <f t="shared" si="21"/>
        <v>0.8600839352749905</v>
      </c>
      <c r="H20" s="414" t="b">
        <f>Wh_hp&gt;='2024'!Maxi_hp</f>
        <v>0</v>
      </c>
      <c r="I20" s="390">
        <f>IF(H20,Wh_hp,'2024'!Maxi_hp)</f>
        <v>26.739364860323523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5.1292119832469174E-2</v>
      </c>
      <c r="M20" s="845"/>
      <c r="N20" s="845"/>
      <c r="O20" s="48">
        <f>IF(t&lt;Tnet,'2024'!Resal+('2024'!Salim-'2024'!Resal)*(1-EXP(('2024'!Tnet-t)/('2024'!Tau_j))),Resal+(Salim-Resal)*(1-EXP((Tnet-t)/(Tau_j))))*Salcycl</f>
        <v>5.1968737980680024E-2</v>
      </c>
      <c r="P20" s="169">
        <f>(INDEX(Models!$BJ20:$BT20,,T20)*(1-R20)+INDEX(Models!$BJ20:$BT20,,T20+1)*R20-ERP_i)*Q20*Ramure*Pc/MaxiM</f>
        <v>7.3885172211689298E-4</v>
      </c>
      <c r="Q20" s="305">
        <f t="shared" si="4"/>
        <v>0.5</v>
      </c>
      <c r="R20" s="177">
        <f t="shared" si="5"/>
        <v>0.49754877659045316</v>
      </c>
      <c r="S20" s="811">
        <f t="shared" si="6"/>
        <v>1</v>
      </c>
      <c r="T20" s="176">
        <f t="shared" si="7"/>
        <v>7</v>
      </c>
      <c r="U20" s="251">
        <f t="shared" si="8"/>
        <v>1.4975487765904532</v>
      </c>
      <c r="V20" s="383">
        <f t="shared" si="9"/>
        <v>24.0660163452795</v>
      </c>
      <c r="W20" s="402">
        <f t="shared" si="10"/>
        <v>20.701850362355785</v>
      </c>
      <c r="X20" s="157">
        <f t="shared" si="11"/>
        <v>45663</v>
      </c>
      <c r="Y20" s="385">
        <f t="shared" si="12"/>
        <v>20.056746220519457</v>
      </c>
      <c r="Z20" s="385">
        <f t="shared" si="22"/>
        <v>21.141119031263521</v>
      </c>
      <c r="AA20" s="386">
        <f t="shared" si="13"/>
        <v>23.017279870373532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8.151097130833837E-2</v>
      </c>
      <c r="AD20" s="231">
        <f>(INDEX(Models!$BJ20:$BT20,,AH20)*(1-AF20)+INDEX(Models!$BJ20:$BT20,,AH20+1)*AF20-ERP_i)*AE20*Ramure*Pc/MaxiM</f>
        <v>7.3885172211689298E-4</v>
      </c>
      <c r="AE20" s="305">
        <f t="shared" si="15"/>
        <v>0.5</v>
      </c>
      <c r="AF20" s="177">
        <f t="shared" si="23"/>
        <v>0.49754877659045316</v>
      </c>
      <c r="AG20" s="811">
        <f t="shared" si="24"/>
        <v>1</v>
      </c>
      <c r="AH20" s="176">
        <f t="shared" si="16"/>
        <v>7</v>
      </c>
      <c r="AI20" s="225">
        <f t="shared" si="17"/>
        <v>1.4975487765904532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10.586927295358986</v>
      </c>
      <c r="C21" s="841"/>
      <c r="D21" s="393">
        <f t="shared" si="0"/>
        <v>11.159556490082823</v>
      </c>
      <c r="E21" s="385">
        <f t="shared" si="1"/>
        <v>11.77195271868327</v>
      </c>
      <c r="F21" s="385">
        <f t="shared" si="2"/>
        <v>11.77363332404734</v>
      </c>
      <c r="G21" s="110">
        <f t="shared" si="21"/>
        <v>0.43624475505007004</v>
      </c>
      <c r="H21" s="414" t="b">
        <f>Wh_hp&gt;='2024'!Maxi_hp</f>
        <v>0</v>
      </c>
      <c r="I21" s="390">
        <f>IF(H21,Wh_hp,'2024'!Maxi_hp)</f>
        <v>14.932480243717823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5.1312898969839482E-2</v>
      </c>
      <c r="M21" s="845"/>
      <c r="N21" s="845"/>
      <c r="O21" s="48">
        <f>IF(t&lt;Tnet,'2024'!Resal+('2024'!Salim-'2024'!Resal)*(1-EXP(('2024'!Tnet-t)/('2024'!Tau_j))),Resal+(Salim-Resal)*(1-EXP((Tnet-t)/(Tau_j))))*Salcycl</f>
        <v>5.2021635087653166E-2</v>
      </c>
      <c r="P21" s="169">
        <f>(INDEX(Models!$BJ21:$BT21,,T21)*(1-R21)+INDEX(Models!$BJ21:$BT21,,T21+1)*R21-ERP_i)*Q21*Ramure*Pc/MaxiM</f>
        <v>7.3200533431952983E-4</v>
      </c>
      <c r="Q21" s="305">
        <f t="shared" si="4"/>
        <v>0.5</v>
      </c>
      <c r="R21" s="177">
        <f t="shared" si="5"/>
        <v>0.49758463220151627</v>
      </c>
      <c r="S21" s="811">
        <f t="shared" si="6"/>
        <v>1</v>
      </c>
      <c r="T21" s="176">
        <f t="shared" si="7"/>
        <v>7</v>
      </c>
      <c r="U21" s="251">
        <f t="shared" si="8"/>
        <v>1.4975846322015163</v>
      </c>
      <c r="V21" s="383">
        <f t="shared" si="9"/>
        <v>24.254017512452243</v>
      </c>
      <c r="W21" s="402">
        <f t="shared" si="10"/>
        <v>10.586927295358986</v>
      </c>
      <c r="X21" s="157">
        <f t="shared" si="11"/>
        <v>45664</v>
      </c>
      <c r="Y21" s="385">
        <f t="shared" si="12"/>
        <v>10.257351531906677</v>
      </c>
      <c r="Z21" s="385">
        <f t="shared" si="22"/>
        <v>10.812154524677759</v>
      </c>
      <c r="AA21" s="386">
        <f t="shared" si="13"/>
        <v>11.77195271868327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8.1532623936062518E-2</v>
      </c>
      <c r="AD21" s="231">
        <f>(INDEX(Models!$BJ21:$BT21,,AH21)*(1-AF21)+INDEX(Models!$BJ21:$BT21,,AH21+1)*AF21-ERP_i)*AE21*Ramure*Pc/MaxiM</f>
        <v>7.3200533431952983E-4</v>
      </c>
      <c r="AE21" s="305">
        <f t="shared" si="15"/>
        <v>0.5</v>
      </c>
      <c r="AF21" s="177">
        <f t="shared" si="23"/>
        <v>0.49758463220151627</v>
      </c>
      <c r="AG21" s="811">
        <f t="shared" si="24"/>
        <v>1</v>
      </c>
      <c r="AH21" s="176">
        <f t="shared" si="16"/>
        <v>7</v>
      </c>
      <c r="AI21" s="225">
        <f t="shared" si="17"/>
        <v>1.4975846322015163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7.4269194442602853</v>
      </c>
      <c r="C22" s="841"/>
      <c r="D22" s="393">
        <f t="shared" si="0"/>
        <v>7.8288005690757441</v>
      </c>
      <c r="E22" s="385">
        <f t="shared" si="1"/>
        <v>8.258877870454608</v>
      </c>
      <c r="F22" s="385">
        <f t="shared" si="2"/>
        <v>8.2589107170314513</v>
      </c>
      <c r="G22" s="110">
        <f t="shared" si="21"/>
        <v>0.30362079588090629</v>
      </c>
      <c r="H22" s="414" t="b">
        <f>Wh_hp&gt;='2024'!Maxi_hp</f>
        <v>0</v>
      </c>
      <c r="I22" s="390">
        <f>IF(H22,Wh_hp,'2024'!Maxi_hp)</f>
        <v>20.323342747491672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5.133367765209329E-2</v>
      </c>
      <c r="M22" s="845"/>
      <c r="N22" s="845"/>
      <c r="O22" s="48">
        <f>IF(t&lt;Tnet,'2024'!Resal+('2024'!Salim-'2024'!Resal)*(1-EXP(('2024'!Tnet-t)/('2024'!Tau_j))),Resal+(Salim-Resal)*(1-EXP((Tnet-t)/(Tau_j))))*Salcycl</f>
        <v>5.2074544281303183E-2</v>
      </c>
      <c r="P22" s="169">
        <f>(INDEX(Models!$BJ22:$BT22,,T22)*(1-R22)+INDEX(Models!$BJ22:$BT22,,T22+1)*R22-ERP_i)*Q22*Ramure*Pc/MaxiM</f>
        <v>7.2501673682820922E-4</v>
      </c>
      <c r="Q22" s="305">
        <f t="shared" si="4"/>
        <v>0.5</v>
      </c>
      <c r="R22" s="177">
        <f t="shared" si="5"/>
        <v>0.49762198655751355</v>
      </c>
      <c r="S22" s="811">
        <f t="shared" si="6"/>
        <v>1</v>
      </c>
      <c r="T22" s="176">
        <f t="shared" si="7"/>
        <v>7</v>
      </c>
      <c r="U22" s="251">
        <f t="shared" si="8"/>
        <v>1.4976219865575136</v>
      </c>
      <c r="V22" s="383">
        <f t="shared" si="9"/>
        <v>24.443530945196812</v>
      </c>
      <c r="W22" s="402">
        <f t="shared" si="10"/>
        <v>7.4269194442602853</v>
      </c>
      <c r="X22" s="157">
        <f t="shared" si="11"/>
        <v>45665</v>
      </c>
      <c r="Y22" s="385">
        <f t="shared" si="12"/>
        <v>7.1959474508799168</v>
      </c>
      <c r="Z22" s="385">
        <f t="shared" si="22"/>
        <v>7.5853303541652757</v>
      </c>
      <c r="AA22" s="386">
        <f t="shared" si="13"/>
        <v>8.258877870454608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8.15543620882066E-2</v>
      </c>
      <c r="AD22" s="231">
        <f>(INDEX(Models!$BJ22:$BT22,,AH22)*(1-AF22)+INDEX(Models!$BJ22:$BT22,,AH22+1)*AF22-ERP_i)*AE22*Ramure*Pc/MaxiM</f>
        <v>7.2501673682820922E-4</v>
      </c>
      <c r="AE22" s="305">
        <f t="shared" si="15"/>
        <v>0.5</v>
      </c>
      <c r="AF22" s="177">
        <f t="shared" si="23"/>
        <v>0.49762198655751355</v>
      </c>
      <c r="AG22" s="811">
        <f t="shared" si="24"/>
        <v>1</v>
      </c>
      <c r="AH22" s="176">
        <f t="shared" si="16"/>
        <v>7</v>
      </c>
      <c r="AI22" s="225">
        <f t="shared" si="17"/>
        <v>1.4976219865575136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2.1922409207142315</v>
      </c>
      <c r="C23" s="841"/>
      <c r="D23" s="393">
        <f t="shared" si="0"/>
        <v>2.3109167953200935</v>
      </c>
      <c r="E23" s="385">
        <f t="shared" si="1"/>
        <v>2.4380037399398038</v>
      </c>
      <c r="F23" s="385">
        <f t="shared" si="2"/>
        <v>2.4380037399398038</v>
      </c>
      <c r="G23" s="110">
        <f t="shared" si="21"/>
        <v>8.8918310725262364E-2</v>
      </c>
      <c r="H23" s="414" t="b">
        <f>Wh_hp&gt;='2024'!Maxi_hp</f>
        <v>0</v>
      </c>
      <c r="I23" s="390">
        <f>IF(H23,Wh_hp,'2024'!Maxi_hp)</f>
        <v>26.033603222307448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5.1354455879240701E-2</v>
      </c>
      <c r="M23" s="845"/>
      <c r="N23" s="845"/>
      <c r="O23" s="48">
        <f>IF(t&lt;Tnet,'2024'!Resal+('2024'!Salim-'2024'!Resal)*(1-EXP(('2024'!Tnet-t)/('2024'!Tau_j))),Resal+(Salim-Resal)*(1-EXP((Tnet-t)/(Tau_j))))*Salcycl</f>
        <v>5.2127460896695871E-2</v>
      </c>
      <c r="P23" s="169">
        <f>(INDEX(Models!$BJ23:$BT23,,T23)*(1-R23)+INDEX(Models!$BJ23:$BT23,,T23+1)*R23-ERP_i)*Q23*Ramure*Pc/MaxiM</f>
        <v>7.1782092846354409E-4</v>
      </c>
      <c r="Q23" s="305">
        <f t="shared" si="4"/>
        <v>0.5</v>
      </c>
      <c r="R23" s="177">
        <f t="shared" si="5"/>
        <v>0.49766090206654856</v>
      </c>
      <c r="S23" s="811">
        <f t="shared" si="6"/>
        <v>1</v>
      </c>
      <c r="T23" s="176">
        <f t="shared" si="7"/>
        <v>7</v>
      </c>
      <c r="U23" s="251">
        <f t="shared" si="8"/>
        <v>1.4976609020665486</v>
      </c>
      <c r="V23" s="383">
        <f t="shared" si="9"/>
        <v>24.636852257233937</v>
      </c>
      <c r="W23" s="402">
        <f t="shared" si="10"/>
        <v>2.1922409207142315</v>
      </c>
      <c r="X23" s="157">
        <f t="shared" si="11"/>
        <v>45666</v>
      </c>
      <c r="Y23" s="385">
        <f t="shared" si="12"/>
        <v>2.1241318866961909</v>
      </c>
      <c r="Z23" s="385">
        <f t="shared" si="22"/>
        <v>2.2391207125364372</v>
      </c>
      <c r="AA23" s="386">
        <f t="shared" si="13"/>
        <v>2.4380037399398038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8.1576178143302272E-2</v>
      </c>
      <c r="AD23" s="231">
        <f>(INDEX(Models!$BJ23:$BT23,,AH23)*(1-AF23)+INDEX(Models!$BJ23:$BT23,,AH23+1)*AF23-ERP_i)*AE23*Ramure*Pc/MaxiM</f>
        <v>7.1782092846354409E-4</v>
      </c>
      <c r="AE23" s="305">
        <f t="shared" si="15"/>
        <v>0.5</v>
      </c>
      <c r="AF23" s="177">
        <f t="shared" si="23"/>
        <v>0.49766090206654856</v>
      </c>
      <c r="AG23" s="811">
        <f t="shared" si="24"/>
        <v>1</v>
      </c>
      <c r="AH23" s="176">
        <f t="shared" si="16"/>
        <v>7</v>
      </c>
      <c r="AI23" s="225">
        <f t="shared" si="17"/>
        <v>1.4976609020665486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1.7016259894150789</v>
      </c>
      <c r="C24" s="841"/>
      <c r="D24" s="393">
        <f t="shared" si="0"/>
        <v>1.7937819565524309</v>
      </c>
      <c r="E24" s="385">
        <f t="shared" si="1"/>
        <v>1.892535163306764</v>
      </c>
      <c r="F24" s="385">
        <f t="shared" si="2"/>
        <v>1.892535163306764</v>
      </c>
      <c r="G24" s="110">
        <f t="shared" si="21"/>
        <v>6.846342882924876E-2</v>
      </c>
      <c r="H24" s="414" t="b">
        <f>Wh_hp&gt;='2024'!Maxi_hp</f>
        <v>0</v>
      </c>
      <c r="I24" s="390">
        <f>IF(H24,Wh_hp,'2024'!Maxi_hp)</f>
        <v>13.230713123965954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5.1375233651291485E-2</v>
      </c>
      <c r="M24" s="845"/>
      <c r="N24" s="845"/>
      <c r="O24" s="48">
        <f>IF(t&lt;Tnet,'2024'!Resal+('2024'!Salim-'2024'!Resal)*(1-EXP(('2024'!Tnet-t)/('2024'!Tau_j))),Resal+(Salim-Resal)*(1-EXP((Tnet-t)/(Tau_j))))*Salcycl</f>
        <v>5.2180381463446578E-2</v>
      </c>
      <c r="P24" s="169">
        <f>(INDEX(Models!$BJ24:$BT24,,T24)*(1-R24)+INDEX(Models!$BJ24:$BT24,,T24+1)*R24-ERP_i)*Q24*Ramure*Pc/MaxiM</f>
        <v>7.0975747975297399E-4</v>
      </c>
      <c r="Q24" s="305">
        <f t="shared" si="4"/>
        <v>0.5</v>
      </c>
      <c r="R24" s="177">
        <f t="shared" si="5"/>
        <v>0.49770144371501823</v>
      </c>
      <c r="S24" s="811">
        <f t="shared" si="6"/>
        <v>1</v>
      </c>
      <c r="T24" s="176">
        <f t="shared" si="7"/>
        <v>7</v>
      </c>
      <c r="U24" s="251">
        <f t="shared" si="8"/>
        <v>1.4977014437150182</v>
      </c>
      <c r="V24" s="383">
        <f t="shared" si="9"/>
        <v>24.836884110526775</v>
      </c>
      <c r="W24" s="402">
        <f t="shared" si="10"/>
        <v>1.7016259894150789</v>
      </c>
      <c r="X24" s="157">
        <f t="shared" si="11"/>
        <v>45667</v>
      </c>
      <c r="Y24" s="385">
        <f t="shared" si="12"/>
        <v>1.6488122512214978</v>
      </c>
      <c r="Z24" s="385">
        <f t="shared" si="22"/>
        <v>1.7381079534406809</v>
      </c>
      <c r="AA24" s="386">
        <f t="shared" si="13"/>
        <v>1.892535163306764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8.1598066371595224E-2</v>
      </c>
      <c r="AD24" s="231">
        <f>(INDEX(Models!$BJ24:$BT24,,AH24)*(1-AF24)+INDEX(Models!$BJ24:$BT24,,AH24+1)*AF24-ERP_i)*AE24*Ramure*Pc/MaxiM</f>
        <v>7.0975747975297399E-4</v>
      </c>
      <c r="AE24" s="305">
        <f t="shared" si="15"/>
        <v>0.5</v>
      </c>
      <c r="AF24" s="177">
        <f t="shared" si="23"/>
        <v>0.49770144371501823</v>
      </c>
      <c r="AG24" s="811">
        <f t="shared" si="24"/>
        <v>1</v>
      </c>
      <c r="AH24" s="176">
        <f t="shared" si="16"/>
        <v>7</v>
      </c>
      <c r="AI24" s="225">
        <f t="shared" si="17"/>
        <v>1.4977014437150182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24.522635148278244</v>
      </c>
      <c r="C25" s="841"/>
      <c r="D25" s="393">
        <f t="shared" si="0"/>
        <v>25.851288242324287</v>
      </c>
      <c r="E25" s="385">
        <f t="shared" si="1"/>
        <v>27.276004042877741</v>
      </c>
      <c r="F25" s="385">
        <f t="shared" si="2"/>
        <v>27.29456119339093</v>
      </c>
      <c r="G25" s="110">
        <f t="shared" si="21"/>
        <v>0.97918444048597431</v>
      </c>
      <c r="H25" s="414" t="b">
        <f>Wh_hp&gt;='2024'!Maxi_hp</f>
        <v>0</v>
      </c>
      <c r="I25" s="390">
        <f>IF(H25,Wh_hp,'2024'!Maxi_hp)</f>
        <v>27.813177241518638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5.1396010968255856E-2</v>
      </c>
      <c r="M25" s="845"/>
      <c r="N25" s="845"/>
      <c r="O25" s="48">
        <f>IF(t&lt;Tnet,'2024'!Resal+('2024'!Salim-'2024'!Resal)*(1-EXP(('2024'!Tnet-t)/('2024'!Tau_j))),Resal+(Salim-Resal)*(1-EXP((Tnet-t)/(Tau_j))))*Salcycl</f>
        <v>5.2233303614188001E-2</v>
      </c>
      <c r="P25" s="169">
        <f>(INDEX(Models!$BJ25:$BT25,,T25)*(1-R25)+INDEX(Models!$BJ25:$BT25,,T25+1)*R25-ERP_i)*Q25*Ramure*Pc/MaxiM</f>
        <v>7.0070052547087608E-4</v>
      </c>
      <c r="Q25" s="305">
        <f t="shared" si="4"/>
        <v>0.5</v>
      </c>
      <c r="R25" s="177">
        <f t="shared" si="5"/>
        <v>0.49774367917238416</v>
      </c>
      <c r="S25" s="811">
        <f t="shared" si="6"/>
        <v>1</v>
      </c>
      <c r="T25" s="176">
        <f t="shared" si="7"/>
        <v>7</v>
      </c>
      <c r="U25" s="251">
        <f t="shared" si="8"/>
        <v>1.4977436791723842</v>
      </c>
      <c r="V25" s="383">
        <f t="shared" si="9"/>
        <v>25.043417077069936</v>
      </c>
      <c r="W25" s="402">
        <f t="shared" si="10"/>
        <v>24.522635148278244</v>
      </c>
      <c r="X25" s="157">
        <f t="shared" si="11"/>
        <v>45668</v>
      </c>
      <c r="Y25" s="385">
        <f t="shared" si="12"/>
        <v>23.762279466678674</v>
      </c>
      <c r="Z25" s="385">
        <f t="shared" si="22"/>
        <v>25.049735971417565</v>
      </c>
      <c r="AA25" s="386">
        <f t="shared" si="13"/>
        <v>27.276004042877741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8.1620022784880536E-2</v>
      </c>
      <c r="AD25" s="231">
        <f>(INDEX(Models!$BJ25:$BT25,,AH25)*(1-AF25)+INDEX(Models!$BJ25:$BT25,,AH25+1)*AF25-ERP_i)*AE25*Ramure*Pc/MaxiM</f>
        <v>7.0070052547087608E-4</v>
      </c>
      <c r="AE25" s="305">
        <f t="shared" si="15"/>
        <v>0.5</v>
      </c>
      <c r="AF25" s="177">
        <f t="shared" si="23"/>
        <v>0.49774367917238416</v>
      </c>
      <c r="AG25" s="811">
        <f t="shared" si="24"/>
        <v>1</v>
      </c>
      <c r="AH25" s="176">
        <f t="shared" si="16"/>
        <v>7</v>
      </c>
      <c r="AI25" s="225">
        <f t="shared" si="17"/>
        <v>1.4977436791723842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20.923240229360101</v>
      </c>
      <c r="C26" s="841"/>
      <c r="D26" s="393">
        <f t="shared" si="0"/>
        <v>22.057358765077446</v>
      </c>
      <c r="E26" s="385">
        <f t="shared" si="1"/>
        <v>23.274283195934466</v>
      </c>
      <c r="F26" s="385">
        <f t="shared" si="2"/>
        <v>23.286424893119221</v>
      </c>
      <c r="G26" s="110">
        <f t="shared" si="21"/>
        <v>0.82829820742547222</v>
      </c>
      <c r="H26" s="414" t="b">
        <f>Wh_hp&gt;='2024'!Maxi_hp</f>
        <v>0</v>
      </c>
      <c r="I26" s="390">
        <f>IF(H26,Wh_hp,'2024'!Maxi_hp)</f>
        <v>27.969146072299974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5.1416787830143584E-2</v>
      </c>
      <c r="M26" s="845"/>
      <c r="N26" s="845"/>
      <c r="O26" s="48">
        <f>IF(t&lt;Tnet,'2024'!Resal+('2024'!Salim-'2024'!Resal)*(1-EXP(('2024'!Tnet-t)/('2024'!Tau_j))),Resal+(Salim-Resal)*(1-EXP((Tnet-t)/(Tau_j))))*Salcycl</f>
        <v>5.2286225986525346E-2</v>
      </c>
      <c r="P26" s="169">
        <f>(INDEX(Models!$BJ26:$BT26,,T26)*(1-R26)+INDEX(Models!$BJ26:$BT26,,T26+1)*R26-ERP_i)*Q26*Ramure*Pc/MaxiM</f>
        <v>6.9068520688047804E-4</v>
      </c>
      <c r="Q26" s="305">
        <f t="shared" si="4"/>
        <v>0.5</v>
      </c>
      <c r="R26" s="177">
        <f t="shared" si="5"/>
        <v>0.49778767890005526</v>
      </c>
      <c r="S26" s="811">
        <f t="shared" si="6"/>
        <v>1</v>
      </c>
      <c r="T26" s="176">
        <f t="shared" si="7"/>
        <v>7</v>
      </c>
      <c r="U26" s="251">
        <f t="shared" si="8"/>
        <v>1.4977876789000553</v>
      </c>
      <c r="V26" s="383">
        <f t="shared" si="9"/>
        <v>25.256237836264663</v>
      </c>
      <c r="W26" s="402">
        <f t="shared" si="10"/>
        <v>20.923240229360101</v>
      </c>
      <c r="X26" s="157">
        <f t="shared" si="11"/>
        <v>45669</v>
      </c>
      <c r="Y26" s="385">
        <f t="shared" si="12"/>
        <v>20.275134366908098</v>
      </c>
      <c r="Z26" s="385">
        <f t="shared" si="22"/>
        <v>21.374123120447514</v>
      </c>
      <c r="AA26" s="386">
        <f t="shared" si="13"/>
        <v>23.274283195934466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8.1642044976872538E-2</v>
      </c>
      <c r="AD26" s="231">
        <f>(INDEX(Models!$BJ26:$BT26,,AH26)*(1-AF26)+INDEX(Models!$BJ26:$BT26,,AH26+1)*AF26-ERP_i)*AE26*Ramure*Pc/MaxiM</f>
        <v>6.9068520688047804E-4</v>
      </c>
      <c r="AE26" s="305">
        <f t="shared" si="15"/>
        <v>0.5</v>
      </c>
      <c r="AF26" s="177">
        <f t="shared" si="23"/>
        <v>0.49778767890005526</v>
      </c>
      <c r="AG26" s="811">
        <f t="shared" si="24"/>
        <v>1</v>
      </c>
      <c r="AH26" s="176">
        <f t="shared" si="16"/>
        <v>7</v>
      </c>
      <c r="AI26" s="225">
        <f t="shared" si="17"/>
        <v>1.4977876789000553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5.0387133443968208</v>
      </c>
      <c r="C27" s="841"/>
      <c r="D27" s="393">
        <f t="shared" si="0"/>
        <v>5.3119469572328342</v>
      </c>
      <c r="E27" s="385">
        <f t="shared" si="1"/>
        <v>5.6053248867388499</v>
      </c>
      <c r="F27" s="385">
        <f t="shared" si="2"/>
        <v>5.6053248867388499</v>
      </c>
      <c r="G27" s="110">
        <f t="shared" si="21"/>
        <v>0.19765503384176827</v>
      </c>
      <c r="H27" s="414" t="b">
        <f>Wh_hp&gt;='2024'!Maxi_hp</f>
        <v>0</v>
      </c>
      <c r="I27" s="390">
        <f>IF(H27,Wh_hp,'2024'!Maxi_hp)</f>
        <v>16.029400800100351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5.1437564236964772E-2</v>
      </c>
      <c r="M27" s="845"/>
      <c r="N27" s="845"/>
      <c r="O27" s="48">
        <f>IF(t&lt;Tnet,'2024'!Resal+('2024'!Salim-'2024'!Resal)*(1-EXP(('2024'!Tnet-t)/('2024'!Tau_j))),Resal+(Salim-Resal)*(1-EXP((Tnet-t)/(Tau_j))))*Salcycl</f>
        <v>5.2339148119691092E-2</v>
      </c>
      <c r="P27" s="169">
        <f>(INDEX(Models!$BJ27:$BT27,,T27)*(1-R27)+INDEX(Models!$BJ27:$BT27,,T27+1)*R27-ERP_i)*Q27*Ramure*Pc/MaxiM</f>
        <v>6.7974681884201888E-4</v>
      </c>
      <c r="Q27" s="305">
        <f t="shared" si="4"/>
        <v>0.5</v>
      </c>
      <c r="R27" s="177">
        <f t="shared" si="5"/>
        <v>0.49783351626452443</v>
      </c>
      <c r="S27" s="811">
        <f t="shared" si="6"/>
        <v>1</v>
      </c>
      <c r="T27" s="176">
        <f t="shared" si="7"/>
        <v>7</v>
      </c>
      <c r="U27" s="251">
        <f t="shared" si="8"/>
        <v>1.4978335162645244</v>
      </c>
      <c r="V27" s="383">
        <f t="shared" si="9"/>
        <v>25.475133100130829</v>
      </c>
      <c r="W27" s="402">
        <f t="shared" si="10"/>
        <v>5.0387133443968208</v>
      </c>
      <c r="X27" s="157">
        <f t="shared" si="11"/>
        <v>45670</v>
      </c>
      <c r="Y27" s="385">
        <f t="shared" si="12"/>
        <v>4.8827923869284593</v>
      </c>
      <c r="Z27" s="385">
        <f t="shared" si="22"/>
        <v>5.1475708955317012</v>
      </c>
      <c r="AA27" s="386">
        <f t="shared" si="13"/>
        <v>5.6053248867388499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8.1664131956045674E-2</v>
      </c>
      <c r="AD27" s="231">
        <f>(INDEX(Models!$BJ27:$BT27,,AH27)*(1-AF27)+INDEX(Models!$BJ27:$BT27,,AH27+1)*AF27-ERP_i)*AE27*Ramure*Pc/MaxiM</f>
        <v>6.7974681884201888E-4</v>
      </c>
      <c r="AE27" s="305">
        <f t="shared" si="15"/>
        <v>0.5</v>
      </c>
      <c r="AF27" s="177">
        <f t="shared" si="23"/>
        <v>0.49783351626452443</v>
      </c>
      <c r="AG27" s="811">
        <f t="shared" si="24"/>
        <v>1</v>
      </c>
      <c r="AH27" s="176">
        <f t="shared" si="16"/>
        <v>7</v>
      </c>
      <c r="AI27" s="225">
        <f t="shared" si="17"/>
        <v>1.4978335162645244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24.91118949112775</v>
      </c>
      <c r="C28" s="841"/>
      <c r="D28" s="393">
        <f t="shared" si="0"/>
        <v>26.262620342984487</v>
      </c>
      <c r="E28" s="385">
        <f t="shared" si="1"/>
        <v>27.714648137869862</v>
      </c>
      <c r="F28" s="385">
        <f t="shared" si="2"/>
        <v>27.732359081397785</v>
      </c>
      <c r="G28" s="110">
        <f t="shared" si="21"/>
        <v>0.96928274510981305</v>
      </c>
      <c r="H28" s="414" t="b">
        <f>Wh_hp&gt;='2024'!Maxi_hp</f>
        <v>0</v>
      </c>
      <c r="I28" s="390">
        <f>IF(H28,Wh_hp,'2024'!Maxi_hp)</f>
        <v>27.813666688911876</v>
      </c>
      <c r="J28" s="85">
        <f>IF(H28,An,'2024'!An_max)</f>
        <v>2020</v>
      </c>
      <c r="K28" s="197">
        <f t="shared" si="3"/>
        <v>45671</v>
      </c>
      <c r="L28" s="147">
        <f>IF(t&lt;Tvie,1-EXP((T0-t)*PertePVj)+'2024'!Pspv,1-EXP((T0-t)*PertePVj)+Pspv)</f>
        <v>5.1458340188729301E-2</v>
      </c>
      <c r="M28" s="845"/>
      <c r="N28" s="845"/>
      <c r="O28" s="48">
        <f>IF(t&lt;Tnet,'2024'!Resal+('2024'!Salim-'2024'!Resal)*(1-EXP(('2024'!Tnet-t)/('2024'!Tau_j))),Resal+(Salim-Resal)*(1-EXP((Tnet-t)/(Tau_j))))*Salcycl</f>
        <v>5.2392070347135097E-2</v>
      </c>
      <c r="P28" s="169">
        <f>(INDEX(Models!$BJ28:$BT28,,T28)*(1-R28)+INDEX(Models!$BJ28:$BT28,,T28+1)*R28-ERP_i)*Q28*Ramure*Pc/MaxiM</f>
        <v>6.6792064190063347E-4</v>
      </c>
      <c r="Q28" s="305">
        <f t="shared" si="4"/>
        <v>0.5</v>
      </c>
      <c r="R28" s="177">
        <f t="shared" si="5"/>
        <v>0.49788126765491403</v>
      </c>
      <c r="S28" s="811">
        <f t="shared" si="6"/>
        <v>1</v>
      </c>
      <c r="T28" s="176">
        <f t="shared" si="7"/>
        <v>7</v>
      </c>
      <c r="U28" s="251">
        <f t="shared" si="8"/>
        <v>1.497881267654914</v>
      </c>
      <c r="V28" s="383">
        <f t="shared" si="9"/>
        <v>25.699889624431723</v>
      </c>
      <c r="W28" s="402">
        <f t="shared" si="10"/>
        <v>24.91118949112775</v>
      </c>
      <c r="X28" s="157">
        <f t="shared" si="11"/>
        <v>45671</v>
      </c>
      <c r="Y28" s="385">
        <f t="shared" si="12"/>
        <v>24.141088604685681</v>
      </c>
      <c r="Z28" s="385">
        <f t="shared" si="22"/>
        <v>25.450741519870601</v>
      </c>
      <c r="AA28" s="386">
        <f t="shared" si="13"/>
        <v>27.714648137869862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8.1686283972907905E-2</v>
      </c>
      <c r="AD28" s="231">
        <f>(INDEX(Models!$BJ28:$BT28,,AH28)*(1-AF28)+INDEX(Models!$BJ28:$BT28,,AH28+1)*AF28-ERP_i)*AE28*Ramure*Pc/MaxiM</f>
        <v>6.6792064190063347E-4</v>
      </c>
      <c r="AE28" s="305">
        <f t="shared" si="15"/>
        <v>0.5</v>
      </c>
      <c r="AF28" s="177">
        <f t="shared" si="23"/>
        <v>0.49788126765491403</v>
      </c>
      <c r="AG28" s="811">
        <f t="shared" si="24"/>
        <v>1</v>
      </c>
      <c r="AH28" s="176">
        <f t="shared" si="16"/>
        <v>7</v>
      </c>
      <c r="AI28" s="225">
        <f t="shared" si="17"/>
        <v>1.497881267654914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26.472004119006119</v>
      </c>
      <c r="C29" s="841"/>
      <c r="D29" s="393">
        <f t="shared" si="0"/>
        <v>27.908720363216961</v>
      </c>
      <c r="E29" s="385">
        <f t="shared" si="1"/>
        <v>29.453403947271585</v>
      </c>
      <c r="F29" s="385">
        <f t="shared" si="2"/>
        <v>29.472715702164706</v>
      </c>
      <c r="G29" s="110">
        <f t="shared" si="21"/>
        <v>1.0208910053719744</v>
      </c>
      <c r="H29" s="414" t="b">
        <f>Wh_hp&gt;='2024'!Maxi_hp</f>
        <v>1</v>
      </c>
      <c r="I29" s="390">
        <f>IF(H29,Wh_hp,'2024'!Maxi_hp)</f>
        <v>29.472715702164706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5.1479115685447163E-2</v>
      </c>
      <c r="M29" s="845"/>
      <c r="N29" s="845"/>
      <c r="O29" s="48">
        <f>IF(t&lt;Tnet,'2024'!Resal+('2024'!Salim-'2024'!Resal)*(1-EXP(('2024'!Tnet-t)/('2024'!Tau_j))),Resal+(Salim-Resal)*(1-EXP((Tnet-t)/(Tau_j))))*Salcycl</f>
        <v>5.2444993686297459E-2</v>
      </c>
      <c r="P29" s="169">
        <f>(INDEX(Models!$BJ29:$BT29,,T29)*(1-R29)+INDEX(Models!$BJ29:$BT29,,T29+1)*R29-ERP_i)*Q29*Ramure*Pc/MaxiM</f>
        <v>6.5524178661623697E-4</v>
      </c>
      <c r="Q29" s="305">
        <f t="shared" si="4"/>
        <v>0.5</v>
      </c>
      <c r="R29" s="177">
        <f t="shared" si="5"/>
        <v>0.49793101260508621</v>
      </c>
      <c r="S29" s="811">
        <f t="shared" si="6"/>
        <v>1</v>
      </c>
      <c r="T29" s="176">
        <f t="shared" si="7"/>
        <v>7</v>
      </c>
      <c r="U29" s="251">
        <f t="shared" si="8"/>
        <v>1.4979310126050862</v>
      </c>
      <c r="V29" s="383">
        <f t="shared" si="9"/>
        <v>25.930294203503848</v>
      </c>
      <c r="W29" s="402">
        <f t="shared" si="10"/>
        <v>26.472004119006119</v>
      </c>
      <c r="X29" s="157">
        <f t="shared" si="11"/>
        <v>45672</v>
      </c>
      <c r="Y29" s="385">
        <f t="shared" si="12"/>
        <v>25.654464539189689</v>
      </c>
      <c r="Z29" s="385">
        <f t="shared" si="22"/>
        <v>27.046810421816751</v>
      </c>
      <c r="AA29" s="386">
        <f t="shared" si="13"/>
        <v>29.453403947271585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8.1708502343674494E-2</v>
      </c>
      <c r="AD29" s="231">
        <f>(INDEX(Models!$BJ29:$BT29,,AH29)*(1-AF29)+INDEX(Models!$BJ29:$BT29,,AH29+1)*AF29-ERP_i)*AE29*Ramure*Pc/MaxiM</f>
        <v>6.5524178661623697E-4</v>
      </c>
      <c r="AE29" s="305">
        <f t="shared" si="15"/>
        <v>0.5</v>
      </c>
      <c r="AF29" s="177">
        <f t="shared" si="23"/>
        <v>0.49793101260508621</v>
      </c>
      <c r="AG29" s="811">
        <f t="shared" si="24"/>
        <v>1</v>
      </c>
      <c r="AH29" s="176">
        <f t="shared" si="16"/>
        <v>7</v>
      </c>
      <c r="AI29" s="225">
        <f t="shared" si="17"/>
        <v>1.4979310126050862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25.999829673671748</v>
      </c>
      <c r="C30" s="841"/>
      <c r="D30" s="393">
        <f t="shared" si="0"/>
        <v>27.411519956074059</v>
      </c>
      <c r="E30" s="385">
        <f t="shared" si="1"/>
        <v>28.930300552132433</v>
      </c>
      <c r="F30" s="385">
        <f t="shared" si="2"/>
        <v>28.948700963150813</v>
      </c>
      <c r="G30" s="110">
        <f t="shared" si="21"/>
        <v>0.9936382148579378</v>
      </c>
      <c r="H30" s="414" t="b">
        <f>Wh_hp&gt;='2024'!Maxi_hp</f>
        <v>0</v>
      </c>
      <c r="I30" s="390">
        <f>IF(H30,Wh_hp,'2024'!Maxi_hp)</f>
        <v>29.178076379468706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5.149989072712835E-2</v>
      </c>
      <c r="M30" s="845"/>
      <c r="N30" s="845"/>
      <c r="O30" s="48">
        <f>IF(t&lt;Tnet,'2024'!Resal+('2024'!Salim-'2024'!Resal)*(1-EXP(('2024'!Tnet-t)/('2024'!Tau_j))),Resal+(Salim-Resal)*(1-EXP((Tnet-t)/(Tau_j))))*Salcycl</f>
        <v>5.2497919726811233E-2</v>
      </c>
      <c r="P30" s="169">
        <f>(INDEX(Models!$BJ30:$BT30,,T30)*(1-R30)+INDEX(Models!$BJ30:$BT30,,T30+1)*R30-ERP_i)*Q30*Ramure*Pc/MaxiM</f>
        <v>6.4144562363529557E-4</v>
      </c>
      <c r="Q30" s="305">
        <f t="shared" si="4"/>
        <v>0.5</v>
      </c>
      <c r="R30" s="177">
        <f t="shared" si="5"/>
        <v>0.49798283392047948</v>
      </c>
      <c r="S30" s="811">
        <f t="shared" si="6"/>
        <v>1</v>
      </c>
      <c r="T30" s="176">
        <f t="shared" si="7"/>
        <v>7</v>
      </c>
      <c r="U30" s="251">
        <f t="shared" si="8"/>
        <v>1.4979828339204795</v>
      </c>
      <c r="V30" s="383">
        <f t="shared" si="9"/>
        <v>26.166141516329571</v>
      </c>
      <c r="W30" s="402">
        <f t="shared" si="10"/>
        <v>25.999829673671748</v>
      </c>
      <c r="X30" s="157">
        <f t="shared" si="11"/>
        <v>45673</v>
      </c>
      <c r="Y30" s="385">
        <f t="shared" si="12"/>
        <v>25.197668237956297</v>
      </c>
      <c r="Z30" s="385">
        <f t="shared" si="22"/>
        <v>26.565804254121854</v>
      </c>
      <c r="AA30" s="386">
        <f t="shared" si="13"/>
        <v>28.930300552132433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8.1730789272297932E-2</v>
      </c>
      <c r="AD30" s="231">
        <f>(INDEX(Models!$BJ30:$BT30,,AH30)*(1-AF30)+INDEX(Models!$BJ30:$BT30,,AH30+1)*AF30-ERP_i)*AE30*Ramure*Pc/MaxiM</f>
        <v>6.4144562363529557E-4</v>
      </c>
      <c r="AE30" s="305">
        <f t="shared" si="15"/>
        <v>0.5</v>
      </c>
      <c r="AF30" s="177">
        <f t="shared" si="23"/>
        <v>0.49798283392047948</v>
      </c>
      <c r="AG30" s="811">
        <f t="shared" si="24"/>
        <v>1</v>
      </c>
      <c r="AH30" s="176">
        <f t="shared" si="16"/>
        <v>7</v>
      </c>
      <c r="AI30" s="225">
        <f t="shared" si="17"/>
        <v>1.4979828339204795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13.309117082383349</v>
      </c>
      <c r="C31" s="841"/>
      <c r="D31" s="393">
        <f t="shared" si="0"/>
        <v>14.032058048778012</v>
      </c>
      <c r="E31" s="385">
        <f t="shared" si="1"/>
        <v>14.810354789441982</v>
      </c>
      <c r="F31" s="385">
        <f t="shared" si="2"/>
        <v>14.813061108022206</v>
      </c>
      <c r="G31" s="110">
        <f t="shared" si="21"/>
        <v>0.50377166467966328</v>
      </c>
      <c r="H31" s="414" t="b">
        <f>Wh_hp&gt;='2024'!Maxi_hp</f>
        <v>0</v>
      </c>
      <c r="I31" s="390">
        <f>IF(H31,Wh_hp,'2024'!Maxi_hp)</f>
        <v>14.816853446814875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5.1520665313782743E-2</v>
      </c>
      <c r="M31" s="845"/>
      <c r="N31" s="845"/>
      <c r="O31" s="48">
        <f>IF(t&lt;Tnet,'2024'!Resal+('2024'!Salim-'2024'!Resal)*(1-EXP(('2024'!Tnet-t)/('2024'!Tau_j))),Resal+(Salim-Resal)*(1-EXP((Tnet-t)/(Tau_j))))*Salcycl</f>
        <v>5.2550850518368608E-2</v>
      </c>
      <c r="P31" s="169">
        <f>(INDEX(Models!$BJ31:$BT31,,T31)*(1-R31)+INDEX(Models!$BJ31:$BT31,,T31+1)*R31-ERP_i)*Q31*Ramure*Pc/MaxiM</f>
        <v>6.2691890153941058E-4</v>
      </c>
      <c r="Q31" s="305">
        <f t="shared" si="4"/>
        <v>0.5</v>
      </c>
      <c r="R31" s="177">
        <f t="shared" si="5"/>
        <v>0.49803681780983355</v>
      </c>
      <c r="S31" s="811">
        <f t="shared" si="6"/>
        <v>1</v>
      </c>
      <c r="T31" s="176">
        <f t="shared" si="7"/>
        <v>7</v>
      </c>
      <c r="U31" s="251">
        <f t="shared" si="8"/>
        <v>1.4980368178098336</v>
      </c>
      <c r="V31" s="383">
        <f t="shared" si="9"/>
        <v>26.407209353974913</v>
      </c>
      <c r="W31" s="402">
        <f t="shared" si="10"/>
        <v>13.309117082383349</v>
      </c>
      <c r="X31" s="157">
        <f t="shared" si="11"/>
        <v>45674</v>
      </c>
      <c r="Y31" s="385">
        <f t="shared" si="12"/>
        <v>12.898903202181746</v>
      </c>
      <c r="Z31" s="385">
        <f t="shared" si="22"/>
        <v>13.599561667254514</v>
      </c>
      <c r="AA31" s="386">
        <f t="shared" si="13"/>
        <v>14.810354789441982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8.1753147672776819E-2</v>
      </c>
      <c r="AD31" s="231">
        <f>(INDEX(Models!$BJ31:$BT31,,AH31)*(1-AF31)+INDEX(Models!$BJ31:$BT31,,AH31+1)*AF31-ERP_i)*AE31*Ramure*Pc/MaxiM</f>
        <v>6.2691890153941058E-4</v>
      </c>
      <c r="AE31" s="305">
        <f t="shared" si="15"/>
        <v>0.5</v>
      </c>
      <c r="AF31" s="177">
        <f t="shared" si="23"/>
        <v>0.49803681780983355</v>
      </c>
      <c r="AG31" s="811">
        <f t="shared" si="24"/>
        <v>1</v>
      </c>
      <c r="AH31" s="176">
        <f t="shared" si="16"/>
        <v>7</v>
      </c>
      <c r="AI31" s="225">
        <f t="shared" si="17"/>
        <v>1.4980368178098336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3.513858539270077</v>
      </c>
      <c r="C32" s="841"/>
      <c r="D32" s="393">
        <f t="shared" si="0"/>
        <v>3.7048097675616583</v>
      </c>
      <c r="E32" s="385">
        <f t="shared" si="1"/>
        <v>3.9105178197169996</v>
      </c>
      <c r="F32" s="385">
        <f t="shared" si="2"/>
        <v>3.9105178197169996</v>
      </c>
      <c r="G32" s="110">
        <f t="shared" si="21"/>
        <v>0.13175521062207918</v>
      </c>
      <c r="H32" s="414" t="b">
        <f>Wh_hp&gt;='2024'!Maxi_hp</f>
        <v>0</v>
      </c>
      <c r="I32" s="390">
        <f>IF(H32,Wh_hp,'2024'!Maxi_hp)</f>
        <v>28.469265740450702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5.1541439445420445E-2</v>
      </c>
      <c r="M32" s="845"/>
      <c r="N32" s="845"/>
      <c r="O32" s="48">
        <f>IF(t&lt;Tnet,'2024'!Resal+('2024'!Salim-'2024'!Resal)*(1-EXP(('2024'!Tnet-t)/('2024'!Tau_j))),Resal+(Salim-Resal)*(1-EXP((Tnet-t)/(Tau_j))))*Salcycl</f>
        <v>5.2603788459459878E-2</v>
      </c>
      <c r="P32" s="169">
        <f>(INDEX(Models!$BJ32:$BT32,,T32)*(1-R32)+INDEX(Models!$BJ32:$BT32,,T32+1)*R32-ERP_i)*Q32*Ramure*Pc/MaxiM</f>
        <v>6.1169403383844754E-4</v>
      </c>
      <c r="Q32" s="305">
        <f t="shared" si="4"/>
        <v>0.5</v>
      </c>
      <c r="R32" s="177">
        <f t="shared" si="5"/>
        <v>0.49809305402197523</v>
      </c>
      <c r="S32" s="811">
        <f t="shared" si="6"/>
        <v>1</v>
      </c>
      <c r="T32" s="176">
        <f t="shared" si="7"/>
        <v>7</v>
      </c>
      <c r="U32" s="251">
        <f t="shared" si="8"/>
        <v>1.4980930540219752</v>
      </c>
      <c r="V32" s="383">
        <f t="shared" si="9"/>
        <v>26.653284651023668</v>
      </c>
      <c r="W32" s="402">
        <f t="shared" si="10"/>
        <v>3.513858539270077</v>
      </c>
      <c r="X32" s="157">
        <f t="shared" si="11"/>
        <v>45675</v>
      </c>
      <c r="Y32" s="385">
        <f t="shared" si="12"/>
        <v>3.4056614079607965</v>
      </c>
      <c r="Z32" s="385">
        <f t="shared" si="22"/>
        <v>3.5907329530237457</v>
      </c>
      <c r="AA32" s="386">
        <f t="shared" si="13"/>
        <v>3.9105178197169996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8.1775580993617994E-2</v>
      </c>
      <c r="AD32" s="231">
        <f>(INDEX(Models!$BJ32:$BT32,,AH32)*(1-AF32)+INDEX(Models!$BJ32:$BT32,,AH32+1)*AF32-ERP_i)*AE32*Ramure*Pc/MaxiM</f>
        <v>6.1169403383844754E-4</v>
      </c>
      <c r="AE32" s="305">
        <f t="shared" si="15"/>
        <v>0.5</v>
      </c>
      <c r="AF32" s="177">
        <f t="shared" si="23"/>
        <v>0.49809305402197523</v>
      </c>
      <c r="AG32" s="811">
        <f t="shared" si="24"/>
        <v>1</v>
      </c>
      <c r="AH32" s="176">
        <f t="shared" si="16"/>
        <v>7</v>
      </c>
      <c r="AI32" s="225">
        <f t="shared" si="17"/>
        <v>1.4980930540219752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10.164007763612485</v>
      </c>
      <c r="C33" s="841"/>
      <c r="D33" s="393">
        <f t="shared" si="0"/>
        <v>10.716578255565073</v>
      </c>
      <c r="E33" s="385">
        <f t="shared" si="1"/>
        <v>11.312244109325896</v>
      </c>
      <c r="F33" s="385">
        <f t="shared" si="2"/>
        <v>11.312993110265799</v>
      </c>
      <c r="G33" s="110">
        <f t="shared" si="21"/>
        <v>0.37758572312704503</v>
      </c>
      <c r="H33" s="414" t="b">
        <f>Wh_hp&gt;='2024'!Maxi_hp</f>
        <v>0</v>
      </c>
      <c r="I33" s="390">
        <f>IF(H33,Wh_hp,'2024'!Maxi_hp)</f>
        <v>30.474199442688686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5.1562213122051337E-2</v>
      </c>
      <c r="M33" s="845"/>
      <c r="N33" s="845"/>
      <c r="O33" s="48">
        <f>IF(t&lt;Tnet,'2024'!Resal+('2024'!Salim-'2024'!Resal)*(1-EXP(('2024'!Tnet-t)/('2024'!Tau_j))),Resal+(Salim-Resal)*(1-EXP((Tnet-t)/(Tau_j))))*Salcycl</f>
        <v>5.2656736188158401E-2</v>
      </c>
      <c r="P33" s="169">
        <f>(INDEX(Models!$BJ33:$BT33,,T33)*(1-R33)+INDEX(Models!$BJ33:$BT33,,T33+1)*R33-ERP_i)*Q33*Ramure*Pc/MaxiM</f>
        <v>5.958027468868038E-4</v>
      </c>
      <c r="Q33" s="305">
        <f t="shared" si="4"/>
        <v>0.5</v>
      </c>
      <c r="R33" s="177">
        <f t="shared" si="5"/>
        <v>0.49815163598783618</v>
      </c>
      <c r="S33" s="811">
        <f t="shared" si="6"/>
        <v>1</v>
      </c>
      <c r="T33" s="176">
        <f t="shared" si="7"/>
        <v>7</v>
      </c>
      <c r="U33" s="251">
        <f t="shared" si="8"/>
        <v>1.4981516359878362</v>
      </c>
      <c r="V33" s="383">
        <f t="shared" si="9"/>
        <v>26.904154397673654</v>
      </c>
      <c r="W33" s="402">
        <f t="shared" si="10"/>
        <v>10.164007763612485</v>
      </c>
      <c r="X33" s="157">
        <f t="shared" si="11"/>
        <v>45676</v>
      </c>
      <c r="Y33" s="385">
        <f t="shared" si="12"/>
        <v>9.8513513183065484</v>
      </c>
      <c r="Z33" s="385">
        <f t="shared" si="22"/>
        <v>10.386924113109263</v>
      </c>
      <c r="AA33" s="386">
        <f t="shared" si="13"/>
        <v>11.312244109325896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8.1798093046258735E-2</v>
      </c>
      <c r="AD33" s="231">
        <f>(INDEX(Models!$BJ33:$BT33,,AH33)*(1-AF33)+INDEX(Models!$BJ33:$BT33,,AH33+1)*AF33-ERP_i)*AE33*Ramure*Pc/MaxiM</f>
        <v>5.958027468868038E-4</v>
      </c>
      <c r="AE33" s="305">
        <f t="shared" si="15"/>
        <v>0.5</v>
      </c>
      <c r="AF33" s="177">
        <f t="shared" si="23"/>
        <v>0.49815163598783618</v>
      </c>
      <c r="AG33" s="811">
        <f t="shared" si="24"/>
        <v>1</v>
      </c>
      <c r="AH33" s="176">
        <f t="shared" si="16"/>
        <v>7</v>
      </c>
      <c r="AI33" s="225">
        <f t="shared" si="17"/>
        <v>1.4981516359878362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6.3939266594506945</v>
      </c>
      <c r="C34" s="841"/>
      <c r="D34" s="393">
        <f t="shared" si="0"/>
        <v>6.7416827907810095</v>
      </c>
      <c r="E34" s="385">
        <f t="shared" si="1"/>
        <v>7.1168075569885278</v>
      </c>
      <c r="F34" s="385">
        <f t="shared" si="2"/>
        <v>7.1168075569885278</v>
      </c>
      <c r="G34" s="110">
        <f t="shared" si="21"/>
        <v>0.23528407949346106</v>
      </c>
      <c r="H34" s="414" t="b">
        <f>Wh_hp&gt;='2024'!Maxi_hp</f>
        <v>0</v>
      </c>
      <c r="I34" s="390">
        <f>IF(H34,Wh_hp,'2024'!Maxi_hp)</f>
        <v>12.344744575403277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5.15829863436853E-2</v>
      </c>
      <c r="M34" s="845"/>
      <c r="N34" s="845"/>
      <c r="O34" s="48">
        <f>IF(t&lt;Tnet,'2024'!Resal+('2024'!Salim-'2024'!Resal)*(1-EXP(('2024'!Tnet-t)/('2024'!Tau_j))),Resal+(Salim-Resal)*(1-EXP((Tnet-t)/(Tau_j))))*Salcycl</f>
        <v>5.2709696476077303E-2</v>
      </c>
      <c r="P34" s="169">
        <f>(INDEX(Models!$BJ34:$BT34,,T34)*(1-R34)+INDEX(Models!$BJ34:$BT34,,T34+1)*R34-ERP_i)*Q34*Ramure*Pc/MaxiM</f>
        <v>5.7927922860473349E-4</v>
      </c>
      <c r="Q34" s="305">
        <f t="shared" si="4"/>
        <v>0.5</v>
      </c>
      <c r="R34" s="177">
        <f t="shared" si="5"/>
        <v>0.49821266096787897</v>
      </c>
      <c r="S34" s="811">
        <f t="shared" si="6"/>
        <v>1</v>
      </c>
      <c r="T34" s="176">
        <f t="shared" si="7"/>
        <v>7</v>
      </c>
      <c r="U34" s="251">
        <f t="shared" si="8"/>
        <v>1.498212660967879</v>
      </c>
      <c r="V34" s="383">
        <f t="shared" si="9"/>
        <v>27.159605547069109</v>
      </c>
      <c r="W34" s="402">
        <f t="shared" si="10"/>
        <v>6.3939266594506945</v>
      </c>
      <c r="X34" s="157">
        <f t="shared" si="11"/>
        <v>45677</v>
      </c>
      <c r="Y34" s="385">
        <f t="shared" si="12"/>
        <v>6.197436161166153</v>
      </c>
      <c r="Z34" s="385">
        <f t="shared" si="22"/>
        <v>6.5345054674567091</v>
      </c>
      <c r="AA34" s="386">
        <f t="shared" si="13"/>
        <v>7.1168075569885278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8.1820687839172082E-2</v>
      </c>
      <c r="AD34" s="231">
        <f>(INDEX(Models!$BJ34:$BT34,,AH34)*(1-AF34)+INDEX(Models!$BJ34:$BT34,,AH34+1)*AF34-ERP_i)*AE34*Ramure*Pc/MaxiM</f>
        <v>5.7927922860473349E-4</v>
      </c>
      <c r="AE34" s="305">
        <f t="shared" si="15"/>
        <v>0.5</v>
      </c>
      <c r="AF34" s="177">
        <f t="shared" si="23"/>
        <v>0.49821266096787897</v>
      </c>
      <c r="AG34" s="811">
        <f t="shared" si="24"/>
        <v>1</v>
      </c>
      <c r="AH34" s="176">
        <f t="shared" si="16"/>
        <v>7</v>
      </c>
      <c r="AI34" s="225">
        <f t="shared" si="17"/>
        <v>1.498212660967879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20.423784721005369</v>
      </c>
      <c r="C35" s="841"/>
      <c r="D35" s="393">
        <f t="shared" si="0"/>
        <v>21.535075573313442</v>
      </c>
      <c r="E35" s="385">
        <f t="shared" si="1"/>
        <v>22.734614588785391</v>
      </c>
      <c r="F35" s="385">
        <f t="shared" si="2"/>
        <v>22.742739746343197</v>
      </c>
      <c r="G35" s="110">
        <f t="shared" si="21"/>
        <v>0.74471286161418326</v>
      </c>
      <c r="H35" s="414" t="b">
        <f>Wh_hp&gt;='2024'!Maxi_hp</f>
        <v>0</v>
      </c>
      <c r="I35" s="390">
        <f>IF(H35,Wh_hp,'2024'!Maxi_hp)</f>
        <v>22.745493436016041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5.1603759110332548E-2</v>
      </c>
      <c r="M35" s="845"/>
      <c r="N35" s="845"/>
      <c r="O35" s="48">
        <f>IF(t&lt;Tnet,'2024'!Resal+('2024'!Salim-'2024'!Resal)*(1-EXP(('2024'!Tnet-t)/('2024'!Tau_j))),Resal+(Salim-Resal)*(1-EXP((Tnet-t)/(Tau_j))))*Salcycl</f>
        <v>5.2762672126566885E-2</v>
      </c>
      <c r="P35" s="169">
        <f>(INDEX(Models!$BJ35:$BT35,,T35)*(1-R35)+INDEX(Models!$BJ35:$BT35,,T35+1)*R35-ERP_i)*Q35*Ramure*Pc/MaxiM</f>
        <v>5.6215786222512428E-4</v>
      </c>
      <c r="Q35" s="305">
        <f t="shared" si="4"/>
        <v>0.5</v>
      </c>
      <c r="R35" s="177">
        <f t="shared" si="5"/>
        <v>0.49827623020511513</v>
      </c>
      <c r="S35" s="811">
        <f t="shared" si="6"/>
        <v>1</v>
      </c>
      <c r="T35" s="176">
        <f t="shared" si="7"/>
        <v>7</v>
      </c>
      <c r="U35" s="251">
        <f t="shared" si="8"/>
        <v>1.4982762302051151</v>
      </c>
      <c r="V35" s="383">
        <f t="shared" si="9"/>
        <v>27.419425077321431</v>
      </c>
      <c r="W35" s="402">
        <f t="shared" si="10"/>
        <v>20.423784721005369</v>
      </c>
      <c r="X35" s="157">
        <f t="shared" si="11"/>
        <v>45678</v>
      </c>
      <c r="Y35" s="385">
        <f t="shared" si="12"/>
        <v>19.796763505132787</v>
      </c>
      <c r="Z35" s="385">
        <f t="shared" si="22"/>
        <v>20.873937128390477</v>
      </c>
      <c r="AA35" s="386">
        <f t="shared" si="13"/>
        <v>22.734614588785391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8.1843369419279943E-2</v>
      </c>
      <c r="AD35" s="231">
        <f>(INDEX(Models!$BJ35:$BT35,,AH35)*(1-AF35)+INDEX(Models!$BJ35:$BT35,,AH35+1)*AF35-ERP_i)*AE35*Ramure*Pc/MaxiM</f>
        <v>5.6215786222512428E-4</v>
      </c>
      <c r="AE35" s="305">
        <f t="shared" si="15"/>
        <v>0.5</v>
      </c>
      <c r="AF35" s="177">
        <f t="shared" si="23"/>
        <v>0.49827623020511513</v>
      </c>
      <c r="AG35" s="811">
        <f t="shared" si="24"/>
        <v>1</v>
      </c>
      <c r="AH35" s="176">
        <f t="shared" si="16"/>
        <v>7</v>
      </c>
      <c r="AI35" s="225">
        <f t="shared" si="17"/>
        <v>1.4982762302051151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27.557889978608117</v>
      </c>
      <c r="C36" s="841"/>
      <c r="D36" s="393">
        <f t="shared" si="0"/>
        <v>29.057995373845621</v>
      </c>
      <c r="E36" s="385">
        <f t="shared" si="1"/>
        <v>30.678289670812493</v>
      </c>
      <c r="F36" s="385">
        <f t="shared" si="2"/>
        <v>30.694893851640231</v>
      </c>
      <c r="G36" s="110">
        <f t="shared" si="21"/>
        <v>0.9954627191321288</v>
      </c>
      <c r="H36" s="414" t="b">
        <f>Wh_hp&gt;='2024'!Maxi_hp</f>
        <v>0</v>
      </c>
      <c r="I36" s="390">
        <f>IF(H36,Wh_hp,'2024'!Maxi_hp)</f>
        <v>30.694958235093285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5.162453142200274E-2</v>
      </c>
      <c r="M36" s="845"/>
      <c r="N36" s="845"/>
      <c r="O36" s="48">
        <f>IF(t&lt;Tnet,'2024'!Resal+('2024'!Salim-'2024'!Resal)*(1-EXP(('2024'!Tnet-t)/('2024'!Tau_j))),Resal+(Salim-Resal)*(1-EXP((Tnet-t)/(Tau_j))))*Salcycl</f>
        <v>5.2815665878154561E-2</v>
      </c>
      <c r="P36" s="169">
        <f>(INDEX(Models!$BJ36:$BT36,,T36)*(1-R36)+INDEX(Models!$BJ36:$BT36,,T36+1)*R36-ERP_i)*Q36*Ramure*Pc/MaxiM</f>
        <v>5.4446919218374083E-4</v>
      </c>
      <c r="Q36" s="305">
        <f t="shared" si="4"/>
        <v>0.5</v>
      </c>
      <c r="R36" s="177">
        <f t="shared" si="5"/>
        <v>0.49834244908389724</v>
      </c>
      <c r="S36" s="811">
        <f t="shared" si="6"/>
        <v>1</v>
      </c>
      <c r="T36" s="176">
        <f t="shared" si="7"/>
        <v>7</v>
      </c>
      <c r="U36" s="251">
        <f t="shared" si="8"/>
        <v>1.4983424490838972</v>
      </c>
      <c r="V36" s="383">
        <f t="shared" si="9"/>
        <v>27.683400106848939</v>
      </c>
      <c r="W36" s="402">
        <f t="shared" si="10"/>
        <v>27.557889978608117</v>
      </c>
      <c r="X36" s="157">
        <f t="shared" si="11"/>
        <v>45679</v>
      </c>
      <c r="Y36" s="385">
        <f t="shared" si="12"/>
        <v>26.712679824368966</v>
      </c>
      <c r="Z36" s="385">
        <f t="shared" si="22"/>
        <v>28.166776460827482</v>
      </c>
      <c r="AA36" s="386">
        <f t="shared" si="13"/>
        <v>30.678289670812493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8.1866141722186023E-2</v>
      </c>
      <c r="AD36" s="231">
        <f>(INDEX(Models!$BJ36:$BT36,,AH36)*(1-AF36)+INDEX(Models!$BJ36:$BT36,,AH36+1)*AF36-ERP_i)*AE36*Ramure*Pc/MaxiM</f>
        <v>5.4446919218374083E-4</v>
      </c>
      <c r="AE36" s="305">
        <f t="shared" si="15"/>
        <v>0.5</v>
      </c>
      <c r="AF36" s="177">
        <f t="shared" si="23"/>
        <v>0.49834244908389724</v>
      </c>
      <c r="AG36" s="811">
        <f t="shared" si="24"/>
        <v>1</v>
      </c>
      <c r="AH36" s="176">
        <f t="shared" si="16"/>
        <v>7</v>
      </c>
      <c r="AI36" s="225">
        <f t="shared" si="17"/>
        <v>1.4983424490838972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27.622090809499383</v>
      </c>
      <c r="C37" s="841"/>
      <c r="D37" s="393">
        <f t="shared" si="0"/>
        <v>29.12632889887724</v>
      </c>
      <c r="E37" s="385">
        <f t="shared" si="1"/>
        <v>30.75215473661892</v>
      </c>
      <c r="F37" s="385">
        <f t="shared" si="2"/>
        <v>30.768070124751052</v>
      </c>
      <c r="G37" s="110">
        <f t="shared" si="21"/>
        <v>0.98812001645261605</v>
      </c>
      <c r="H37" s="414" t="b">
        <f>Wh_hp&gt;='2024'!Maxi_hp</f>
        <v>0</v>
      </c>
      <c r="I37" s="390">
        <f>IF(H37,Wh_hp,'2024'!Maxi_hp)</f>
        <v>30.768234513818296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5.164530327870609E-2</v>
      </c>
      <c r="M37" s="845"/>
      <c r="N37" s="845"/>
      <c r="O37" s="48">
        <f>IF(t&lt;Tnet,'2024'!Resal+('2024'!Salim-'2024'!Resal)*(1-EXP(('2024'!Tnet-t)/('2024'!Tau_j))),Resal+(Salim-Resal)*(1-EXP((Tnet-t)/(Tau_j))))*Salcycl</f>
        <v>5.2868680314153212E-2</v>
      </c>
      <c r="P37" s="169">
        <f>(INDEX(Models!$BJ37:$BT37,,T37)*(1-R37)+INDEX(Models!$BJ37:$BT37,,T37+1)*R37-ERP_i)*Q37*Ramure*Pc/MaxiM</f>
        <v>5.2619323297840002E-4</v>
      </c>
      <c r="Q37" s="305">
        <f t="shared" si="4"/>
        <v>0.5</v>
      </c>
      <c r="R37" s="177">
        <f t="shared" si="5"/>
        <v>0.49841142729467447</v>
      </c>
      <c r="S37" s="811">
        <f t="shared" si="6"/>
        <v>1</v>
      </c>
      <c r="T37" s="176">
        <f t="shared" si="7"/>
        <v>7</v>
      </c>
      <c r="U37" s="251">
        <f t="shared" si="8"/>
        <v>1.4984114272946745</v>
      </c>
      <c r="V37" s="383">
        <f t="shared" si="9"/>
        <v>27.953936498947446</v>
      </c>
      <c r="W37" s="402">
        <f t="shared" si="10"/>
        <v>27.622090809499383</v>
      </c>
      <c r="X37" s="157">
        <f t="shared" si="11"/>
        <v>45680</v>
      </c>
      <c r="Y37" s="385">
        <f t="shared" si="12"/>
        <v>26.775743400276902</v>
      </c>
      <c r="Z37" s="385">
        <f t="shared" si="22"/>
        <v>28.233891278070889</v>
      </c>
      <c r="AA37" s="386">
        <f t="shared" si="13"/>
        <v>30.75215473661892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8.1889008432613847E-2</v>
      </c>
      <c r="AD37" s="231">
        <f>(INDEX(Models!$BJ37:$BT37,,AH37)*(1-AF37)+INDEX(Models!$BJ37:$BT37,,AH37+1)*AF37-ERP_i)*AE37*Ramure*Pc/MaxiM</f>
        <v>5.2619323297840002E-4</v>
      </c>
      <c r="AE37" s="305">
        <f t="shared" si="15"/>
        <v>0.5</v>
      </c>
      <c r="AF37" s="177">
        <f t="shared" si="23"/>
        <v>0.49841142729467447</v>
      </c>
      <c r="AG37" s="811">
        <f t="shared" si="24"/>
        <v>1</v>
      </c>
      <c r="AH37" s="176">
        <f t="shared" si="16"/>
        <v>7</v>
      </c>
      <c r="AI37" s="225">
        <f t="shared" si="17"/>
        <v>1.4984114272946745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28.243543837276686</v>
      </c>
      <c r="C38" s="841"/>
      <c r="D38" s="393">
        <f t="shared" si="0"/>
        <v>29.782277194986811</v>
      </c>
      <c r="E38" s="385">
        <f t="shared" si="1"/>
        <v>31.446478875170737</v>
      </c>
      <c r="F38" s="385">
        <f t="shared" si="2"/>
        <v>31.46244680579083</v>
      </c>
      <c r="G38" s="110">
        <f t="shared" si="21"/>
        <v>1.0003758637461395</v>
      </c>
      <c r="H38" s="414" t="b">
        <f>Wh_hp&gt;='2024'!Maxi_hp</f>
        <v>1</v>
      </c>
      <c r="I38" s="390">
        <f>IF(H38,Wh_hp,'2024'!Maxi_hp)</f>
        <v>31.46244680579083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5.1666074680452478E-2</v>
      </c>
      <c r="M38" s="845"/>
      <c r="N38" s="845"/>
      <c r="O38" s="48">
        <f>IF(t&lt;Tnet,'2024'!Resal+('2024'!Salim-'2024'!Resal)*(1-EXP(('2024'!Tnet-t)/('2024'!Tau_j))),Resal+(Salim-Resal)*(1-EXP((Tnet-t)/(Tau_j))))*Salcycl</f>
        <v>5.2921717779281612E-2</v>
      </c>
      <c r="P38" s="169">
        <f>(INDEX(Models!$BJ38:$BT38,,T38)*(1-R38)+INDEX(Models!$BJ38:$BT38,,T38+1)*R38-ERP_i)*Q38*Ramure*Pc/MaxiM</f>
        <v>5.0752348406525594E-4</v>
      </c>
      <c r="Q38" s="305">
        <f t="shared" si="4"/>
        <v>0.5</v>
      </c>
      <c r="R38" s="177">
        <f t="shared" si="5"/>
        <v>0.49848327900490386</v>
      </c>
      <c r="S38" s="811">
        <f t="shared" si="6"/>
        <v>1</v>
      </c>
      <c r="T38" s="176">
        <f t="shared" si="7"/>
        <v>7</v>
      </c>
      <c r="U38" s="251">
        <f t="shared" si="8"/>
        <v>1.4984832790049039</v>
      </c>
      <c r="V38" s="383">
        <f t="shared" si="9"/>
        <v>28.232932101652455</v>
      </c>
      <c r="W38" s="402">
        <f t="shared" si="10"/>
        <v>28.243543837276686</v>
      </c>
      <c r="X38" s="157">
        <f t="shared" si="11"/>
        <v>45681</v>
      </c>
      <c r="Y38" s="385">
        <f t="shared" si="12"/>
        <v>27.37900332833194</v>
      </c>
      <c r="Z38" s="385">
        <f t="shared" si="22"/>
        <v>28.870635751121526</v>
      </c>
      <c r="AA38" s="386">
        <f t="shared" si="13"/>
        <v>31.446478875170737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8.1911972856300516E-2</v>
      </c>
      <c r="AD38" s="231">
        <f>(INDEX(Models!$BJ38:$BT38,,AH38)*(1-AF38)+INDEX(Models!$BJ38:$BT38,,AH38+1)*AF38-ERP_i)*AE38*Ramure*Pc/MaxiM</f>
        <v>5.0752348406525594E-4</v>
      </c>
      <c r="AE38" s="305">
        <f t="shared" si="15"/>
        <v>0.5</v>
      </c>
      <c r="AF38" s="177">
        <f t="shared" si="23"/>
        <v>0.49848327900490386</v>
      </c>
      <c r="AG38" s="811">
        <f t="shared" si="24"/>
        <v>1</v>
      </c>
      <c r="AH38" s="176">
        <f t="shared" si="16"/>
        <v>7</v>
      </c>
      <c r="AI38" s="225">
        <f t="shared" si="17"/>
        <v>1.4984832790049039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26.898987831747974</v>
      </c>
      <c r="C39" s="841"/>
      <c r="D39" s="393">
        <f t="shared" si="0"/>
        <v>28.365089852138588</v>
      </c>
      <c r="E39" s="385">
        <f t="shared" si="1"/>
        <v>29.951778751198816</v>
      </c>
      <c r="F39" s="385">
        <f t="shared" si="2"/>
        <v>29.965242759669675</v>
      </c>
      <c r="G39" s="110">
        <f t="shared" si="21"/>
        <v>0.94314445135125502</v>
      </c>
      <c r="H39" s="414" t="b">
        <f>Wh_hp&gt;='2024'!Maxi_hp</f>
        <v>0</v>
      </c>
      <c r="I39" s="390">
        <f>IF(H39,Wh_hp,'2024'!Maxi_hp)</f>
        <v>29.965963471414504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5.1686845627251787E-2</v>
      </c>
      <c r="M39" s="845"/>
      <c r="N39" s="845"/>
      <c r="O39" s="48">
        <f>IF(t&lt;Tnet,'2024'!Resal+('2024'!Salim-'2024'!Resal)*(1-EXP(('2024'!Tnet-t)/('2024'!Tau_j))),Resal+(Salim-Resal)*(1-EXP((Tnet-t)/(Tau_j))))*Salcycl</f>
        <v>5.2974780304048598E-2</v>
      </c>
      <c r="P39" s="169">
        <f>(INDEX(Models!$BJ39:$BT39,,T39)*(1-R39)+INDEX(Models!$BJ39:$BT39,,T39+1)*R39-ERP_i)*Q39*Ramure*Pc/MaxiM</f>
        <v>4.8901344268682627E-4</v>
      </c>
      <c r="Q39" s="305">
        <f t="shared" si="4"/>
        <v>0.5</v>
      </c>
      <c r="R39" s="177">
        <f t="shared" si="5"/>
        <v>0.49855812303631208</v>
      </c>
      <c r="S39" s="811">
        <f t="shared" si="6"/>
        <v>1</v>
      </c>
      <c r="T39" s="176">
        <f t="shared" si="7"/>
        <v>7</v>
      </c>
      <c r="U39" s="251">
        <f t="shared" si="8"/>
        <v>1.4985581230363121</v>
      </c>
      <c r="V39" s="383">
        <f t="shared" si="9"/>
        <v>28.519406144841362</v>
      </c>
      <c r="W39" s="402">
        <f t="shared" si="10"/>
        <v>26.898987831747974</v>
      </c>
      <c r="X39" s="157">
        <f t="shared" si="11"/>
        <v>45682</v>
      </c>
      <c r="Y39" s="385">
        <f t="shared" si="12"/>
        <v>26.076410356612072</v>
      </c>
      <c r="Z39" s="385">
        <f t="shared" si="22"/>
        <v>27.497678626908893</v>
      </c>
      <c r="AA39" s="386">
        <f t="shared" si="13"/>
        <v>29.951778751198816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8.1935037804447511E-2</v>
      </c>
      <c r="AD39" s="231">
        <f>(INDEX(Models!$BJ39:$BT39,,AH39)*(1-AF39)+INDEX(Models!$BJ39:$BT39,,AH39+1)*AF39-ERP_i)*AE39*Ramure*Pc/MaxiM</f>
        <v>4.8901344268682627E-4</v>
      </c>
      <c r="AE39" s="305">
        <f t="shared" si="15"/>
        <v>0.5</v>
      </c>
      <c r="AF39" s="177">
        <f t="shared" si="23"/>
        <v>0.49855812303631208</v>
      </c>
      <c r="AG39" s="811">
        <f t="shared" si="24"/>
        <v>1</v>
      </c>
      <c r="AH39" s="176">
        <f t="shared" si="16"/>
        <v>7</v>
      </c>
      <c r="AI39" s="225">
        <f t="shared" si="17"/>
        <v>1.4985581230363121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27.859377372856812</v>
      </c>
      <c r="C40" s="841"/>
      <c r="D40" s="393">
        <f t="shared" si="0"/>
        <v>29.378467913917362</v>
      </c>
      <c r="E40" s="385">
        <f t="shared" si="1"/>
        <v>31.023582393676943</v>
      </c>
      <c r="F40" s="385">
        <f t="shared" si="2"/>
        <v>31.037501101116096</v>
      </c>
      <c r="G40" s="110">
        <f t="shared" si="21"/>
        <v>0.96690190900959538</v>
      </c>
      <c r="H40" s="414" t="b">
        <f>Wh_hp&gt;='2024'!Maxi_hp</f>
        <v>0</v>
      </c>
      <c r="I40" s="390">
        <f>IF(H40,Wh_hp,'2024'!Maxi_hp)</f>
        <v>31.037921449908918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5.1707616119114119E-2</v>
      </c>
      <c r="M40" s="845"/>
      <c r="N40" s="845"/>
      <c r="O40" s="48">
        <f>IF(t&lt;Tnet,'2024'!Resal+('2024'!Salim-'2024'!Resal)*(1-EXP(('2024'!Tnet-t)/('2024'!Tau_j))),Resal+(Salim-Resal)*(1-EXP((Tnet-t)/(Tau_j))))*Salcycl</f>
        <v>5.3027869537558017E-2</v>
      </c>
      <c r="P40" s="169">
        <f>(INDEX(Models!$BJ40:$BT40,,T40)*(1-R40)+INDEX(Models!$BJ40:$BT40,,T40+1)*R40-ERP_i)*Q40*Ramure*Pc/MaxiM</f>
        <v>4.7068919313846745E-4</v>
      </c>
      <c r="Q40" s="305">
        <f t="shared" si="4"/>
        <v>0.5</v>
      </c>
      <c r="R40" s="177">
        <f t="shared" si="5"/>
        <v>0.49863608304870488</v>
      </c>
      <c r="S40" s="811">
        <f t="shared" si="6"/>
        <v>1</v>
      </c>
      <c r="T40" s="176">
        <f t="shared" si="7"/>
        <v>7</v>
      </c>
      <c r="U40" s="251">
        <f t="shared" si="8"/>
        <v>1.4986360830487049</v>
      </c>
      <c r="V40" s="383">
        <f t="shared" si="9"/>
        <v>28.812392665075777</v>
      </c>
      <c r="W40" s="402">
        <f t="shared" si="10"/>
        <v>27.859377372856812</v>
      </c>
      <c r="X40" s="157">
        <f t="shared" si="11"/>
        <v>45683</v>
      </c>
      <c r="Y40" s="385">
        <f t="shared" si="12"/>
        <v>27.008263468928323</v>
      </c>
      <c r="Z40" s="385">
        <f t="shared" si="22"/>
        <v>28.480945252767956</v>
      </c>
      <c r="AA40" s="386">
        <f t="shared" si="13"/>
        <v>31.023582393676943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8.1958205491678301E-2</v>
      </c>
      <c r="AD40" s="231">
        <f>(INDEX(Models!$BJ40:$BT40,,AH40)*(1-AF40)+INDEX(Models!$BJ40:$BT40,,AH40+1)*AF40-ERP_i)*AE40*Ramure*Pc/MaxiM</f>
        <v>4.7068919313846745E-4</v>
      </c>
      <c r="AE40" s="305">
        <f t="shared" si="15"/>
        <v>0.5</v>
      </c>
      <c r="AF40" s="177">
        <f t="shared" si="23"/>
        <v>0.49863608304870488</v>
      </c>
      <c r="AG40" s="811">
        <f t="shared" si="24"/>
        <v>1</v>
      </c>
      <c r="AH40" s="176">
        <f t="shared" si="16"/>
        <v>7</v>
      </c>
      <c r="AI40" s="225">
        <f t="shared" si="17"/>
        <v>1.4986360830487049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25.95748469729007</v>
      </c>
      <c r="C41" s="841"/>
      <c r="D41" s="393">
        <f t="shared" si="0"/>
        <v>27.373470130638839</v>
      </c>
      <c r="E41" s="385">
        <f t="shared" si="1"/>
        <v>28.907931666651248</v>
      </c>
      <c r="F41" s="385">
        <f t="shared" si="2"/>
        <v>28.918994259792711</v>
      </c>
      <c r="G41" s="110">
        <f t="shared" si="21"/>
        <v>0.8916125180649227</v>
      </c>
      <c r="H41" s="414" t="b">
        <f>Wh_hp&gt;='2024'!Maxi_hp</f>
        <v>0</v>
      </c>
      <c r="I41" s="390">
        <f>IF(H41,Wh_hp,'2024'!Maxi_hp)</f>
        <v>28.920232617261767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5.1728386156049355E-2</v>
      </c>
      <c r="M41" s="845"/>
      <c r="N41" s="845"/>
      <c r="O41" s="48">
        <f>IF(t&lt;Tnet,'2024'!Resal+('2024'!Salim-'2024'!Resal)*(1-EXP(('2024'!Tnet-t)/('2024'!Tau_j))),Resal+(Salim-Resal)*(1-EXP((Tnet-t)/(Tau_j))))*Salcycl</f>
        <v>5.3080986689289615E-2</v>
      </c>
      <c r="P41" s="169">
        <f>(INDEX(Models!$BJ41:$BT41,,T41)*(1-R41)+INDEX(Models!$BJ41:$BT41,,T41+1)*R41-ERP_i)*Q41*Ramure*Pc/MaxiM</f>
        <v>4.5257293902759081E-4</v>
      </c>
      <c r="Q41" s="305">
        <f t="shared" si="4"/>
        <v>0.5</v>
      </c>
      <c r="R41" s="177">
        <f t="shared" si="5"/>
        <v>0.49871728773052659</v>
      </c>
      <c r="S41" s="811">
        <f t="shared" si="6"/>
        <v>1</v>
      </c>
      <c r="T41" s="176">
        <f t="shared" si="7"/>
        <v>7</v>
      </c>
      <c r="U41" s="251">
        <f t="shared" si="8"/>
        <v>1.4987172877305266</v>
      </c>
      <c r="V41" s="383">
        <f t="shared" si="9"/>
        <v>29.110926019902379</v>
      </c>
      <c r="W41" s="402">
        <f t="shared" si="10"/>
        <v>25.95748469729007</v>
      </c>
      <c r="X41" s="157">
        <f t="shared" si="11"/>
        <v>45684</v>
      </c>
      <c r="Y41" s="385">
        <f t="shared" si="12"/>
        <v>25.165247942007245</v>
      </c>
      <c r="Z41" s="385">
        <f t="shared" si="22"/>
        <v>26.538016718645007</v>
      </c>
      <c r="AA41" s="386">
        <f t="shared" si="13"/>
        <v>28.907931666651248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8.1981477448288764E-2</v>
      </c>
      <c r="AD41" s="231">
        <f>(INDEX(Models!$BJ41:$BT41,,AH41)*(1-AF41)+INDEX(Models!$BJ41:$BT41,,AH41+1)*AF41-ERP_i)*AE41*Ramure*Pc/MaxiM</f>
        <v>4.5257293902759081E-4</v>
      </c>
      <c r="AE41" s="305">
        <f t="shared" si="15"/>
        <v>0.5</v>
      </c>
      <c r="AF41" s="177">
        <f t="shared" si="23"/>
        <v>0.49871728773052659</v>
      </c>
      <c r="AG41" s="811">
        <f t="shared" si="24"/>
        <v>1</v>
      </c>
      <c r="AH41" s="176">
        <f t="shared" si="16"/>
        <v>7</v>
      </c>
      <c r="AI41" s="225">
        <f t="shared" si="17"/>
        <v>1.4987172877305266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4.2399519546809019</v>
      </c>
      <c r="C42" s="841"/>
      <c r="D42" s="393">
        <f t="shared" si="0"/>
        <v>4.4713400260466445</v>
      </c>
      <c r="E42" s="385">
        <f t="shared" si="1"/>
        <v>4.7222528337189731</v>
      </c>
      <c r="F42" s="385">
        <f t="shared" si="2"/>
        <v>4.7222528337189731</v>
      </c>
      <c r="G42" s="110">
        <f t="shared" si="21"/>
        <v>0.14408455255486649</v>
      </c>
      <c r="H42" s="414" t="b">
        <f>Wh_hp&gt;='2024'!Maxi_hp</f>
        <v>0</v>
      </c>
      <c r="I42" s="390">
        <f>IF(H42,Wh_hp,'2024'!Maxi_hp)</f>
        <v>18.517028420857695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5.1749155738067487E-2</v>
      </c>
      <c r="M42" s="845"/>
      <c r="N42" s="845"/>
      <c r="O42" s="48">
        <f>IF(t&lt;Tnet,'2024'!Resal+('2024'!Salim-'2024'!Resal)*(1-EXP(('2024'!Tnet-t)/('2024'!Tau_j))),Resal+(Salim-Resal)*(1-EXP((Tnet-t)/(Tau_j))))*Salcycl</f>
        <v>5.313413248030685E-2</v>
      </c>
      <c r="P42" s="169">
        <f>(INDEX(Models!$BJ42:$BT42,,T42)*(1-R42)+INDEX(Models!$BJ42:$BT42,,T42+1)*R42-ERP_i)*Q42*Ramure*Pc/MaxiM</f>
        <v>4.3468321634078367E-4</v>
      </c>
      <c r="Q42" s="305">
        <f t="shared" si="4"/>
        <v>0.5</v>
      </c>
      <c r="R42" s="177">
        <f t="shared" si="5"/>
        <v>0.49880187099637263</v>
      </c>
      <c r="S42" s="811">
        <f t="shared" si="6"/>
        <v>1</v>
      </c>
      <c r="T42" s="176">
        <f t="shared" si="7"/>
        <v>7</v>
      </c>
      <c r="U42" s="251">
        <f t="shared" si="8"/>
        <v>1.4988018709963726</v>
      </c>
      <c r="V42" s="383">
        <f t="shared" si="9"/>
        <v>29.414040877937044</v>
      </c>
      <c r="W42" s="402">
        <f t="shared" si="10"/>
        <v>4.2399519546809019</v>
      </c>
      <c r="X42" s="157">
        <f t="shared" si="11"/>
        <v>45685</v>
      </c>
      <c r="Y42" s="385">
        <f t="shared" si="12"/>
        <v>4.1106723193740189</v>
      </c>
      <c r="Z42" s="385">
        <f t="shared" si="22"/>
        <v>4.3350051774259644</v>
      </c>
      <c r="AA42" s="386">
        <f t="shared" si="13"/>
        <v>4.7222528337189731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8.2004854447413289E-2</v>
      </c>
      <c r="AD42" s="231">
        <f>(INDEX(Models!$BJ42:$BT42,,AH42)*(1-AF42)+INDEX(Models!$BJ42:$BT42,,AH42+1)*AF42-ERP_i)*AE42*Ramure*Pc/MaxiM</f>
        <v>4.3468321634078367E-4</v>
      </c>
      <c r="AE42" s="305">
        <f t="shared" si="15"/>
        <v>0.5</v>
      </c>
      <c r="AF42" s="177">
        <f t="shared" si="23"/>
        <v>0.49880187099637263</v>
      </c>
      <c r="AG42" s="811">
        <f t="shared" si="24"/>
        <v>1</v>
      </c>
      <c r="AH42" s="176">
        <f t="shared" si="16"/>
        <v>7</v>
      </c>
      <c r="AI42" s="225">
        <f t="shared" si="17"/>
        <v>1.4988018709963726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9.2975368085450114</v>
      </c>
      <c r="C43" s="841"/>
      <c r="D43" s="393">
        <f t="shared" si="0"/>
        <v>9.8051486156701646</v>
      </c>
      <c r="E43" s="385">
        <f t="shared" si="1"/>
        <v>10.355953917011565</v>
      </c>
      <c r="F43" s="385">
        <f t="shared" si="2"/>
        <v>10.356033072418521</v>
      </c>
      <c r="G43" s="110">
        <f t="shared" si="21"/>
        <v>0.31270151300135457</v>
      </c>
      <c r="H43" s="414" t="b">
        <f>Wh_hp&gt;='2024'!Maxi_hp</f>
        <v>0</v>
      </c>
      <c r="I43" s="390">
        <f>IF(H43,Wh_hp,'2024'!Maxi_hp)</f>
        <v>20.355528257182332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5.1769924865178507E-2</v>
      </c>
      <c r="M43" s="845"/>
      <c r="N43" s="845"/>
      <c r="O43" s="48">
        <f>IF(t&lt;Tnet,'2024'!Resal+('2024'!Salim-'2024'!Resal)*(1-EXP(('2024'!Tnet-t)/('2024'!Tau_j))),Resal+(Salim-Resal)*(1-EXP((Tnet-t)/(Tau_j))))*Salcycl</f>
        <v>5.3187307104235013E-2</v>
      </c>
      <c r="P43" s="169">
        <f>(INDEX(Models!$BJ43:$BT43,,T43)*(1-R43)+INDEX(Models!$BJ43:$BT43,,T43+1)*R43-ERP_i)*Q43*Ramure*Pc/MaxiM</f>
        <v>4.170351189868062E-4</v>
      </c>
      <c r="Q43" s="305">
        <f t="shared" si="4"/>
        <v>0.5</v>
      </c>
      <c r="R43" s="177">
        <f t="shared" si="5"/>
        <v>0.49888997219165776</v>
      </c>
      <c r="S43" s="811">
        <f t="shared" si="6"/>
        <v>1</v>
      </c>
      <c r="T43" s="176">
        <f t="shared" si="7"/>
        <v>7</v>
      </c>
      <c r="U43" s="251">
        <f t="shared" si="8"/>
        <v>1.4988899721916578</v>
      </c>
      <c r="V43" s="383">
        <f t="shared" si="9"/>
        <v>29.720772233449114</v>
      </c>
      <c r="W43" s="402">
        <f t="shared" si="10"/>
        <v>9.2975368085450114</v>
      </c>
      <c r="X43" s="157">
        <f t="shared" si="11"/>
        <v>45686</v>
      </c>
      <c r="Y43" s="385">
        <f t="shared" si="12"/>
        <v>9.0143228910216191</v>
      </c>
      <c r="Z43" s="385">
        <f t="shared" si="22"/>
        <v>9.5064722448715226</v>
      </c>
      <c r="AA43" s="386">
        <f t="shared" si="13"/>
        <v>10.355953917011565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8.2028336447559067E-2</v>
      </c>
      <c r="AD43" s="231">
        <f>(INDEX(Models!$BJ43:$BT43,,AH43)*(1-AF43)+INDEX(Models!$BJ43:$BT43,,AH43+1)*AF43-ERP_i)*AE43*Ramure*Pc/MaxiM</f>
        <v>4.170351189868062E-4</v>
      </c>
      <c r="AE43" s="305">
        <f t="shared" si="15"/>
        <v>0.5</v>
      </c>
      <c r="AF43" s="177">
        <f t="shared" si="23"/>
        <v>0.49888997219165776</v>
      </c>
      <c r="AG43" s="811">
        <f t="shared" si="24"/>
        <v>1</v>
      </c>
      <c r="AH43" s="176">
        <f t="shared" si="16"/>
        <v>7</v>
      </c>
      <c r="AI43" s="225">
        <f t="shared" si="17"/>
        <v>1.4988899721916578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4.4224356394155135</v>
      </c>
      <c r="C44" s="841"/>
      <c r="D44" s="393">
        <f t="shared" si="0"/>
        <v>4.6639867477296386</v>
      </c>
      <c r="E44" s="385">
        <f t="shared" si="1"/>
        <v>4.9262635315187024</v>
      </c>
      <c r="F44" s="385">
        <f t="shared" si="2"/>
        <v>4.9262635315187024</v>
      </c>
      <c r="G44" s="110">
        <f t="shared" si="21"/>
        <v>0.14720763832619613</v>
      </c>
      <c r="H44" s="414" t="b">
        <f>Wh_hp&gt;='2024'!Maxi_hp</f>
        <v>0</v>
      </c>
      <c r="I44" s="390">
        <f>IF(H44,Wh_hp,'2024'!Maxi_hp)</f>
        <v>12.271638358981564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5.1790693537392296E-2</v>
      </c>
      <c r="M44" s="845"/>
      <c r="N44" s="845"/>
      <c r="O44" s="48">
        <f>IF(t&lt;Tnet,'2024'!Resal+('2024'!Salim-'2024'!Resal)*(1-EXP(('2024'!Tnet-t)/('2024'!Tau_j))),Resal+(Salim-Resal)*(1-EXP((Tnet-t)/(Tau_j))))*Salcycl</f>
        <v>5.3240510198244925E-2</v>
      </c>
      <c r="P44" s="169">
        <f>(INDEX(Models!$BJ44:$BT44,,T44)*(1-R44)+INDEX(Models!$BJ44:$BT44,,T44+1)*R44-ERP_i)*Q44*Ramure*Pc/MaxiM</f>
        <v>4.0004908204692099E-4</v>
      </c>
      <c r="Q44" s="305">
        <f t="shared" si="4"/>
        <v>0.5</v>
      </c>
      <c r="R44" s="177">
        <f t="shared" si="5"/>
        <v>0.49898173630465137</v>
      </c>
      <c r="S44" s="811">
        <f t="shared" si="6"/>
        <v>1</v>
      </c>
      <c r="T44" s="176">
        <f t="shared" si="7"/>
        <v>7</v>
      </c>
      <c r="U44" s="251">
        <f t="shared" si="8"/>
        <v>1.4989817363046514</v>
      </c>
      <c r="V44" s="383">
        <f t="shared" si="9"/>
        <v>30.030143125466342</v>
      </c>
      <c r="W44" s="402">
        <f t="shared" si="10"/>
        <v>4.4224356394155135</v>
      </c>
      <c r="X44" s="157">
        <f t="shared" si="11"/>
        <v>45687</v>
      </c>
      <c r="Y44" s="385">
        <f t="shared" si="12"/>
        <v>4.2878538177572114</v>
      </c>
      <c r="Z44" s="385">
        <f t="shared" si="22"/>
        <v>4.5220541377657337</v>
      </c>
      <c r="AA44" s="386">
        <f t="shared" si="13"/>
        <v>4.9262635315187024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8.2051922550793022E-2</v>
      </c>
      <c r="AD44" s="231">
        <f>(INDEX(Models!$BJ44:$BT44,,AH44)*(1-AF44)+INDEX(Models!$BJ44:$BT44,,AH44+1)*AF44-ERP_i)*AE44*Ramure*Pc/MaxiM</f>
        <v>4.0004908204692099E-4</v>
      </c>
      <c r="AE44" s="305">
        <f t="shared" si="15"/>
        <v>0.5</v>
      </c>
      <c r="AF44" s="177">
        <f t="shared" si="23"/>
        <v>0.49898173630465137</v>
      </c>
      <c r="AG44" s="811">
        <f t="shared" si="24"/>
        <v>1</v>
      </c>
      <c r="AH44" s="176">
        <f t="shared" si="16"/>
        <v>7</v>
      </c>
      <c r="AI44" s="225">
        <f t="shared" si="17"/>
        <v>1.4989817363046514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9.04540252461425</v>
      </c>
      <c r="C45" s="841"/>
      <c r="D45" s="393">
        <f t="shared" si="0"/>
        <v>9.5396665955841264</v>
      </c>
      <c r="E45" s="385">
        <f t="shared" si="1"/>
        <v>10.076691162778424</v>
      </c>
      <c r="F45" s="385">
        <f t="shared" si="2"/>
        <v>10.076691162778424</v>
      </c>
      <c r="G45" s="110">
        <f t="shared" si="21"/>
        <v>0.29800847794243551</v>
      </c>
      <c r="H45" s="414" t="b">
        <f>Wh_hp&gt;='2024'!Maxi_hp</f>
        <v>0</v>
      </c>
      <c r="I45" s="390">
        <f>IF(H45,Wh_hp,'2024'!Maxi_hp)</f>
        <v>23.585730416186674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5.1811461754718846E-2</v>
      </c>
      <c r="M45" s="845"/>
      <c r="N45" s="845"/>
      <c r="O45" s="48">
        <f>IF(t&lt;Tnet,'2024'!Resal+('2024'!Salim-'2024'!Resal)*(1-EXP(('2024'!Tnet-t)/('2024'!Tau_j))),Resal+(Salim-Resal)*(1-EXP((Tnet-t)/(Tau_j))))*Salcycl</f>
        <v>5.3293740824167962E-2</v>
      </c>
      <c r="P45" s="169">
        <f>(INDEX(Models!$BJ45:$BT45,,T45)*(1-R45)+INDEX(Models!$BJ45:$BT45,,T45+1)*R45-ERP_i)*Q45*Ramure*Pc/MaxiM</f>
        <v>3.8397974204636452E-4</v>
      </c>
      <c r="Q45" s="305">
        <f t="shared" si="4"/>
        <v>0.5</v>
      </c>
      <c r="R45" s="177">
        <f t="shared" si="5"/>
        <v>0.49907731418608137</v>
      </c>
      <c r="S45" s="811">
        <f t="shared" si="6"/>
        <v>1</v>
      </c>
      <c r="T45" s="176">
        <f t="shared" si="7"/>
        <v>7</v>
      </c>
      <c r="U45" s="251">
        <f t="shared" si="8"/>
        <v>1.4990773141860814</v>
      </c>
      <c r="V45" s="383">
        <f t="shared" si="9"/>
        <v>30.341181350661831</v>
      </c>
      <c r="W45" s="402">
        <f t="shared" si="10"/>
        <v>9.04540252461425</v>
      </c>
      <c r="X45" s="157">
        <f t="shared" si="11"/>
        <v>45688</v>
      </c>
      <c r="Y45" s="385">
        <f t="shared" si="12"/>
        <v>8.7704031798677189</v>
      </c>
      <c r="Z45" s="385">
        <f t="shared" si="22"/>
        <v>9.2496405789699132</v>
      </c>
      <c r="AA45" s="386">
        <f t="shared" si="13"/>
        <v>10.076691162778424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8.2075610976695884E-2</v>
      </c>
      <c r="AD45" s="231">
        <f>(INDEX(Models!$BJ45:$BT45,,AH45)*(1-AF45)+INDEX(Models!$BJ45:$BT45,,AH45+1)*AF45-ERP_i)*AE45*Ramure*Pc/MaxiM</f>
        <v>3.8397974204636452E-4</v>
      </c>
      <c r="AE45" s="305">
        <f t="shared" si="15"/>
        <v>0.5</v>
      </c>
      <c r="AF45" s="177">
        <f t="shared" si="23"/>
        <v>0.49907731418608137</v>
      </c>
      <c r="AG45" s="811">
        <f t="shared" si="24"/>
        <v>1</v>
      </c>
      <c r="AH45" s="176">
        <f t="shared" si="16"/>
        <v>7</v>
      </c>
      <c r="AI45" s="225">
        <f t="shared" si="17"/>
        <v>1.4990773141860814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13.132119377154009</v>
      </c>
      <c r="C46" s="841"/>
      <c r="D46" s="393">
        <f t="shared" si="0"/>
        <v>13.849995523963855</v>
      </c>
      <c r="E46" s="385">
        <f t="shared" si="1"/>
        <v>14.630488137468436</v>
      </c>
      <c r="F46" s="385">
        <f t="shared" si="2"/>
        <v>14.631478072546654</v>
      </c>
      <c r="G46" s="110">
        <f t="shared" si="21"/>
        <v>0.42828425711661833</v>
      </c>
      <c r="H46" s="414" t="b">
        <f>Wh_hp&gt;='2024'!Maxi_hp</f>
        <v>0</v>
      </c>
      <c r="I46" s="390">
        <f>IF(H46,Wh_hp,'2024'!Maxi_hp)</f>
        <v>27.944973498874095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5.1832229517168149E-2</v>
      </c>
      <c r="M46" s="845"/>
      <c r="N46" s="845"/>
      <c r="O46" s="48">
        <f>IF(t&lt;Tnet,'2024'!Resal+('2024'!Salim-'2024'!Resal)*(1-EXP(('2024'!Tnet-t)/('2024'!Tau_j))),Resal+(Salim-Resal)*(1-EXP((Tnet-t)/(Tau_j))))*Salcycl</f>
        <v>5.3346997459760279E-2</v>
      </c>
      <c r="P46" s="169">
        <f>(INDEX(Models!$BJ46:$BT46,,T46)*(1-R46)+INDEX(Models!$BJ46:$BT46,,T46+1)*R46-ERP_i)*Q46*Ramure*Pc/MaxiM</f>
        <v>3.688133199311919E-4</v>
      </c>
      <c r="Q46" s="305">
        <f t="shared" si="4"/>
        <v>0.5</v>
      </c>
      <c r="R46" s="177">
        <f t="shared" si="5"/>
        <v>0.49917686277652185</v>
      </c>
      <c r="S46" s="811">
        <f t="shared" si="6"/>
        <v>1</v>
      </c>
      <c r="T46" s="176">
        <f t="shared" si="7"/>
        <v>7</v>
      </c>
      <c r="U46" s="251">
        <f t="shared" si="8"/>
        <v>1.4991768627765218</v>
      </c>
      <c r="V46" s="383">
        <f t="shared" si="9"/>
        <v>30.652922871875905</v>
      </c>
      <c r="W46" s="402">
        <f t="shared" si="10"/>
        <v>13.132119377154009</v>
      </c>
      <c r="X46" s="157">
        <f t="shared" si="11"/>
        <v>45689</v>
      </c>
      <c r="Y46" s="385">
        <f t="shared" si="12"/>
        <v>12.733261538984806</v>
      </c>
      <c r="Z46" s="385">
        <f t="shared" si="22"/>
        <v>13.429333853544396</v>
      </c>
      <c r="AA46" s="386">
        <f t="shared" si="13"/>
        <v>14.630488137468436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8.2099399052031868E-2</v>
      </c>
      <c r="AD46" s="231">
        <f>(INDEX(Models!$BJ46:$BT46,,AH46)*(1-AF46)+INDEX(Models!$BJ46:$BT46,,AH46+1)*AF46-ERP_i)*AE46*Ramure*Pc/MaxiM</f>
        <v>3.688133199311919E-4</v>
      </c>
      <c r="AE46" s="305">
        <f t="shared" si="15"/>
        <v>0.5</v>
      </c>
      <c r="AF46" s="177">
        <f t="shared" si="23"/>
        <v>0.49917686277652185</v>
      </c>
      <c r="AG46" s="811">
        <f t="shared" si="24"/>
        <v>1</v>
      </c>
      <c r="AH46" s="176">
        <f t="shared" si="16"/>
        <v>7</v>
      </c>
      <c r="AI46" s="225">
        <f t="shared" si="17"/>
        <v>1.4991768627765218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5.2755493971350642</v>
      </c>
      <c r="C47" s="841"/>
      <c r="D47" s="393">
        <f t="shared" si="0"/>
        <v>5.5640627238896236</v>
      </c>
      <c r="E47" s="385">
        <f t="shared" si="1"/>
        <v>5.877946712401199</v>
      </c>
      <c r="F47" s="385">
        <f t="shared" si="2"/>
        <v>5.877946712401199</v>
      </c>
      <c r="G47" s="110">
        <f t="shared" si="21"/>
        <v>0.17031424333340908</v>
      </c>
      <c r="H47" s="414" t="b">
        <f>Wh_hp&gt;='2024'!Maxi_hp</f>
        <v>0</v>
      </c>
      <c r="I47" s="390">
        <f>IF(H47,Wh_hp,'2024'!Maxi_hp)</f>
        <v>29.540538398179784</v>
      </c>
      <c r="J47" s="85">
        <f>IF(H47,An,'2024'!An_max)</f>
        <v>2020</v>
      </c>
      <c r="K47" s="197">
        <f t="shared" si="3"/>
        <v>45690</v>
      </c>
      <c r="L47" s="147">
        <f>IF(t&lt;Tvie,1-EXP((T0-t)*PertePVj)+'2024'!Pspv,1-EXP((T0-t)*PertePVj)+Pspv)</f>
        <v>5.1852996824750197E-2</v>
      </c>
      <c r="M47" s="845"/>
      <c r="N47" s="845"/>
      <c r="O47" s="48">
        <f>IF(t&lt;Tnet,'2024'!Resal+('2024'!Salim-'2024'!Resal)*(1-EXP(('2024'!Tnet-t)/('2024'!Tau_j))),Resal+(Salim-Resal)*(1-EXP((Tnet-t)/(Tau_j))))*Salcycl</f>
        <v>5.3400278000028126E-2</v>
      </c>
      <c r="P47" s="169">
        <f>(INDEX(Models!$BJ47:$BT47,,T47)*(1-R47)+INDEX(Models!$BJ47:$BT47,,T47+1)*R47-ERP_i)*Q47*Ramure*Pc/MaxiM</f>
        <v>3.5453445006261748E-4</v>
      </c>
      <c r="Q47" s="305">
        <f t="shared" si="4"/>
        <v>0.5</v>
      </c>
      <c r="R47" s="177">
        <f t="shared" si="5"/>
        <v>0.49928054534176658</v>
      </c>
      <c r="S47" s="811">
        <f t="shared" si="6"/>
        <v>1</v>
      </c>
      <c r="T47" s="176">
        <f t="shared" si="7"/>
        <v>7</v>
      </c>
      <c r="U47" s="251">
        <f t="shared" si="8"/>
        <v>1.4992805453417666</v>
      </c>
      <c r="V47" s="383">
        <f t="shared" si="9"/>
        <v>30.964403974170025</v>
      </c>
      <c r="W47" s="402">
        <f t="shared" si="10"/>
        <v>5.2755493971350642</v>
      </c>
      <c r="X47" s="157">
        <f t="shared" si="11"/>
        <v>45690</v>
      </c>
      <c r="Y47" s="385">
        <f t="shared" si="12"/>
        <v>5.1154715634648262</v>
      </c>
      <c r="Z47" s="385">
        <f t="shared" si="22"/>
        <v>5.3952304298105904</v>
      </c>
      <c r="AA47" s="386">
        <f t="shared" si="13"/>
        <v>5.877946712401199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8.2123283215919815E-2</v>
      </c>
      <c r="AD47" s="231">
        <f>(INDEX(Models!$BJ47:$BT47,,AH47)*(1-AF47)+INDEX(Models!$BJ47:$BT47,,AH47+1)*AF47-ERP_i)*AE47*Ramure*Pc/MaxiM</f>
        <v>3.5453445006261748E-4</v>
      </c>
      <c r="AE47" s="305">
        <f t="shared" si="15"/>
        <v>0.5</v>
      </c>
      <c r="AF47" s="177">
        <f t="shared" si="23"/>
        <v>0.49928054534176658</v>
      </c>
      <c r="AG47" s="811">
        <f t="shared" si="24"/>
        <v>1</v>
      </c>
      <c r="AH47" s="176">
        <f t="shared" si="16"/>
        <v>7</v>
      </c>
      <c r="AI47" s="225">
        <f t="shared" si="17"/>
        <v>1.4992805453417666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9.9439536888998745</v>
      </c>
      <c r="C48" s="841"/>
      <c r="D48" s="393">
        <f t="shared" si="0"/>
        <v>10.488006035429684</v>
      </c>
      <c r="E48" s="385">
        <f t="shared" si="1"/>
        <v>11.080287042725002</v>
      </c>
      <c r="F48" s="385">
        <f t="shared" si="2"/>
        <v>11.080383998172456</v>
      </c>
      <c r="G48" s="110">
        <f t="shared" si="21"/>
        <v>0.31784991817113362</v>
      </c>
      <c r="H48" s="414" t="b">
        <f>Wh_hp&gt;='2024'!Maxi_hp</f>
        <v>0</v>
      </c>
      <c r="I48" s="390">
        <f>IF(H48,Wh_hp,'2024'!Maxi_hp)</f>
        <v>27.40840746637317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5.1873763677474871E-2</v>
      </c>
      <c r="M48" s="845"/>
      <c r="N48" s="845"/>
      <c r="O48" s="48">
        <f>IF(t&lt;Tnet,'2024'!Resal+('2024'!Salim-'2024'!Resal)*(1-EXP(('2024'!Tnet-t)/('2024'!Tau_j))),Resal+(Salim-Resal)*(1-EXP((Tnet-t)/(Tau_j))))*Salcycl</f>
        <v>5.345357976842232E-2</v>
      </c>
      <c r="P48" s="169">
        <f>(INDEX(Models!$BJ48:$BT48,,T48)*(1-R48)+INDEX(Models!$BJ48:$BT48,,T48+1)*R48-ERP_i)*Q48*Ramure*Pc/MaxiM</f>
        <v>3.41126549266721E-4</v>
      </c>
      <c r="Q48" s="305">
        <f t="shared" si="4"/>
        <v>0.5</v>
      </c>
      <c r="R48" s="177">
        <f t="shared" si="5"/>
        <v>0.49938853171639974</v>
      </c>
      <c r="S48" s="811">
        <f t="shared" si="6"/>
        <v>1</v>
      </c>
      <c r="T48" s="176">
        <f t="shared" si="7"/>
        <v>7</v>
      </c>
      <c r="U48" s="251">
        <f t="shared" si="8"/>
        <v>1.4993885317163997</v>
      </c>
      <c r="V48" s="383">
        <f t="shared" si="9"/>
        <v>31.274661267923019</v>
      </c>
      <c r="W48" s="402">
        <f t="shared" si="10"/>
        <v>9.9439536888998745</v>
      </c>
      <c r="X48" s="157">
        <f t="shared" si="11"/>
        <v>45691</v>
      </c>
      <c r="Y48" s="385">
        <f t="shared" si="12"/>
        <v>9.6425119299502775</v>
      </c>
      <c r="Z48" s="385">
        <f t="shared" si="22"/>
        <v>10.170071832787226</v>
      </c>
      <c r="AA48" s="386">
        <f t="shared" si="13"/>
        <v>11.080287042725002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8.2147259040134452E-2</v>
      </c>
      <c r="AD48" s="231">
        <f>(INDEX(Models!$BJ48:$BT48,,AH48)*(1-AF48)+INDEX(Models!$BJ48:$BT48,,AH48+1)*AF48-ERP_i)*AE48*Ramure*Pc/MaxiM</f>
        <v>3.41126549266721E-4</v>
      </c>
      <c r="AE48" s="305">
        <f t="shared" si="15"/>
        <v>0.5</v>
      </c>
      <c r="AF48" s="177">
        <f t="shared" si="23"/>
        <v>0.49938853171639974</v>
      </c>
      <c r="AG48" s="811">
        <f t="shared" si="24"/>
        <v>1</v>
      </c>
      <c r="AH48" s="176">
        <f t="shared" si="16"/>
        <v>7</v>
      </c>
      <c r="AI48" s="225">
        <f t="shared" si="17"/>
        <v>1.4993885317163997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9.8466868593157475</v>
      </c>
      <c r="C49" s="841"/>
      <c r="D49" s="393">
        <f t="shared" si="0"/>
        <v>10.385645027549865</v>
      </c>
      <c r="E49" s="385">
        <f t="shared" si="1"/>
        <v>10.972763586418306</v>
      </c>
      <c r="F49" s="385">
        <f t="shared" si="2"/>
        <v>10.97282423065</v>
      </c>
      <c r="G49" s="110">
        <f t="shared" si="21"/>
        <v>0.31167367067181651</v>
      </c>
      <c r="H49" s="414" t="b">
        <f>Wh_hp&gt;='2024'!Maxi_hp</f>
        <v>0</v>
      </c>
      <c r="I49" s="390">
        <f>IF(H49,Wh_hp,'2024'!Maxi_hp)</f>
        <v>27.911356460515268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5.1894530075352163E-2</v>
      </c>
      <c r="M49" s="845"/>
      <c r="N49" s="845"/>
      <c r="O49" s="48">
        <f>IF(t&lt;Tnet,'2024'!Resal+('2024'!Salim-'2024'!Resal)*(1-EXP(('2024'!Tnet-t)/('2024'!Tau_j))),Resal+(Salim-Resal)*(1-EXP((Tnet-t)/(Tau_j))))*Salcycl</f>
        <v>5.3506899537611091E-2</v>
      </c>
      <c r="P49" s="169">
        <f>(INDEX(Models!$BJ49:$BT49,,T49)*(1-R49)+INDEX(Models!$BJ49:$BT49,,T49+1)*R49-ERP_i)*Q49*Ramure*Pc/MaxiM</f>
        <v>3.2857215351068703E-4</v>
      </c>
      <c r="Q49" s="305">
        <f t="shared" si="4"/>
        <v>0.5</v>
      </c>
      <c r="R49" s="177">
        <f t="shared" si="5"/>
        <v>0.49950099855576569</v>
      </c>
      <c r="S49" s="811">
        <f t="shared" si="6"/>
        <v>1</v>
      </c>
      <c r="T49" s="176">
        <f t="shared" si="7"/>
        <v>7</v>
      </c>
      <c r="U49" s="251">
        <f t="shared" si="8"/>
        <v>1.4995009985557657</v>
      </c>
      <c r="V49" s="383">
        <f t="shared" si="9"/>
        <v>31.582731687746602</v>
      </c>
      <c r="W49" s="402">
        <f t="shared" si="10"/>
        <v>9.8466868593157475</v>
      </c>
      <c r="X49" s="157">
        <f t="shared" si="11"/>
        <v>45692</v>
      </c>
      <c r="Y49" s="385">
        <f t="shared" si="12"/>
        <v>9.5484812151273264</v>
      </c>
      <c r="Z49" s="385">
        <f t="shared" si="22"/>
        <v>10.071117104604625</v>
      </c>
      <c r="AA49" s="386">
        <f t="shared" si="13"/>
        <v>10.972763586418306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8.217132126401662E-2</v>
      </c>
      <c r="AD49" s="231">
        <f>(INDEX(Models!$BJ49:$BT49,,AH49)*(1-AF49)+INDEX(Models!$BJ49:$BT49,,AH49+1)*AF49-ERP_i)*AE49*Ramure*Pc/MaxiM</f>
        <v>3.2857215351068703E-4</v>
      </c>
      <c r="AE49" s="305">
        <f t="shared" si="15"/>
        <v>0.5</v>
      </c>
      <c r="AF49" s="177">
        <f t="shared" si="23"/>
        <v>0.49950099855576569</v>
      </c>
      <c r="AG49" s="811">
        <f t="shared" si="24"/>
        <v>1</v>
      </c>
      <c r="AH49" s="176">
        <f t="shared" si="16"/>
        <v>7</v>
      </c>
      <c r="AI49" s="225">
        <f t="shared" si="17"/>
        <v>1.4995009985557657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9.527179834230008</v>
      </c>
      <c r="C50" s="841"/>
      <c r="D50" s="393">
        <f t="shared" si="0"/>
        <v>10.048869889176935</v>
      </c>
      <c r="E50" s="385">
        <f t="shared" si="1"/>
        <v>10.617548253460996</v>
      </c>
      <c r="F50" s="385">
        <f t="shared" si="2"/>
        <v>10.617548253460996</v>
      </c>
      <c r="G50" s="110">
        <f t="shared" si="21"/>
        <v>0.29867865370828772</v>
      </c>
      <c r="H50" s="414" t="b">
        <f>Wh_hp&gt;='2024'!Maxi_hp</f>
        <v>0</v>
      </c>
      <c r="I50" s="390">
        <f>IF(H50,Wh_hp,'2024'!Maxi_hp)</f>
        <v>35.533389786711119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5.1915296018392065E-2</v>
      </c>
      <c r="M50" s="845"/>
      <c r="N50" s="845"/>
      <c r="O50" s="48">
        <f>IF(t&lt;Tnet,'2024'!Resal+('2024'!Salim-'2024'!Resal)*(1-EXP(('2024'!Tnet-t)/('2024'!Tau_j))),Resal+(Salim-Resal)*(1-EXP((Tnet-t)/(Tau_j))))*Salcycl</f>
        <v>5.3560233559446176E-2</v>
      </c>
      <c r="P50" s="169">
        <f>(INDEX(Models!$BJ50:$BT50,,T50)*(1-R50)+INDEX(Models!$BJ50:$BT50,,T50+1)*R50-ERP_i)*Q50*Ramure*Pc/MaxiM</f>
        <v>3.1685322325048003E-4</v>
      </c>
      <c r="Q50" s="305">
        <f t="shared" si="4"/>
        <v>0.5</v>
      </c>
      <c r="R50" s="177">
        <f t="shared" si="5"/>
        <v>0.4996181295965465</v>
      </c>
      <c r="S50" s="811">
        <f t="shared" si="6"/>
        <v>1</v>
      </c>
      <c r="T50" s="176">
        <f t="shared" si="7"/>
        <v>7</v>
      </c>
      <c r="U50" s="251">
        <f t="shared" si="8"/>
        <v>1.4996181295965465</v>
      </c>
      <c r="V50" s="383">
        <f t="shared" si="9"/>
        <v>31.887652493214549</v>
      </c>
      <c r="W50" s="402">
        <f t="shared" si="10"/>
        <v>9.527179834230008</v>
      </c>
      <c r="X50" s="157">
        <f t="shared" si="11"/>
        <v>45693</v>
      </c>
      <c r="Y50" s="385">
        <f t="shared" si="12"/>
        <v>9.2389280107302731</v>
      </c>
      <c r="Z50" s="385">
        <f t="shared" si="22"/>
        <v>9.7448339498888288</v>
      </c>
      <c r="AA50" s="386">
        <f t="shared" si="13"/>
        <v>10.617548253460996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8.2195463843330249E-2</v>
      </c>
      <c r="AD50" s="231">
        <f>(INDEX(Models!$BJ50:$BT50,,AH50)*(1-AF50)+INDEX(Models!$BJ50:$BT50,,AH50+1)*AF50-ERP_i)*AE50*Ramure*Pc/MaxiM</f>
        <v>3.1685322325048003E-4</v>
      </c>
      <c r="AE50" s="305">
        <f t="shared" si="15"/>
        <v>0.5</v>
      </c>
      <c r="AF50" s="177">
        <f t="shared" si="23"/>
        <v>0.4996181295965465</v>
      </c>
      <c r="AG50" s="811">
        <f t="shared" si="24"/>
        <v>1</v>
      </c>
      <c r="AH50" s="176">
        <f t="shared" si="16"/>
        <v>7</v>
      </c>
      <c r="AI50" s="225">
        <f t="shared" si="17"/>
        <v>1.4996181295965465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21.797256920233373</v>
      </c>
      <c r="C51" s="841"/>
      <c r="D51" s="393">
        <f t="shared" si="0"/>
        <v>22.991336380616083</v>
      </c>
      <c r="E51" s="385">
        <f t="shared" si="1"/>
        <v>24.293814700341489</v>
      </c>
      <c r="F51" s="385">
        <f t="shared" si="2"/>
        <v>24.297819592577142</v>
      </c>
      <c r="G51" s="110">
        <f t="shared" si="21"/>
        <v>0.67703866420987902</v>
      </c>
      <c r="H51" s="414" t="b">
        <f>Wh_hp&gt;='2024'!Maxi_hp</f>
        <v>0</v>
      </c>
      <c r="I51" s="390">
        <f>IF(H51,Wh_hp,'2024'!Maxi_hp)</f>
        <v>37.103452774243969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5.1936061506604458E-2</v>
      </c>
      <c r="M51" s="845"/>
      <c r="N51" s="845"/>
      <c r="O51" s="48">
        <f>IF(t&lt;Tnet,'2024'!Resal+('2024'!Salim-'2024'!Resal)*(1-EXP(('2024'!Tnet-t)/('2024'!Tau_j))),Resal+(Salim-Resal)*(1-EXP((Tnet-t)/(Tau_j))))*Salcycl</f>
        <v>5.361357760364819E-2</v>
      </c>
      <c r="P51" s="169">
        <f>(INDEX(Models!$BJ51:$BT51,,T51)*(1-R51)+INDEX(Models!$BJ51:$BT51,,T51+1)*R51-ERP_i)*Q51*Ramure*Pc/MaxiM</f>
        <v>3.0593250358057023E-4</v>
      </c>
      <c r="Q51" s="305">
        <f t="shared" si="4"/>
        <v>0.5</v>
      </c>
      <c r="R51" s="177">
        <f t="shared" si="5"/>
        <v>0.49974011592614054</v>
      </c>
      <c r="S51" s="811">
        <f t="shared" si="6"/>
        <v>1</v>
      </c>
      <c r="T51" s="176">
        <f t="shared" si="7"/>
        <v>7</v>
      </c>
      <c r="U51" s="251">
        <f t="shared" si="8"/>
        <v>1.4997401159261405</v>
      </c>
      <c r="V51" s="383">
        <f t="shared" si="9"/>
        <v>32.190452056103659</v>
      </c>
      <c r="W51" s="402">
        <f t="shared" si="10"/>
        <v>21.797256920233373</v>
      </c>
      <c r="X51" s="157">
        <f t="shared" si="11"/>
        <v>45694</v>
      </c>
      <c r="Y51" s="385">
        <f t="shared" si="12"/>
        <v>21.138398605140026</v>
      </c>
      <c r="Z51" s="385">
        <f t="shared" si="22"/>
        <v>22.296385029401982</v>
      </c>
      <c r="AA51" s="386">
        <f t="shared" si="13"/>
        <v>24.293814700341489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8.2219680012271951E-2</v>
      </c>
      <c r="AD51" s="231">
        <f>(INDEX(Models!$BJ51:$BT51,,AH51)*(1-AF51)+INDEX(Models!$BJ51:$BT51,,AH51+1)*AF51-ERP_i)*AE51*Ramure*Pc/MaxiM</f>
        <v>3.0593250358057023E-4</v>
      </c>
      <c r="AE51" s="305">
        <f t="shared" si="15"/>
        <v>0.5</v>
      </c>
      <c r="AF51" s="177">
        <f t="shared" si="23"/>
        <v>0.49974011592614054</v>
      </c>
      <c r="AG51" s="811">
        <f t="shared" si="24"/>
        <v>1</v>
      </c>
      <c r="AH51" s="176">
        <f t="shared" si="16"/>
        <v>7</v>
      </c>
      <c r="AI51" s="225">
        <f t="shared" si="17"/>
        <v>1.4997401159261405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9.3534390141628538</v>
      </c>
      <c r="C52" s="841"/>
      <c r="D52" s="393">
        <f t="shared" si="0"/>
        <v>9.8660475345509049</v>
      </c>
      <c r="E52" s="385">
        <f t="shared" si="1"/>
        <v>10.425555035631145</v>
      </c>
      <c r="F52" s="385">
        <f t="shared" si="2"/>
        <v>10.425555035631145</v>
      </c>
      <c r="G52" s="110">
        <f t="shared" si="21"/>
        <v>0.28777561277804758</v>
      </c>
      <c r="H52" s="414" t="b">
        <f>Wh_hp&gt;='2024'!Maxi_hp</f>
        <v>0</v>
      </c>
      <c r="I52" s="390">
        <f>IF(H52,Wh_hp,'2024'!Maxi_hp)</f>
        <v>25.358898167859724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5.1956826539999446E-2</v>
      </c>
      <c r="M52" s="845"/>
      <c r="N52" s="845"/>
      <c r="O52" s="48">
        <f>IF(t&lt;Tnet,'2024'!Resal+('2024'!Salim-'2024'!Resal)*(1-EXP(('2024'!Tnet-t)/('2024'!Tau_j))),Resal+(Salim-Resal)*(1-EXP((Tnet-t)/(Tau_j))))*Salcycl</f>
        <v>5.3666927004656043E-2</v>
      </c>
      <c r="P52" s="169">
        <f>(INDEX(Models!$BJ52:$BT52,,T52)*(1-R52)+INDEX(Models!$BJ52:$BT52,,T52+1)*R52-ERP_i)*Q52*Ramure*Pc/MaxiM</f>
        <v>2.9648915174136235E-4</v>
      </c>
      <c r="Q52" s="305">
        <f t="shared" si="4"/>
        <v>0.5</v>
      </c>
      <c r="R52" s="177">
        <f t="shared" si="5"/>
        <v>0.49986715626104217</v>
      </c>
      <c r="S52" s="811">
        <f t="shared" si="6"/>
        <v>1</v>
      </c>
      <c r="T52" s="176">
        <f t="shared" si="7"/>
        <v>7</v>
      </c>
      <c r="U52" s="251">
        <f t="shared" si="8"/>
        <v>1.4998671562610422</v>
      </c>
      <c r="V52" s="383">
        <f t="shared" si="9"/>
        <v>32.492905603420809</v>
      </c>
      <c r="W52" s="402">
        <f t="shared" si="10"/>
        <v>9.3534390141628538</v>
      </c>
      <c r="X52" s="157">
        <f t="shared" si="11"/>
        <v>45695</v>
      </c>
      <c r="Y52" s="385">
        <f t="shared" si="12"/>
        <v>9.0709871322536593</v>
      </c>
      <c r="Z52" s="385">
        <f t="shared" si="22"/>
        <v>9.5681160797223743</v>
      </c>
      <c r="AA52" s="386">
        <f t="shared" si="13"/>
        <v>10.425555035631145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8.2243962357718456E-2</v>
      </c>
      <c r="AD52" s="231">
        <f>(INDEX(Models!$BJ52:$BT52,,AH52)*(1-AF52)+INDEX(Models!$BJ52:$BT52,,AH52+1)*AF52-ERP_i)*AE52*Ramure*Pc/MaxiM</f>
        <v>2.9648915174136235E-4</v>
      </c>
      <c r="AE52" s="305">
        <f t="shared" si="15"/>
        <v>0.5</v>
      </c>
      <c r="AF52" s="177">
        <f t="shared" si="23"/>
        <v>0.49986715626104217</v>
      </c>
      <c r="AG52" s="811">
        <f t="shared" si="24"/>
        <v>1</v>
      </c>
      <c r="AH52" s="176">
        <f t="shared" si="16"/>
        <v>7</v>
      </c>
      <c r="AI52" s="225">
        <f t="shared" si="17"/>
        <v>1.4998671562610422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32.785290302371656</v>
      </c>
      <c r="C53" s="841"/>
      <c r="D53" s="393">
        <f t="shared" si="0"/>
        <v>34.582822088620823</v>
      </c>
      <c r="E53" s="385">
        <f t="shared" si="1"/>
        <v>36.546088051642734</v>
      </c>
      <c r="F53" s="385">
        <f t="shared" si="2"/>
        <v>36.55662317898171</v>
      </c>
      <c r="G53" s="110">
        <f t="shared" si="21"/>
        <v>0.99969735429841711</v>
      </c>
      <c r="H53" s="414" t="b">
        <f>Wh_hp&gt;='2024'!Maxi_hp</f>
        <v>0</v>
      </c>
      <c r="I53" s="390">
        <f>IF(H53,Wh_hp,'2024'!Maxi_hp)</f>
        <v>36.556625907813178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5.1977591118586908E-2</v>
      </c>
      <c r="M53" s="845"/>
      <c r="N53" s="845"/>
      <c r="O53" s="48">
        <f>IF(t&lt;Tnet,'2024'!Resal+('2024'!Salim-'2024'!Resal)*(1-EXP(('2024'!Tnet-t)/('2024'!Tau_j))),Resal+(Salim-Resal)*(1-EXP((Tnet-t)/(Tau_j))))*Salcycl</f>
        <v>5.3720276716009985E-2</v>
      </c>
      <c r="P53" s="169">
        <f>(INDEX(Models!$BJ53:$BT53,,T53)*(1-R53)+INDEX(Models!$BJ53:$BT53,,T53+1)*R53-ERP_i)*Q53*Ramure*Pc/MaxiM</f>
        <v>2.8831115646375913E-4</v>
      </c>
      <c r="Q53" s="305">
        <f t="shared" si="4"/>
        <v>0.5</v>
      </c>
      <c r="R53" s="177">
        <f t="shared" si="5"/>
        <v>0.49999945723440842</v>
      </c>
      <c r="S53" s="811">
        <f t="shared" si="6"/>
        <v>1</v>
      </c>
      <c r="T53" s="176">
        <f t="shared" si="7"/>
        <v>7</v>
      </c>
      <c r="U53" s="251">
        <f t="shared" si="8"/>
        <v>1.4999994572344084</v>
      </c>
      <c r="V53" s="383">
        <f t="shared" si="9"/>
        <v>32.795211545943964</v>
      </c>
      <c r="W53" s="402">
        <f t="shared" si="10"/>
        <v>32.785290302371656</v>
      </c>
      <c r="X53" s="157">
        <f t="shared" si="11"/>
        <v>45696</v>
      </c>
      <c r="Y53" s="385">
        <f t="shared" si="12"/>
        <v>31.796200815272211</v>
      </c>
      <c r="Z53" s="385">
        <f t="shared" si="22"/>
        <v>33.53950340982874</v>
      </c>
      <c r="AA53" s="386">
        <f t="shared" si="13"/>
        <v>36.546088051642734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8.2268302904689311E-2</v>
      </c>
      <c r="AD53" s="231">
        <f>(INDEX(Models!$BJ53:$BT53,,AH53)*(1-AF53)+INDEX(Models!$BJ53:$BT53,,AH53+1)*AF53-ERP_i)*AE53*Ramure*Pc/MaxiM</f>
        <v>2.8831115646375913E-4</v>
      </c>
      <c r="AE53" s="305">
        <f t="shared" si="15"/>
        <v>0.5</v>
      </c>
      <c r="AF53" s="177">
        <f t="shared" si="23"/>
        <v>0.49999945723440842</v>
      </c>
      <c r="AG53" s="811">
        <f t="shared" si="24"/>
        <v>1</v>
      </c>
      <c r="AH53" s="176">
        <f t="shared" si="16"/>
        <v>7</v>
      </c>
      <c r="AI53" s="225">
        <f t="shared" si="17"/>
        <v>1.4999994572344084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33.001653001642801</v>
      </c>
      <c r="C54" s="841"/>
      <c r="D54" s="393">
        <f t="shared" si="0"/>
        <v>34.811809857229072</v>
      </c>
      <c r="E54" s="385">
        <f t="shared" si="1"/>
        <v>36.790149422476908</v>
      </c>
      <c r="F54" s="385">
        <f t="shared" si="2"/>
        <v>36.800460812152302</v>
      </c>
      <c r="G54" s="110">
        <f t="shared" si="21"/>
        <v>0.99710105082709155</v>
      </c>
      <c r="H54" s="414" t="b">
        <f>Wh_hp&gt;='2024'!Maxi_hp</f>
        <v>0</v>
      </c>
      <c r="I54" s="390">
        <f>IF(H54,Wh_hp,'2024'!Maxi_hp)</f>
        <v>36.800486280884854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5.1998355242376726E-2</v>
      </c>
      <c r="M54" s="845"/>
      <c r="N54" s="845"/>
      <c r="O54" s="48">
        <f>IF(t&lt;Tnet,'2024'!Resal+('2024'!Salim-'2024'!Resal)*(1-EXP(('2024'!Tnet-t)/('2024'!Tau_j))),Resal+(Salim-Resal)*(1-EXP((Tnet-t)/(Tau_j))))*Salcycl</f>
        <v>5.3773621371572086E-2</v>
      </c>
      <c r="P54" s="169">
        <f>(INDEX(Models!$BJ54:$BT54,,T54)*(1-R54)+INDEX(Models!$BJ54:$BT54,,T54+1)*R54-ERP_i)*Q54*Ramure*Pc/MaxiM</f>
        <v>2.8136205121274732E-4</v>
      </c>
      <c r="Q54" s="305">
        <f t="shared" si="4"/>
        <v>0.5</v>
      </c>
      <c r="R54" s="177">
        <f t="shared" si="5"/>
        <v>0.50013723369299945</v>
      </c>
      <c r="S54" s="811">
        <f t="shared" si="6"/>
        <v>1</v>
      </c>
      <c r="T54" s="176">
        <f t="shared" si="7"/>
        <v>7</v>
      </c>
      <c r="U54" s="251">
        <f t="shared" si="8"/>
        <v>1.5001372336929994</v>
      </c>
      <c r="V54" s="383">
        <f t="shared" si="9"/>
        <v>33.097562704105975</v>
      </c>
      <c r="W54" s="402">
        <f t="shared" si="10"/>
        <v>33.001653001642801</v>
      </c>
      <c r="X54" s="157">
        <f t="shared" si="11"/>
        <v>45697</v>
      </c>
      <c r="Y54" s="385">
        <f t="shared" si="12"/>
        <v>32.006989849081094</v>
      </c>
      <c r="Z54" s="385">
        <f t="shared" si="22"/>
        <v>33.762588942832856</v>
      </c>
      <c r="AA54" s="386">
        <f t="shared" si="13"/>
        <v>36.790149422476908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8.2292693211905493E-2</v>
      </c>
      <c r="AD54" s="231">
        <f>(INDEX(Models!$BJ54:$BT54,,AH54)*(1-AF54)+INDEX(Models!$BJ54:$BT54,,AH54+1)*AF54-ERP_i)*AE54*Ramure*Pc/MaxiM</f>
        <v>2.8136205121274732E-4</v>
      </c>
      <c r="AE54" s="305">
        <f t="shared" si="15"/>
        <v>0.5</v>
      </c>
      <c r="AF54" s="177">
        <f t="shared" si="23"/>
        <v>0.50013723369299945</v>
      </c>
      <c r="AG54" s="811">
        <f t="shared" si="24"/>
        <v>1</v>
      </c>
      <c r="AH54" s="176">
        <f t="shared" si="16"/>
        <v>7</v>
      </c>
      <c r="AI54" s="225">
        <f t="shared" si="17"/>
        <v>1.5001372336929994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30.679807449046148</v>
      </c>
      <c r="C55" s="841"/>
      <c r="D55" s="393">
        <f t="shared" si="0"/>
        <v>32.363318776866848</v>
      </c>
      <c r="E55" s="385">
        <f t="shared" si="1"/>
        <v>34.204439621227209</v>
      </c>
      <c r="F55" s="385">
        <f t="shared" si="2"/>
        <v>34.212771773262048</v>
      </c>
      <c r="G55" s="110">
        <f t="shared" si="21"/>
        <v>0.9185234700577285</v>
      </c>
      <c r="H55" s="414" t="b">
        <f>Wh_hp&gt;='2024'!Maxi_hp</f>
        <v>0</v>
      </c>
      <c r="I55" s="390">
        <f>IF(H55,Wh_hp,'2024'!Maxi_hp)</f>
        <v>34.213417729613788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5.2019118911379003E-2</v>
      </c>
      <c r="M55" s="845"/>
      <c r="N55" s="845"/>
      <c r="O55" s="48">
        <f>IF(t&lt;Tnet,'2024'!Resal+('2024'!Salim-'2024'!Resal)*(1-EXP(('2024'!Tnet-t)/('2024'!Tau_j))),Resal+(Salim-Resal)*(1-EXP((Tnet-t)/(Tau_j))))*Salcycl</f>
        <v>5.3826955352829726E-2</v>
      </c>
      <c r="P55" s="169">
        <f>(INDEX(Models!$BJ55:$BT55,,T55)*(1-R55)+INDEX(Models!$BJ55:$BT55,,T55+1)*R55-ERP_i)*Q55*Ramure*Pc/MaxiM</f>
        <v>2.7560690552519028E-4</v>
      </c>
      <c r="Q55" s="305">
        <f t="shared" si="4"/>
        <v>0.5</v>
      </c>
      <c r="R55" s="177">
        <f t="shared" si="5"/>
        <v>0.50028070900366206</v>
      </c>
      <c r="S55" s="811">
        <f t="shared" si="6"/>
        <v>1</v>
      </c>
      <c r="T55" s="176">
        <f t="shared" si="7"/>
        <v>7</v>
      </c>
      <c r="U55" s="251">
        <f t="shared" si="8"/>
        <v>1.5002807090036621</v>
      </c>
      <c r="V55" s="383">
        <f t="shared" si="9"/>
        <v>33.400151851639734</v>
      </c>
      <c r="W55" s="402">
        <f t="shared" si="10"/>
        <v>30.679807449046148</v>
      </c>
      <c r="X55" s="157">
        <f t="shared" si="11"/>
        <v>45698</v>
      </c>
      <c r="Y55" s="385">
        <f t="shared" si="12"/>
        <v>29.75600930467705</v>
      </c>
      <c r="Z55" s="385">
        <f t="shared" si="22"/>
        <v>31.388828507286469</v>
      </c>
      <c r="AA55" s="386">
        <f t="shared" si="13"/>
        <v>34.204439621227209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8.2317124476244147E-2</v>
      </c>
      <c r="AD55" s="231">
        <f>(INDEX(Models!$BJ55:$BT55,,AH55)*(1-AF55)+INDEX(Models!$BJ55:$BT55,,AH55+1)*AF55-ERP_i)*AE55*Ramure*Pc/MaxiM</f>
        <v>2.7560690552519028E-4</v>
      </c>
      <c r="AE55" s="305">
        <f t="shared" si="15"/>
        <v>0.5</v>
      </c>
      <c r="AF55" s="177">
        <f t="shared" si="23"/>
        <v>0.50028070900366206</v>
      </c>
      <c r="AG55" s="811">
        <f t="shared" si="24"/>
        <v>1</v>
      </c>
      <c r="AH55" s="176">
        <f t="shared" si="16"/>
        <v>7</v>
      </c>
      <c r="AI55" s="225">
        <f t="shared" si="17"/>
        <v>1.5002807090036621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17.127100477553622</v>
      </c>
      <c r="C56" s="841"/>
      <c r="D56" s="393">
        <f t="shared" si="0"/>
        <v>18.067321772942925</v>
      </c>
      <c r="E56" s="385">
        <f t="shared" si="1"/>
        <v>19.096231961663449</v>
      </c>
      <c r="F56" s="385">
        <f t="shared" si="2"/>
        <v>19.097771184524841</v>
      </c>
      <c r="G56" s="110">
        <f t="shared" si="21"/>
        <v>0.50807796665997129</v>
      </c>
      <c r="H56" s="414" t="b">
        <f>Wh_hp&gt;='2024'!Maxi_hp</f>
        <v>0</v>
      </c>
      <c r="I56" s="390">
        <f>IF(H56,Wh_hp,'2024'!Maxi_hp)</f>
        <v>30.625815125737557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5.2039882125603731E-2</v>
      </c>
      <c r="M56" s="845"/>
      <c r="N56" s="845"/>
      <c r="O56" s="48">
        <f>IF(t&lt;Tnet,'2024'!Resal+('2024'!Salim-'2024'!Resal)*(1-EXP(('2024'!Tnet-t)/('2024'!Tau_j))),Resal+(Salim-Resal)*(1-EXP((Tnet-t)/(Tau_j))))*Salcycl</f>
        <v>5.3880272861479013E-2</v>
      </c>
      <c r="P56" s="169">
        <f>(INDEX(Models!$BJ56:$BT56,,T56)*(1-R56)+INDEX(Models!$BJ56:$BT56,,T56+1)*R56-ERP_i)*Q56*Ramure*Pc/MaxiM</f>
        <v>2.710121935646186E-4</v>
      </c>
      <c r="Q56" s="305">
        <f t="shared" si="4"/>
        <v>0.5</v>
      </c>
      <c r="R56" s="177">
        <f t="shared" si="5"/>
        <v>0.5004301153695232</v>
      </c>
      <c r="S56" s="811">
        <f t="shared" si="6"/>
        <v>1</v>
      </c>
      <c r="T56" s="176">
        <f t="shared" si="7"/>
        <v>7</v>
      </c>
      <c r="U56" s="251">
        <f t="shared" si="8"/>
        <v>1.5004301153695232</v>
      </c>
      <c r="V56" s="383">
        <f t="shared" si="9"/>
        <v>33.703171713821312</v>
      </c>
      <c r="W56" s="402">
        <f t="shared" si="10"/>
        <v>17.127100477553622</v>
      </c>
      <c r="X56" s="157">
        <f t="shared" si="11"/>
        <v>45699</v>
      </c>
      <c r="Y56" s="385">
        <f t="shared" si="12"/>
        <v>16.61188048579649</v>
      </c>
      <c r="Z56" s="385">
        <f t="shared" si="22"/>
        <v>17.52381790390632</v>
      </c>
      <c r="AA56" s="386">
        <f t="shared" si="13"/>
        <v>19.096231961663449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8.2341587644820399E-2</v>
      </c>
      <c r="AD56" s="231">
        <f>(INDEX(Models!$BJ56:$BT56,,AH56)*(1-AF56)+INDEX(Models!$BJ56:$BT56,,AH56+1)*AF56-ERP_i)*AE56*Ramure*Pc/MaxiM</f>
        <v>2.710121935646186E-4</v>
      </c>
      <c r="AE56" s="305">
        <f t="shared" si="15"/>
        <v>0.5</v>
      </c>
      <c r="AF56" s="177">
        <f t="shared" si="23"/>
        <v>0.5004301153695232</v>
      </c>
      <c r="AG56" s="811">
        <f t="shared" si="24"/>
        <v>1</v>
      </c>
      <c r="AH56" s="176">
        <f t="shared" si="16"/>
        <v>7</v>
      </c>
      <c r="AI56" s="225">
        <f t="shared" si="17"/>
        <v>1.5004301153695232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26.021102934553795</v>
      </c>
      <c r="C57" s="841"/>
      <c r="D57" s="393">
        <f t="shared" si="0"/>
        <v>27.450176843220831</v>
      </c>
      <c r="E57" s="385">
        <f t="shared" si="1"/>
        <v>29.015062700287938</v>
      </c>
      <c r="F57" s="385">
        <f t="shared" si="2"/>
        <v>29.020222291544336</v>
      </c>
      <c r="G57" s="110">
        <f t="shared" si="21"/>
        <v>0.76510449690877391</v>
      </c>
      <c r="H57" s="414" t="b">
        <f>Wh_hp&gt;='2024'!Maxi_hp</f>
        <v>0</v>
      </c>
      <c r="I57" s="390">
        <f>IF(H57,Wh_hp,'2024'!Maxi_hp)</f>
        <v>38.463815462769276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5.2060644885060681E-2</v>
      </c>
      <c r="M57" s="845"/>
      <c r="N57" s="845"/>
      <c r="O57" s="48">
        <f>IF(t&lt;Tnet,'2024'!Resal+('2024'!Salim-'2024'!Resal)*(1-EXP(('2024'!Tnet-t)/('2024'!Tau_j))),Resal+(Salim-Resal)*(1-EXP((Tnet-t)/(Tau_j))))*Salcycl</f>
        <v>5.3933567996445393E-2</v>
      </c>
      <c r="P57" s="169">
        <f>(INDEX(Models!$BJ57:$BT57,,T57)*(1-R57)+INDEX(Models!$BJ57:$BT57,,T57+1)*R57-ERP_i)*Q57*Ramure*Pc/MaxiM</f>
        <v>2.6754567273936704E-4</v>
      </c>
      <c r="Q57" s="305">
        <f t="shared" si="4"/>
        <v>0.5</v>
      </c>
      <c r="R57" s="177">
        <f t="shared" si="5"/>
        <v>0.50058569415604603</v>
      </c>
      <c r="S57" s="811">
        <f t="shared" si="6"/>
        <v>1</v>
      </c>
      <c r="T57" s="176">
        <f t="shared" si="7"/>
        <v>7</v>
      </c>
      <c r="U57" s="251">
        <f t="shared" si="8"/>
        <v>1.500585694156046</v>
      </c>
      <c r="V57" s="383">
        <f t="shared" si="9"/>
        <v>34.006814964267477</v>
      </c>
      <c r="W57" s="402">
        <f t="shared" si="10"/>
        <v>26.021102934553795</v>
      </c>
      <c r="X57" s="157">
        <f t="shared" si="11"/>
        <v>45700</v>
      </c>
      <c r="Y57" s="385">
        <f t="shared" si="12"/>
        <v>25.239080522346541</v>
      </c>
      <c r="Z57" s="385">
        <f t="shared" si="22"/>
        <v>26.625205912340519</v>
      </c>
      <c r="AA57" s="386">
        <f t="shared" si="13"/>
        <v>29.015062700287938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8.2366073533375495E-2</v>
      </c>
      <c r="AD57" s="231">
        <f>(INDEX(Models!$BJ57:$BT57,,AH57)*(1-AF57)+INDEX(Models!$BJ57:$BT57,,AH57+1)*AF57-ERP_i)*AE57*Ramure*Pc/MaxiM</f>
        <v>2.6754567273936704E-4</v>
      </c>
      <c r="AE57" s="305">
        <f t="shared" si="15"/>
        <v>0.5</v>
      </c>
      <c r="AF57" s="177">
        <f t="shared" si="23"/>
        <v>0.50058569415604603</v>
      </c>
      <c r="AG57" s="811">
        <f t="shared" si="24"/>
        <v>1</v>
      </c>
      <c r="AH57" s="176">
        <f t="shared" si="16"/>
        <v>7</v>
      </c>
      <c r="AI57" s="225">
        <f t="shared" si="17"/>
        <v>1.500585694156046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30.760333538693665</v>
      </c>
      <c r="C58" s="841"/>
      <c r="D58" s="393">
        <f t="shared" si="0"/>
        <v>32.45039581669166</v>
      </c>
      <c r="E58" s="385">
        <f t="shared" si="1"/>
        <v>34.302266619105225</v>
      </c>
      <c r="F58" s="385">
        <f t="shared" si="2"/>
        <v>34.310053552324547</v>
      </c>
      <c r="G58" s="110">
        <f t="shared" si="21"/>
        <v>0.89647377880200951</v>
      </c>
      <c r="H58" s="414" t="b">
        <f>Wh_hp&gt;='2024'!Maxi_hp</f>
        <v>0</v>
      </c>
      <c r="I58" s="390">
        <f>IF(H58,Wh_hp,'2024'!Maxi_hp)</f>
        <v>39.79279391744533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5.2081407189759843E-2</v>
      </c>
      <c r="M58" s="845"/>
      <c r="N58" s="845"/>
      <c r="O58" s="48">
        <f>IF(t&lt;Tnet,'2024'!Resal+('2024'!Salim-'2024'!Resal)*(1-EXP(('2024'!Tnet-t)/('2024'!Tau_j))),Resal+(Salim-Resal)*(1-EXP((Tnet-t)/(Tau_j))))*Salcycl</f>
        <v>5.3986834834469297E-2</v>
      </c>
      <c r="P58" s="169">
        <f>(INDEX(Models!$BJ58:$BT58,,T58)*(1-R58)+INDEX(Models!$BJ58:$BT58,,T58+1)*R58-ERP_i)*Q58*Ramure*Pc/MaxiM</f>
        <v>2.6633364321079317E-4</v>
      </c>
      <c r="Q58" s="305">
        <f t="shared" si="4"/>
        <v>0.5</v>
      </c>
      <c r="R58" s="177">
        <f t="shared" si="5"/>
        <v>0.50074769622708515</v>
      </c>
      <c r="S58" s="811">
        <f t="shared" si="6"/>
        <v>1</v>
      </c>
      <c r="T58" s="176">
        <f t="shared" si="7"/>
        <v>7</v>
      </c>
      <c r="U58" s="251">
        <f t="shared" si="8"/>
        <v>1.5007476962270851</v>
      </c>
      <c r="V58" s="383">
        <f t="shared" si="9"/>
        <v>34.311234501277575</v>
      </c>
      <c r="W58" s="402">
        <f t="shared" si="10"/>
        <v>30.760333538693665</v>
      </c>
      <c r="X58" s="157">
        <f t="shared" si="11"/>
        <v>45701</v>
      </c>
      <c r="Y58" s="385">
        <f t="shared" si="12"/>
        <v>29.836764512025191</v>
      </c>
      <c r="Z58" s="385">
        <f t="shared" si="22"/>
        <v>31.476083218886799</v>
      </c>
      <c r="AA58" s="386">
        <f t="shared" si="13"/>
        <v>34.302266619105225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8.239057294961194E-2</v>
      </c>
      <c r="AD58" s="231">
        <f>(INDEX(Models!$BJ58:$BT58,,AH58)*(1-AF58)+INDEX(Models!$BJ58:$BT58,,AH58+1)*AF58-ERP_i)*AE58*Ramure*Pc/MaxiM</f>
        <v>2.6633364321079317E-4</v>
      </c>
      <c r="AE58" s="305">
        <f t="shared" si="15"/>
        <v>0.5</v>
      </c>
      <c r="AF58" s="177">
        <f t="shared" si="23"/>
        <v>0.50074769622708515</v>
      </c>
      <c r="AG58" s="811">
        <f t="shared" si="24"/>
        <v>1</v>
      </c>
      <c r="AH58" s="176">
        <f t="shared" si="16"/>
        <v>7</v>
      </c>
      <c r="AI58" s="225">
        <f t="shared" si="17"/>
        <v>1.5007476962270851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15.065919038831039</v>
      </c>
      <c r="C59" s="841"/>
      <c r="D59" s="393">
        <f t="shared" si="0"/>
        <v>15.894032612742851</v>
      </c>
      <c r="E59" s="385">
        <f t="shared" si="1"/>
        <v>16.802014617006407</v>
      </c>
      <c r="F59" s="385">
        <f t="shared" si="2"/>
        <v>16.802881142360679</v>
      </c>
      <c r="G59" s="110">
        <f t="shared" si="21"/>
        <v>0.43512819021111071</v>
      </c>
      <c r="H59" s="414" t="b">
        <f>Wh_hp&gt;='2024'!Maxi_hp</f>
        <v>0</v>
      </c>
      <c r="I59" s="390">
        <f>IF(H59,Wh_hp,'2024'!Maxi_hp)</f>
        <v>40.073233720515397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5.2102169039711321E-2</v>
      </c>
      <c r="M59" s="845"/>
      <c r="N59" s="845"/>
      <c r="O59" s="48">
        <f>IF(t&lt;Tnet,'2024'!Resal+('2024'!Salim-'2024'!Resal)*(1-EXP(('2024'!Tnet-t)/('2024'!Tau_j))),Resal+(Salim-Resal)*(1-EXP((Tnet-t)/(Tau_j))))*Salcycl</f>
        <v>5.404006751336405E-2</v>
      </c>
      <c r="P59" s="169">
        <f>(INDEX(Models!$BJ59:$BT59,,T59)*(1-R59)+INDEX(Models!$BJ59:$BT59,,T59+1)*R59-ERP_i)*Q59*Ramure*Pc/MaxiM</f>
        <v>2.6696135811802587E-4</v>
      </c>
      <c r="Q59" s="305">
        <f t="shared" si="4"/>
        <v>0.5</v>
      </c>
      <c r="R59" s="177">
        <f t="shared" si="5"/>
        <v>0.50091638229106694</v>
      </c>
      <c r="S59" s="811">
        <f t="shared" si="6"/>
        <v>1</v>
      </c>
      <c r="T59" s="176">
        <f t="shared" si="7"/>
        <v>7</v>
      </c>
      <c r="U59" s="251">
        <f t="shared" si="8"/>
        <v>1.5009163822910669</v>
      </c>
      <c r="V59" s="383">
        <f t="shared" si="9"/>
        <v>34.616635148591179</v>
      </c>
      <c r="W59" s="402">
        <f t="shared" si="10"/>
        <v>15.065919038831039</v>
      </c>
      <c r="X59" s="157">
        <f t="shared" si="11"/>
        <v>45702</v>
      </c>
      <c r="Y59" s="385">
        <f t="shared" si="12"/>
        <v>14.614001808238081</v>
      </c>
      <c r="Z59" s="385">
        <f t="shared" si="22"/>
        <v>15.417275291613493</v>
      </c>
      <c r="AA59" s="386">
        <f t="shared" si="13"/>
        <v>16.802014617006407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8.2415076820093358E-2</v>
      </c>
      <c r="AD59" s="231">
        <f>(INDEX(Models!$BJ59:$BT59,,AH59)*(1-AF59)+INDEX(Models!$BJ59:$BT59,,AH59+1)*AF59-ERP_i)*AE59*Ramure*Pc/MaxiM</f>
        <v>2.6696135811802587E-4</v>
      </c>
      <c r="AE59" s="305">
        <f t="shared" si="15"/>
        <v>0.5</v>
      </c>
      <c r="AF59" s="177">
        <f t="shared" si="23"/>
        <v>0.50091638229106694</v>
      </c>
      <c r="AG59" s="811">
        <f t="shared" si="24"/>
        <v>1</v>
      </c>
      <c r="AH59" s="176">
        <f t="shared" si="16"/>
        <v>7</v>
      </c>
      <c r="AI59" s="225">
        <f t="shared" si="17"/>
        <v>1.5009163822910669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18.942278346917835</v>
      </c>
      <c r="C60" s="841"/>
      <c r="D60" s="393">
        <f t="shared" si="0"/>
        <v>19.983897654164515</v>
      </c>
      <c r="E60" s="385">
        <f t="shared" si="1"/>
        <v>21.126710293725786</v>
      </c>
      <c r="F60" s="385">
        <f t="shared" si="2"/>
        <v>21.12868121087406</v>
      </c>
      <c r="G60" s="110">
        <f t="shared" si="21"/>
        <v>0.54230245915957009</v>
      </c>
      <c r="H60" s="414" t="b">
        <f>Wh_hp&gt;='2024'!Maxi_hp</f>
        <v>0</v>
      </c>
      <c r="I60" s="390">
        <f>IF(H60,Wh_hp,'2024'!Maxi_hp)</f>
        <v>40.326165520091415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5.2122930434925108E-2</v>
      </c>
      <c r="M60" s="845"/>
      <c r="N60" s="845"/>
      <c r="O60" s="48">
        <f>IF(t&lt;Tnet,'2024'!Resal+('2024'!Salim-'2024'!Resal)*(1-EXP(('2024'!Tnet-t)/('2024'!Tau_j))),Resal+(Salim-Resal)*(1-EXP((Tnet-t)/(Tau_j))))*Salcycl</f>
        <v>5.4093260317043479E-2</v>
      </c>
      <c r="P60" s="169">
        <f>(INDEX(Models!$BJ60:$BT60,,T60)*(1-R60)+INDEX(Models!$BJ60:$BT60,,T60+1)*R60-ERP_i)*Q60*Ramure*Pc/MaxiM</f>
        <v>2.6937979323633272E-4</v>
      </c>
      <c r="Q60" s="305">
        <f t="shared" si="4"/>
        <v>0.5</v>
      </c>
      <c r="R60" s="177">
        <f t="shared" si="5"/>
        <v>0.50109202325739743</v>
      </c>
      <c r="S60" s="811">
        <f t="shared" si="6"/>
        <v>1</v>
      </c>
      <c r="T60" s="176">
        <f t="shared" si="7"/>
        <v>7</v>
      </c>
      <c r="U60" s="251">
        <f t="shared" si="8"/>
        <v>1.5010920232573974</v>
      </c>
      <c r="V60" s="383">
        <f t="shared" si="9"/>
        <v>34.923209391398288</v>
      </c>
      <c r="W60" s="402">
        <f t="shared" si="10"/>
        <v>18.942278346917835</v>
      </c>
      <c r="X60" s="157">
        <f t="shared" si="11"/>
        <v>45703</v>
      </c>
      <c r="Y60" s="385">
        <f t="shared" si="12"/>
        <v>18.374628508621129</v>
      </c>
      <c r="Z60" s="385">
        <f t="shared" si="22"/>
        <v>19.385033248090036</v>
      </c>
      <c r="AA60" s="386">
        <f t="shared" si="13"/>
        <v>21.126710293725786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8.2439576319319058E-2</v>
      </c>
      <c r="AD60" s="231">
        <f>(INDEX(Models!$BJ60:$BT60,,AH60)*(1-AF60)+INDEX(Models!$BJ60:$BT60,,AH60+1)*AF60-ERP_i)*AE60*Ramure*Pc/MaxiM</f>
        <v>2.6937979323633272E-4</v>
      </c>
      <c r="AE60" s="305">
        <f t="shared" si="15"/>
        <v>0.5</v>
      </c>
      <c r="AF60" s="177">
        <f t="shared" si="23"/>
        <v>0.50109202325739743</v>
      </c>
      <c r="AG60" s="811">
        <f t="shared" si="24"/>
        <v>1</v>
      </c>
      <c r="AH60" s="176">
        <f t="shared" si="16"/>
        <v>7</v>
      </c>
      <c r="AI60" s="225">
        <f t="shared" si="17"/>
        <v>1.5010920232573974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9.9228970776009788</v>
      </c>
      <c r="C61" s="841"/>
      <c r="D61" s="393">
        <f t="shared" si="0"/>
        <v>10.468777796077392</v>
      </c>
      <c r="E61" s="385">
        <f t="shared" si="1"/>
        <v>11.068074257983811</v>
      </c>
      <c r="F61" s="385">
        <f t="shared" si="2"/>
        <v>11.068074257983811</v>
      </c>
      <c r="G61" s="110">
        <f t="shared" si="21"/>
        <v>0.28157419936131028</v>
      </c>
      <c r="H61" s="414" t="b">
        <f>Wh_hp&gt;='2024'!Maxi_hp</f>
        <v>0</v>
      </c>
      <c r="I61" s="390">
        <f>IF(H61,Wh_hp,'2024'!Maxi_hp)</f>
        <v>40.772992464506032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5.2143691375410861E-2</v>
      </c>
      <c r="M61" s="845"/>
      <c r="N61" s="845"/>
      <c r="O61" s="48">
        <f>IF(t&lt;Tnet,'2024'!Resal+('2024'!Salim-'2024'!Resal)*(1-EXP(('2024'!Tnet-t)/('2024'!Tau_j))),Resal+(Salim-Resal)*(1-EXP((Tnet-t)/(Tau_j))))*Salcycl</f>
        <v>5.4146407761415653E-2</v>
      </c>
      <c r="P61" s="169">
        <f>(INDEX(Models!$BJ61:$BT61,,T61)*(1-R61)+INDEX(Models!$BJ61:$BT61,,T61+1)*R61-ERP_i)*Q61*Ramure*Pc/MaxiM</f>
        <v>2.7354136353427124E-4</v>
      </c>
      <c r="Q61" s="305">
        <f t="shared" si="4"/>
        <v>0.5</v>
      </c>
      <c r="R61" s="177">
        <f t="shared" si="5"/>
        <v>0.50127490060318536</v>
      </c>
      <c r="S61" s="811">
        <f t="shared" si="6"/>
        <v>1</v>
      </c>
      <c r="T61" s="176">
        <f t="shared" si="7"/>
        <v>7</v>
      </c>
      <c r="U61" s="251">
        <f t="shared" si="8"/>
        <v>1.5012749006031854</v>
      </c>
      <c r="V61" s="383">
        <f t="shared" si="9"/>
        <v>35.231149648319814</v>
      </c>
      <c r="W61" s="402">
        <f t="shared" si="10"/>
        <v>9.9228970776009788</v>
      </c>
      <c r="X61" s="157">
        <f t="shared" si="11"/>
        <v>45704</v>
      </c>
      <c r="Y61" s="385">
        <f t="shared" si="12"/>
        <v>9.6258181420097415</v>
      </c>
      <c r="Z61" s="385">
        <f t="shared" si="22"/>
        <v>10.1553558850893</v>
      </c>
      <c r="AA61" s="386">
        <f t="shared" si="13"/>
        <v>11.068074257983811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8.2464062999589555E-2</v>
      </c>
      <c r="AD61" s="231">
        <f>(INDEX(Models!$BJ61:$BT61,,AH61)*(1-AF61)+INDEX(Models!$BJ61:$BT61,,AH61+1)*AF61-ERP_i)*AE61*Ramure*Pc/MaxiM</f>
        <v>2.7354136353427124E-4</v>
      </c>
      <c r="AE61" s="305">
        <f t="shared" si="15"/>
        <v>0.5</v>
      </c>
      <c r="AF61" s="177">
        <f t="shared" si="23"/>
        <v>0.50127490060318536</v>
      </c>
      <c r="AG61" s="811">
        <f t="shared" si="24"/>
        <v>1</v>
      </c>
      <c r="AH61" s="176">
        <f t="shared" si="16"/>
        <v>7</v>
      </c>
      <c r="AI61" s="225">
        <f t="shared" si="17"/>
        <v>1.5012749006031854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10.735771217528535</v>
      </c>
      <c r="C62" s="841"/>
      <c r="D62" s="393">
        <f t="shared" si="0"/>
        <v>11.326618038972475</v>
      </c>
      <c r="E62" s="385">
        <f t="shared" si="1"/>
        <v>11.975694763347766</v>
      </c>
      <c r="F62" s="385">
        <f t="shared" si="2"/>
        <v>11.975704658996984</v>
      </c>
      <c r="G62" s="110">
        <f t="shared" si="21"/>
        <v>0.30198606487620067</v>
      </c>
      <c r="H62" s="414" t="b">
        <f>Wh_hp&gt;='2024'!Maxi_hp</f>
        <v>0</v>
      </c>
      <c r="I62" s="390">
        <f>IF(H62,Wh_hp,'2024'!Maxi_hp)</f>
        <v>41.216821259374889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5.2164451861178907E-2</v>
      </c>
      <c r="M62" s="845"/>
      <c r="N62" s="845"/>
      <c r="O62" s="48">
        <f>IF(t&lt;Tnet,'2024'!Resal+('2024'!Salim-'2024'!Resal)*(1-EXP(('2024'!Tnet-t)/('2024'!Tau_j))),Resal+(Salim-Resal)*(1-EXP((Tnet-t)/(Tau_j))))*Salcycl</f>
        <v>5.4199504680248194E-2</v>
      </c>
      <c r="P62" s="169">
        <f>(INDEX(Models!$BJ62:$BT62,,T62)*(1-R62)+INDEX(Models!$BJ62:$BT62,,T62+1)*R62-ERP_i)*Q62*Ramure*Pc/MaxiM</f>
        <v>2.7939979130863418E-4</v>
      </c>
      <c r="Q62" s="305">
        <f t="shared" si="4"/>
        <v>0.5</v>
      </c>
      <c r="R62" s="177">
        <f t="shared" si="5"/>
        <v>0.50146530675034184</v>
      </c>
      <c r="S62" s="811">
        <f t="shared" si="6"/>
        <v>1</v>
      </c>
      <c r="T62" s="176">
        <f t="shared" si="7"/>
        <v>7</v>
      </c>
      <c r="U62" s="251">
        <f t="shared" si="8"/>
        <v>1.5014653067503418</v>
      </c>
      <c r="V62" s="383">
        <f t="shared" si="9"/>
        <v>35.540648268981585</v>
      </c>
      <c r="W62" s="402">
        <f t="shared" si="10"/>
        <v>10.735771217528535</v>
      </c>
      <c r="X62" s="157">
        <f t="shared" si="11"/>
        <v>45705</v>
      </c>
      <c r="Y62" s="385">
        <f t="shared" si="12"/>
        <v>10.414662808608053</v>
      </c>
      <c r="Z62" s="385">
        <f t="shared" si="22"/>
        <v>10.987837319520654</v>
      </c>
      <c r="AA62" s="386">
        <f t="shared" si="13"/>
        <v>11.975694763347766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8.2488528920301243E-2</v>
      </c>
      <c r="AD62" s="231">
        <f>(INDEX(Models!$BJ62:$BT62,,AH62)*(1-AF62)+INDEX(Models!$BJ62:$BT62,,AH62+1)*AF62-ERP_i)*AE62*Ramure*Pc/MaxiM</f>
        <v>2.7939979130863418E-4</v>
      </c>
      <c r="AE62" s="305">
        <f t="shared" si="15"/>
        <v>0.5</v>
      </c>
      <c r="AF62" s="177">
        <f t="shared" si="23"/>
        <v>0.50146530675034184</v>
      </c>
      <c r="AG62" s="811">
        <f t="shared" si="24"/>
        <v>1</v>
      </c>
      <c r="AH62" s="176">
        <f t="shared" si="16"/>
        <v>7</v>
      </c>
      <c r="AI62" s="225">
        <f t="shared" si="17"/>
        <v>1.5014653067503418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27.340381316784153</v>
      </c>
      <c r="C63" s="841"/>
      <c r="D63" s="393">
        <f t="shared" si="0"/>
        <v>28.845700299071204</v>
      </c>
      <c r="E63" s="385">
        <f t="shared" si="1"/>
        <v>30.500426077309083</v>
      </c>
      <c r="F63" s="385">
        <f t="shared" si="2"/>
        <v>30.506210157342689</v>
      </c>
      <c r="G63" s="110">
        <f t="shared" si="21"/>
        <v>0.76251808959835166</v>
      </c>
      <c r="H63" s="414" t="b">
        <f>Wh_hp&gt;='2024'!Maxi_hp</f>
        <v>0</v>
      </c>
      <c r="I63" s="390">
        <f>IF(H63,Wh_hp,'2024'!Maxi_hp)</f>
        <v>40.739227562492772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5.2185211892238903E-2</v>
      </c>
      <c r="M63" s="845"/>
      <c r="N63" s="845"/>
      <c r="O63" s="48">
        <f>IF(t&lt;Tnet,'2024'!Resal+('2024'!Salim-'2024'!Resal)*(1-EXP(('2024'!Tnet-t)/('2024'!Tau_j))),Resal+(Salim-Resal)*(1-EXP((Tnet-t)/(Tau_j))))*Salcycl</f>
        <v>5.4252546310129039E-2</v>
      </c>
      <c r="P63" s="169">
        <f>(INDEX(Models!$BJ63:$BT63,,T63)*(1-R63)+INDEX(Models!$BJ63:$BT63,,T63+1)*R63-ERP_i)*Q63*Ramure*Pc/MaxiM</f>
        <v>2.8690998839580087E-4</v>
      </c>
      <c r="Q63" s="305">
        <f t="shared" si="4"/>
        <v>0.5</v>
      </c>
      <c r="R63" s="177">
        <f t="shared" si="5"/>
        <v>0.50166354545309</v>
      </c>
      <c r="S63" s="811">
        <f t="shared" si="6"/>
        <v>1</v>
      </c>
      <c r="T63" s="176">
        <f t="shared" si="7"/>
        <v>7</v>
      </c>
      <c r="U63" s="251">
        <f t="shared" si="8"/>
        <v>1.50166354545309</v>
      </c>
      <c r="V63" s="383">
        <f t="shared" si="9"/>
        <v>35.851897528648031</v>
      </c>
      <c r="W63" s="402">
        <f t="shared" si="10"/>
        <v>27.340381316784153</v>
      </c>
      <c r="X63" s="157">
        <f t="shared" si="11"/>
        <v>45706</v>
      </c>
      <c r="Y63" s="385">
        <f t="shared" si="12"/>
        <v>26.523407748759137</v>
      </c>
      <c r="Z63" s="385">
        <f t="shared" si="22"/>
        <v>27.983745433758287</v>
      </c>
      <c r="AA63" s="386">
        <f t="shared" si="13"/>
        <v>30.500426077309083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8.2512966775342589E-2</v>
      </c>
      <c r="AD63" s="231">
        <f>(INDEX(Models!$BJ63:$BT63,,AH63)*(1-AF63)+INDEX(Models!$BJ63:$BT63,,AH63+1)*AF63-ERP_i)*AE63*Ramure*Pc/MaxiM</f>
        <v>2.8690998839580087E-4</v>
      </c>
      <c r="AE63" s="305">
        <f t="shared" si="15"/>
        <v>0.5</v>
      </c>
      <c r="AF63" s="177">
        <f t="shared" si="23"/>
        <v>0.50166354545309</v>
      </c>
      <c r="AG63" s="811">
        <f t="shared" si="24"/>
        <v>1</v>
      </c>
      <c r="AH63" s="176">
        <f t="shared" si="16"/>
        <v>7</v>
      </c>
      <c r="AI63" s="225">
        <f t="shared" si="17"/>
        <v>1.50166354545309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19.814042075491084</v>
      </c>
      <c r="C64" s="841"/>
      <c r="D64" s="393">
        <f t="shared" si="0"/>
        <v>20.905430377307631</v>
      </c>
      <c r="E64" s="385">
        <f t="shared" si="1"/>
        <v>22.105903126784913</v>
      </c>
      <c r="F64" s="385">
        <f t="shared" si="2"/>
        <v>22.108220658750287</v>
      </c>
      <c r="G64" s="110">
        <f t="shared" si="21"/>
        <v>0.54777282220486356</v>
      </c>
      <c r="H64" s="414" t="b">
        <f>Wh_hp&gt;='2024'!Maxi_hp</f>
        <v>0</v>
      </c>
      <c r="I64" s="390">
        <f>IF(H64,Wh_hp,'2024'!Maxi_hp)</f>
        <v>38.479174675338513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5.2205971468600954E-2</v>
      </c>
      <c r="M64" s="845"/>
      <c r="N64" s="845"/>
      <c r="O64" s="48">
        <f>IF(t&lt;Tnet,'2024'!Resal+('2024'!Salim-'2024'!Resal)*(1-EXP(('2024'!Tnet-t)/('2024'!Tau_j))),Resal+(Salim-Resal)*(1-EXP((Tnet-t)/(Tau_j))))*Salcycl</f>
        <v>5.4305528373672821E-2</v>
      </c>
      <c r="P64" s="169">
        <f>(INDEX(Models!$BJ64:$BT64,,T64)*(1-R64)+INDEX(Models!$BJ64:$BT64,,T64+1)*R64-ERP_i)*Q64*Ramure*Pc/MaxiM</f>
        <v>2.9602795214036642E-4</v>
      </c>
      <c r="Q64" s="305">
        <f t="shared" si="4"/>
        <v>0.5</v>
      </c>
      <c r="R64" s="177">
        <f t="shared" si="5"/>
        <v>0.50186993219589904</v>
      </c>
      <c r="S64" s="811">
        <f t="shared" si="6"/>
        <v>1</v>
      </c>
      <c r="T64" s="176">
        <f t="shared" si="7"/>
        <v>7</v>
      </c>
      <c r="U64" s="251">
        <f t="shared" si="8"/>
        <v>1.501869932195899</v>
      </c>
      <c r="V64" s="383">
        <f t="shared" si="9"/>
        <v>36.165089624304422</v>
      </c>
      <c r="W64" s="402">
        <f t="shared" si="10"/>
        <v>19.814042075491084</v>
      </c>
      <c r="X64" s="157">
        <f t="shared" si="11"/>
        <v>45707</v>
      </c>
      <c r="Y64" s="385">
        <f t="shared" si="12"/>
        <v>19.222532962369488</v>
      </c>
      <c r="Z64" s="385">
        <f t="shared" si="22"/>
        <v>20.281340020842592</v>
      </c>
      <c r="AA64" s="386">
        <f t="shared" si="13"/>
        <v>22.105903126784913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8.2537370017312886E-2</v>
      </c>
      <c r="AD64" s="231">
        <f>(INDEX(Models!$BJ64:$BT64,,AH64)*(1-AF64)+INDEX(Models!$BJ64:$BT64,,AH64+1)*AF64-ERP_i)*AE64*Ramure*Pc/MaxiM</f>
        <v>2.9602795214036642E-4</v>
      </c>
      <c r="AE64" s="305">
        <f t="shared" si="15"/>
        <v>0.5</v>
      </c>
      <c r="AF64" s="177">
        <f t="shared" si="23"/>
        <v>0.50186993219589904</v>
      </c>
      <c r="AG64" s="811">
        <f t="shared" si="24"/>
        <v>1</v>
      </c>
      <c r="AH64" s="176">
        <f t="shared" si="16"/>
        <v>7</v>
      </c>
      <c r="AI64" s="225">
        <f t="shared" si="17"/>
        <v>1.501869932195899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18.899625527638495</v>
      </c>
      <c r="C65" s="841"/>
      <c r="D65" s="393">
        <f t="shared" si="0"/>
        <v>19.941083102511659</v>
      </c>
      <c r="E65" s="385">
        <f t="shared" si="1"/>
        <v>21.087359203523693</v>
      </c>
      <c r="F65" s="385">
        <f t="shared" si="2"/>
        <v>21.089374302884778</v>
      </c>
      <c r="G65" s="110">
        <f t="shared" si="21"/>
        <v>0.51796446653239936</v>
      </c>
      <c r="H65" s="414" t="b">
        <f>Wh_hp&gt;='2024'!Maxi_hp</f>
        <v>0</v>
      </c>
      <c r="I65" s="390">
        <f>IF(H65,Wh_hp,'2024'!Maxi_hp)</f>
        <v>40.655100676030095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5.222673059027505E-2</v>
      </c>
      <c r="M65" s="845"/>
      <c r="N65" s="845"/>
      <c r="O65" s="48">
        <f>IF(t&lt;Tnet,'2024'!Resal+('2024'!Salim-'2024'!Resal)*(1-EXP(('2024'!Tnet-t)/('2024'!Tau_j))),Resal+(Salim-Resal)*(1-EXP((Tnet-t)/(Tau_j))))*Salcycl</f>
        <v>5.4358447160158925E-2</v>
      </c>
      <c r="P65" s="169">
        <f>(INDEX(Models!$BJ65:$BT65,,T65)*(1-R65)+INDEX(Models!$BJ65:$BT65,,T65+1)*R65-ERP_i)*Q65*Ramure*Pc/MaxiM</f>
        <v>3.0670946171089289E-4</v>
      </c>
      <c r="Q65" s="305">
        <f t="shared" si="4"/>
        <v>0.5</v>
      </c>
      <c r="R65" s="177">
        <f t="shared" si="5"/>
        <v>0.50208479460180921</v>
      </c>
      <c r="S65" s="811">
        <f t="shared" si="6"/>
        <v>1</v>
      </c>
      <c r="T65" s="176">
        <f t="shared" si="7"/>
        <v>7</v>
      </c>
      <c r="U65" s="251">
        <f t="shared" si="8"/>
        <v>1.5020847946018092</v>
      </c>
      <c r="V65" s="383">
        <f t="shared" si="9"/>
        <v>36.480561005793888</v>
      </c>
      <c r="W65" s="402">
        <f t="shared" si="10"/>
        <v>18.899625527638495</v>
      </c>
      <c r="X65" s="157">
        <f t="shared" si="11"/>
        <v>45708</v>
      </c>
      <c r="Y65" s="385">
        <f t="shared" si="12"/>
        <v>18.335953659589727</v>
      </c>
      <c r="Z65" s="385">
        <f t="shared" si="22"/>
        <v>19.346350283765013</v>
      </c>
      <c r="AA65" s="386">
        <f t="shared" si="13"/>
        <v>21.087359203523693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8.2561732977344926E-2</v>
      </c>
      <c r="AD65" s="231">
        <f>(INDEX(Models!$BJ65:$BT65,,AH65)*(1-AF65)+INDEX(Models!$BJ65:$BT65,,AH65+1)*AF65-ERP_i)*AE65*Ramure*Pc/MaxiM</f>
        <v>3.0670946171089289E-4</v>
      </c>
      <c r="AE65" s="305">
        <f t="shared" si="15"/>
        <v>0.5</v>
      </c>
      <c r="AF65" s="177">
        <f t="shared" si="23"/>
        <v>0.50208479460180921</v>
      </c>
      <c r="AG65" s="811">
        <f t="shared" si="24"/>
        <v>1</v>
      </c>
      <c r="AH65" s="176">
        <f t="shared" si="16"/>
        <v>7</v>
      </c>
      <c r="AI65" s="225">
        <f t="shared" si="17"/>
        <v>1.5020847946018092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20.893297622155472</v>
      </c>
      <c r="C66" s="841"/>
      <c r="D66" s="393">
        <f t="shared" si="0"/>
        <v>22.045098678537862</v>
      </c>
      <c r="E66" s="385">
        <f t="shared" si="1"/>
        <v>23.313623216180986</v>
      </c>
      <c r="F66" s="385">
        <f t="shared" si="2"/>
        <v>23.316463194989815</v>
      </c>
      <c r="G66" s="110">
        <f t="shared" si="21"/>
        <v>0.56766653108195064</v>
      </c>
      <c r="H66" s="414" t="b">
        <f>Wh_hp&gt;='2024'!Maxi_hp</f>
        <v>0</v>
      </c>
      <c r="I66" s="390">
        <f>IF(H66,Wh_hp,'2024'!Maxi_hp)</f>
        <v>38.737384022485628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5.2247489257271185E-2</v>
      </c>
      <c r="M66" s="845"/>
      <c r="N66" s="845"/>
      <c r="O66" s="48">
        <f>IF(t&lt;Tnet,'2024'!Resal+('2024'!Salim-'2024'!Resal)*(1-EXP(('2024'!Tnet-t)/('2024'!Tau_j))),Resal+(Salim-Resal)*(1-EXP((Tnet-t)/(Tau_j))))*Salcycl</f>
        <v>5.4411299602830268E-2</v>
      </c>
      <c r="P66" s="169">
        <f>(INDEX(Models!$BJ66:$BT66,,T66)*(1-R66)+INDEX(Models!$BJ66:$BT66,,T66+1)*R66-ERP_i)*Q66*Ramure*Pc/MaxiM</f>
        <v>3.1840164000518232E-4</v>
      </c>
      <c r="Q66" s="305">
        <f t="shared" si="4"/>
        <v>0.5</v>
      </c>
      <c r="R66" s="177">
        <f t="shared" si="5"/>
        <v>0.50230847285109603</v>
      </c>
      <c r="S66" s="811">
        <f t="shared" si="6"/>
        <v>1</v>
      </c>
      <c r="T66" s="176">
        <f t="shared" si="7"/>
        <v>7</v>
      </c>
      <c r="U66" s="251">
        <f t="shared" si="8"/>
        <v>1.502308472851096</v>
      </c>
      <c r="V66" s="383">
        <f t="shared" si="9"/>
        <v>36.798346126710584</v>
      </c>
      <c r="W66" s="402">
        <f t="shared" si="10"/>
        <v>20.893297622155472</v>
      </c>
      <c r="X66" s="157">
        <f t="shared" si="11"/>
        <v>45709</v>
      </c>
      <c r="Y66" s="385">
        <f t="shared" si="12"/>
        <v>20.27076113700782</v>
      </c>
      <c r="Z66" s="385">
        <f t="shared" si="22"/>
        <v>21.388243140735291</v>
      </c>
      <c r="AA66" s="386">
        <f t="shared" si="13"/>
        <v>23.313623216180986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8.2586050979384901E-2</v>
      </c>
      <c r="AD66" s="231">
        <f>(INDEX(Models!$BJ66:$BT66,,AH66)*(1-AF66)+INDEX(Models!$BJ66:$BT66,,AH66+1)*AF66-ERP_i)*AE66*Ramure*Pc/MaxiM</f>
        <v>3.1840164000518232E-4</v>
      </c>
      <c r="AE66" s="305">
        <f t="shared" si="15"/>
        <v>0.5</v>
      </c>
      <c r="AF66" s="177">
        <f t="shared" si="23"/>
        <v>0.50230847285109603</v>
      </c>
      <c r="AG66" s="811">
        <f t="shared" si="24"/>
        <v>1</v>
      </c>
      <c r="AH66" s="176">
        <f t="shared" si="16"/>
        <v>7</v>
      </c>
      <c r="AI66" s="225">
        <f t="shared" si="17"/>
        <v>1.502308472851096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32.293419459823326</v>
      </c>
      <c r="C67" s="841"/>
      <c r="D67" s="393">
        <f t="shared" si="0"/>
        <v>34.074430210448639</v>
      </c>
      <c r="E67" s="385">
        <f t="shared" si="1"/>
        <v>36.03716115962041</v>
      </c>
      <c r="F67" s="385">
        <f t="shared" si="2"/>
        <v>36.046860883561742</v>
      </c>
      <c r="G67" s="110">
        <f t="shared" si="21"/>
        <v>0.86996285614596314</v>
      </c>
      <c r="H67" s="414" t="b">
        <f>Wh_hp&gt;='2024'!Maxi_hp</f>
        <v>0</v>
      </c>
      <c r="I67" s="390">
        <f>IF(H67,Wh_hp,'2024'!Maxi_hp)</f>
        <v>40.196901311599696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5.2268247469599127E-2</v>
      </c>
      <c r="M67" s="845"/>
      <c r="N67" s="845"/>
      <c r="O67" s="48">
        <f>IF(t&lt;Tnet,'2024'!Resal+('2024'!Salim-'2024'!Resal)*(1-EXP(('2024'!Tnet-t)/('2024'!Tau_j))),Resal+(Salim-Resal)*(1-EXP((Tnet-t)/(Tau_j))))*Salcycl</f>
        <v>5.446408335213182E-2</v>
      </c>
      <c r="P67" s="169">
        <f>(INDEX(Models!$BJ67:$BT67,,T67)*(1-R67)+INDEX(Models!$BJ67:$BT67,,T67+1)*R67-ERP_i)*Q67*Ramure*Pc/MaxiM</f>
        <v>3.3044769184399999E-4</v>
      </c>
      <c r="Q67" s="305">
        <f t="shared" si="4"/>
        <v>0.5</v>
      </c>
      <c r="R67" s="177">
        <f t="shared" si="5"/>
        <v>0.50254132011016517</v>
      </c>
      <c r="S67" s="811">
        <f t="shared" si="6"/>
        <v>1</v>
      </c>
      <c r="T67" s="176">
        <f t="shared" si="7"/>
        <v>7</v>
      </c>
      <c r="U67" s="251">
        <f t="shared" si="8"/>
        <v>1.5025413201101652</v>
      </c>
      <c r="V67" s="383">
        <f t="shared" si="9"/>
        <v>37.1181793980194</v>
      </c>
      <c r="W67" s="402">
        <f t="shared" si="10"/>
        <v>32.293419459823326</v>
      </c>
      <c r="X67" s="157">
        <f t="shared" si="11"/>
        <v>45710</v>
      </c>
      <c r="Y67" s="385">
        <f t="shared" si="12"/>
        <v>31.332125208865051</v>
      </c>
      <c r="Z67" s="385">
        <f t="shared" si="22"/>
        <v>33.060119728192809</v>
      </c>
      <c r="AA67" s="386">
        <f t="shared" si="13"/>
        <v>36.03716115962041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8.2610320447865107E-2</v>
      </c>
      <c r="AD67" s="231">
        <f>(INDEX(Models!$BJ67:$BT67,,AH67)*(1-AF67)+INDEX(Models!$BJ67:$BT67,,AH67+1)*AF67-ERP_i)*AE67*Ramure*Pc/MaxiM</f>
        <v>3.3044769184399999E-4</v>
      </c>
      <c r="AE67" s="305">
        <f t="shared" si="15"/>
        <v>0.5</v>
      </c>
      <c r="AF67" s="177">
        <f t="shared" si="23"/>
        <v>0.50254132011016517</v>
      </c>
      <c r="AG67" s="811">
        <f t="shared" si="24"/>
        <v>1</v>
      </c>
      <c r="AH67" s="176">
        <f t="shared" si="16"/>
        <v>7</v>
      </c>
      <c r="AI67" s="225">
        <f t="shared" si="17"/>
        <v>1.5025413201101652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33.414212485220325</v>
      </c>
      <c r="C68" s="841"/>
      <c r="D68" s="393">
        <f t="shared" si="0"/>
        <v>35.257808202629676</v>
      </c>
      <c r="E68" s="385">
        <f t="shared" si="1"/>
        <v>37.290782199988705</v>
      </c>
      <c r="F68" s="385">
        <f t="shared" si="2"/>
        <v>37.301606318311919</v>
      </c>
      <c r="G68" s="110">
        <f t="shared" si="21"/>
        <v>0.89243205005984905</v>
      </c>
      <c r="H68" s="414" t="b">
        <f>Wh_hp&gt;='2024'!Maxi_hp</f>
        <v>0</v>
      </c>
      <c r="I68" s="390">
        <f>IF(H68,Wh_hp,'2024'!Maxi_hp)</f>
        <v>40.899659056750139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5.2289005227268981E-2</v>
      </c>
      <c r="M68" s="845"/>
      <c r="N68" s="845"/>
      <c r="O68" s="48">
        <f>IF(t&lt;Tnet,'2024'!Resal+('2024'!Salim-'2024'!Resal)*(1-EXP(('2024'!Tnet-t)/('2024'!Tau_j))),Resal+(Salim-Resal)*(1-EXP((Tnet-t)/(Tau_j))))*Salcycl</f>
        <v>5.4516796844225182E-2</v>
      </c>
      <c r="P68" s="169">
        <f>(INDEX(Models!$BJ68:$BT68,,T68)*(1-R68)+INDEX(Models!$BJ68:$BT68,,T68+1)*R68-ERP_i)*Q68*Ramure*Pc/MaxiM</f>
        <v>3.428388499959401E-4</v>
      </c>
      <c r="Q68" s="305">
        <f t="shared" si="4"/>
        <v>0.5</v>
      </c>
      <c r="R68" s="177">
        <f t="shared" si="5"/>
        <v>0.50278370297054309</v>
      </c>
      <c r="S68" s="811">
        <f t="shared" si="6"/>
        <v>1</v>
      </c>
      <c r="T68" s="176">
        <f t="shared" si="7"/>
        <v>7</v>
      </c>
      <c r="U68" s="251">
        <f t="shared" si="8"/>
        <v>1.5027837029705431</v>
      </c>
      <c r="V68" s="383">
        <f t="shared" si="9"/>
        <v>37.439771871561469</v>
      </c>
      <c r="W68" s="402">
        <f t="shared" si="10"/>
        <v>33.414212485220325</v>
      </c>
      <c r="X68" s="157">
        <f t="shared" si="11"/>
        <v>45711</v>
      </c>
      <c r="Y68" s="385">
        <f t="shared" si="12"/>
        <v>32.420506612792011</v>
      </c>
      <c r="Z68" s="385">
        <f t="shared" si="22"/>
        <v>34.209275603652479</v>
      </c>
      <c r="AA68" s="386">
        <f t="shared" si="13"/>
        <v>37.290782199988705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8.2634539007796978E-2</v>
      </c>
      <c r="AD68" s="231">
        <f>(INDEX(Models!$BJ68:$BT68,,AH68)*(1-AF68)+INDEX(Models!$BJ68:$BT68,,AH68+1)*AF68-ERP_i)*AE68*Ramure*Pc/MaxiM</f>
        <v>3.428388499959401E-4</v>
      </c>
      <c r="AE68" s="305">
        <f t="shared" si="15"/>
        <v>0.5</v>
      </c>
      <c r="AF68" s="177">
        <f t="shared" si="23"/>
        <v>0.50278370297054309</v>
      </c>
      <c r="AG68" s="811">
        <f t="shared" si="24"/>
        <v>1</v>
      </c>
      <c r="AH68" s="176">
        <f t="shared" si="16"/>
        <v>7</v>
      </c>
      <c r="AI68" s="225">
        <f t="shared" si="17"/>
        <v>1.5027837029705431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20.542911512584393</v>
      </c>
      <c r="C69" s="841"/>
      <c r="D69" s="393">
        <f t="shared" si="0"/>
        <v>21.676820864413514</v>
      </c>
      <c r="E69" s="385">
        <f t="shared" si="1"/>
        <v>22.927988333522222</v>
      </c>
      <c r="F69" s="385">
        <f t="shared" si="2"/>
        <v>22.930830382349065</v>
      </c>
      <c r="G69" s="110">
        <f t="shared" si="21"/>
        <v>0.5438721118013734</v>
      </c>
      <c r="H69" s="414" t="b">
        <f>Wh_hp&gt;='2024'!Maxi_hp</f>
        <v>0</v>
      </c>
      <c r="I69" s="390">
        <f>IF(H69,Wh_hp,'2024'!Maxi_hp)</f>
        <v>41.03378848015074</v>
      </c>
      <c r="J69" s="85">
        <f>IF(H69,An,'2024'!An_max)</f>
        <v>2019</v>
      </c>
      <c r="K69" s="197">
        <f t="shared" si="3"/>
        <v>45712</v>
      </c>
      <c r="L69" s="147">
        <f>IF(t&lt;Tvie,1-EXP((T0-t)*PertePVj)+'2024'!Pspv,1-EXP((T0-t)*PertePVj)+Pspv)</f>
        <v>5.2309762530290627E-2</v>
      </c>
      <c r="M69" s="845"/>
      <c r="N69" s="845"/>
      <c r="O69" s="48">
        <f>IF(t&lt;Tnet,'2024'!Resal+('2024'!Salim-'2024'!Resal)*(1-EXP(('2024'!Tnet-t)/('2024'!Tau_j))),Resal+(Salim-Resal)*(1-EXP((Tnet-t)/(Tau_j))))*Salcycl</f>
        <v>5.4569439364177408E-2</v>
      </c>
      <c r="P69" s="169">
        <f>(INDEX(Models!$BJ69:$BT69,,T69)*(1-R69)+INDEX(Models!$BJ69:$BT69,,T69+1)*R69-ERP_i)*Q69*Ramure*Pc/MaxiM</f>
        <v>3.5556850850508906E-4</v>
      </c>
      <c r="Q69" s="305">
        <f t="shared" si="4"/>
        <v>0.5</v>
      </c>
      <c r="R69" s="177">
        <f t="shared" si="5"/>
        <v>0.50303600189776132</v>
      </c>
      <c r="S69" s="811">
        <f t="shared" si="6"/>
        <v>1</v>
      </c>
      <c r="T69" s="176">
        <f t="shared" si="7"/>
        <v>7</v>
      </c>
      <c r="U69" s="251">
        <f t="shared" si="8"/>
        <v>1.5030360018977613</v>
      </c>
      <c r="V69" s="383">
        <f t="shared" si="9"/>
        <v>37.762834597855615</v>
      </c>
      <c r="W69" s="402">
        <f t="shared" si="10"/>
        <v>20.542911512584393</v>
      </c>
      <c r="X69" s="157">
        <f t="shared" si="11"/>
        <v>45712</v>
      </c>
      <c r="Y69" s="385">
        <f t="shared" si="12"/>
        <v>19.932570220186076</v>
      </c>
      <c r="Z69" s="385">
        <f t="shared" si="22"/>
        <v>21.032790496402228</v>
      </c>
      <c r="AA69" s="386">
        <f t="shared" si="13"/>
        <v>22.927988333522222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8.2658705576410807E-2</v>
      </c>
      <c r="AD69" s="231">
        <f>(INDEX(Models!$BJ69:$BT69,,AH69)*(1-AF69)+INDEX(Models!$BJ69:$BT69,,AH69+1)*AF69-ERP_i)*AE69*Ramure*Pc/MaxiM</f>
        <v>3.5556850850508906E-4</v>
      </c>
      <c r="AE69" s="305">
        <f t="shared" si="15"/>
        <v>0.5</v>
      </c>
      <c r="AF69" s="177">
        <f t="shared" si="23"/>
        <v>0.50303600189776132</v>
      </c>
      <c r="AG69" s="811">
        <f t="shared" si="24"/>
        <v>1</v>
      </c>
      <c r="AH69" s="176">
        <f t="shared" si="16"/>
        <v>7</v>
      </c>
      <c r="AI69" s="225">
        <f t="shared" si="17"/>
        <v>1.5030360018977613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29.920501218802343</v>
      </c>
      <c r="C70" s="841"/>
      <c r="D70" s="393">
        <f t="shared" si="0"/>
        <v>31.572717947174361</v>
      </c>
      <c r="E70" s="385">
        <f t="shared" si="1"/>
        <v>33.396925164315341</v>
      </c>
      <c r="F70" s="385">
        <f t="shared" si="2"/>
        <v>33.405467430568457</v>
      </c>
      <c r="G70" s="110">
        <f t="shared" si="21"/>
        <v>0.78549268904100833</v>
      </c>
      <c r="H70" s="414" t="b">
        <f>Wh_hp&gt;='2024'!Maxi_hp</f>
        <v>0</v>
      </c>
      <c r="I70" s="390">
        <f>IF(H70,Wh_hp,'2024'!Maxi_hp)</f>
        <v>42.028165575806206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5.2330519378674056E-2</v>
      </c>
      <c r="M70" s="845"/>
      <c r="N70" s="845"/>
      <c r="O70" s="48">
        <f>IF(t&lt;Tnet,'2024'!Resal+('2024'!Salim-'2024'!Resal)*(1-EXP(('2024'!Tnet-t)/('2024'!Tau_j))),Resal+(Salim-Resal)*(1-EXP((Tnet-t)/(Tau_j))))*Salcycl</f>
        <v>5.4622011103290097E-2</v>
      </c>
      <c r="P70" s="169">
        <f>(INDEX(Models!$BJ70:$BT70,,T70)*(1-R70)+INDEX(Models!$BJ70:$BT70,,T70+1)*R70-ERP_i)*Q70*Ramure*Pc/MaxiM</f>
        <v>3.6863072724960906E-4</v>
      </c>
      <c r="Q70" s="305">
        <f t="shared" si="4"/>
        <v>0.5</v>
      </c>
      <c r="R70" s="177">
        <f t="shared" si="5"/>
        <v>0.50329861168989742</v>
      </c>
      <c r="S70" s="811">
        <f t="shared" si="6"/>
        <v>1</v>
      </c>
      <c r="T70" s="176">
        <f t="shared" si="7"/>
        <v>7</v>
      </c>
      <c r="U70" s="251">
        <f t="shared" si="8"/>
        <v>1.5032986116898974</v>
      </c>
      <c r="V70" s="383">
        <f t="shared" si="9"/>
        <v>38.087078677343243</v>
      </c>
      <c r="W70" s="402">
        <f t="shared" si="10"/>
        <v>29.920501218802343</v>
      </c>
      <c r="X70" s="157">
        <f t="shared" si="11"/>
        <v>45713</v>
      </c>
      <c r="Y70" s="385">
        <f t="shared" si="12"/>
        <v>29.032397740630316</v>
      </c>
      <c r="Z70" s="385">
        <f t="shared" si="22"/>
        <v>30.635573197519921</v>
      </c>
      <c r="AA70" s="386">
        <f t="shared" si="13"/>
        <v>33.396925164315341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8.2682820445575803E-2</v>
      </c>
      <c r="AD70" s="231">
        <f>(INDEX(Models!$BJ70:$BT70,,AH70)*(1-AF70)+INDEX(Models!$BJ70:$BT70,,AH70+1)*AF70-ERP_i)*AE70*Ramure*Pc/MaxiM</f>
        <v>3.6863072724960906E-4</v>
      </c>
      <c r="AE70" s="305">
        <f t="shared" si="15"/>
        <v>0.5</v>
      </c>
      <c r="AF70" s="177">
        <f t="shared" si="23"/>
        <v>0.50329861168989742</v>
      </c>
      <c r="AG70" s="811">
        <f t="shared" si="24"/>
        <v>1</v>
      </c>
      <c r="AH70" s="176">
        <f t="shared" si="16"/>
        <v>7</v>
      </c>
      <c r="AI70" s="225">
        <f t="shared" si="17"/>
        <v>1.5032986116898974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38.532075653110191</v>
      </c>
      <c r="C71" s="841"/>
      <c r="D71" s="393">
        <f t="shared" si="0"/>
        <v>40.660716010057122</v>
      </c>
      <c r="E71" s="385">
        <f t="shared" si="1"/>
        <v>43.012397928814408</v>
      </c>
      <c r="F71" s="385">
        <f t="shared" si="2"/>
        <v>43.028835815721592</v>
      </c>
      <c r="G71" s="110">
        <f t="shared" si="21"/>
        <v>1.0031203719459276</v>
      </c>
      <c r="H71" s="414" t="b">
        <f>Wh_hp&gt;='2024'!Maxi_hp</f>
        <v>1</v>
      </c>
      <c r="I71" s="390">
        <f>IF(H71,Wh_hp,'2024'!Maxi_hp)</f>
        <v>43.028835815721592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5.2351275772429262E-2</v>
      </c>
      <c r="M71" s="845"/>
      <c r="N71" s="845"/>
      <c r="O71" s="48">
        <f>IF(t&lt;Tnet,'2024'!Resal+('2024'!Salim-'2024'!Resal)*(1-EXP(('2024'!Tnet-t)/('2024'!Tau_j))),Resal+(Salim-Resal)*(1-EXP((Tnet-t)/(Tau_j))))*Salcycl</f>
        <v>5.4674513210105635E-2</v>
      </c>
      <c r="P71" s="169">
        <f>(INDEX(Models!$BJ71:$BT71,,T71)*(1-R71)+INDEX(Models!$BJ71:$BT71,,T71+1)*R71-ERP_i)*Q71*Ramure*Pc/MaxiM</f>
        <v>3.8202025677805195E-4</v>
      </c>
      <c r="Q71" s="305">
        <f t="shared" si="4"/>
        <v>0.5</v>
      </c>
      <c r="R71" s="177">
        <f t="shared" si="5"/>
        <v>0.50357194194546273</v>
      </c>
      <c r="S71" s="811">
        <f t="shared" si="6"/>
        <v>1</v>
      </c>
      <c r="T71" s="176">
        <f t="shared" si="7"/>
        <v>7</v>
      </c>
      <c r="U71" s="251">
        <f t="shared" si="8"/>
        <v>1.5035719419454627</v>
      </c>
      <c r="V71" s="383">
        <f t="shared" si="9"/>
        <v>38.412215254249894</v>
      </c>
      <c r="W71" s="402">
        <f t="shared" si="10"/>
        <v>38.532075653110191</v>
      </c>
      <c r="X71" s="157">
        <f t="shared" si="11"/>
        <v>45714</v>
      </c>
      <c r="Y71" s="385">
        <f t="shared" si="12"/>
        <v>37.389458111012708</v>
      </c>
      <c r="Z71" s="385">
        <f t="shared" si="22"/>
        <v>39.454976464500476</v>
      </c>
      <c r="AA71" s="386">
        <f t="shared" si="13"/>
        <v>43.012397928814408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8.2706885354345214E-2</v>
      </c>
      <c r="AD71" s="231">
        <f>(INDEX(Models!$BJ71:$BT71,,AH71)*(1-AF71)+INDEX(Models!$BJ71:$BT71,,AH71+1)*AF71-ERP_i)*AE71*Ramure*Pc/MaxiM</f>
        <v>3.8202025677805195E-4</v>
      </c>
      <c r="AE71" s="305">
        <f t="shared" si="15"/>
        <v>0.5</v>
      </c>
      <c r="AF71" s="177">
        <f t="shared" si="23"/>
        <v>0.50357194194546273</v>
      </c>
      <c r="AG71" s="811">
        <f t="shared" si="24"/>
        <v>1</v>
      </c>
      <c r="AH71" s="176">
        <f t="shared" si="16"/>
        <v>7</v>
      </c>
      <c r="AI71" s="225">
        <f t="shared" si="17"/>
        <v>1.5035719419454627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26.853071333339816</v>
      </c>
      <c r="C72" s="841"/>
      <c r="D72" s="393">
        <f t="shared" si="0"/>
        <v>28.337145200389891</v>
      </c>
      <c r="E72" s="385">
        <f t="shared" si="1"/>
        <v>29.977735148039159</v>
      </c>
      <c r="F72" s="385">
        <f t="shared" si="2"/>
        <v>29.984362343249508</v>
      </c>
      <c r="G72" s="110">
        <f t="shared" si="21"/>
        <v>0.69307681363101281</v>
      </c>
      <c r="H72" s="414" t="b">
        <f>Wh_hp&gt;='2024'!Maxi_hp</f>
        <v>0</v>
      </c>
      <c r="I72" s="390">
        <f>IF(H72,Wh_hp,'2024'!Maxi_hp)</f>
        <v>42.246597609719124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5.2372031711566236E-2</v>
      </c>
      <c r="M72" s="845"/>
      <c r="N72" s="845"/>
      <c r="O72" s="48">
        <f>IF(t&lt;Tnet,'2024'!Resal+('2024'!Salim-'2024'!Resal)*(1-EXP(('2024'!Tnet-t)/('2024'!Tau_j))),Resal+(Salim-Resal)*(1-EXP((Tnet-t)/(Tau_j))))*Salcycl</f>
        <v>5.4726947834702562E-2</v>
      </c>
      <c r="P72" s="169">
        <f>(INDEX(Models!$BJ72:$BT72,,T72)*(1-R72)+INDEX(Models!$BJ72:$BT72,,T72+1)*R72-ERP_i)*Q72*Ramure*Pc/MaxiM</f>
        <v>3.9348072802143386E-4</v>
      </c>
      <c r="Q72" s="305">
        <f t="shared" si="4"/>
        <v>0.5</v>
      </c>
      <c r="R72" s="177">
        <f t="shared" si="5"/>
        <v>0.50385641754027288</v>
      </c>
      <c r="S72" s="811">
        <f t="shared" si="6"/>
        <v>1</v>
      </c>
      <c r="T72" s="176">
        <f t="shared" si="7"/>
        <v>7</v>
      </c>
      <c r="U72" s="251">
        <f t="shared" si="8"/>
        <v>1.5038564175402729</v>
      </c>
      <c r="V72" s="383">
        <f t="shared" si="9"/>
        <v>38.738042778740045</v>
      </c>
      <c r="W72" s="402">
        <f t="shared" si="10"/>
        <v>26.853071333339816</v>
      </c>
      <c r="X72" s="157">
        <f t="shared" si="11"/>
        <v>45715</v>
      </c>
      <c r="Y72" s="385">
        <f t="shared" si="12"/>
        <v>26.057542233313939</v>
      </c>
      <c r="Z72" s="385">
        <f t="shared" si="22"/>
        <v>27.497650032826687</v>
      </c>
      <c r="AA72" s="386">
        <f t="shared" si="13"/>
        <v>29.977735148039159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8.273090355108742E-2</v>
      </c>
      <c r="AD72" s="231">
        <f>(INDEX(Models!$BJ72:$BT72,,AH72)*(1-AF72)+INDEX(Models!$BJ72:$BT72,,AH72+1)*AF72-ERP_i)*AE72*Ramure*Pc/MaxiM</f>
        <v>3.9348072802143386E-4</v>
      </c>
      <c r="AE72" s="305">
        <f t="shared" si="15"/>
        <v>0.5</v>
      </c>
      <c r="AF72" s="177">
        <f t="shared" si="23"/>
        <v>0.50385641754027288</v>
      </c>
      <c r="AG72" s="811">
        <f t="shared" si="24"/>
        <v>1</v>
      </c>
      <c r="AH72" s="176">
        <f t="shared" si="16"/>
        <v>7</v>
      </c>
      <c r="AI72" s="225">
        <f t="shared" si="17"/>
        <v>1.5038564175402729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33.18229010507639</v>
      </c>
      <c r="C73" s="841"/>
      <c r="D73" s="393">
        <f t="shared" si="0"/>
        <v>35.01692437195814</v>
      </c>
      <c r="E73" s="385">
        <f t="shared" si="1"/>
        <v>37.046295161479165</v>
      </c>
      <c r="F73" s="385">
        <f t="shared" si="2"/>
        <v>37.057989260271782</v>
      </c>
      <c r="G73" s="110">
        <f t="shared" si="21"/>
        <v>0.84935373298300842</v>
      </c>
      <c r="H73" s="414" t="b">
        <f>Wh_hp&gt;='2024'!Maxi_hp</f>
        <v>0</v>
      </c>
      <c r="I73" s="390">
        <f>IF(H73,Wh_hp,'2024'!Maxi_hp)</f>
        <v>37.059968091396428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5.2392787196094859E-2</v>
      </c>
      <c r="M73" s="845"/>
      <c r="N73" s="845"/>
      <c r="O73" s="48">
        <f>IF(t&lt;Tnet,'2024'!Resal+('2024'!Salim-'2024'!Resal)*(1-EXP(('2024'!Tnet-t)/('2024'!Tau_j))),Resal+(Salim-Resal)*(1-EXP((Tnet-t)/(Tau_j))))*Salcycl</f>
        <v>5.4779318165967907E-2</v>
      </c>
      <c r="P73" s="169">
        <f>(INDEX(Models!$BJ73:$BT73,,T73)*(1-R73)+INDEX(Models!$BJ73:$BT73,,T73+1)*R73-ERP_i)*Q73*Ramure*Pc/MaxiM</f>
        <v>4.020432538614517E-4</v>
      </c>
      <c r="Q73" s="305">
        <f t="shared" si="4"/>
        <v>0.5</v>
      </c>
      <c r="R73" s="177">
        <f t="shared" si="5"/>
        <v>0.50415247911286043</v>
      </c>
      <c r="S73" s="811">
        <f t="shared" si="6"/>
        <v>1</v>
      </c>
      <c r="T73" s="176">
        <f t="shared" si="7"/>
        <v>7</v>
      </c>
      <c r="U73" s="251">
        <f t="shared" si="8"/>
        <v>1.5041524791128604</v>
      </c>
      <c r="V73" s="383">
        <f t="shared" si="9"/>
        <v>39.064312393916815</v>
      </c>
      <c r="W73" s="402">
        <f t="shared" si="10"/>
        <v>33.18229010507639</v>
      </c>
      <c r="X73" s="157">
        <f t="shared" si="11"/>
        <v>45716</v>
      </c>
      <c r="Y73" s="385">
        <f t="shared" si="12"/>
        <v>32.200198598490132</v>
      </c>
      <c r="Z73" s="385">
        <f t="shared" si="22"/>
        <v>33.98053345669662</v>
      </c>
      <c r="AA73" s="386">
        <f t="shared" si="13"/>
        <v>37.046295161479165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8.2754879844782137E-2</v>
      </c>
      <c r="AD73" s="231">
        <f>(INDEX(Models!$BJ73:$BT73,,AH73)*(1-AF73)+INDEX(Models!$BJ73:$BT73,,AH73+1)*AF73-ERP_i)*AE73*Ramure*Pc/MaxiM</f>
        <v>4.020432538614517E-4</v>
      </c>
      <c r="AE73" s="305">
        <f t="shared" si="15"/>
        <v>0.5</v>
      </c>
      <c r="AF73" s="177">
        <f t="shared" si="23"/>
        <v>0.50415247911286043</v>
      </c>
      <c r="AG73" s="811">
        <f t="shared" si="24"/>
        <v>1</v>
      </c>
      <c r="AH73" s="176">
        <f t="shared" si="16"/>
        <v>7</v>
      </c>
      <c r="AI73" s="225">
        <f t="shared" si="17"/>
        <v>1.5041524791128604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38.519532704468801</v>
      </c>
      <c r="C74" s="841"/>
      <c r="D74" s="393">
        <f t="shared" si="0"/>
        <v>40.650151116508205</v>
      </c>
      <c r="E74" s="385">
        <f t="shared" si="1"/>
        <v>43.008370085791903</v>
      </c>
      <c r="F74" s="385">
        <f t="shared" si="2"/>
        <v>43.025360721394534</v>
      </c>
      <c r="G74" s="110">
        <f t="shared" si="21"/>
        <v>0.97787045043484666</v>
      </c>
      <c r="H74" s="414" t="b">
        <f>Wh_hp&gt;='2024'!Maxi_hp</f>
        <v>0</v>
      </c>
      <c r="I74" s="390">
        <f>IF(H74,Wh_hp,'2024'!Maxi_hp)</f>
        <v>43.025708603641178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5.2413542226025012E-2</v>
      </c>
      <c r="M74" s="845"/>
      <c r="N74" s="845"/>
      <c r="O74" s="48">
        <f>IF(t&lt;Tnet,'2024'!Resal+('2024'!Salim-'2024'!Resal)*(1-EXP(('2024'!Tnet-t)/('2024'!Tau_j))),Resal+(Salim-Resal)*(1-EXP((Tnet-t)/(Tau_j))))*Salcycl</f>
        <v>5.4831628461613179E-2</v>
      </c>
      <c r="P74" s="169">
        <f>(INDEX(Models!$BJ74:$BT74,,T74)*(1-R74)+INDEX(Models!$BJ74:$BT74,,T74+1)*R74-ERP_i)*Q74*Ramure*Pc/MaxiM</f>
        <v>4.0778229696735672E-4</v>
      </c>
      <c r="Q74" s="305">
        <f t="shared" si="4"/>
        <v>0.5</v>
      </c>
      <c r="R74" s="177">
        <f t="shared" si="5"/>
        <v>0.50446058355791923</v>
      </c>
      <c r="S74" s="811">
        <f t="shared" si="6"/>
        <v>1</v>
      </c>
      <c r="T74" s="176">
        <f t="shared" si="7"/>
        <v>7</v>
      </c>
      <c r="U74" s="251">
        <f t="shared" si="8"/>
        <v>1.5044605835579192</v>
      </c>
      <c r="V74" s="383">
        <f t="shared" si="9"/>
        <v>39.390735449856322</v>
      </c>
      <c r="W74" s="402">
        <f t="shared" si="10"/>
        <v>38.519532704468801</v>
      </c>
      <c r="X74" s="157">
        <f t="shared" si="11"/>
        <v>45717</v>
      </c>
      <c r="Y74" s="385">
        <f t="shared" si="12"/>
        <v>37.38056866829308</v>
      </c>
      <c r="Z74" s="385">
        <f t="shared" si="22"/>
        <v>39.448187932218588</v>
      </c>
      <c r="AA74" s="386">
        <f t="shared" si="13"/>
        <v>43.008370085791903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8.2778820645180551E-2</v>
      </c>
      <c r="AD74" s="231">
        <f>(INDEX(Models!$BJ74:$BT74,,AH74)*(1-AF74)+INDEX(Models!$BJ74:$BT74,,AH74+1)*AF74-ERP_i)*AE74*Ramure*Pc/MaxiM</f>
        <v>4.0778229696735672E-4</v>
      </c>
      <c r="AE74" s="305">
        <f t="shared" si="15"/>
        <v>0.5</v>
      </c>
      <c r="AF74" s="177">
        <f t="shared" si="23"/>
        <v>0.50446058355791923</v>
      </c>
      <c r="AG74" s="811">
        <f t="shared" si="24"/>
        <v>1</v>
      </c>
      <c r="AH74" s="176">
        <f t="shared" si="16"/>
        <v>7</v>
      </c>
      <c r="AI74" s="225">
        <f t="shared" si="17"/>
        <v>1.5044605835579192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10.607799063037612</v>
      </c>
      <c r="C75" s="841"/>
      <c r="D75" s="393">
        <f t="shared" si="0"/>
        <v>11.194790004777067</v>
      </c>
      <c r="E75" s="385">
        <f t="shared" si="1"/>
        <v>11.844883201225013</v>
      </c>
      <c r="F75" s="385">
        <f t="shared" si="2"/>
        <v>11.844883201225013</v>
      </c>
      <c r="G75" s="110">
        <f t="shared" si="21"/>
        <v>0.26697473290297219</v>
      </c>
      <c r="H75" s="414" t="b">
        <f>Wh_hp&gt;='2024'!Maxi_hp</f>
        <v>0</v>
      </c>
      <c r="I75" s="390">
        <f>IF(H75,Wh_hp,'2024'!Maxi_hp)</f>
        <v>29.154269715170336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5.2434296801366798E-2</v>
      </c>
      <c r="M75" s="845"/>
      <c r="N75" s="845"/>
      <c r="O75" s="48">
        <f>IF(t&lt;Tnet,'2024'!Resal+('2024'!Salim-'2024'!Resal)*(1-EXP(('2024'!Tnet-t)/('2024'!Tau_j))),Resal+(Salim-Resal)*(1-EXP((Tnet-t)/(Tau_j))))*Salcycl</f>
        <v>5.4883884070778655E-2</v>
      </c>
      <c r="P75" s="169">
        <f>(INDEX(Models!$BJ75:$BT75,,T75)*(1-R75)+INDEX(Models!$BJ75:$BT75,,T75+1)*R75-ERP_i)*Q75*Ramure*Pc/MaxiM</f>
        <v>4.1077024756683576E-4</v>
      </c>
      <c r="Q75" s="305">
        <f t="shared" si="4"/>
        <v>0.5</v>
      </c>
      <c r="R75" s="177">
        <f t="shared" si="5"/>
        <v>0.50478120452718089</v>
      </c>
      <c r="S75" s="811">
        <f t="shared" si="6"/>
        <v>1</v>
      </c>
      <c r="T75" s="176">
        <f t="shared" si="7"/>
        <v>7</v>
      </c>
      <c r="U75" s="251">
        <f t="shared" si="8"/>
        <v>1.5047812045271809</v>
      </c>
      <c r="V75" s="383">
        <f t="shared" si="9"/>
        <v>39.717023328361201</v>
      </c>
      <c r="W75" s="402">
        <f t="shared" si="10"/>
        <v>10.607799063037612</v>
      </c>
      <c r="X75" s="157">
        <f t="shared" si="11"/>
        <v>45718</v>
      </c>
      <c r="Y75" s="385">
        <f t="shared" si="12"/>
        <v>10.294443333471504</v>
      </c>
      <c r="Z75" s="385">
        <f t="shared" si="22"/>
        <v>10.864094488351837</v>
      </c>
      <c r="AA75" s="386">
        <f t="shared" si="13"/>
        <v>11.844883201225013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8.2802733991648128E-2</v>
      </c>
      <c r="AD75" s="231">
        <f>(INDEX(Models!$BJ75:$BT75,,AH75)*(1-AF75)+INDEX(Models!$BJ75:$BT75,,AH75+1)*AF75-ERP_i)*AE75*Ramure*Pc/MaxiM</f>
        <v>4.1077024756683576E-4</v>
      </c>
      <c r="AE75" s="305">
        <f t="shared" si="15"/>
        <v>0.5</v>
      </c>
      <c r="AF75" s="177">
        <f t="shared" si="23"/>
        <v>0.50478120452718089</v>
      </c>
      <c r="AG75" s="811">
        <f t="shared" si="24"/>
        <v>1</v>
      </c>
      <c r="AH75" s="176">
        <f t="shared" si="16"/>
        <v>7</v>
      </c>
      <c r="AI75" s="225">
        <f t="shared" si="17"/>
        <v>1.5047812045271809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34.188169191030447</v>
      </c>
      <c r="C76" s="841"/>
      <c r="D76" s="393">
        <f t="shared" si="0"/>
        <v>36.080788805113286</v>
      </c>
      <c r="E76" s="385">
        <f t="shared" si="1"/>
        <v>38.178146978905453</v>
      </c>
      <c r="F76" s="385">
        <f t="shared" si="2"/>
        <v>38.190567097267859</v>
      </c>
      <c r="G76" s="110">
        <f t="shared" si="21"/>
        <v>0.85371547663719249</v>
      </c>
      <c r="H76" s="414" t="b">
        <f>Wh_hp&gt;='2024'!Maxi_hp</f>
        <v>0</v>
      </c>
      <c r="I76" s="390">
        <f>IF(H76,Wh_hp,'2024'!Maxi_hp)</f>
        <v>39.010447727103518</v>
      </c>
      <c r="J76" s="85">
        <f>IF(H76,An,'2024'!An_max)</f>
        <v>2019</v>
      </c>
      <c r="K76" s="197">
        <f t="shared" si="3"/>
        <v>45719</v>
      </c>
      <c r="L76" s="147">
        <f>IF(t&lt;Tvie,1-EXP((T0-t)*PertePVj)+'2024'!Pspv,1-EXP((T0-t)*PertePVj)+Pspv)</f>
        <v>5.2455050922130098E-2</v>
      </c>
      <c r="M76" s="845"/>
      <c r="N76" s="845"/>
      <c r="O76" s="48">
        <f>IF(t&lt;Tnet,'2024'!Resal+('2024'!Salim-'2024'!Resal)*(1-EXP(('2024'!Tnet-t)/('2024'!Tau_j))),Resal+(Salim-Resal)*(1-EXP((Tnet-t)/(Tau_j))))*Salcycl</f>
        <v>5.4936091449148093E-2</v>
      </c>
      <c r="P76" s="169">
        <f>(INDEX(Models!$BJ76:$BT76,,T76)*(1-R76)+INDEX(Models!$BJ76:$BT76,,T76+1)*R76-ERP_i)*Q76*Ramure*Pc/MaxiM</f>
        <v>4.110772966239784E-4</v>
      </c>
      <c r="Q76" s="305">
        <f t="shared" si="4"/>
        <v>0.5</v>
      </c>
      <c r="R76" s="177">
        <f t="shared" si="5"/>
        <v>0.50511483293703874</v>
      </c>
      <c r="S76" s="811">
        <f t="shared" si="6"/>
        <v>1</v>
      </c>
      <c r="T76" s="176">
        <f t="shared" si="7"/>
        <v>7</v>
      </c>
      <c r="U76" s="251">
        <f t="shared" si="8"/>
        <v>1.5051148329370387</v>
      </c>
      <c r="V76" s="383">
        <f t="shared" si="9"/>
        <v>40.042887440544952</v>
      </c>
      <c r="W76" s="402">
        <f t="shared" si="10"/>
        <v>34.188169191030447</v>
      </c>
      <c r="X76" s="157">
        <f t="shared" si="11"/>
        <v>45719</v>
      </c>
      <c r="Y76" s="385">
        <f t="shared" si="12"/>
        <v>33.179214740967808</v>
      </c>
      <c r="Z76" s="385">
        <f t="shared" si="22"/>
        <v>35.015979741390737</v>
      </c>
      <c r="AA76" s="386">
        <f t="shared" si="13"/>
        <v>38.178146978905453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8.2826629570625962E-2</v>
      </c>
      <c r="AD76" s="231">
        <f>(INDEX(Models!$BJ76:$BT76,,AH76)*(1-AF76)+INDEX(Models!$BJ76:$BT76,,AH76+1)*AF76-ERP_i)*AE76*Ramure*Pc/MaxiM</f>
        <v>4.110772966239784E-4</v>
      </c>
      <c r="AE76" s="305">
        <f t="shared" si="15"/>
        <v>0.5</v>
      </c>
      <c r="AF76" s="177">
        <f t="shared" si="23"/>
        <v>0.50511483293703874</v>
      </c>
      <c r="AG76" s="811">
        <f t="shared" si="24"/>
        <v>1</v>
      </c>
      <c r="AH76" s="176">
        <f t="shared" si="16"/>
        <v>7</v>
      </c>
      <c r="AI76" s="225">
        <f t="shared" si="17"/>
        <v>1.5051148329370387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3.9323711851281646</v>
      </c>
      <c r="C77" s="841"/>
      <c r="D77" s="393">
        <f t="shared" si="0"/>
        <v>4.150153847437795</v>
      </c>
      <c r="E77" s="385">
        <f t="shared" si="1"/>
        <v>4.3916426259276324</v>
      </c>
      <c r="F77" s="385">
        <f t="shared" si="2"/>
        <v>4.3916426259276324</v>
      </c>
      <c r="G77" s="110">
        <f t="shared" si="21"/>
        <v>9.7373165008855761E-2</v>
      </c>
      <c r="H77" s="414" t="b">
        <f>Wh_hp&gt;='2024'!Maxi_hp</f>
        <v>0</v>
      </c>
      <c r="I77" s="390">
        <f>IF(H77,Wh_hp,'2024'!Maxi_hp)</f>
        <v>30.286197485540761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5.2475804588324904E-2</v>
      </c>
      <c r="M77" s="845"/>
      <c r="N77" s="845"/>
      <c r="O77" s="48">
        <f>IF(t&lt;Tnet,'2024'!Resal+('2024'!Salim-'2024'!Resal)*(1-EXP(('2024'!Tnet-t)/('2024'!Tau_j))),Resal+(Salim-Resal)*(1-EXP((Tnet-t)/(Tau_j))))*Salcycl</f>
        <v>5.4988258166573441E-2</v>
      </c>
      <c r="P77" s="169">
        <f>(INDEX(Models!$BJ77:$BT77,,T77)*(1-R77)+INDEX(Models!$BJ77:$BT77,,T77+1)*R77-ERP_i)*Q77*Ramure*Pc/MaxiM</f>
        <v>4.0877131425732101E-4</v>
      </c>
      <c r="Q77" s="305">
        <f t="shared" si="4"/>
        <v>0.5</v>
      </c>
      <c r="R77" s="177">
        <f t="shared" si="5"/>
        <v>0.50546197748213695</v>
      </c>
      <c r="S77" s="811">
        <f t="shared" si="6"/>
        <v>1</v>
      </c>
      <c r="T77" s="176">
        <f t="shared" si="7"/>
        <v>7</v>
      </c>
      <c r="U77" s="251">
        <f t="shared" si="8"/>
        <v>1.5054619774821369</v>
      </c>
      <c r="V77" s="383">
        <f t="shared" si="9"/>
        <v>40.368039225521557</v>
      </c>
      <c r="W77" s="402">
        <f t="shared" si="10"/>
        <v>3.9323711851281646</v>
      </c>
      <c r="X77" s="157">
        <f t="shared" si="11"/>
        <v>45720</v>
      </c>
      <c r="Y77" s="385">
        <f t="shared" si="12"/>
        <v>3.8164310907255365</v>
      </c>
      <c r="Z77" s="385">
        <f t="shared" si="22"/>
        <v>4.0277927563289238</v>
      </c>
      <c r="AA77" s="386">
        <f t="shared" si="13"/>
        <v>4.3916426259276324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8.2850518721762731E-2</v>
      </c>
      <c r="AD77" s="231">
        <f>(INDEX(Models!$BJ77:$BT77,,AH77)*(1-AF77)+INDEX(Models!$BJ77:$BT77,,AH77+1)*AF77-ERP_i)*AE77*Ramure*Pc/MaxiM</f>
        <v>4.0877131425732101E-4</v>
      </c>
      <c r="AE77" s="305">
        <f t="shared" si="15"/>
        <v>0.5</v>
      </c>
      <c r="AF77" s="177">
        <f t="shared" si="23"/>
        <v>0.50546197748213695</v>
      </c>
      <c r="AG77" s="811">
        <f t="shared" si="24"/>
        <v>1</v>
      </c>
      <c r="AH77" s="176">
        <f t="shared" si="16"/>
        <v>7</v>
      </c>
      <c r="AI77" s="225">
        <f t="shared" si="17"/>
        <v>1.5054619774821369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13.018448834305181</v>
      </c>
      <c r="C78" s="841"/>
      <c r="D78" s="393">
        <f t="shared" si="0"/>
        <v>13.739737772431965</v>
      </c>
      <c r="E78" s="385">
        <f t="shared" si="1"/>
        <v>14.54002654642977</v>
      </c>
      <c r="F78" s="385">
        <f t="shared" si="2"/>
        <v>14.540193718356967</v>
      </c>
      <c r="G78" s="110">
        <f t="shared" si="21"/>
        <v>0.31979945098943219</v>
      </c>
      <c r="H78" s="414" t="b">
        <f>Wh_hp&gt;='2024'!Maxi_hp</f>
        <v>0</v>
      </c>
      <c r="I78" s="390">
        <f>IF(H78,Wh_hp,'2024'!Maxi_hp)</f>
        <v>44.531611979407565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5.2496557799961208E-2</v>
      </c>
      <c r="M78" s="845"/>
      <c r="N78" s="845"/>
      <c r="O78" s="48">
        <f>IF(t&lt;Tnet,'2024'!Resal+('2024'!Salim-'2024'!Resal)*(1-EXP(('2024'!Tnet-t)/('2024'!Tau_j))),Resal+(Salim-Resal)*(1-EXP((Tnet-t)/(Tau_j))))*Salcycl</f>
        <v>5.5040392907282049E-2</v>
      </c>
      <c r="P78" s="169">
        <f>(INDEX(Models!$BJ78:$BT78,,T78)*(1-R78)+INDEX(Models!$BJ78:$BT78,,T78+1)*R78-ERP_i)*Q78*Ramure*Pc/MaxiM</f>
        <v>4.039177324260772E-4</v>
      </c>
      <c r="Q78" s="305">
        <f t="shared" si="4"/>
        <v>0.5</v>
      </c>
      <c r="R78" s="177">
        <f t="shared" si="5"/>
        <v>0.50582316515403258</v>
      </c>
      <c r="S78" s="811">
        <f t="shared" si="6"/>
        <v>1</v>
      </c>
      <c r="T78" s="176">
        <f t="shared" si="7"/>
        <v>7</v>
      </c>
      <c r="U78" s="251">
        <f t="shared" si="8"/>
        <v>1.5058231651540326</v>
      </c>
      <c r="V78" s="383">
        <f t="shared" si="9"/>
        <v>40.692190149333662</v>
      </c>
      <c r="W78" s="402">
        <f t="shared" si="10"/>
        <v>13.018448834305181</v>
      </c>
      <c r="X78" s="157">
        <f t="shared" si="11"/>
        <v>45721</v>
      </c>
      <c r="Y78" s="385">
        <f t="shared" si="12"/>
        <v>12.63498716846872</v>
      </c>
      <c r="Z78" s="385">
        <f t="shared" si="22"/>
        <v>13.33503036055588</v>
      </c>
      <c r="AA78" s="386">
        <f t="shared" si="13"/>
        <v>14.54002654642977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8.2874414432879503E-2</v>
      </c>
      <c r="AD78" s="231">
        <f>(INDEX(Models!$BJ78:$BT78,,AH78)*(1-AF78)+INDEX(Models!$BJ78:$BT78,,AH78+1)*AF78-ERP_i)*AE78*Ramure*Pc/MaxiM</f>
        <v>4.039177324260772E-4</v>
      </c>
      <c r="AE78" s="305">
        <f t="shared" si="15"/>
        <v>0.5</v>
      </c>
      <c r="AF78" s="177">
        <f t="shared" si="23"/>
        <v>0.50582316515403258</v>
      </c>
      <c r="AG78" s="811">
        <f t="shared" si="24"/>
        <v>1</v>
      </c>
      <c r="AH78" s="176">
        <f t="shared" si="16"/>
        <v>7</v>
      </c>
      <c r="AI78" s="225">
        <f t="shared" si="17"/>
        <v>1.5058231651540326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15.554928694291405</v>
      </c>
      <c r="C79" s="841"/>
      <c r="D79" s="393">
        <f t="shared" ref="D79:D142" si="25">Wh/(1-Ppv)</f>
        <v>16.417111222830403</v>
      </c>
      <c r="E79" s="385">
        <f t="shared" si="1"/>
        <v>17.374305228546653</v>
      </c>
      <c r="F79" s="385">
        <f t="shared" ref="F79:F142" si="26">Wh_sa/(1-Pvg*MEDIAN((-Sdif+Wh/Env_an)/Csdif,0,1))</f>
        <v>17.375085210797042</v>
      </c>
      <c r="G79" s="110">
        <f t="shared" si="21"/>
        <v>0.37910538411516276</v>
      </c>
      <c r="H79" s="414" t="b">
        <f>Wh_hp&gt;='2024'!Maxi_hp</f>
        <v>0</v>
      </c>
      <c r="I79" s="390">
        <f>IF(H79,Wh_hp,'2024'!Maxi_hp)</f>
        <v>23.382336400970807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5.2517310557048891E-2</v>
      </c>
      <c r="M79" s="845"/>
      <c r="N79" s="845"/>
      <c r="O79" s="48">
        <f>IF(t&lt;Tnet,'2024'!Resal+('2024'!Salim-'2024'!Resal)*(1-EXP(('2024'!Tnet-t)/('2024'!Tau_j))),Resal+(Salim-Resal)*(1-EXP((Tnet-t)/(Tau_j))))*Salcycl</f>
        <v>5.509250546281088E-2</v>
      </c>
      <c r="P79" s="169">
        <f>(INDEX(Models!$BJ79:$BT79,,T79)*(1-R79)+INDEX(Models!$BJ79:$BT79,,T79+1)*R79-ERP_i)*Q79*Ramure*Pc/MaxiM</f>
        <v>3.9656843797160991E-4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0.50619894176393077</v>
      </c>
      <c r="S79" s="81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1.5061989417639308</v>
      </c>
      <c r="V79" s="383">
        <f t="shared" ref="V79:V142" si="33">MaxiM*(1-Ppv)*(1-Pvg)*(1-Psa)</f>
        <v>41.016189113530338</v>
      </c>
      <c r="W79" s="402">
        <f t="shared" ref="W79:W142" si="34">Wh*(A79&gt;Tmaj)</f>
        <v>15.554928694291405</v>
      </c>
      <c r="X79" s="157">
        <f t="shared" ref="X79:X142" si="35">t</f>
        <v>45722</v>
      </c>
      <c r="Y79" s="385">
        <f t="shared" ref="Y79:Y142" si="36">Wh_pvt_s*(1-Ppv)</f>
        <v>15.097193264042669</v>
      </c>
      <c r="Z79" s="385">
        <f t="shared" ref="Z79:Z142" si="37">Wh_sa_s*(1-Psa_s)</f>
        <v>15.934004317185666</v>
      </c>
      <c r="AA79" s="386">
        <f t="shared" ref="AA79:AA142" si="38">Wh_hp*(1-Pvg_s*MEDIAN((-Sdif+Wh/Env_an)/Csdif,0,1))</f>
        <v>17.374305228546653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8.289833132403579E-2</v>
      </c>
      <c r="AD79" s="231">
        <f>(INDEX(Models!$BJ79:$BT79,,AH79)*(1-AF79)+INDEX(Models!$BJ79:$BT79,,AH79+1)*AF79-ERP_i)*AE79*Ramure*Pc/MaxiM</f>
        <v>3.9656843797160991E-4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0.50619894176393077</v>
      </c>
      <c r="AG79" s="81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1.5061989417639308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36.332623361357662</v>
      </c>
      <c r="C80" s="841"/>
      <c r="D80" s="393">
        <f t="shared" si="25"/>
        <v>38.347317118633356</v>
      </c>
      <c r="E80" s="385">
        <f t="shared" ref="E80:E143" si="47">Wh_pvt/(1-Psa)</f>
        <v>40.585382050291543</v>
      </c>
      <c r="F80" s="385">
        <f t="shared" si="26"/>
        <v>40.598350086075214</v>
      </c>
      <c r="G80" s="110">
        <f t="shared" ref="G80:G143" si="48">+Wh_hp/MaxiM</f>
        <v>0.87879394714829751</v>
      </c>
      <c r="H80" s="414" t="b">
        <f>Wh_hp&gt;='2024'!Maxi_hp</f>
        <v>0</v>
      </c>
      <c r="I80" s="390">
        <f>IF(H80,Wh_hp,'2024'!Maxi_hp)</f>
        <v>42.685529835046331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5.2538062859597945E-2</v>
      </c>
      <c r="M80" s="845"/>
      <c r="N80" s="845"/>
      <c r="O80" s="48">
        <f>IF(t&lt;Tnet,'2024'!Resal+('2024'!Salim-'2024'!Resal)*(1-EXP(('2024'!Tnet-t)/('2024'!Tau_j))),Resal+(Salim-Resal)*(1-EXP((Tnet-t)/(Tau_j))))*Salcycl</f>
        <v>5.514460671787895E-2</v>
      </c>
      <c r="P80" s="169">
        <f>(INDEX(Models!$BJ80:$BT80,,T80)*(1-R80)+INDEX(Models!$BJ80:$BT80,,T80+1)*R80-ERP_i)*Q80*Ramure*Pc/MaxiM</f>
        <v>3.8627426844850462E-4</v>
      </c>
      <c r="Q80" s="305">
        <f t="shared" si="28"/>
        <v>0.5</v>
      </c>
      <c r="R80" s="177">
        <f t="shared" si="29"/>
        <v>0.5065898724683664</v>
      </c>
      <c r="S80" s="811">
        <f t="shared" si="30"/>
        <v>1</v>
      </c>
      <c r="T80" s="176">
        <f t="shared" si="31"/>
        <v>7</v>
      </c>
      <c r="U80" s="251">
        <f t="shared" si="32"/>
        <v>1.5065898724683664</v>
      </c>
      <c r="V80" s="383">
        <f t="shared" si="33"/>
        <v>41.340969417643763</v>
      </c>
      <c r="W80" s="402">
        <f t="shared" si="34"/>
        <v>36.332623361357662</v>
      </c>
      <c r="X80" s="157">
        <f t="shared" si="35"/>
        <v>45723</v>
      </c>
      <c r="Y80" s="385">
        <f t="shared" si="36"/>
        <v>35.26448536625513</v>
      </c>
      <c r="Z80" s="385">
        <f t="shared" si="37"/>
        <v>37.219949407877237</v>
      </c>
      <c r="AA80" s="386">
        <f t="shared" si="38"/>
        <v>40.585382050291543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8.2922285621064615E-2</v>
      </c>
      <c r="AD80" s="231">
        <f>(INDEX(Models!$BJ80:$BT80,,AH80)*(1-AF80)+INDEX(Models!$BJ80:$BT80,,AH80+1)*AF80-ERP_i)*AE80*Ramure*Pc/MaxiM</f>
        <v>3.8627426844850462E-4</v>
      </c>
      <c r="AE80" s="305">
        <f t="shared" si="40"/>
        <v>0.5</v>
      </c>
      <c r="AF80" s="177">
        <f t="shared" si="41"/>
        <v>0.5065898724683664</v>
      </c>
      <c r="AG80" s="811">
        <f t="shared" ref="AG80:AG143" si="49">INDEX(Echel_vg,AH80)</f>
        <v>1</v>
      </c>
      <c r="AH80" s="176">
        <f t="shared" si="42"/>
        <v>7</v>
      </c>
      <c r="AI80" s="225">
        <f t="shared" si="43"/>
        <v>1.5065898724683664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31.399945075642236</v>
      </c>
      <c r="C81" s="841"/>
      <c r="D81" s="393">
        <f t="shared" si="25"/>
        <v>33.141840953380303</v>
      </c>
      <c r="E81" s="385">
        <f t="shared" si="47"/>
        <v>35.0780329155129</v>
      </c>
      <c r="F81" s="385">
        <f t="shared" si="26"/>
        <v>35.086526161014262</v>
      </c>
      <c r="G81" s="110">
        <f t="shared" si="48"/>
        <v>0.75350584641601936</v>
      </c>
      <c r="H81" s="414" t="b">
        <f>Wh_hp&gt;='2024'!Maxi_hp</f>
        <v>0</v>
      </c>
      <c r="I81" s="390">
        <f>IF(H81,Wh_hp,'2024'!Maxi_hp)</f>
        <v>35.089826516602166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5.2558814707618251E-2</v>
      </c>
      <c r="M81" s="845"/>
      <c r="N81" s="845"/>
      <c r="O81" s="48">
        <f>IF(t&lt;Tnet,'2024'!Resal+('2024'!Salim-'2024'!Resal)*(1-EXP(('2024'!Tnet-t)/('2024'!Tau_j))),Resal+(Salim-Resal)*(1-EXP((Tnet-t)/(Tau_j))))*Salcycl</f>
        <v>5.5196708629472152E-2</v>
      </c>
      <c r="P81" s="169">
        <f>(INDEX(Models!$BJ81:$BT81,,T81)*(1-R81)+INDEX(Models!$BJ81:$BT81,,T81+1)*R81-ERP_i)*Q81*Ramure*Pc/MaxiM</f>
        <v>3.7355413704676002E-4</v>
      </c>
      <c r="Q81" s="305">
        <f t="shared" si="28"/>
        <v>0.5</v>
      </c>
      <c r="R81" s="177">
        <f t="shared" si="29"/>
        <v>0.50699654229657654</v>
      </c>
      <c r="S81" s="811">
        <f t="shared" si="30"/>
        <v>1</v>
      </c>
      <c r="T81" s="176">
        <f t="shared" si="31"/>
        <v>7</v>
      </c>
      <c r="U81" s="251">
        <f t="shared" si="32"/>
        <v>1.5069965422965765</v>
      </c>
      <c r="V81" s="383">
        <f t="shared" si="33"/>
        <v>41.666319506993212</v>
      </c>
      <c r="W81" s="402">
        <f t="shared" si="34"/>
        <v>31.399945075642236</v>
      </c>
      <c r="X81" s="157">
        <f t="shared" si="35"/>
        <v>45724</v>
      </c>
      <c r="Y81" s="385">
        <f t="shared" si="36"/>
        <v>30.47770496534357</v>
      </c>
      <c r="Z81" s="385">
        <f t="shared" si="37"/>
        <v>32.168440045107502</v>
      </c>
      <c r="AA81" s="386">
        <f t="shared" si="38"/>
        <v>35.0780329155129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8.2946295119036048E-2</v>
      </c>
      <c r="AD81" s="231">
        <f>(INDEX(Models!$BJ81:$BT81,,AH81)*(1-AF81)+INDEX(Models!$BJ81:$BT81,,AH81+1)*AF81-ERP_i)*AE81*Ramure*Pc/MaxiM</f>
        <v>3.7355413704676002E-4</v>
      </c>
      <c r="AE81" s="305">
        <f t="shared" si="40"/>
        <v>0.5</v>
      </c>
      <c r="AF81" s="177">
        <f t="shared" si="41"/>
        <v>0.50699654229657654</v>
      </c>
      <c r="AG81" s="811">
        <f t="shared" si="49"/>
        <v>1</v>
      </c>
      <c r="AH81" s="176">
        <f t="shared" si="42"/>
        <v>7</v>
      </c>
      <c r="AI81" s="225">
        <f t="shared" si="43"/>
        <v>1.5069965422965765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28.018857066138025</v>
      </c>
      <c r="C82" s="841"/>
      <c r="D82" s="393">
        <f t="shared" si="25"/>
        <v>29.573836560430916</v>
      </c>
      <c r="E82" s="385">
        <f t="shared" si="47"/>
        <v>31.303307492972134</v>
      </c>
      <c r="F82" s="385">
        <f t="shared" si="26"/>
        <v>31.309195535958278</v>
      </c>
      <c r="G82" s="110">
        <f t="shared" si="48"/>
        <v>0.66712827657544826</v>
      </c>
      <c r="H82" s="414" t="b">
        <f>Wh_hp&gt;='2024'!Maxi_hp</f>
        <v>0</v>
      </c>
      <c r="I82" s="390">
        <f>IF(H82,Wh_hp,'2024'!Maxi_hp)</f>
        <v>44.010087492548095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5.2579566101119801E-2</v>
      </c>
      <c r="M82" s="845"/>
      <c r="N82" s="845"/>
      <c r="O82" s="48">
        <f>IF(t&lt;Tnet,'2024'!Resal+('2024'!Salim-'2024'!Resal)*(1-EXP(('2024'!Tnet-t)/('2024'!Tau_j))),Resal+(Salim-Resal)*(1-EXP((Tnet-t)/(Tau_j))))*Salcycl</f>
        <v>5.5248824199471504E-2</v>
      </c>
      <c r="P82" s="169">
        <f>(INDEX(Models!$BJ82:$BT82,,T82)*(1-R82)+INDEX(Models!$BJ82:$BT82,,T82+1)*R82-ERP_i)*Q82*Ramure*Pc/MaxiM</f>
        <v>3.584633524599783E-4</v>
      </c>
      <c r="Q82" s="305">
        <f t="shared" si="28"/>
        <v>0.5</v>
      </c>
      <c r="R82" s="177">
        <f t="shared" si="29"/>
        <v>0.50741955667816341</v>
      </c>
      <c r="S82" s="811">
        <f t="shared" si="30"/>
        <v>1</v>
      </c>
      <c r="T82" s="176">
        <f t="shared" si="31"/>
        <v>7</v>
      </c>
      <c r="U82" s="251">
        <f t="shared" si="32"/>
        <v>1.5074195566781634</v>
      </c>
      <c r="V82" s="383">
        <f t="shared" si="33"/>
        <v>41.992046622020418</v>
      </c>
      <c r="W82" s="402">
        <f t="shared" si="34"/>
        <v>28.018857066138025</v>
      </c>
      <c r="X82" s="157">
        <f t="shared" si="35"/>
        <v>45725</v>
      </c>
      <c r="Y82" s="385">
        <f t="shared" si="36"/>
        <v>27.196708012166312</v>
      </c>
      <c r="Z82" s="385">
        <f t="shared" si="37"/>
        <v>28.70606020206343</v>
      </c>
      <c r="AA82" s="386">
        <f t="shared" si="38"/>
        <v>31.303307492972134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8.2970379136192249E-2</v>
      </c>
      <c r="AD82" s="231">
        <f>(INDEX(Models!$BJ82:$BT82,,AH82)*(1-AF82)+INDEX(Models!$BJ82:$BT82,,AH82+1)*AF82-ERP_i)*AE82*Ramure*Pc/MaxiM</f>
        <v>3.584633524599783E-4</v>
      </c>
      <c r="AE82" s="305">
        <f t="shared" si="40"/>
        <v>0.5</v>
      </c>
      <c r="AF82" s="177">
        <f t="shared" si="41"/>
        <v>0.50741955667816341</v>
      </c>
      <c r="AG82" s="811">
        <f t="shared" si="49"/>
        <v>1</v>
      </c>
      <c r="AH82" s="176">
        <f t="shared" si="42"/>
        <v>7</v>
      </c>
      <c r="AI82" s="225">
        <f t="shared" si="43"/>
        <v>1.5074195566781634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24.340759094399655</v>
      </c>
      <c r="C83" s="841"/>
      <c r="D83" s="393">
        <f t="shared" si="25"/>
        <v>25.692175680652234</v>
      </c>
      <c r="E83" s="385">
        <f t="shared" si="47"/>
        <v>27.196149032843781</v>
      </c>
      <c r="F83" s="385">
        <f t="shared" si="26"/>
        <v>27.199795904909202</v>
      </c>
      <c r="G83" s="110">
        <f t="shared" si="48"/>
        <v>0.57506840035899121</v>
      </c>
      <c r="H83" s="414" t="b">
        <f>Wh_hp&gt;='2024'!Maxi_hp</f>
        <v>0</v>
      </c>
      <c r="I83" s="390">
        <f>IF(H83,Wh_hp,'2024'!Maxi_hp)</f>
        <v>43.468612982947825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5.2600317040112698E-2</v>
      </c>
      <c r="M83" s="845"/>
      <c r="N83" s="845"/>
      <c r="O83" s="48">
        <f>IF(t&lt;Tnet,'2024'!Resal+('2024'!Salim-'2024'!Resal)*(1-EXP(('2024'!Tnet-t)/('2024'!Tau_j))),Resal+(Salim-Resal)*(1-EXP((Tnet-t)/(Tau_j))))*Salcycl</f>
        <v>5.5300967441208444E-2</v>
      </c>
      <c r="P83" s="169">
        <f>(INDEX(Models!$BJ83:$BT83,,T83)*(1-R83)+INDEX(Models!$BJ83:$BT83,,T83+1)*R83-ERP_i)*Q83*Ramure*Pc/MaxiM</f>
        <v>3.4105488293804319E-4</v>
      </c>
      <c r="Q83" s="305">
        <f t="shared" si="28"/>
        <v>0.5</v>
      </c>
      <c r="R83" s="177">
        <f t="shared" si="29"/>
        <v>0.50785954196950023</v>
      </c>
      <c r="S83" s="811">
        <f t="shared" si="30"/>
        <v>1</v>
      </c>
      <c r="T83" s="176">
        <f t="shared" si="31"/>
        <v>7</v>
      </c>
      <c r="U83" s="251">
        <f t="shared" si="32"/>
        <v>1.5078595419695002</v>
      </c>
      <c r="V83" s="383">
        <f t="shared" si="33"/>
        <v>42.317958019171144</v>
      </c>
      <c r="W83" s="402">
        <f t="shared" si="34"/>
        <v>24.340759094399655</v>
      </c>
      <c r="X83" s="157">
        <f t="shared" si="35"/>
        <v>45726</v>
      </c>
      <c r="Y83" s="385">
        <f t="shared" si="36"/>
        <v>23.627216469510543</v>
      </c>
      <c r="Z83" s="385">
        <f t="shared" si="37"/>
        <v>24.939016652078525</v>
      </c>
      <c r="AA83" s="386">
        <f t="shared" si="38"/>
        <v>27.196149032843781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8.2994558458971579E-2</v>
      </c>
      <c r="AD83" s="231">
        <f>(INDEX(Models!$BJ83:$BT83,,AH83)*(1-AF83)+INDEX(Models!$BJ83:$BT83,,AH83+1)*AF83-ERP_i)*AE83*Ramure*Pc/MaxiM</f>
        <v>3.4105488293804319E-4</v>
      </c>
      <c r="AE83" s="305">
        <f t="shared" si="40"/>
        <v>0.5</v>
      </c>
      <c r="AF83" s="177">
        <f t="shared" si="41"/>
        <v>0.50785954196950023</v>
      </c>
      <c r="AG83" s="811">
        <f t="shared" si="49"/>
        <v>1</v>
      </c>
      <c r="AH83" s="176">
        <f t="shared" si="42"/>
        <v>7</v>
      </c>
      <c r="AI83" s="225">
        <f t="shared" si="43"/>
        <v>1.5078595419695002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15.445619369877445</v>
      </c>
      <c r="C84" s="841"/>
      <c r="D84" s="393">
        <f t="shared" si="25"/>
        <v>16.303528440852912</v>
      </c>
      <c r="E84" s="385">
        <f t="shared" si="47"/>
        <v>17.25886080973433</v>
      </c>
      <c r="F84" s="385">
        <f t="shared" si="26"/>
        <v>17.259353684741054</v>
      </c>
      <c r="G84" s="110">
        <f t="shared" si="48"/>
        <v>0.36209423974265081</v>
      </c>
      <c r="H84" s="414" t="b">
        <f>Wh_hp&gt;='2024'!Maxi_hp</f>
        <v>0</v>
      </c>
      <c r="I84" s="390">
        <f>IF(H84,Wh_hp,'2024'!Maxi_hp)</f>
        <v>34.137173352401021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5.2621067524606713E-2</v>
      </c>
      <c r="M84" s="845"/>
      <c r="N84" s="845"/>
      <c r="O84" s="48">
        <f>IF(t&lt;Tnet,'2024'!Resal+('2024'!Salim-'2024'!Resal)*(1-EXP(('2024'!Tnet-t)/('2024'!Tau_j))),Resal+(Salim-Resal)*(1-EXP((Tnet-t)/(Tau_j))))*Salcycl</f>
        <v>5.5353153340375334E-2</v>
      </c>
      <c r="P84" s="169">
        <f>(INDEX(Models!$BJ84:$BT84,,T84)*(1-R84)+INDEX(Models!$BJ84:$BT84,,T84+1)*R84-ERP_i)*Q84*Ramure*Pc/MaxiM</f>
        <v>3.213792305410022E-4</v>
      </c>
      <c r="Q84" s="305">
        <f t="shared" si="28"/>
        <v>0.5</v>
      </c>
      <c r="R84" s="177">
        <f t="shared" si="29"/>
        <v>0.50831714597716493</v>
      </c>
      <c r="S84" s="811">
        <f t="shared" si="30"/>
        <v>1</v>
      </c>
      <c r="T84" s="176">
        <f t="shared" si="31"/>
        <v>7</v>
      </c>
      <c r="U84" s="251">
        <f t="shared" si="32"/>
        <v>1.5083171459771649</v>
      </c>
      <c r="V84" s="383">
        <f t="shared" si="33"/>
        <v>42.643860975681477</v>
      </c>
      <c r="W84" s="402">
        <f t="shared" si="34"/>
        <v>15.445619369877445</v>
      </c>
      <c r="X84" s="157">
        <f t="shared" si="35"/>
        <v>45727</v>
      </c>
      <c r="Y84" s="385">
        <f t="shared" si="36"/>
        <v>14.993266299253769</v>
      </c>
      <c r="Z84" s="385">
        <f t="shared" si="37"/>
        <v>15.82604994189397</v>
      </c>
      <c r="AA84" s="386">
        <f t="shared" si="38"/>
        <v>17.25886080973433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8.3018855278804121E-2</v>
      </c>
      <c r="AD84" s="231">
        <f>(INDEX(Models!$BJ84:$BT84,,AH84)*(1-AF84)+INDEX(Models!$BJ84:$BT84,,AH84+1)*AF84-ERP_i)*AE84*Ramure*Pc/MaxiM</f>
        <v>3.213792305410022E-4</v>
      </c>
      <c r="AE84" s="305">
        <f t="shared" si="40"/>
        <v>0.5</v>
      </c>
      <c r="AF84" s="177">
        <f t="shared" si="41"/>
        <v>0.50831714597716493</v>
      </c>
      <c r="AG84" s="811">
        <f t="shared" si="49"/>
        <v>1</v>
      </c>
      <c r="AH84" s="176">
        <f t="shared" si="42"/>
        <v>7</v>
      </c>
      <c r="AI84" s="225">
        <f t="shared" si="43"/>
        <v>1.5083171459771649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14.351719517753551</v>
      </c>
      <c r="C85" s="841"/>
      <c r="D85" s="393">
        <f t="shared" si="25"/>
        <v>15.149200992498818</v>
      </c>
      <c r="E85" s="385">
        <f t="shared" si="47"/>
        <v>16.037780607033159</v>
      </c>
      <c r="F85" s="385">
        <f t="shared" si="26"/>
        <v>16.038013883810674</v>
      </c>
      <c r="G85" s="110">
        <f t="shared" si="48"/>
        <v>0.33390216607952472</v>
      </c>
      <c r="H85" s="414" t="b">
        <f>Wh_hp&gt;='2024'!Maxi_hp</f>
        <v>0</v>
      </c>
      <c r="I85" s="390">
        <f>IF(H85,Wh_hp,'2024'!Maxi_hp)</f>
        <v>42.294025676295831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5.2641817554611836E-2</v>
      </c>
      <c r="M85" s="845"/>
      <c r="N85" s="845"/>
      <c r="O85" s="48">
        <f>IF(t&lt;Tnet,'2024'!Resal+('2024'!Salim-'2024'!Resal)*(1-EXP(('2024'!Tnet-t)/('2024'!Tau_j))),Resal+(Salim-Resal)*(1-EXP((Tnet-t)/(Tau_j))))*Salcycl</f>
        <v>5.5405397810758546E-2</v>
      </c>
      <c r="P85" s="169">
        <f>(INDEX(Models!$BJ85:$BT85,,T85)*(1-R85)+INDEX(Models!$BJ85:$BT85,,T85+1)*R85-ERP_i)*Q85*Ramure*Pc/MaxiM</f>
        <v>2.9948430701487498E-4</v>
      </c>
      <c r="Q85" s="305">
        <f t="shared" si="28"/>
        <v>0.5</v>
      </c>
      <c r="R85" s="177">
        <f t="shared" si="29"/>
        <v>0.50879303847652024</v>
      </c>
      <c r="S85" s="811">
        <f t="shared" si="30"/>
        <v>1</v>
      </c>
      <c r="T85" s="176">
        <f t="shared" si="31"/>
        <v>7</v>
      </c>
      <c r="U85" s="251">
        <f t="shared" si="32"/>
        <v>1.5087930384765202</v>
      </c>
      <c r="V85" s="383">
        <f t="shared" si="33"/>
        <v>42.969562794929601</v>
      </c>
      <c r="W85" s="402">
        <f t="shared" si="34"/>
        <v>14.351719517753551</v>
      </c>
      <c r="X85" s="157">
        <f t="shared" si="35"/>
        <v>45728</v>
      </c>
      <c r="Y85" s="385">
        <f t="shared" si="36"/>
        <v>13.931802528348495</v>
      </c>
      <c r="Z85" s="385">
        <f t="shared" si="37"/>
        <v>14.705950491066364</v>
      </c>
      <c r="AA85" s="386">
        <f t="shared" si="38"/>
        <v>16.037780607033159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8.3043293121414785E-2</v>
      </c>
      <c r="AD85" s="231">
        <f>(INDEX(Models!$BJ85:$BT85,,AH85)*(1-AF85)+INDEX(Models!$BJ85:$BT85,,AH85+1)*AF85-ERP_i)*AE85*Ramure*Pc/MaxiM</f>
        <v>2.9948430701487498E-4</v>
      </c>
      <c r="AE85" s="305">
        <f t="shared" si="40"/>
        <v>0.5</v>
      </c>
      <c r="AF85" s="177">
        <f t="shared" si="41"/>
        <v>0.50879303847652024</v>
      </c>
      <c r="AG85" s="811">
        <f t="shared" si="49"/>
        <v>1</v>
      </c>
      <c r="AH85" s="176">
        <f t="shared" si="42"/>
        <v>7</v>
      </c>
      <c r="AI85" s="225">
        <f t="shared" si="43"/>
        <v>1.5087930384765202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9.7421094661098948</v>
      </c>
      <c r="C86" s="841"/>
      <c r="D86" s="393">
        <f t="shared" si="25"/>
        <v>10.283674146177429</v>
      </c>
      <c r="E86" s="385">
        <f t="shared" si="47"/>
        <v>10.88746828838687</v>
      </c>
      <c r="F86" s="385">
        <f t="shared" si="26"/>
        <v>10.88746828838687</v>
      </c>
      <c r="G86" s="110">
        <f t="shared" si="48"/>
        <v>0.22495566235157827</v>
      </c>
      <c r="H86" s="414" t="b">
        <f>Wh_hp&gt;='2024'!Maxi_hp</f>
        <v>0</v>
      </c>
      <c r="I86" s="390">
        <f>IF(H86,Wh_hp,'2024'!Maxi_hp)</f>
        <v>41.647039184319176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5.266256713013806E-2</v>
      </c>
      <c r="M86" s="845"/>
      <c r="N86" s="845"/>
      <c r="O86" s="48">
        <f>IF(t&lt;Tnet,'2024'!Resal+('2024'!Salim-'2024'!Resal)*(1-EXP(('2024'!Tnet-t)/('2024'!Tau_j))),Resal+(Salim-Resal)*(1-EXP((Tnet-t)/(Tau_j))))*Salcycl</f>
        <v>5.54577176452931E-2</v>
      </c>
      <c r="P86" s="169">
        <f>(INDEX(Models!$BJ86:$BT86,,T86)*(1-R86)+INDEX(Models!$BJ86:$BT86,,T86+1)*R86-ERP_i)*Q86*Ramure*Pc/MaxiM</f>
        <v>2.7635478278598911E-4</v>
      </c>
      <c r="Q86" s="305">
        <f t="shared" si="28"/>
        <v>0.5</v>
      </c>
      <c r="R86" s="177">
        <f t="shared" si="29"/>
        <v>0.50928791172336596</v>
      </c>
      <c r="S86" s="811">
        <f t="shared" si="30"/>
        <v>1</v>
      </c>
      <c r="T86" s="176">
        <f t="shared" si="31"/>
        <v>7</v>
      </c>
      <c r="U86" s="251">
        <f t="shared" si="32"/>
        <v>1.509287911723366</v>
      </c>
      <c r="V86" s="383">
        <f t="shared" si="33"/>
        <v>43.294830126760665</v>
      </c>
      <c r="W86" s="402">
        <f t="shared" si="34"/>
        <v>9.7421094661098948</v>
      </c>
      <c r="X86" s="157">
        <f t="shared" si="35"/>
        <v>45729</v>
      </c>
      <c r="Y86" s="385">
        <f t="shared" si="36"/>
        <v>9.4573351447999716</v>
      </c>
      <c r="Z86" s="385">
        <f t="shared" si="37"/>
        <v>9.9830691965268823</v>
      </c>
      <c r="AA86" s="386">
        <f t="shared" si="38"/>
        <v>10.88746828838687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8.3067896769413993E-2</v>
      </c>
      <c r="AD86" s="231">
        <f>(INDEX(Models!$BJ86:$BT86,,AH86)*(1-AF86)+INDEX(Models!$BJ86:$BT86,,AH86+1)*AF86-ERP_i)*AE86*Ramure*Pc/MaxiM</f>
        <v>2.7635478278598911E-4</v>
      </c>
      <c r="AE86" s="305">
        <f t="shared" si="40"/>
        <v>0.5</v>
      </c>
      <c r="AF86" s="177">
        <f t="shared" si="41"/>
        <v>0.50928791172336596</v>
      </c>
      <c r="AG86" s="811">
        <f t="shared" si="49"/>
        <v>1</v>
      </c>
      <c r="AH86" s="176">
        <f t="shared" si="42"/>
        <v>7</v>
      </c>
      <c r="AI86" s="225">
        <f t="shared" si="43"/>
        <v>1.509287911723366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14.039443259724022</v>
      </c>
      <c r="C87" s="841"/>
      <c r="D87" s="393">
        <f t="shared" si="25"/>
        <v>14.820221685704833</v>
      </c>
      <c r="E87" s="385">
        <f t="shared" si="47"/>
        <v>15.691244727663722</v>
      </c>
      <c r="F87" s="385">
        <f t="shared" si="26"/>
        <v>15.691369218089463</v>
      </c>
      <c r="G87" s="110">
        <f t="shared" si="48"/>
        <v>0.32178328613769558</v>
      </c>
      <c r="H87" s="414" t="b">
        <f>Wh_hp&gt;='2024'!Maxi_hp</f>
        <v>0</v>
      </c>
      <c r="I87" s="390">
        <f>IF(H87,Wh_hp,'2024'!Maxi_hp)</f>
        <v>41.178376020580401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5.2683316251195378E-2</v>
      </c>
      <c r="M87" s="845"/>
      <c r="N87" s="845"/>
      <c r="O87" s="48">
        <f>IF(t&lt;Tnet,'2024'!Resal+('2024'!Salim-'2024'!Resal)*(1-EXP(('2024'!Tnet-t)/('2024'!Tau_j))),Resal+(Salim-Resal)*(1-EXP((Tnet-t)/(Tau_j))))*Salcycl</f>
        <v>5.5510130462962735E-2</v>
      </c>
      <c r="P87" s="169">
        <f>(INDEX(Models!$BJ87:$BT87,,T87)*(1-R87)+INDEX(Models!$BJ87:$BT87,,T87+1)*R87-ERP_i)*Q87*Ramure*Pc/MaxiM</f>
        <v>2.5402324062746091E-4</v>
      </c>
      <c r="Q87" s="305">
        <f t="shared" si="28"/>
        <v>0.5</v>
      </c>
      <c r="R87" s="177">
        <f t="shared" si="29"/>
        <v>0.50980248095640368</v>
      </c>
      <c r="S87" s="811">
        <f t="shared" si="30"/>
        <v>1</v>
      </c>
      <c r="T87" s="176">
        <f t="shared" si="31"/>
        <v>7</v>
      </c>
      <c r="U87" s="251">
        <f t="shared" si="32"/>
        <v>1.5098024809564037</v>
      </c>
      <c r="V87" s="383">
        <f t="shared" si="33"/>
        <v>43.619382598990491</v>
      </c>
      <c r="W87" s="402">
        <f t="shared" si="34"/>
        <v>14.039443259724022</v>
      </c>
      <c r="X87" s="157">
        <f t="shared" si="35"/>
        <v>45730</v>
      </c>
      <c r="Y87" s="385">
        <f t="shared" si="36"/>
        <v>13.629440121882215</v>
      </c>
      <c r="Z87" s="385">
        <f t="shared" si="37"/>
        <v>14.387416959602781</v>
      </c>
      <c r="AA87" s="386">
        <f t="shared" si="38"/>
        <v>15.691244727663722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8.3092692178988722E-2</v>
      </c>
      <c r="AD87" s="231">
        <f>(INDEX(Models!$BJ87:$BT87,,AH87)*(1-AF87)+INDEX(Models!$BJ87:$BT87,,AH87+1)*AF87-ERP_i)*AE87*Ramure*Pc/MaxiM</f>
        <v>2.5402324062746091E-4</v>
      </c>
      <c r="AE87" s="305">
        <f t="shared" si="40"/>
        <v>0.5</v>
      </c>
      <c r="AF87" s="177">
        <f t="shared" si="41"/>
        <v>0.50980248095640368</v>
      </c>
      <c r="AG87" s="811">
        <f t="shared" si="49"/>
        <v>1</v>
      </c>
      <c r="AH87" s="176">
        <f t="shared" si="42"/>
        <v>7</v>
      </c>
      <c r="AI87" s="225">
        <f t="shared" si="43"/>
        <v>1.5098024809564037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14.063072392643532</v>
      </c>
      <c r="C88" s="841"/>
      <c r="D88" s="393">
        <f t="shared" si="25"/>
        <v>14.84549006475272</v>
      </c>
      <c r="E88" s="385">
        <f t="shared" si="47"/>
        <v>15.718872340106264</v>
      </c>
      <c r="F88" s="385">
        <f t="shared" si="26"/>
        <v>15.718976900021095</v>
      </c>
      <c r="G88" s="110">
        <f t="shared" si="48"/>
        <v>0.31995739728484629</v>
      </c>
      <c r="H88" s="414" t="b">
        <f>Wh_hp&gt;='2024'!Maxi_hp</f>
        <v>0</v>
      </c>
      <c r="I88" s="390">
        <f>IF(H88,Wh_hp,'2024'!Maxi_hp)</f>
        <v>31.428093358036886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5.2704064917793669E-2</v>
      </c>
      <c r="M88" s="845"/>
      <c r="N88" s="845"/>
      <c r="O88" s="48">
        <f>IF(t&lt;Tnet,'2024'!Resal+('2024'!Salim-'2024'!Resal)*(1-EXP(('2024'!Tnet-t)/('2024'!Tau_j))),Resal+(Salim-Resal)*(1-EXP((Tnet-t)/(Tau_j))))*Salcycl</f>
        <v>5.5562654652085555E-2</v>
      </c>
      <c r="P88" s="169">
        <f>(INDEX(Models!$BJ88:$BT88,,T88)*(1-R88)+INDEX(Models!$BJ88:$BT88,,T88+1)*R88-ERP_i)*Q88*Ramure*Pc/MaxiM</f>
        <v>2.3246912327997714E-4</v>
      </c>
      <c r="Q88" s="305">
        <f t="shared" si="28"/>
        <v>0.5</v>
      </c>
      <c r="R88" s="177">
        <f t="shared" si="29"/>
        <v>0.51033748488803532</v>
      </c>
      <c r="S88" s="811">
        <f t="shared" si="30"/>
        <v>1</v>
      </c>
      <c r="T88" s="176">
        <f t="shared" si="31"/>
        <v>7</v>
      </c>
      <c r="U88" s="251">
        <f t="shared" si="32"/>
        <v>1.5103374848880353</v>
      </c>
      <c r="V88" s="383">
        <f t="shared" si="33"/>
        <v>43.943027433796345</v>
      </c>
      <c r="W88" s="402">
        <f t="shared" si="34"/>
        <v>14.063072392643532</v>
      </c>
      <c r="X88" s="157">
        <f t="shared" si="35"/>
        <v>45731</v>
      </c>
      <c r="Y88" s="385">
        <f t="shared" si="36"/>
        <v>13.652765992432244</v>
      </c>
      <c r="Z88" s="385">
        <f t="shared" si="37"/>
        <v>14.412355724135411</v>
      </c>
      <c r="AA88" s="386">
        <f t="shared" si="38"/>
        <v>15.718872340106264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8.3117706391527421E-2</v>
      </c>
      <c r="AD88" s="231">
        <f>(INDEX(Models!$BJ88:$BT88,,AH88)*(1-AF88)+INDEX(Models!$BJ88:$BT88,,AH88+1)*AF88-ERP_i)*AE88*Ramure*Pc/MaxiM</f>
        <v>2.3246912327997714E-4</v>
      </c>
      <c r="AE88" s="305">
        <f t="shared" si="40"/>
        <v>0.5</v>
      </c>
      <c r="AF88" s="177">
        <f t="shared" si="41"/>
        <v>0.51033748488803532</v>
      </c>
      <c r="AG88" s="811">
        <f t="shared" si="49"/>
        <v>1</v>
      </c>
      <c r="AH88" s="176">
        <f t="shared" si="42"/>
        <v>7</v>
      </c>
      <c r="AI88" s="225">
        <f t="shared" si="43"/>
        <v>1.5103374848880353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12.675844464274514</v>
      </c>
      <c r="C89" s="841"/>
      <c r="D89" s="393">
        <f t="shared" si="25"/>
        <v>13.381374958376616</v>
      </c>
      <c r="E89" s="385">
        <f t="shared" si="47"/>
        <v>14.169411141774575</v>
      </c>
      <c r="F89" s="385">
        <f t="shared" si="26"/>
        <v>14.169411141774575</v>
      </c>
      <c r="G89" s="110">
        <f t="shared" si="48"/>
        <v>0.28629837613191716</v>
      </c>
      <c r="H89" s="414" t="b">
        <f>Wh_hp&gt;='2024'!Maxi_hp</f>
        <v>0</v>
      </c>
      <c r="I89" s="390">
        <f>IF(H89,Wh_hp,'2024'!Maxi_hp)</f>
        <v>50.491533478793343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5.2724813129942816E-2</v>
      </c>
      <c r="M89" s="845"/>
      <c r="N89" s="845"/>
      <c r="O89" s="48">
        <f>IF(t&lt;Tnet,'2024'!Resal+('2024'!Salim-'2024'!Resal)*(1-EXP(('2024'!Tnet-t)/('2024'!Tau_j))),Resal+(Salim-Resal)*(1-EXP((Tnet-t)/(Tau_j))))*Salcycl</f>
        <v>5.5615309310536716E-2</v>
      </c>
      <c r="P89" s="169">
        <f>(INDEX(Models!$BJ89:$BT89,,T89)*(1-R89)+INDEX(Models!$BJ89:$BT89,,T89+1)*R89-ERP_i)*Q89*Ramure*Pc/MaxiM</f>
        <v>2.1167181872334043E-4</v>
      </c>
      <c r="Q89" s="305">
        <f t="shared" si="28"/>
        <v>0.5</v>
      </c>
      <c r="R89" s="177">
        <f t="shared" si="29"/>
        <v>0.51089368618080711</v>
      </c>
      <c r="S89" s="811">
        <f t="shared" si="30"/>
        <v>1</v>
      </c>
      <c r="T89" s="176">
        <f t="shared" si="31"/>
        <v>7</v>
      </c>
      <c r="U89" s="251">
        <f t="shared" si="32"/>
        <v>1.5108936861808071</v>
      </c>
      <c r="V89" s="383">
        <f t="shared" si="33"/>
        <v>44.265571871017237</v>
      </c>
      <c r="W89" s="402">
        <f t="shared" si="34"/>
        <v>12.675844464274514</v>
      </c>
      <c r="X89" s="157">
        <f t="shared" si="35"/>
        <v>45732</v>
      </c>
      <c r="Y89" s="385">
        <f t="shared" si="36"/>
        <v>12.306359109029055</v>
      </c>
      <c r="Z89" s="385">
        <f t="shared" si="37"/>
        <v>12.99132425255554</v>
      </c>
      <c r="AA89" s="386">
        <f t="shared" si="38"/>
        <v>14.169411141774575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8.3142967441023216E-2</v>
      </c>
      <c r="AD89" s="231">
        <f>(INDEX(Models!$BJ89:$BT89,,AH89)*(1-AF89)+INDEX(Models!$BJ89:$BT89,,AH89+1)*AF89-ERP_i)*AE89*Ramure*Pc/MaxiM</f>
        <v>2.1167181872334043E-4</v>
      </c>
      <c r="AE89" s="305">
        <f t="shared" si="40"/>
        <v>0.5</v>
      </c>
      <c r="AF89" s="177">
        <f t="shared" si="41"/>
        <v>0.51089368618080711</v>
      </c>
      <c r="AG89" s="811">
        <f t="shared" si="49"/>
        <v>1</v>
      </c>
      <c r="AH89" s="176">
        <f t="shared" si="42"/>
        <v>7</v>
      </c>
      <c r="AI89" s="225">
        <f t="shared" si="43"/>
        <v>1.5108936861808071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10.574901824627899</v>
      </c>
      <c r="C90" s="841"/>
      <c r="D90" s="393">
        <f t="shared" si="25"/>
        <v>11.163739527615649</v>
      </c>
      <c r="E90" s="385">
        <f t="shared" si="47"/>
        <v>11.821839011570226</v>
      </c>
      <c r="F90" s="385">
        <f t="shared" si="26"/>
        <v>11.821839011570226</v>
      </c>
      <c r="G90" s="110">
        <f t="shared" si="48"/>
        <v>0.23713004894106191</v>
      </c>
      <c r="H90" s="414" t="b">
        <f>Wh_hp&gt;='2024'!Maxi_hp</f>
        <v>0</v>
      </c>
      <c r="I90" s="390">
        <f>IF(H90,Wh_hp,'2024'!Maxi_hp)</f>
        <v>27.136616542417517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5.2745560887653031E-2</v>
      </c>
      <c r="M90" s="845"/>
      <c r="N90" s="845"/>
      <c r="O90" s="48">
        <f>IF(t&lt;Tnet,'2024'!Resal+('2024'!Salim-'2024'!Resal)*(1-EXP(('2024'!Tnet-t)/('2024'!Tau_j))),Resal+(Salim-Resal)*(1-EXP((Tnet-t)/(Tau_j))))*Salcycl</f>
        <v>5.5668114183460411E-2</v>
      </c>
      <c r="P90" s="169">
        <f>(INDEX(Models!$BJ90:$BT90,,T90)*(1-R90)+INDEX(Models!$BJ90:$BT90,,T90+1)*R90-ERP_i)*Q90*Ramure*Pc/MaxiM</f>
        <v>1.9161067893140379E-4</v>
      </c>
      <c r="Q90" s="305">
        <f t="shared" si="28"/>
        <v>0.5</v>
      </c>
      <c r="R90" s="177">
        <f t="shared" si="29"/>
        <v>0.5114718719065714</v>
      </c>
      <c r="S90" s="811">
        <f t="shared" si="30"/>
        <v>1</v>
      </c>
      <c r="T90" s="176">
        <f t="shared" si="31"/>
        <v>7</v>
      </c>
      <c r="U90" s="251">
        <f t="shared" si="32"/>
        <v>1.5114718719065714</v>
      </c>
      <c r="V90" s="383">
        <f t="shared" si="33"/>
        <v>44.586823170341901</v>
      </c>
      <c r="W90" s="402">
        <f t="shared" si="34"/>
        <v>10.574901824627899</v>
      </c>
      <c r="X90" s="157">
        <f t="shared" si="35"/>
        <v>45733</v>
      </c>
      <c r="Y90" s="385">
        <f t="shared" si="36"/>
        <v>10.266944495699194</v>
      </c>
      <c r="Z90" s="385">
        <f t="shared" si="37"/>
        <v>10.838634343397896</v>
      </c>
      <c r="AA90" s="386">
        <f t="shared" si="38"/>
        <v>11.821839011570226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8.3168504258098325E-2</v>
      </c>
      <c r="AD90" s="231">
        <f>(INDEX(Models!$BJ90:$BT90,,AH90)*(1-AF90)+INDEX(Models!$BJ90:$BT90,,AH90+1)*AF90-ERP_i)*AE90*Ramure*Pc/MaxiM</f>
        <v>1.9161067893140379E-4</v>
      </c>
      <c r="AE90" s="305">
        <f t="shared" si="40"/>
        <v>0.5</v>
      </c>
      <c r="AF90" s="177">
        <f t="shared" si="41"/>
        <v>0.5114718719065714</v>
      </c>
      <c r="AG90" s="811">
        <f t="shared" si="49"/>
        <v>1</v>
      </c>
      <c r="AH90" s="176">
        <f t="shared" si="42"/>
        <v>7</v>
      </c>
      <c r="AI90" s="225">
        <f t="shared" si="43"/>
        <v>1.5114718719065714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14.099714849591228</v>
      </c>
      <c r="C91" s="841"/>
      <c r="D91" s="393">
        <f t="shared" si="25"/>
        <v>14.885149220846452</v>
      </c>
      <c r="E91" s="385">
        <f t="shared" si="47"/>
        <v>15.763509125207094</v>
      </c>
      <c r="F91" s="385">
        <f t="shared" si="26"/>
        <v>15.763563353013684</v>
      </c>
      <c r="G91" s="110">
        <f t="shared" si="48"/>
        <v>0.31392574880894769</v>
      </c>
      <c r="H91" s="414" t="b">
        <f>Wh_hp&gt;='2024'!Maxi_hp</f>
        <v>0</v>
      </c>
      <c r="I91" s="390">
        <f>IF(H91,Wh_hp,'2024'!Maxi_hp)</f>
        <v>35.441978382349127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5.2766308190933975E-2</v>
      </c>
      <c r="M91" s="845"/>
      <c r="N91" s="845"/>
      <c r="O91" s="48">
        <f>IF(t&lt;Tnet,'2024'!Resal+('2024'!Salim-'2024'!Resal)*(1-EXP(('2024'!Tnet-t)/('2024'!Tau_j))),Resal+(Salim-Resal)*(1-EXP((Tnet-t)/(Tau_j))))*Salcycl</f>
        <v>5.5721089599020432E-2</v>
      </c>
      <c r="P91" s="169">
        <f>(INDEX(Models!$BJ91:$BT91,,T91)*(1-R91)+INDEX(Models!$BJ91:$BT91,,T91+1)*R91-ERP_i)*Q91*Ramure*Pc/MaxiM</f>
        <v>1.722650378192086E-4</v>
      </c>
      <c r="Q91" s="305">
        <f t="shared" si="28"/>
        <v>0.5</v>
      </c>
      <c r="R91" s="177">
        <f t="shared" si="29"/>
        <v>0.51207285398519686</v>
      </c>
      <c r="S91" s="811">
        <f t="shared" si="30"/>
        <v>1</v>
      </c>
      <c r="T91" s="176">
        <f t="shared" si="31"/>
        <v>7</v>
      </c>
      <c r="U91" s="251">
        <f t="shared" si="32"/>
        <v>1.5120728539851969</v>
      </c>
      <c r="V91" s="383">
        <f t="shared" si="33"/>
        <v>44.906588615375753</v>
      </c>
      <c r="W91" s="402">
        <f t="shared" si="34"/>
        <v>14.099714849591228</v>
      </c>
      <c r="X91" s="157">
        <f t="shared" si="35"/>
        <v>45734</v>
      </c>
      <c r="Y91" s="385">
        <f t="shared" si="36"/>
        <v>13.689491678201362</v>
      </c>
      <c r="Z91" s="385">
        <f t="shared" si="37"/>
        <v>14.45207428386189</v>
      </c>
      <c r="AA91" s="386">
        <f t="shared" si="38"/>
        <v>15.763509125207094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8.3194346571482378E-2</v>
      </c>
      <c r="AD91" s="231">
        <f>(INDEX(Models!$BJ91:$BT91,,AH91)*(1-AF91)+INDEX(Models!$BJ91:$BT91,,AH91+1)*AF91-ERP_i)*AE91*Ramure*Pc/MaxiM</f>
        <v>1.722650378192086E-4</v>
      </c>
      <c r="AE91" s="305">
        <f t="shared" si="40"/>
        <v>0.5</v>
      </c>
      <c r="AF91" s="177">
        <f t="shared" si="41"/>
        <v>0.51207285398519686</v>
      </c>
      <c r="AG91" s="811">
        <f t="shared" si="49"/>
        <v>1</v>
      </c>
      <c r="AH91" s="176">
        <f t="shared" si="42"/>
        <v>7</v>
      </c>
      <c r="AI91" s="225">
        <f t="shared" si="43"/>
        <v>1.5120728539851969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28.614930355756726</v>
      </c>
      <c r="C92" s="841"/>
      <c r="D92" s="393">
        <f t="shared" si="25"/>
        <v>30.209606517739196</v>
      </c>
      <c r="E92" s="385">
        <f t="shared" si="47"/>
        <v>31.994050916942598</v>
      </c>
      <c r="F92" s="385">
        <f t="shared" si="26"/>
        <v>31.996387192358906</v>
      </c>
      <c r="G92" s="110">
        <f t="shared" si="48"/>
        <v>0.63267726242394784</v>
      </c>
      <c r="H92" s="414" t="b">
        <f>Wh_hp&gt;='2024'!Maxi_hp</f>
        <v>0</v>
      </c>
      <c r="I92" s="390">
        <f>IF(H92,Wh_hp,'2024'!Maxi_hp)</f>
        <v>46.110957889709681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5.2787055039795749E-2</v>
      </c>
      <c r="M92" s="845"/>
      <c r="N92" s="845"/>
      <c r="O92" s="48">
        <f>IF(t&lt;Tnet,'2024'!Resal+('2024'!Salim-'2024'!Resal)*(1-EXP(('2024'!Tnet-t)/('2024'!Tau_j))),Resal+(Salim-Resal)*(1-EXP((Tnet-t)/(Tau_j))))*Salcycl</f>
        <v>5.5774256402725167E-2</v>
      </c>
      <c r="P92" s="169">
        <f>(INDEX(Models!$BJ92:$BT92,,T92)*(1-R92)+INDEX(Models!$BJ92:$BT92,,T92+1)*R92-ERP_i)*Q92*Ramure*Pc/MaxiM</f>
        <v>1.5361422831662653E-4</v>
      </c>
      <c r="Q92" s="305">
        <f t="shared" si="28"/>
        <v>0.5</v>
      </c>
      <c r="R92" s="177">
        <f t="shared" si="29"/>
        <v>0.51269746959940332</v>
      </c>
      <c r="S92" s="811">
        <f t="shared" si="30"/>
        <v>1</v>
      </c>
      <c r="T92" s="176">
        <f t="shared" si="31"/>
        <v>7</v>
      </c>
      <c r="U92" s="251">
        <f t="shared" si="32"/>
        <v>1.5126974695994033</v>
      </c>
      <c r="V92" s="383">
        <f t="shared" si="33"/>
        <v>45.224675515234637</v>
      </c>
      <c r="W92" s="402">
        <f t="shared" si="34"/>
        <v>28.614930355756726</v>
      </c>
      <c r="X92" s="157">
        <f t="shared" si="35"/>
        <v>45735</v>
      </c>
      <c r="Y92" s="385">
        <f t="shared" si="36"/>
        <v>27.783166273638802</v>
      </c>
      <c r="Z92" s="385">
        <f t="shared" si="37"/>
        <v>29.331489208908636</v>
      </c>
      <c r="AA92" s="386">
        <f t="shared" si="38"/>
        <v>31.994050916942598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8.3220524807753854E-2</v>
      </c>
      <c r="AD92" s="231">
        <f>(INDEX(Models!$BJ92:$BT92,,AH92)*(1-AF92)+INDEX(Models!$BJ92:$BT92,,AH92+1)*AF92-ERP_i)*AE92*Ramure*Pc/MaxiM</f>
        <v>1.5361422831662653E-4</v>
      </c>
      <c r="AE92" s="305">
        <f t="shared" si="40"/>
        <v>0.5</v>
      </c>
      <c r="AF92" s="177">
        <f t="shared" si="41"/>
        <v>0.51269746959940332</v>
      </c>
      <c r="AG92" s="811">
        <f t="shared" si="49"/>
        <v>1</v>
      </c>
      <c r="AH92" s="176">
        <f t="shared" si="42"/>
        <v>7</v>
      </c>
      <c r="AI92" s="225">
        <f t="shared" si="43"/>
        <v>1.5126974695994033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29.555740963667493</v>
      </c>
      <c r="C93" s="841"/>
      <c r="D93" s="393">
        <f t="shared" si="25"/>
        <v>31.203530823439113</v>
      </c>
      <c r="E93" s="385">
        <f t="shared" si="47"/>
        <v>33.048553431110321</v>
      </c>
      <c r="F93" s="385">
        <f t="shared" si="26"/>
        <v>33.050788090654606</v>
      </c>
      <c r="G93" s="110">
        <f t="shared" si="48"/>
        <v>0.64891284018897055</v>
      </c>
      <c r="H93" s="414" t="b">
        <f>Wh_hp&gt;='2024'!Maxi_hp</f>
        <v>0</v>
      </c>
      <c r="I93" s="390">
        <f>IF(H93,Wh_hp,'2024'!Maxi_hp)</f>
        <v>51.145293953169229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5.2807801434248347E-2</v>
      </c>
      <c r="M93" s="845"/>
      <c r="N93" s="845"/>
      <c r="O93" s="48">
        <f>IF(t&lt;Tnet,'2024'!Resal+('2024'!Salim-'2024'!Resal)*(1-EXP(('2024'!Tnet-t)/('2024'!Tau_j))),Resal+(Salim-Resal)*(1-EXP((Tnet-t)/(Tau_j))))*Salcycl</f>
        <v>5.5827635890846279E-2</v>
      </c>
      <c r="P93" s="169">
        <f>(INDEX(Models!$BJ93:$BT93,,T93)*(1-R93)+INDEX(Models!$BJ93:$BT93,,T93+1)*R93-ERP_i)*Q93*Ramure*Pc/MaxiM</f>
        <v>1.3562997860209038E-4</v>
      </c>
      <c r="Q93" s="305">
        <f t="shared" si="28"/>
        <v>0.5</v>
      </c>
      <c r="R93" s="177">
        <f t="shared" si="29"/>
        <v>0.51334658158202484</v>
      </c>
      <c r="S93" s="811">
        <f t="shared" si="30"/>
        <v>1</v>
      </c>
      <c r="T93" s="176">
        <f t="shared" si="31"/>
        <v>7</v>
      </c>
      <c r="U93" s="251">
        <f t="shared" si="32"/>
        <v>1.5133465815820248</v>
      </c>
      <c r="V93" s="383">
        <f t="shared" si="33"/>
        <v>45.543451604220138</v>
      </c>
      <c r="W93" s="402">
        <f t="shared" si="34"/>
        <v>29.555740963667493</v>
      </c>
      <c r="X93" s="157">
        <f t="shared" si="35"/>
        <v>45736</v>
      </c>
      <c r="Y93" s="385">
        <f t="shared" si="36"/>
        <v>28.697421315249017</v>
      </c>
      <c r="Z93" s="385">
        <f t="shared" si="37"/>
        <v>30.297358190558317</v>
      </c>
      <c r="AA93" s="386">
        <f t="shared" si="38"/>
        <v>33.048553431110321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8.3247069990124281E-2</v>
      </c>
      <c r="AD93" s="231">
        <f>(INDEX(Models!$BJ93:$BT93,,AH93)*(1-AF93)+INDEX(Models!$BJ93:$BT93,,AH93+1)*AF93-ERP_i)*AE93*Ramure*Pc/MaxiM</f>
        <v>1.3562997860209038E-4</v>
      </c>
      <c r="AE93" s="305">
        <f t="shared" si="40"/>
        <v>0.5</v>
      </c>
      <c r="AF93" s="177">
        <f t="shared" si="41"/>
        <v>0.51334658158202484</v>
      </c>
      <c r="AG93" s="811">
        <f t="shared" si="49"/>
        <v>1</v>
      </c>
      <c r="AH93" s="176">
        <f t="shared" si="42"/>
        <v>7</v>
      </c>
      <c r="AI93" s="225">
        <f t="shared" si="43"/>
        <v>1.5133465815820248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43.095168783708246</v>
      </c>
      <c r="C94" s="841"/>
      <c r="D94" s="393">
        <f t="shared" si="25"/>
        <v>45.498804534535019</v>
      </c>
      <c r="E94" s="385">
        <f t="shared" si="47"/>
        <v>48.191823880385996</v>
      </c>
      <c r="F94" s="385">
        <f t="shared" si="26"/>
        <v>48.197053784219769</v>
      </c>
      <c r="G94" s="110">
        <f t="shared" si="48"/>
        <v>0.93960452943099637</v>
      </c>
      <c r="H94" s="414" t="b">
        <f>Wh_hp&gt;='2024'!Maxi_hp</f>
        <v>0</v>
      </c>
      <c r="I94" s="390">
        <f>IF(H94,Wh_hp,'2024'!Maxi_hp)</f>
        <v>51.378117175877115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5.2828547374301649E-2</v>
      </c>
      <c r="M94" s="845"/>
      <c r="N94" s="845"/>
      <c r="O94" s="48">
        <f>IF(t&lt;Tnet,'2024'!Resal+('2024'!Salim-'2024'!Resal)*(1-EXP(('2024'!Tnet-t)/('2024'!Tau_j))),Resal+(Salim-Resal)*(1-EXP((Tnet-t)/(Tau_j))))*Salcycl</f>
        <v>5.5881249743424448E-2</v>
      </c>
      <c r="P94" s="169">
        <f>(INDEX(Models!$BJ94:$BT94,,T94)*(1-R94)+INDEX(Models!$BJ94:$BT94,,T94+1)*R94-ERP_i)*Q94*Ramure*Pc/MaxiM</f>
        <v>1.1875535020971503E-4</v>
      </c>
      <c r="Q94" s="305">
        <f t="shared" si="28"/>
        <v>0.5</v>
      </c>
      <c r="R94" s="177">
        <f t="shared" si="29"/>
        <v>0.5140210787717252</v>
      </c>
      <c r="S94" s="811">
        <f t="shared" si="30"/>
        <v>1</v>
      </c>
      <c r="T94" s="176">
        <f t="shared" si="31"/>
        <v>7</v>
      </c>
      <c r="U94" s="251">
        <f t="shared" si="32"/>
        <v>1.5140210787717252</v>
      </c>
      <c r="V94" s="383">
        <f t="shared" si="33"/>
        <v>45.864750432747741</v>
      </c>
      <c r="W94" s="402">
        <f t="shared" si="34"/>
        <v>43.095168783708246</v>
      </c>
      <c r="X94" s="157">
        <f t="shared" si="35"/>
        <v>45737</v>
      </c>
      <c r="Y94" s="385">
        <f t="shared" si="36"/>
        <v>41.844800879114459</v>
      </c>
      <c r="Z94" s="385">
        <f t="shared" si="37"/>
        <v>44.178697281378703</v>
      </c>
      <c r="AA94" s="386">
        <f t="shared" si="38"/>
        <v>48.191823880385996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8.3274013637002639E-2</v>
      </c>
      <c r="AD94" s="231">
        <f>(INDEX(Models!$BJ94:$BT94,,AH94)*(1-AF94)+INDEX(Models!$BJ94:$BT94,,AH94+1)*AF94-ERP_i)*AE94*Ramure*Pc/MaxiM</f>
        <v>1.1875535020971503E-4</v>
      </c>
      <c r="AE94" s="305">
        <f t="shared" si="40"/>
        <v>0.5</v>
      </c>
      <c r="AF94" s="177">
        <f t="shared" si="41"/>
        <v>0.5140210787717252</v>
      </c>
      <c r="AG94" s="811">
        <f t="shared" si="49"/>
        <v>1</v>
      </c>
      <c r="AH94" s="176">
        <f t="shared" si="42"/>
        <v>7</v>
      </c>
      <c r="AI94" s="225">
        <f t="shared" si="43"/>
        <v>1.5140210787717252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40.55273970329602</v>
      </c>
      <c r="C95" s="841"/>
      <c r="D95" s="393">
        <f t="shared" si="25"/>
        <v>42.815509081703489</v>
      </c>
      <c r="E95" s="385">
        <f t="shared" si="47"/>
        <v>45.352295151333379</v>
      </c>
      <c r="F95" s="385">
        <f t="shared" si="26"/>
        <v>45.356168736979491</v>
      </c>
      <c r="G95" s="110">
        <f t="shared" si="48"/>
        <v>0.87798496458938202</v>
      </c>
      <c r="H95" s="414" t="b">
        <f>Wh_hp&gt;='2024'!Maxi_hp</f>
        <v>0</v>
      </c>
      <c r="I95" s="390">
        <f>IF(H95,Wh_hp,'2024'!Maxi_hp)</f>
        <v>50.23936086110939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5.2849292859965646E-2</v>
      </c>
      <c r="M95" s="845"/>
      <c r="N95" s="845"/>
      <c r="O95" s="48">
        <f>IF(t&lt;Tnet,'2024'!Resal+('2024'!Salim-'2024'!Resal)*(1-EXP(('2024'!Tnet-t)/('2024'!Tau_j))),Resal+(Salim-Resal)*(1-EXP((Tnet-t)/(Tau_j))))*Salcycl</f>
        <v>5.5935119957326057E-2</v>
      </c>
      <c r="P95" s="169">
        <f>(INDEX(Models!$BJ95:$BT95,,T95)*(1-R95)+INDEX(Models!$BJ95:$BT95,,T95+1)*R95-ERP_i)*Q95*Ramure*Pc/MaxiM</f>
        <v>1.0342997178772267E-4</v>
      </c>
      <c r="Q95" s="305">
        <f t="shared" si="28"/>
        <v>0.5</v>
      </c>
      <c r="R95" s="177">
        <f t="shared" si="29"/>
        <v>0.51472187633289979</v>
      </c>
      <c r="S95" s="811">
        <f t="shared" si="30"/>
        <v>1</v>
      </c>
      <c r="T95" s="176">
        <f t="shared" si="31"/>
        <v>7</v>
      </c>
      <c r="U95" s="251">
        <f t="shared" si="32"/>
        <v>1.5147218763328998</v>
      </c>
      <c r="V95" s="383">
        <f t="shared" si="33"/>
        <v>46.187588925315524</v>
      </c>
      <c r="W95" s="402">
        <f t="shared" si="34"/>
        <v>40.55273970329602</v>
      </c>
      <c r="X95" s="157">
        <f t="shared" si="35"/>
        <v>45738</v>
      </c>
      <c r="Y95" s="385">
        <f t="shared" si="36"/>
        <v>39.377209128756654</v>
      </c>
      <c r="Z95" s="385">
        <f t="shared" si="37"/>
        <v>41.574386031614729</v>
      </c>
      <c r="AA95" s="386">
        <f t="shared" si="38"/>
        <v>45.352295151333379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8.3301387661029624E-2</v>
      </c>
      <c r="AD95" s="231">
        <f>(INDEX(Models!$BJ95:$BT95,,AH95)*(1-AF95)+INDEX(Models!$BJ95:$BT95,,AH95+1)*AF95-ERP_i)*AE95*Ramure*Pc/MaxiM</f>
        <v>1.0342997178772267E-4</v>
      </c>
      <c r="AE95" s="305">
        <f t="shared" si="40"/>
        <v>0.5</v>
      </c>
      <c r="AF95" s="177">
        <f t="shared" si="41"/>
        <v>0.51472187633289979</v>
      </c>
      <c r="AG95" s="811">
        <f t="shared" si="49"/>
        <v>1</v>
      </c>
      <c r="AH95" s="176">
        <f t="shared" si="42"/>
        <v>7</v>
      </c>
      <c r="AI95" s="225">
        <f t="shared" si="43"/>
        <v>1.5147218763328998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46.531728104204475</v>
      </c>
      <c r="C96" s="841"/>
      <c r="D96" s="393">
        <f t="shared" si="25"/>
        <v>49.129190254527799</v>
      </c>
      <c r="E96" s="385">
        <f t="shared" si="47"/>
        <v>52.043042128370473</v>
      </c>
      <c r="F96" s="385">
        <f t="shared" si="26"/>
        <v>52.047706946675817</v>
      </c>
      <c r="G96" s="110">
        <f t="shared" si="48"/>
        <v>1.0004455446389739</v>
      </c>
      <c r="H96" s="414" t="b">
        <f>Wh_hp&gt;='2024'!Maxi_hp</f>
        <v>1</v>
      </c>
      <c r="I96" s="390">
        <f>IF(H96,Wh_hp,'2024'!Maxi_hp)</f>
        <v>52.047706946675817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5.2870037891250221E-2</v>
      </c>
      <c r="M96" s="845"/>
      <c r="N96" s="845"/>
      <c r="O96" s="48">
        <f>IF(t&lt;Tnet,'2024'!Resal+('2024'!Salim-'2024'!Resal)*(1-EXP(('2024'!Tnet-t)/('2024'!Tau_j))),Resal+(Salim-Resal)*(1-EXP((Tnet-t)/(Tau_j))))*Salcycl</f>
        <v>5.5989268779778618E-2</v>
      </c>
      <c r="P96" s="169">
        <f>(INDEX(Models!$BJ96:$BT96,,T96)*(1-R96)+INDEX(Models!$BJ96:$BT96,,T96+1)*R96-ERP_i)*Q96*Ramure*Pc/MaxiM</f>
        <v>8.9625817908284188E-5</v>
      </c>
      <c r="Q96" s="305">
        <f t="shared" si="28"/>
        <v>0.5</v>
      </c>
      <c r="R96" s="177">
        <f t="shared" si="29"/>
        <v>0.51544991603519441</v>
      </c>
      <c r="S96" s="811">
        <f t="shared" si="30"/>
        <v>1</v>
      </c>
      <c r="T96" s="176">
        <f t="shared" si="31"/>
        <v>7</v>
      </c>
      <c r="U96" s="251">
        <f t="shared" si="32"/>
        <v>1.5154499160351944</v>
      </c>
      <c r="V96" s="383">
        <f t="shared" si="33"/>
        <v>46.511005375106301</v>
      </c>
      <c r="W96" s="402">
        <f t="shared" si="34"/>
        <v>46.531728104204475</v>
      </c>
      <c r="X96" s="157">
        <f t="shared" si="35"/>
        <v>45739</v>
      </c>
      <c r="Y96" s="385">
        <f t="shared" si="36"/>
        <v>45.184100017846745</v>
      </c>
      <c r="Z96" s="385">
        <f t="shared" si="37"/>
        <v>47.70633579920333</v>
      </c>
      <c r="AA96" s="386">
        <f t="shared" si="38"/>
        <v>52.043042128370473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8.33292242692142E-2</v>
      </c>
      <c r="AD96" s="231">
        <f>(INDEX(Models!$BJ96:$BT96,,AH96)*(1-AF96)+INDEX(Models!$BJ96:$BT96,,AH96+1)*AF96-ERP_i)*AE96*Ramure*Pc/MaxiM</f>
        <v>8.9625817908284188E-5</v>
      </c>
      <c r="AE96" s="305">
        <f t="shared" si="40"/>
        <v>0.5</v>
      </c>
      <c r="AF96" s="177">
        <f t="shared" si="41"/>
        <v>0.51544991603519441</v>
      </c>
      <c r="AG96" s="811">
        <f t="shared" si="49"/>
        <v>1</v>
      </c>
      <c r="AH96" s="176">
        <f t="shared" si="42"/>
        <v>7</v>
      </c>
      <c r="AI96" s="225">
        <f t="shared" si="43"/>
        <v>1.5154499160351944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45.536683912788718</v>
      </c>
      <c r="C97" s="841"/>
      <c r="D97" s="393">
        <f t="shared" si="25"/>
        <v>48.079654457864166</v>
      </c>
      <c r="E97" s="385">
        <f t="shared" si="47"/>
        <v>50.934196220120384</v>
      </c>
      <c r="F97" s="385">
        <f t="shared" si="26"/>
        <v>50.937978628379177</v>
      </c>
      <c r="G97" s="110">
        <f t="shared" si="48"/>
        <v>0.9722959243715783</v>
      </c>
      <c r="H97" s="414" t="b">
        <f>Wh_hp&gt;='2024'!Maxi_hp</f>
        <v>0</v>
      </c>
      <c r="I97" s="390">
        <f>IF(H97,Wh_hp,'2024'!Maxi_hp)</f>
        <v>51.495753799818651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5.2890782468165365E-2</v>
      </c>
      <c r="M97" s="845"/>
      <c r="N97" s="845"/>
      <c r="O97" s="48">
        <f>IF(t&lt;Tnet,'2024'!Resal+('2024'!Salim-'2024'!Resal)*(1-EXP(('2024'!Tnet-t)/('2024'!Tau_j))),Resal+(Salim-Resal)*(1-EXP((Tnet-t)/(Tau_j))))*Salcycl</f>
        <v>5.604371864277307E-2</v>
      </c>
      <c r="P97" s="169">
        <f>(INDEX(Models!$BJ97:$BT97,,T97)*(1-R97)+INDEX(Models!$BJ97:$BT97,,T97+1)*R97-ERP_i)*Q97*Ramure*Pc/MaxiM</f>
        <v>7.731474645305571E-5</v>
      </c>
      <c r="Q97" s="305">
        <f t="shared" si="28"/>
        <v>0.5</v>
      </c>
      <c r="R97" s="177">
        <f t="shared" si="29"/>
        <v>0.51620616648775419</v>
      </c>
      <c r="S97" s="811">
        <f t="shared" si="30"/>
        <v>1</v>
      </c>
      <c r="T97" s="176">
        <f t="shared" si="31"/>
        <v>7</v>
      </c>
      <c r="U97" s="251">
        <f t="shared" si="32"/>
        <v>1.5162061664877542</v>
      </c>
      <c r="V97" s="383">
        <f t="shared" si="33"/>
        <v>46.834038319048659</v>
      </c>
      <c r="W97" s="402">
        <f t="shared" si="34"/>
        <v>45.536683912788718</v>
      </c>
      <c r="X97" s="157">
        <f t="shared" si="35"/>
        <v>45740</v>
      </c>
      <c r="Y97" s="385">
        <f t="shared" si="36"/>
        <v>44.219057666121991</v>
      </c>
      <c r="Z97" s="385">
        <f t="shared" si="37"/>
        <v>46.68844611327593</v>
      </c>
      <c r="AA97" s="386">
        <f t="shared" si="38"/>
        <v>50.934196220120384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8.3357555864742833E-2</v>
      </c>
      <c r="AD97" s="231">
        <f>(INDEX(Models!$BJ97:$BT97,,AH97)*(1-AF97)+INDEX(Models!$BJ97:$BT97,,AH97+1)*AF97-ERP_i)*AE97*Ramure*Pc/MaxiM</f>
        <v>7.731474645305571E-5</v>
      </c>
      <c r="AE97" s="305">
        <f t="shared" si="40"/>
        <v>0.5</v>
      </c>
      <c r="AF97" s="177">
        <f t="shared" si="41"/>
        <v>0.51620616648775419</v>
      </c>
      <c r="AG97" s="811">
        <f t="shared" si="49"/>
        <v>1</v>
      </c>
      <c r="AH97" s="176">
        <f t="shared" si="42"/>
        <v>7</v>
      </c>
      <c r="AI97" s="225">
        <f t="shared" si="43"/>
        <v>1.5162061664877542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39.888971991082208</v>
      </c>
      <c r="C98" s="841"/>
      <c r="D98" s="393">
        <f t="shared" si="25"/>
        <v>42.117471715701484</v>
      </c>
      <c r="E98" s="385">
        <f t="shared" si="47"/>
        <v>44.620621286373115</v>
      </c>
      <c r="F98" s="385">
        <f t="shared" si="26"/>
        <v>44.622934365878741</v>
      </c>
      <c r="G98" s="110">
        <f t="shared" si="48"/>
        <v>0.84588641090974104</v>
      </c>
      <c r="H98" s="414" t="b">
        <f>Wh_hp&gt;='2024'!Maxi_hp</f>
        <v>0</v>
      </c>
      <c r="I98" s="390">
        <f>IF(H98,Wh_hp,'2024'!Maxi_hp)</f>
        <v>48.049790210842104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5.2911526590720959E-2</v>
      </c>
      <c r="M98" s="845"/>
      <c r="N98" s="845"/>
      <c r="O98" s="48">
        <f>IF(t&lt;Tnet,'2024'!Resal+('2024'!Salim-'2024'!Resal)*(1-EXP(('2024'!Tnet-t)/('2024'!Tau_j))),Resal+(Salim-Resal)*(1-EXP((Tnet-t)/(Tau_j))))*Salcycl</f>
        <v>5.6098492098676317E-2</v>
      </c>
      <c r="P98" s="169">
        <f>(INDEX(Models!$BJ98:$BT98,,T98)*(1-R98)+INDEX(Models!$BJ98:$BT98,,T98+1)*R98-ERP_i)*Q98*Ramure*Pc/MaxiM</f>
        <v>6.6468877368378918E-5</v>
      </c>
      <c r="Q98" s="305">
        <f t="shared" si="28"/>
        <v>0.5</v>
      </c>
      <c r="R98" s="177">
        <f t="shared" si="29"/>
        <v>0.51699162332300141</v>
      </c>
      <c r="S98" s="811">
        <f t="shared" si="30"/>
        <v>1</v>
      </c>
      <c r="T98" s="176">
        <f t="shared" si="31"/>
        <v>7</v>
      </c>
      <c r="U98" s="251">
        <f t="shared" si="32"/>
        <v>1.5169916233230014</v>
      </c>
      <c r="V98" s="383">
        <f t="shared" si="33"/>
        <v>47.155726537834511</v>
      </c>
      <c r="W98" s="402">
        <f t="shared" si="34"/>
        <v>39.888971991082208</v>
      </c>
      <c r="X98" s="157">
        <f t="shared" si="35"/>
        <v>45741</v>
      </c>
      <c r="Y98" s="385">
        <f t="shared" si="36"/>
        <v>38.73579320999329</v>
      </c>
      <c r="Z98" s="385">
        <f t="shared" si="37"/>
        <v>40.899867644417874</v>
      </c>
      <c r="AA98" s="386">
        <f t="shared" si="38"/>
        <v>44.620621286373115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8.3386414950962134E-2</v>
      </c>
      <c r="AD98" s="231">
        <f>(INDEX(Models!$BJ98:$BT98,,AH98)*(1-AF98)+INDEX(Models!$BJ98:$BT98,,AH98+1)*AF98-ERP_i)*AE98*Ramure*Pc/MaxiM</f>
        <v>6.6468877368378918E-5</v>
      </c>
      <c r="AE98" s="305">
        <f t="shared" si="40"/>
        <v>0.5</v>
      </c>
      <c r="AF98" s="177">
        <f t="shared" si="41"/>
        <v>0.51699162332300141</v>
      </c>
      <c r="AG98" s="811">
        <f t="shared" si="49"/>
        <v>1</v>
      </c>
      <c r="AH98" s="176">
        <f t="shared" si="42"/>
        <v>7</v>
      </c>
      <c r="AI98" s="225">
        <f t="shared" si="43"/>
        <v>1.5169916233230014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44.893966893809889</v>
      </c>
      <c r="C99" s="841"/>
      <c r="D99" s="393">
        <f t="shared" si="25"/>
        <v>47.403121745140496</v>
      </c>
      <c r="E99" s="385">
        <f t="shared" si="47"/>
        <v>50.223343899636596</v>
      </c>
      <c r="F99" s="385">
        <f t="shared" si="26"/>
        <v>50.22598724702366</v>
      </c>
      <c r="G99" s="110">
        <f t="shared" si="48"/>
        <v>0.94562748368542671</v>
      </c>
      <c r="H99" s="414" t="b">
        <f>Wh_hp&gt;='2024'!Maxi_hp</f>
        <v>0</v>
      </c>
      <c r="I99" s="390">
        <f>IF(H99,Wh_hp,'2024'!Maxi_hp)</f>
        <v>54.932815887950575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5.2932270258927216E-2</v>
      </c>
      <c r="M99" s="845"/>
      <c r="N99" s="845"/>
      <c r="O99" s="48">
        <f>IF(t&lt;Tnet,'2024'!Resal+('2024'!Salim-'2024'!Resal)*(1-EXP(('2024'!Tnet-t)/('2024'!Tau_j))),Resal+(Salim-Resal)*(1-EXP((Tnet-t)/(Tau_j))))*Salcycl</f>
        <v>5.6153611757350709E-2</v>
      </c>
      <c r="P99" s="169">
        <f>(INDEX(Models!$BJ99:$BT99,,T99)*(1-R99)+INDEX(Models!$BJ99:$BT99,,T99+1)*R99-ERP_i)*Q99*Ramure*Pc/MaxiM</f>
        <v>5.70609464346135E-5</v>
      </c>
      <c r="Q99" s="305">
        <f t="shared" si="28"/>
        <v>0.5</v>
      </c>
      <c r="R99" s="177">
        <f t="shared" si="29"/>
        <v>0.51780730932440511</v>
      </c>
      <c r="S99" s="811">
        <f t="shared" si="30"/>
        <v>1</v>
      </c>
      <c r="T99" s="176">
        <f t="shared" si="31"/>
        <v>7</v>
      </c>
      <c r="U99" s="251">
        <f t="shared" si="32"/>
        <v>1.5178073093244051</v>
      </c>
      <c r="V99" s="383">
        <f t="shared" si="33"/>
        <v>47.475109061133949</v>
      </c>
      <c r="W99" s="402">
        <f t="shared" si="34"/>
        <v>44.893966893809889</v>
      </c>
      <c r="X99" s="157">
        <f t="shared" si="35"/>
        <v>45742</v>
      </c>
      <c r="Y99" s="385">
        <f t="shared" si="36"/>
        <v>43.597241791331776</v>
      </c>
      <c r="Z99" s="385">
        <f t="shared" si="37"/>
        <v>46.033921780072909</v>
      </c>
      <c r="AA99" s="386">
        <f t="shared" si="38"/>
        <v>50.223343899636596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8.3415834037964182E-2</v>
      </c>
      <c r="AD99" s="231">
        <f>(INDEX(Models!$BJ99:$BT99,,AH99)*(1-AF99)+INDEX(Models!$BJ99:$BT99,,AH99+1)*AF99-ERP_i)*AE99*Ramure*Pc/MaxiM</f>
        <v>5.70609464346135E-5</v>
      </c>
      <c r="AE99" s="305">
        <f t="shared" si="40"/>
        <v>0.5</v>
      </c>
      <c r="AF99" s="177">
        <f t="shared" si="41"/>
        <v>0.51780730932440511</v>
      </c>
      <c r="AG99" s="811">
        <f t="shared" si="49"/>
        <v>1</v>
      </c>
      <c r="AH99" s="176">
        <f t="shared" si="42"/>
        <v>7</v>
      </c>
      <c r="AI99" s="225">
        <f t="shared" si="43"/>
        <v>1.5178073093244051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43.730022683048951</v>
      </c>
      <c r="C100" s="841"/>
      <c r="D100" s="393">
        <f t="shared" si="25"/>
        <v>46.17513524160578</v>
      </c>
      <c r="E100" s="385">
        <f t="shared" si="47"/>
        <v>48.925175324974234</v>
      </c>
      <c r="F100" s="385">
        <f t="shared" si="26"/>
        <v>48.927294025686095</v>
      </c>
      <c r="G100" s="110">
        <f t="shared" si="48"/>
        <v>0.91501673291060592</v>
      </c>
      <c r="H100" s="414" t="b">
        <f>Wh_hp&gt;='2024'!Maxi_hp</f>
        <v>0</v>
      </c>
      <c r="I100" s="390">
        <f>IF(H100,Wh_hp,'2024'!Maxi_hp)</f>
        <v>54.175577399192605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5.2953013472793797E-2</v>
      </c>
      <c r="M100" s="845"/>
      <c r="N100" s="845"/>
      <c r="O100" s="48">
        <f>IF(t&lt;Tnet,'2024'!Resal+('2024'!Salim-'2024'!Resal)*(1-EXP(('2024'!Tnet-t)/('2024'!Tau_j))),Resal+(Salim-Resal)*(1-EXP((Tnet-t)/(Tau_j))))*Salcycl</f>
        <v>5.620910022502628E-2</v>
      </c>
      <c r="P100" s="169">
        <f>(INDEX(Models!$BJ100:$BT100,,T100)*(1-R100)+INDEX(Models!$BJ100:$BT100,,T100+1)*R100-ERP_i)*Q100*Ramure*Pc/MaxiM</f>
        <v>4.9286236555349929E-5</v>
      </c>
      <c r="Q100" s="305">
        <f t="shared" si="28"/>
        <v>0.5</v>
      </c>
      <c r="R100" s="177">
        <f t="shared" si="29"/>
        <v>0.51865427449236967</v>
      </c>
      <c r="S100" s="811">
        <f t="shared" si="30"/>
        <v>1</v>
      </c>
      <c r="T100" s="176">
        <f t="shared" si="31"/>
        <v>7</v>
      </c>
      <c r="U100" s="251">
        <f t="shared" si="32"/>
        <v>1.5186542744923697</v>
      </c>
      <c r="V100" s="383">
        <f t="shared" si="33"/>
        <v>47.791214579674943</v>
      </c>
      <c r="W100" s="402">
        <f t="shared" si="34"/>
        <v>43.730022683048951</v>
      </c>
      <c r="X100" s="157">
        <f t="shared" si="35"/>
        <v>45743</v>
      </c>
      <c r="Y100" s="385">
        <f t="shared" si="36"/>
        <v>42.468023344794581</v>
      </c>
      <c r="Z100" s="385">
        <f t="shared" si="37"/>
        <v>44.842572701195735</v>
      </c>
      <c r="AA100" s="386">
        <f t="shared" si="38"/>
        <v>48.925175324974234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8.3445845552126155E-2</v>
      </c>
      <c r="AD100" s="231">
        <f>(INDEX(Models!$BJ100:$BT100,,AH100)*(1-AF100)+INDEX(Models!$BJ100:$BT100,,AH100+1)*AF100-ERP_i)*AE100*Ramure*Pc/MaxiM</f>
        <v>4.9286236555349929E-5</v>
      </c>
      <c r="AE100" s="305">
        <f t="shared" si="40"/>
        <v>0.5</v>
      </c>
      <c r="AF100" s="177">
        <f t="shared" si="41"/>
        <v>0.51865427449236967</v>
      </c>
      <c r="AG100" s="811">
        <f t="shared" si="49"/>
        <v>1</v>
      </c>
      <c r="AH100" s="176">
        <f t="shared" si="42"/>
        <v>7</v>
      </c>
      <c r="AI100" s="225">
        <f t="shared" si="43"/>
        <v>1.5186542744923697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34.239134306175821</v>
      </c>
      <c r="C101" s="841"/>
      <c r="D101" s="393">
        <f t="shared" si="25"/>
        <v>36.154366926473045</v>
      </c>
      <c r="E101" s="385">
        <f t="shared" si="47"/>
        <v>38.30987105702787</v>
      </c>
      <c r="F101" s="385">
        <f t="shared" si="26"/>
        <v>38.310823491830064</v>
      </c>
      <c r="G101" s="110">
        <f t="shared" si="48"/>
        <v>0.71177370337190593</v>
      </c>
      <c r="H101" s="414" t="b">
        <f>Wh_hp&gt;='2024'!Maxi_hp</f>
        <v>0</v>
      </c>
      <c r="I101" s="390">
        <f>IF(H101,Wh_hp,'2024'!Maxi_hp)</f>
        <v>52.923988977147388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5.2973756232330693E-2</v>
      </c>
      <c r="M101" s="845"/>
      <c r="N101" s="845"/>
      <c r="O101" s="48">
        <f>IF(t&lt;Tnet,'2024'!Resal+('2024'!Salim-'2024'!Resal)*(1-EXP(('2024'!Tnet-t)/('2024'!Tau_j))),Resal+(Salim-Resal)*(1-EXP((Tnet-t)/(Tau_j))))*Salcycl</f>
        <v>5.626498004512083E-2</v>
      </c>
      <c r="P101" s="169">
        <f>(INDEX(Models!$BJ101:$BT101,,T101)*(1-R101)+INDEX(Models!$BJ101:$BT101,,T101+1)*R101-ERP_i)*Q101*Ramure*Pc/MaxiM</f>
        <v>4.2261035864538662E-5</v>
      </c>
      <c r="Q101" s="305">
        <f t="shared" si="28"/>
        <v>0.5</v>
      </c>
      <c r="R101" s="177">
        <f t="shared" si="29"/>
        <v>0.51953359604203397</v>
      </c>
      <c r="S101" s="811">
        <f t="shared" si="30"/>
        <v>1</v>
      </c>
      <c r="T101" s="176">
        <f t="shared" si="31"/>
        <v>7</v>
      </c>
      <c r="U101" s="251">
        <f t="shared" si="32"/>
        <v>1.519533596042034</v>
      </c>
      <c r="V101" s="383">
        <f t="shared" si="33"/>
        <v>48.103123728151111</v>
      </c>
      <c r="W101" s="402">
        <f t="shared" si="34"/>
        <v>34.239134306175821</v>
      </c>
      <c r="X101" s="157">
        <f t="shared" si="35"/>
        <v>45744</v>
      </c>
      <c r="Y101" s="385">
        <f t="shared" si="36"/>
        <v>33.251888689760918</v>
      </c>
      <c r="Z101" s="385">
        <f t="shared" si="37"/>
        <v>35.111897804933996</v>
      </c>
      <c r="AA101" s="386">
        <f t="shared" si="38"/>
        <v>38.30987105702787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8.3476481748878451E-2</v>
      </c>
      <c r="AD101" s="231">
        <f>(INDEX(Models!$BJ101:$BT101,,AH101)*(1-AF101)+INDEX(Models!$BJ101:$BT101,,AH101+1)*AF101-ERP_i)*AE101*Ramure*Pc/MaxiM</f>
        <v>4.2261035864538662E-5</v>
      </c>
      <c r="AE101" s="305">
        <f t="shared" si="40"/>
        <v>0.5</v>
      </c>
      <c r="AF101" s="177">
        <f t="shared" si="41"/>
        <v>0.51953359604203397</v>
      </c>
      <c r="AG101" s="811">
        <f t="shared" si="49"/>
        <v>1</v>
      </c>
      <c r="AH101" s="176">
        <f t="shared" si="42"/>
        <v>7</v>
      </c>
      <c r="AI101" s="225">
        <f t="shared" si="43"/>
        <v>1.519533596042034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26.967402752915504</v>
      </c>
      <c r="C102" s="841"/>
      <c r="D102" s="393">
        <f t="shared" si="25"/>
        <v>28.476500623565531</v>
      </c>
      <c r="E102" s="385">
        <f t="shared" si="47"/>
        <v>30.176054443275468</v>
      </c>
      <c r="F102" s="385">
        <f t="shared" si="26"/>
        <v>30.176453077040872</v>
      </c>
      <c r="G102" s="110">
        <f t="shared" si="48"/>
        <v>0.55705138952679589</v>
      </c>
      <c r="H102" s="414" t="b">
        <f>Wh_hp&gt;='2024'!Maxi_hp</f>
        <v>0</v>
      </c>
      <c r="I102" s="390">
        <f>IF(H102,Wh_hp,'2024'!Maxi_hp)</f>
        <v>54.418783965233558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5.2994498537548007E-2</v>
      </c>
      <c r="M102" s="845"/>
      <c r="N102" s="845"/>
      <c r="O102" s="48">
        <f>IF(t&lt;Tnet,'2024'!Resal+('2024'!Salim-'2024'!Resal)*(1-EXP(('2024'!Tnet-t)/('2024'!Tau_j))),Resal+(Salim-Resal)*(1-EXP((Tnet-t)/(Tau_j))))*Salcycl</f>
        <v>5.6321273641149409E-2</v>
      </c>
      <c r="P102" s="169">
        <f>(INDEX(Models!$BJ102:$BT102,,T102)*(1-R102)+INDEX(Models!$BJ102:$BT102,,T102+1)*R102-ERP_i)*Q102*Ramure*Pc/MaxiM</f>
        <v>3.5971831618811105E-5</v>
      </c>
      <c r="Q102" s="305">
        <f t="shared" si="28"/>
        <v>0.5</v>
      </c>
      <c r="R102" s="177">
        <f t="shared" si="29"/>
        <v>0.52044637832642038</v>
      </c>
      <c r="S102" s="811">
        <f t="shared" si="30"/>
        <v>1</v>
      </c>
      <c r="T102" s="176">
        <f t="shared" si="31"/>
        <v>7</v>
      </c>
      <c r="U102" s="251">
        <f t="shared" si="32"/>
        <v>1.5204463783264204</v>
      </c>
      <c r="V102" s="383">
        <f t="shared" si="33"/>
        <v>48.409876407909408</v>
      </c>
      <c r="W102" s="402">
        <f t="shared" si="34"/>
        <v>26.967402752915504</v>
      </c>
      <c r="X102" s="157">
        <f t="shared" si="35"/>
        <v>45745</v>
      </c>
      <c r="Y102" s="385">
        <f t="shared" si="36"/>
        <v>26.190497116388208</v>
      </c>
      <c r="Z102" s="385">
        <f t="shared" si="37"/>
        <v>27.656119289637136</v>
      </c>
      <c r="AA102" s="386">
        <f t="shared" si="38"/>
        <v>30.176054443275468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8.3507774628895595E-2</v>
      </c>
      <c r="AD102" s="231">
        <f>(INDEX(Models!$BJ102:$BT102,,AH102)*(1-AF102)+INDEX(Models!$BJ102:$BT102,,AH102+1)*AF102-ERP_i)*AE102*Ramure*Pc/MaxiM</f>
        <v>3.5971831618811105E-5</v>
      </c>
      <c r="AE102" s="305">
        <f t="shared" si="40"/>
        <v>0.5</v>
      </c>
      <c r="AF102" s="177">
        <f t="shared" si="41"/>
        <v>0.52044637832642038</v>
      </c>
      <c r="AG102" s="811">
        <f t="shared" si="49"/>
        <v>1</v>
      </c>
      <c r="AH102" s="176">
        <f t="shared" si="42"/>
        <v>7</v>
      </c>
      <c r="AI102" s="225">
        <f t="shared" si="43"/>
        <v>1.5204463783264204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7.5840013787468052</v>
      </c>
      <c r="C103" s="841"/>
      <c r="D103" s="393">
        <f t="shared" si="25"/>
        <v>8.0085780703142273</v>
      </c>
      <c r="E103" s="385">
        <f t="shared" si="47"/>
        <v>8.4870616602807374</v>
      </c>
      <c r="F103" s="385">
        <f t="shared" si="26"/>
        <v>8.4870616602807374</v>
      </c>
      <c r="G103" s="110">
        <f t="shared" si="48"/>
        <v>0.15569063727968652</v>
      </c>
      <c r="H103" s="414" t="b">
        <f>Wh_hp&gt;='2024'!Maxi_hp</f>
        <v>0</v>
      </c>
      <c r="I103" s="390">
        <f>IF(H103,Wh_hp,'2024'!Maxi_hp)</f>
        <v>55.483183570295765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5.301524038845562E-2</v>
      </c>
      <c r="M103" s="845"/>
      <c r="N103" s="845"/>
      <c r="O103" s="48">
        <f>IF(t&lt;Tnet,'2024'!Resal+('2024'!Salim-'2024'!Resal)*(1-EXP(('2024'!Tnet-t)/('2024'!Tau_j))),Resal+(Salim-Resal)*(1-EXP((Tnet-t)/(Tau_j))))*Salcycl</f>
        <v>5.6378003261812464E-2</v>
      </c>
      <c r="P103" s="169">
        <f>(INDEX(Models!$BJ103:$BT103,,T103)*(1-R103)+INDEX(Models!$BJ103:$BT103,,T103+1)*R103-ERP_i)*Q103*Ramure*Pc/MaxiM</f>
        <v>3.0405829339485956E-5</v>
      </c>
      <c r="Q103" s="305">
        <f t="shared" si="28"/>
        <v>0.5</v>
      </c>
      <c r="R103" s="177">
        <f t="shared" si="29"/>
        <v>0.52139375267803856</v>
      </c>
      <c r="S103" s="811">
        <f t="shared" si="30"/>
        <v>1</v>
      </c>
      <c r="T103" s="176">
        <f t="shared" si="31"/>
        <v>7</v>
      </c>
      <c r="U103" s="251">
        <f t="shared" si="32"/>
        <v>1.5213937526780386</v>
      </c>
      <c r="V103" s="383">
        <f t="shared" si="33"/>
        <v>48.710512805413593</v>
      </c>
      <c r="W103" s="402">
        <f t="shared" si="34"/>
        <v>7.5840013787468052</v>
      </c>
      <c r="X103" s="157">
        <f t="shared" si="35"/>
        <v>45746</v>
      </c>
      <c r="Y103" s="385">
        <f t="shared" si="36"/>
        <v>7.3656991667918037</v>
      </c>
      <c r="Z103" s="385">
        <f t="shared" si="37"/>
        <v>7.7780546012305756</v>
      </c>
      <c r="AA103" s="386">
        <f t="shared" si="38"/>
        <v>8.4870616602807374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8.3539755857825276E-2</v>
      </c>
      <c r="AD103" s="231">
        <f>(INDEX(Models!$BJ103:$BT103,,AH103)*(1-AF103)+INDEX(Models!$BJ103:$BT103,,AH103+1)*AF103-ERP_i)*AE103*Ramure*Pc/MaxiM</f>
        <v>3.0405829339485956E-5</v>
      </c>
      <c r="AE103" s="305">
        <f t="shared" si="40"/>
        <v>0.5</v>
      </c>
      <c r="AF103" s="177">
        <f t="shared" si="41"/>
        <v>0.52139375267803856</v>
      </c>
      <c r="AG103" s="811">
        <f t="shared" si="49"/>
        <v>1</v>
      </c>
      <c r="AH103" s="176">
        <f t="shared" si="42"/>
        <v>7</v>
      </c>
      <c r="AI103" s="225">
        <f t="shared" si="43"/>
        <v>1.5213937526780386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27.638878802126989</v>
      </c>
      <c r="C104" s="841"/>
      <c r="D104" s="393">
        <f t="shared" si="25"/>
        <v>29.18683104161374</v>
      </c>
      <c r="E104" s="385">
        <f t="shared" si="47"/>
        <v>30.932513337720138</v>
      </c>
      <c r="F104" s="385">
        <f t="shared" si="26"/>
        <v>30.932513337720138</v>
      </c>
      <c r="G104" s="110">
        <f t="shared" si="48"/>
        <v>0.56399745335215168</v>
      </c>
      <c r="H104" s="414" t="b">
        <f>Wh_hp&gt;='2024'!Maxi_hp</f>
        <v>0</v>
      </c>
      <c r="I104" s="390">
        <f>IF(H104,Wh_hp,'2024'!Maxi_hp)</f>
        <v>49.250450204262727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5.3035981785063413E-2</v>
      </c>
      <c r="M104" s="845"/>
      <c r="N104" s="845"/>
      <c r="O104" s="48">
        <f>IF(t&lt;Tnet,'2024'!Resal+('2024'!Salim-'2024'!Resal)*(1-EXP(('2024'!Tnet-t)/('2024'!Tau_j))),Resal+(Salim-Resal)*(1-EXP((Tnet-t)/(Tau_j))))*Salcycl</f>
        <v>5.6435190928299142E-2</v>
      </c>
      <c r="P104" s="169">
        <f>(INDEX(Models!$BJ104:$BT104,,T104)*(1-R104)+INDEX(Models!$BJ104:$BT104,,T104+1)*R104-ERP_i)*Q104*Ramure*Pc/MaxiM</f>
        <v>0</v>
      </c>
      <c r="Q104" s="305">
        <f t="shared" si="28"/>
        <v>0.5</v>
      </c>
      <c r="R104" s="177">
        <f t="shared" si="29"/>
        <v>0.99738931078772408</v>
      </c>
      <c r="S104" s="811">
        <f t="shared" si="30"/>
        <v>-3</v>
      </c>
      <c r="T104" s="176">
        <f t="shared" si="31"/>
        <v>3</v>
      </c>
      <c r="U104" s="251">
        <f t="shared" si="32"/>
        <v>-2.0026106892122759</v>
      </c>
      <c r="V104" s="383">
        <f t="shared" si="33"/>
        <v>49.005325534457121</v>
      </c>
      <c r="W104" s="402">
        <f t="shared" si="34"/>
        <v>27.638878802126989</v>
      </c>
      <c r="X104" s="157">
        <f t="shared" si="35"/>
        <v>45747</v>
      </c>
      <c r="Y104" s="385">
        <f t="shared" si="36"/>
        <v>26.843715957052243</v>
      </c>
      <c r="Z104" s="385">
        <f t="shared" si="37"/>
        <v>28.347134041749204</v>
      </c>
      <c r="AA104" s="386">
        <f t="shared" si="38"/>
        <v>30.932215262050033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8.3572456689592567E-2</v>
      </c>
      <c r="AD104" s="231">
        <f>(INDEX(Models!$BJ104:$BT104,,AH104)*(1-AF104)+INDEX(Models!$BJ104:$BT104,,AH104+1)*AF104-ERP_i)*AE104*Ramure*Pc/MaxiM</f>
        <v>2.5551101233634366E-5</v>
      </c>
      <c r="AE104" s="305">
        <f t="shared" si="40"/>
        <v>0.5</v>
      </c>
      <c r="AF104" s="177">
        <f t="shared" si="41"/>
        <v>0.522376877161703</v>
      </c>
      <c r="AG104" s="811">
        <f t="shared" si="49"/>
        <v>1</v>
      </c>
      <c r="AH104" s="176">
        <f t="shared" si="42"/>
        <v>7</v>
      </c>
      <c r="AI104" s="225">
        <f t="shared" si="43"/>
        <v>1.522376877161703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30.246942406416544</v>
      </c>
      <c r="C105" s="841"/>
      <c r="D105" s="393">
        <f t="shared" si="25"/>
        <v>31.941662328005158</v>
      </c>
      <c r="E105" s="385">
        <f t="shared" si="47"/>
        <v>33.854181827696344</v>
      </c>
      <c r="F105" s="385">
        <f t="shared" si="26"/>
        <v>33.854181829620416</v>
      </c>
      <c r="G105" s="110">
        <f t="shared" si="48"/>
        <v>0.61364457957426854</v>
      </c>
      <c r="H105" s="414" t="b">
        <f>Wh_hp&gt;='2024'!Maxi_hp</f>
        <v>0</v>
      </c>
      <c r="I105" s="390">
        <f>IF(H105,Wh_hp,'2024'!Maxi_hp)</f>
        <v>50.405835504746996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5.3056722727381378E-2</v>
      </c>
      <c r="M105" s="845"/>
      <c r="N105" s="845"/>
      <c r="O105" s="48">
        <f>IF(t&lt;Tnet,'2024'!Resal+('2024'!Salim-'2024'!Resal)*(1-EXP(('2024'!Tnet-t)/('2024'!Tau_j))),Resal+(Salim-Resal)*(1-EXP((Tnet-t)/(Tau_j))))*Salcycl</f>
        <v>5.6492858383791783E-2</v>
      </c>
      <c r="P105" s="169">
        <f>(INDEX(Models!$BJ105:$BT105,,T105)*(1-R105)+INDEX(Models!$BJ105:$BT105,,T105+1)*R105-ERP_i)*Q105*Ramure*Pc/MaxiM</f>
        <v>1.2684384336102926E-10</v>
      </c>
      <c r="Q105" s="305">
        <f t="shared" si="28"/>
        <v>0.5</v>
      </c>
      <c r="R105" s="177">
        <f t="shared" si="29"/>
        <v>0.99840936985700912</v>
      </c>
      <c r="S105" s="811">
        <f t="shared" si="30"/>
        <v>-3</v>
      </c>
      <c r="T105" s="176">
        <f t="shared" si="31"/>
        <v>3</v>
      </c>
      <c r="U105" s="251">
        <f t="shared" si="32"/>
        <v>-2.0015906301429909</v>
      </c>
      <c r="V105" s="383">
        <f t="shared" si="33"/>
        <v>49.290653598347674</v>
      </c>
      <c r="W105" s="402">
        <f t="shared" si="34"/>
        <v>30.246942406416544</v>
      </c>
      <c r="X105" s="157">
        <f t="shared" si="35"/>
        <v>45748</v>
      </c>
      <c r="Y105" s="385">
        <f t="shared" si="36"/>
        <v>29.377470893707599</v>
      </c>
      <c r="Z105" s="385">
        <f t="shared" si="37"/>
        <v>31.023474793886756</v>
      </c>
      <c r="AA105" s="386">
        <f t="shared" si="38"/>
        <v>33.853857266326159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8.3605907893241307E-2</v>
      </c>
      <c r="AD105" s="231">
        <f>(INDEX(Models!$BJ105:$BT105,,AH105)*(1-AF105)+INDEX(Models!$BJ105:$BT105,,AH105+1)*AF105-ERP_i)*AE105*Ramure*Pc/MaxiM</f>
        <v>2.1396726419877274E-5</v>
      </c>
      <c r="AE105" s="305">
        <f t="shared" si="40"/>
        <v>0.5</v>
      </c>
      <c r="AF105" s="177">
        <f t="shared" si="41"/>
        <v>0.52339693623098826</v>
      </c>
      <c r="AG105" s="811">
        <f t="shared" si="49"/>
        <v>1</v>
      </c>
      <c r="AH105" s="176">
        <f t="shared" si="42"/>
        <v>7</v>
      </c>
      <c r="AI105" s="225">
        <f t="shared" si="43"/>
        <v>1.5233969362309883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20.620554348656761</v>
      </c>
      <c r="C106" s="841"/>
      <c r="D106" s="393">
        <f t="shared" si="25"/>
        <v>21.77638988155989</v>
      </c>
      <c r="E106" s="385">
        <f t="shared" si="47"/>
        <v>23.081682746822036</v>
      </c>
      <c r="F106" s="385">
        <f t="shared" si="26"/>
        <v>23.081682747970245</v>
      </c>
      <c r="G106" s="110">
        <f t="shared" si="48"/>
        <v>0.41601360321386321</v>
      </c>
      <c r="H106" s="414" t="b">
        <f>Wh_hp&gt;='2024'!Maxi_hp</f>
        <v>0</v>
      </c>
      <c r="I106" s="390">
        <f>IF(H106,Wh_hp,'2024'!Maxi_hp)</f>
        <v>45.758995612636852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5.3077463215419507E-2</v>
      </c>
      <c r="M106" s="845"/>
      <c r="N106" s="845"/>
      <c r="O106" s="48">
        <f>IF(t&lt;Tnet,'2024'!Resal+('2024'!Salim-'2024'!Resal)*(1-EXP(('2024'!Tnet-t)/('2024'!Tau_j))),Resal+(Salim-Resal)*(1-EXP((Tnet-t)/(Tau_j))))*Salcycl</f>
        <v>5.6551027045108379E-2</v>
      </c>
      <c r="P106" s="169">
        <f>(INDEX(Models!$BJ106:$BT106,,T106)*(1-R106)+INDEX(Models!$BJ106:$BT106,,T106+1)*R106-ERP_i)*Q106*Ramure*Pc/MaxiM</f>
        <v>3.0015241489622197E-10</v>
      </c>
      <c r="Q106" s="305">
        <f t="shared" si="28"/>
        <v>0.5</v>
      </c>
      <c r="R106" s="177">
        <f t="shared" si="29"/>
        <v>0.99946757390644869</v>
      </c>
      <c r="S106" s="811">
        <f t="shared" si="30"/>
        <v>-3</v>
      </c>
      <c r="T106" s="176">
        <f t="shared" si="31"/>
        <v>3</v>
      </c>
      <c r="U106" s="251">
        <f t="shared" si="32"/>
        <v>-2.0005324260935513</v>
      </c>
      <c r="V106" s="383">
        <f t="shared" si="33"/>
        <v>49.567019405595424</v>
      </c>
      <c r="W106" s="402">
        <f t="shared" si="34"/>
        <v>20.620554348656761</v>
      </c>
      <c r="X106" s="157">
        <f t="shared" si="35"/>
        <v>45749</v>
      </c>
      <c r="Y106" s="385">
        <f t="shared" si="36"/>
        <v>20.028419856330189</v>
      </c>
      <c r="Z106" s="385">
        <f t="shared" si="37"/>
        <v>21.151064715747218</v>
      </c>
      <c r="AA106" s="386">
        <f t="shared" si="38"/>
        <v>23.081614147126675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8.3640139683202552E-2</v>
      </c>
      <c r="AD106" s="231">
        <f>(INDEX(Models!$BJ106:$BT106,,AH106)*(1-AF106)+INDEX(Models!$BJ106:$BT106,,AH106+1)*AF106-ERP_i)*AE106*Ramure*Pc/MaxiM</f>
        <v>1.7932924199482993E-5</v>
      </c>
      <c r="AE106" s="305">
        <f t="shared" si="40"/>
        <v>0.5</v>
      </c>
      <c r="AF106" s="177">
        <f t="shared" si="41"/>
        <v>0.52445514028042761</v>
      </c>
      <c r="AG106" s="811">
        <f t="shared" si="49"/>
        <v>1</v>
      </c>
      <c r="AH106" s="176">
        <f t="shared" si="42"/>
        <v>7</v>
      </c>
      <c r="AI106" s="225">
        <f t="shared" si="43"/>
        <v>1.5244551402804276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22.340110340154023</v>
      </c>
      <c r="C107" s="841"/>
      <c r="D107" s="393">
        <f t="shared" si="25"/>
        <v>23.592848188493903</v>
      </c>
      <c r="E107" s="385">
        <f t="shared" si="47"/>
        <v>25.008576659689275</v>
      </c>
      <c r="F107" s="385">
        <f t="shared" si="26"/>
        <v>25.008576662925144</v>
      </c>
      <c r="G107" s="110">
        <f t="shared" si="48"/>
        <v>0.4482719108107639</v>
      </c>
      <c r="H107" s="414" t="b">
        <f>Wh_hp&gt;='2024'!Maxi_hp</f>
        <v>0</v>
      </c>
      <c r="I107" s="390">
        <f>IF(H107,Wh_hp,'2024'!Maxi_hp)</f>
        <v>53.35954700357199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5.3098203249187681E-2</v>
      </c>
      <c r="M107" s="845"/>
      <c r="N107" s="845"/>
      <c r="O107" s="48">
        <f>IF(t&lt;Tnet,'2024'!Resal+('2024'!Salim-'2024'!Resal)*(1-EXP(('2024'!Tnet-t)/('2024'!Tau_j))),Resal+(Salim-Resal)*(1-EXP((Tnet-t)/(Tau_j))))*Salcycl</f>
        <v>5.6609717956374102E-2</v>
      </c>
      <c r="P107" s="169">
        <f>(INDEX(Models!$BJ107:$BT107,,T107)*(1-R107)+INDEX(Models!$BJ107:$BT107,,T107+1)*R107-ERP_i)*Q107*Ramure*Pc/MaxiM</f>
        <v>6.1085916374901878E-10</v>
      </c>
      <c r="Q107" s="305">
        <f t="shared" si="28"/>
        <v>0.5</v>
      </c>
      <c r="R107" s="177">
        <f t="shared" si="29"/>
        <v>5.6515871126228134E-4</v>
      </c>
      <c r="S107" s="811">
        <f t="shared" si="30"/>
        <v>-2</v>
      </c>
      <c r="T107" s="176">
        <f t="shared" si="31"/>
        <v>4</v>
      </c>
      <c r="U107" s="251">
        <f t="shared" si="32"/>
        <v>-1.9994348412887377</v>
      </c>
      <c r="V107" s="383">
        <f t="shared" si="33"/>
        <v>49.836070007136236</v>
      </c>
      <c r="W107" s="402">
        <f t="shared" si="34"/>
        <v>22.340110340154023</v>
      </c>
      <c r="X107" s="157">
        <f t="shared" si="35"/>
        <v>45750</v>
      </c>
      <c r="Y107" s="385">
        <f t="shared" si="36"/>
        <v>21.699112497273362</v>
      </c>
      <c r="Z107" s="385">
        <f t="shared" si="37"/>
        <v>22.915905927870703</v>
      </c>
      <c r="AA107" s="386">
        <f t="shared" si="38"/>
        <v>25.008496407644031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8.3675181652812736E-2</v>
      </c>
      <c r="AD107" s="231">
        <f>(INDEX(Models!$BJ107:$BT107,,AH107)*(1-AF107)+INDEX(Models!$BJ107:$BT107,,AH107+1)*AF107-ERP_i)*AE107*Ramure*Pc/MaxiM</f>
        <v>1.515038957033913E-5</v>
      </c>
      <c r="AE107" s="305">
        <f t="shared" si="40"/>
        <v>0.5</v>
      </c>
      <c r="AF107" s="177">
        <f t="shared" si="41"/>
        <v>0.5255527250852412</v>
      </c>
      <c r="AG107" s="811">
        <f t="shared" si="49"/>
        <v>1</v>
      </c>
      <c r="AH107" s="176">
        <f t="shared" si="42"/>
        <v>7</v>
      </c>
      <c r="AI107" s="225">
        <f t="shared" si="43"/>
        <v>1.5255527250852412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46.982587067925749</v>
      </c>
      <c r="C108" s="841"/>
      <c r="D108" s="393">
        <f t="shared" si="25"/>
        <v>49.618256392498452</v>
      </c>
      <c r="E108" s="385">
        <f t="shared" si="47"/>
        <v>52.598985779447311</v>
      </c>
      <c r="F108" s="385">
        <f t="shared" si="26"/>
        <v>52.598985832039332</v>
      </c>
      <c r="G108" s="110">
        <f t="shared" si="48"/>
        <v>0.93777567762741376</v>
      </c>
      <c r="H108" s="414" t="b">
        <f>Wh_hp&gt;='2024'!Maxi_hp</f>
        <v>0</v>
      </c>
      <c r="I108" s="390">
        <f>IF(H108,Wh_hp,'2024'!Maxi_hp)</f>
        <v>56.536713073450201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5.3118942828696003E-2</v>
      </c>
      <c r="M108" s="845"/>
      <c r="N108" s="845"/>
      <c r="O108" s="48">
        <f>IF(t&lt;Tnet,'2024'!Resal+('2024'!Salim-'2024'!Resal)*(1-EXP(('2024'!Tnet-t)/('2024'!Tau_j))),Resal+(Salim-Resal)*(1-EXP((Tnet-t)/(Tau_j))))*Salcycl</f>
        <v>5.6668951744570671E-2</v>
      </c>
      <c r="P108" s="169">
        <f>(INDEX(Models!$BJ108:$BT108,,T108)*(1-R108)+INDEX(Models!$BJ108:$BT108,,T108+1)*R108-ERP_i)*Q108*Ramure*Pc/MaxiM</f>
        <v>1.0974193549863354E-9</v>
      </c>
      <c r="Q108" s="305">
        <f t="shared" si="28"/>
        <v>0.5</v>
      </c>
      <c r="R108" s="177">
        <f t="shared" si="29"/>
        <v>1.7033847461149776E-3</v>
      </c>
      <c r="S108" s="811">
        <f t="shared" si="30"/>
        <v>-2</v>
      </c>
      <c r="T108" s="176">
        <f t="shared" si="31"/>
        <v>4</v>
      </c>
      <c r="U108" s="251">
        <f t="shared" si="32"/>
        <v>-1.998296615253885</v>
      </c>
      <c r="V108" s="383">
        <f t="shared" si="33"/>
        <v>50.100027313791237</v>
      </c>
      <c r="W108" s="402">
        <f t="shared" si="34"/>
        <v>46.982587067925749</v>
      </c>
      <c r="X108" s="157">
        <f t="shared" si="35"/>
        <v>45751</v>
      </c>
      <c r="Y108" s="385">
        <f t="shared" si="36"/>
        <v>45.635207283197332</v>
      </c>
      <c r="Z108" s="385">
        <f t="shared" si="37"/>
        <v>48.195290145023236</v>
      </c>
      <c r="AA108" s="386">
        <f t="shared" si="38"/>
        <v>52.598354278519487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8.3711062710842429E-2</v>
      </c>
      <c r="AD108" s="231">
        <f>(INDEX(Models!$BJ108:$BT108,,AH108)*(1-AF108)+INDEX(Models!$BJ108:$BT108,,AH108+1)*AF108-ERP_i)*AE108*Ramure*Pc/MaxiM</f>
        <v>1.3178405797739151E-5</v>
      </c>
      <c r="AE108" s="305">
        <f t="shared" si="40"/>
        <v>0.5</v>
      </c>
      <c r="AF108" s="177">
        <f t="shared" si="41"/>
        <v>0.5266909511200939</v>
      </c>
      <c r="AG108" s="811">
        <f t="shared" si="49"/>
        <v>1</v>
      </c>
      <c r="AH108" s="176">
        <f t="shared" si="42"/>
        <v>7</v>
      </c>
      <c r="AI108" s="225">
        <f t="shared" si="43"/>
        <v>1.5266909511200939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49.939342606433506</v>
      </c>
      <c r="C109" s="841"/>
      <c r="D109" s="393">
        <f t="shared" si="25"/>
        <v>52.742037716280088</v>
      </c>
      <c r="E109" s="385">
        <f t="shared" si="47"/>
        <v>55.913967097695227</v>
      </c>
      <c r="F109" s="385">
        <f t="shared" si="26"/>
        <v>55.913967193521664</v>
      </c>
      <c r="G109" s="110">
        <f t="shared" si="48"/>
        <v>0.99167071866727297</v>
      </c>
      <c r="H109" s="414" t="b">
        <f>Wh_hp&gt;='2024'!Maxi_hp</f>
        <v>0</v>
      </c>
      <c r="I109" s="390">
        <f>IF(H109,Wh_hp,'2024'!Maxi_hp)</f>
        <v>58.623693621493487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5.3139681953954243E-2</v>
      </c>
      <c r="M109" s="845"/>
      <c r="N109" s="845"/>
      <c r="O109" s="48">
        <f>IF(t&lt;Tnet,'2024'!Resal+('2024'!Salim-'2024'!Resal)*(1-EXP(('2024'!Tnet-t)/('2024'!Tau_j))),Resal+(Salim-Resal)*(1-EXP((Tnet-t)/(Tau_j))))*Salcycl</f>
        <v>5.672874857677359E-2</v>
      </c>
      <c r="P109" s="169">
        <f>(INDEX(Models!$BJ109:$BT109,,T109)*(1-R109)+INDEX(Models!$BJ109:$BT109,,T109+1)*R109-ERP_i)*Q109*Ramure*Pc/MaxiM</f>
        <v>1.7344575826704904E-9</v>
      </c>
      <c r="Q109" s="305">
        <f t="shared" si="28"/>
        <v>0.5</v>
      </c>
      <c r="R109" s="177">
        <f t="shared" si="29"/>
        <v>2.8835363741337439E-3</v>
      </c>
      <c r="S109" s="811">
        <f t="shared" si="30"/>
        <v>-2</v>
      </c>
      <c r="T109" s="176">
        <f t="shared" si="31"/>
        <v>4</v>
      </c>
      <c r="U109" s="251">
        <f t="shared" si="32"/>
        <v>-1.9971164636258663</v>
      </c>
      <c r="V109" s="383">
        <f t="shared" si="33"/>
        <v>50.358795178017729</v>
      </c>
      <c r="W109" s="402">
        <f t="shared" si="34"/>
        <v>49.939342606433506</v>
      </c>
      <c r="X109" s="157">
        <f t="shared" si="35"/>
        <v>45752</v>
      </c>
      <c r="Y109" s="385">
        <f t="shared" si="36"/>
        <v>48.508325587005665</v>
      </c>
      <c r="Z109" s="385">
        <f t="shared" si="37"/>
        <v>51.230709179056234</v>
      </c>
      <c r="AA109" s="386">
        <f t="shared" si="38"/>
        <v>55.913328006484001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8.3747811020741747E-2</v>
      </c>
      <c r="AD109" s="231">
        <f>(INDEX(Models!$BJ109:$BT109,,AH109)*(1-AF109)+INDEX(Models!$BJ109:$BT109,,AH109+1)*AF109-ERP_i)*AE109*Ramure*Pc/MaxiM</f>
        <v>1.1569279182086556E-5</v>
      </c>
      <c r="AE109" s="305">
        <f t="shared" si="40"/>
        <v>0.5</v>
      </c>
      <c r="AF109" s="177">
        <f t="shared" si="41"/>
        <v>0.52787110274811266</v>
      </c>
      <c r="AG109" s="811">
        <f t="shared" si="49"/>
        <v>1</v>
      </c>
      <c r="AH109" s="176">
        <f t="shared" si="42"/>
        <v>7</v>
      </c>
      <c r="AI109" s="225">
        <f t="shared" si="43"/>
        <v>1.5278711027481127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10.940385555511096</v>
      </c>
      <c r="C110" s="841"/>
      <c r="D110" s="393">
        <f t="shared" si="25"/>
        <v>11.554634801739512</v>
      </c>
      <c r="E110" s="385">
        <f t="shared" si="47"/>
        <v>12.250319781296495</v>
      </c>
      <c r="F110" s="385">
        <f t="shared" si="26"/>
        <v>12.250319781296495</v>
      </c>
      <c r="G110" s="110">
        <f t="shared" si="48"/>
        <v>0.21616070382748062</v>
      </c>
      <c r="H110" s="414" t="b">
        <f>Wh_hp&gt;='2024'!Maxi_hp</f>
        <v>0</v>
      </c>
      <c r="I110" s="390">
        <f>IF(H110,Wh_hp,'2024'!Maxi_hp)</f>
        <v>59.354429100482541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5.3160420624972393E-2</v>
      </c>
      <c r="M110" s="845"/>
      <c r="N110" s="845"/>
      <c r="O110" s="48">
        <f>IF(t&lt;Tnet,'2024'!Resal+('2024'!Salim-'2024'!Resal)*(1-EXP(('2024'!Tnet-t)/('2024'!Tau_j))),Resal+(Salim-Resal)*(1-EXP((Tnet-t)/(Tau_j))))*Salcycl</f>
        <v>5.6789128118854379E-2</v>
      </c>
      <c r="P110" s="169">
        <f>(INDEX(Models!$BJ110:$BT110,,T110)*(1-R110)+INDEX(Models!$BJ110:$BT110,,T110+1)*R110-ERP_i)*Q110*Ramure*Pc/MaxiM</f>
        <v>2.5835594585258945E-9</v>
      </c>
      <c r="Q110" s="305">
        <f t="shared" si="28"/>
        <v>0.5</v>
      </c>
      <c r="R110" s="177">
        <f t="shared" si="29"/>
        <v>4.1069208971737936E-3</v>
      </c>
      <c r="S110" s="811">
        <f t="shared" si="30"/>
        <v>-2</v>
      </c>
      <c r="T110" s="176">
        <f t="shared" si="31"/>
        <v>4</v>
      </c>
      <c r="U110" s="251">
        <f t="shared" si="32"/>
        <v>-1.9958930791028262</v>
      </c>
      <c r="V110" s="383">
        <f t="shared" si="33"/>
        <v>50.612277502471301</v>
      </c>
      <c r="W110" s="402">
        <f t="shared" si="34"/>
        <v>10.940385555511096</v>
      </c>
      <c r="X110" s="157">
        <f t="shared" si="35"/>
        <v>45753</v>
      </c>
      <c r="Y110" s="385">
        <f t="shared" si="36"/>
        <v>10.627252806626208</v>
      </c>
      <c r="Z110" s="385">
        <f t="shared" si="37"/>
        <v>11.223921177482724</v>
      </c>
      <c r="AA110" s="386">
        <f t="shared" si="38"/>
        <v>12.250319781296495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8.3785453942259669E-2</v>
      </c>
      <c r="AD110" s="231">
        <f>(INDEX(Models!$BJ110:$BT110,,AH110)*(1-AF110)+INDEX(Models!$BJ110:$BT110,,AH110+1)*AF110-ERP_i)*AE110*Ramure*Pc/MaxiM</f>
        <v>1.0319575590379508E-5</v>
      </c>
      <c r="AE110" s="305">
        <f t="shared" si="40"/>
        <v>0.5</v>
      </c>
      <c r="AF110" s="177">
        <f t="shared" si="41"/>
        <v>0.52909448727115271</v>
      </c>
      <c r="AG110" s="811">
        <f t="shared" si="49"/>
        <v>1</v>
      </c>
      <c r="AH110" s="176">
        <f t="shared" si="42"/>
        <v>7</v>
      </c>
      <c r="AI110" s="225">
        <f t="shared" si="43"/>
        <v>1.5290944872711527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37.398506420988824</v>
      </c>
      <c r="C111" s="841"/>
      <c r="D111" s="393">
        <f t="shared" si="25"/>
        <v>39.499115137209763</v>
      </c>
      <c r="E111" s="385">
        <f t="shared" si="47"/>
        <v>41.879997585619137</v>
      </c>
      <c r="F111" s="385">
        <f t="shared" si="26"/>
        <v>41.879997682253091</v>
      </c>
      <c r="G111" s="110">
        <f t="shared" si="48"/>
        <v>0.73531711043877512</v>
      </c>
      <c r="H111" s="414" t="b">
        <f>Wh_hp&gt;='2024'!Maxi_hp</f>
        <v>0</v>
      </c>
      <c r="I111" s="390">
        <f>IF(H111,Wh_hp,'2024'!Maxi_hp)</f>
        <v>56.351753523847592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5.3181158841760445E-2</v>
      </c>
      <c r="M111" s="845"/>
      <c r="N111" s="845"/>
      <c r="O111" s="48">
        <f>IF(t&lt;Tnet,'2024'!Resal+('2024'!Salim-'2024'!Resal)*(1-EXP(('2024'!Tnet-t)/('2024'!Tau_j))),Resal+(Salim-Resal)*(1-EXP((Tnet-t)/(Tau_j))))*Salcycl</f>
        <v>5.6850109495396185E-2</v>
      </c>
      <c r="P111" s="169">
        <f>(INDEX(Models!$BJ111:$BT111,,T111)*(1-R111)+INDEX(Models!$BJ111:$BT111,,T111+1)*R111-ERP_i)*Q111*Ramure*Pc/MaxiM</f>
        <v>3.7103544532901558E-9</v>
      </c>
      <c r="Q111" s="305">
        <f t="shared" si="28"/>
        <v>0.5</v>
      </c>
      <c r="R111" s="177">
        <f t="shared" si="29"/>
        <v>5.3748674581228784E-3</v>
      </c>
      <c r="S111" s="811">
        <f t="shared" si="30"/>
        <v>-2</v>
      </c>
      <c r="T111" s="176">
        <f t="shared" si="31"/>
        <v>4</v>
      </c>
      <c r="U111" s="251">
        <f t="shared" si="32"/>
        <v>-1.9946251325418771</v>
      </c>
      <c r="V111" s="383">
        <f t="shared" si="33"/>
        <v>50.860378247154067</v>
      </c>
      <c r="W111" s="402">
        <f t="shared" si="34"/>
        <v>37.398506420988824</v>
      </c>
      <c r="X111" s="157">
        <f t="shared" si="35"/>
        <v>45754</v>
      </c>
      <c r="Y111" s="385">
        <f t="shared" si="36"/>
        <v>36.328703328838607</v>
      </c>
      <c r="Z111" s="385">
        <f t="shared" si="37"/>
        <v>38.369223075871467</v>
      </c>
      <c r="AA111" s="386">
        <f t="shared" si="38"/>
        <v>41.879752174977675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8.3824017975055842E-2</v>
      </c>
      <c r="AD111" s="231">
        <f>(INDEX(Models!$BJ111:$BT111,,AH111)*(1-AF111)+INDEX(Models!$BJ111:$BT111,,AH111+1)*AF111-ERP_i)*AE111*Ramure*Pc/MaxiM</f>
        <v>9.4264901683813014E-6</v>
      </c>
      <c r="AE111" s="305">
        <f t="shared" si="40"/>
        <v>0.5</v>
      </c>
      <c r="AF111" s="177">
        <f t="shared" si="41"/>
        <v>0.5303624338321018</v>
      </c>
      <c r="AG111" s="811">
        <f t="shared" si="49"/>
        <v>1</v>
      </c>
      <c r="AH111" s="176">
        <f t="shared" si="42"/>
        <v>7</v>
      </c>
      <c r="AI111" s="225">
        <f t="shared" si="43"/>
        <v>1.5303624338321018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30.806409425700391</v>
      </c>
      <c r="C112" s="841"/>
      <c r="D112" s="393">
        <f t="shared" si="25"/>
        <v>32.537464233624725</v>
      </c>
      <c r="E112" s="385">
        <f t="shared" si="47"/>
        <v>34.500973685899403</v>
      </c>
      <c r="F112" s="385">
        <f t="shared" si="26"/>
        <v>34.500973763286467</v>
      </c>
      <c r="G112" s="110">
        <f t="shared" si="48"/>
        <v>0.60282974516448973</v>
      </c>
      <c r="H112" s="414" t="b">
        <f>Wh_hp&gt;='2024'!Maxi_hp</f>
        <v>0</v>
      </c>
      <c r="I112" s="390">
        <f>IF(H112,Wh_hp,'2024'!Maxi_hp)</f>
        <v>55.793489046232402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5.320189660432828E-2</v>
      </c>
      <c r="M112" s="845"/>
      <c r="N112" s="845"/>
      <c r="O112" s="48">
        <f>IF(t&lt;Tnet,'2024'!Resal+('2024'!Salim-'2024'!Resal)*(1-EXP(('2024'!Tnet-t)/('2024'!Tau_j))),Resal+(Salim-Resal)*(1-EXP((Tnet-t)/(Tau_j))))*Salcycl</f>
        <v>5.6911711250548482E-2</v>
      </c>
      <c r="P112" s="169">
        <f>(INDEX(Models!$BJ112:$BT112,,T112)*(1-R112)+INDEX(Models!$BJ112:$BT112,,T112+1)*R112-ERP_i)*Q112*Ramure*Pc/MaxiM</f>
        <v>5.1848541315835231E-9</v>
      </c>
      <c r="Q112" s="305">
        <f t="shared" si="28"/>
        <v>0.5</v>
      </c>
      <c r="R112" s="177">
        <f t="shared" si="29"/>
        <v>6.688725785866545E-3</v>
      </c>
      <c r="S112" s="811">
        <f t="shared" si="30"/>
        <v>-2</v>
      </c>
      <c r="T112" s="176">
        <f t="shared" si="31"/>
        <v>4</v>
      </c>
      <c r="U112" s="251">
        <f t="shared" si="32"/>
        <v>-1.9933112742141335</v>
      </c>
      <c r="V112" s="383">
        <f t="shared" si="33"/>
        <v>51.103001439764299</v>
      </c>
      <c r="W112" s="402">
        <f t="shared" si="34"/>
        <v>30.806409425700391</v>
      </c>
      <c r="X112" s="157">
        <f t="shared" si="35"/>
        <v>45755</v>
      </c>
      <c r="Y112" s="385">
        <f t="shared" si="36"/>
        <v>29.925901007694748</v>
      </c>
      <c r="Z112" s="385">
        <f t="shared" si="37"/>
        <v>31.607478828238168</v>
      </c>
      <c r="AA112" s="386">
        <f t="shared" si="38"/>
        <v>34.500841106698111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8.3863528703890466E-2</v>
      </c>
      <c r="AD112" s="231">
        <f>(INDEX(Models!$BJ112:$BT112,,AH112)*(1-AF112)+INDEX(Models!$BJ112:$BT112,,AH112+1)*AF112-ERP_i)*AE112*Ramure*Pc/MaxiM</f>
        <v>8.8878553430684186E-6</v>
      </c>
      <c r="AE112" s="305">
        <f t="shared" si="40"/>
        <v>0.5</v>
      </c>
      <c r="AF112" s="177">
        <f t="shared" si="41"/>
        <v>0.53167629215984546</v>
      </c>
      <c r="AG112" s="811">
        <f t="shared" si="49"/>
        <v>1</v>
      </c>
      <c r="AH112" s="176">
        <f t="shared" si="42"/>
        <v>7</v>
      </c>
      <c r="AI112" s="225">
        <f t="shared" si="43"/>
        <v>1.5316762921598455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34.302033824178032</v>
      </c>
      <c r="C113" s="841"/>
      <c r="D113" s="393">
        <f t="shared" si="25"/>
        <v>36.230306144659792</v>
      </c>
      <c r="E113" s="385">
        <f t="shared" si="47"/>
        <v>38.419199761205867</v>
      </c>
      <c r="F113" s="385">
        <f t="shared" si="26"/>
        <v>38.419199904292981</v>
      </c>
      <c r="G113" s="110">
        <f t="shared" si="48"/>
        <v>0.66813399920526084</v>
      </c>
      <c r="H113" s="414" t="b">
        <f>Wh_hp&gt;='2024'!Maxi_hp</f>
        <v>0</v>
      </c>
      <c r="I113" s="390">
        <f>IF(H113,Wh_hp,'2024'!Maxi_hp)</f>
        <v>41.648731192226585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5.3222633912685891E-2</v>
      </c>
      <c r="M113" s="845"/>
      <c r="N113" s="845"/>
      <c r="O113" s="48">
        <f>IF(t&lt;Tnet,'2024'!Resal+('2024'!Salim-'2024'!Resal)*(1-EXP(('2024'!Tnet-t)/('2024'!Tau_j))),Resal+(Salim-Resal)*(1-EXP((Tnet-t)/(Tau_j))))*Salcycl</f>
        <v>5.697395130953066E-2</v>
      </c>
      <c r="P113" s="169">
        <f>(INDEX(Models!$BJ113:$BT113,,T113)*(1-R113)+INDEX(Models!$BJ113:$BT113,,T113+1)*R113-ERP_i)*Q113*Ramure*Pc/MaxiM</f>
        <v>7.0818106942391471E-9</v>
      </c>
      <c r="Q113" s="305">
        <f t="shared" si="28"/>
        <v>0.5</v>
      </c>
      <c r="R113" s="177">
        <f t="shared" si="29"/>
        <v>8.0498647734323914E-3</v>
      </c>
      <c r="S113" s="811">
        <f t="shared" si="30"/>
        <v>-2</v>
      </c>
      <c r="T113" s="176">
        <f t="shared" si="31"/>
        <v>4</v>
      </c>
      <c r="U113" s="251">
        <f t="shared" si="32"/>
        <v>-1.9919501352265676</v>
      </c>
      <c r="V113" s="383">
        <f t="shared" si="33"/>
        <v>51.34005117208936</v>
      </c>
      <c r="W113" s="402">
        <f t="shared" si="34"/>
        <v>34.302033824178032</v>
      </c>
      <c r="X113" s="157">
        <f t="shared" si="35"/>
        <v>45756</v>
      </c>
      <c r="Y113" s="385">
        <f t="shared" si="36"/>
        <v>33.322315919314704</v>
      </c>
      <c r="Z113" s="385">
        <f t="shared" si="37"/>
        <v>35.195513869352091</v>
      </c>
      <c r="AA113" s="386">
        <f t="shared" si="38"/>
        <v>38.419024078440316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8.390401074495718E-2</v>
      </c>
      <c r="AD113" s="231">
        <f>(INDEX(Models!$BJ113:$BT113,,AH113)*(1-AF113)+INDEX(Models!$BJ113:$BT113,,AH113+1)*AF113-ERP_i)*AE113*Ramure*Pc/MaxiM</f>
        <v>8.7021491887001941E-6</v>
      </c>
      <c r="AE113" s="305">
        <f t="shared" si="40"/>
        <v>0.5</v>
      </c>
      <c r="AF113" s="177">
        <f t="shared" si="41"/>
        <v>0.53303743114741131</v>
      </c>
      <c r="AG113" s="811">
        <f t="shared" si="49"/>
        <v>1</v>
      </c>
      <c r="AH113" s="176">
        <f t="shared" si="42"/>
        <v>7</v>
      </c>
      <c r="AI113" s="225">
        <f t="shared" si="43"/>
        <v>1.5330374311474113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51.653518384574909</v>
      </c>
      <c r="C114" s="841"/>
      <c r="D114" s="393">
        <f t="shared" si="25"/>
        <v>54.55839102643796</v>
      </c>
      <c r="E114" s="385">
        <f t="shared" si="47"/>
        <v>57.858454860530912</v>
      </c>
      <c r="F114" s="385">
        <f t="shared" si="26"/>
        <v>57.858455433856136</v>
      </c>
      <c r="G114" s="110">
        <f t="shared" si="48"/>
        <v>1.0015917105821721</v>
      </c>
      <c r="H114" s="414" t="b">
        <f>Wh_hp&gt;='2024'!Maxi_hp</f>
        <v>0</v>
      </c>
      <c r="I114" s="390">
        <f>IF(H114,Wh_hp,'2024'!Maxi_hp)</f>
        <v>58.06042842516851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5.3243370766843268E-2</v>
      </c>
      <c r="M114" s="845"/>
      <c r="N114" s="845"/>
      <c r="O114" s="48">
        <f>IF(t&lt;Tnet,'2024'!Resal+('2024'!Salim-'2024'!Resal)*(1-EXP(('2024'!Tnet-t)/('2024'!Tau_j))),Resal+(Salim-Resal)*(1-EXP((Tnet-t)/(Tau_j))))*Salcycl</f>
        <v>5.7036846940483187E-2</v>
      </c>
      <c r="P114" s="169">
        <f>(INDEX(Models!$BJ114:$BT114,,T114)*(1-R114)+INDEX(Models!$BJ114:$BT114,,T114+1)*R114-ERP_i)*Q114*Ramure*Pc/MaxiM</f>
        <v>9.9091001231197081E-9</v>
      </c>
      <c r="Q114" s="305">
        <f t="shared" si="28"/>
        <v>0.5</v>
      </c>
      <c r="R114" s="177">
        <f t="shared" si="29"/>
        <v>9.4596708797749507E-3</v>
      </c>
      <c r="S114" s="811">
        <f t="shared" si="30"/>
        <v>-2</v>
      </c>
      <c r="T114" s="176">
        <f t="shared" si="31"/>
        <v>4</v>
      </c>
      <c r="U114" s="251">
        <f t="shared" si="32"/>
        <v>-1.990540329120225</v>
      </c>
      <c r="V114" s="383">
        <f t="shared" si="33"/>
        <v>51.571431591173472</v>
      </c>
      <c r="W114" s="402">
        <f t="shared" si="34"/>
        <v>51.653518384574909</v>
      </c>
      <c r="X114" s="157">
        <f t="shared" si="35"/>
        <v>45757</v>
      </c>
      <c r="Y114" s="385">
        <f t="shared" si="36"/>
        <v>50.179069219022672</v>
      </c>
      <c r="Z114" s="385">
        <f t="shared" si="37"/>
        <v>53.001022300383731</v>
      </c>
      <c r="AA114" s="386">
        <f t="shared" si="38"/>
        <v>57.857934859029577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8.3945487692909868E-2</v>
      </c>
      <c r="AD114" s="231">
        <f>(INDEX(Models!$BJ114:$BT114,,AH114)*(1-AF114)+INDEX(Models!$BJ114:$BT114,,AH114+1)*AF114-ERP_i)*AE114*Ramure*Pc/MaxiM</f>
        <v>8.9973854755210883E-6</v>
      </c>
      <c r="AE114" s="305">
        <f t="shared" si="40"/>
        <v>0.5</v>
      </c>
      <c r="AF114" s="177">
        <f t="shared" si="41"/>
        <v>0.53444723725375387</v>
      </c>
      <c r="AG114" s="811">
        <f t="shared" si="49"/>
        <v>1</v>
      </c>
      <c r="AH114" s="176">
        <f t="shared" si="42"/>
        <v>7</v>
      </c>
      <c r="AI114" s="225">
        <f t="shared" si="43"/>
        <v>1.5344472372537539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43.376200881963854</v>
      </c>
      <c r="C115" s="841"/>
      <c r="D115" s="393">
        <f t="shared" si="25"/>
        <v>45.816580115238679</v>
      </c>
      <c r="E115" s="385">
        <f t="shared" si="47"/>
        <v>48.591155230444151</v>
      </c>
      <c r="F115" s="385">
        <f t="shared" si="26"/>
        <v>48.59115574627706</v>
      </c>
      <c r="G115" s="110">
        <f t="shared" si="48"/>
        <v>0.83742613349992057</v>
      </c>
      <c r="H115" s="414" t="b">
        <f>Wh_hp&gt;='2024'!Maxi_hp</f>
        <v>0</v>
      </c>
      <c r="I115" s="390">
        <f>IF(H115,Wh_hp,'2024'!Maxi_hp)</f>
        <v>59.123099904366789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5.3264107166810293E-2</v>
      </c>
      <c r="M115" s="845"/>
      <c r="N115" s="845"/>
      <c r="O115" s="48">
        <f>IF(t&lt;Tnet,'2024'!Resal+('2024'!Salim-'2024'!Resal)*(1-EXP(('2024'!Tnet-t)/('2024'!Tau_j))),Resal+(Salim-Resal)*(1-EXP((Tnet-t)/(Tau_j))))*Salcycl</f>
        <v>5.7100414716361778E-2</v>
      </c>
      <c r="P115" s="169">
        <f>(INDEX(Models!$BJ115:$BT115,,T115)*(1-R115)+INDEX(Models!$BJ115:$BT115,,T115+1)*R115-ERP_i)*Q115*Ramure*Pc/MaxiM</f>
        <v>1.3827099017348277E-8</v>
      </c>
      <c r="Q115" s="305">
        <f t="shared" si="28"/>
        <v>0.5</v>
      </c>
      <c r="R115" s="177">
        <f t="shared" si="29"/>
        <v>1.091954634567216E-2</v>
      </c>
      <c r="S115" s="811">
        <f t="shared" si="30"/>
        <v>-2</v>
      </c>
      <c r="T115" s="176">
        <f t="shared" si="31"/>
        <v>4</v>
      </c>
      <c r="U115" s="251">
        <f t="shared" si="32"/>
        <v>-1.9890804536543278</v>
      </c>
      <c r="V115" s="383">
        <f t="shared" si="33"/>
        <v>51.797046936406659</v>
      </c>
      <c r="W115" s="402">
        <f t="shared" si="34"/>
        <v>43.376200881963854</v>
      </c>
      <c r="X115" s="157">
        <f t="shared" si="35"/>
        <v>45758</v>
      </c>
      <c r="Y115" s="385">
        <f t="shared" si="36"/>
        <v>42.138983579852678</v>
      </c>
      <c r="Z115" s="385">
        <f t="shared" si="37"/>
        <v>44.509755993034233</v>
      </c>
      <c r="AA115" s="386">
        <f t="shared" si="38"/>
        <v>48.590799161703558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8.3987982068131198E-2</v>
      </c>
      <c r="AD115" s="231">
        <f>(INDEX(Models!$BJ115:$BT115,,AH115)*(1-AF115)+INDEX(Models!$BJ115:$BT115,,AH115+1)*AF115-ERP_i)*AE115*Ramure*Pc/MaxiM</f>
        <v>9.5583863048229934E-6</v>
      </c>
      <c r="AE115" s="305">
        <f t="shared" si="40"/>
        <v>0.5</v>
      </c>
      <c r="AF115" s="177">
        <f t="shared" si="41"/>
        <v>0.53590711271965108</v>
      </c>
      <c r="AG115" s="811">
        <f t="shared" si="49"/>
        <v>1</v>
      </c>
      <c r="AH115" s="176">
        <f t="shared" si="42"/>
        <v>7</v>
      </c>
      <c r="AI115" s="225">
        <f t="shared" si="43"/>
        <v>1.5359071127196511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35.177335001431445</v>
      </c>
      <c r="C116" s="841"/>
      <c r="D116" s="393">
        <f t="shared" si="25"/>
        <v>37.157253420434294</v>
      </c>
      <c r="E116" s="385">
        <f t="shared" si="47"/>
        <v>39.41011994026158</v>
      </c>
      <c r="F116" s="385">
        <f t="shared" si="26"/>
        <v>39.410120343953245</v>
      </c>
      <c r="G116" s="110">
        <f t="shared" si="48"/>
        <v>0.67626869892199781</v>
      </c>
      <c r="H116" s="414" t="b">
        <f>Wh_hp&gt;='2024'!Maxi_hp</f>
        <v>0</v>
      </c>
      <c r="I116" s="390">
        <f>IF(H116,Wh_hp,'2024'!Maxi_hp)</f>
        <v>58.323508945597986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5.3284843112596958E-2</v>
      </c>
      <c r="M116" s="845"/>
      <c r="N116" s="845"/>
      <c r="O116" s="48">
        <f>IF(t&lt;Tnet,'2024'!Resal+('2024'!Salim-'2024'!Resal)*(1-EXP(('2024'!Tnet-t)/('2024'!Tau_j))),Resal+(Salim-Resal)*(1-EXP((Tnet-t)/(Tau_j))))*Salcycl</f>
        <v>5.7164670476573309E-2</v>
      </c>
      <c r="P116" s="169">
        <f>(INDEX(Models!$BJ116:$BT116,,T116)*(1-R116)+INDEX(Models!$BJ116:$BT116,,T116+1)*R116-ERP_i)*Q116*Ramure*Pc/MaxiM</f>
        <v>1.905644825288514E-8</v>
      </c>
      <c r="Q116" s="305">
        <f t="shared" si="28"/>
        <v>0.5</v>
      </c>
      <c r="R116" s="177">
        <f t="shared" si="29"/>
        <v>1.2430907214300513E-2</v>
      </c>
      <c r="S116" s="811">
        <f t="shared" si="30"/>
        <v>-2</v>
      </c>
      <c r="T116" s="176">
        <f t="shared" si="31"/>
        <v>4</v>
      </c>
      <c r="U116" s="251">
        <f t="shared" si="32"/>
        <v>-1.9875690927856995</v>
      </c>
      <c r="V116" s="383">
        <f t="shared" si="33"/>
        <v>52.016801527978991</v>
      </c>
      <c r="W116" s="402">
        <f t="shared" si="34"/>
        <v>35.177335001431445</v>
      </c>
      <c r="X116" s="157">
        <f t="shared" si="35"/>
        <v>45759</v>
      </c>
      <c r="Y116" s="385">
        <f t="shared" si="36"/>
        <v>34.174738354522717</v>
      </c>
      <c r="Z116" s="385">
        <f t="shared" si="37"/>
        <v>36.098226700924435</v>
      </c>
      <c r="AA116" s="386">
        <f t="shared" si="38"/>
        <v>39.409900343155009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8.4031515263797735E-2</v>
      </c>
      <c r="AD116" s="231">
        <f>(INDEX(Models!$BJ116:$BT116,,AH116)*(1-AF116)+INDEX(Models!$BJ116:$BT116,,AH116+1)*AF116-ERP_i)*AE116*Ramure*Pc/MaxiM</f>
        <v>1.0385237598527705E-5</v>
      </c>
      <c r="AE116" s="305">
        <f t="shared" si="40"/>
        <v>0.5</v>
      </c>
      <c r="AF116" s="177">
        <f t="shared" si="41"/>
        <v>0.53741847358827943</v>
      </c>
      <c r="AG116" s="811">
        <f t="shared" si="49"/>
        <v>1</v>
      </c>
      <c r="AH116" s="176">
        <f t="shared" si="42"/>
        <v>7</v>
      </c>
      <c r="AI116" s="225">
        <f t="shared" si="43"/>
        <v>1.5374184735882794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7.0538167426119838</v>
      </c>
      <c r="C117" s="841"/>
      <c r="D117" s="393">
        <f t="shared" si="25"/>
        <v>7.4509964178430268</v>
      </c>
      <c r="E117" s="385">
        <f t="shared" si="47"/>
        <v>7.9032993073555717</v>
      </c>
      <c r="F117" s="385">
        <f t="shared" si="26"/>
        <v>7.9032993073555717</v>
      </c>
      <c r="G117" s="110">
        <f t="shared" si="48"/>
        <v>0.1350514179662996</v>
      </c>
      <c r="H117" s="414" t="b">
        <f>Wh_hp&gt;='2024'!Maxi_hp</f>
        <v>0</v>
      </c>
      <c r="I117" s="390">
        <f>IF(H117,Wh_hp,'2024'!Maxi_hp)</f>
        <v>59.034851740298983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5.3305578604213255E-2</v>
      </c>
      <c r="M117" s="845"/>
      <c r="N117" s="845"/>
      <c r="O117" s="48">
        <f>IF(t&lt;Tnet,'2024'!Resal+('2024'!Salim-'2024'!Resal)*(1-EXP(('2024'!Tnet-t)/('2024'!Tau_j))),Resal+(Salim-Resal)*(1-EXP((Tnet-t)/(Tau_j))))*Salcycl</f>
        <v>5.7229629288060579E-2</v>
      </c>
      <c r="P117" s="169">
        <f>(INDEX(Models!$BJ117:$BT117,,T117)*(1-R117)+INDEX(Models!$BJ117:$BT117,,T117+1)*R117-ERP_i)*Q117*Ramure*Pc/MaxiM</f>
        <v>2.5833512788707415E-8</v>
      </c>
      <c r="Q117" s="305">
        <f t="shared" si="28"/>
        <v>0.5</v>
      </c>
      <c r="R117" s="177">
        <f t="shared" si="29"/>
        <v>1.3995181147222091E-2</v>
      </c>
      <c r="S117" s="811">
        <f t="shared" si="30"/>
        <v>-2</v>
      </c>
      <c r="T117" s="176">
        <f t="shared" si="31"/>
        <v>4</v>
      </c>
      <c r="U117" s="251">
        <f t="shared" si="32"/>
        <v>-1.9860048188527779</v>
      </c>
      <c r="V117" s="383">
        <f t="shared" si="33"/>
        <v>52.230599771616696</v>
      </c>
      <c r="W117" s="402">
        <f t="shared" si="34"/>
        <v>7.0538167426119838</v>
      </c>
      <c r="X117" s="157">
        <f t="shared" si="35"/>
        <v>45760</v>
      </c>
      <c r="Y117" s="385">
        <f t="shared" si="36"/>
        <v>6.8529511412733326</v>
      </c>
      <c r="Z117" s="385">
        <f t="shared" si="37"/>
        <v>7.2388206652464291</v>
      </c>
      <c r="AA117" s="386">
        <f t="shared" si="38"/>
        <v>7.9032993073555717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8.4076107492312133E-2</v>
      </c>
      <c r="AD117" s="231">
        <f>(INDEX(Models!$BJ117:$BT117,,AH117)*(1-AF117)+INDEX(Models!$BJ117:$BT117,,AH117+1)*AF117-ERP_i)*AE117*Ramure*Pc/MaxiM</f>
        <v>1.1478513577465673E-5</v>
      </c>
      <c r="AE117" s="305">
        <f t="shared" si="40"/>
        <v>0.5</v>
      </c>
      <c r="AF117" s="177">
        <f t="shared" si="41"/>
        <v>0.53898274752120101</v>
      </c>
      <c r="AG117" s="811">
        <f t="shared" si="49"/>
        <v>1</v>
      </c>
      <c r="AH117" s="176">
        <f t="shared" si="42"/>
        <v>7</v>
      </c>
      <c r="AI117" s="225">
        <f t="shared" si="43"/>
        <v>1.538982747521201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38.130061841488732</v>
      </c>
      <c r="C118" s="841"/>
      <c r="D118" s="393">
        <f t="shared" si="25"/>
        <v>40.277935671971235</v>
      </c>
      <c r="E118" s="385">
        <f t="shared" si="47"/>
        <v>42.725930933545612</v>
      </c>
      <c r="F118" s="385">
        <f t="shared" si="26"/>
        <v>42.725931830704219</v>
      </c>
      <c r="G118" s="110">
        <f t="shared" si="48"/>
        <v>0.72714080667343517</v>
      </c>
      <c r="H118" s="414" t="b">
        <f>Wh_hp&gt;='2024'!Maxi_hp</f>
        <v>0</v>
      </c>
      <c r="I118" s="390">
        <f>IF(H118,Wh_hp,'2024'!Maxi_hp)</f>
        <v>57.514245582008527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5.3326313641668954E-2</v>
      </c>
      <c r="M118" s="845"/>
      <c r="N118" s="845"/>
      <c r="O118" s="48">
        <f>IF(t&lt;Tnet,'2024'!Resal+('2024'!Salim-'2024'!Resal)*(1-EXP(('2024'!Tnet-t)/('2024'!Tau_j))),Resal+(Salim-Resal)*(1-EXP((Tnet-t)/(Tau_j))))*Salcycl</f>
        <v>5.7295305405560472E-2</v>
      </c>
      <c r="P118" s="169">
        <f>(INDEX(Models!$BJ118:$BT118,,T118)*(1-R118)+INDEX(Models!$BJ118:$BT118,,T118+1)*R118-ERP_i)*Q118*Ramure*Pc/MaxiM</f>
        <v>3.4411583100903707E-8</v>
      </c>
      <c r="Q118" s="305">
        <f t="shared" si="28"/>
        <v>0.5</v>
      </c>
      <c r="R118" s="177">
        <f t="shared" si="29"/>
        <v>1.5613805026785554E-2</v>
      </c>
      <c r="S118" s="811">
        <f t="shared" si="30"/>
        <v>-2</v>
      </c>
      <c r="T118" s="176">
        <f t="shared" si="31"/>
        <v>4</v>
      </c>
      <c r="U118" s="251">
        <f t="shared" si="32"/>
        <v>-1.9843861949732144</v>
      </c>
      <c r="V118" s="383">
        <f t="shared" si="33"/>
        <v>52.438346163609033</v>
      </c>
      <c r="W118" s="402">
        <f t="shared" si="34"/>
        <v>38.130061841488732</v>
      </c>
      <c r="X118" s="157">
        <f t="shared" si="35"/>
        <v>45761</v>
      </c>
      <c r="Y118" s="385">
        <f t="shared" si="36"/>
        <v>37.044708259230262</v>
      </c>
      <c r="Z118" s="385">
        <f t="shared" si="37"/>
        <v>39.131443910450315</v>
      </c>
      <c r="AA118" s="386">
        <f t="shared" si="38"/>
        <v>42.725597092474878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8.4121777730698732E-2</v>
      </c>
      <c r="AD118" s="231">
        <f>(INDEX(Models!$BJ118:$BT118,,AH118)*(1-AF118)+INDEX(Models!$BJ118:$BT118,,AH118+1)*AF118-ERP_i)*AE118*Ramure*Pc/MaxiM</f>
        <v>1.2839282004107513E-5</v>
      </c>
      <c r="AE118" s="305">
        <f t="shared" si="40"/>
        <v>0.5</v>
      </c>
      <c r="AF118" s="177">
        <f t="shared" si="41"/>
        <v>0.54060137140076447</v>
      </c>
      <c r="AG118" s="811">
        <f t="shared" si="49"/>
        <v>1</v>
      </c>
      <c r="AH118" s="176">
        <f t="shared" si="42"/>
        <v>7</v>
      </c>
      <c r="AI118" s="225">
        <f t="shared" si="43"/>
        <v>1.5406013714007645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43.697686246598607</v>
      </c>
      <c r="C119" s="841"/>
      <c r="D119" s="393">
        <f t="shared" si="25"/>
        <v>46.160196473969755</v>
      </c>
      <c r="E119" s="385">
        <f t="shared" si="47"/>
        <v>48.969150810974639</v>
      </c>
      <c r="F119" s="385">
        <f t="shared" si="26"/>
        <v>48.969152482118673</v>
      </c>
      <c r="G119" s="110">
        <f t="shared" si="48"/>
        <v>0.83012407255496212</v>
      </c>
      <c r="H119" s="414" t="b">
        <f>Wh_hp&gt;='2024'!Maxi_hp</f>
        <v>0</v>
      </c>
      <c r="I119" s="390">
        <f>IF(H119,Wh_hp,'2024'!Maxi_hp)</f>
        <v>58.00017289991299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5.3347048224974158E-2</v>
      </c>
      <c r="M119" s="845"/>
      <c r="N119" s="845"/>
      <c r="O119" s="48">
        <f>IF(t&lt;Tnet,'2024'!Resal+('2024'!Salim-'2024'!Resal)*(1-EXP(('2024'!Tnet-t)/('2024'!Tau_j))),Resal+(Salim-Resal)*(1-EXP((Tnet-t)/(Tau_j))))*Salcycl</f>
        <v>5.7361712230781799E-2</v>
      </c>
      <c r="P119" s="169">
        <f>(INDEX(Models!$BJ119:$BT119,,T119)*(1-R119)+INDEX(Models!$BJ119:$BT119,,T119+1)*R119-ERP_i)*Q119*Ramure*Pc/MaxiM</f>
        <v>4.5062138877446679E-8</v>
      </c>
      <c r="Q119" s="305">
        <f t="shared" si="28"/>
        <v>0.5</v>
      </c>
      <c r="R119" s="177">
        <f t="shared" si="29"/>
        <v>1.7288222336317105E-2</v>
      </c>
      <c r="S119" s="811">
        <f t="shared" si="30"/>
        <v>-2</v>
      </c>
      <c r="T119" s="176">
        <f t="shared" si="31"/>
        <v>4</v>
      </c>
      <c r="U119" s="251">
        <f t="shared" si="32"/>
        <v>-1.9827117776636829</v>
      </c>
      <c r="V119" s="383">
        <f t="shared" si="33"/>
        <v>52.639945296661324</v>
      </c>
      <c r="W119" s="402">
        <f t="shared" si="34"/>
        <v>43.697686246598607</v>
      </c>
      <c r="X119" s="157">
        <f t="shared" si="35"/>
        <v>45762</v>
      </c>
      <c r="Y119" s="385">
        <f t="shared" si="36"/>
        <v>42.45454379769091</v>
      </c>
      <c r="Z119" s="385">
        <f t="shared" si="37"/>
        <v>44.846998805725299</v>
      </c>
      <c r="AA119" s="386">
        <f t="shared" si="38"/>
        <v>48.968615890499549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8.4168543664594184E-2</v>
      </c>
      <c r="AD119" s="231">
        <f>(INDEX(Models!$BJ119:$BT119,,AH119)*(1-AF119)+INDEX(Models!$BJ119:$BT119,,AH119+1)*AF119-ERP_i)*AE119*Ramure*Pc/MaxiM</f>
        <v>1.4469109538893709E-5</v>
      </c>
      <c r="AE119" s="305">
        <f t="shared" si="40"/>
        <v>0.5</v>
      </c>
      <c r="AF119" s="177">
        <f t="shared" si="41"/>
        <v>0.54227578871029603</v>
      </c>
      <c r="AG119" s="811">
        <f t="shared" si="49"/>
        <v>1</v>
      </c>
      <c r="AH119" s="176">
        <f t="shared" si="42"/>
        <v>7</v>
      </c>
      <c r="AI119" s="225">
        <f t="shared" si="43"/>
        <v>1.542275788710296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42.166352116106495</v>
      </c>
      <c r="C120" s="841"/>
      <c r="D120" s="393">
        <f t="shared" si="25"/>
        <v>44.543542180476571</v>
      </c>
      <c r="E120" s="385">
        <f t="shared" si="47"/>
        <v>47.257485825169866</v>
      </c>
      <c r="F120" s="385">
        <f t="shared" si="26"/>
        <v>47.257487777990477</v>
      </c>
      <c r="G120" s="110">
        <f t="shared" si="48"/>
        <v>0.79807155295063958</v>
      </c>
      <c r="H120" s="414" t="b">
        <f>Wh_hp&gt;='2024'!Maxi_hp</f>
        <v>0</v>
      </c>
      <c r="I120" s="390">
        <f>IF(H120,Wh_hp,'2024'!Maxi_hp)</f>
        <v>52.848516926149152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5.336778235413886E-2</v>
      </c>
      <c r="M120" s="845"/>
      <c r="N120" s="845"/>
      <c r="O120" s="48">
        <f>IF(t&lt;Tnet,'2024'!Resal+('2024'!Salim-'2024'!Resal)*(1-EXP(('2024'!Tnet-t)/('2024'!Tau_j))),Resal+(Salim-Resal)*(1-EXP((Tnet-t)/(Tau_j))))*Salcycl</f>
        <v>5.7428862270277985E-2</v>
      </c>
      <c r="P120" s="169">
        <f>(INDEX(Models!$BJ120:$BT120,,T120)*(1-R120)+INDEX(Models!$BJ120:$BT120,,T120+1)*R120-ERP_i)*Q120*Ramure*Pc/MaxiM</f>
        <v>5.80761755899769E-8</v>
      </c>
      <c r="Q120" s="305">
        <f t="shared" si="28"/>
        <v>0.5</v>
      </c>
      <c r="R120" s="177">
        <f t="shared" si="29"/>
        <v>1.9019880309959492E-2</v>
      </c>
      <c r="S120" s="811">
        <f t="shared" si="30"/>
        <v>-2</v>
      </c>
      <c r="T120" s="176">
        <f t="shared" si="31"/>
        <v>4</v>
      </c>
      <c r="U120" s="251">
        <f t="shared" si="32"/>
        <v>-1.9809801196900405</v>
      </c>
      <c r="V120" s="383">
        <f t="shared" si="33"/>
        <v>52.835301864585617</v>
      </c>
      <c r="W120" s="402">
        <f t="shared" si="34"/>
        <v>42.166352116106495</v>
      </c>
      <c r="X120" s="157">
        <f t="shared" si="35"/>
        <v>45763</v>
      </c>
      <c r="Y120" s="385">
        <f t="shared" si="36"/>
        <v>40.967522868719008</v>
      </c>
      <c r="Z120" s="385">
        <f t="shared" si="37"/>
        <v>43.277127172577515</v>
      </c>
      <c r="AA120" s="386">
        <f t="shared" si="38"/>
        <v>47.256937331886135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8.4216421630508173E-2</v>
      </c>
      <c r="AD120" s="231">
        <f>(INDEX(Models!$BJ120:$BT120,,AH120)*(1-AF120)+INDEX(Models!$BJ120:$BT120,,AH120+1)*AF120-ERP_i)*AE120*Ramure*Pc/MaxiM</f>
        <v>1.6370067196990936E-5</v>
      </c>
      <c r="AE120" s="305">
        <f t="shared" si="40"/>
        <v>0.5</v>
      </c>
      <c r="AF120" s="177">
        <f t="shared" si="41"/>
        <v>0.54400744668393841</v>
      </c>
      <c r="AG120" s="811">
        <f t="shared" si="49"/>
        <v>1</v>
      </c>
      <c r="AH120" s="176">
        <f t="shared" si="42"/>
        <v>7</v>
      </c>
      <c r="AI120" s="225">
        <f t="shared" si="43"/>
        <v>1.5440074466839384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51.504344529641976</v>
      </c>
      <c r="C121" s="841"/>
      <c r="D121" s="393">
        <f t="shared" si="25"/>
        <v>54.409169339032914</v>
      </c>
      <c r="E121" s="385">
        <f t="shared" si="47"/>
        <v>57.728363616481914</v>
      </c>
      <c r="F121" s="385">
        <f t="shared" si="26"/>
        <v>57.728367700537426</v>
      </c>
      <c r="G121" s="110">
        <f t="shared" si="48"/>
        <v>0.97134137489040462</v>
      </c>
      <c r="H121" s="414" t="b">
        <f>Wh_hp&gt;='2024'!Maxi_hp</f>
        <v>1</v>
      </c>
      <c r="I121" s="390">
        <f>IF(H121,Wh_hp,'2024'!Maxi_hp)</f>
        <v>57.728367700537426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5.3388516029172828E-2</v>
      </c>
      <c r="M121" s="845"/>
      <c r="N121" s="845"/>
      <c r="O121" s="48">
        <f>IF(t&lt;Tnet,'2024'!Resal+('2024'!Salim-'2024'!Resal)*(1-EXP(('2024'!Tnet-t)/('2024'!Tau_j))),Resal+(Salim-Resal)*(1-EXP((Tnet-t)/(Tau_j))))*Salcycl</f>
        <v>5.7496767091824261E-2</v>
      </c>
      <c r="P121" s="169">
        <f>(INDEX(Models!$BJ121:$BT121,,T121)*(1-R121)+INDEX(Models!$BJ121:$BT121,,T121+1)*R121-ERP_i)*Q121*Ramure*Pc/MaxiM</f>
        <v>7.3766127214871636E-8</v>
      </c>
      <c r="Q121" s="305">
        <f t="shared" si="28"/>
        <v>0.5</v>
      </c>
      <c r="R121" s="177">
        <f t="shared" si="29"/>
        <v>2.0810226844636182E-2</v>
      </c>
      <c r="S121" s="811">
        <f t="shared" si="30"/>
        <v>-2</v>
      </c>
      <c r="T121" s="176">
        <f t="shared" si="31"/>
        <v>4</v>
      </c>
      <c r="U121" s="251">
        <f t="shared" si="32"/>
        <v>-1.9791897731553638</v>
      </c>
      <c r="V121" s="383">
        <f t="shared" si="33"/>
        <v>53.023937521355357</v>
      </c>
      <c r="W121" s="402">
        <f t="shared" si="34"/>
        <v>51.504344529641976</v>
      </c>
      <c r="X121" s="157">
        <f t="shared" si="35"/>
        <v>45764</v>
      </c>
      <c r="Y121" s="385">
        <f t="shared" si="36"/>
        <v>50.040648998819456</v>
      </c>
      <c r="Z121" s="385">
        <f t="shared" si="37"/>
        <v>52.86292195496079</v>
      </c>
      <c r="AA121" s="386">
        <f t="shared" si="38"/>
        <v>57.727340965354777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8.4265426556081685E-2</v>
      </c>
      <c r="AD121" s="231">
        <f>(INDEX(Models!$BJ121:$BT121,,AH121)*(1-AF121)+INDEX(Models!$BJ121:$BT121,,AH121+1)*AF121-ERP_i)*AE121*Ramure*Pc/MaxiM</f>
        <v>1.8544869891856377E-5</v>
      </c>
      <c r="AE121" s="305">
        <f t="shared" si="40"/>
        <v>0.5</v>
      </c>
      <c r="AF121" s="177">
        <f t="shared" si="41"/>
        <v>0.5457977932186151</v>
      </c>
      <c r="AG121" s="811">
        <f t="shared" si="49"/>
        <v>1</v>
      </c>
      <c r="AH121" s="176">
        <f t="shared" si="42"/>
        <v>7</v>
      </c>
      <c r="AI121" s="225">
        <f t="shared" si="43"/>
        <v>1.5457977932186151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35.626783643340893</v>
      </c>
      <c r="C122" s="841"/>
      <c r="D122" s="393">
        <f t="shared" si="25"/>
        <v>37.636944598409002</v>
      </c>
      <c r="E122" s="385">
        <f t="shared" si="47"/>
        <v>39.9358704436194</v>
      </c>
      <c r="F122" s="385">
        <f t="shared" si="26"/>
        <v>39.93587242202382</v>
      </c>
      <c r="G122" s="110">
        <f t="shared" si="48"/>
        <v>0.66960549841035011</v>
      </c>
      <c r="H122" s="414" t="b">
        <f>Wh_hp&gt;='2024'!Maxi_hp</f>
        <v>0</v>
      </c>
      <c r="I122" s="390">
        <f>IF(H122,Wh_hp,'2024'!Maxi_hp)</f>
        <v>42.565319321773202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5.3409249250086055E-2</v>
      </c>
      <c r="M122" s="845"/>
      <c r="N122" s="845"/>
      <c r="O122" s="48">
        <f>IF(t&lt;Tnet,'2024'!Resal+('2024'!Salim-'2024'!Resal)*(1-EXP(('2024'!Tnet-t)/('2024'!Tau_j))),Resal+(Salim-Resal)*(1-EXP((Tnet-t)/(Tau_j))))*Salcycl</f>
        <v>5.7565437279149166E-2</v>
      </c>
      <c r="P122" s="169">
        <f>(INDEX(Models!$BJ122:$BT122,,T122)*(1-R122)+INDEX(Models!$BJ122:$BT122,,T122+1)*R122-ERP_i)*Q122*Ramure*Pc/MaxiM</f>
        <v>9.3823467361631551E-8</v>
      </c>
      <c r="Q122" s="305">
        <f t="shared" si="28"/>
        <v>0.5</v>
      </c>
      <c r="R122" s="177">
        <f t="shared" si="29"/>
        <v>2.266070716735924E-2</v>
      </c>
      <c r="S122" s="811">
        <f t="shared" si="30"/>
        <v>-2</v>
      </c>
      <c r="T122" s="176">
        <f t="shared" si="31"/>
        <v>4</v>
      </c>
      <c r="U122" s="251">
        <f t="shared" si="32"/>
        <v>-1.9773392928326408</v>
      </c>
      <c r="V122" s="383">
        <f t="shared" si="33"/>
        <v>53.205629509054134</v>
      </c>
      <c r="W122" s="402">
        <f t="shared" si="34"/>
        <v>35.626783643340893</v>
      </c>
      <c r="X122" s="157">
        <f t="shared" si="35"/>
        <v>45765</v>
      </c>
      <c r="Y122" s="385">
        <f t="shared" si="36"/>
        <v>34.615164832104249</v>
      </c>
      <c r="Z122" s="385">
        <f t="shared" si="37"/>
        <v>36.568247476199417</v>
      </c>
      <c r="AA122" s="386">
        <f t="shared" si="38"/>
        <v>39.935425736137113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8.431557189812991E-2</v>
      </c>
      <c r="AD122" s="231">
        <f>(INDEX(Models!$BJ122:$BT122,,AH122)*(1-AF122)+INDEX(Models!$BJ122:$BT122,,AH122+1)*AF122-ERP_i)*AE122*Ramure*Pc/MaxiM</f>
        <v>2.118354484260728E-5</v>
      </c>
      <c r="AE122" s="305">
        <f t="shared" si="40"/>
        <v>0.5</v>
      </c>
      <c r="AF122" s="177">
        <f t="shared" si="41"/>
        <v>0.54764827354133816</v>
      </c>
      <c r="AG122" s="811">
        <f t="shared" si="49"/>
        <v>1</v>
      </c>
      <c r="AH122" s="176">
        <f t="shared" si="42"/>
        <v>7</v>
      </c>
      <c r="AI122" s="225">
        <f t="shared" si="43"/>
        <v>1.5476482735413382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8.5168391241280634</v>
      </c>
      <c r="C123" s="841"/>
      <c r="D123" s="393">
        <f t="shared" si="25"/>
        <v>8.9975796426292689</v>
      </c>
      <c r="E123" s="385">
        <f t="shared" si="47"/>
        <v>9.5478700075403058</v>
      </c>
      <c r="F123" s="385">
        <f t="shared" si="26"/>
        <v>9.5478700075403058</v>
      </c>
      <c r="G123" s="110">
        <f t="shared" si="48"/>
        <v>0.1595491165775261</v>
      </c>
      <c r="H123" s="414" t="b">
        <f>Wh_hp&gt;='2024'!Maxi_hp</f>
        <v>0</v>
      </c>
      <c r="I123" s="390">
        <f>IF(H123,Wh_hp,'2024'!Maxi_hp)</f>
        <v>57.730407119667383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5.3429982016888644E-2</v>
      </c>
      <c r="M123" s="845"/>
      <c r="N123" s="845"/>
      <c r="O123" s="48">
        <f>IF(t&lt;Tnet,'2024'!Resal+('2024'!Salim-'2024'!Resal)*(1-EXP(('2024'!Tnet-t)/('2024'!Tau_j))),Resal+(Salim-Resal)*(1-EXP((Tnet-t)/(Tau_j))))*Salcycl</f>
        <v>5.7634882384914397E-2</v>
      </c>
      <c r="P123" s="169">
        <f>(INDEX(Models!$BJ123:$BT123,,T123)*(1-R123)+INDEX(Models!$BJ123:$BT123,,T123+1)*R123-ERP_i)*Q123*Ramure*Pc/MaxiM</f>
        <v>1.1863542179206203E-7</v>
      </c>
      <c r="Q123" s="305">
        <f t="shared" si="28"/>
        <v>0.5</v>
      </c>
      <c r="R123" s="177">
        <f t="shared" si="29"/>
        <v>2.4572760251996062E-2</v>
      </c>
      <c r="S123" s="811">
        <f t="shared" si="30"/>
        <v>-2</v>
      </c>
      <c r="T123" s="176">
        <f t="shared" si="31"/>
        <v>4</v>
      </c>
      <c r="U123" s="251">
        <f t="shared" si="32"/>
        <v>-1.9754272397480039</v>
      </c>
      <c r="V123" s="383">
        <f t="shared" si="33"/>
        <v>53.3806660696292</v>
      </c>
      <c r="W123" s="402">
        <f t="shared" si="34"/>
        <v>8.5168391241280634</v>
      </c>
      <c r="X123" s="157">
        <f t="shared" si="35"/>
        <v>45766</v>
      </c>
      <c r="Y123" s="385">
        <f t="shared" si="36"/>
        <v>8.2752427087485341</v>
      </c>
      <c r="Z123" s="385">
        <f t="shared" si="37"/>
        <v>8.7423461038633707</v>
      </c>
      <c r="AA123" s="386">
        <f t="shared" si="38"/>
        <v>9.5478700075403058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8.4366869578323109E-2</v>
      </c>
      <c r="AD123" s="231">
        <f>(INDEX(Models!$BJ123:$BT123,,AH123)*(1-AF123)+INDEX(Models!$BJ123:$BT123,,AH123+1)*AF123-ERP_i)*AE123*Ramure*Pc/MaxiM</f>
        <v>2.4152926954482785E-5</v>
      </c>
      <c r="AE123" s="305">
        <f t="shared" si="40"/>
        <v>0.5</v>
      </c>
      <c r="AF123" s="177">
        <f t="shared" si="41"/>
        <v>0.54956032662597498</v>
      </c>
      <c r="AG123" s="811">
        <f t="shared" si="49"/>
        <v>1</v>
      </c>
      <c r="AH123" s="176">
        <f t="shared" si="42"/>
        <v>7</v>
      </c>
      <c r="AI123" s="225">
        <f t="shared" si="43"/>
        <v>1.549560326625975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9.7462469242910341</v>
      </c>
      <c r="C124" s="841"/>
      <c r="D124" s="393">
        <f t="shared" si="25"/>
        <v>10.296607975767568</v>
      </c>
      <c r="E124" s="385">
        <f t="shared" si="47"/>
        <v>10.927161013686586</v>
      </c>
      <c r="F124" s="385">
        <f t="shared" si="26"/>
        <v>10.927161013686586</v>
      </c>
      <c r="G124" s="110">
        <f t="shared" si="48"/>
        <v>0.18200497540194613</v>
      </c>
      <c r="H124" s="414" t="b">
        <f>Wh_hp&gt;='2024'!Maxi_hp</f>
        <v>0</v>
      </c>
      <c r="I124" s="390">
        <f>IF(H124,Wh_hp,'2024'!Maxi_hp)</f>
        <v>54.953153725787914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5.3450714329590365E-2</v>
      </c>
      <c r="M124" s="845"/>
      <c r="N124" s="845"/>
      <c r="O124" s="48">
        <f>IF(t&lt;Tnet,'2024'!Resal+('2024'!Salim-'2024'!Resal)*(1-EXP(('2024'!Tnet-t)/('2024'!Tau_j))),Resal+(Salim-Resal)*(1-EXP((Tnet-t)/(Tau_j))))*Salcycl</f>
        <v>5.7705110881887088E-2</v>
      </c>
      <c r="P124" s="169">
        <f>(INDEX(Models!$BJ124:$BT124,,T124)*(1-R124)+INDEX(Models!$BJ124:$BT124,,T124+1)*R124-ERP_i)*Q124*Ramure*Pc/MaxiM</f>
        <v>1.4886622075807734E-7</v>
      </c>
      <c r="Q124" s="305">
        <f t="shared" si="28"/>
        <v>0.5</v>
      </c>
      <c r="R124" s="177">
        <f t="shared" si="29"/>
        <v>2.6547814980665274E-2</v>
      </c>
      <c r="S124" s="811">
        <f t="shared" si="30"/>
        <v>-2</v>
      </c>
      <c r="T124" s="176">
        <f t="shared" si="31"/>
        <v>4</v>
      </c>
      <c r="U124" s="251">
        <f t="shared" si="32"/>
        <v>-1.9734521850193347</v>
      </c>
      <c r="V124" s="383">
        <f t="shared" si="33"/>
        <v>53.549335406244467</v>
      </c>
      <c r="W124" s="402">
        <f t="shared" si="34"/>
        <v>9.7462469242910341</v>
      </c>
      <c r="X124" s="157">
        <f t="shared" si="35"/>
        <v>45767</v>
      </c>
      <c r="Y124" s="385">
        <f t="shared" si="36"/>
        <v>9.4699391801792689</v>
      </c>
      <c r="Z124" s="385">
        <f t="shared" si="37"/>
        <v>10.004697403022202</v>
      </c>
      <c r="AA124" s="386">
        <f t="shared" si="38"/>
        <v>10.927161013686586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8.4419329916432168E-2</v>
      </c>
      <c r="AD124" s="231">
        <f>(INDEX(Models!$BJ124:$BT124,,AH124)*(1-AF124)+INDEX(Models!$BJ124:$BT124,,AH124+1)*AF124-ERP_i)*AE124*Ramure*Pc/MaxiM</f>
        <v>2.7456808832929049E-5</v>
      </c>
      <c r="AE124" s="305">
        <f t="shared" si="40"/>
        <v>0.5</v>
      </c>
      <c r="AF124" s="177">
        <f t="shared" si="41"/>
        <v>0.55153538135464419</v>
      </c>
      <c r="AG124" s="811">
        <f t="shared" si="49"/>
        <v>1</v>
      </c>
      <c r="AH124" s="176">
        <f t="shared" si="42"/>
        <v>7</v>
      </c>
      <c r="AI124" s="225">
        <f t="shared" si="43"/>
        <v>1.5515353813546442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9.0090791260334111</v>
      </c>
      <c r="C125" s="841"/>
      <c r="D125" s="393">
        <f t="shared" si="25"/>
        <v>9.5180215005164168</v>
      </c>
      <c r="E125" s="385">
        <f t="shared" si="47"/>
        <v>10.10165609755868</v>
      </c>
      <c r="F125" s="385">
        <f t="shared" si="26"/>
        <v>10.10165609755868</v>
      </c>
      <c r="G125" s="110">
        <f t="shared" si="48"/>
        <v>0.16772955614765278</v>
      </c>
      <c r="H125" s="414" t="b">
        <f>Wh_hp&gt;='2024'!Maxi_hp</f>
        <v>0</v>
      </c>
      <c r="I125" s="390">
        <f>IF(H125,Wh_hp,'2024'!Maxi_hp)</f>
        <v>55.659407422413302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5.347144618820121E-2</v>
      </c>
      <c r="M125" s="845"/>
      <c r="N125" s="845"/>
      <c r="O125" s="48">
        <f>IF(t&lt;Tnet,'2024'!Resal+('2024'!Salim-'2024'!Resal)*(1-EXP(('2024'!Tnet-t)/('2024'!Tau_j))),Resal+(Salim-Resal)*(1-EXP((Tnet-t)/(Tau_j))))*Salcycl</f>
        <v>5.7776130112300261E-2</v>
      </c>
      <c r="P125" s="169">
        <f>(INDEX(Models!$BJ125:$BT125,,T125)*(1-R125)+INDEX(Models!$BJ125:$BT125,,T125+1)*R125-ERP_i)*Q125*Ramure*Pc/MaxiM</f>
        <v>1.8522819951307827E-7</v>
      </c>
      <c r="Q125" s="305">
        <f t="shared" si="28"/>
        <v>0.5</v>
      </c>
      <c r="R125" s="177">
        <f t="shared" si="29"/>
        <v>2.8587286046138249E-2</v>
      </c>
      <c r="S125" s="811">
        <f t="shared" si="30"/>
        <v>-2</v>
      </c>
      <c r="T125" s="176">
        <f t="shared" si="31"/>
        <v>4</v>
      </c>
      <c r="U125" s="251">
        <f t="shared" si="32"/>
        <v>-1.9714127139538618</v>
      </c>
      <c r="V125" s="383">
        <f t="shared" si="33"/>
        <v>53.71192569881476</v>
      </c>
      <c r="W125" s="402">
        <f t="shared" si="34"/>
        <v>9.0090791260334111</v>
      </c>
      <c r="X125" s="157">
        <f t="shared" si="35"/>
        <v>45768</v>
      </c>
      <c r="Y125" s="385">
        <f t="shared" si="36"/>
        <v>8.7538172136328516</v>
      </c>
      <c r="Z125" s="385">
        <f t="shared" si="37"/>
        <v>9.2483392903257311</v>
      </c>
      <c r="AA125" s="386">
        <f t="shared" si="38"/>
        <v>10.10165609755868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8.4472961561141979E-2</v>
      </c>
      <c r="AD125" s="231">
        <f>(INDEX(Models!$BJ125:$BT125,,AH125)*(1-AF125)+INDEX(Models!$BJ125:$BT125,,AH125+1)*AF125-ERP_i)*AE125*Ramure*Pc/MaxiM</f>
        <v>3.1099554660543774E-5</v>
      </c>
      <c r="AE125" s="305">
        <f t="shared" si="40"/>
        <v>0.5</v>
      </c>
      <c r="AF125" s="177">
        <f t="shared" si="41"/>
        <v>0.55357485242011717</v>
      </c>
      <c r="AG125" s="811">
        <f t="shared" si="49"/>
        <v>1</v>
      </c>
      <c r="AH125" s="176">
        <f t="shared" si="42"/>
        <v>7</v>
      </c>
      <c r="AI125" s="225">
        <f t="shared" si="43"/>
        <v>1.5535748524201172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26.365898526908062</v>
      </c>
      <c r="C126" s="841"/>
      <c r="D126" s="393">
        <f t="shared" si="25"/>
        <v>27.855975304938571</v>
      </c>
      <c r="E126" s="385">
        <f t="shared" si="47"/>
        <v>29.566326575030846</v>
      </c>
      <c r="F126" s="385">
        <f t="shared" si="26"/>
        <v>29.566328403318174</v>
      </c>
      <c r="G126" s="110">
        <f t="shared" si="48"/>
        <v>0.48944715288437801</v>
      </c>
      <c r="H126" s="414" t="b">
        <f>Wh_hp&gt;='2024'!Maxi_hp</f>
        <v>0</v>
      </c>
      <c r="I126" s="390">
        <f>IF(H126,Wh_hp,'2024'!Maxi_hp)</f>
        <v>61.619887493232405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5.3492177592731283E-2</v>
      </c>
      <c r="M126" s="845"/>
      <c r="N126" s="845"/>
      <c r="O126" s="48">
        <f>IF(t&lt;Tnet,'2024'!Resal+('2024'!Salim-'2024'!Resal)*(1-EXP(('2024'!Tnet-t)/('2024'!Tau_j))),Resal+(Salim-Resal)*(1-EXP((Tnet-t)/(Tau_j))))*Salcycl</f>
        <v>5.7847946235454507E-2</v>
      </c>
      <c r="P126" s="169">
        <f>(INDEX(Models!$BJ126:$BT126,,T126)*(1-R126)+INDEX(Models!$BJ126:$BT126,,T126+1)*R126-ERP_i)*Q126*Ramure*Pc/MaxiM</f>
        <v>2.2848454165680745E-7</v>
      </c>
      <c r="Q126" s="305">
        <f t="shared" si="28"/>
        <v>0.5</v>
      </c>
      <c r="R126" s="177">
        <f t="shared" si="29"/>
        <v>3.0692569593020691E-2</v>
      </c>
      <c r="S126" s="811">
        <f t="shared" si="30"/>
        <v>-2</v>
      </c>
      <c r="T126" s="176">
        <f t="shared" si="31"/>
        <v>4</v>
      </c>
      <c r="U126" s="251">
        <f t="shared" si="32"/>
        <v>-1.9693074304069793</v>
      </c>
      <c r="V126" s="383">
        <f t="shared" si="33"/>
        <v>53.868725106914503</v>
      </c>
      <c r="W126" s="402">
        <f t="shared" si="34"/>
        <v>26.365898526908062</v>
      </c>
      <c r="X126" s="157">
        <f t="shared" si="35"/>
        <v>45769</v>
      </c>
      <c r="Y126" s="385">
        <f t="shared" si="36"/>
        <v>25.619028351423811</v>
      </c>
      <c r="Z126" s="385">
        <f t="shared" si="37"/>
        <v>27.06689553422445</v>
      </c>
      <c r="AA126" s="386">
        <f t="shared" si="38"/>
        <v>29.56604765189266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8.4527771418518513E-2</v>
      </c>
      <c r="AD126" s="231">
        <f>(INDEX(Models!$BJ126:$BT126,,AH126)*(1-AF126)+INDEX(Models!$BJ126:$BT126,,AH126+1)*AF126-ERP_i)*AE126*Ramure*Pc/MaxiM</f>
        <v>3.5086039163133371E-5</v>
      </c>
      <c r="AE126" s="305">
        <f t="shared" si="40"/>
        <v>0.5</v>
      </c>
      <c r="AF126" s="177">
        <f t="shared" si="41"/>
        <v>0.55568013596699961</v>
      </c>
      <c r="AG126" s="811">
        <f t="shared" si="49"/>
        <v>1</v>
      </c>
      <c r="AH126" s="176">
        <f t="shared" si="42"/>
        <v>7</v>
      </c>
      <c r="AI126" s="225">
        <f t="shared" si="43"/>
        <v>1.5556801359669996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9.1230762149079379</v>
      </c>
      <c r="C127" s="841"/>
      <c r="D127" s="393">
        <f t="shared" si="25"/>
        <v>9.6388807594469377</v>
      </c>
      <c r="E127" s="385">
        <f t="shared" si="47"/>
        <v>10.231494705106638</v>
      </c>
      <c r="F127" s="385">
        <f t="shared" si="26"/>
        <v>10.231494705106638</v>
      </c>
      <c r="G127" s="110">
        <f t="shared" si="48"/>
        <v>0.16888319121480591</v>
      </c>
      <c r="H127" s="414" t="b">
        <f>Wh_hp&gt;='2024'!Maxi_hp</f>
        <v>0</v>
      </c>
      <c r="I127" s="390">
        <f>IF(H127,Wh_hp,'2024'!Maxi_hp)</f>
        <v>61.960154457717145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5.3512908543190241E-2</v>
      </c>
      <c r="M127" s="845"/>
      <c r="N127" s="845"/>
      <c r="O127" s="48">
        <f>IF(t&lt;Tnet,'2024'!Resal+('2024'!Salim-'2024'!Resal)*(1-EXP(('2024'!Tnet-t)/('2024'!Tau_j))),Resal+(Salim-Resal)*(1-EXP((Tnet-t)/(Tau_j))))*Salcycl</f>
        <v>5.7920564173670669E-2</v>
      </c>
      <c r="P127" s="169">
        <f>(INDEX(Models!$BJ127:$BT127,,T127)*(1-R127)+INDEX(Models!$BJ127:$BT127,,T127+1)*R127-ERP_i)*Q127*Ramure*Pc/MaxiM</f>
        <v>2.7945148044222801E-7</v>
      </c>
      <c r="Q127" s="305">
        <f t="shared" si="28"/>
        <v>0.5</v>
      </c>
      <c r="R127" s="177">
        <f t="shared" si="29"/>
        <v>3.2865038597054141E-2</v>
      </c>
      <c r="S127" s="811">
        <f t="shared" si="30"/>
        <v>-2</v>
      </c>
      <c r="T127" s="176">
        <f t="shared" si="31"/>
        <v>4</v>
      </c>
      <c r="U127" s="251">
        <f t="shared" si="32"/>
        <v>-1.9671349614029459</v>
      </c>
      <c r="V127" s="383">
        <f t="shared" si="33"/>
        <v>54.020021766683477</v>
      </c>
      <c r="W127" s="402">
        <f t="shared" si="34"/>
        <v>9.1230762149079379</v>
      </c>
      <c r="X127" s="157">
        <f t="shared" si="35"/>
        <v>45770</v>
      </c>
      <c r="Y127" s="385">
        <f t="shared" si="36"/>
        <v>8.8648703777203064</v>
      </c>
      <c r="Z127" s="385">
        <f t="shared" si="37"/>
        <v>9.3660763656857853</v>
      </c>
      <c r="AA127" s="386">
        <f t="shared" si="38"/>
        <v>10.231494705106638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8.4583764578298998E-2</v>
      </c>
      <c r="AD127" s="231">
        <f>(INDEX(Models!$BJ127:$BT127,,AH127)*(1-AF127)+INDEX(Models!$BJ127:$BT127,,AH127+1)*AF127-ERP_i)*AE127*Ramure*Pc/MaxiM</f>
        <v>3.9421524279249471E-5</v>
      </c>
      <c r="AE127" s="305">
        <f t="shared" si="40"/>
        <v>0.5</v>
      </c>
      <c r="AF127" s="177">
        <f t="shared" si="41"/>
        <v>0.55785260497103306</v>
      </c>
      <c r="AG127" s="811">
        <f t="shared" si="49"/>
        <v>1</v>
      </c>
      <c r="AH127" s="176">
        <f t="shared" si="42"/>
        <v>7</v>
      </c>
      <c r="AI127" s="225">
        <f t="shared" si="43"/>
        <v>1.5578526049710331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28.948196489433155</v>
      </c>
      <c r="C128" s="841"/>
      <c r="D128" s="393">
        <f t="shared" si="25"/>
        <v>30.585552412088298</v>
      </c>
      <c r="E128" s="385">
        <f t="shared" si="47"/>
        <v>32.468532056138379</v>
      </c>
      <c r="F128" s="385">
        <f t="shared" si="26"/>
        <v>32.468535776423316</v>
      </c>
      <c r="G128" s="110">
        <f t="shared" si="48"/>
        <v>0.53443367644358153</v>
      </c>
      <c r="H128" s="414" t="b">
        <f>Wh_hp&gt;='2024'!Maxi_hp</f>
        <v>0</v>
      </c>
      <c r="I128" s="390">
        <f>IF(H128,Wh_hp,'2024'!Maxi_hp)</f>
        <v>59.446721075347604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5.3533639039588299E-2</v>
      </c>
      <c r="M128" s="845"/>
      <c r="N128" s="845"/>
      <c r="O128" s="48">
        <f>IF(t&lt;Tnet,'2024'!Resal+('2024'!Salim-'2024'!Resal)*(1-EXP(('2024'!Tnet-t)/('2024'!Tau_j))),Resal+(Salim-Resal)*(1-EXP((Tnet-t)/(Tau_j))))*Salcycl</f>
        <v>5.7993987556763868E-2</v>
      </c>
      <c r="P128" s="169">
        <f>(INDEX(Models!$BJ128:$BT128,,T128)*(1-R128)+INDEX(Models!$BJ128:$BT128,,T128+1)*R128-ERP_i)*Q128*Ramure*Pc/MaxiM</f>
        <v>3.4213012541606188E-7</v>
      </c>
      <c r="Q128" s="305">
        <f t="shared" si="28"/>
        <v>0.5</v>
      </c>
      <c r="R128" s="177">
        <f t="shared" si="29"/>
        <v>3.5106037983635652E-2</v>
      </c>
      <c r="S128" s="811">
        <f t="shared" si="30"/>
        <v>-2</v>
      </c>
      <c r="T128" s="176">
        <f t="shared" si="31"/>
        <v>4</v>
      </c>
      <c r="U128" s="251">
        <f t="shared" si="32"/>
        <v>-1.9648939620163643</v>
      </c>
      <c r="V128" s="383">
        <f t="shared" si="33"/>
        <v>54.166103631305113</v>
      </c>
      <c r="W128" s="402">
        <f t="shared" si="34"/>
        <v>28.948196489433155</v>
      </c>
      <c r="X128" s="157">
        <f t="shared" si="35"/>
        <v>45771</v>
      </c>
      <c r="Y128" s="385">
        <f t="shared" si="36"/>
        <v>28.128910808988032</v>
      </c>
      <c r="Z128" s="385">
        <f t="shared" si="37"/>
        <v>29.719926633678419</v>
      </c>
      <c r="AA128" s="386">
        <f t="shared" si="38"/>
        <v>32.468053324655472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8.4640944238261115E-2</v>
      </c>
      <c r="AD128" s="231">
        <f>(INDEX(Models!$BJ128:$BT128,,AH128)*(1-AF128)+INDEX(Models!$BJ128:$BT128,,AH128+1)*AF128-ERP_i)*AE128*Ramure*Pc/MaxiM</f>
        <v>4.4367914438403468E-5</v>
      </c>
      <c r="AE128" s="305">
        <f t="shared" si="40"/>
        <v>0.5</v>
      </c>
      <c r="AF128" s="177">
        <f t="shared" si="41"/>
        <v>0.56009360435761457</v>
      </c>
      <c r="AG128" s="811">
        <f t="shared" si="49"/>
        <v>1</v>
      </c>
      <c r="AH128" s="176">
        <f t="shared" si="42"/>
        <v>7</v>
      </c>
      <c r="AI128" s="225">
        <f t="shared" si="43"/>
        <v>1.5600936043576146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44.548234544478895</v>
      </c>
      <c r="C129" s="841"/>
      <c r="D129" s="393">
        <f t="shared" si="25"/>
        <v>47.068984302105669</v>
      </c>
      <c r="E129" s="385">
        <f t="shared" si="47"/>
        <v>49.970693456598575</v>
      </c>
      <c r="F129" s="385">
        <f t="shared" si="26"/>
        <v>49.970708933920285</v>
      </c>
      <c r="G129" s="110">
        <f t="shared" si="48"/>
        <v>0.82029973025229685</v>
      </c>
      <c r="H129" s="414" t="b">
        <f>Wh_hp&gt;='2024'!Maxi_hp</f>
        <v>0</v>
      </c>
      <c r="I129" s="390">
        <f>IF(H129,Wh_hp,'2024'!Maxi_hp)</f>
        <v>54.184367462537033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5.3554369081935116E-2</v>
      </c>
      <c r="M129" s="845"/>
      <c r="N129" s="845"/>
      <c r="O129" s="48">
        <f>IF(t&lt;Tnet,'2024'!Resal+('2024'!Salim-'2024'!Resal)*(1-EXP(('2024'!Tnet-t)/('2024'!Tau_j))),Resal+(Salim-Resal)*(1-EXP((Tnet-t)/(Tau_j))))*Salcycl</f>
        <v>5.8068218665269206E-2</v>
      </c>
      <c r="P129" s="169">
        <f>(INDEX(Models!$BJ129:$BT129,,T129)*(1-R129)+INDEX(Models!$BJ129:$BT129,,T129+1)*R129-ERP_i)*Q129*Ramure*Pc/MaxiM</f>
        <v>4.1670111756104921E-7</v>
      </c>
      <c r="Q129" s="305">
        <f t="shared" si="28"/>
        <v>0.5</v>
      </c>
      <c r="R129" s="177">
        <f t="shared" si="29"/>
        <v>3.7416879488601396E-2</v>
      </c>
      <c r="S129" s="811">
        <f t="shared" si="30"/>
        <v>-2</v>
      </c>
      <c r="T129" s="176">
        <f t="shared" si="31"/>
        <v>4</v>
      </c>
      <c r="U129" s="251">
        <f t="shared" si="32"/>
        <v>-1.9625831205113986</v>
      </c>
      <c r="V129" s="383">
        <f t="shared" si="33"/>
        <v>54.30725884221242</v>
      </c>
      <c r="W129" s="402">
        <f t="shared" si="34"/>
        <v>44.548234544478895</v>
      </c>
      <c r="X129" s="157">
        <f t="shared" si="35"/>
        <v>45772</v>
      </c>
      <c r="Y129" s="385">
        <f t="shared" si="36"/>
        <v>43.287140113057937</v>
      </c>
      <c r="Z129" s="385">
        <f t="shared" si="37"/>
        <v>45.736531184648015</v>
      </c>
      <c r="AA129" s="386">
        <f t="shared" si="38"/>
        <v>49.968859158128737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8.4699311627014051E-2</v>
      </c>
      <c r="AD129" s="231">
        <f>(INDEX(Models!$BJ129:$BT129,,AH129)*(1-AF129)+INDEX(Models!$BJ129:$BT129,,AH129+1)*AF129-ERP_i)*AE129*Ramure*Pc/MaxiM</f>
        <v>4.9802133330017649E-5</v>
      </c>
      <c r="AE129" s="305">
        <f t="shared" si="40"/>
        <v>0.5</v>
      </c>
      <c r="AF129" s="177">
        <f t="shared" si="41"/>
        <v>0.56240444586258032</v>
      </c>
      <c r="AG129" s="811">
        <f t="shared" si="49"/>
        <v>1</v>
      </c>
      <c r="AH129" s="176">
        <f t="shared" si="42"/>
        <v>7</v>
      </c>
      <c r="AI129" s="225">
        <f t="shared" si="43"/>
        <v>1.5624044458625803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51.86109645907478</v>
      </c>
      <c r="C130" s="841"/>
      <c r="D130" s="393">
        <f t="shared" si="25"/>
        <v>54.796842714311701</v>
      </c>
      <c r="E130" s="385">
        <f t="shared" si="47"/>
        <v>58.179593872881988</v>
      </c>
      <c r="F130" s="385">
        <f t="shared" si="26"/>
        <v>58.179621239228936</v>
      </c>
      <c r="G130" s="110">
        <f t="shared" si="48"/>
        <v>0.95256242317521012</v>
      </c>
      <c r="H130" s="414" t="b">
        <f>Wh_hp&gt;='2024'!Maxi_hp</f>
        <v>1</v>
      </c>
      <c r="I130" s="390">
        <f>IF(H130,Wh_hp,'2024'!Maxi_hp)</f>
        <v>58.179621239228936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5.3575098670240906E-2</v>
      </c>
      <c r="M130" s="845"/>
      <c r="N130" s="845"/>
      <c r="O130" s="48">
        <f>IF(t&lt;Tnet,'2024'!Resal+('2024'!Salim-'2024'!Resal)*(1-EXP(('2024'!Tnet-t)/('2024'!Tau_j))),Resal+(Salim-Resal)*(1-EXP((Tnet-t)/(Tau_j))))*Salcycl</f>
        <v>5.8143258372709491E-2</v>
      </c>
      <c r="P130" s="169">
        <f>(INDEX(Models!$BJ130:$BT130,,T130)*(1-R130)+INDEX(Models!$BJ130:$BT130,,T130+1)*R130-ERP_i)*Q130*Ramure*Pc/MaxiM</f>
        <v>5.0457054612976385E-7</v>
      </c>
      <c r="Q130" s="305">
        <f t="shared" si="28"/>
        <v>0.5</v>
      </c>
      <c r="R130" s="177">
        <f t="shared" si="29"/>
        <v>3.9798836266460524E-2</v>
      </c>
      <c r="S130" s="811">
        <f t="shared" si="30"/>
        <v>-2</v>
      </c>
      <c r="T130" s="176">
        <f t="shared" si="31"/>
        <v>4</v>
      </c>
      <c r="U130" s="251">
        <f t="shared" si="32"/>
        <v>-1.9602011637335395</v>
      </c>
      <c r="V130" s="383">
        <f t="shared" si="33"/>
        <v>54.443775467103698</v>
      </c>
      <c r="W130" s="402">
        <f t="shared" si="34"/>
        <v>51.86109645907478</v>
      </c>
      <c r="X130" s="157">
        <f t="shared" si="35"/>
        <v>45773</v>
      </c>
      <c r="Y130" s="385">
        <f t="shared" si="36"/>
        <v>50.392976876521651</v>
      </c>
      <c r="Z130" s="385">
        <f t="shared" si="37"/>
        <v>53.245616007902804</v>
      </c>
      <c r="AA130" s="386">
        <f t="shared" si="38"/>
        <v>58.176598522042354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8.4758865925639637E-2</v>
      </c>
      <c r="AD130" s="231">
        <f>(INDEX(Models!$BJ130:$BT130,,AH130)*(1-AF130)+INDEX(Models!$BJ130:$BT130,,AH130+1)*AF130-ERP_i)*AE130*Ramure*Pc/MaxiM</f>
        <v>5.5731737401092559E-5</v>
      </c>
      <c r="AE130" s="305">
        <f t="shared" si="40"/>
        <v>0.5</v>
      </c>
      <c r="AF130" s="177">
        <f t="shared" si="41"/>
        <v>0.56478640264043944</v>
      </c>
      <c r="AG130" s="811">
        <f t="shared" si="49"/>
        <v>1</v>
      </c>
      <c r="AH130" s="176">
        <f t="shared" si="42"/>
        <v>7</v>
      </c>
      <c r="AI130" s="225">
        <f t="shared" si="43"/>
        <v>1.5647864026404394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39.065555638076354</v>
      </c>
      <c r="C131" s="841"/>
      <c r="D131" s="393">
        <f t="shared" si="25"/>
        <v>41.277877661349926</v>
      </c>
      <c r="E131" s="385">
        <f t="shared" si="47"/>
        <v>43.829597657110959</v>
      </c>
      <c r="F131" s="385">
        <f t="shared" si="26"/>
        <v>43.829613466532599</v>
      </c>
      <c r="G131" s="110">
        <f t="shared" si="48"/>
        <v>0.71580159483165584</v>
      </c>
      <c r="H131" s="414" t="b">
        <f>Wh_hp&gt;='2024'!Maxi_hp</f>
        <v>1</v>
      </c>
      <c r="I131" s="390">
        <f>IF(H131,Wh_hp,'2024'!Maxi_hp)</f>
        <v>43.829613466532599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5.359582780451555E-2</v>
      </c>
      <c r="M131" s="845"/>
      <c r="N131" s="845"/>
      <c r="O131" s="48">
        <f>IF(t&lt;Tnet,'2024'!Resal+('2024'!Salim-'2024'!Resal)*(1-EXP(('2024'!Tnet-t)/('2024'!Tau_j))),Resal+(Salim-Resal)*(1-EXP((Tnet-t)/(Tau_j))))*Salcycl</f>
        <v>5.8219106087254675E-2</v>
      </c>
      <c r="P131" s="169">
        <f>(INDEX(Models!$BJ131:$BT131,,T131)*(1-R131)+INDEX(Models!$BJ131:$BT131,,T131+1)*R131-ERP_i)*Q131*Ramure*Pc/MaxiM</f>
        <v>6.0723954555815921E-7</v>
      </c>
      <c r="Q131" s="305">
        <f t="shared" si="28"/>
        <v>0.5</v>
      </c>
      <c r="R131" s="177">
        <f t="shared" si="29"/>
        <v>4.2253137253595474E-2</v>
      </c>
      <c r="S131" s="811">
        <f t="shared" si="30"/>
        <v>-2</v>
      </c>
      <c r="T131" s="176">
        <f t="shared" si="31"/>
        <v>4</v>
      </c>
      <c r="U131" s="251">
        <f t="shared" si="32"/>
        <v>-1.9577468627464045</v>
      </c>
      <c r="V131" s="383">
        <f t="shared" si="33"/>
        <v>54.575941558397126</v>
      </c>
      <c r="W131" s="402">
        <f t="shared" si="34"/>
        <v>39.065555638076354</v>
      </c>
      <c r="X131" s="157">
        <f t="shared" si="35"/>
        <v>45774</v>
      </c>
      <c r="Y131" s="385">
        <f t="shared" si="36"/>
        <v>37.960765201980486</v>
      </c>
      <c r="Z131" s="385">
        <f t="shared" si="37"/>
        <v>40.110521822741397</v>
      </c>
      <c r="AA131" s="386">
        <f t="shared" si="38"/>
        <v>43.827995012047431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8.4819604188696732E-2</v>
      </c>
      <c r="AD131" s="231">
        <f>(INDEX(Models!$BJ131:$BT131,,AH131)*(1-AF131)+INDEX(Models!$BJ131:$BT131,,AH131+1)*AF131-ERP_i)*AE131*Ramure*Pc/MaxiM</f>
        <v>6.2164802012362212E-5</v>
      </c>
      <c r="AE131" s="305">
        <f t="shared" si="40"/>
        <v>0.5</v>
      </c>
      <c r="AF131" s="177">
        <f t="shared" si="41"/>
        <v>0.56724070362757439</v>
      </c>
      <c r="AG131" s="811">
        <f t="shared" si="49"/>
        <v>1</v>
      </c>
      <c r="AH131" s="176">
        <f t="shared" si="42"/>
        <v>7</v>
      </c>
      <c r="AI131" s="225">
        <f t="shared" si="43"/>
        <v>1.5672407036275744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19.445264281472081</v>
      </c>
      <c r="C132" s="841"/>
      <c r="D132" s="393">
        <f t="shared" si="25"/>
        <v>20.546919343014828</v>
      </c>
      <c r="E132" s="385">
        <f t="shared" si="47"/>
        <v>21.818866756212504</v>
      </c>
      <c r="F132" s="385">
        <f t="shared" si="26"/>
        <v>21.818868011833803</v>
      </c>
      <c r="G132" s="110">
        <f t="shared" si="48"/>
        <v>0.35546276736038385</v>
      </c>
      <c r="H132" s="414" t="b">
        <f>Wh_hp&gt;='2024'!Maxi_hp</f>
        <v>0</v>
      </c>
      <c r="I132" s="390">
        <f>IF(H132,Wh_hp,'2024'!Maxi_hp)</f>
        <v>46.870510731346037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5.3616556484768929E-2</v>
      </c>
      <c r="M132" s="845"/>
      <c r="N132" s="845"/>
      <c r="O132" s="48">
        <f>IF(t&lt;Tnet,'2024'!Resal+('2024'!Salim-'2024'!Resal)*(1-EXP(('2024'!Tnet-t)/('2024'!Tau_j))),Resal+(Salim-Resal)*(1-EXP((Tnet-t)/(Tau_j))))*Salcycl</f>
        <v>5.8295759693179856E-2</v>
      </c>
      <c r="P132" s="169">
        <f>(INDEX(Models!$BJ132:$BT132,,T132)*(1-R132)+INDEX(Models!$BJ132:$BT132,,T132+1)*R132-ERP_i)*Q132*Ramure*Pc/MaxiM</f>
        <v>7.2630845911814354E-7</v>
      </c>
      <c r="Q132" s="305">
        <f t="shared" si="28"/>
        <v>0.5</v>
      </c>
      <c r="R132" s="177">
        <f t="shared" si="29"/>
        <v>4.4780961296472688E-2</v>
      </c>
      <c r="S132" s="811">
        <f t="shared" si="30"/>
        <v>-2</v>
      </c>
      <c r="T132" s="176">
        <f t="shared" si="31"/>
        <v>4</v>
      </c>
      <c r="U132" s="251">
        <f t="shared" si="32"/>
        <v>-1.9552190387035273</v>
      </c>
      <c r="V132" s="383">
        <f t="shared" si="33"/>
        <v>54.704045156783685</v>
      </c>
      <c r="W132" s="402">
        <f t="shared" si="34"/>
        <v>19.445264281472081</v>
      </c>
      <c r="X132" s="157">
        <f t="shared" si="35"/>
        <v>45775</v>
      </c>
      <c r="Y132" s="385">
        <f t="shared" si="36"/>
        <v>18.896192127398333</v>
      </c>
      <c r="Z132" s="385">
        <f t="shared" si="37"/>
        <v>19.966739968749483</v>
      </c>
      <c r="AA132" s="386">
        <f t="shared" si="38"/>
        <v>21.818748536642129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8.4881521265181933E-2</v>
      </c>
      <c r="AD132" s="231">
        <f>(INDEX(Models!$BJ132:$BT132,,AH132)*(1-AF132)+INDEX(Models!$BJ132:$BT132,,AH132+1)*AF132-ERP_i)*AE132*Ramure*Pc/MaxiM</f>
        <v>6.9109884015845842E-5</v>
      </c>
      <c r="AE132" s="305">
        <f t="shared" si="40"/>
        <v>0.5</v>
      </c>
      <c r="AF132" s="177">
        <f t="shared" si="41"/>
        <v>0.56976852767045161</v>
      </c>
      <c r="AG132" s="811">
        <f t="shared" si="49"/>
        <v>1</v>
      </c>
      <c r="AH132" s="176">
        <f t="shared" si="42"/>
        <v>7</v>
      </c>
      <c r="AI132" s="225">
        <f t="shared" si="43"/>
        <v>1.5697685276704516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39.131035280927499</v>
      </c>
      <c r="C133" s="841"/>
      <c r="D133" s="393">
        <f t="shared" si="25"/>
        <v>41.348876755967851</v>
      </c>
      <c r="E133" s="385">
        <f t="shared" si="47"/>
        <v>43.912171399837817</v>
      </c>
      <c r="F133" s="385">
        <f t="shared" si="26"/>
        <v>43.912193809008457</v>
      </c>
      <c r="G133" s="110">
        <f t="shared" si="48"/>
        <v>0.71370019567407972</v>
      </c>
      <c r="H133" s="414" t="b">
        <f>Wh_hp&gt;='2024'!Maxi_hp</f>
        <v>0</v>
      </c>
      <c r="I133" s="390">
        <f>IF(H133,Wh_hp,'2024'!Maxi_hp)</f>
        <v>52.731591737433121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5.3637284711010924E-2</v>
      </c>
      <c r="M133" s="845"/>
      <c r="N133" s="845"/>
      <c r="O133" s="48">
        <f>IF(t&lt;Tnet,'2024'!Resal+('2024'!Salim-'2024'!Resal)*(1-EXP(('2024'!Tnet-t)/('2024'!Tau_j))),Resal+(Salim-Resal)*(1-EXP((Tnet-t)/(Tau_j))))*Salcycl</f>
        <v>5.837321549258289E-2</v>
      </c>
      <c r="P133" s="169">
        <f>(INDEX(Models!$BJ133:$BT133,,T133)*(1-R133)+INDEX(Models!$BJ133:$BT133,,T133+1)*R133-ERP_i)*Q133*Ramure*Pc/MaxiM</f>
        <v>8.6348082585344528E-7</v>
      </c>
      <c r="Q133" s="305">
        <f t="shared" si="28"/>
        <v>0.5</v>
      </c>
      <c r="R133" s="177">
        <f t="shared" si="29"/>
        <v>4.7383431057604675E-2</v>
      </c>
      <c r="S133" s="811">
        <f t="shared" si="30"/>
        <v>-2</v>
      </c>
      <c r="T133" s="176">
        <f t="shared" si="31"/>
        <v>4</v>
      </c>
      <c r="U133" s="251">
        <f t="shared" si="32"/>
        <v>-1.9526165689423953</v>
      </c>
      <c r="V133" s="383">
        <f t="shared" si="33"/>
        <v>54.828374292827277</v>
      </c>
      <c r="W133" s="402">
        <f t="shared" si="34"/>
        <v>39.131035280927499</v>
      </c>
      <c r="X133" s="157">
        <f t="shared" si="35"/>
        <v>45776</v>
      </c>
      <c r="Y133" s="385">
        <f t="shared" si="36"/>
        <v>38.025110501870884</v>
      </c>
      <c r="Z133" s="385">
        <f t="shared" si="37"/>
        <v>40.180271145043186</v>
      </c>
      <c r="AA133" s="386">
        <f t="shared" si="38"/>
        <v>43.910206498814766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8.4944609720117276E-2</v>
      </c>
      <c r="AD133" s="231">
        <f>(INDEX(Models!$BJ133:$BT133,,AH133)*(1-AF133)+INDEX(Models!$BJ133:$BT133,,AH133+1)*AF133-ERP_i)*AE133*Ramure*Pc/MaxiM</f>
        <v>7.6575981983634806E-5</v>
      </c>
      <c r="AE133" s="305">
        <f t="shared" si="40"/>
        <v>0.5</v>
      </c>
      <c r="AF133" s="177">
        <f t="shared" si="41"/>
        <v>0.57237099743158382</v>
      </c>
      <c r="AG133" s="811">
        <f t="shared" si="49"/>
        <v>1</v>
      </c>
      <c r="AH133" s="176">
        <f t="shared" si="42"/>
        <v>7</v>
      </c>
      <c r="AI133" s="225">
        <f t="shared" si="43"/>
        <v>1.5723709974315838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43.954093645865967</v>
      </c>
      <c r="C134" s="841"/>
      <c r="D134" s="393">
        <f t="shared" si="25"/>
        <v>46.446310346224671</v>
      </c>
      <c r="E134" s="385">
        <f t="shared" si="47"/>
        <v>46.68230428109748</v>
      </c>
      <c r="F134" s="385">
        <f t="shared" si="26"/>
        <v>46.682335383121689</v>
      </c>
      <c r="G134" s="110">
        <f t="shared" si="48"/>
        <v>0.75697483658693643</v>
      </c>
      <c r="H134" s="414" t="b">
        <f>Wh_hp&gt;='2024'!Maxi_hp</f>
        <v>0</v>
      </c>
      <c r="I134" s="390">
        <f>IF(H134,Wh_hp,'2024'!Maxi_hp)</f>
        <v>62.081683557920357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5.3658012483251638E-2</v>
      </c>
      <c r="M134" s="845"/>
      <c r="N134" s="845"/>
      <c r="O134" s="48">
        <f>IF(t&lt;Tnet,'2024'!Resal+('2024'!Salim-'2024'!Resal)*(1-EXP(('2024'!Tnet-t)/('2024'!Tau_j))),Resal+(Salim-Resal)*(1-EXP((Tnet-t)/(Tau_j))))*Salcycl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1.0205671367972622E-6</v>
      </c>
      <c r="Q134" s="305">
        <f t="shared" si="28"/>
        <v>0.5</v>
      </c>
      <c r="R134" s="177">
        <f t="shared" si="29"/>
        <v>5.0061606714884022E-2</v>
      </c>
      <c r="S134" s="811">
        <f t="shared" si="30"/>
        <v>-2</v>
      </c>
      <c r="T134" s="176">
        <f t="shared" si="31"/>
        <v>4</v>
      </c>
      <c r="U134" s="251">
        <f t="shared" si="32"/>
        <v>-1.949938393285116</v>
      </c>
      <c r="V134" s="383">
        <f t="shared" si="33"/>
        <v>58.065441475268941</v>
      </c>
      <c r="W134" s="402">
        <f t="shared" si="34"/>
        <v>43.954093645865967</v>
      </c>
      <c r="X134" s="157">
        <f t="shared" si="35"/>
        <v>45777</v>
      </c>
      <c r="Y134" s="385">
        <f t="shared" si="36"/>
        <v>41.592920497141051</v>
      </c>
      <c r="Z134" s="385">
        <f t="shared" si="37"/>
        <v>43.95125762757614</v>
      </c>
      <c r="AA134" s="386">
        <f t="shared" si="38"/>
        <v>46.679758016423627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5.8451468147874677E-2</v>
      </c>
      <c r="AD134" s="231">
        <f>(INDEX(Models!$BJ134:$BT134,,AH134)*(1-AF134)+INDEX(Models!$BJ134:$BT134,,AH134+1)*AF134-ERP_i)*AE134*Ramure*Pc/MaxiM</f>
        <v>8.4572493865810473E-5</v>
      </c>
      <c r="AE134" s="305">
        <f t="shared" si="40"/>
        <v>0.5</v>
      </c>
      <c r="AF134" s="177">
        <f t="shared" si="41"/>
        <v>0.57504917308886272</v>
      </c>
      <c r="AG134" s="811">
        <f t="shared" si="49"/>
        <v>1</v>
      </c>
      <c r="AH134" s="176">
        <f t="shared" si="42"/>
        <v>7</v>
      </c>
      <c r="AI134" s="225">
        <f t="shared" si="43"/>
        <v>1.5750491730888627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47.637796694504523</v>
      </c>
      <c r="C135" s="841"/>
      <c r="D135" s="393">
        <f t="shared" si="25"/>
        <v>50.339983574406943</v>
      </c>
      <c r="E135" s="385">
        <f t="shared" si="47"/>
        <v>50.601176326388689</v>
      </c>
      <c r="F135" s="385">
        <f t="shared" si="26"/>
        <v>50.601221302177613</v>
      </c>
      <c r="G135" s="110">
        <f t="shared" si="48"/>
        <v>0.8186952956519008</v>
      </c>
      <c r="H135" s="414" t="b">
        <f>Wh_hp&gt;='2024'!Maxi_hp</f>
        <v>0</v>
      </c>
      <c r="I135" s="390">
        <f>IF(H135,Wh_hp,'2024'!Maxi_hp)</f>
        <v>57.93362071879104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5.3678739801500952E-2</v>
      </c>
      <c r="M135" s="845"/>
      <c r="N135" s="845"/>
      <c r="O135" s="48">
        <f>IF(t&lt;Tnet,'2024'!Resal+('2024'!Salim-'2024'!Resal)*(1-EXP(('2024'!Tnet-t)/('2024'!Tau_j))),Resal+(Salim-Resal)*(1-EXP((Tnet-t)/(Tau_j))))*Salcycl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1.199508442459714E-6</v>
      </c>
      <c r="Q135" s="305">
        <f t="shared" si="28"/>
        <v>0.5</v>
      </c>
      <c r="R135" s="177">
        <f t="shared" si="29"/>
        <v>5.2816479472943989E-2</v>
      </c>
      <c r="S135" s="811">
        <f t="shared" si="30"/>
        <v>-2</v>
      </c>
      <c r="T135" s="176">
        <f t="shared" si="31"/>
        <v>4</v>
      </c>
      <c r="U135" s="251">
        <f t="shared" si="32"/>
        <v>-1.947183520527056</v>
      </c>
      <c r="V135" s="383">
        <f t="shared" si="33"/>
        <v>58.187438168230081</v>
      </c>
      <c r="W135" s="402">
        <f t="shared" si="34"/>
        <v>47.637796694504523</v>
      </c>
      <c r="X135" s="157">
        <f t="shared" si="35"/>
        <v>45778</v>
      </c>
      <c r="Y135" s="385">
        <f t="shared" si="36"/>
        <v>45.079166907738632</v>
      </c>
      <c r="Z135" s="385">
        <f t="shared" si="37"/>
        <v>47.636219118952148</v>
      </c>
      <c r="AA135" s="386">
        <f t="shared" si="38"/>
        <v>50.597730098089656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5.8530510625600607E-2</v>
      </c>
      <c r="AD135" s="231">
        <f>(INDEX(Models!$BJ135:$BT135,,AH135)*(1-AF135)+INDEX(Models!$BJ135:$BT135,,AH135+1)*AF135-ERP_i)*AE135*Ramure*Pc/MaxiM</f>
        <v>9.3110735303257445E-5</v>
      </c>
      <c r="AE135" s="305">
        <f t="shared" si="40"/>
        <v>0.5</v>
      </c>
      <c r="AF135" s="177">
        <f t="shared" si="41"/>
        <v>0.57780404584692291</v>
      </c>
      <c r="AG135" s="811">
        <f t="shared" si="49"/>
        <v>1</v>
      </c>
      <c r="AH135" s="176">
        <f t="shared" si="42"/>
        <v>7</v>
      </c>
      <c r="AI135" s="225">
        <f t="shared" si="43"/>
        <v>1.5778040458469229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30.623764523736586</v>
      </c>
      <c r="C136" s="841"/>
      <c r="D136" s="393">
        <f t="shared" si="25"/>
        <v>32.36156320850381</v>
      </c>
      <c r="E136" s="385">
        <f t="shared" si="47"/>
        <v>32.532957742913709</v>
      </c>
      <c r="F136" s="385">
        <f t="shared" si="26"/>
        <v>32.53297246897209</v>
      </c>
      <c r="G136" s="110">
        <f t="shared" si="48"/>
        <v>0.52523965565140696</v>
      </c>
      <c r="H136" s="414" t="b">
        <f>Wh_hp&gt;='2024'!Maxi_hp</f>
        <v>0</v>
      </c>
      <c r="I136" s="390">
        <f>IF(H136,Wh_hp,'2024'!Maxi_hp)</f>
        <v>50.847443819946974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5.3699466665768858E-2</v>
      </c>
      <c r="M136" s="845"/>
      <c r="N136" s="845"/>
      <c r="O136" s="48">
        <f>IF(t&lt;Tnet,'2024'!Resal+('2024'!Salim-'2024'!Resal)*(1-EXP(('2024'!Tnet-t)/('2024'!Tau_j))),Resal+(Salim-Resal)*(1-EXP((Tnet-t)/(Tau_j))))*Salcycl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1.4067437400861588E-6</v>
      </c>
      <c r="Q136" s="305">
        <f t="shared" si="28"/>
        <v>0.5</v>
      </c>
      <c r="R136" s="177">
        <f t="shared" si="29"/>
        <v>5.5648964908378895E-2</v>
      </c>
      <c r="S136" s="811">
        <f t="shared" si="30"/>
        <v>-2</v>
      </c>
      <c r="T136" s="176">
        <f t="shared" si="31"/>
        <v>4</v>
      </c>
      <c r="U136" s="251">
        <f t="shared" si="32"/>
        <v>-1.9443510350916211</v>
      </c>
      <c r="V136" s="383">
        <f t="shared" si="33"/>
        <v>58.304309235389709</v>
      </c>
      <c r="W136" s="402">
        <f t="shared" si="34"/>
        <v>30.623764523736586</v>
      </c>
      <c r="X136" s="157">
        <f t="shared" si="35"/>
        <v>45779</v>
      </c>
      <c r="Y136" s="385">
        <f t="shared" si="36"/>
        <v>28.980635206051563</v>
      </c>
      <c r="Z136" s="385">
        <f t="shared" si="37"/>
        <v>30.625191664998958</v>
      </c>
      <c r="AA136" s="386">
        <f t="shared" si="38"/>
        <v>32.531897019596983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5.8610334142193993E-2</v>
      </c>
      <c r="AD136" s="231">
        <f>(INDEX(Models!$BJ136:$BT136,,AH136)*(1-AF136)+INDEX(Models!$BJ136:$BT136,,AH136+1)*AF136-ERP_i)*AE136*Ramure*Pc/MaxiM</f>
        <v>1.0273500465477345E-4</v>
      </c>
      <c r="AE136" s="305">
        <f t="shared" si="40"/>
        <v>0.5</v>
      </c>
      <c r="AF136" s="177">
        <f t="shared" si="41"/>
        <v>0.58063653128235782</v>
      </c>
      <c r="AG136" s="811">
        <f t="shared" si="49"/>
        <v>1</v>
      </c>
      <c r="AH136" s="176">
        <f t="shared" si="42"/>
        <v>7</v>
      </c>
      <c r="AI136" s="225">
        <f t="shared" si="43"/>
        <v>1.5806365312823578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36.48807853174872</v>
      </c>
      <c r="C137" s="841"/>
      <c r="D137" s="393">
        <f t="shared" si="25"/>
        <v>38.559502448182066</v>
      </c>
      <c r="E137" s="385">
        <f t="shared" si="47"/>
        <v>38.767877926880828</v>
      </c>
      <c r="F137" s="385">
        <f t="shared" si="26"/>
        <v>38.767907443163971</v>
      </c>
      <c r="G137" s="110">
        <f t="shared" si="48"/>
        <v>0.62462250098451932</v>
      </c>
      <c r="H137" s="414" t="b">
        <f>Wh_hp&gt;='2024'!Maxi_hp</f>
        <v>0</v>
      </c>
      <c r="I137" s="390">
        <f>IF(H137,Wh_hp,'2024'!Maxi_hp)</f>
        <v>60.514631083164147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5.3720193076065126E-2</v>
      </c>
      <c r="M137" s="845"/>
      <c r="N137" s="845"/>
      <c r="O137" s="48">
        <f>IF(t&lt;Tnet,'2024'!Resal+('2024'!Salim-'2024'!Resal)*(1-EXP(('2024'!Tnet-t)/('2024'!Tau_j))),Resal+(Salim-Resal)*(1-EXP((Tnet-t)/(Tau_j))))*Salcycl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1.6417536587244706E-6</v>
      </c>
      <c r="Q137" s="305">
        <f t="shared" si="28"/>
        <v>0.5</v>
      </c>
      <c r="R137" s="177">
        <f t="shared" si="29"/>
        <v>5.855989617394286E-2</v>
      </c>
      <c r="S137" s="811">
        <f t="shared" si="30"/>
        <v>-2</v>
      </c>
      <c r="T137" s="176">
        <f t="shared" si="31"/>
        <v>4</v>
      </c>
      <c r="U137" s="251">
        <f t="shared" si="32"/>
        <v>-1.9414401038260571</v>
      </c>
      <c r="V137" s="383">
        <f t="shared" si="33"/>
        <v>58.416157519608397</v>
      </c>
      <c r="W137" s="402">
        <f t="shared" si="34"/>
        <v>36.48807853174872</v>
      </c>
      <c r="X137" s="157">
        <f t="shared" si="35"/>
        <v>45780</v>
      </c>
      <c r="Y137" s="385">
        <f t="shared" si="36"/>
        <v>34.530380454924263</v>
      </c>
      <c r="Z137" s="385">
        <f t="shared" si="37"/>
        <v>36.490666082341889</v>
      </c>
      <c r="AA137" s="386">
        <f t="shared" si="38"/>
        <v>38.765871032309811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5.8690928112298313E-2</v>
      </c>
      <c r="AD137" s="231">
        <f>(INDEX(Models!$BJ137:$BT137,,AH137)*(1-AF137)+INDEX(Models!$BJ137:$BT137,,AH137+1)*AF137-ERP_i)*AE137*Ramure*Pc/MaxiM</f>
        <v>1.1326917262139009E-4</v>
      </c>
      <c r="AE137" s="305">
        <f t="shared" si="40"/>
        <v>0.5</v>
      </c>
      <c r="AF137" s="177">
        <f t="shared" si="41"/>
        <v>0.58354746254792178</v>
      </c>
      <c r="AG137" s="811">
        <f t="shared" si="49"/>
        <v>1</v>
      </c>
      <c r="AH137" s="176">
        <f t="shared" si="42"/>
        <v>7</v>
      </c>
      <c r="AI137" s="225">
        <f t="shared" si="43"/>
        <v>1.5835474625479218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20.240072443116489</v>
      </c>
      <c r="C138" s="841"/>
      <c r="D138" s="393">
        <f t="shared" si="25"/>
        <v>21.389567455902185</v>
      </c>
      <c r="E138" s="385">
        <f t="shared" si="47"/>
        <v>21.507463717668433</v>
      </c>
      <c r="F138" s="385">
        <f t="shared" si="26"/>
        <v>21.507466404148651</v>
      </c>
      <c r="G138" s="110">
        <f t="shared" si="48"/>
        <v>0.34584704731650234</v>
      </c>
      <c r="H138" s="414" t="b">
        <f>Wh_hp&gt;='2024'!Maxi_hp</f>
        <v>0</v>
      </c>
      <c r="I138" s="390">
        <f>IF(H138,Wh_hp,'2024'!Maxi_hp)</f>
        <v>57.253924122877009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5.3740919032399859E-2</v>
      </c>
      <c r="M138" s="845"/>
      <c r="N138" s="845"/>
      <c r="O138" s="48">
        <f>IF(t&lt;Tnet,'2024'!Resal+('2024'!Salim-'2024'!Resal)*(1-EXP(('2024'!Tnet-t)/('2024'!Tau_j))),Resal+(Salim-Resal)*(1-EXP((Tnet-t)/(Tau_j))))*Salcycl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1.9071077210697128E-6</v>
      </c>
      <c r="Q138" s="305">
        <f t="shared" si="28"/>
        <v>0.5</v>
      </c>
      <c r="R138" s="177">
        <f t="shared" si="29"/>
        <v>6.1550017090233222E-2</v>
      </c>
      <c r="S138" s="811">
        <f t="shared" si="30"/>
        <v>-2</v>
      </c>
      <c r="T138" s="176">
        <f t="shared" si="31"/>
        <v>4</v>
      </c>
      <c r="U138" s="251">
        <f t="shared" si="32"/>
        <v>-1.9384499829097668</v>
      </c>
      <c r="V138" s="383">
        <f t="shared" si="33"/>
        <v>58.5230856482112</v>
      </c>
      <c r="W138" s="402">
        <f t="shared" si="34"/>
        <v>20.240072443116489</v>
      </c>
      <c r="X138" s="157">
        <f t="shared" si="35"/>
        <v>45781</v>
      </c>
      <c r="Y138" s="385">
        <f t="shared" si="36"/>
        <v>19.155366887609162</v>
      </c>
      <c r="Z138" s="385">
        <f t="shared" si="37"/>
        <v>20.243258186776693</v>
      </c>
      <c r="AA138" s="386">
        <f t="shared" si="38"/>
        <v>21.507290699995945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5.8772280100323891E-2</v>
      </c>
      <c r="AD138" s="231">
        <f>(INDEX(Models!$BJ138:$BT138,,AH138)*(1-AF138)+INDEX(Models!$BJ138:$BT138,,AH138+1)*AF138-ERP_i)*AE138*Ramure*Pc/MaxiM</f>
        <v>1.2473076993088175E-4</v>
      </c>
      <c r="AE138" s="305">
        <f t="shared" si="40"/>
        <v>0.5</v>
      </c>
      <c r="AF138" s="177">
        <f t="shared" si="41"/>
        <v>0.58653758346421214</v>
      </c>
      <c r="AG138" s="811">
        <f t="shared" si="49"/>
        <v>1</v>
      </c>
      <c r="AH138" s="176">
        <f t="shared" si="42"/>
        <v>7</v>
      </c>
      <c r="AI138" s="225">
        <f t="shared" si="43"/>
        <v>1.5865375834642121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42.423638012985251</v>
      </c>
      <c r="C139" s="841"/>
      <c r="D139" s="393">
        <f t="shared" si="25"/>
        <v>44.83398687863135</v>
      </c>
      <c r="E139" s="385">
        <f t="shared" si="47"/>
        <v>45.085945831977369</v>
      </c>
      <c r="F139" s="385">
        <f t="shared" si="26"/>
        <v>45.086006012281494</v>
      </c>
      <c r="G139" s="110">
        <f t="shared" si="48"/>
        <v>0.72364109324438342</v>
      </c>
      <c r="H139" s="414" t="b">
        <f>Wh_hp&gt;='2024'!Maxi_hp</f>
        <v>0</v>
      </c>
      <c r="I139" s="390">
        <f>IF(H139,Wh_hp,'2024'!Maxi_hp)</f>
        <v>60.369568048217943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5.3761644534782937E-2</v>
      </c>
      <c r="M139" s="845"/>
      <c r="N139" s="845"/>
      <c r="O139" s="48">
        <f>IF(t&lt;Tnet,'2024'!Resal+('2024'!Salim-'2024'!Resal)*(1-EXP(('2024'!Tnet-t)/('2024'!Tau_j))),Resal+(Salim-Resal)*(1-EXP((Tnet-t)/(Tau_j))))*Salcycl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2.2055247084051936E-6</v>
      </c>
      <c r="Q139" s="305">
        <f t="shared" si="28"/>
        <v>0.5</v>
      </c>
      <c r="R139" s="177">
        <f t="shared" si="29"/>
        <v>6.4619975156809506E-2</v>
      </c>
      <c r="S139" s="811">
        <f t="shared" si="30"/>
        <v>-2</v>
      </c>
      <c r="T139" s="176">
        <f t="shared" si="31"/>
        <v>4</v>
      </c>
      <c r="U139" s="251">
        <f t="shared" si="32"/>
        <v>-1.9353800248431905</v>
      </c>
      <c r="V139" s="383">
        <f t="shared" si="33"/>
        <v>58.625196204593792</v>
      </c>
      <c r="W139" s="402">
        <f t="shared" si="34"/>
        <v>42.423638012985251</v>
      </c>
      <c r="X139" s="157">
        <f t="shared" si="35"/>
        <v>45782</v>
      </c>
      <c r="Y139" s="385">
        <f t="shared" si="36"/>
        <v>40.14792402838151</v>
      </c>
      <c r="Z139" s="385">
        <f t="shared" si="37"/>
        <v>42.428975528732217</v>
      </c>
      <c r="AA139" s="386">
        <f t="shared" si="38"/>
        <v>45.082264037207615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5.8854375775927448E-2</v>
      </c>
      <c r="AD139" s="231">
        <f>(INDEX(Models!$BJ139:$BT139,,AH139)*(1-AF139)+INDEX(Models!$BJ139:$BT139,,AH139+1)*AF139-ERP_i)*AE139*Ramure*Pc/MaxiM</f>
        <v>1.371381983383554E-4</v>
      </c>
      <c r="AE139" s="305">
        <f t="shared" si="40"/>
        <v>0.5</v>
      </c>
      <c r="AF139" s="177">
        <f t="shared" si="41"/>
        <v>0.58960754153078843</v>
      </c>
      <c r="AG139" s="811">
        <f t="shared" si="49"/>
        <v>1</v>
      </c>
      <c r="AH139" s="176">
        <f t="shared" si="42"/>
        <v>7</v>
      </c>
      <c r="AI139" s="225">
        <f t="shared" si="43"/>
        <v>1.5896075415307884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38.809231825604428</v>
      </c>
      <c r="C140" s="841"/>
      <c r="D140" s="393">
        <f t="shared" si="25"/>
        <v>41.015122291169234</v>
      </c>
      <c r="E140" s="385">
        <f t="shared" si="47"/>
        <v>41.250052276417406</v>
      </c>
      <c r="F140" s="385">
        <f t="shared" si="26"/>
        <v>41.250106291576429</v>
      </c>
      <c r="G140" s="110">
        <f t="shared" si="48"/>
        <v>0.66089017752387613</v>
      </c>
      <c r="H140" s="414" t="b">
        <f>Wh_hp&gt;='2024'!Maxi_hp</f>
        <v>0</v>
      </c>
      <c r="I140" s="390">
        <f>IF(H140,Wh_hp,'2024'!Maxi_hp)</f>
        <v>64.189889106761925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5.3782369583224354E-2</v>
      </c>
      <c r="M140" s="845"/>
      <c r="N140" s="845"/>
      <c r="O140" s="48">
        <f>IF(t&lt;Tnet,'2024'!Resal+('2024'!Salim-'2024'!Resal)*(1-EXP(('2024'!Tnet-t)/('2024'!Tau_j))),Resal+(Salim-Resal)*(1-EXP((Tnet-t)/(Tau_j))))*Salcycl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2.5398764227964941E-6</v>
      </c>
      <c r="Q140" s="305">
        <f t="shared" si="28"/>
        <v>0.5</v>
      </c>
      <c r="R140" s="177">
        <f t="shared" si="29"/>
        <v>6.7770314518150965E-2</v>
      </c>
      <c r="S140" s="811">
        <f t="shared" si="30"/>
        <v>-2</v>
      </c>
      <c r="T140" s="176">
        <f t="shared" si="31"/>
        <v>4</v>
      </c>
      <c r="U140" s="251">
        <f t="shared" si="32"/>
        <v>-1.932229685481849</v>
      </c>
      <c r="V140" s="383">
        <f t="shared" si="33"/>
        <v>58.722591731105908</v>
      </c>
      <c r="W140" s="402">
        <f t="shared" si="34"/>
        <v>38.809231825604428</v>
      </c>
      <c r="X140" s="157">
        <f t="shared" si="35"/>
        <v>45783</v>
      </c>
      <c r="Y140" s="385">
        <f t="shared" si="36"/>
        <v>36.728315734005498</v>
      </c>
      <c r="Z140" s="385">
        <f t="shared" si="37"/>
        <v>38.815928337572792</v>
      </c>
      <c r="AA140" s="386">
        <f t="shared" si="38"/>
        <v>41.246905404329681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5.8937198874117448E-2</v>
      </c>
      <c r="AD140" s="231">
        <f>(INDEX(Models!$BJ140:$BT140,,AH140)*(1-AF140)+INDEX(Models!$BJ140:$BT140,,AH140+1)*AF140-ERP_i)*AE140*Ramure*Pc/MaxiM</f>
        <v>1.505106750978293E-4</v>
      </c>
      <c r="AE140" s="305">
        <f t="shared" si="40"/>
        <v>0.5</v>
      </c>
      <c r="AF140" s="177">
        <f t="shared" si="41"/>
        <v>0.59275788089212988</v>
      </c>
      <c r="AG140" s="811">
        <f t="shared" si="49"/>
        <v>1</v>
      </c>
      <c r="AH140" s="176">
        <f t="shared" si="42"/>
        <v>7</v>
      </c>
      <c r="AI140" s="225">
        <f t="shared" si="43"/>
        <v>1.5927578808921299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52.77047364914835</v>
      </c>
      <c r="C141" s="841"/>
      <c r="D141" s="393">
        <f t="shared" si="25"/>
        <v>55.771133180032592</v>
      </c>
      <c r="E141" s="385">
        <f t="shared" si="47"/>
        <v>56.096616849169003</v>
      </c>
      <c r="F141" s="385">
        <f t="shared" si="26"/>
        <v>56.096756275490172</v>
      </c>
      <c r="G141" s="110">
        <f t="shared" si="48"/>
        <v>0.89722204990391252</v>
      </c>
      <c r="H141" s="414" t="b">
        <f>Wh_hp&gt;='2024'!Maxi_hp</f>
        <v>0</v>
      </c>
      <c r="I141" s="390">
        <f>IF(H141,Wh_hp,'2024'!Maxi_hp)</f>
        <v>60.114108347336412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5.3803094177734101E-2</v>
      </c>
      <c r="M141" s="845"/>
      <c r="N141" s="845"/>
      <c r="O141" s="48">
        <f>IF(t&lt;Tnet,'2024'!Resal+('2024'!Salim-'2024'!Resal)*(1-EXP(('2024'!Tnet-t)/('2024'!Tau_j))),Resal+(Salim-Resal)*(1-EXP((Tnet-t)/(Tau_j))))*Salcycl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2.9131909095985819E-6</v>
      </c>
      <c r="Q141" s="305">
        <f t="shared" si="28"/>
        <v>0.5</v>
      </c>
      <c r="R141" s="177">
        <f t="shared" si="29"/>
        <v>7.1001468923303168E-2</v>
      </c>
      <c r="S141" s="811">
        <f t="shared" si="30"/>
        <v>-2</v>
      </c>
      <c r="T141" s="176">
        <f t="shared" si="31"/>
        <v>4</v>
      </c>
      <c r="U141" s="251">
        <f t="shared" si="32"/>
        <v>-1.9289985310766968</v>
      </c>
      <c r="V141" s="383">
        <f t="shared" si="33"/>
        <v>58.815374726082254</v>
      </c>
      <c r="W141" s="402">
        <f t="shared" si="34"/>
        <v>52.77047364914835</v>
      </c>
      <c r="X141" s="157">
        <f t="shared" si="35"/>
        <v>45784</v>
      </c>
      <c r="Y141" s="385">
        <f t="shared" si="36"/>
        <v>49.93881532707303</v>
      </c>
      <c r="Z141" s="385">
        <f t="shared" si="37"/>
        <v>52.778459768556424</v>
      </c>
      <c r="AA141" s="386">
        <f t="shared" si="38"/>
        <v>56.08886562788841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5.9020731160695707E-2</v>
      </c>
      <c r="AD141" s="231">
        <f>(INDEX(Models!$BJ141:$BT141,,AH141)*(1-AF141)+INDEX(Models!$BJ141:$BT141,,AH141+1)*AF141-ERP_i)*AE141*Ramure*Pc/MaxiM</f>
        <v>1.6486817318007917E-4</v>
      </c>
      <c r="AE141" s="305">
        <f t="shared" si="40"/>
        <v>0.5</v>
      </c>
      <c r="AF141" s="177">
        <f t="shared" si="41"/>
        <v>0.59598903529728209</v>
      </c>
      <c r="AG141" s="811">
        <f t="shared" si="49"/>
        <v>1</v>
      </c>
      <c r="AH141" s="176">
        <f t="shared" si="42"/>
        <v>7</v>
      </c>
      <c r="AI141" s="225">
        <f t="shared" si="43"/>
        <v>1.5959890352972821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50.219856087598416</v>
      </c>
      <c r="C142" s="841"/>
      <c r="D142" s="393">
        <f t="shared" si="25"/>
        <v>53.076643715909853</v>
      </c>
      <c r="E142" s="385">
        <f t="shared" si="47"/>
        <v>53.392149351985047</v>
      </c>
      <c r="F142" s="385">
        <f t="shared" si="26"/>
        <v>53.392288838272194</v>
      </c>
      <c r="G142" s="110">
        <f t="shared" si="48"/>
        <v>0.85257572538195547</v>
      </c>
      <c r="H142" s="414" t="b">
        <f>Wh_hp&gt;='2024'!Maxi_hp</f>
        <v>0</v>
      </c>
      <c r="I142" s="390">
        <f>IF(H142,Wh_hp,'2024'!Maxi_hp)</f>
        <v>60.745186891784464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5.3823818318321948E-2</v>
      </c>
      <c r="M142" s="845"/>
      <c r="N142" s="845"/>
      <c r="O142" s="48">
        <f>IF(t&lt;Tnet,'2024'!Resal+('2024'!Salim-'2024'!Resal)*(1-EXP(('2024'!Tnet-t)/('2024'!Tau_j))),Resal+(Salim-Resal)*(1-EXP((Tnet-t)/(Tau_j))))*Salcycl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3.309472267197338E-6</v>
      </c>
      <c r="Q142" s="305">
        <f t="shared" si="28"/>
        <v>0.5</v>
      </c>
      <c r="R142" s="177">
        <f t="shared" si="29"/>
        <v>7.4313754721436309E-2</v>
      </c>
      <c r="S142" s="811">
        <f t="shared" si="30"/>
        <v>-2</v>
      </c>
      <c r="T142" s="176">
        <f t="shared" si="31"/>
        <v>4</v>
      </c>
      <c r="U142" s="251">
        <f t="shared" si="32"/>
        <v>-1.9256862452785637</v>
      </c>
      <c r="V142" s="383">
        <f t="shared" si="33"/>
        <v>58.903648778127504</v>
      </c>
      <c r="W142" s="402">
        <f t="shared" si="34"/>
        <v>50.219856087598416</v>
      </c>
      <c r="X142" s="157">
        <f t="shared" si="35"/>
        <v>45785</v>
      </c>
      <c r="Y142" s="385">
        <f t="shared" si="36"/>
        <v>47.525868519611855</v>
      </c>
      <c r="Z142" s="385">
        <f t="shared" si="37"/>
        <v>50.2294069960017</v>
      </c>
      <c r="AA142" s="386">
        <f t="shared" si="38"/>
        <v>53.384707597648472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5.9104952403743326E-2</v>
      </c>
      <c r="AD142" s="231">
        <f>(INDEX(Models!$BJ142:$BT142,,AH142)*(1-AF142)+INDEX(Models!$BJ142:$BT142,,AH142+1)*AF142-ERP_i)*AE142*Ramure*Pc/MaxiM</f>
        <v>1.7987363566739897E-4</v>
      </c>
      <c r="AE142" s="305">
        <f t="shared" si="40"/>
        <v>0.5</v>
      </c>
      <c r="AF142" s="177">
        <f t="shared" si="41"/>
        <v>0.59930132109541523</v>
      </c>
      <c r="AG142" s="811">
        <f t="shared" si="49"/>
        <v>1</v>
      </c>
      <c r="AH142" s="176">
        <f t="shared" si="42"/>
        <v>7</v>
      </c>
      <c r="AI142" s="225">
        <f t="shared" si="43"/>
        <v>1.5993013210954152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52.551521920886749</v>
      </c>
      <c r="C143" s="841"/>
      <c r="D143" s="393">
        <f t="shared" ref="D143:D206" si="50">Wh/(1-Ppv)</f>
        <v>55.542164320701239</v>
      </c>
      <c r="E143" s="385">
        <f t="shared" si="47"/>
        <v>55.878346034326803</v>
      </c>
      <c r="F143" s="385">
        <f t="shared" ref="F143:F206" si="51">Wh_sa/(1-Pvg*MEDIAN((-Sdif+Wh/Env_an)/Csdif,0,1))</f>
        <v>55.878521599636208</v>
      </c>
      <c r="G143" s="110">
        <f t="shared" si="48"/>
        <v>0.89089173763454488</v>
      </c>
      <c r="H143" s="414" t="b">
        <f>Wh_hp&gt;='2024'!Maxi_hp</f>
        <v>1</v>
      </c>
      <c r="I143" s="390">
        <f>IF(H143,Wh_hp,'2024'!Maxi_hp)</f>
        <v>55.878521599636208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5.3844542004997886E-2</v>
      </c>
      <c r="M143" s="845"/>
      <c r="N143" s="845"/>
      <c r="O143" s="48">
        <f>IF(t&lt;Tnet,'2024'!Resal+('2024'!Salim-'2024'!Resal)*(1-EXP(('2024'!Tnet-t)/('2024'!Tau_j))),Resal+(Salim-Resal)*(1-EXP((Tnet-t)/(Tau_j))))*Salcycl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3.722061473875579E-6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7.7707363938781526E-2</v>
      </c>
      <c r="S143" s="81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-1.9222926360612185</v>
      </c>
      <c r="V143" s="383">
        <f t="shared" ref="V143:V206" si="58">MaxiM*(1-Ppv)*(1-Pvg)*(1-Psa)</f>
        <v>58.987516903571901</v>
      </c>
      <c r="W143" s="402">
        <f t="shared" ref="W143:W206" si="59">Wh*(A143&gt;Tmaj)</f>
        <v>52.551521920886749</v>
      </c>
      <c r="X143" s="157">
        <f t="shared" ref="X143:X206" si="60">t</f>
        <v>45786</v>
      </c>
      <c r="Y143" s="385">
        <f t="shared" ref="Y143:Y206" si="61">Wh_pvt_s*(1-Ppv)</f>
        <v>49.732215974129559</v>
      </c>
      <c r="Z143" s="385">
        <f t="shared" ref="Z143:Z206" si="62">Wh_sa_s*(1-Psa_s)</f>
        <v>52.562415144248163</v>
      </c>
      <c r="AA143" s="386">
        <f t="shared" ref="AA143:AA206" si="63">Wh_hp*(1-Pvg_s*MEDIAN((-Sdif+Wh/Env_an)/Csdif,0,1))</f>
        <v>55.869310726731278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5.9189840351849821E-2</v>
      </c>
      <c r="AD143" s="231">
        <f>(INDEX(Models!$BJ143:$BT143,,AH143)*(1-AF143)+INDEX(Models!$BJ143:$BT143,,AH143+1)*AF143-ERP_i)*AE143*Ramure*Pc/MaxiM</f>
        <v>1.9527454083913777E-4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0.60269493031276045</v>
      </c>
      <c r="AG143" s="81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1.6026949303127604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52.214907914754754</v>
      </c>
      <c r="C144" s="841"/>
      <c r="D144" s="393">
        <f t="shared" si="50"/>
        <v>55.187602776127676</v>
      </c>
      <c r="E144" s="385">
        <f t="shared" ref="E144:E169" si="72">Wh_pvt/(1-Psa)</f>
        <v>55.527626228709913</v>
      </c>
      <c r="F144" s="385">
        <f t="shared" si="51"/>
        <v>55.527818496822988</v>
      </c>
      <c r="G144" s="110">
        <f t="shared" ref="G144:G169" si="73">+Wh_hp/MaxiM</f>
        <v>0.88399274971073027</v>
      </c>
      <c r="H144" s="414" t="b">
        <f>Wh_hp&gt;='2024'!Maxi_hp</f>
        <v>1</v>
      </c>
      <c r="I144" s="390">
        <f>IF(H144,Wh_hp,'2024'!Maxi_hp)</f>
        <v>55.527818496822988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5.386526523777202E-2</v>
      </c>
      <c r="M144" s="845"/>
      <c r="N144" s="845"/>
      <c r="O144" s="48">
        <f>IF(t&lt;Tnet,'2024'!Resal+('2024'!Salim-'2024'!Resal)*(1-EXP(('2024'!Tnet-t)/('2024'!Tau_j))),Resal+(Salim-Resal)*(1-EXP((Tnet-t)/(Tau_j))))*Salcycl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4.1503697094017124E-6</v>
      </c>
      <c r="Q144" s="305">
        <f t="shared" si="53"/>
        <v>0.5</v>
      </c>
      <c r="R144" s="177">
        <f t="shared" si="54"/>
        <v>8.1182357485499956E-2</v>
      </c>
      <c r="S144" s="811">
        <f t="shared" si="55"/>
        <v>-2</v>
      </c>
      <c r="T144" s="176">
        <f t="shared" si="56"/>
        <v>4</v>
      </c>
      <c r="U144" s="251">
        <f t="shared" si="57"/>
        <v>-1.9188176425145</v>
      </c>
      <c r="V144" s="383">
        <f t="shared" si="58"/>
        <v>59.067081735142338</v>
      </c>
      <c r="W144" s="402">
        <f t="shared" si="59"/>
        <v>52.214907914754754</v>
      </c>
      <c r="X144" s="157">
        <f t="shared" si="60"/>
        <v>45787</v>
      </c>
      <c r="Y144" s="385">
        <f t="shared" si="61"/>
        <v>49.413956090448949</v>
      </c>
      <c r="Z144" s="385">
        <f t="shared" si="62"/>
        <v>52.227187391938543</v>
      </c>
      <c r="AA144" s="386">
        <f t="shared" si="63"/>
        <v>55.518039781629319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5.9275370719765609E-2</v>
      </c>
      <c r="AD144" s="231">
        <f>(INDEX(Models!$BJ144:$BT144,,AH144)*(1-AF144)+INDEX(Models!$BJ144:$BT144,,AH144+1)*AF144-ERP_i)*AE144*Ramure*Pc/MaxiM</f>
        <v>2.1108691757142577E-4</v>
      </c>
      <c r="AE144" s="305">
        <f t="shared" si="65"/>
        <v>0.5</v>
      </c>
      <c r="AF144" s="177">
        <f t="shared" si="66"/>
        <v>0.60616992385947865</v>
      </c>
      <c r="AG144" s="811">
        <f t="shared" ref="AG144:AG207" si="74">INDEX(Echel_vg,AH144)</f>
        <v>1</v>
      </c>
      <c r="AH144" s="176">
        <f t="shared" si="67"/>
        <v>7</v>
      </c>
      <c r="AI144" s="225">
        <f t="shared" si="68"/>
        <v>1.6061699238594787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56.362907508692352</v>
      </c>
      <c r="C145" s="841"/>
      <c r="D145" s="393">
        <f t="shared" si="50"/>
        <v>59.573060746176203</v>
      </c>
      <c r="E145" s="385">
        <f t="shared" si="72"/>
        <v>59.946574185386446</v>
      </c>
      <c r="F145" s="385">
        <f t="shared" si="51"/>
        <v>59.946831074462033</v>
      </c>
      <c r="G145" s="110">
        <f t="shared" si="73"/>
        <v>0.95300235366461794</v>
      </c>
      <c r="H145" s="414" t="b">
        <f>Wh_hp&gt;='2024'!Maxi_hp</f>
        <v>1</v>
      </c>
      <c r="I145" s="390">
        <f>IF(H145,Wh_hp,'2024'!Maxi_hp)</f>
        <v>59.946831074462033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5.3885988016654007E-2</v>
      </c>
      <c r="M145" s="845"/>
      <c r="N145" s="845"/>
      <c r="O145" s="48">
        <f>IF(t&lt;Tnet,'2024'!Resal+('2024'!Salim-'2024'!Resal)*(1-EXP(('2024'!Tnet-t)/('2024'!Tau_j))),Resal+(Salim-Resal)*(1-EXP((Tnet-t)/(Tau_j))))*Salcycl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4.5936986694221281E-6</v>
      </c>
      <c r="Q145" s="305">
        <f t="shared" si="53"/>
        <v>0.5</v>
      </c>
      <c r="R145" s="177">
        <f t="shared" si="54"/>
        <v>8.4738658543864087E-2</v>
      </c>
      <c r="S145" s="811">
        <f t="shared" si="55"/>
        <v>-2</v>
      </c>
      <c r="T145" s="176">
        <f t="shared" si="56"/>
        <v>4</v>
      </c>
      <c r="U145" s="251">
        <f t="shared" si="57"/>
        <v>-1.9152613414561359</v>
      </c>
      <c r="V145" s="383">
        <f t="shared" si="58"/>
        <v>59.142445880246399</v>
      </c>
      <c r="W145" s="402">
        <f t="shared" si="59"/>
        <v>56.362907508692352</v>
      </c>
      <c r="X145" s="157">
        <f t="shared" si="60"/>
        <v>45788</v>
      </c>
      <c r="Y145" s="385">
        <f t="shared" si="61"/>
        <v>53.338443590706873</v>
      </c>
      <c r="Z145" s="385">
        <f t="shared" si="62"/>
        <v>56.376338279667891</v>
      </c>
      <c r="AA145" s="386">
        <f t="shared" si="63"/>
        <v>59.934118483842312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5.936151718212998E-2</v>
      </c>
      <c r="AD145" s="231">
        <f>(INDEX(Models!$BJ145:$BT145,,AH145)*(1-AF145)+INDEX(Models!$BJ145:$BT145,,AH145+1)*AF145-ERP_i)*AE145*Ramure*Pc/MaxiM</f>
        <v>2.2732695222756719E-4</v>
      </c>
      <c r="AE145" s="305">
        <f t="shared" si="65"/>
        <v>0.5</v>
      </c>
      <c r="AF145" s="177">
        <f t="shared" si="66"/>
        <v>0.60972622491784301</v>
      </c>
      <c r="AG145" s="811">
        <f t="shared" si="74"/>
        <v>1</v>
      </c>
      <c r="AH145" s="176">
        <f t="shared" si="67"/>
        <v>7</v>
      </c>
      <c r="AI145" s="225">
        <f t="shared" si="68"/>
        <v>1.609726224917843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41.096542726569957</v>
      </c>
      <c r="C146" s="841"/>
      <c r="D146" s="393">
        <f t="shared" si="50"/>
        <v>43.438150524681113</v>
      </c>
      <c r="E146" s="385">
        <f t="shared" si="72"/>
        <v>43.71522324618148</v>
      </c>
      <c r="F146" s="385">
        <f t="shared" si="51"/>
        <v>43.715347546134979</v>
      </c>
      <c r="G146" s="110">
        <f t="shared" si="73"/>
        <v>0.69403607120389366</v>
      </c>
      <c r="H146" s="414" t="b">
        <f>Wh_hp&gt;='2024'!Maxi_hp</f>
        <v>0</v>
      </c>
      <c r="I146" s="390">
        <f>IF(H146,Wh_hp,'2024'!Maxi_hp)</f>
        <v>59.238727729135654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5.3906710341654063E-2</v>
      </c>
      <c r="M146" s="845"/>
      <c r="N146" s="845"/>
      <c r="O146" s="48">
        <f>IF(t&lt;Tnet,'2024'!Resal+('2024'!Salim-'2024'!Resal)*(1-EXP(('2024'!Tnet-t)/('2024'!Tau_j))),Resal+(Salim-Resal)*(1-EXP((Tnet-t)/(Tau_j))))*Salcycl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5.0512329974863335E-6</v>
      </c>
      <c r="Q146" s="305">
        <f t="shared" si="53"/>
        <v>0.5</v>
      </c>
      <c r="R146" s="177">
        <f t="shared" si="54"/>
        <v>8.8376046191692925E-2</v>
      </c>
      <c r="S146" s="811">
        <f t="shared" si="55"/>
        <v>-2</v>
      </c>
      <c r="T146" s="176">
        <f t="shared" si="56"/>
        <v>4</v>
      </c>
      <c r="U146" s="251">
        <f t="shared" si="57"/>
        <v>-1.9116239538083071</v>
      </c>
      <c r="V146" s="383">
        <f t="shared" si="58"/>
        <v>59.21371193354841</v>
      </c>
      <c r="W146" s="402">
        <f t="shared" si="59"/>
        <v>41.096542726569957</v>
      </c>
      <c r="X146" s="157">
        <f t="shared" si="60"/>
        <v>45789</v>
      </c>
      <c r="Y146" s="385">
        <f t="shared" si="61"/>
        <v>38.894745632705906</v>
      </c>
      <c r="Z146" s="385">
        <f t="shared" si="62"/>
        <v>41.110898954532921</v>
      </c>
      <c r="AA146" s="386">
        <f t="shared" si="63"/>
        <v>43.709342962439038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5.9448251375891242E-2</v>
      </c>
      <c r="AD146" s="231">
        <f>(INDEX(Models!$BJ146:$BT146,,AH146)*(1-AF146)+INDEX(Models!$BJ146:$BT146,,AH146+1)*AF146-ERP_i)*AE146*Ramure*Pc/MaxiM</f>
        <v>2.4401096257359664E-4</v>
      </c>
      <c r="AE146" s="305">
        <f t="shared" si="65"/>
        <v>0.5</v>
      </c>
      <c r="AF146" s="177">
        <f t="shared" si="66"/>
        <v>0.61336361256567185</v>
      </c>
      <c r="AG146" s="811">
        <f t="shared" si="74"/>
        <v>1</v>
      </c>
      <c r="AH146" s="176">
        <f t="shared" si="67"/>
        <v>7</v>
      </c>
      <c r="AI146" s="225">
        <f t="shared" si="68"/>
        <v>1.6133636125656718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41.802367010593692</v>
      </c>
      <c r="C147" s="841"/>
      <c r="D147" s="393">
        <f t="shared" si="50"/>
        <v>44.185159187487933</v>
      </c>
      <c r="E147" s="385">
        <f t="shared" si="72"/>
        <v>44.471805354180447</v>
      </c>
      <c r="F147" s="385">
        <f t="shared" si="51"/>
        <v>44.471947492064672</v>
      </c>
      <c r="G147" s="110">
        <f t="shared" si="73"/>
        <v>0.70515480752130433</v>
      </c>
      <c r="H147" s="414" t="b">
        <f>Wh_hp&gt;='2024'!Maxi_hp</f>
        <v>0</v>
      </c>
      <c r="I147" s="390">
        <f>IF(H147,Wh_hp,'2024'!Maxi_hp)</f>
        <v>65.408960512497771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5.3927432212782067E-2</v>
      </c>
      <c r="M147" s="845"/>
      <c r="N147" s="845"/>
      <c r="O147" s="48">
        <f>IF(t&lt;Tnet,'2024'!Resal+('2024'!Salim-'2024'!Resal)*(1-EXP(('2024'!Tnet-t)/('2024'!Tau_j))),Resal+(Salim-Resal)*(1-EXP((Tnet-t)/(Tau_j))))*Salcycl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5.5220328212248646E-6</v>
      </c>
      <c r="Q147" s="305">
        <f t="shared" si="53"/>
        <v>0.5</v>
      </c>
      <c r="R147" s="177">
        <f t="shared" si="54"/>
        <v>9.2094149317144991E-2</v>
      </c>
      <c r="S147" s="811">
        <f t="shared" si="55"/>
        <v>-2</v>
      </c>
      <c r="T147" s="176">
        <f t="shared" si="56"/>
        <v>4</v>
      </c>
      <c r="U147" s="251">
        <f t="shared" si="57"/>
        <v>-1.907905850682855</v>
      </c>
      <c r="V147" s="383">
        <f t="shared" si="58"/>
        <v>59.280982467881429</v>
      </c>
      <c r="W147" s="402">
        <f t="shared" si="59"/>
        <v>41.802367010593692</v>
      </c>
      <c r="X147" s="157">
        <f t="shared" si="60"/>
        <v>45790</v>
      </c>
      <c r="Y147" s="385">
        <f t="shared" si="61"/>
        <v>39.562828568818631</v>
      </c>
      <c r="Z147" s="385">
        <f t="shared" si="62"/>
        <v>41.817963987004369</v>
      </c>
      <c r="AA147" s="386">
        <f t="shared" si="63"/>
        <v>44.465225316953166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5.953554291199073E-2</v>
      </c>
      <c r="AD147" s="231">
        <f>(INDEX(Models!$BJ147:$BT147,,AH147)*(1-AF147)+INDEX(Models!$BJ147:$BT147,,AH147+1)*AF147-ERP_i)*AE147*Ramure*Pc/MaxiM</f>
        <v>2.6115536894311006E-4</v>
      </c>
      <c r="AE147" s="305">
        <f t="shared" si="65"/>
        <v>0.5</v>
      </c>
      <c r="AF147" s="177">
        <f t="shared" si="66"/>
        <v>0.61708171569112391</v>
      </c>
      <c r="AG147" s="811">
        <f t="shared" si="74"/>
        <v>1</v>
      </c>
      <c r="AH147" s="176">
        <f t="shared" si="67"/>
        <v>7</v>
      </c>
      <c r="AI147" s="225">
        <f t="shared" si="68"/>
        <v>1.6170817156911239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50.575282397006497</v>
      </c>
      <c r="C148" s="841"/>
      <c r="D148" s="393">
        <f t="shared" si="50"/>
        <v>53.459313663480877</v>
      </c>
      <c r="E148" s="385">
        <f t="shared" si="72"/>
        <v>53.811948552752064</v>
      </c>
      <c r="F148" s="385">
        <f t="shared" si="51"/>
        <v>53.812203482676566</v>
      </c>
      <c r="G148" s="110">
        <f t="shared" si="73"/>
        <v>0.85223293754332063</v>
      </c>
      <c r="H148" s="414" t="b">
        <f>Wh_hp&gt;='2024'!Maxi_hp</f>
        <v>0</v>
      </c>
      <c r="I148" s="390">
        <f>IF(H148,Wh_hp,'2024'!Maxi_hp)</f>
        <v>63.832836981428784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5.394815363004779E-2</v>
      </c>
      <c r="M148" s="845"/>
      <c r="N148" s="845"/>
      <c r="O148" s="48">
        <f>IF(t&lt;Tnet,'2024'!Resal+('2024'!Salim-'2024'!Resal)*(1-EXP(('2024'!Tnet-t)/('2024'!Tau_j))),Resal+(Salim-Resal)*(1-EXP((Tnet-t)/(Tau_j))))*Salcycl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6.0050264652852094E-6</v>
      </c>
      <c r="Q148" s="305">
        <f t="shared" si="53"/>
        <v>0.5</v>
      </c>
      <c r="R148" s="177">
        <f t="shared" si="54"/>
        <v>9.5892440882747287E-2</v>
      </c>
      <c r="S148" s="811">
        <f t="shared" si="55"/>
        <v>-2</v>
      </c>
      <c r="T148" s="176">
        <f t="shared" si="56"/>
        <v>4</v>
      </c>
      <c r="U148" s="251">
        <f t="shared" si="57"/>
        <v>-1.9041075591172527</v>
      </c>
      <c r="V148" s="383">
        <f t="shared" si="58"/>
        <v>59.344360043063588</v>
      </c>
      <c r="W148" s="402">
        <f t="shared" si="59"/>
        <v>50.575282397006497</v>
      </c>
      <c r="X148" s="157">
        <f t="shared" si="60"/>
        <v>45791</v>
      </c>
      <c r="Y148" s="385">
        <f t="shared" si="61"/>
        <v>47.863232036562913</v>
      </c>
      <c r="Z148" s="385">
        <f t="shared" si="62"/>
        <v>50.592609929589486</v>
      </c>
      <c r="AA148" s="386">
        <f t="shared" si="63"/>
        <v>53.800368644991735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5.9623359396829299E-2</v>
      </c>
      <c r="AD148" s="231">
        <f>(INDEX(Models!$BJ148:$BT148,,AH148)*(1-AF148)+INDEX(Models!$BJ148:$BT148,,AH148+1)*AF148-ERP_i)*AE148*Ramure*Pc/MaxiM</f>
        <v>2.7877666244699385E-4</v>
      </c>
      <c r="AE148" s="305">
        <f t="shared" si="65"/>
        <v>0.5</v>
      </c>
      <c r="AF148" s="177">
        <f t="shared" si="66"/>
        <v>0.62088000725672621</v>
      </c>
      <c r="AG148" s="811">
        <f t="shared" si="74"/>
        <v>1</v>
      </c>
      <c r="AH148" s="176">
        <f t="shared" si="67"/>
        <v>7</v>
      </c>
      <c r="AI148" s="225">
        <f t="shared" si="68"/>
        <v>1.6208800072567262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53.506627424675962</v>
      </c>
      <c r="C149" s="841"/>
      <c r="D149" s="393">
        <f t="shared" si="50"/>
        <v>56.559056026494389</v>
      </c>
      <c r="E149" s="385">
        <f t="shared" si="72"/>
        <v>56.938305265022997</v>
      </c>
      <c r="F149" s="385">
        <f t="shared" si="51"/>
        <v>56.938622838390671</v>
      </c>
      <c r="G149" s="110">
        <f t="shared" si="73"/>
        <v>0.90073474272592391</v>
      </c>
      <c r="H149" s="414" t="b">
        <f>Wh_hp&gt;='2024'!Maxi_hp</f>
        <v>0</v>
      </c>
      <c r="I149" s="390">
        <f>IF(H149,Wh_hp,'2024'!Maxi_hp)</f>
        <v>64.337487236928794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5.3968874593461336E-2</v>
      </c>
      <c r="M149" s="845"/>
      <c r="N149" s="845"/>
      <c r="O149" s="48">
        <f>IF(t&lt;Tnet,'2024'!Resal+('2024'!Salim-'2024'!Resal)*(1-EXP(('2024'!Tnet-t)/('2024'!Tau_j))),Resal+(Salim-Resal)*(1-EXP((Tnet-t)/(Tau_j))))*Salcycl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6.4990788501831246E-6</v>
      </c>
      <c r="Q149" s="305">
        <f t="shared" si="53"/>
        <v>0.5</v>
      </c>
      <c r="R149" s="177">
        <f t="shared" si="54"/>
        <v>9.9770232597786945E-2</v>
      </c>
      <c r="S149" s="811">
        <f t="shared" si="55"/>
        <v>-2</v>
      </c>
      <c r="T149" s="176">
        <f t="shared" si="56"/>
        <v>4</v>
      </c>
      <c r="U149" s="251">
        <f t="shared" si="57"/>
        <v>-1.9002297674022131</v>
      </c>
      <c r="V149" s="383">
        <f t="shared" si="58"/>
        <v>59.403257778425797</v>
      </c>
      <c r="W149" s="402">
        <f t="shared" si="59"/>
        <v>53.506627424675962</v>
      </c>
      <c r="X149" s="157">
        <f t="shared" si="60"/>
        <v>45792</v>
      </c>
      <c r="Y149" s="385">
        <f t="shared" si="61"/>
        <v>50.636393067342212</v>
      </c>
      <c r="Z149" s="385">
        <f t="shared" si="62"/>
        <v>53.525081477189453</v>
      </c>
      <c r="AA149" s="386">
        <f t="shared" si="63"/>
        <v>56.924115261437215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5.9711666463974161E-2</v>
      </c>
      <c r="AD149" s="231">
        <f>(INDEX(Models!$BJ149:$BT149,,AH149)*(1-AF149)+INDEX(Models!$BJ149:$BT149,,AH149+1)*AF149-ERP_i)*AE149*Ramure*Pc/MaxiM</f>
        <v>2.968948159447803E-4</v>
      </c>
      <c r="AE149" s="305">
        <f t="shared" si="65"/>
        <v>0.5</v>
      </c>
      <c r="AF149" s="177">
        <f t="shared" si="66"/>
        <v>0.62475779897176587</v>
      </c>
      <c r="AG149" s="811">
        <f t="shared" si="74"/>
        <v>1</v>
      </c>
      <c r="AH149" s="176">
        <f t="shared" si="67"/>
        <v>7</v>
      </c>
      <c r="AI149" s="225">
        <f t="shared" si="68"/>
        <v>1.6247577989717659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51.003058030950683</v>
      </c>
      <c r="C150" s="841"/>
      <c r="D150" s="393">
        <f t="shared" si="50"/>
        <v>53.913844675424656</v>
      </c>
      <c r="E150" s="385">
        <f t="shared" si="72"/>
        <v>54.28124148576034</v>
      </c>
      <c r="F150" s="385">
        <f t="shared" si="51"/>
        <v>54.281542818988221</v>
      </c>
      <c r="G150" s="110">
        <f t="shared" si="73"/>
        <v>0.85781068392922799</v>
      </c>
      <c r="H150" s="414" t="b">
        <f>Wh_hp&gt;='2024'!Maxi_hp</f>
        <v>0</v>
      </c>
      <c r="I150" s="390">
        <f>IF(H150,Wh_hp,'2024'!Maxi_hp)</f>
        <v>55.759884023555387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5.3989595103032695E-2</v>
      </c>
      <c r="M150" s="845"/>
      <c r="N150" s="845"/>
      <c r="O150" s="48">
        <f>IF(t&lt;Tnet,'2024'!Resal+('2024'!Salim-'2024'!Resal)*(1-EXP(('2024'!Tnet-t)/('2024'!Tau_j))),Resal+(Salim-Resal)*(1-EXP((Tnet-t)/(Tau_j))))*Salcycl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6.9663470698165915E-6</v>
      </c>
      <c r="Q150" s="305">
        <f t="shared" si="53"/>
        <v>0.5</v>
      </c>
      <c r="R150" s="177">
        <f t="shared" si="54"/>
        <v>0.10372667005891301</v>
      </c>
      <c r="S150" s="811">
        <f t="shared" si="55"/>
        <v>-2</v>
      </c>
      <c r="T150" s="176">
        <f t="shared" si="56"/>
        <v>4</v>
      </c>
      <c r="U150" s="251">
        <f t="shared" si="57"/>
        <v>-1.896273329941087</v>
      </c>
      <c r="V150" s="383">
        <f t="shared" si="58"/>
        <v>59.45715857174303</v>
      </c>
      <c r="W150" s="402">
        <f t="shared" si="59"/>
        <v>51.003058030950683</v>
      </c>
      <c r="X150" s="157">
        <f t="shared" si="60"/>
        <v>45793</v>
      </c>
      <c r="Y150" s="385">
        <f t="shared" si="61"/>
        <v>48.268027051077752</v>
      </c>
      <c r="Z150" s="385">
        <f t="shared" si="62"/>
        <v>51.022723218710013</v>
      </c>
      <c r="AA150" s="386">
        <f t="shared" si="63"/>
        <v>54.267971107682648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5.9800427816495465E-2</v>
      </c>
      <c r="AD150" s="231">
        <f>(INDEX(Models!$BJ150:$BT150,,AH150)*(1-AF150)+INDEX(Models!$BJ150:$BT150,,AH150+1)*AF150-ERP_i)*AE150*Ramure*Pc/MaxiM</f>
        <v>3.1375647469034681E-4</v>
      </c>
      <c r="AE150" s="305">
        <f t="shared" si="65"/>
        <v>0.5</v>
      </c>
      <c r="AF150" s="177">
        <f t="shared" si="66"/>
        <v>0.62871423643289193</v>
      </c>
      <c r="AG150" s="811">
        <f t="shared" si="74"/>
        <v>1</v>
      </c>
      <c r="AH150" s="176">
        <f t="shared" si="67"/>
        <v>7</v>
      </c>
      <c r="AI150" s="225">
        <f t="shared" si="68"/>
        <v>1.6287142364328919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54.312185899393548</v>
      </c>
      <c r="C151" s="841"/>
      <c r="D151" s="393">
        <f t="shared" si="50"/>
        <v>57.413084698179468</v>
      </c>
      <c r="E151" s="385">
        <f t="shared" si="72"/>
        <v>57.810599685068119</v>
      </c>
      <c r="F151" s="385">
        <f t="shared" si="51"/>
        <v>57.810973694013349</v>
      </c>
      <c r="G151" s="110">
        <f t="shared" si="73"/>
        <v>0.9127128692500186</v>
      </c>
      <c r="H151" s="414" t="b">
        <f>Wh_hp&gt;='2024'!Maxi_hp</f>
        <v>0</v>
      </c>
      <c r="I151" s="390">
        <f>IF(H151,Wh_hp,'2024'!Maxi_hp)</f>
        <v>59.143869986274652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5.4010315158771638E-2</v>
      </c>
      <c r="M151" s="845"/>
      <c r="N151" s="845"/>
      <c r="O151" s="48">
        <f>IF(t&lt;Tnet,'2024'!Resal+('2024'!Salim-'2024'!Resal)*(1-EXP(('2024'!Tnet-t)/('2024'!Tau_j))),Resal+(Salim-Resal)*(1-EXP((Tnet-t)/(Tau_j))))*Salcycl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7.3911522234168754E-6</v>
      </c>
      <c r="Q151" s="305">
        <f t="shared" si="53"/>
        <v>0.5</v>
      </c>
      <c r="R151" s="177">
        <f t="shared" si="54"/>
        <v>0.10776072841888684</v>
      </c>
      <c r="S151" s="811">
        <f t="shared" si="55"/>
        <v>-2</v>
      </c>
      <c r="T151" s="176">
        <f t="shared" si="56"/>
        <v>4</v>
      </c>
      <c r="U151" s="251">
        <f t="shared" si="57"/>
        <v>-1.8922392715811132</v>
      </c>
      <c r="V151" s="383">
        <f t="shared" si="58"/>
        <v>59.506267165434863</v>
      </c>
      <c r="W151" s="402">
        <f t="shared" si="59"/>
        <v>54.312185899393548</v>
      </c>
      <c r="X151" s="157">
        <f t="shared" si="60"/>
        <v>45794</v>
      </c>
      <c r="Y151" s="385">
        <f t="shared" si="61"/>
        <v>51.398511954660833</v>
      </c>
      <c r="Z151" s="385">
        <f t="shared" si="62"/>
        <v>54.333057514561993</v>
      </c>
      <c r="AA151" s="386">
        <f t="shared" si="63"/>
        <v>57.794337579639944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5.9889605280246401E-2</v>
      </c>
      <c r="AD151" s="231">
        <f>(INDEX(Models!$BJ151:$BT151,,AH151)*(1-AF151)+INDEX(Models!$BJ151:$BT151,,AH151+1)*AF151-ERP_i)*AE151*Ramure*Pc/MaxiM</f>
        <v>3.287623339161788E-4</v>
      </c>
      <c r="AE151" s="305">
        <f t="shared" si="65"/>
        <v>0.5</v>
      </c>
      <c r="AF151" s="177">
        <f t="shared" si="66"/>
        <v>0.63274829479286576</v>
      </c>
      <c r="AG151" s="811">
        <f t="shared" si="74"/>
        <v>1</v>
      </c>
      <c r="AH151" s="176">
        <f t="shared" si="67"/>
        <v>7</v>
      </c>
      <c r="AI151" s="225">
        <f t="shared" si="68"/>
        <v>1.6327482947928658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52.246670143135347</v>
      </c>
      <c r="C152" s="841"/>
      <c r="D152" s="393">
        <f t="shared" si="50"/>
        <v>55.230850126164498</v>
      </c>
      <c r="E152" s="385">
        <f t="shared" si="72"/>
        <v>55.619295494541447</v>
      </c>
      <c r="F152" s="385">
        <f t="shared" si="51"/>
        <v>55.619651723660489</v>
      </c>
      <c r="G152" s="110">
        <f t="shared" si="73"/>
        <v>0.87734522082457866</v>
      </c>
      <c r="H152" s="414" t="b">
        <f>Wh_hp&gt;='2024'!Maxi_hp</f>
        <v>0</v>
      </c>
      <c r="I152" s="390">
        <f>IF(H152,Wh_hp,'2024'!Maxi_hp)</f>
        <v>63.972000087795209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5.4031034760688157E-2</v>
      </c>
      <c r="M152" s="845"/>
      <c r="N152" s="845"/>
      <c r="O152" s="48">
        <f>IF(t&lt;Tnet,'2024'!Resal+('2024'!Salim-'2024'!Resal)*(1-EXP(('2024'!Tnet-t)/('2024'!Tau_j))),Resal+(Salim-Resal)*(1-EXP((Tnet-t)/(Tau_j))))*Salcycl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7.7653801041985869E-6</v>
      </c>
      <c r="Q152" s="305">
        <f t="shared" si="53"/>
        <v>0.5</v>
      </c>
      <c r="R152" s="177">
        <f t="shared" si="54"/>
        <v>0.11187120864284394</v>
      </c>
      <c r="S152" s="811">
        <f t="shared" si="55"/>
        <v>-2</v>
      </c>
      <c r="T152" s="176">
        <f t="shared" si="56"/>
        <v>4</v>
      </c>
      <c r="U152" s="251">
        <f t="shared" si="57"/>
        <v>-1.8881287913571561</v>
      </c>
      <c r="V152" s="383">
        <f t="shared" si="58"/>
        <v>59.550787778144411</v>
      </c>
      <c r="W152" s="402">
        <f t="shared" si="59"/>
        <v>52.246670143135347</v>
      </c>
      <c r="X152" s="157">
        <f t="shared" si="60"/>
        <v>45795</v>
      </c>
      <c r="Y152" s="385">
        <f t="shared" si="61"/>
        <v>49.444746917453891</v>
      </c>
      <c r="Z152" s="385">
        <f t="shared" si="62"/>
        <v>52.268889080251512</v>
      </c>
      <c r="AA152" s="386">
        <f t="shared" si="63"/>
        <v>55.603968330452737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5.9979158868319345E-2</v>
      </c>
      <c r="AD152" s="231">
        <f>(INDEX(Models!$BJ152:$BT152,,AH152)*(1-AF152)+INDEX(Models!$BJ152:$BT152,,AH152+1)*AF152-ERP_i)*AE152*Ramure*Pc/MaxiM</f>
        <v>3.4187971468613103E-4</v>
      </c>
      <c r="AE152" s="305">
        <f t="shared" si="65"/>
        <v>0.5</v>
      </c>
      <c r="AF152" s="177">
        <f t="shared" si="66"/>
        <v>0.63685877501682286</v>
      </c>
      <c r="AG152" s="811">
        <f t="shared" si="74"/>
        <v>1</v>
      </c>
      <c r="AH152" s="176">
        <f t="shared" si="67"/>
        <v>7</v>
      </c>
      <c r="AI152" s="225">
        <f t="shared" si="68"/>
        <v>1.6368587750168229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55.143731801837198</v>
      </c>
      <c r="C153" s="841"/>
      <c r="D153" s="393">
        <f t="shared" si="50"/>
        <v>58.294660442258774</v>
      </c>
      <c r="E153" s="385">
        <f t="shared" si="72"/>
        <v>58.711034332995851</v>
      </c>
      <c r="F153" s="385">
        <f t="shared" si="51"/>
        <v>58.711458166219543</v>
      </c>
      <c r="G153" s="110">
        <f t="shared" si="73"/>
        <v>0.92537051030711992</v>
      </c>
      <c r="H153" s="414" t="b">
        <f>Wh_hp&gt;='2024'!Maxi_hp</f>
        <v>0</v>
      </c>
      <c r="I153" s="390">
        <f>IF(H153,Wh_hp,'2024'!Maxi_hp)</f>
        <v>63.050548226982031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5.4051753908792244E-2</v>
      </c>
      <c r="M153" s="845"/>
      <c r="N153" s="845"/>
      <c r="O153" s="48">
        <f>IF(t&lt;Tnet,'2024'!Resal+('2024'!Salim-'2024'!Resal)*(1-EXP(('2024'!Tnet-t)/('2024'!Tau_j))),Resal+(Salim-Resal)*(1-EXP((Tnet-t)/(Tau_j))))*Salcycl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8.0803880769946125E-6</v>
      </c>
      <c r="Q153" s="305">
        <f t="shared" si="53"/>
        <v>0.5</v>
      </c>
      <c r="R153" s="177">
        <f t="shared" si="54"/>
        <v>0.11605673441014042</v>
      </c>
      <c r="S153" s="811">
        <f t="shared" si="55"/>
        <v>-2</v>
      </c>
      <c r="T153" s="176">
        <f t="shared" si="56"/>
        <v>4</v>
      </c>
      <c r="U153" s="251">
        <f t="shared" si="57"/>
        <v>-1.8839432655898596</v>
      </c>
      <c r="V153" s="383">
        <f t="shared" si="58"/>
        <v>59.590924589263217</v>
      </c>
      <c r="W153" s="402">
        <f t="shared" si="59"/>
        <v>55.143731801837198</v>
      </c>
      <c r="X153" s="157">
        <f t="shared" si="60"/>
        <v>45796</v>
      </c>
      <c r="Y153" s="385">
        <f t="shared" si="61"/>
        <v>52.185419962437734</v>
      </c>
      <c r="Z153" s="385">
        <f t="shared" si="62"/>
        <v>55.167309816446391</v>
      </c>
      <c r="AA153" s="386">
        <f t="shared" si="63"/>
        <v>58.692938701469586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6.0069046856822648E-2</v>
      </c>
      <c r="AD153" s="231">
        <f>(INDEX(Models!$BJ153:$BT153,,AH153)*(1-AF153)+INDEX(Models!$BJ153:$BT153,,AH153+1)*AF153-ERP_i)*AE153*Ramure*Pc/MaxiM</f>
        <v>3.5307393047781879E-4</v>
      </c>
      <c r="AE153" s="305">
        <f t="shared" si="65"/>
        <v>0.5</v>
      </c>
      <c r="AF153" s="177">
        <f t="shared" si="66"/>
        <v>0.64104430078411934</v>
      </c>
      <c r="AG153" s="811">
        <f t="shared" si="74"/>
        <v>1</v>
      </c>
      <c r="AH153" s="176">
        <f t="shared" si="67"/>
        <v>7</v>
      </c>
      <c r="AI153" s="225">
        <f t="shared" si="68"/>
        <v>1.6410443007841193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49.957938427354712</v>
      </c>
      <c r="C154" s="841"/>
      <c r="D154" s="393">
        <f t="shared" si="50"/>
        <v>52.813706103715731</v>
      </c>
      <c r="E154" s="385">
        <f t="shared" si="72"/>
        <v>53.196717279264277</v>
      </c>
      <c r="F154" s="385">
        <f t="shared" si="51"/>
        <v>53.197057635242679</v>
      </c>
      <c r="G154" s="110">
        <f t="shared" si="73"/>
        <v>0.83784093026663331</v>
      </c>
      <c r="H154" s="414" t="b">
        <f>Wh_hp&gt;='2024'!Maxi_hp</f>
        <v>0</v>
      </c>
      <c r="I154" s="390">
        <f>IF(H154,Wh_hp,'2024'!Maxi_hp)</f>
        <v>62.803447200223168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5.407247260309378E-2</v>
      </c>
      <c r="M154" s="845"/>
      <c r="N154" s="845"/>
      <c r="O154" s="48">
        <f>IF(t&lt;Tnet,'2024'!Resal+('2024'!Salim-'2024'!Resal)*(1-EXP(('2024'!Tnet-t)/('2024'!Tau_j))),Resal+(Salim-Resal)*(1-EXP((Tnet-t)/(Tau_j))))*Salcycl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8.327001773752408E-6</v>
      </c>
      <c r="Q154" s="305">
        <f t="shared" si="53"/>
        <v>0.5</v>
      </c>
      <c r="R154" s="177">
        <f t="shared" si="54"/>
        <v>0.12031574971780112</v>
      </c>
      <c r="S154" s="811">
        <f t="shared" si="55"/>
        <v>-2</v>
      </c>
      <c r="T154" s="176">
        <f t="shared" si="56"/>
        <v>4</v>
      </c>
      <c r="U154" s="251">
        <f t="shared" si="57"/>
        <v>-1.8796842502821989</v>
      </c>
      <c r="V154" s="383">
        <f t="shared" si="58"/>
        <v>59.626881731617189</v>
      </c>
      <c r="W154" s="402">
        <f t="shared" si="59"/>
        <v>49.957938427354712</v>
      </c>
      <c r="X154" s="157">
        <f t="shared" si="60"/>
        <v>45797</v>
      </c>
      <c r="Y154" s="385">
        <f t="shared" si="61"/>
        <v>47.280149746981166</v>
      </c>
      <c r="Z154" s="385">
        <f t="shared" si="62"/>
        <v>49.982845807533693</v>
      </c>
      <c r="AA154" s="386">
        <f t="shared" si="63"/>
        <v>53.182248720705132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6.0159225872031152E-2</v>
      </c>
      <c r="AD154" s="231">
        <f>(INDEX(Models!$BJ154:$BT154,,AH154)*(1-AF154)+INDEX(Models!$BJ154:$BT154,,AH154+1)*AF154-ERP_i)*AE154*Ramure*Pc/MaxiM</f>
        <v>3.6230848126045254E-4</v>
      </c>
      <c r="AE154" s="305">
        <f t="shared" si="65"/>
        <v>0.5</v>
      </c>
      <c r="AF154" s="177">
        <f t="shared" si="66"/>
        <v>0.64530331609178004</v>
      </c>
      <c r="AG154" s="811">
        <f t="shared" si="74"/>
        <v>1</v>
      </c>
      <c r="AH154" s="176">
        <f t="shared" si="67"/>
        <v>7</v>
      </c>
      <c r="AI154" s="225">
        <f t="shared" si="68"/>
        <v>1.64530331609178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49.873799737501542</v>
      </c>
      <c r="C155" s="841"/>
      <c r="D155" s="393">
        <f t="shared" si="50"/>
        <v>52.725912589614687</v>
      </c>
      <c r="E155" s="385">
        <f t="shared" si="72"/>
        <v>53.114067559355753</v>
      </c>
      <c r="F155" s="385">
        <f t="shared" si="51"/>
        <v>53.114413064998317</v>
      </c>
      <c r="G155" s="110">
        <f t="shared" si="73"/>
        <v>0.83598140666423204</v>
      </c>
      <c r="H155" s="414" t="b">
        <f>Wh_hp&gt;='2024'!Maxi_hp</f>
        <v>0</v>
      </c>
      <c r="I155" s="390">
        <f>IF(H155,Wh_hp,'2024'!Maxi_hp)</f>
        <v>61.178268574854386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5.4093190843602756E-2</v>
      </c>
      <c r="M155" s="845"/>
      <c r="N155" s="845"/>
      <c r="O155" s="48">
        <f>IF(t&lt;Tnet,'2024'!Resal+('2024'!Salim-'2024'!Resal)*(1-EXP(('2024'!Tnet-t)/('2024'!Tau_j))),Resal+(Salim-Resal)*(1-EXP((Tnet-t)/(Tau_j))))*Salcycl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8.4955152755205778E-6</v>
      </c>
      <c r="Q155" s="305">
        <f t="shared" si="53"/>
        <v>0.5</v>
      </c>
      <c r="R155" s="177">
        <f t="shared" si="54"/>
        <v>0.12464651723874409</v>
      </c>
      <c r="S155" s="811">
        <f t="shared" si="55"/>
        <v>-2</v>
      </c>
      <c r="T155" s="176">
        <f t="shared" si="56"/>
        <v>4</v>
      </c>
      <c r="U155" s="251">
        <f t="shared" si="57"/>
        <v>-1.8753534827612559</v>
      </c>
      <c r="V155" s="383">
        <f t="shared" si="58"/>
        <v>59.658863296864148</v>
      </c>
      <c r="W155" s="402">
        <f t="shared" si="59"/>
        <v>49.873799737501542</v>
      </c>
      <c r="X155" s="157">
        <f t="shared" si="60"/>
        <v>45798</v>
      </c>
      <c r="Y155" s="385">
        <f t="shared" si="61"/>
        <v>47.20090548346738</v>
      </c>
      <c r="Z155" s="385">
        <f t="shared" si="62"/>
        <v>49.90016461089153</v>
      </c>
      <c r="AA155" s="386">
        <f t="shared" si="63"/>
        <v>53.099383962346764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6.0249650988867032E-2</v>
      </c>
      <c r="AD155" s="231">
        <f>(INDEX(Models!$BJ155:$BT155,,AH155)*(1-AF155)+INDEX(Models!$BJ155:$BT155,,AH155+1)*AF155-ERP_i)*AE155*Ramure*Pc/MaxiM</f>
        <v>3.6954525606785397E-4</v>
      </c>
      <c r="AE155" s="305">
        <f t="shared" si="65"/>
        <v>0.5</v>
      </c>
      <c r="AF155" s="177">
        <f t="shared" si="66"/>
        <v>0.64963408361272279</v>
      </c>
      <c r="AG155" s="811">
        <f t="shared" si="74"/>
        <v>1</v>
      </c>
      <c r="AH155" s="176">
        <f t="shared" si="67"/>
        <v>7</v>
      </c>
      <c r="AI155" s="225">
        <f t="shared" si="68"/>
        <v>1.6496340836127228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37.746197976779229</v>
      </c>
      <c r="C156" s="841"/>
      <c r="D156" s="393">
        <f t="shared" si="50"/>
        <v>39.905648598893791</v>
      </c>
      <c r="E156" s="385">
        <f t="shared" si="72"/>
        <v>40.203802324050692</v>
      </c>
      <c r="F156" s="385">
        <f t="shared" si="51"/>
        <v>40.20396633902353</v>
      </c>
      <c r="G156" s="110">
        <f t="shared" si="73"/>
        <v>0.63239871143728565</v>
      </c>
      <c r="H156" s="414" t="b">
        <f>Wh_hp&gt;='2024'!Maxi_hp</f>
        <v>0</v>
      </c>
      <c r="I156" s="390">
        <f>IF(H156,Wh_hp,'2024'!Maxi_hp)</f>
        <v>62.875998222350205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5.4113908630329166E-2</v>
      </c>
      <c r="M156" s="845"/>
      <c r="N156" s="845"/>
      <c r="O156" s="48">
        <f>IF(t&lt;Tnet,'2024'!Resal+('2024'!Salim-'2024'!Resal)*(1-EXP(('2024'!Tnet-t)/('2024'!Tau_j))),Resal+(Salim-Resal)*(1-EXP((Tnet-t)/(Tau_j))))*Salcycl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8.5911158685994928E-6</v>
      </c>
      <c r="Q156" s="305">
        <f t="shared" si="53"/>
        <v>0.5</v>
      </c>
      <c r="R156" s="177">
        <f t="shared" si="54"/>
        <v>0.12904711748429953</v>
      </c>
      <c r="S156" s="811">
        <f t="shared" si="55"/>
        <v>-2</v>
      </c>
      <c r="T156" s="176">
        <f t="shared" si="56"/>
        <v>4</v>
      </c>
      <c r="U156" s="251">
        <f t="shared" si="57"/>
        <v>-1.8709528825157005</v>
      </c>
      <c r="V156" s="383">
        <f t="shared" si="58"/>
        <v>59.687072411432823</v>
      </c>
      <c r="W156" s="402">
        <f t="shared" si="59"/>
        <v>37.746197976779229</v>
      </c>
      <c r="X156" s="157">
        <f t="shared" si="60"/>
        <v>45799</v>
      </c>
      <c r="Y156" s="385">
        <f t="shared" si="61"/>
        <v>35.727382645839107</v>
      </c>
      <c r="Z156" s="385">
        <f t="shared" si="62"/>
        <v>37.771337343701511</v>
      </c>
      <c r="AA156" s="386">
        <f t="shared" si="63"/>
        <v>40.196824842620238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6.0340275840568718E-2</v>
      </c>
      <c r="AD156" s="231">
        <f>(INDEX(Models!$BJ156:$BT156,,AH156)*(1-AF156)+INDEX(Models!$BJ156:$BT156,,AH156+1)*AF156-ERP_i)*AE156*Ramure*Pc/MaxiM</f>
        <v>3.7407208630953252E-4</v>
      </c>
      <c r="AE156" s="305">
        <f t="shared" si="65"/>
        <v>0.5</v>
      </c>
      <c r="AF156" s="177">
        <f t="shared" si="66"/>
        <v>0.65403468385827845</v>
      </c>
      <c r="AG156" s="811">
        <f t="shared" si="74"/>
        <v>1</v>
      </c>
      <c r="AH156" s="176">
        <f t="shared" si="67"/>
        <v>7</v>
      </c>
      <c r="AI156" s="225">
        <f t="shared" si="68"/>
        <v>1.6540346838582785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19.67923531158031</v>
      </c>
      <c r="C157" s="841"/>
      <c r="D157" s="393">
        <f t="shared" si="50"/>
        <v>20.805535176316106</v>
      </c>
      <c r="E157" s="385">
        <f t="shared" si="72"/>
        <v>20.96326740863633</v>
      </c>
      <c r="F157" s="385">
        <f t="shared" si="51"/>
        <v>20.963275061649437</v>
      </c>
      <c r="G157" s="110">
        <f t="shared" si="73"/>
        <v>0.32956805592601723</v>
      </c>
      <c r="H157" s="414" t="b">
        <f>Wh_hp&gt;='2024'!Maxi_hp</f>
        <v>0</v>
      </c>
      <c r="I157" s="390">
        <f>IF(H157,Wh_hp,'2024'!Maxi_hp)</f>
        <v>58.76828057791041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5.4134625963282779E-2</v>
      </c>
      <c r="M157" s="845"/>
      <c r="N157" s="845"/>
      <c r="O157" s="48">
        <f>IF(t&lt;Tnet,'2024'!Resal+('2024'!Salim-'2024'!Resal)*(1-EXP(('2024'!Tnet-t)/('2024'!Tau_j))),Resal+(Salim-Resal)*(1-EXP((Tnet-t)/(Tau_j))))*Salcycl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8.6418859286339821E-6</v>
      </c>
      <c r="Q157" s="305">
        <f t="shared" si="53"/>
        <v>0.5</v>
      </c>
      <c r="R157" s="177">
        <f t="shared" si="54"/>
        <v>0.13351544881607191</v>
      </c>
      <c r="S157" s="811">
        <f t="shared" si="55"/>
        <v>-2</v>
      </c>
      <c r="T157" s="176">
        <f t="shared" si="56"/>
        <v>4</v>
      </c>
      <c r="U157" s="251">
        <f t="shared" si="57"/>
        <v>-1.8664845511839281</v>
      </c>
      <c r="V157" s="383">
        <f t="shared" si="58"/>
        <v>59.711710756589596</v>
      </c>
      <c r="W157" s="402">
        <f t="shared" si="59"/>
        <v>19.67923531158031</v>
      </c>
      <c r="X157" s="157">
        <f t="shared" si="60"/>
        <v>45800</v>
      </c>
      <c r="Y157" s="385">
        <f t="shared" si="61"/>
        <v>18.629886686183259</v>
      </c>
      <c r="Z157" s="385">
        <f t="shared" si="62"/>
        <v>19.696129277547769</v>
      </c>
      <c r="AA157" s="386">
        <f t="shared" si="63"/>
        <v>20.962941926690583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6.0431052739304353E-2</v>
      </c>
      <c r="AD157" s="231">
        <f>(INDEX(Models!$BJ157:$BT157,,AH157)*(1-AF157)+INDEX(Models!$BJ157:$BT157,,AH157+1)*AF157-ERP_i)*AE157*Ramure*Pc/MaxiM</f>
        <v>3.7618050211504609E-4</v>
      </c>
      <c r="AE157" s="305">
        <f t="shared" si="65"/>
        <v>0.5</v>
      </c>
      <c r="AF157" s="177">
        <f t="shared" si="66"/>
        <v>0.65850301519005083</v>
      </c>
      <c r="AG157" s="811">
        <f t="shared" si="74"/>
        <v>1</v>
      </c>
      <c r="AH157" s="176">
        <f t="shared" si="67"/>
        <v>7</v>
      </c>
      <c r="AI157" s="225">
        <f t="shared" si="68"/>
        <v>1.6585030151900508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17.062911590413094</v>
      </c>
      <c r="C158" s="841"/>
      <c r="D158" s="393">
        <f t="shared" si="50"/>
        <v>18.039866759612451</v>
      </c>
      <c r="E158" s="385">
        <f t="shared" si="72"/>
        <v>18.17861376731485</v>
      </c>
      <c r="F158" s="385">
        <f t="shared" si="51"/>
        <v>18.17861376731485</v>
      </c>
      <c r="G158" s="110">
        <f t="shared" si="73"/>
        <v>0.28565063341780322</v>
      </c>
      <c r="H158" s="414" t="b">
        <f>Wh_hp&gt;='2024'!Maxi_hp</f>
        <v>0</v>
      </c>
      <c r="I158" s="390">
        <f>IF(H158,Wh_hp,'2024'!Maxi_hp)</f>
        <v>30.554357090064354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5.4155342842473697E-2</v>
      </c>
      <c r="M158" s="845"/>
      <c r="N158" s="845"/>
      <c r="O158" s="48">
        <f>IF(t&lt;Tnet,'2024'!Resal+('2024'!Salim-'2024'!Resal)*(1-EXP(('2024'!Tnet-t)/('2024'!Tau_j))),Resal+(Salim-Resal)*(1-EXP((Tnet-t)/(Tau_j))))*Salcycl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8.642891375059474E-6</v>
      </c>
      <c r="Q158" s="305">
        <f t="shared" si="53"/>
        <v>0.5</v>
      </c>
      <c r="R158" s="177">
        <f t="shared" si="54"/>
        <v>0.13804922834690148</v>
      </c>
      <c r="S158" s="811">
        <f t="shared" si="55"/>
        <v>-2</v>
      </c>
      <c r="T158" s="176">
        <f t="shared" si="56"/>
        <v>4</v>
      </c>
      <c r="U158" s="251">
        <f t="shared" si="57"/>
        <v>-1.8619507716530985</v>
      </c>
      <c r="V158" s="383">
        <f t="shared" si="58"/>
        <v>59.7329819064852</v>
      </c>
      <c r="W158" s="402">
        <f t="shared" si="59"/>
        <v>17.062911590413094</v>
      </c>
      <c r="X158" s="157">
        <f t="shared" si="60"/>
        <v>45801</v>
      </c>
      <c r="Y158" s="385">
        <f t="shared" si="61"/>
        <v>16.153521835747149</v>
      </c>
      <c r="Z158" s="385">
        <f t="shared" si="62"/>
        <v>17.07840892635803</v>
      </c>
      <c r="AA158" s="386">
        <f t="shared" si="63"/>
        <v>18.17861376731485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6.052193280738425E-2</v>
      </c>
      <c r="AD158" s="231">
        <f>(INDEX(Models!$BJ158:$BT158,,AH158)*(1-AF158)+INDEX(Models!$BJ158:$BT158,,AH158+1)*AF158-ERP_i)*AE158*Ramure*Pc/MaxiM</f>
        <v>3.7579800702810265E-4</v>
      </c>
      <c r="AE158" s="305">
        <f t="shared" si="65"/>
        <v>0.5</v>
      </c>
      <c r="AF158" s="177">
        <f t="shared" si="66"/>
        <v>0.6630367947208804</v>
      </c>
      <c r="AG158" s="811">
        <f t="shared" si="74"/>
        <v>1</v>
      </c>
      <c r="AH158" s="176">
        <f t="shared" si="67"/>
        <v>7</v>
      </c>
      <c r="AI158" s="225">
        <f t="shared" si="68"/>
        <v>1.6630367947208804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40.019904734676651</v>
      </c>
      <c r="C159" s="841"/>
      <c r="D159" s="393">
        <f t="shared" si="50"/>
        <v>42.312213733668422</v>
      </c>
      <c r="E159" s="385">
        <f t="shared" si="72"/>
        <v>42.642294261801304</v>
      </c>
      <c r="F159" s="385">
        <f t="shared" si="51"/>
        <v>42.642487738944979</v>
      </c>
      <c r="G159" s="110">
        <f t="shared" si="73"/>
        <v>0.66977427531678135</v>
      </c>
      <c r="H159" s="414" t="b">
        <f>Wh_hp&gt;='2024'!Maxi_hp</f>
        <v>0</v>
      </c>
      <c r="I159" s="390">
        <f>IF(H159,Wh_hp,'2024'!Maxi_hp)</f>
        <v>59.691953884707942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5.4176059267911802E-2</v>
      </c>
      <c r="M159" s="845"/>
      <c r="N159" s="845"/>
      <c r="O159" s="48">
        <f>IF(t&lt;Tnet,'2024'!Resal+('2024'!Salim-'2024'!Resal)*(1-EXP(('2024'!Tnet-t)/('2024'!Tau_j))),Resal+(Salim-Resal)*(1-EXP((Tnet-t)/(Tau_j))))*Salcycl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8.58905318532468E-6</v>
      </c>
      <c r="Q159" s="305">
        <f t="shared" si="53"/>
        <v>0.5</v>
      </c>
      <c r="R159" s="177">
        <f t="shared" si="54"/>
        <v>0.14264599376461851</v>
      </c>
      <c r="S159" s="811">
        <f t="shared" si="55"/>
        <v>-2</v>
      </c>
      <c r="T159" s="176">
        <f t="shared" si="56"/>
        <v>4</v>
      </c>
      <c r="U159" s="251">
        <f t="shared" si="57"/>
        <v>-1.8573540062353815</v>
      </c>
      <c r="V159" s="383">
        <f t="shared" si="58"/>
        <v>59.751089365001889</v>
      </c>
      <c r="W159" s="402">
        <f t="shared" si="59"/>
        <v>40.019904734676651</v>
      </c>
      <c r="X159" s="157">
        <f t="shared" si="60"/>
        <v>45802</v>
      </c>
      <c r="Y159" s="385">
        <f t="shared" si="61"/>
        <v>37.880167993372034</v>
      </c>
      <c r="Z159" s="385">
        <f t="shared" si="62"/>
        <v>40.049914537003538</v>
      </c>
      <c r="AA159" s="386">
        <f t="shared" si="63"/>
        <v>42.634088856981293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6.061286611862457E-2</v>
      </c>
      <c r="AD159" s="231">
        <f>(INDEX(Models!$BJ159:$BT159,,AH159)*(1-AF159)+INDEX(Models!$BJ159:$BT159,,AH159+1)*AF159-ERP_i)*AE159*Ramure*Pc/MaxiM</f>
        <v>3.7285253706924819E-4</v>
      </c>
      <c r="AE159" s="305">
        <f t="shared" si="65"/>
        <v>0.5</v>
      </c>
      <c r="AF159" s="177">
        <f t="shared" si="66"/>
        <v>0.66763356013859743</v>
      </c>
      <c r="AG159" s="811">
        <f t="shared" si="74"/>
        <v>1</v>
      </c>
      <c r="AH159" s="176">
        <f t="shared" si="67"/>
        <v>7</v>
      </c>
      <c r="AI159" s="225">
        <f t="shared" si="68"/>
        <v>1.6676335601385974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24.265756823223494</v>
      </c>
      <c r="C160" s="841"/>
      <c r="D160" s="393">
        <f t="shared" si="50"/>
        <v>25.656242427562994</v>
      </c>
      <c r="E160" s="385">
        <f t="shared" si="72"/>
        <v>25.859210694594655</v>
      </c>
      <c r="F160" s="385">
        <f t="shared" si="51"/>
        <v>25.859243885138742</v>
      </c>
      <c r="G160" s="110">
        <f t="shared" si="73"/>
        <v>0.40600820305998142</v>
      </c>
      <c r="H160" s="414" t="b">
        <f>Wh_hp&gt;='2024'!Maxi_hp</f>
        <v>0</v>
      </c>
      <c r="I160" s="390">
        <f>IF(H160,Wh_hp,'2024'!Maxi_hp)</f>
        <v>61.991403277896538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5.4196775239606976E-2</v>
      </c>
      <c r="M160" s="845"/>
      <c r="N160" s="845"/>
      <c r="O160" s="48">
        <f>IF(t&lt;Tnet,'2024'!Resal+('2024'!Salim-'2024'!Resal)*(1-EXP(('2024'!Tnet-t)/('2024'!Tau_j))),Resal+(Salim-Resal)*(1-EXP((Tnet-t)/(Tau_j))))*Salcycl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8.4751063144884113E-6</v>
      </c>
      <c r="Q160" s="305">
        <f t="shared" si="53"/>
        <v>0.5</v>
      </c>
      <c r="R160" s="177">
        <f t="shared" si="54"/>
        <v>0.14730310610545083</v>
      </c>
      <c r="S160" s="811">
        <f t="shared" si="55"/>
        <v>-2</v>
      </c>
      <c r="T160" s="176">
        <f t="shared" si="56"/>
        <v>4</v>
      </c>
      <c r="U160" s="251">
        <f t="shared" si="57"/>
        <v>-1.8526968938945492</v>
      </c>
      <c r="V160" s="383">
        <f t="shared" si="58"/>
        <v>59.766236569945868</v>
      </c>
      <c r="W160" s="402">
        <f t="shared" si="59"/>
        <v>24.265756823223494</v>
      </c>
      <c r="X160" s="157">
        <f t="shared" si="60"/>
        <v>45803</v>
      </c>
      <c r="Y160" s="385">
        <f t="shared" si="61"/>
        <v>22.971799679502482</v>
      </c>
      <c r="Z160" s="385">
        <f t="shared" si="62"/>
        <v>24.288138460642369</v>
      </c>
      <c r="AA160" s="386">
        <f t="shared" si="63"/>
        <v>25.857805565977547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6.0703801849313524E-2</v>
      </c>
      <c r="AD160" s="231">
        <f>(INDEX(Models!$BJ160:$BT160,,AH160)*(1-AF160)+INDEX(Models!$BJ160:$BT160,,AH160+1)*AF160-ERP_i)*AE160*Ramure*Pc/MaxiM</f>
        <v>3.6727050250636611E-4</v>
      </c>
      <c r="AE160" s="305">
        <f t="shared" si="65"/>
        <v>0.5</v>
      </c>
      <c r="AF160" s="177">
        <f t="shared" si="66"/>
        <v>0.67229067247942975</v>
      </c>
      <c r="AG160" s="811">
        <f t="shared" si="74"/>
        <v>1</v>
      </c>
      <c r="AH160" s="176">
        <f t="shared" si="67"/>
        <v>7</v>
      </c>
      <c r="AI160" s="225">
        <f t="shared" si="68"/>
        <v>1.6722906724794298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45.136411505870562</v>
      </c>
      <c r="C161" s="841"/>
      <c r="D161" s="393">
        <f t="shared" si="50"/>
        <v>47.723880558993109</v>
      </c>
      <c r="E161" s="385">
        <f t="shared" si="72"/>
        <v>48.106679493636868</v>
      </c>
      <c r="F161" s="385">
        <f t="shared" si="51"/>
        <v>48.106938927190228</v>
      </c>
      <c r="G161" s="110">
        <f t="shared" si="73"/>
        <v>0.75505716396837552</v>
      </c>
      <c r="H161" s="414" t="b">
        <f>Wh_hp&gt;='2024'!Maxi_hp</f>
        <v>0</v>
      </c>
      <c r="I161" s="390">
        <f>IF(H161,Wh_hp,'2024'!Maxi_hp)</f>
        <v>62.096546618278133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5.4217490757569209E-2</v>
      </c>
      <c r="M161" s="845"/>
      <c r="N161" s="845"/>
      <c r="O161" s="48">
        <f>IF(t&lt;Tnet,'2024'!Resal+('2024'!Salim-'2024'!Resal)*(1-EXP(('2024'!Tnet-t)/('2024'!Tau_j))),Resal+(Salim-Resal)*(1-EXP((Tnet-t)/(Tau_j))))*Salcycl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8.295611654627947E-6</v>
      </c>
      <c r="Q161" s="305">
        <f t="shared" si="53"/>
        <v>0.5</v>
      </c>
      <c r="R161" s="177">
        <f t="shared" si="54"/>
        <v>0.15201775349642666</v>
      </c>
      <c r="S161" s="811">
        <f t="shared" si="55"/>
        <v>-2</v>
      </c>
      <c r="T161" s="176">
        <f t="shared" si="56"/>
        <v>4</v>
      </c>
      <c r="U161" s="251">
        <f t="shared" si="57"/>
        <v>-1.8479822465035733</v>
      </c>
      <c r="V161" s="383">
        <f t="shared" si="58"/>
        <v>59.778626889307581</v>
      </c>
      <c r="W161" s="402">
        <f t="shared" si="59"/>
        <v>45.136411505870562</v>
      </c>
      <c r="X161" s="157">
        <f t="shared" si="60"/>
        <v>45804</v>
      </c>
      <c r="Y161" s="385">
        <f t="shared" si="61"/>
        <v>42.722649712758908</v>
      </c>
      <c r="Z161" s="385">
        <f t="shared" si="62"/>
        <v>45.171748573548513</v>
      </c>
      <c r="AA161" s="386">
        <f t="shared" si="63"/>
        <v>48.095712425677576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6.0794688438131989E-2</v>
      </c>
      <c r="AD161" s="231">
        <f>(INDEX(Models!$BJ161:$BT161,,AH161)*(1-AF161)+INDEX(Models!$BJ161:$BT161,,AH161+1)*AF161-ERP_i)*AE161*Ramure*Pc/MaxiM</f>
        <v>3.5897706978959415E-4</v>
      </c>
      <c r="AE161" s="305">
        <f t="shared" si="65"/>
        <v>0.5</v>
      </c>
      <c r="AF161" s="177">
        <f t="shared" si="66"/>
        <v>0.67700531987040558</v>
      </c>
      <c r="AG161" s="811">
        <f t="shared" si="74"/>
        <v>1</v>
      </c>
      <c r="AH161" s="176">
        <f t="shared" si="67"/>
        <v>7</v>
      </c>
      <c r="AI161" s="225">
        <f t="shared" si="68"/>
        <v>1.6770053198704056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54.384510930886314</v>
      </c>
      <c r="C162" s="841"/>
      <c r="D162" s="393">
        <f t="shared" si="50"/>
        <v>57.503391726817526</v>
      </c>
      <c r="E162" s="385">
        <f t="shared" si="72"/>
        <v>57.970964294993209</v>
      </c>
      <c r="F162" s="385">
        <f t="shared" si="51"/>
        <v>57.971370453845836</v>
      </c>
      <c r="G162" s="110">
        <f t="shared" si="73"/>
        <v>0.909614516675326</v>
      </c>
      <c r="H162" s="414" t="b">
        <f>Wh_hp&gt;='2024'!Maxi_hp</f>
        <v>0</v>
      </c>
      <c r="I162" s="390">
        <f>IF(H162,Wh_hp,'2024'!Maxi_hp)</f>
        <v>61.293375317013549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5.4238205821808494E-2</v>
      </c>
      <c r="M162" s="845"/>
      <c r="N162" s="845"/>
      <c r="O162" s="48">
        <f>IF(t&lt;Tnet,'2024'!Resal+('2024'!Salim-'2024'!Resal)*(1-EXP(('2024'!Tnet-t)/('2024'!Tau_j))),Resal+(Salim-Resal)*(1-EXP((Tnet-t)/(Tau_j))))*Salcycl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8.0449698875077342E-6</v>
      </c>
      <c r="Q162" s="305">
        <f t="shared" si="53"/>
        <v>0.5</v>
      </c>
      <c r="R162" s="177">
        <f t="shared" si="54"/>
        <v>0.15678695587796909</v>
      </c>
      <c r="S162" s="811">
        <f t="shared" si="55"/>
        <v>-2</v>
      </c>
      <c r="T162" s="176">
        <f t="shared" si="56"/>
        <v>4</v>
      </c>
      <c r="U162" s="251">
        <f t="shared" si="57"/>
        <v>-1.8432130441220309</v>
      </c>
      <c r="V162" s="383">
        <f t="shared" si="58"/>
        <v>59.78846361876721</v>
      </c>
      <c r="W162" s="402">
        <f t="shared" si="59"/>
        <v>54.384510930886314</v>
      </c>
      <c r="X162" s="157">
        <f t="shared" si="60"/>
        <v>45805</v>
      </c>
      <c r="Y162" s="385">
        <f t="shared" si="61"/>
        <v>51.473333026335013</v>
      </c>
      <c r="Z162" s="385">
        <f t="shared" si="62"/>
        <v>54.425261565003431</v>
      </c>
      <c r="AA162" s="386">
        <f t="shared" si="63"/>
        <v>57.953806531540486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6.0885473754285685E-2</v>
      </c>
      <c r="AD162" s="231">
        <f>(INDEX(Models!$BJ162:$BT162,,AH162)*(1-AF162)+INDEX(Models!$BJ162:$BT162,,AH162+1)*AF162-ERP_i)*AE162*Ramure*Pc/MaxiM</f>
        <v>3.478964576007116E-4</v>
      </c>
      <c r="AE162" s="305">
        <f t="shared" si="65"/>
        <v>0.5</v>
      </c>
      <c r="AF162" s="177">
        <f t="shared" si="66"/>
        <v>0.68177452225194801</v>
      </c>
      <c r="AG162" s="811">
        <f t="shared" si="74"/>
        <v>1</v>
      </c>
      <c r="AH162" s="176">
        <f t="shared" si="67"/>
        <v>7</v>
      </c>
      <c r="AI162" s="225">
        <f t="shared" si="68"/>
        <v>1.681774522251948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58.615178358966403</v>
      </c>
      <c r="C163" s="841"/>
      <c r="D163" s="393">
        <f t="shared" si="50"/>
        <v>61.978039894134298</v>
      </c>
      <c r="E163" s="385">
        <f t="shared" si="72"/>
        <v>62.488822845932361</v>
      </c>
      <c r="F163" s="385">
        <f t="shared" si="51"/>
        <v>62.489291504318835</v>
      </c>
      <c r="G163" s="110">
        <f t="shared" si="73"/>
        <v>0.98025778201284686</v>
      </c>
      <c r="H163" s="414" t="b">
        <f>Wh_hp&gt;='2024'!Maxi_hp</f>
        <v>1</v>
      </c>
      <c r="I163" s="390">
        <f>IF(H163,Wh_hp,'2024'!Maxi_hp)</f>
        <v>62.489291504318835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5.4258920432334601E-2</v>
      </c>
      <c r="M163" s="845"/>
      <c r="N163" s="845"/>
      <c r="O163" s="48">
        <f>IF(t&lt;Tnet,'2024'!Resal+('2024'!Salim-'2024'!Resal)*(1-EXP(('2024'!Tnet-t)/('2024'!Tau_j))),Resal+(Salim-Resal)*(1-EXP((Tnet-t)/(Tau_j))))*Salcycl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7.717474040888951E-6</v>
      </c>
      <c r="Q163" s="305">
        <f t="shared" si="53"/>
        <v>0.5</v>
      </c>
      <c r="R163" s="177">
        <f t="shared" si="54"/>
        <v>0.16160757070919107</v>
      </c>
      <c r="S163" s="811">
        <f t="shared" si="55"/>
        <v>-2</v>
      </c>
      <c r="T163" s="176">
        <f t="shared" si="56"/>
        <v>4</v>
      </c>
      <c r="U163" s="251">
        <f t="shared" si="57"/>
        <v>-1.8383924292908089</v>
      </c>
      <c r="V163" s="383">
        <f t="shared" si="58"/>
        <v>59.795664647142345</v>
      </c>
      <c r="W163" s="402">
        <f t="shared" si="59"/>
        <v>58.615178358966403</v>
      </c>
      <c r="X163" s="157">
        <f t="shared" si="60"/>
        <v>45806</v>
      </c>
      <c r="Y163" s="385">
        <f t="shared" si="61"/>
        <v>55.477071947433025</v>
      </c>
      <c r="Z163" s="385">
        <f t="shared" si="62"/>
        <v>58.65989449542969</v>
      </c>
      <c r="AA163" s="386">
        <f t="shared" si="63"/>
        <v>62.469011518055744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6.0976105273013448E-2</v>
      </c>
      <c r="AD163" s="231">
        <f>(INDEX(Models!$BJ163:$BT163,,AH163)*(1-AF163)+INDEX(Models!$BJ163:$BT163,,AH163+1)*AF163-ERP_i)*AE163*Ramure*Pc/MaxiM</f>
        <v>3.3395383941473488E-4</v>
      </c>
      <c r="AE163" s="305">
        <f t="shared" si="65"/>
        <v>0.5</v>
      </c>
      <c r="AF163" s="177">
        <f t="shared" si="66"/>
        <v>0.68659513708316999</v>
      </c>
      <c r="AG163" s="811">
        <f t="shared" si="74"/>
        <v>1</v>
      </c>
      <c r="AH163" s="176">
        <f t="shared" si="67"/>
        <v>7</v>
      </c>
      <c r="AI163" s="225">
        <f t="shared" si="68"/>
        <v>1.68659513708317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49.914357428084813</v>
      </c>
      <c r="C164" s="841"/>
      <c r="D164" s="393">
        <f t="shared" si="50"/>
        <v>52.77919272299998</v>
      </c>
      <c r="E164" s="385">
        <f t="shared" si="72"/>
        <v>53.219979241610787</v>
      </c>
      <c r="F164" s="385">
        <f t="shared" si="51"/>
        <v>53.220277699802544</v>
      </c>
      <c r="G164" s="110">
        <f t="shared" si="73"/>
        <v>0.83468757895529522</v>
      </c>
      <c r="H164" s="414" t="b">
        <f>Wh_hp&gt;='2024'!Maxi_hp</f>
        <v>0</v>
      </c>
      <c r="I164" s="390">
        <f>IF(H164,Wh_hp,'2024'!Maxi_hp)</f>
        <v>57.223999787813696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5.4279634589157633E-2</v>
      </c>
      <c r="M164" s="845"/>
      <c r="N164" s="845"/>
      <c r="O164" s="48">
        <f>IF(t&lt;Tnet,'2024'!Resal+('2024'!Salim-'2024'!Resal)*(1-EXP(('2024'!Tnet-t)/('2024'!Tau_j))),Resal+(Salim-Resal)*(1-EXP((Tnet-t)/(Tau_j))))*Salcycl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7.3418099179424919E-6</v>
      </c>
      <c r="Q164" s="305">
        <f t="shared" si="53"/>
        <v>0.5</v>
      </c>
      <c r="R164" s="177">
        <f t="shared" si="54"/>
        <v>0.16647629964927857</v>
      </c>
      <c r="S164" s="811">
        <f t="shared" si="55"/>
        <v>-2</v>
      </c>
      <c r="T164" s="176">
        <f t="shared" si="56"/>
        <v>4</v>
      </c>
      <c r="U164" s="251">
        <f t="shared" si="57"/>
        <v>-1.8335237003507214</v>
      </c>
      <c r="V164" s="383">
        <f t="shared" si="58"/>
        <v>59.799944485826842</v>
      </c>
      <c r="W164" s="402">
        <f t="shared" si="59"/>
        <v>49.914357428084813</v>
      </c>
      <c r="X164" s="157">
        <f t="shared" si="60"/>
        <v>45807</v>
      </c>
      <c r="Y164" s="385">
        <f t="shared" si="61"/>
        <v>47.246450915967621</v>
      </c>
      <c r="Z164" s="385">
        <f t="shared" si="62"/>
        <v>49.958161676514912</v>
      </c>
      <c r="AA164" s="386">
        <f t="shared" si="63"/>
        <v>53.207349920350062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6.106653025755085E-2</v>
      </c>
      <c r="AD164" s="231">
        <f>(INDEX(Models!$BJ164:$BT164,,AH164)*(1-AF164)+INDEX(Models!$BJ164:$BT164,,AH164+1)*AF164-ERP_i)*AE164*Ramure*Pc/MaxiM</f>
        <v>3.1801204330009144E-4</v>
      </c>
      <c r="AE164" s="305">
        <f t="shared" si="65"/>
        <v>0.5</v>
      </c>
      <c r="AF164" s="177">
        <f t="shared" si="66"/>
        <v>0.69146386602325749</v>
      </c>
      <c r="AG164" s="811">
        <f t="shared" si="74"/>
        <v>1</v>
      </c>
      <c r="AH164" s="176">
        <f t="shared" si="67"/>
        <v>7</v>
      </c>
      <c r="AI164" s="225">
        <f t="shared" si="68"/>
        <v>1.6914638660232575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53.007529556916801</v>
      </c>
      <c r="C165" s="841"/>
      <c r="D165" s="393">
        <f t="shared" si="50"/>
        <v>56.05112517615671</v>
      </c>
      <c r="E165" s="385">
        <f t="shared" si="72"/>
        <v>56.525413509068031</v>
      </c>
      <c r="F165" s="385">
        <f t="shared" si="51"/>
        <v>56.525744111751983</v>
      </c>
      <c r="G165" s="110">
        <f t="shared" si="73"/>
        <v>0.88639474183884592</v>
      </c>
      <c r="H165" s="414" t="b">
        <f>Wh_hp&gt;='2024'!Maxi_hp</f>
        <v>0</v>
      </c>
      <c r="I165" s="390">
        <f>IF(H165,Wh_hp,'2024'!Maxi_hp)</f>
        <v>63.126585406149495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5.430034829228747E-2</v>
      </c>
      <c r="M165" s="845"/>
      <c r="N165" s="845"/>
      <c r="O165" s="48">
        <f>IF(t&lt;Tnet,'2024'!Resal+('2024'!Salim-'2024'!Resal)*(1-EXP(('2024'!Tnet-t)/('2024'!Tau_j))),Resal+(Salim-Resal)*(1-EXP((Tnet-t)/(Tau_j))))*Salcycl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6.981798581305438E-6</v>
      </c>
      <c r="Q165" s="305">
        <f t="shared" si="53"/>
        <v>0.5</v>
      </c>
      <c r="R165" s="177">
        <f t="shared" si="54"/>
        <v>0.17138969619890521</v>
      </c>
      <c r="S165" s="811">
        <f t="shared" si="55"/>
        <v>-2</v>
      </c>
      <c r="T165" s="176">
        <f t="shared" si="56"/>
        <v>4</v>
      </c>
      <c r="U165" s="251">
        <f t="shared" si="57"/>
        <v>-1.8286103038010948</v>
      </c>
      <c r="V165" s="383">
        <f t="shared" si="58"/>
        <v>59.801200291839514</v>
      </c>
      <c r="W165" s="402">
        <f t="shared" si="59"/>
        <v>53.007529556916801</v>
      </c>
      <c r="X165" s="157">
        <f t="shared" si="60"/>
        <v>45808</v>
      </c>
      <c r="Y165" s="385">
        <f t="shared" si="61"/>
        <v>50.174464995752629</v>
      </c>
      <c r="Z165" s="385">
        <f t="shared" si="62"/>
        <v>53.055391217654858</v>
      </c>
      <c r="AA165" s="386">
        <f t="shared" si="63"/>
        <v>56.511444442952772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6.1156695946548253E-2</v>
      </c>
      <c r="AD165" s="231">
        <f>(INDEX(Models!$BJ165:$BT165,,AH165)*(1-AF165)+INDEX(Models!$BJ165:$BT165,,AH165+1)*AF165-ERP_i)*AE165*Ramure*Pc/MaxiM</f>
        <v>3.019860762823413E-4</v>
      </c>
      <c r="AE165" s="305">
        <f t="shared" si="65"/>
        <v>0.5</v>
      </c>
      <c r="AF165" s="177">
        <f t="shared" si="66"/>
        <v>0.69637726257288413</v>
      </c>
      <c r="AG165" s="811">
        <f t="shared" si="74"/>
        <v>1</v>
      </c>
      <c r="AH165" s="176">
        <f t="shared" si="67"/>
        <v>7</v>
      </c>
      <c r="AI165" s="225">
        <f t="shared" si="68"/>
        <v>1.6963772625728841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55.377333054061346</v>
      </c>
      <c r="C166" s="841"/>
      <c r="D166" s="393">
        <f t="shared" si="50"/>
        <v>58.558281042340475</v>
      </c>
      <c r="E166" s="385">
        <f t="shared" si="72"/>
        <v>59.060237423348838</v>
      </c>
      <c r="F166" s="385">
        <f t="shared" si="51"/>
        <v>59.060588268347026</v>
      </c>
      <c r="G166" s="110">
        <f t="shared" si="73"/>
        <v>0.92605204064400237</v>
      </c>
      <c r="H166" s="414" t="b">
        <f>Wh_hp&gt;='2024'!Maxi_hp</f>
        <v>0</v>
      </c>
      <c r="I166" s="390">
        <f>IF(H166,Wh_hp,'2024'!Maxi_hp)</f>
        <v>64.729267905613341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5.4321061541733995E-2</v>
      </c>
      <c r="M166" s="845"/>
      <c r="N166" s="845"/>
      <c r="O166" s="48">
        <f>IF(t&lt;Tnet,'2024'!Resal+('2024'!Salim-'2024'!Resal)*(1-EXP(('2024'!Tnet-t)/('2024'!Tau_j))),Resal+(Salim-Resal)*(1-EXP((Tnet-t)/(Tau_j))))*Salcycl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6.6420887579807787E-6</v>
      </c>
      <c r="Q166" s="305">
        <f t="shared" si="53"/>
        <v>0.5</v>
      </c>
      <c r="R166" s="177">
        <f t="shared" si="54"/>
        <v>0.1763441742759877</v>
      </c>
      <c r="S166" s="811">
        <f t="shared" si="55"/>
        <v>-2</v>
      </c>
      <c r="T166" s="176">
        <f t="shared" si="56"/>
        <v>4</v>
      </c>
      <c r="U166" s="251">
        <f t="shared" si="57"/>
        <v>-1.8236558257240123</v>
      </c>
      <c r="V166" s="383">
        <f t="shared" si="58"/>
        <v>59.799332831289824</v>
      </c>
      <c r="W166" s="402">
        <f t="shared" si="59"/>
        <v>55.377333054061346</v>
      </c>
      <c r="X166" s="157">
        <f t="shared" si="60"/>
        <v>45809</v>
      </c>
      <c r="Y166" s="385">
        <f t="shared" si="61"/>
        <v>52.418185657091449</v>
      </c>
      <c r="Z166" s="385">
        <f t="shared" si="62"/>
        <v>55.42915626581307</v>
      </c>
      <c r="AA166" s="386">
        <f t="shared" si="63"/>
        <v>59.045488728491812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6.1246549745869336E-2</v>
      </c>
      <c r="AD166" s="231">
        <f>(INDEX(Models!$BJ166:$BT166,,AH166)*(1-AF166)+INDEX(Models!$BJ166:$BT166,,AH166+1)*AF166-ERP_i)*AE166*Ramure*Pc/MaxiM</f>
        <v>2.8585980829745969E-4</v>
      </c>
      <c r="AE166" s="305">
        <f t="shared" si="65"/>
        <v>0.5</v>
      </c>
      <c r="AF166" s="177">
        <f t="shared" si="66"/>
        <v>0.70133174064996662</v>
      </c>
      <c r="AG166" s="811">
        <f t="shared" si="74"/>
        <v>1</v>
      </c>
      <c r="AH166" s="176">
        <f t="shared" si="67"/>
        <v>7</v>
      </c>
      <c r="AI166" s="225">
        <f t="shared" si="68"/>
        <v>1.7013317406499666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44.485145791172208</v>
      </c>
      <c r="C167" s="841"/>
      <c r="D167" s="393">
        <f t="shared" si="50"/>
        <v>47.041462321133601</v>
      </c>
      <c r="E167" s="385">
        <f t="shared" si="72"/>
        <v>47.449881787684362</v>
      </c>
      <c r="F167" s="385">
        <f t="shared" si="51"/>
        <v>47.450072215010856</v>
      </c>
      <c r="G167" s="110">
        <f t="shared" si="73"/>
        <v>0.74396866085671898</v>
      </c>
      <c r="H167" s="414" t="b">
        <f>Wh_hp&gt;='2024'!Maxi_hp</f>
        <v>0</v>
      </c>
      <c r="I167" s="390">
        <f>IF(H167,Wh_hp,'2024'!Maxi_hp)</f>
        <v>63.739845271535835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5.4341774337507309E-2</v>
      </c>
      <c r="M167" s="845"/>
      <c r="N167" s="845"/>
      <c r="O167" s="48">
        <f>IF(t&lt;Tnet,'2024'!Resal+('2024'!Salim-'2024'!Resal)*(1-EXP(('2024'!Tnet-t)/('2024'!Tau_j))),Resal+(Salim-Resal)*(1-EXP((Tnet-t)/(Tau_j))))*Salcycl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6.3275623496184737E-6</v>
      </c>
      <c r="Q167" s="305">
        <f t="shared" si="53"/>
        <v>0.5</v>
      </c>
      <c r="R167" s="177">
        <f t="shared" si="54"/>
        <v>0.1813360176904002</v>
      </c>
      <c r="S167" s="811">
        <f t="shared" si="55"/>
        <v>-2</v>
      </c>
      <c r="T167" s="176">
        <f t="shared" si="56"/>
        <v>4</v>
      </c>
      <c r="U167" s="251">
        <f t="shared" si="57"/>
        <v>-1.8186639823095998</v>
      </c>
      <c r="V167" s="383">
        <f t="shared" si="58"/>
        <v>59.794242926091499</v>
      </c>
      <c r="W167" s="402">
        <f t="shared" si="59"/>
        <v>44.485145791172208</v>
      </c>
      <c r="X167" s="157">
        <f t="shared" si="60"/>
        <v>45810</v>
      </c>
      <c r="Y167" s="385">
        <f t="shared" si="61"/>
        <v>42.112105355676604</v>
      </c>
      <c r="Z167" s="385">
        <f t="shared" si="62"/>
        <v>44.532056310486212</v>
      </c>
      <c r="AA167" s="386">
        <f t="shared" si="63"/>
        <v>47.441958124334704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6.1336039423632083E-2</v>
      </c>
      <c r="AD167" s="231">
        <f>(INDEX(Models!$BJ167:$BT167,,AH167)*(1-AF167)+INDEX(Models!$BJ167:$BT167,,AH167+1)*AF167-ERP_i)*AE167*Ramure*Pc/MaxiM</f>
        <v>2.6961684338133127E-4</v>
      </c>
      <c r="AE167" s="305">
        <f t="shared" si="65"/>
        <v>0.5</v>
      </c>
      <c r="AF167" s="177">
        <f t="shared" si="66"/>
        <v>0.70632358406437912</v>
      </c>
      <c r="AG167" s="811">
        <f t="shared" si="74"/>
        <v>1</v>
      </c>
      <c r="AH167" s="176">
        <f t="shared" si="67"/>
        <v>7</v>
      </c>
      <c r="AI167" s="225">
        <f t="shared" si="68"/>
        <v>1.7063235840643791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54.212930250618477</v>
      </c>
      <c r="C168" s="841"/>
      <c r="D168" s="393">
        <f t="shared" si="50"/>
        <v>57.329504685429171</v>
      </c>
      <c r="E168" s="385">
        <f t="shared" si="72"/>
        <v>57.833563852436924</v>
      </c>
      <c r="F168" s="385">
        <f t="shared" si="51"/>
        <v>57.833866819527671</v>
      </c>
      <c r="G168" s="110">
        <f t="shared" si="73"/>
        <v>0.90678485699268563</v>
      </c>
      <c r="H168" s="414" t="b">
        <f>Wh_hp&gt;='2024'!Maxi_hp</f>
        <v>1</v>
      </c>
      <c r="I168" s="390">
        <f>IF(H168,Wh_hp,'2024'!Maxi_hp)</f>
        <v>57.833866819527671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5.4362486679617184E-2</v>
      </c>
      <c r="M168" s="845"/>
      <c r="N168" s="845"/>
      <c r="O168" s="48">
        <f>IF(t&lt;Tnet,'2024'!Resal+('2024'!Salim-'2024'!Resal)*(1-EXP(('2024'!Tnet-t)/('2024'!Tau_j))),Resal+(Salim-Resal)*(1-EXP((Tnet-t)/(Tau_j))))*Salcycl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6.0433258253768231E-6</v>
      </c>
      <c r="Q168" s="305">
        <f t="shared" si="53"/>
        <v>0.5</v>
      </c>
      <c r="R168" s="177">
        <f t="shared" si="54"/>
        <v>0.18636139047267219</v>
      </c>
      <c r="S168" s="811">
        <f t="shared" si="55"/>
        <v>-2</v>
      </c>
      <c r="T168" s="176">
        <f t="shared" si="56"/>
        <v>4</v>
      </c>
      <c r="U168" s="251">
        <f t="shared" si="57"/>
        <v>-1.8136386095273278</v>
      </c>
      <c r="V168" s="383">
        <f t="shared" si="58"/>
        <v>59.785831451049596</v>
      </c>
      <c r="W168" s="402">
        <f t="shared" si="59"/>
        <v>54.212930250618477</v>
      </c>
      <c r="X168" s="157">
        <f t="shared" si="60"/>
        <v>45811</v>
      </c>
      <c r="Y168" s="385">
        <f t="shared" si="61"/>
        <v>51.319274310777509</v>
      </c>
      <c r="Z168" s="385">
        <f t="shared" si="62"/>
        <v>54.269499240339989</v>
      </c>
      <c r="AA168" s="386">
        <f t="shared" si="63"/>
        <v>57.821171235011228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6.1425113307297947E-2</v>
      </c>
      <c r="AD168" s="231">
        <f>(INDEX(Models!$BJ168:$BT168,,AH168)*(1-AF168)+INDEX(Models!$BJ168:$BT168,,AH168+1)*AF168-ERP_i)*AE168*Ramure*Pc/MaxiM</f>
        <v>2.5324055358062856E-4</v>
      </c>
      <c r="AE168" s="305">
        <f t="shared" si="65"/>
        <v>0.5</v>
      </c>
      <c r="AF168" s="177">
        <f t="shared" si="66"/>
        <v>0.71134895684665089</v>
      </c>
      <c r="AG168" s="811">
        <f t="shared" si="74"/>
        <v>1</v>
      </c>
      <c r="AH168" s="176">
        <f t="shared" si="67"/>
        <v>7</v>
      </c>
      <c r="AI168" s="225">
        <f t="shared" si="68"/>
        <v>1.7113489568466509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24.480930415968771</v>
      </c>
      <c r="C169" s="841"/>
      <c r="D169" s="393">
        <f t="shared" si="50"/>
        <v>25.888848822163318</v>
      </c>
      <c r="E169" s="385">
        <f t="shared" si="72"/>
        <v>26.1193243446228</v>
      </c>
      <c r="F169" s="385">
        <f t="shared" si="51"/>
        <v>26.119348033259559</v>
      </c>
      <c r="G169" s="110">
        <f t="shared" si="73"/>
        <v>0.40955617879526013</v>
      </c>
      <c r="H169" s="414" t="b">
        <f>Wh_hp&gt;='2024'!Maxi_hp</f>
        <v>0</v>
      </c>
      <c r="I169" s="390">
        <f>IF(H169,Wh_hp,'2024'!Maxi_hp)</f>
        <v>59.953702782585943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5.438319856807361E-2</v>
      </c>
      <c r="M169" s="845"/>
      <c r="N169" s="845"/>
      <c r="O169" s="48">
        <f>IF(t&lt;Tnet,'2024'!Resal+('2024'!Salim-'2024'!Resal)*(1-EXP(('2024'!Tnet-t)/('2024'!Tau_j))),Resal+(Salim-Resal)*(1-EXP((Tnet-t)/(Tau_j))))*Salcycl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5.7947001054622678E-6</v>
      </c>
      <c r="Q169" s="305">
        <f t="shared" si="53"/>
        <v>0.5</v>
      </c>
      <c r="R169" s="177">
        <f t="shared" si="54"/>
        <v>0.19141634800233187</v>
      </c>
      <c r="S169" s="811">
        <f t="shared" si="55"/>
        <v>-2</v>
      </c>
      <c r="T169" s="176">
        <f t="shared" si="56"/>
        <v>4</v>
      </c>
      <c r="U169" s="251">
        <f t="shared" si="57"/>
        <v>-1.8085836519976681</v>
      </c>
      <c r="V169" s="383">
        <f t="shared" si="58"/>
        <v>59.773999334878553</v>
      </c>
      <c r="W169" s="402">
        <f t="shared" si="59"/>
        <v>24.480930415968771</v>
      </c>
      <c r="X169" s="157">
        <f t="shared" si="60"/>
        <v>45812</v>
      </c>
      <c r="Y169" s="385">
        <f t="shared" si="61"/>
        <v>23.178714690882074</v>
      </c>
      <c r="Z169" s="385">
        <f t="shared" si="62"/>
        <v>24.511741601654144</v>
      </c>
      <c r="AA169" s="386">
        <f t="shared" si="63"/>
        <v>26.118380349931115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6.1513720481569174E-2</v>
      </c>
      <c r="AD169" s="231">
        <f>(INDEX(Models!$BJ169:$BT169,,AH169)*(1-AF169)+INDEX(Models!$BJ169:$BT169,,AH169+1)*AF169-ERP_i)*AE169*Ramure*Pc/MaxiM</f>
        <v>2.3671411497739179E-4</v>
      </c>
      <c r="AE169" s="305">
        <f t="shared" si="65"/>
        <v>0.5</v>
      </c>
      <c r="AF169" s="177">
        <f t="shared" si="66"/>
        <v>0.71640391437631079</v>
      </c>
      <c r="AG169" s="811">
        <f t="shared" si="74"/>
        <v>1</v>
      </c>
      <c r="AH169" s="176">
        <f t="shared" si="67"/>
        <v>7</v>
      </c>
      <c r="AI169" s="225">
        <f t="shared" si="68"/>
        <v>1.7164039143763108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33.770462697309107</v>
      </c>
      <c r="C170" s="841"/>
      <c r="D170" s="393">
        <f t="shared" si="50"/>
        <v>35.713411946756459</v>
      </c>
      <c r="E170" s="385">
        <f t="shared" ref="E170:E232" si="75">Wh_pvt/(1-Psa)</f>
        <v>36.035284852849308</v>
      </c>
      <c r="F170" s="385">
        <f t="shared" si="51"/>
        <v>36.035361171245491</v>
      </c>
      <c r="G170" s="110">
        <f t="shared" ref="G170:G232" si="76">+Wh_hp/MaxiM</f>
        <v>0.565112279442187</v>
      </c>
      <c r="H170" s="414" t="b">
        <f>Wh_hp&gt;='2024'!Maxi_hp</f>
        <v>0</v>
      </c>
      <c r="I170" s="390">
        <f>IF(H170,Wh_hp,'2024'!Maxi_hp)</f>
        <v>43.180770881481472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5.4403910002886469E-2</v>
      </c>
      <c r="M170" s="845"/>
      <c r="N170" s="845"/>
      <c r="O170" s="48">
        <f>IF(t&lt;Tnet,'2024'!Resal+('2024'!Salim-'2024'!Resal)*(1-EXP(('2024'!Tnet-t)/('2024'!Tau_j))),Resal+(Salim-Resal)*(1-EXP((Tnet-t)/(Tau_j))))*Salcycl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5.5919764791454228E-6</v>
      </c>
      <c r="Q170" s="305">
        <f t="shared" si="53"/>
        <v>0.5</v>
      </c>
      <c r="R170" s="177">
        <f t="shared" si="54"/>
        <v>0.19649684887260377</v>
      </c>
      <c r="S170" s="811">
        <f t="shared" si="55"/>
        <v>-2</v>
      </c>
      <c r="T170" s="176">
        <f t="shared" si="56"/>
        <v>4</v>
      </c>
      <c r="U170" s="251">
        <f t="shared" si="57"/>
        <v>-1.8035031511273962</v>
      </c>
      <c r="V170" s="383">
        <f t="shared" si="58"/>
        <v>59.758647269858777</v>
      </c>
      <c r="W170" s="402">
        <f t="shared" si="59"/>
        <v>33.770462697309107</v>
      </c>
      <c r="X170" s="157">
        <f t="shared" si="60"/>
        <v>45813</v>
      </c>
      <c r="Y170" s="385">
        <f t="shared" si="61"/>
        <v>31.973148816311074</v>
      </c>
      <c r="Z170" s="385">
        <f t="shared" si="62"/>
        <v>33.812691438274321</v>
      </c>
      <c r="AA170" s="386">
        <f t="shared" si="63"/>
        <v>36.032349416398219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6.160181098581767E-2</v>
      </c>
      <c r="AD170" s="231">
        <f>(INDEX(Models!$BJ170:$BT170,,AH170)*(1-AF170)+INDEX(Models!$BJ170:$BT170,,AH170+1)*AF170-ERP_i)*AE170*Ramure*Pc/MaxiM</f>
        <v>2.2067631279150044E-4</v>
      </c>
      <c r="AE170" s="305">
        <f t="shared" si="65"/>
        <v>0.5</v>
      </c>
      <c r="AF170" s="177">
        <f t="shared" si="66"/>
        <v>0.72148441524658269</v>
      </c>
      <c r="AG170" s="811">
        <f t="shared" si="74"/>
        <v>1</v>
      </c>
      <c r="AH170" s="176">
        <f t="shared" si="67"/>
        <v>7</v>
      </c>
      <c r="AI170" s="225">
        <f t="shared" si="68"/>
        <v>1.7214844152465827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47.560732241674238</v>
      </c>
      <c r="C171" s="841"/>
      <c r="D171" s="393">
        <f t="shared" si="50"/>
        <v>50.298192293427704</v>
      </c>
      <c r="E171" s="385">
        <f t="shared" si="75"/>
        <v>50.757051997677934</v>
      </c>
      <c r="F171" s="385">
        <f t="shared" si="51"/>
        <v>50.757246809000819</v>
      </c>
      <c r="G171" s="110">
        <f t="shared" si="76"/>
        <v>0.79613180003408446</v>
      </c>
      <c r="H171" s="414" t="b">
        <f>Wh_hp&gt;='2024'!Maxi_hp</f>
        <v>0</v>
      </c>
      <c r="I171" s="390">
        <f>IF(H171,Wh_hp,'2024'!Maxi_hp)</f>
        <v>62.343880742671914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5.4424620984065863E-2</v>
      </c>
      <c r="M171" s="845"/>
      <c r="N171" s="845"/>
      <c r="O171" s="48">
        <f>IF(t&lt;Tnet,'2024'!Resal+('2024'!Salim-'2024'!Resal)*(1-EXP(('2024'!Tnet-t)/('2024'!Tau_j))),Resal+(Salim-Resal)*(1-EXP((Tnet-t)/(Tau_j))))*Salcycl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5.4152188771976772E-6</v>
      </c>
      <c r="Q171" s="305">
        <f t="shared" si="53"/>
        <v>0.5</v>
      </c>
      <c r="R171" s="177">
        <f t="shared" si="54"/>
        <v>0.2015987674197437</v>
      </c>
      <c r="S171" s="811">
        <f t="shared" si="55"/>
        <v>-2</v>
      </c>
      <c r="T171" s="176">
        <f t="shared" si="56"/>
        <v>4</v>
      </c>
      <c r="U171" s="251">
        <f t="shared" si="57"/>
        <v>-1.7984012325802563</v>
      </c>
      <c r="V171" s="383">
        <f t="shared" si="58"/>
        <v>59.739677815104976</v>
      </c>
      <c r="W171" s="402">
        <f t="shared" si="59"/>
        <v>47.560732241674238</v>
      </c>
      <c r="X171" s="157">
        <f t="shared" si="60"/>
        <v>45814</v>
      </c>
      <c r="Y171" s="385">
        <f t="shared" si="61"/>
        <v>45.02746139480243</v>
      </c>
      <c r="Z171" s="385">
        <f t="shared" si="62"/>
        <v>47.619113604314414</v>
      </c>
      <c r="AA171" s="386">
        <f t="shared" si="63"/>
        <v>50.749837374553103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6.1689336009744411E-2</v>
      </c>
      <c r="AD171" s="231">
        <f>(INDEX(Models!$BJ171:$BT171,,AH171)*(1-AF171)+INDEX(Models!$BJ171:$BT171,,AH171+1)*AF171-ERP_i)*AE171*Ramure*Pc/MaxiM</f>
        <v>2.0596189531884253E-4</v>
      </c>
      <c r="AE171" s="305">
        <f t="shared" si="65"/>
        <v>0.5</v>
      </c>
      <c r="AF171" s="177">
        <f t="shared" si="66"/>
        <v>0.72658633379372262</v>
      </c>
      <c r="AG171" s="811">
        <f t="shared" si="74"/>
        <v>1</v>
      </c>
      <c r="AH171" s="176">
        <f t="shared" si="67"/>
        <v>7</v>
      </c>
      <c r="AI171" s="225">
        <f t="shared" si="68"/>
        <v>1.7265863337937226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24.794548331648354</v>
      </c>
      <c r="C172" s="841"/>
      <c r="D172" s="393">
        <f t="shared" si="50"/>
        <v>26.222226126054068</v>
      </c>
      <c r="E172" s="385">
        <f t="shared" si="75"/>
        <v>26.464332471134192</v>
      </c>
      <c r="F172" s="385">
        <f t="shared" si="51"/>
        <v>26.464355416573156</v>
      </c>
      <c r="G172" s="110">
        <f t="shared" si="76"/>
        <v>0.41519906320478894</v>
      </c>
      <c r="H172" s="414" t="b">
        <f>Wh_hp&gt;='2024'!Maxi_hp</f>
        <v>0</v>
      </c>
      <c r="I172" s="390">
        <f>IF(H172,Wh_hp,'2024'!Maxi_hp)</f>
        <v>54.813719171232592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5.4445331511621453E-2</v>
      </c>
      <c r="M172" s="845"/>
      <c r="N172" s="845"/>
      <c r="O172" s="48">
        <f>IF(t&lt;Tnet,'2024'!Resal+('2024'!Salim-'2024'!Resal)*(1-EXP(('2024'!Tnet-t)/('2024'!Tau_j))),Resal+(Salim-Resal)*(1-EXP((Tnet-t)/(Tau_j))))*Salcycl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5.268381951798922E-6</v>
      </c>
      <c r="Q172" s="305">
        <f t="shared" si="53"/>
        <v>0.5</v>
      </c>
      <c r="R172" s="177">
        <f t="shared" si="54"/>
        <v>0.20671790683756974</v>
      </c>
      <c r="S172" s="811">
        <f t="shared" si="55"/>
        <v>-2</v>
      </c>
      <c r="T172" s="176">
        <f t="shared" si="56"/>
        <v>4</v>
      </c>
      <c r="U172" s="251">
        <f t="shared" si="57"/>
        <v>-1.7932820931624303</v>
      </c>
      <c r="V172" s="383">
        <f t="shared" si="58"/>
        <v>59.71699215958121</v>
      </c>
      <c r="W172" s="402">
        <f t="shared" si="59"/>
        <v>24.794548331648354</v>
      </c>
      <c r="X172" s="157">
        <f t="shared" si="60"/>
        <v>45815</v>
      </c>
      <c r="Y172" s="385">
        <f t="shared" si="61"/>
        <v>23.47689299006111</v>
      </c>
      <c r="Z172" s="385">
        <f t="shared" si="62"/>
        <v>24.828699780619459</v>
      </c>
      <c r="AA172" s="386">
        <f t="shared" si="63"/>
        <v>26.463516543859672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6.1776248085953556E-2</v>
      </c>
      <c r="AD172" s="231">
        <f>(INDEX(Models!$BJ172:$BT172,,AH172)*(1-AF172)+INDEX(Models!$BJ172:$BT172,,AH172+1)*AF172-ERP_i)*AE172*Ramure*Pc/MaxiM</f>
        <v>1.9260916604060978E-4</v>
      </c>
      <c r="AE172" s="305">
        <f t="shared" si="65"/>
        <v>0.5</v>
      </c>
      <c r="AF172" s="177">
        <f t="shared" si="66"/>
        <v>0.73170547321154866</v>
      </c>
      <c r="AG172" s="811">
        <f t="shared" si="74"/>
        <v>1</v>
      </c>
      <c r="AH172" s="176">
        <f t="shared" si="67"/>
        <v>7</v>
      </c>
      <c r="AI172" s="225">
        <f t="shared" si="68"/>
        <v>1.7317054732115487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20.270777894417638</v>
      </c>
      <c r="C173" s="841"/>
      <c r="D173" s="393">
        <f t="shared" si="50"/>
        <v>21.438445138881793</v>
      </c>
      <c r="E173" s="385">
        <f t="shared" si="75"/>
        <v>21.638742246279214</v>
      </c>
      <c r="F173" s="385">
        <f t="shared" si="51"/>
        <v>21.638748557058193</v>
      </c>
      <c r="G173" s="110">
        <f t="shared" si="76"/>
        <v>0.33959645458968946</v>
      </c>
      <c r="H173" s="414" t="b">
        <f>Wh_hp&gt;='2024'!Maxi_hp</f>
        <v>0</v>
      </c>
      <c r="I173" s="390">
        <f>IF(H173,Wh_hp,'2024'!Maxi_hp)</f>
        <v>64.469263284236831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5.4466041585563452E-2</v>
      </c>
      <c r="M173" s="845"/>
      <c r="N173" s="845"/>
      <c r="O173" s="48">
        <f>IF(t&lt;Tnet,'2024'!Resal+('2024'!Salim-'2024'!Resal)*(1-EXP(('2024'!Tnet-t)/('2024'!Tau_j))),Resal+(Salim-Resal)*(1-EXP((Tnet-t)/(Tau_j))))*Salcycl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5.1555434579456111E-6</v>
      </c>
      <c r="Q173" s="305">
        <f t="shared" si="53"/>
        <v>0.5</v>
      </c>
      <c r="R173" s="177">
        <f t="shared" si="54"/>
        <v>0.21185001279083626</v>
      </c>
      <c r="S173" s="811">
        <f t="shared" si="55"/>
        <v>-2</v>
      </c>
      <c r="T173" s="176">
        <f t="shared" si="56"/>
        <v>4</v>
      </c>
      <c r="U173" s="251">
        <f t="shared" si="57"/>
        <v>-1.7881499872091637</v>
      </c>
      <c r="V173" s="383">
        <f t="shared" si="58"/>
        <v>59.690491538920028</v>
      </c>
      <c r="W173" s="402">
        <f t="shared" si="59"/>
        <v>20.270777894417638</v>
      </c>
      <c r="X173" s="157">
        <f t="shared" si="60"/>
        <v>45816</v>
      </c>
      <c r="Y173" s="385">
        <f t="shared" si="61"/>
        <v>19.194258029666944</v>
      </c>
      <c r="Z173" s="385">
        <f t="shared" si="62"/>
        <v>20.299913989185271</v>
      </c>
      <c r="AA173" s="386">
        <f t="shared" si="63"/>
        <v>21.638527419319644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6.1862501278123587E-2</v>
      </c>
      <c r="AD173" s="231">
        <f>(INDEX(Models!$BJ173:$BT173,,AH173)*(1-AF173)+INDEX(Models!$BJ173:$BT173,,AH173+1)*AF173-ERP_i)*AE173*Ramure*Pc/MaxiM</f>
        <v>1.8065681352315359E-4</v>
      </c>
      <c r="AE173" s="305">
        <f t="shared" si="65"/>
        <v>0.5</v>
      </c>
      <c r="AF173" s="177">
        <f t="shared" si="66"/>
        <v>0.73683757916481518</v>
      </c>
      <c r="AG173" s="811">
        <f t="shared" si="74"/>
        <v>1</v>
      </c>
      <c r="AH173" s="176">
        <f t="shared" si="67"/>
        <v>7</v>
      </c>
      <c r="AI173" s="225">
        <f t="shared" si="68"/>
        <v>1.7368375791648152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46.322035250472609</v>
      </c>
      <c r="C174" s="841"/>
      <c r="D174" s="393">
        <f t="shared" si="50"/>
        <v>48.991418480440593</v>
      </c>
      <c r="E174" s="385">
        <f t="shared" si="75"/>
        <v>49.454527212718411</v>
      </c>
      <c r="F174" s="385">
        <f t="shared" si="51"/>
        <v>49.454698234403629</v>
      </c>
      <c r="G174" s="110">
        <f t="shared" si="76"/>
        <v>0.77643144678874765</v>
      </c>
      <c r="H174" s="414" t="b">
        <f>Wh_hp&gt;='2024'!Maxi_hp</f>
        <v>0</v>
      </c>
      <c r="I174" s="390">
        <f>IF(H174,Wh_hp,'2024'!Maxi_hp)</f>
        <v>60.601331416290115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5.448675120590174E-2</v>
      </c>
      <c r="M174" s="845"/>
      <c r="N174" s="845"/>
      <c r="O174" s="48">
        <f>IF(t&lt;Tnet,'2024'!Resal+('2024'!Salim-'2024'!Resal)*(1-EXP(('2024'!Tnet-t)/('2024'!Tau_j))),Resal+(Salim-Resal)*(1-EXP((Tnet-t)/(Tau_j))))*Salcycl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5.0808935673434829E-6</v>
      </c>
      <c r="Q174" s="305">
        <f t="shared" si="53"/>
        <v>0.5</v>
      </c>
      <c r="R174" s="177">
        <f t="shared" si="54"/>
        <v>0.21699078743514222</v>
      </c>
      <c r="S174" s="811">
        <f t="shared" si="55"/>
        <v>-2</v>
      </c>
      <c r="T174" s="176">
        <f t="shared" si="56"/>
        <v>4</v>
      </c>
      <c r="U174" s="251">
        <f t="shared" si="57"/>
        <v>-1.7830092125648578</v>
      </c>
      <c r="V174" s="383">
        <f t="shared" si="58"/>
        <v>59.66007723275127</v>
      </c>
      <c r="W174" s="402">
        <f t="shared" si="59"/>
        <v>46.322035250472609</v>
      </c>
      <c r="X174" s="157">
        <f t="shared" si="60"/>
        <v>45817</v>
      </c>
      <c r="Y174" s="385">
        <f t="shared" si="61"/>
        <v>43.858297519688755</v>
      </c>
      <c r="Z174" s="385">
        <f t="shared" si="62"/>
        <v>46.385703823426432</v>
      </c>
      <c r="AA174" s="386">
        <f t="shared" si="63"/>
        <v>49.44897123325466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6.1948051363466275E-2</v>
      </c>
      <c r="AD174" s="231">
        <f>(INDEX(Models!$BJ174:$BT174,,AH174)*(1-AF174)+INDEX(Models!$BJ174:$BT174,,AH174+1)*AF174-ERP_i)*AE174*Ramure*Pc/MaxiM</f>
        <v>1.7014382276194591E-4</v>
      </c>
      <c r="AE174" s="305">
        <f t="shared" si="65"/>
        <v>0.5</v>
      </c>
      <c r="AF174" s="177">
        <f t="shared" si="66"/>
        <v>0.74197835380912114</v>
      </c>
      <c r="AG174" s="811">
        <f t="shared" si="74"/>
        <v>1</v>
      </c>
      <c r="AH174" s="176">
        <f t="shared" si="67"/>
        <v>7</v>
      </c>
      <c r="AI174" s="225">
        <f t="shared" si="68"/>
        <v>1.7419783538091211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56.529761118517015</v>
      </c>
      <c r="C175" s="841"/>
      <c r="D175" s="393">
        <f t="shared" si="50"/>
        <v>59.788690813781606</v>
      </c>
      <c r="E175" s="385">
        <f t="shared" si="75"/>
        <v>60.360434510782078</v>
      </c>
      <c r="F175" s="385">
        <f t="shared" si="51"/>
        <v>60.360716651097022</v>
      </c>
      <c r="G175" s="110">
        <f t="shared" si="76"/>
        <v>0.9480775373550171</v>
      </c>
      <c r="H175" s="414" t="b">
        <f>Wh_hp&gt;='2024'!Maxi_hp</f>
        <v>0</v>
      </c>
      <c r="I175" s="390">
        <f>IF(H175,Wh_hp,'2024'!Maxi_hp)</f>
        <v>61.199848181326935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5.4507460372646088E-2</v>
      </c>
      <c r="M175" s="845"/>
      <c r="N175" s="845"/>
      <c r="O175" s="48">
        <f>IF(t&lt;Tnet,'2024'!Resal+('2024'!Salim-'2024'!Resal)*(1-EXP(('2024'!Tnet-t)/('2024'!Tau_j))),Resal+(Salim-Resal)*(1-EXP((Tnet-t)/(Tau_j))))*Salcycl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5.0487235689487197E-6</v>
      </c>
      <c r="Q175" s="305">
        <f t="shared" si="53"/>
        <v>0.5</v>
      </c>
      <c r="R175" s="177">
        <f t="shared" si="54"/>
        <v>0.22213590374615366</v>
      </c>
      <c r="S175" s="811">
        <f t="shared" si="55"/>
        <v>-2</v>
      </c>
      <c r="T175" s="176">
        <f t="shared" si="56"/>
        <v>4</v>
      </c>
      <c r="U175" s="251">
        <f t="shared" si="57"/>
        <v>-1.7778640962538463</v>
      </c>
      <c r="V175" s="383">
        <f t="shared" si="58"/>
        <v>59.625650562831787</v>
      </c>
      <c r="W175" s="402">
        <f t="shared" si="59"/>
        <v>56.529761118517015</v>
      </c>
      <c r="X175" s="157">
        <f t="shared" si="60"/>
        <v>45818</v>
      </c>
      <c r="Y175" s="385">
        <f t="shared" si="61"/>
        <v>53.522369972101892</v>
      </c>
      <c r="Z175" s="385">
        <f t="shared" si="62"/>
        <v>56.607924154744374</v>
      </c>
      <c r="AA175" s="386">
        <f t="shared" si="63"/>
        <v>60.351713295448235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6.2032856008186026E-2</v>
      </c>
      <c r="AD175" s="231">
        <f>(INDEX(Models!$BJ175:$BT175,,AH175)*(1-AF175)+INDEX(Models!$BJ175:$BT175,,AH175+1)*AF175-ERP_i)*AE175*Ramure*Pc/MaxiM</f>
        <v>1.6110938939570241E-4</v>
      </c>
      <c r="AE175" s="305">
        <f t="shared" si="65"/>
        <v>0.5</v>
      </c>
      <c r="AF175" s="177">
        <f t="shared" si="66"/>
        <v>0.74712347012013258</v>
      </c>
      <c r="AG175" s="811">
        <f t="shared" si="74"/>
        <v>1</v>
      </c>
      <c r="AH175" s="176">
        <f t="shared" si="67"/>
        <v>7</v>
      </c>
      <c r="AI175" s="225">
        <f t="shared" si="68"/>
        <v>1.7471234701201326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55.272592610560494</v>
      </c>
      <c r="C176" s="841"/>
      <c r="D176" s="393">
        <f t="shared" si="50"/>
        <v>58.46032721791029</v>
      </c>
      <c r="E176" s="385">
        <f t="shared" si="75"/>
        <v>59.025787107323055</v>
      </c>
      <c r="F176" s="385">
        <f t="shared" si="51"/>
        <v>59.026055065675486</v>
      </c>
      <c r="G176" s="110">
        <f t="shared" si="76"/>
        <v>0.92759257790545513</v>
      </c>
      <c r="H176" s="414" t="b">
        <f>Wh_hp&gt;='2024'!Maxi_hp</f>
        <v>1</v>
      </c>
      <c r="I176" s="390">
        <f>IF(H176,Wh_hp,'2024'!Maxi_hp)</f>
        <v>59.026055065675486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5.4528169085806599E-2</v>
      </c>
      <c r="M176" s="845"/>
      <c r="N176" s="845"/>
      <c r="O176" s="48">
        <f>IF(t&lt;Tnet,'2024'!Resal+('2024'!Salim-'2024'!Resal)*(1-EXP(('2024'!Tnet-t)/('2024'!Tau_j))),Resal+(Salim-Resal)*(1-EXP((Tnet-t)/(Tau_j))))*Salcycl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5.0634140824580777E-6</v>
      </c>
      <c r="Q176" s="305">
        <f t="shared" si="53"/>
        <v>0.5</v>
      </c>
      <c r="R176" s="177">
        <f t="shared" si="54"/>
        <v>0.22728102005716511</v>
      </c>
      <c r="S176" s="811">
        <f t="shared" si="55"/>
        <v>-2</v>
      </c>
      <c r="T176" s="176">
        <f t="shared" si="56"/>
        <v>4</v>
      </c>
      <c r="U176" s="251">
        <f t="shared" si="57"/>
        <v>-1.7727189799428349</v>
      </c>
      <c r="V176" s="383">
        <f t="shared" si="58"/>
        <v>59.587112896174602</v>
      </c>
      <c r="W176" s="402">
        <f t="shared" si="59"/>
        <v>55.272592610560494</v>
      </c>
      <c r="X176" s="157">
        <f t="shared" si="60"/>
        <v>45819</v>
      </c>
      <c r="Y176" s="385">
        <f t="shared" si="61"/>
        <v>52.333678949719335</v>
      </c>
      <c r="Z176" s="385">
        <f t="shared" si="62"/>
        <v>55.351917675978754</v>
      </c>
      <c r="AA176" s="386">
        <f t="shared" si="63"/>
        <v>59.017926857489797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6.2116874934684305E-2</v>
      </c>
      <c r="AD176" s="231">
        <f>(INDEX(Models!$BJ176:$BT176,,AH176)*(1-AF176)+INDEX(Models!$BJ176:$BT176,,AH176+1)*AF176-ERP_i)*AE176*Ramure*Pc/MaxiM</f>
        <v>1.535928379153666E-4</v>
      </c>
      <c r="AE176" s="305">
        <f t="shared" si="65"/>
        <v>0.5</v>
      </c>
      <c r="AF176" s="177">
        <f t="shared" si="66"/>
        <v>0.75226858643114403</v>
      </c>
      <c r="AG176" s="811">
        <f t="shared" si="74"/>
        <v>1</v>
      </c>
      <c r="AH176" s="176">
        <f t="shared" si="67"/>
        <v>7</v>
      </c>
      <c r="AI176" s="225">
        <f t="shared" si="68"/>
        <v>1.752268586431144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42.292432683760673</v>
      </c>
      <c r="C177" s="841"/>
      <c r="D177" s="393">
        <f t="shared" si="50"/>
        <v>44.732542667053323</v>
      </c>
      <c r="E177" s="385">
        <f t="shared" si="75"/>
        <v>45.17012742622174</v>
      </c>
      <c r="F177" s="385">
        <f t="shared" si="51"/>
        <v>45.170263227119641</v>
      </c>
      <c r="G177" s="110">
        <f t="shared" si="76"/>
        <v>0.71027346973366845</v>
      </c>
      <c r="H177" s="414" t="b">
        <f>Wh_hp&gt;='2024'!Maxi_hp</f>
        <v>0</v>
      </c>
      <c r="I177" s="390">
        <f>IF(H177,Wh_hp,'2024'!Maxi_hp)</f>
        <v>58.244062693126686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5.4548877345393043E-2</v>
      </c>
      <c r="M177" s="845"/>
      <c r="N177" s="845"/>
      <c r="O177" s="48">
        <f>IF(t&lt;Tnet,'2024'!Resal+('2024'!Salim-'2024'!Resal)*(1-EXP(('2024'!Tnet-t)/('2024'!Tau_j))),Resal+(Salim-Resal)*(1-EXP((Tnet-t)/(Tau_j))))*Salcycl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5.1294763234634604E-6</v>
      </c>
      <c r="Q177" s="305">
        <f t="shared" si="53"/>
        <v>0.5</v>
      </c>
      <c r="R177" s="177">
        <f t="shared" si="54"/>
        <v>0.23242179470147106</v>
      </c>
      <c r="S177" s="811">
        <f t="shared" si="55"/>
        <v>-2</v>
      </c>
      <c r="T177" s="176">
        <f t="shared" si="56"/>
        <v>4</v>
      </c>
      <c r="U177" s="251">
        <f t="shared" si="57"/>
        <v>-1.7675782052985289</v>
      </c>
      <c r="V177" s="383">
        <f t="shared" si="58"/>
        <v>59.543745749422762</v>
      </c>
      <c r="W177" s="402">
        <f t="shared" si="59"/>
        <v>42.292432683760673</v>
      </c>
      <c r="X177" s="157">
        <f t="shared" si="60"/>
        <v>45820</v>
      </c>
      <c r="Y177" s="385">
        <f t="shared" si="61"/>
        <v>40.046477193366954</v>
      </c>
      <c r="Z177" s="385">
        <f t="shared" si="62"/>
        <v>42.357004221356</v>
      </c>
      <c r="AA177" s="386">
        <f t="shared" si="63"/>
        <v>45.166354645534703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6.2200070079298453E-2</v>
      </c>
      <c r="AD177" s="231">
        <f>(INDEX(Models!$BJ177:$BT177,,AH177)*(1-AF177)+INDEX(Models!$BJ177:$BT177,,AH177+1)*AF177-ERP_i)*AE177*Ramure*Pc/MaxiM</f>
        <v>1.4763508200623862E-4</v>
      </c>
      <c r="AE177" s="305">
        <f t="shared" si="65"/>
        <v>0.5</v>
      </c>
      <c r="AF177" s="177">
        <f t="shared" si="66"/>
        <v>0.75740936107544998</v>
      </c>
      <c r="AG177" s="811">
        <f t="shared" si="74"/>
        <v>1</v>
      </c>
      <c r="AH177" s="176">
        <f t="shared" si="67"/>
        <v>7</v>
      </c>
      <c r="AI177" s="225">
        <f t="shared" si="68"/>
        <v>1.75740936107545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53.549187485923689</v>
      </c>
      <c r="C178" s="841"/>
      <c r="D178" s="393">
        <f t="shared" si="50"/>
        <v>56.640009296189042</v>
      </c>
      <c r="E178" s="385">
        <f t="shared" si="75"/>
        <v>57.200283647965669</v>
      </c>
      <c r="F178" s="385">
        <f t="shared" si="51"/>
        <v>57.200541084686826</v>
      </c>
      <c r="G178" s="110">
        <f t="shared" si="76"/>
        <v>0.90005879219196461</v>
      </c>
      <c r="H178" s="414" t="b">
        <f>Wh_hp&gt;='2024'!Maxi_hp</f>
        <v>0</v>
      </c>
      <c r="I178" s="390">
        <f>IF(H178,Wh_hp,'2024'!Maxi_hp)</f>
        <v>66.115436428019962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5.4569585151415523E-2</v>
      </c>
      <c r="M178" s="845"/>
      <c r="N178" s="845"/>
      <c r="O178" s="48">
        <f>IF(t&lt;Tnet,'2024'!Resal+('2024'!Salim-'2024'!Resal)*(1-EXP(('2024'!Tnet-t)/('2024'!Tau_j))),Resal+(Salim-Resal)*(1-EXP((Tnet-t)/(Tau_j))))*Salcycl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5.2501789527706958E-6</v>
      </c>
      <c r="Q178" s="305">
        <f t="shared" si="53"/>
        <v>0.5</v>
      </c>
      <c r="R178" s="177">
        <f t="shared" si="54"/>
        <v>0.23755390065473758</v>
      </c>
      <c r="S178" s="811">
        <f t="shared" si="55"/>
        <v>-2</v>
      </c>
      <c r="T178" s="176">
        <f t="shared" si="56"/>
        <v>4</v>
      </c>
      <c r="U178" s="251">
        <f t="shared" si="57"/>
        <v>-1.7624460993452624</v>
      </c>
      <c r="V178" s="383">
        <f t="shared" si="58"/>
        <v>59.49516610571181</v>
      </c>
      <c r="W178" s="402">
        <f t="shared" si="59"/>
        <v>53.549187485923689</v>
      </c>
      <c r="X178" s="157">
        <f t="shared" si="60"/>
        <v>45821</v>
      </c>
      <c r="Y178" s="385">
        <f t="shared" si="61"/>
        <v>50.704721047999591</v>
      </c>
      <c r="Z178" s="385">
        <f t="shared" si="62"/>
        <v>53.631362236342071</v>
      </c>
      <c r="AA178" s="386">
        <f t="shared" si="63"/>
        <v>57.193511740207981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6.2282405739419872E-2</v>
      </c>
      <c r="AD178" s="231">
        <f>(INDEX(Models!$BJ178:$BT178,,AH178)*(1-AF178)+INDEX(Models!$BJ178:$BT178,,AH178+1)*AF178-ERP_i)*AE178*Ramure*Pc/MaxiM</f>
        <v>1.4335684617452934E-4</v>
      </c>
      <c r="AE178" s="305">
        <f t="shared" si="65"/>
        <v>0.5</v>
      </c>
      <c r="AF178" s="177">
        <f t="shared" si="66"/>
        <v>0.7625414670287165</v>
      </c>
      <c r="AG178" s="811">
        <f t="shared" si="74"/>
        <v>1</v>
      </c>
      <c r="AH178" s="176">
        <f t="shared" si="67"/>
        <v>7</v>
      </c>
      <c r="AI178" s="225">
        <f t="shared" si="68"/>
        <v>1.7625414670287165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48.839033609328297</v>
      </c>
      <c r="C179" s="841"/>
      <c r="D179" s="393">
        <f t="shared" si="50"/>
        <v>51.659120085276825</v>
      </c>
      <c r="E179" s="385">
        <f t="shared" si="75"/>
        <v>52.17578025075877</v>
      </c>
      <c r="F179" s="385">
        <f t="shared" si="51"/>
        <v>52.175989250411192</v>
      </c>
      <c r="G179" s="110">
        <f t="shared" si="76"/>
        <v>0.82162690052508436</v>
      </c>
      <c r="H179" s="414" t="b">
        <f>Wh_hp&gt;='2024'!Maxi_hp</f>
        <v>0</v>
      </c>
      <c r="I179" s="390">
        <f>IF(H179,Wh_hp,'2024'!Maxi_hp)</f>
        <v>57.514759839675243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5.4590292503883919E-2</v>
      </c>
      <c r="M179" s="845"/>
      <c r="N179" s="845"/>
      <c r="O179" s="48">
        <f>IF(t&lt;Tnet,'2024'!Resal+('2024'!Salim-'2024'!Resal)*(1-EXP(('2024'!Tnet-t)/('2024'!Tau_j))),Resal+(Salim-Resal)*(1-EXP((Tnet-t)/(Tau_j))))*Salcycl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5.3754149498592473E-6</v>
      </c>
      <c r="Q179" s="305">
        <f t="shared" si="53"/>
        <v>0.5</v>
      </c>
      <c r="R179" s="177">
        <f t="shared" si="54"/>
        <v>0.24267304007256363</v>
      </c>
      <c r="S179" s="811">
        <f t="shared" si="55"/>
        <v>-2</v>
      </c>
      <c r="T179" s="176">
        <f t="shared" si="56"/>
        <v>4</v>
      </c>
      <c r="U179" s="251">
        <f t="shared" si="57"/>
        <v>-1.7573269599274364</v>
      </c>
      <c r="V179" s="383">
        <f t="shared" si="58"/>
        <v>59.441781519927602</v>
      </c>
      <c r="W179" s="402">
        <f t="shared" si="59"/>
        <v>48.839033609328297</v>
      </c>
      <c r="X179" s="157">
        <f t="shared" si="60"/>
        <v>45822</v>
      </c>
      <c r="Y179" s="385">
        <f t="shared" si="61"/>
        <v>46.246605110443269</v>
      </c>
      <c r="Z179" s="385">
        <f t="shared" si="62"/>
        <v>48.916998359288854</v>
      </c>
      <c r="AA179" s="386">
        <f t="shared" si="63"/>
        <v>52.170554955599393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6.2363848708903519E-2</v>
      </c>
      <c r="AD179" s="231">
        <f>(INDEX(Models!$BJ179:$BT179,,AH179)*(1-AF179)+INDEX(Models!$BJ179:$BT179,,AH179+1)*AF179-ERP_i)*AE179*Ramure*Pc/MaxiM</f>
        <v>1.3976860360919192E-4</v>
      </c>
      <c r="AE179" s="305">
        <f t="shared" si="65"/>
        <v>0.5</v>
      </c>
      <c r="AF179" s="177">
        <f t="shared" si="66"/>
        <v>0.76766060644654255</v>
      </c>
      <c r="AG179" s="811">
        <f t="shared" si="74"/>
        <v>1</v>
      </c>
      <c r="AH179" s="176">
        <f t="shared" si="67"/>
        <v>7</v>
      </c>
      <c r="AI179" s="225">
        <f t="shared" si="68"/>
        <v>1.7676606064465425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53.27458782934935</v>
      </c>
      <c r="C180" s="841"/>
      <c r="D180" s="393">
        <f t="shared" si="50"/>
        <v>56.352028419726032</v>
      </c>
      <c r="E180" s="385">
        <f t="shared" si="75"/>
        <v>56.92178680431266</v>
      </c>
      <c r="F180" s="385">
        <f t="shared" si="51"/>
        <v>56.922054125427849</v>
      </c>
      <c r="G180" s="110">
        <f t="shared" si="76"/>
        <v>0.89711956129736237</v>
      </c>
      <c r="H180" s="414" t="b">
        <f>Wh_hp&gt;='2024'!Maxi_hp</f>
        <v>1</v>
      </c>
      <c r="I180" s="390">
        <f>IF(H180,Wh_hp,'2024'!Maxi_hp)</f>
        <v>56.922054125427849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5.4610999402808114E-2</v>
      </c>
      <c r="M180" s="845"/>
      <c r="N180" s="845"/>
      <c r="O180" s="48">
        <f>IF(t&lt;Tnet,'2024'!Resal+('2024'!Salim-'2024'!Resal)*(1-EXP(('2024'!Tnet-t)/('2024'!Tau_j))),Resal+(Salim-Resal)*(1-EXP((Tnet-t)/(Tau_j))))*Salcycl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5.5054004459030325E-6</v>
      </c>
      <c r="Q180" s="305">
        <f t="shared" si="53"/>
        <v>0.5</v>
      </c>
      <c r="R180" s="177">
        <f t="shared" si="54"/>
        <v>0.24777495861970356</v>
      </c>
      <c r="S180" s="811">
        <f t="shared" si="55"/>
        <v>-2</v>
      </c>
      <c r="T180" s="176">
        <f t="shared" si="56"/>
        <v>4</v>
      </c>
      <c r="U180" s="251">
        <f t="shared" si="57"/>
        <v>-1.7522250413802964</v>
      </c>
      <c r="V180" s="383">
        <f t="shared" si="58"/>
        <v>59.383996315727977</v>
      </c>
      <c r="W180" s="402">
        <f t="shared" si="59"/>
        <v>53.27458782934935</v>
      </c>
      <c r="X180" s="157">
        <f t="shared" si="60"/>
        <v>45823</v>
      </c>
      <c r="Y180" s="385">
        <f t="shared" si="61"/>
        <v>50.447243250753566</v>
      </c>
      <c r="Z180" s="385">
        <f t="shared" si="62"/>
        <v>53.361360475832271</v>
      </c>
      <c r="AA180" s="386">
        <f t="shared" si="63"/>
        <v>56.9154071260931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6.2444368400757115E-2</v>
      </c>
      <c r="AD180" s="231">
        <f>(INDEX(Models!$BJ180:$BT180,,AH180)*(1-AF180)+INDEX(Models!$BJ180:$BT180,,AH180+1)*AF180-ERP_i)*AE180*Ramure*Pc/MaxiM</f>
        <v>1.3689301376314169E-4</v>
      </c>
      <c r="AE180" s="305">
        <f t="shared" si="65"/>
        <v>0.5</v>
      </c>
      <c r="AF180" s="177">
        <f t="shared" si="66"/>
        <v>0.77276252499368248</v>
      </c>
      <c r="AG180" s="811">
        <f t="shared" si="74"/>
        <v>1</v>
      </c>
      <c r="AH180" s="176">
        <f t="shared" si="67"/>
        <v>7</v>
      </c>
      <c r="AI180" s="225">
        <f t="shared" si="68"/>
        <v>1.7727625249936825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51.19917198390953</v>
      </c>
      <c r="C181" s="841"/>
      <c r="D181" s="393">
        <f t="shared" si="50"/>
        <v>54.157911049731332</v>
      </c>
      <c r="E181" s="385">
        <f t="shared" si="75"/>
        <v>54.711401116457765</v>
      </c>
      <c r="F181" s="385">
        <f t="shared" si="51"/>
        <v>54.711649343875756</v>
      </c>
      <c r="G181" s="110">
        <f t="shared" si="76"/>
        <v>0.86306817523836854</v>
      </c>
      <c r="H181" s="414" t="b">
        <f>Wh_hp&gt;='2024'!Maxi_hp</f>
        <v>0</v>
      </c>
      <c r="I181" s="390">
        <f>IF(H181,Wh_hp,'2024'!Maxi_hp)</f>
        <v>64.761857489550721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5.4631705848198098E-2</v>
      </c>
      <c r="M181" s="845"/>
      <c r="N181" s="845"/>
      <c r="O181" s="48">
        <f>IF(t&lt;Tnet,'2024'!Resal+('2024'!Salim-'2024'!Resal)*(1-EXP(('2024'!Tnet-t)/('2024'!Tau_j))),Resal+(Salim-Resal)*(1-EXP((Tnet-t)/(Tau_j))))*Salcycl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5.6403527598123398E-6</v>
      </c>
      <c r="Q181" s="305">
        <f t="shared" si="53"/>
        <v>0.5</v>
      </c>
      <c r="R181" s="177">
        <f t="shared" si="54"/>
        <v>0.25285545948997545</v>
      </c>
      <c r="S181" s="811">
        <f t="shared" si="55"/>
        <v>-2</v>
      </c>
      <c r="T181" s="176">
        <f t="shared" si="56"/>
        <v>4</v>
      </c>
      <c r="U181" s="251">
        <f t="shared" si="57"/>
        <v>-1.7471445405100245</v>
      </c>
      <c r="V181" s="383">
        <f t="shared" si="58"/>
        <v>59.322214585640587</v>
      </c>
      <c r="W181" s="402">
        <f t="shared" si="59"/>
        <v>51.19917198390953</v>
      </c>
      <c r="X181" s="157">
        <f t="shared" si="60"/>
        <v>45824</v>
      </c>
      <c r="Y181" s="385">
        <f t="shared" si="61"/>
        <v>48.483498515732791</v>
      </c>
      <c r="Z181" s="385">
        <f t="shared" si="62"/>
        <v>51.285302051760567</v>
      </c>
      <c r="AA181" s="386">
        <f t="shared" si="63"/>
        <v>54.705718976169436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6.2523936956186438E-2</v>
      </c>
      <c r="AD181" s="231">
        <f>(INDEX(Models!$BJ181:$BT181,,AH181)*(1-AF181)+INDEX(Models!$BJ181:$BT181,,AH181+1)*AF181-ERP_i)*AE181*Ramure*Pc/MaxiM</f>
        <v>1.3475290573843391E-4</v>
      </c>
      <c r="AE181" s="305">
        <f t="shared" si="65"/>
        <v>0.5</v>
      </c>
      <c r="AF181" s="177">
        <f t="shared" si="66"/>
        <v>0.77784302586395437</v>
      </c>
      <c r="AG181" s="811">
        <f t="shared" si="74"/>
        <v>1</v>
      </c>
      <c r="AH181" s="176">
        <f t="shared" si="67"/>
        <v>7</v>
      </c>
      <c r="AI181" s="225">
        <f t="shared" si="68"/>
        <v>1.7778430258639544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51.268864035785235</v>
      </c>
      <c r="C182" s="841"/>
      <c r="D182" s="393">
        <f t="shared" si="50"/>
        <v>54.23281836004584</v>
      </c>
      <c r="E182" s="385">
        <f t="shared" si="75"/>
        <v>54.792990244683786</v>
      </c>
      <c r="F182" s="385">
        <f t="shared" si="51"/>
        <v>54.79324598180181</v>
      </c>
      <c r="G182" s="110">
        <f t="shared" si="76"/>
        <v>0.86519643641313182</v>
      </c>
      <c r="H182" s="414" t="b">
        <f>Wh_hp&gt;='2024'!Maxi_hp</f>
        <v>0</v>
      </c>
      <c r="I182" s="390">
        <f>IF(H182,Wh_hp,'2024'!Maxi_hp)</f>
        <v>62.682408537874828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5.4652411840063864E-2</v>
      </c>
      <c r="M182" s="845"/>
      <c r="N182" s="845"/>
      <c r="O182" s="48">
        <f>IF(t&lt;Tnet,'2024'!Resal+('2024'!Salim-'2024'!Resal)*(1-EXP(('2024'!Tnet-t)/('2024'!Tau_j))),Resal+(Salim-Resal)*(1-EXP((Tnet-t)/(Tau_j))))*Salcycl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5.7804895799094046E-6</v>
      </c>
      <c r="Q182" s="305">
        <f t="shared" si="53"/>
        <v>0.5</v>
      </c>
      <c r="R182" s="177">
        <f t="shared" si="54"/>
        <v>0.25791041701963513</v>
      </c>
      <c r="S182" s="811">
        <f t="shared" si="55"/>
        <v>-2</v>
      </c>
      <c r="T182" s="176">
        <f t="shared" si="56"/>
        <v>4</v>
      </c>
      <c r="U182" s="251">
        <f t="shared" si="57"/>
        <v>-1.7420895829803649</v>
      </c>
      <c r="V182" s="383">
        <f t="shared" si="58"/>
        <v>59.256840188411452</v>
      </c>
      <c r="W182" s="402">
        <f t="shared" si="59"/>
        <v>51.268864035785235</v>
      </c>
      <c r="X182" s="157">
        <f t="shared" si="60"/>
        <v>45825</v>
      </c>
      <c r="Y182" s="385">
        <f t="shared" si="61"/>
        <v>48.550706767333821</v>
      </c>
      <c r="Z182" s="385">
        <f t="shared" si="62"/>
        <v>51.357519049511659</v>
      </c>
      <c r="AA182" s="386">
        <f t="shared" si="63"/>
        <v>54.787345450491166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6.2602529339167962E-2</v>
      </c>
      <c r="AD182" s="231">
        <f>(INDEX(Models!$BJ182:$BT182,,AH182)*(1-AF182)+INDEX(Models!$BJ182:$BT182,,AH182+1)*AF182-ERP_i)*AE182*Ramure*Pc/MaxiM</f>
        <v>1.3337117435599524E-4</v>
      </c>
      <c r="AE182" s="305">
        <f t="shared" si="65"/>
        <v>0.5</v>
      </c>
      <c r="AF182" s="177">
        <f t="shared" si="66"/>
        <v>0.78289798339361427</v>
      </c>
      <c r="AG182" s="811">
        <f t="shared" si="74"/>
        <v>1</v>
      </c>
      <c r="AH182" s="176">
        <f t="shared" si="67"/>
        <v>7</v>
      </c>
      <c r="AI182" s="225">
        <f t="shared" si="68"/>
        <v>1.7828979833936143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54.627295093667392</v>
      </c>
      <c r="C183" s="841"/>
      <c r="D183" s="393">
        <f t="shared" si="50"/>
        <v>57.786672629233529</v>
      </c>
      <c r="E183" s="385">
        <f t="shared" si="75"/>
        <v>58.389847670221947</v>
      </c>
      <c r="F183" s="385">
        <f t="shared" si="51"/>
        <v>58.390155600438732</v>
      </c>
      <c r="G183" s="110">
        <f t="shared" si="76"/>
        <v>0.92294052906428803</v>
      </c>
      <c r="H183" s="414" t="b">
        <f>Wh_hp&gt;='2024'!Maxi_hp</f>
        <v>0</v>
      </c>
      <c r="I183" s="390">
        <f>IF(H183,Wh_hp,'2024'!Maxi_hp)</f>
        <v>60.904385564297691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5.4673117378415181E-2</v>
      </c>
      <c r="M183" s="845"/>
      <c r="N183" s="845"/>
      <c r="O183" s="48">
        <f>IF(t&lt;Tnet,'2024'!Resal+('2024'!Salim-'2024'!Resal)*(1-EXP(('2024'!Tnet-t)/('2024'!Tau_j))),Resal+(Salim-Resal)*(1-EXP((Tnet-t)/(Tau_j))))*Salcycl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5.9260281211675672E-6</v>
      </c>
      <c r="Q183" s="305">
        <f t="shared" si="53"/>
        <v>0.5</v>
      </c>
      <c r="R183" s="177">
        <f t="shared" si="54"/>
        <v>0.26293578980190713</v>
      </c>
      <c r="S183" s="811">
        <f t="shared" si="55"/>
        <v>-2</v>
      </c>
      <c r="T183" s="176">
        <f t="shared" si="56"/>
        <v>4</v>
      </c>
      <c r="U183" s="251">
        <f t="shared" si="57"/>
        <v>-1.7370642101980929</v>
      </c>
      <c r="V183" s="383">
        <f t="shared" si="58"/>
        <v>59.188276748579355</v>
      </c>
      <c r="W183" s="402">
        <f t="shared" si="59"/>
        <v>54.627295093667392</v>
      </c>
      <c r="X183" s="157">
        <f t="shared" si="60"/>
        <v>45826</v>
      </c>
      <c r="Y183" s="385">
        <f t="shared" si="61"/>
        <v>51.731866783218315</v>
      </c>
      <c r="Z183" s="385">
        <f t="shared" si="62"/>
        <v>54.723786802460609</v>
      </c>
      <c r="AA183" s="386">
        <f t="shared" si="63"/>
        <v>58.383256526990174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6.2680123415825864E-2</v>
      </c>
      <c r="AD183" s="231">
        <f>(INDEX(Models!$BJ183:$BT183,,AH183)*(1-AF183)+INDEX(Models!$BJ183:$BT183,,AH183+1)*AF183-ERP_i)*AE183*Ramure*Pc/MaxiM</f>
        <v>1.3277067672345905E-4</v>
      </c>
      <c r="AE183" s="305">
        <f t="shared" si="65"/>
        <v>0.5</v>
      </c>
      <c r="AF183" s="177">
        <f t="shared" si="66"/>
        <v>0.78792335617588605</v>
      </c>
      <c r="AG183" s="811">
        <f t="shared" si="74"/>
        <v>1</v>
      </c>
      <c r="AH183" s="176">
        <f t="shared" si="67"/>
        <v>7</v>
      </c>
      <c r="AI183" s="225">
        <f t="shared" si="68"/>
        <v>1.787923356175886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55.741819411339698</v>
      </c>
      <c r="C184" s="841"/>
      <c r="D184" s="393">
        <f t="shared" si="50"/>
        <v>58.966947149960177</v>
      </c>
      <c r="E184" s="385">
        <f t="shared" si="75"/>
        <v>59.588856469554599</v>
      </c>
      <c r="F184" s="385">
        <f t="shared" si="51"/>
        <v>59.589188986618893</v>
      </c>
      <c r="G184" s="110">
        <f t="shared" si="76"/>
        <v>0.94290745340949778</v>
      </c>
      <c r="H184" s="414" t="b">
        <f>Wh_hp&gt;='2024'!Maxi_hp</f>
        <v>1</v>
      </c>
      <c r="I184" s="390">
        <f>IF(H184,Wh_hp,'2024'!Maxi_hp)</f>
        <v>59.589188986618893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5.4693822463262043E-2</v>
      </c>
      <c r="M184" s="845"/>
      <c r="N184" s="845"/>
      <c r="O184" s="48">
        <f>IF(t&lt;Tnet,'2024'!Resal+('2024'!Salim-'2024'!Resal)*(1-EXP(('2024'!Tnet-t)/('2024'!Tau_j))),Resal+(Salim-Resal)*(1-EXP((Tnet-t)/(Tau_j))))*Salcycl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6.0756916765218824E-6</v>
      </c>
      <c r="Q184" s="305">
        <f t="shared" si="53"/>
        <v>0.5</v>
      </c>
      <c r="R184" s="177">
        <f t="shared" si="54"/>
        <v>0.26792763321631963</v>
      </c>
      <c r="S184" s="811">
        <f t="shared" si="55"/>
        <v>-2</v>
      </c>
      <c r="T184" s="176">
        <f t="shared" si="56"/>
        <v>4</v>
      </c>
      <c r="U184" s="251">
        <f t="shared" si="57"/>
        <v>-1.7320723667836804</v>
      </c>
      <c r="V184" s="383">
        <f t="shared" si="58"/>
        <v>59.116927740526499</v>
      </c>
      <c r="W184" s="402">
        <f t="shared" si="59"/>
        <v>55.741819411339698</v>
      </c>
      <c r="X184" s="157">
        <f t="shared" si="60"/>
        <v>45827</v>
      </c>
      <c r="Y184" s="385">
        <f t="shared" si="61"/>
        <v>52.788489837122853</v>
      </c>
      <c r="Z184" s="385">
        <f t="shared" si="62"/>
        <v>55.842742903339698</v>
      </c>
      <c r="AA184" s="386">
        <f t="shared" si="63"/>
        <v>59.581906751867145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6.2756700018001141E-2</v>
      </c>
      <c r="AD184" s="231">
        <f>(INDEX(Models!$BJ184:$BT184,,AH184)*(1-AF184)+INDEX(Models!$BJ184:$BT184,,AH184+1)*AF184-ERP_i)*AE184*Ramure*Pc/MaxiM</f>
        <v>1.3305967668629667E-4</v>
      </c>
      <c r="AE184" s="305">
        <f t="shared" si="65"/>
        <v>0.5</v>
      </c>
      <c r="AF184" s="177">
        <f t="shared" si="66"/>
        <v>0.79291519959029855</v>
      </c>
      <c r="AG184" s="811">
        <f t="shared" si="74"/>
        <v>1</v>
      </c>
      <c r="AH184" s="176">
        <f t="shared" si="67"/>
        <v>7</v>
      </c>
      <c r="AI184" s="225">
        <f t="shared" si="68"/>
        <v>1.7929151995902985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31.042856100854795</v>
      </c>
      <c r="C185" s="841"/>
      <c r="D185" s="393">
        <f t="shared" si="50"/>
        <v>32.839662716325165</v>
      </c>
      <c r="E185" s="385">
        <f t="shared" si="75"/>
        <v>33.189581233515028</v>
      </c>
      <c r="F185" s="385">
        <f t="shared" si="51"/>
        <v>33.189647840964369</v>
      </c>
      <c r="G185" s="110">
        <f t="shared" si="76"/>
        <v>0.52576294902016651</v>
      </c>
      <c r="H185" s="414" t="b">
        <f>Wh_hp&gt;='2024'!Maxi_hp</f>
        <v>0</v>
      </c>
      <c r="I185" s="390">
        <f>IF(H185,Wh_hp,'2024'!Maxi_hp)</f>
        <v>58.208712843769881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5.471452709461444E-2</v>
      </c>
      <c r="M185" s="845"/>
      <c r="N185" s="845"/>
      <c r="O185" s="48">
        <f>IF(t&lt;Tnet,'2024'!Resal+('2024'!Salim-'2024'!Resal)*(1-EXP(('2024'!Tnet-t)/('2024'!Tau_j))),Resal+(Salim-Resal)*(1-EXP((Tnet-t)/(Tau_j))))*Salcycl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6.2224478539263497E-6</v>
      </c>
      <c r="Q185" s="305">
        <f t="shared" si="53"/>
        <v>0.5</v>
      </c>
      <c r="R185" s="177">
        <f t="shared" si="54"/>
        <v>0.27288211129340212</v>
      </c>
      <c r="S185" s="811">
        <f t="shared" si="55"/>
        <v>-2</v>
      </c>
      <c r="T185" s="176">
        <f t="shared" si="56"/>
        <v>4</v>
      </c>
      <c r="U185" s="251">
        <f t="shared" si="57"/>
        <v>-1.7271178887065979</v>
      </c>
      <c r="V185" s="383">
        <f t="shared" si="58"/>
        <v>59.043196739138111</v>
      </c>
      <c r="W185" s="402">
        <f t="shared" si="59"/>
        <v>31.042856100854795</v>
      </c>
      <c r="X185" s="157">
        <f t="shared" si="60"/>
        <v>45828</v>
      </c>
      <c r="Y185" s="385">
        <f t="shared" si="61"/>
        <v>29.401146551362302</v>
      </c>
      <c r="Z185" s="385">
        <f t="shared" si="62"/>
        <v>31.10292857986731</v>
      </c>
      <c r="AA185" s="386">
        <f t="shared" si="63"/>
        <v>33.188218808463184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6.2832242990519024E-2</v>
      </c>
      <c r="AD185" s="231">
        <f>(INDEX(Models!$BJ185:$BT185,,AH185)*(1-AF185)+INDEX(Models!$BJ185:$BT185,,AH185+1)*AF185-ERP_i)*AE185*Ramure*Pc/MaxiM</f>
        <v>1.3349978581181647E-4</v>
      </c>
      <c r="AE185" s="305">
        <f t="shared" si="65"/>
        <v>0.5</v>
      </c>
      <c r="AF185" s="177">
        <f t="shared" si="66"/>
        <v>0.79786967766738082</v>
      </c>
      <c r="AG185" s="811">
        <f t="shared" si="74"/>
        <v>1</v>
      </c>
      <c r="AH185" s="176">
        <f t="shared" si="67"/>
        <v>7</v>
      </c>
      <c r="AI185" s="225">
        <f t="shared" si="68"/>
        <v>1.7978696776673808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23.182672314786558</v>
      </c>
      <c r="C186" s="841"/>
      <c r="D186" s="393">
        <f t="shared" si="50"/>
        <v>24.525056980589955</v>
      </c>
      <c r="E186" s="385">
        <f t="shared" si="75"/>
        <v>24.789040007105562</v>
      </c>
      <c r="F186" s="385">
        <f t="shared" si="51"/>
        <v>24.789061004963997</v>
      </c>
      <c r="G186" s="110">
        <f t="shared" si="76"/>
        <v>0.39314113039398357</v>
      </c>
      <c r="H186" s="414" t="b">
        <f>Wh_hp&gt;='2024'!Maxi_hp</f>
        <v>0</v>
      </c>
      <c r="I186" s="390">
        <f>IF(H186,Wh_hp,'2024'!Maxi_hp)</f>
        <v>54.428674381419142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5.4735231272482254E-2</v>
      </c>
      <c r="M186" s="845"/>
      <c r="N186" s="845"/>
      <c r="O186" s="48">
        <f>IF(t&lt;Tnet,'2024'!Resal+('2024'!Salim-'2024'!Resal)*(1-EXP(('2024'!Tnet-t)/('2024'!Tau_j))),Resal+(Salim-Resal)*(1-EXP((Tnet-t)/(Tau_j))))*Salcycl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6.3659224850906389E-6</v>
      </c>
      <c r="Q186" s="305">
        <f t="shared" si="53"/>
        <v>0.5</v>
      </c>
      <c r="R186" s="177">
        <f t="shared" si="54"/>
        <v>0.27779550784302875</v>
      </c>
      <c r="S186" s="811">
        <f t="shared" si="55"/>
        <v>-2</v>
      </c>
      <c r="T186" s="176">
        <f t="shared" si="56"/>
        <v>4</v>
      </c>
      <c r="U186" s="251">
        <f t="shared" si="57"/>
        <v>-1.7222044921569712</v>
      </c>
      <c r="V186" s="383">
        <f t="shared" si="58"/>
        <v>58.967486687285756</v>
      </c>
      <c r="W186" s="402">
        <f t="shared" si="59"/>
        <v>23.182672314786558</v>
      </c>
      <c r="X186" s="157">
        <f t="shared" si="60"/>
        <v>45829</v>
      </c>
      <c r="Y186" s="385">
        <f t="shared" si="61"/>
        <v>21.95778928925953</v>
      </c>
      <c r="Z186" s="385">
        <f t="shared" si="62"/>
        <v>23.229247524816074</v>
      </c>
      <c r="AA186" s="386">
        <f t="shared" si="63"/>
        <v>24.788618696846886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6.290673922178508E-2</v>
      </c>
      <c r="AD186" s="231">
        <f>(INDEX(Models!$BJ186:$BT186,,AH186)*(1-AF186)+INDEX(Models!$BJ186:$BT186,,AH186+1)*AF186-ERP_i)*AE186*Ramure*Pc/MaxiM</f>
        <v>1.3409458858839866E-4</v>
      </c>
      <c r="AE186" s="305">
        <f t="shared" si="65"/>
        <v>0.5</v>
      </c>
      <c r="AF186" s="177">
        <f t="shared" si="66"/>
        <v>0.80278307421700767</v>
      </c>
      <c r="AG186" s="811">
        <f t="shared" si="74"/>
        <v>1</v>
      </c>
      <c r="AH186" s="176">
        <f t="shared" si="67"/>
        <v>7</v>
      </c>
      <c r="AI186" s="225">
        <f t="shared" si="68"/>
        <v>1.8027830742170077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38.776191126428145</v>
      </c>
      <c r="C187" s="841"/>
      <c r="D187" s="393">
        <f t="shared" si="50"/>
        <v>41.022411631116633</v>
      </c>
      <c r="E187" s="385">
        <f t="shared" si="75"/>
        <v>41.468410422644062</v>
      </c>
      <c r="F187" s="385">
        <f t="shared" si="51"/>
        <v>41.468548570781905</v>
      </c>
      <c r="G187" s="110">
        <f t="shared" si="76"/>
        <v>0.65844686973266453</v>
      </c>
      <c r="H187" s="414" t="b">
        <f>Wh_hp&gt;='2024'!Maxi_hp</f>
        <v>0</v>
      </c>
      <c r="I187" s="390">
        <f>IF(H187,Wh_hp,'2024'!Maxi_hp)</f>
        <v>63.004166310746122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5.4755934996875477E-2</v>
      </c>
      <c r="M187" s="845"/>
      <c r="N187" s="845"/>
      <c r="O187" s="48">
        <f>IF(t&lt;Tnet,'2024'!Resal+('2024'!Salim-'2024'!Resal)*(1-EXP(('2024'!Tnet-t)/('2024'!Tau_j))),Resal+(Salim-Resal)*(1-EXP((Tnet-t)/(Tau_j))))*Salcycl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6.505743189233976E-6</v>
      </c>
      <c r="Q187" s="305">
        <f t="shared" si="53"/>
        <v>0.5</v>
      </c>
      <c r="R187" s="177">
        <f t="shared" si="54"/>
        <v>0.28266423678311625</v>
      </c>
      <c r="S187" s="811">
        <f t="shared" si="55"/>
        <v>-2</v>
      </c>
      <c r="T187" s="176">
        <f t="shared" si="56"/>
        <v>4</v>
      </c>
      <c r="U187" s="251">
        <f t="shared" si="57"/>
        <v>-1.7173357632168837</v>
      </c>
      <c r="V187" s="383">
        <f t="shared" si="58"/>
        <v>58.890200287003339</v>
      </c>
      <c r="W187" s="402">
        <f t="shared" si="59"/>
        <v>38.776191126428145</v>
      </c>
      <c r="X187" s="157">
        <f t="shared" si="60"/>
        <v>45830</v>
      </c>
      <c r="Y187" s="385">
        <f t="shared" si="61"/>
        <v>36.726672508361673</v>
      </c>
      <c r="Z187" s="385">
        <f t="shared" si="62"/>
        <v>38.854168852401386</v>
      </c>
      <c r="AA187" s="386">
        <f t="shared" si="63"/>
        <v>41.465685108701685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6.2980178657466912E-2</v>
      </c>
      <c r="AD187" s="231">
        <f>(INDEX(Models!$BJ187:$BT187,,AH187)*(1-AF187)+INDEX(Models!$BJ187:$BT187,,AH187+1)*AF187-ERP_i)*AE187*Ramure*Pc/MaxiM</f>
        <v>1.3484762962812829E-4</v>
      </c>
      <c r="AE187" s="305">
        <f t="shared" si="65"/>
        <v>0.5</v>
      </c>
      <c r="AF187" s="177">
        <f t="shared" si="66"/>
        <v>0.80765180315709517</v>
      </c>
      <c r="AG187" s="811">
        <f t="shared" si="74"/>
        <v>1</v>
      </c>
      <c r="AH187" s="176">
        <f t="shared" si="67"/>
        <v>7</v>
      </c>
      <c r="AI187" s="225">
        <f t="shared" si="68"/>
        <v>1.8076518031570952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41.415082461648268</v>
      </c>
      <c r="C188" s="841"/>
      <c r="D188" s="393">
        <f t="shared" si="50"/>
        <v>43.815127871735925</v>
      </c>
      <c r="E188" s="385">
        <f t="shared" si="75"/>
        <v>44.29622493966265</v>
      </c>
      <c r="F188" s="385">
        <f t="shared" si="51"/>
        <v>44.296394814246412</v>
      </c>
      <c r="G188" s="110">
        <f t="shared" si="76"/>
        <v>0.70419556074909406</v>
      </c>
      <c r="H188" s="414" t="b">
        <f>Wh_hp&gt;='2024'!Maxi_hp</f>
        <v>0</v>
      </c>
      <c r="I188" s="390">
        <f>IF(H188,Wh_hp,'2024'!Maxi_hp)</f>
        <v>55.386626209177535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5.477663826780399E-2</v>
      </c>
      <c r="M188" s="845"/>
      <c r="N188" s="845"/>
      <c r="O188" s="48">
        <f>IF(t&lt;Tnet,'2024'!Resal+('2024'!Salim-'2024'!Resal)*(1-EXP(('2024'!Tnet-t)/('2024'!Tau_j))),Resal+(Salim-Resal)*(1-EXP((Tnet-t)/(Tau_j))))*Salcycl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6.6414728458395091E-6</v>
      </c>
      <c r="Q188" s="305">
        <f t="shared" si="53"/>
        <v>0.5</v>
      </c>
      <c r="R188" s="177">
        <f t="shared" si="54"/>
        <v>0.28748485161433823</v>
      </c>
      <c r="S188" s="811">
        <f t="shared" si="55"/>
        <v>-2</v>
      </c>
      <c r="T188" s="176">
        <f t="shared" si="56"/>
        <v>4</v>
      </c>
      <c r="U188" s="251">
        <f t="shared" si="57"/>
        <v>-1.7125151483856618</v>
      </c>
      <c r="V188" s="383">
        <f t="shared" si="58"/>
        <v>58.811740001439773</v>
      </c>
      <c r="W188" s="402">
        <f t="shared" si="59"/>
        <v>41.415082461648268</v>
      </c>
      <c r="X188" s="157">
        <f t="shared" si="60"/>
        <v>45831</v>
      </c>
      <c r="Y188" s="385">
        <f t="shared" si="61"/>
        <v>39.226902267568882</v>
      </c>
      <c r="Z188" s="385">
        <f t="shared" si="62"/>
        <v>41.500140449007212</v>
      </c>
      <c r="AA188" s="386">
        <f t="shared" si="63"/>
        <v>44.292922339818048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6.3052554297150273E-2</v>
      </c>
      <c r="AD188" s="231">
        <f>(INDEX(Models!$BJ188:$BT188,,AH188)*(1-AF188)+INDEX(Models!$BJ188:$BT188,,AH188+1)*AF188-ERP_i)*AE188*Ramure*Pc/MaxiM</f>
        <v>1.3576100740041931E-4</v>
      </c>
      <c r="AE188" s="305">
        <f t="shared" si="65"/>
        <v>0.5</v>
      </c>
      <c r="AF188" s="177">
        <f t="shared" si="66"/>
        <v>0.81247241798831715</v>
      </c>
      <c r="AG188" s="811">
        <f t="shared" si="74"/>
        <v>1</v>
      </c>
      <c r="AH188" s="176">
        <f t="shared" si="67"/>
        <v>7</v>
      </c>
      <c r="AI188" s="225">
        <f t="shared" si="68"/>
        <v>1.8124724179883172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39.581247574770174</v>
      </c>
      <c r="C189" s="841"/>
      <c r="D189" s="393">
        <f t="shared" si="50"/>
        <v>41.875937611323693</v>
      </c>
      <c r="E189" s="385">
        <f t="shared" si="75"/>
        <v>42.340260144209878</v>
      </c>
      <c r="F189" s="385">
        <f t="shared" si="51"/>
        <v>42.340413323592273</v>
      </c>
      <c r="G189" s="110">
        <f t="shared" si="76"/>
        <v>0.67392188774866668</v>
      </c>
      <c r="H189" s="414" t="b">
        <f>Wh_hp&gt;='2024'!Maxi_hp</f>
        <v>0</v>
      </c>
      <c r="I189" s="390">
        <f>IF(H189,Wh_hp,'2024'!Maxi_hp)</f>
        <v>62.031075143124923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5.4797341085277784E-2</v>
      </c>
      <c r="M189" s="845"/>
      <c r="N189" s="845"/>
      <c r="O189" s="48">
        <f>IF(t&lt;Tnet,'2024'!Resal+('2024'!Salim-'2024'!Resal)*(1-EXP(('2024'!Tnet-t)/('2024'!Tau_j))),Resal+(Salim-Resal)*(1-EXP((Tnet-t)/(Tau_j))))*Salcycl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6.7726698267583164E-6</v>
      </c>
      <c r="Q189" s="305">
        <f t="shared" si="53"/>
        <v>0.5</v>
      </c>
      <c r="R189" s="177">
        <f t="shared" si="54"/>
        <v>0.29225405399588067</v>
      </c>
      <c r="S189" s="811">
        <f t="shared" si="55"/>
        <v>-2</v>
      </c>
      <c r="T189" s="176">
        <f t="shared" si="56"/>
        <v>4</v>
      </c>
      <c r="U189" s="251">
        <f t="shared" si="57"/>
        <v>-1.7077459460041193</v>
      </c>
      <c r="V189" s="383">
        <f t="shared" si="58"/>
        <v>58.732508055319187</v>
      </c>
      <c r="W189" s="402">
        <f t="shared" si="59"/>
        <v>39.581247574770174</v>
      </c>
      <c r="X189" s="157">
        <f t="shared" si="60"/>
        <v>45832</v>
      </c>
      <c r="Y189" s="385">
        <f t="shared" si="61"/>
        <v>37.491296539580865</v>
      </c>
      <c r="Z189" s="385">
        <f t="shared" si="62"/>
        <v>39.664823396316102</v>
      </c>
      <c r="AA189" s="386">
        <f t="shared" si="63"/>
        <v>42.3373184510356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6.3123862173990117E-2</v>
      </c>
      <c r="AD189" s="231">
        <f>(INDEX(Models!$BJ189:$BT189,,AH189)*(1-AF189)+INDEX(Models!$BJ189:$BT189,,AH189+1)*AF189-ERP_i)*AE189*Ramure*Pc/MaxiM</f>
        <v>1.3683662679882312E-4</v>
      </c>
      <c r="AE189" s="305">
        <f t="shared" si="65"/>
        <v>0.5</v>
      </c>
      <c r="AF189" s="177">
        <f t="shared" si="66"/>
        <v>0.81724162036985959</v>
      </c>
      <c r="AG189" s="811">
        <f t="shared" si="74"/>
        <v>1</v>
      </c>
      <c r="AH189" s="176">
        <f t="shared" si="67"/>
        <v>7</v>
      </c>
      <c r="AI189" s="225">
        <f t="shared" si="68"/>
        <v>1.8172416203698596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34.832431279161909</v>
      </c>
      <c r="C190" s="841"/>
      <c r="D190" s="393">
        <f t="shared" si="50"/>
        <v>36.852619792148694</v>
      </c>
      <c r="E190" s="385">
        <f t="shared" si="75"/>
        <v>37.265212418852109</v>
      </c>
      <c r="F190" s="385">
        <f t="shared" si="51"/>
        <v>37.265320351195371</v>
      </c>
      <c r="G190" s="110">
        <f t="shared" si="76"/>
        <v>0.59387153985249475</v>
      </c>
      <c r="H190" s="414" t="b">
        <f>Wh_hp&gt;='2024'!Maxi_hp</f>
        <v>0</v>
      </c>
      <c r="I190" s="390">
        <f>IF(H190,Wh_hp,'2024'!Maxi_hp)</f>
        <v>59.517932616441065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5.481804344930663E-2</v>
      </c>
      <c r="M190" s="845"/>
      <c r="N190" s="845"/>
      <c r="O190" s="48">
        <f>IF(t&lt;Tnet,'2024'!Resal+('2024'!Salim-'2024'!Resal)*(1-EXP(('2024'!Tnet-t)/('2024'!Tau_j))),Resal+(Salim-Resal)*(1-EXP((Tnet-t)/(Tau_j))))*Salcycl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6.8989618816942083E-6</v>
      </c>
      <c r="Q190" s="305">
        <f t="shared" si="53"/>
        <v>0.5</v>
      </c>
      <c r="R190" s="177">
        <f t="shared" si="54"/>
        <v>0.29696870138685649</v>
      </c>
      <c r="S190" s="811">
        <f t="shared" si="55"/>
        <v>-2</v>
      </c>
      <c r="T190" s="176">
        <f t="shared" si="56"/>
        <v>4</v>
      </c>
      <c r="U190" s="251">
        <f t="shared" si="57"/>
        <v>-1.7030312986131435</v>
      </c>
      <c r="V190" s="383">
        <f t="shared" si="58"/>
        <v>58.652906427724666</v>
      </c>
      <c r="W190" s="402">
        <f t="shared" si="59"/>
        <v>34.832431279161909</v>
      </c>
      <c r="X190" s="157">
        <f t="shared" si="60"/>
        <v>45833</v>
      </c>
      <c r="Y190" s="385">
        <f t="shared" si="61"/>
        <v>32.994740895491674</v>
      </c>
      <c r="Z190" s="385">
        <f t="shared" si="62"/>
        <v>34.908348246406725</v>
      </c>
      <c r="AA190" s="386">
        <f t="shared" si="63"/>
        <v>37.263160165303539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6.319410131751052E-2</v>
      </c>
      <c r="AD190" s="231">
        <f>(INDEX(Models!$BJ190:$BT190,,AH190)*(1-AF190)+INDEX(Models!$BJ190:$BT190,,AH190+1)*AF190-ERP_i)*AE190*Ramure*Pc/MaxiM</f>
        <v>1.380776111674237E-4</v>
      </c>
      <c r="AE190" s="305">
        <f t="shared" si="65"/>
        <v>0.5</v>
      </c>
      <c r="AF190" s="177">
        <f t="shared" si="66"/>
        <v>0.82195626776083541</v>
      </c>
      <c r="AG190" s="811">
        <f t="shared" si="74"/>
        <v>1</v>
      </c>
      <c r="AH190" s="176">
        <f t="shared" si="67"/>
        <v>7</v>
      </c>
      <c r="AI190" s="225">
        <f t="shared" si="68"/>
        <v>1.8219562677608354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11.687033600342305</v>
      </c>
      <c r="C191" s="841"/>
      <c r="D191" s="393">
        <f t="shared" si="50"/>
        <v>12.365121340900206</v>
      </c>
      <c r="E191" s="385">
        <f t="shared" si="75"/>
        <v>12.504887323143112</v>
      </c>
      <c r="F191" s="385">
        <f t="shared" si="51"/>
        <v>12.504887323143112</v>
      </c>
      <c r="G191" s="110">
        <f t="shared" si="76"/>
        <v>0.19953023664699224</v>
      </c>
      <c r="H191" s="414" t="b">
        <f>Wh_hp&gt;='2024'!Maxi_hp</f>
        <v>0</v>
      </c>
      <c r="I191" s="390">
        <f>IF(H191,Wh_hp,'2024'!Maxi_hp)</f>
        <v>61.557220620707511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5.4838745359900742E-2</v>
      </c>
      <c r="M191" s="845"/>
      <c r="N191" s="845"/>
      <c r="O191" s="48">
        <f>IF(t&lt;Tnet,'2024'!Resal+('2024'!Salim-'2024'!Resal)*(1-EXP(('2024'!Tnet-t)/('2024'!Tau_j))),Resal+(Salim-Resal)*(1-EXP((Tnet-t)/(Tau_j))))*Salcycl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7.0201044001963056E-6</v>
      </c>
      <c r="Q191" s="305">
        <f t="shared" si="53"/>
        <v>0.5</v>
      </c>
      <c r="R191" s="177">
        <f t="shared" si="54"/>
        <v>0.30162581372768882</v>
      </c>
      <c r="S191" s="811">
        <f t="shared" si="55"/>
        <v>-2</v>
      </c>
      <c r="T191" s="176">
        <f t="shared" si="56"/>
        <v>4</v>
      </c>
      <c r="U191" s="251">
        <f t="shared" si="57"/>
        <v>-1.6983741862723112</v>
      </c>
      <c r="V191" s="383">
        <f t="shared" si="58"/>
        <v>58.572333459528686</v>
      </c>
      <c r="W191" s="402">
        <f t="shared" si="59"/>
        <v>11.687033600342305</v>
      </c>
      <c r="X191" s="157">
        <f t="shared" si="60"/>
        <v>45834</v>
      </c>
      <c r="Y191" s="385">
        <f t="shared" si="61"/>
        <v>11.071417819613979</v>
      </c>
      <c r="Z191" s="385">
        <f t="shared" si="62"/>
        <v>11.713787213833452</v>
      </c>
      <c r="AA191" s="386">
        <f t="shared" si="63"/>
        <v>12.504887323143112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6.3263273699839875E-2</v>
      </c>
      <c r="AD191" s="231">
        <f>(INDEX(Models!$BJ191:$BT191,,AH191)*(1-AF191)+INDEX(Models!$BJ191:$BT191,,AH191+1)*AF191-ERP_i)*AE191*Ramure*Pc/MaxiM</f>
        <v>1.3948933850470429E-4</v>
      </c>
      <c r="AE191" s="305">
        <f t="shared" si="65"/>
        <v>0.5</v>
      </c>
      <c r="AF191" s="177">
        <f t="shared" si="66"/>
        <v>0.82661338010166774</v>
      </c>
      <c r="AG191" s="811">
        <f t="shared" si="74"/>
        <v>1</v>
      </c>
      <c r="AH191" s="176">
        <f t="shared" si="67"/>
        <v>7</v>
      </c>
      <c r="AI191" s="225">
        <f t="shared" si="68"/>
        <v>1.8266133801016677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12.75706873756439</v>
      </c>
      <c r="C192" s="841"/>
      <c r="D192" s="393">
        <f t="shared" si="50"/>
        <v>13.497536101485302</v>
      </c>
      <c r="E192" s="385">
        <f t="shared" si="75"/>
        <v>13.651550224981778</v>
      </c>
      <c r="F192" s="385">
        <f t="shared" si="51"/>
        <v>13.651550224981778</v>
      </c>
      <c r="G192" s="110">
        <f t="shared" si="76"/>
        <v>0.21810557537871511</v>
      </c>
      <c r="H192" s="414" t="b">
        <f>Wh_hp&gt;='2024'!Maxi_hp</f>
        <v>0</v>
      </c>
      <c r="I192" s="390">
        <f>IF(H192,Wh_hp,'2024'!Maxi_hp)</f>
        <v>61.321800192772599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5.4859446817069779E-2</v>
      </c>
      <c r="M192" s="845"/>
      <c r="N192" s="845"/>
      <c r="O192" s="48">
        <f>IF(t&lt;Tnet,'2024'!Resal+('2024'!Salim-'2024'!Resal)*(1-EXP(('2024'!Tnet-t)/('2024'!Tau_j))),Resal+(Salim-Resal)*(1-EXP((Tnet-t)/(Tau_j))))*Salcycl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7.1441420428905651E-6</v>
      </c>
      <c r="Q192" s="305">
        <f t="shared" si="53"/>
        <v>0.5</v>
      </c>
      <c r="R192" s="177">
        <f t="shared" si="54"/>
        <v>0.30622257914540585</v>
      </c>
      <c r="S192" s="811">
        <f t="shared" si="55"/>
        <v>-2</v>
      </c>
      <c r="T192" s="176">
        <f t="shared" si="56"/>
        <v>4</v>
      </c>
      <c r="U192" s="251">
        <f t="shared" si="57"/>
        <v>-1.6937774208545942</v>
      </c>
      <c r="V192" s="383">
        <f t="shared" si="58"/>
        <v>58.489919742318648</v>
      </c>
      <c r="W192" s="402">
        <f t="shared" si="59"/>
        <v>12.75706873756439</v>
      </c>
      <c r="X192" s="157">
        <f t="shared" si="60"/>
        <v>45835</v>
      </c>
      <c r="Y192" s="385">
        <f t="shared" si="61"/>
        <v>12.085492077847181</v>
      </c>
      <c r="Z192" s="385">
        <f t="shared" si="62"/>
        <v>12.786978653224772</v>
      </c>
      <c r="AA192" s="386">
        <f t="shared" si="63"/>
        <v>13.651550224981778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6.333138416579788E-2</v>
      </c>
      <c r="AD192" s="231">
        <f>(INDEX(Models!$BJ192:$BT192,,AH192)*(1-AF192)+INDEX(Models!$BJ192:$BT192,,AH192+1)*AF192-ERP_i)*AE192*Ramure*Pc/MaxiM</f>
        <v>1.4188754110989113E-4</v>
      </c>
      <c r="AE192" s="305">
        <f t="shared" si="65"/>
        <v>0.5</v>
      </c>
      <c r="AF192" s="177">
        <f t="shared" si="66"/>
        <v>0.83121014551938477</v>
      </c>
      <c r="AG192" s="811">
        <f t="shared" si="74"/>
        <v>1</v>
      </c>
      <c r="AH192" s="176">
        <f t="shared" si="67"/>
        <v>7</v>
      </c>
      <c r="AI192" s="225">
        <f t="shared" si="68"/>
        <v>1.8312101455193848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57.911974787338117</v>
      </c>
      <c r="C193" s="841"/>
      <c r="D193" s="393">
        <f t="shared" si="50"/>
        <v>61.274741667746852</v>
      </c>
      <c r="E193" s="385">
        <f t="shared" si="75"/>
        <v>61.980480909922619</v>
      </c>
      <c r="F193" s="385">
        <f t="shared" si="51"/>
        <v>61.980926256380272</v>
      </c>
      <c r="G193" s="110">
        <f t="shared" si="76"/>
        <v>0.99154711600341916</v>
      </c>
      <c r="H193" s="414" t="b">
        <f>Wh_hp&gt;='2024'!Maxi_hp</f>
        <v>1</v>
      </c>
      <c r="I193" s="390">
        <f>IF(H193,Wh_hp,'2024'!Maxi_hp)</f>
        <v>61.980926256380272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5.4880147820823733E-2</v>
      </c>
      <c r="M193" s="845"/>
      <c r="N193" s="845"/>
      <c r="O193" s="48">
        <f>IF(t&lt;Tnet,'2024'!Resal+('2024'!Salim-'2024'!Resal)*(1-EXP(('2024'!Tnet-t)/('2024'!Tau_j))),Resal+(Salim-Resal)*(1-EXP((Tnet-t)/(Tau_j))))*Salcycl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7.2730429275145903E-6</v>
      </c>
      <c r="Q193" s="305">
        <f t="shared" si="53"/>
        <v>0.5</v>
      </c>
      <c r="R193" s="177">
        <f t="shared" si="54"/>
        <v>0.31075635867623541</v>
      </c>
      <c r="S193" s="811">
        <f t="shared" si="55"/>
        <v>-2</v>
      </c>
      <c r="T193" s="176">
        <f t="shared" si="56"/>
        <v>4</v>
      </c>
      <c r="U193" s="251">
        <f t="shared" si="57"/>
        <v>-1.6892436413237646</v>
      </c>
      <c r="V193" s="383">
        <f t="shared" si="58"/>
        <v>58.405666020794676</v>
      </c>
      <c r="W193" s="402">
        <f t="shared" si="59"/>
        <v>57.911974787338117</v>
      </c>
      <c r="X193" s="157">
        <f t="shared" si="60"/>
        <v>45836</v>
      </c>
      <c r="Y193" s="385">
        <f t="shared" si="61"/>
        <v>54.8576905951874</v>
      </c>
      <c r="Z193" s="385">
        <f t="shared" si="62"/>
        <v>58.043104764651005</v>
      </c>
      <c r="AA193" s="386">
        <f t="shared" si="63"/>
        <v>61.972035137522866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6.3398440347378057E-2</v>
      </c>
      <c r="AD193" s="231">
        <f>(INDEX(Models!$BJ193:$BT193,,AH193)*(1-AF193)+INDEX(Models!$BJ193:$BT193,,AH193+1)*AF193-ERP_i)*AE193*Ramure*Pc/MaxiM</f>
        <v>1.4520265742096433E-4</v>
      </c>
      <c r="AE193" s="305">
        <f t="shared" si="65"/>
        <v>0.5</v>
      </c>
      <c r="AF193" s="177">
        <f t="shared" si="66"/>
        <v>0.83574392505021433</v>
      </c>
      <c r="AG193" s="811">
        <f t="shared" si="74"/>
        <v>1</v>
      </c>
      <c r="AH193" s="176">
        <f t="shared" si="67"/>
        <v>7</v>
      </c>
      <c r="AI193" s="225">
        <f t="shared" si="68"/>
        <v>1.8357439250502143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54.98075266850595</v>
      </c>
      <c r="C194" s="841"/>
      <c r="D194" s="393">
        <f t="shared" si="50"/>
        <v>58.17458683964491</v>
      </c>
      <c r="E194" s="385">
        <f t="shared" si="75"/>
        <v>58.850837042541102</v>
      </c>
      <c r="F194" s="385">
        <f t="shared" si="51"/>
        <v>58.851237306209754</v>
      </c>
      <c r="G194" s="110">
        <f t="shared" si="76"/>
        <v>0.94274900241042547</v>
      </c>
      <c r="H194" s="414" t="b">
        <f>Wh_hp&gt;='2024'!Maxi_hp</f>
        <v>1</v>
      </c>
      <c r="I194" s="390">
        <f>IF(H194,Wh_hp,'2024'!Maxi_hp)</f>
        <v>58.851237306209754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5.4900848371172595E-2</v>
      </c>
      <c r="M194" s="845"/>
      <c r="N194" s="845"/>
      <c r="O194" s="48">
        <f>IF(t&lt;Tnet,'2024'!Resal+('2024'!Salim-'2024'!Resal)*(1-EXP(('2024'!Tnet-t)/('2024'!Tau_j))),Resal+(Salim-Resal)*(1-EXP((Tnet-t)/(Tau_j))))*Salcycl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7.4070762682284809E-6</v>
      </c>
      <c r="Q194" s="305">
        <f t="shared" si="53"/>
        <v>0.5</v>
      </c>
      <c r="R194" s="177">
        <f t="shared" si="54"/>
        <v>0.31522469000800779</v>
      </c>
      <c r="S194" s="811">
        <f t="shared" si="55"/>
        <v>-2</v>
      </c>
      <c r="T194" s="176">
        <f t="shared" si="56"/>
        <v>4</v>
      </c>
      <c r="U194" s="251">
        <f t="shared" si="57"/>
        <v>-1.6847753099919922</v>
      </c>
      <c r="V194" s="383">
        <f t="shared" si="58"/>
        <v>58.319573100050953</v>
      </c>
      <c r="W194" s="402">
        <f t="shared" si="59"/>
        <v>54.98075266850595</v>
      </c>
      <c r="X194" s="157">
        <f t="shared" si="60"/>
        <v>45837</v>
      </c>
      <c r="Y194" s="385">
        <f t="shared" si="61"/>
        <v>52.083197030861648</v>
      </c>
      <c r="Z194" s="385">
        <f t="shared" si="62"/>
        <v>55.108712076504425</v>
      </c>
      <c r="AA194" s="386">
        <f t="shared" si="63"/>
        <v>58.843161081644638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6.3464452563292445E-2</v>
      </c>
      <c r="AD194" s="231">
        <f>(INDEX(Models!$BJ194:$BT194,,AH194)*(1-AF194)+INDEX(Models!$BJ194:$BT194,,AH194+1)*AF194-ERP_i)*AE194*Ramure*Pc/MaxiM</f>
        <v>1.494545121088324E-4</v>
      </c>
      <c r="AE194" s="305">
        <f t="shared" si="65"/>
        <v>0.5</v>
      </c>
      <c r="AF194" s="177">
        <f t="shared" si="66"/>
        <v>0.84021225638198671</v>
      </c>
      <c r="AG194" s="811">
        <f t="shared" si="74"/>
        <v>1</v>
      </c>
      <c r="AH194" s="176">
        <f t="shared" si="67"/>
        <v>7</v>
      </c>
      <c r="AI194" s="225">
        <f t="shared" si="68"/>
        <v>1.8402122563819867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13.669826763357221</v>
      </c>
      <c r="C195" s="841"/>
      <c r="D195" s="393">
        <f t="shared" si="50"/>
        <v>14.464224362749841</v>
      </c>
      <c r="E195" s="385">
        <f t="shared" si="75"/>
        <v>14.633906446193782</v>
      </c>
      <c r="F195" s="385">
        <f t="shared" si="51"/>
        <v>14.633906446193782</v>
      </c>
      <c r="G195" s="110">
        <f t="shared" si="76"/>
        <v>0.23474735028815094</v>
      </c>
      <c r="H195" s="414" t="b">
        <f>Wh_hp&gt;='2024'!Maxi_hp</f>
        <v>0</v>
      </c>
      <c r="I195" s="390">
        <f>IF(H195,Wh_hp,'2024'!Maxi_hp)</f>
        <v>52.467807817786799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5.4921548468126358E-2</v>
      </c>
      <c r="M195" s="845"/>
      <c r="N195" s="845"/>
      <c r="O195" s="48">
        <f>IF(t&lt;Tnet,'2024'!Resal+('2024'!Salim-'2024'!Resal)*(1-EXP(('2024'!Tnet-t)/('2024'!Tau_j))),Resal+(Salim-Resal)*(1-EXP((Tnet-t)/(Tau_j))))*Salcycl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7.5465107900820081E-6</v>
      </c>
      <c r="Q195" s="305">
        <f t="shared" si="53"/>
        <v>0.5</v>
      </c>
      <c r="R195" s="177">
        <f t="shared" si="54"/>
        <v>0.31962529025356323</v>
      </c>
      <c r="S195" s="811">
        <f t="shared" si="55"/>
        <v>-2</v>
      </c>
      <c r="T195" s="176">
        <f t="shared" si="56"/>
        <v>4</v>
      </c>
      <c r="U195" s="251">
        <f t="shared" si="57"/>
        <v>-1.6803747097464368</v>
      </c>
      <c r="V195" s="383">
        <f t="shared" si="58"/>
        <v>58.231641750514122</v>
      </c>
      <c r="W195" s="402">
        <f t="shared" si="59"/>
        <v>13.669826763357221</v>
      </c>
      <c r="X195" s="157">
        <f t="shared" si="60"/>
        <v>45838</v>
      </c>
      <c r="Y195" s="385">
        <f t="shared" si="61"/>
        <v>12.951565527921897</v>
      </c>
      <c r="Z195" s="385">
        <f t="shared" si="62"/>
        <v>13.704222656784481</v>
      </c>
      <c r="AA195" s="386">
        <f t="shared" si="63"/>
        <v>14.633906446193782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6.3529433704361787E-2</v>
      </c>
      <c r="AD195" s="231">
        <f>(INDEX(Models!$BJ195:$BT195,,AH195)*(1-AF195)+INDEX(Models!$BJ195:$BT195,,AH195+1)*AF195-ERP_i)*AE195*Ramure*Pc/MaxiM</f>
        <v>1.5466226868240135E-4</v>
      </c>
      <c r="AE195" s="305">
        <f t="shared" si="65"/>
        <v>0.5</v>
      </c>
      <c r="AF195" s="177">
        <f t="shared" si="66"/>
        <v>0.84461285662754237</v>
      </c>
      <c r="AG195" s="811">
        <f t="shared" si="74"/>
        <v>1</v>
      </c>
      <c r="AH195" s="176">
        <f t="shared" si="67"/>
        <v>7</v>
      </c>
      <c r="AI195" s="225">
        <f t="shared" si="68"/>
        <v>1.8446128566275424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49.208979011164111</v>
      </c>
      <c r="C196" s="841"/>
      <c r="D196" s="393">
        <f t="shared" si="50"/>
        <v>52.069811514524289</v>
      </c>
      <c r="E196" s="385">
        <f t="shared" si="75"/>
        <v>52.686193319994828</v>
      </c>
      <c r="F196" s="385">
        <f t="shared" si="51"/>
        <v>52.68650961920028</v>
      </c>
      <c r="G196" s="110">
        <f t="shared" si="76"/>
        <v>0.84635897751142319</v>
      </c>
      <c r="H196" s="414" t="b">
        <f>Wh_hp&gt;='2024'!Maxi_hp</f>
        <v>0</v>
      </c>
      <c r="I196" s="390">
        <f>IF(H196,Wh_hp,'2024'!Maxi_hp)</f>
        <v>60.470455322225597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5.4942248111694791E-2</v>
      </c>
      <c r="M196" s="845"/>
      <c r="N196" s="845"/>
      <c r="O196" s="48">
        <f>IF(t&lt;Tnet,'2024'!Resal+('2024'!Salim-'2024'!Resal)*(1-EXP(('2024'!Tnet-t)/('2024'!Tau_j))),Resal+(Salim-Resal)*(1-EXP((Tnet-t)/(Tau_j))))*Salcycl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7.6916142130982575E-6</v>
      </c>
      <c r="Q196" s="305">
        <f t="shared" si="53"/>
        <v>0.5</v>
      </c>
      <c r="R196" s="177">
        <f t="shared" si="54"/>
        <v>0.3239560577745062</v>
      </c>
      <c r="S196" s="811">
        <f t="shared" si="55"/>
        <v>-2</v>
      </c>
      <c r="T196" s="176">
        <f t="shared" si="56"/>
        <v>4</v>
      </c>
      <c r="U196" s="251">
        <f t="shared" si="57"/>
        <v>-1.6760439422254938</v>
      </c>
      <c r="V196" s="383">
        <f t="shared" si="58"/>
        <v>58.141872708675955</v>
      </c>
      <c r="W196" s="402">
        <f t="shared" si="59"/>
        <v>49.208979011164111</v>
      </c>
      <c r="X196" s="157">
        <f t="shared" si="60"/>
        <v>45839</v>
      </c>
      <c r="Y196" s="385">
        <f t="shared" si="61"/>
        <v>46.619511469507799</v>
      </c>
      <c r="Z196" s="385">
        <f t="shared" si="62"/>
        <v>49.329801672287303</v>
      </c>
      <c r="AA196" s="386">
        <f t="shared" si="63"/>
        <v>52.679895277513836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6.3593399105645196E-2</v>
      </c>
      <c r="AD196" s="231">
        <f>(INDEX(Models!$BJ196:$BT196,,AH196)*(1-AF196)+INDEX(Models!$BJ196:$BT196,,AH196+1)*AF196-ERP_i)*AE196*Ramure*Pc/MaxiM</f>
        <v>1.6084442720270281E-4</v>
      </c>
      <c r="AE196" s="305">
        <f t="shared" si="65"/>
        <v>0.5</v>
      </c>
      <c r="AF196" s="177">
        <f t="shared" si="66"/>
        <v>0.84894362414848512</v>
      </c>
      <c r="AG196" s="811">
        <f t="shared" si="74"/>
        <v>1</v>
      </c>
      <c r="AH196" s="176">
        <f t="shared" si="67"/>
        <v>7</v>
      </c>
      <c r="AI196" s="225">
        <f t="shared" si="68"/>
        <v>1.8489436241484851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54.816921260259484</v>
      </c>
      <c r="C197" s="841"/>
      <c r="D197" s="393">
        <f t="shared" si="50"/>
        <v>58.005049753081487</v>
      </c>
      <c r="E197" s="385">
        <f t="shared" si="75"/>
        <v>58.697852523956705</v>
      </c>
      <c r="F197" s="385">
        <f t="shared" si="51"/>
        <v>58.698276244050234</v>
      </c>
      <c r="G197" s="110">
        <f t="shared" si="76"/>
        <v>0.94430034851646449</v>
      </c>
      <c r="H197" s="414" t="b">
        <f>Wh_hp&gt;='2024'!Maxi_hp</f>
        <v>1</v>
      </c>
      <c r="I197" s="390">
        <f>IF(H197,Wh_hp,'2024'!Maxi_hp)</f>
        <v>58.698276244050234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5.4962947301887888E-2</v>
      </c>
      <c r="M197" s="845"/>
      <c r="N197" s="845"/>
      <c r="O197" s="48">
        <f>IF(t&lt;Tnet,'2024'!Resal+('2024'!Salim-'2024'!Resal)*(1-EXP(('2024'!Tnet-t)/('2024'!Tau_j))),Resal+(Salim-Resal)*(1-EXP((Tnet-t)/(Tau_j))))*Salcycl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7.8426527879447867E-6</v>
      </c>
      <c r="Q197" s="305">
        <f t="shared" si="53"/>
        <v>0.5</v>
      </c>
      <c r="R197" s="177">
        <f t="shared" si="54"/>
        <v>0.32821507308216691</v>
      </c>
      <c r="S197" s="811">
        <f t="shared" si="55"/>
        <v>-2</v>
      </c>
      <c r="T197" s="176">
        <f t="shared" si="56"/>
        <v>4</v>
      </c>
      <c r="U197" s="251">
        <f t="shared" si="57"/>
        <v>-1.6717849269178331</v>
      </c>
      <c r="V197" s="383">
        <f t="shared" si="58"/>
        <v>58.050266674314891</v>
      </c>
      <c r="W197" s="402">
        <f t="shared" si="59"/>
        <v>54.816921260259484</v>
      </c>
      <c r="X197" s="157">
        <f t="shared" si="60"/>
        <v>45840</v>
      </c>
      <c r="Y197" s="385">
        <f t="shared" si="61"/>
        <v>51.932864459254446</v>
      </c>
      <c r="Z197" s="385">
        <f t="shared" si="62"/>
        <v>54.95325745269394</v>
      </c>
      <c r="AA197" s="386">
        <f t="shared" si="63"/>
        <v>58.689198581703259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6.3656366406305329E-2</v>
      </c>
      <c r="AD197" s="231">
        <f>(INDEX(Models!$BJ197:$BT197,,AH197)*(1-AF197)+INDEX(Models!$BJ197:$BT197,,AH197+1)*AF197-ERP_i)*AE197*Ramure*Pc/MaxiM</f>
        <v>1.6801882894103246E-4</v>
      </c>
      <c r="AE197" s="305">
        <f t="shared" si="65"/>
        <v>0.5</v>
      </c>
      <c r="AF197" s="177">
        <f t="shared" si="66"/>
        <v>0.85320263945614583</v>
      </c>
      <c r="AG197" s="811">
        <f t="shared" si="74"/>
        <v>1</v>
      </c>
      <c r="AH197" s="176">
        <f t="shared" si="67"/>
        <v>7</v>
      </c>
      <c r="AI197" s="225">
        <f t="shared" si="68"/>
        <v>1.8532026394561458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45.677066956797013</v>
      </c>
      <c r="C198" s="841"/>
      <c r="D198" s="393">
        <f t="shared" si="50"/>
        <v>48.33468411983516</v>
      </c>
      <c r="E198" s="385">
        <f t="shared" si="75"/>
        <v>48.917109848991103</v>
      </c>
      <c r="F198" s="385">
        <f t="shared" si="51"/>
        <v>48.917385478220389</v>
      </c>
      <c r="G198" s="110">
        <f t="shared" si="76"/>
        <v>0.78812045787875873</v>
      </c>
      <c r="H198" s="414" t="b">
        <f>Wh_hp&gt;='2024'!Maxi_hp</f>
        <v>0</v>
      </c>
      <c r="I198" s="390">
        <f>IF(H198,Wh_hp,'2024'!Maxi_hp)</f>
        <v>53.763656051916264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5.4983646038715639E-2</v>
      </c>
      <c r="M198" s="845"/>
      <c r="N198" s="845"/>
      <c r="O198" s="48">
        <f>IF(t&lt;Tnet,'2024'!Resal+('2024'!Salim-'2024'!Resal)*(1-EXP(('2024'!Tnet-t)/('2024'!Tau_j))),Resal+(Salim-Resal)*(1-EXP((Tnet-t)/(Tau_j))))*Salcycl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8.0803718831620606E-6</v>
      </c>
      <c r="Q198" s="305">
        <f t="shared" si="53"/>
        <v>0.5</v>
      </c>
      <c r="R198" s="177">
        <f t="shared" si="54"/>
        <v>0.33240059884946338</v>
      </c>
      <c r="S198" s="811">
        <f t="shared" si="55"/>
        <v>-2</v>
      </c>
      <c r="T198" s="176">
        <f t="shared" si="56"/>
        <v>4</v>
      </c>
      <c r="U198" s="251">
        <f t="shared" si="57"/>
        <v>-1.6675994011505366</v>
      </c>
      <c r="V198" s="383">
        <f t="shared" si="58"/>
        <v>57.956819650127315</v>
      </c>
      <c r="W198" s="402">
        <f t="shared" si="59"/>
        <v>45.677066956797013</v>
      </c>
      <c r="X198" s="157">
        <f t="shared" si="60"/>
        <v>45841</v>
      </c>
      <c r="Y198" s="385">
        <f t="shared" si="61"/>
        <v>43.276822345577735</v>
      </c>
      <c r="Z198" s="385">
        <f t="shared" si="62"/>
        <v>45.79478668720553</v>
      </c>
      <c r="AA198" s="386">
        <f t="shared" si="63"/>
        <v>48.911336616757936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6.3718355398298704E-2</v>
      </c>
      <c r="AD198" s="231">
        <f>(INDEX(Models!$BJ198:$BT198,,AH198)*(1-AF198)+INDEX(Models!$BJ198:$BT198,,AH198+1)*AF198-ERP_i)*AE198*Ramure*Pc/MaxiM</f>
        <v>1.773289799970173E-4</v>
      </c>
      <c r="AE198" s="305">
        <f t="shared" si="65"/>
        <v>0.5</v>
      </c>
      <c r="AF198" s="177">
        <f t="shared" si="66"/>
        <v>0.8573881652234423</v>
      </c>
      <c r="AG198" s="811">
        <f t="shared" si="74"/>
        <v>1</v>
      </c>
      <c r="AH198" s="176">
        <f t="shared" si="67"/>
        <v>7</v>
      </c>
      <c r="AI198" s="225">
        <f t="shared" si="68"/>
        <v>1.8573881652234423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43.346409399734853</v>
      </c>
      <c r="C199" s="841"/>
      <c r="D199" s="393">
        <f t="shared" si="50"/>
        <v>45.869427165402151</v>
      </c>
      <c r="E199" s="385">
        <f t="shared" si="75"/>
        <v>46.426999849360762</v>
      </c>
      <c r="F199" s="385">
        <f t="shared" si="51"/>
        <v>46.427250396294788</v>
      </c>
      <c r="G199" s="110">
        <f t="shared" si="76"/>
        <v>0.74913811082497184</v>
      </c>
      <c r="H199" s="414" t="b">
        <f>Wh_hp&gt;='2024'!Maxi_hp</f>
        <v>0</v>
      </c>
      <c r="I199" s="390">
        <f>IF(H199,Wh_hp,'2024'!Maxi_hp)</f>
        <v>58.995697367701958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5.5004344322187926E-2</v>
      </c>
      <c r="M199" s="845"/>
      <c r="N199" s="845"/>
      <c r="O199" s="48">
        <f>IF(t&lt;Tnet,'2024'!Resal+('2024'!Salim-'2024'!Resal)*(1-EXP(('2024'!Tnet-t)/('2024'!Tau_j))),Resal+(Salim-Resal)*(1-EXP((Tnet-t)/(Tau_j))))*Salcycl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8.4106987414369887E-6</v>
      </c>
      <c r="Q199" s="305">
        <f t="shared" si="53"/>
        <v>0.5</v>
      </c>
      <c r="R199" s="177">
        <f t="shared" si="54"/>
        <v>0.33651107907342048</v>
      </c>
      <c r="S199" s="811">
        <f t="shared" si="55"/>
        <v>-2</v>
      </c>
      <c r="T199" s="176">
        <f t="shared" si="56"/>
        <v>4</v>
      </c>
      <c r="U199" s="251">
        <f t="shared" si="57"/>
        <v>-1.6634889209265795</v>
      </c>
      <c r="V199" s="383">
        <f t="shared" si="58"/>
        <v>57.861531966020422</v>
      </c>
      <c r="W199" s="402">
        <f t="shared" si="59"/>
        <v>43.346409399734853</v>
      </c>
      <c r="X199" s="157">
        <f t="shared" si="60"/>
        <v>45842</v>
      </c>
      <c r="Y199" s="385">
        <f t="shared" si="61"/>
        <v>41.070348366370311</v>
      </c>
      <c r="Z199" s="385">
        <f t="shared" si="62"/>
        <v>43.46088589890077</v>
      </c>
      <c r="AA199" s="386">
        <f t="shared" si="63"/>
        <v>46.421628978872405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6.3779387865064888E-2</v>
      </c>
      <c r="AD199" s="231">
        <f>(INDEX(Models!$BJ199:$BT199,,AH199)*(1-AF199)+INDEX(Models!$BJ199:$BT199,,AH199+1)*AF199-ERP_i)*AE199*Ramure*Pc/MaxiM</f>
        <v>1.8870735187138157E-4</v>
      </c>
      <c r="AE199" s="305">
        <f t="shared" si="65"/>
        <v>0.5</v>
      </c>
      <c r="AF199" s="177">
        <f t="shared" si="66"/>
        <v>0.8614986454473994</v>
      </c>
      <c r="AG199" s="811">
        <f t="shared" si="74"/>
        <v>1</v>
      </c>
      <c r="AH199" s="176">
        <f t="shared" si="67"/>
        <v>7</v>
      </c>
      <c r="AI199" s="225">
        <f t="shared" si="68"/>
        <v>1.8614986454473994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54.30953583601994</v>
      </c>
      <c r="C200" s="841"/>
      <c r="D200" s="393">
        <f t="shared" si="50"/>
        <v>57.471931277118308</v>
      </c>
      <c r="E200" s="385">
        <f t="shared" si="75"/>
        <v>58.176607984787985</v>
      </c>
      <c r="F200" s="385">
        <f t="shared" si="51"/>
        <v>58.177078197865292</v>
      </c>
      <c r="G200" s="110">
        <f t="shared" si="76"/>
        <v>0.94018965016733214</v>
      </c>
      <c r="H200" s="414" t="b">
        <f>Wh_hp&gt;='2024'!Maxi_hp</f>
        <v>0</v>
      </c>
      <c r="I200" s="390">
        <f>IF(H200,Wh_hp,'2024'!Maxi_hp)</f>
        <v>61.322232788721351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5.502504215231474E-2</v>
      </c>
      <c r="M200" s="845"/>
      <c r="N200" s="845"/>
      <c r="O200" s="48">
        <f>IF(t&lt;Tnet,'2024'!Resal+('2024'!Salim-'2024'!Resal)*(1-EXP(('2024'!Tnet-t)/('2024'!Tau_j))),Resal+(Salim-Resal)*(1-EXP((Tnet-t)/(Tau_j))))*Salcycl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8.8375463986537109E-6</v>
      </c>
      <c r="Q200" s="305">
        <f t="shared" si="53"/>
        <v>0.5</v>
      </c>
      <c r="R200" s="177">
        <f t="shared" si="54"/>
        <v>0.34054513743339432</v>
      </c>
      <c r="S200" s="811">
        <f t="shared" si="55"/>
        <v>-2</v>
      </c>
      <c r="T200" s="176">
        <f t="shared" si="56"/>
        <v>4</v>
      </c>
      <c r="U200" s="251">
        <f t="shared" si="57"/>
        <v>-1.6594548625666057</v>
      </c>
      <c r="V200" s="383">
        <f t="shared" si="58"/>
        <v>57.76440404003155</v>
      </c>
      <c r="W200" s="402">
        <f t="shared" si="59"/>
        <v>54.30953583601994</v>
      </c>
      <c r="X200" s="157">
        <f t="shared" si="60"/>
        <v>45843</v>
      </c>
      <c r="Y200" s="385">
        <f t="shared" si="61"/>
        <v>51.456733536425979</v>
      </c>
      <c r="Z200" s="385">
        <f t="shared" si="62"/>
        <v>54.453012864622359</v>
      </c>
      <c r="AA200" s="386">
        <f t="shared" si="63"/>
        <v>58.166320980636691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6.3839487411460658E-2</v>
      </c>
      <c r="AD200" s="231">
        <f>(INDEX(Models!$BJ200:$BT200,,AH200)*(1-AF200)+INDEX(Models!$BJ200:$BT200,,AH200+1)*AF200-ERP_i)*AE200*Ramure*Pc/MaxiM</f>
        <v>2.0217941815571115E-4</v>
      </c>
      <c r="AE200" s="305">
        <f t="shared" si="65"/>
        <v>0.5</v>
      </c>
      <c r="AF200" s="177">
        <f t="shared" si="66"/>
        <v>0.86553270380737324</v>
      </c>
      <c r="AG200" s="811">
        <f t="shared" si="74"/>
        <v>1</v>
      </c>
      <c r="AH200" s="176">
        <f t="shared" si="67"/>
        <v>7</v>
      </c>
      <c r="AI200" s="225">
        <f t="shared" si="68"/>
        <v>1.8655327038073732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46.638838796217179</v>
      </c>
      <c r="C201" s="841"/>
      <c r="D201" s="393">
        <f t="shared" si="50"/>
        <v>49.355657461109161</v>
      </c>
      <c r="E201" s="385">
        <f t="shared" si="75"/>
        <v>49.966019139207056</v>
      </c>
      <c r="F201" s="385">
        <f t="shared" si="51"/>
        <v>49.966359239134704</v>
      </c>
      <c r="G201" s="110">
        <f t="shared" si="76"/>
        <v>0.80878117818658835</v>
      </c>
      <c r="H201" s="414" t="b">
        <f>Wh_hp&gt;='2024'!Maxi_hp</f>
        <v>0</v>
      </c>
      <c r="I201" s="390">
        <f>IF(H201,Wh_hp,'2024'!Maxi_hp)</f>
        <v>60.73746121896113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5.5045739529105853E-2</v>
      </c>
      <c r="M201" s="845"/>
      <c r="N201" s="845"/>
      <c r="O201" s="48">
        <f>IF(t&lt;Tnet,'2024'!Resal+('2024'!Salim-'2024'!Resal)*(1-EXP(('2024'!Tnet-t)/('2024'!Tau_j))),Resal+(Salim-Resal)*(1-EXP((Tnet-t)/(Tau_j))))*Salcycl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9.3647043452849049E-6</v>
      </c>
      <c r="Q201" s="305">
        <f t="shared" si="53"/>
        <v>0.5</v>
      </c>
      <c r="R201" s="177">
        <f t="shared" si="54"/>
        <v>0.34450157489452038</v>
      </c>
      <c r="S201" s="811">
        <f t="shared" si="55"/>
        <v>-2</v>
      </c>
      <c r="T201" s="176">
        <f t="shared" si="56"/>
        <v>4</v>
      </c>
      <c r="U201" s="251">
        <f t="shared" si="57"/>
        <v>-1.6554984251054796</v>
      </c>
      <c r="V201" s="383">
        <f t="shared" si="58"/>
        <v>57.665436270339193</v>
      </c>
      <c r="W201" s="402">
        <f t="shared" si="59"/>
        <v>46.638838796217179</v>
      </c>
      <c r="X201" s="157">
        <f t="shared" si="60"/>
        <v>45844</v>
      </c>
      <c r="Y201" s="385">
        <f t="shared" si="61"/>
        <v>44.19189295860123</v>
      </c>
      <c r="Z201" s="385">
        <f t="shared" si="62"/>
        <v>46.766171451070356</v>
      </c>
      <c r="AA201" s="386">
        <f t="shared" si="63"/>
        <v>49.958450454286726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6.3898679286247859E-2</v>
      </c>
      <c r="AD201" s="231">
        <f>(INDEX(Models!$BJ201:$BT201,,AH201)*(1-AF201)+INDEX(Models!$BJ201:$BT201,,AH201+1)*AF201-ERP_i)*AE201*Ramure*Pc/MaxiM</f>
        <v>2.1776961948916999E-4</v>
      </c>
      <c r="AE201" s="305">
        <f t="shared" si="65"/>
        <v>0.5</v>
      </c>
      <c r="AF201" s="177">
        <f t="shared" si="66"/>
        <v>0.8694891412684993</v>
      </c>
      <c r="AG201" s="811">
        <f t="shared" si="74"/>
        <v>1</v>
      </c>
      <c r="AH201" s="176">
        <f t="shared" si="67"/>
        <v>7</v>
      </c>
      <c r="AI201" s="225">
        <f t="shared" si="68"/>
        <v>1.8694891412684993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53.565657916716724</v>
      </c>
      <c r="C202" s="841"/>
      <c r="D202" s="393">
        <f t="shared" si="50"/>
        <v>56.6872211794688</v>
      </c>
      <c r="E202" s="385">
        <f t="shared" si="75"/>
        <v>57.394210251093668</v>
      </c>
      <c r="F202" s="385">
        <f t="shared" si="51"/>
        <v>57.394727023568748</v>
      </c>
      <c r="G202" s="110">
        <f t="shared" si="76"/>
        <v>0.93052983536557088</v>
      </c>
      <c r="H202" s="414" t="b">
        <f>Wh_hp&gt;='2024'!Maxi_hp</f>
        <v>1</v>
      </c>
      <c r="I202" s="390">
        <f>IF(H202,Wh_hp,'2024'!Maxi_hp)</f>
        <v>57.394727023568748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5.5066436452571366E-2</v>
      </c>
      <c r="M202" s="845"/>
      <c r="N202" s="845"/>
      <c r="O202" s="48">
        <f>IF(t&lt;Tnet,'2024'!Resal+('2024'!Salim-'2024'!Resal)*(1-EXP(('2024'!Tnet-t)/('2024'!Tau_j))),Resal+(Salim-Resal)*(1-EXP((Tnet-t)/(Tau_j))))*Salcycl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9.9958364564939127E-6</v>
      </c>
      <c r="Q202" s="305">
        <f t="shared" si="53"/>
        <v>0.5</v>
      </c>
      <c r="R202" s="177">
        <f t="shared" si="54"/>
        <v>0.34837936660956004</v>
      </c>
      <c r="S202" s="811">
        <f t="shared" si="55"/>
        <v>-2</v>
      </c>
      <c r="T202" s="176">
        <f t="shared" si="56"/>
        <v>4</v>
      </c>
      <c r="U202" s="251">
        <f t="shared" si="57"/>
        <v>-1.65162063339044</v>
      </c>
      <c r="V202" s="383">
        <f t="shared" si="58"/>
        <v>57.564629035047055</v>
      </c>
      <c r="W202" s="402">
        <f t="shared" si="59"/>
        <v>53.565657916716724</v>
      </c>
      <c r="X202" s="157">
        <f t="shared" si="60"/>
        <v>45845</v>
      </c>
      <c r="Y202" s="385">
        <f t="shared" si="61"/>
        <v>50.754778597088659</v>
      </c>
      <c r="Z202" s="385">
        <f t="shared" si="62"/>
        <v>53.712536579341375</v>
      </c>
      <c r="AA202" s="386">
        <f t="shared" si="63"/>
        <v>57.382551888007157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6.3956990198492936E-2</v>
      </c>
      <c r="AD202" s="231">
        <f>(INDEX(Models!$BJ202:$BT202,,AH202)*(1-AF202)+INDEX(Models!$BJ202:$BT202,,AH202+1)*AF202-ERP_i)*AE202*Ramure*Pc/MaxiM</f>
        <v>2.3550144362789098E-4</v>
      </c>
      <c r="AE202" s="305">
        <f t="shared" si="65"/>
        <v>0.5</v>
      </c>
      <c r="AF202" s="177">
        <f t="shared" si="66"/>
        <v>0.87336693298353896</v>
      </c>
      <c r="AG202" s="811">
        <f t="shared" si="74"/>
        <v>1</v>
      </c>
      <c r="AH202" s="176">
        <f t="shared" si="67"/>
        <v>7</v>
      </c>
      <c r="AI202" s="225">
        <f t="shared" si="68"/>
        <v>1.873366932983539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56.333284440540794</v>
      </c>
      <c r="C203" s="841"/>
      <c r="D203" s="393">
        <f t="shared" si="50"/>
        <v>59.617438182195507</v>
      </c>
      <c r="E203" s="385">
        <f t="shared" si="75"/>
        <v>60.367228554061924</v>
      </c>
      <c r="F203" s="385">
        <f t="shared" si="51"/>
        <v>60.367858387783791</v>
      </c>
      <c r="G203" s="110">
        <f t="shared" si="76"/>
        <v>0.98035718272147199</v>
      </c>
      <c r="H203" s="414" t="b">
        <f>Wh_hp&gt;='2024'!Maxi_hp</f>
        <v>0</v>
      </c>
      <c r="I203" s="390">
        <f>IF(H203,Wh_hp,'2024'!Maxi_hp)</f>
        <v>63.132463716134929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5.508713292272116E-2</v>
      </c>
      <c r="M203" s="845"/>
      <c r="N203" s="845"/>
      <c r="O203" s="48">
        <f>IF(t&lt;Tnet,'2024'!Resal+('2024'!Salim-'2024'!Resal)*(1-EXP(('2024'!Tnet-t)/('2024'!Tau_j))),Resal+(Salim-Resal)*(1-EXP((Tnet-t)/(Tau_j))))*Salcycl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1.073448016268308E-5</v>
      </c>
      <c r="Q203" s="305">
        <f t="shared" si="53"/>
        <v>0.5</v>
      </c>
      <c r="R203" s="177">
        <f t="shared" si="54"/>
        <v>0.35217765817516233</v>
      </c>
      <c r="S203" s="811">
        <f t="shared" si="55"/>
        <v>-2</v>
      </c>
      <c r="T203" s="176">
        <f t="shared" si="56"/>
        <v>4</v>
      </c>
      <c r="U203" s="251">
        <f t="shared" si="57"/>
        <v>-1.6478223418248377</v>
      </c>
      <c r="V203" s="383">
        <f t="shared" si="58"/>
        <v>57.461982698398216</v>
      </c>
      <c r="W203" s="402">
        <f t="shared" si="59"/>
        <v>56.333284440540794</v>
      </c>
      <c r="X203" s="157">
        <f t="shared" si="60"/>
        <v>45846</v>
      </c>
      <c r="Y203" s="385">
        <f t="shared" si="61"/>
        <v>53.377577307311505</v>
      </c>
      <c r="Z203" s="385">
        <f t="shared" si="62"/>
        <v>56.489417349574595</v>
      </c>
      <c r="AA203" s="386">
        <f t="shared" si="63"/>
        <v>60.352873221889901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6.4014448129273857E-2</v>
      </c>
      <c r="AD203" s="231">
        <f>(INDEX(Models!$BJ203:$BT203,,AH203)*(1-AF203)+INDEX(Models!$BJ203:$BT203,,AH203+1)*AF203-ERP_i)*AE203*Ramure*Pc/MaxiM</f>
        <v>2.5539751276836546E-4</v>
      </c>
      <c r="AE203" s="305">
        <f t="shared" si="65"/>
        <v>0.5</v>
      </c>
      <c r="AF203" s="177">
        <f t="shared" si="66"/>
        <v>0.87716522454914125</v>
      </c>
      <c r="AG203" s="811">
        <f t="shared" si="74"/>
        <v>1</v>
      </c>
      <c r="AH203" s="176">
        <f t="shared" si="67"/>
        <v>7</v>
      </c>
      <c r="AI203" s="225">
        <f t="shared" si="68"/>
        <v>1.8771652245491413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55.606734402253181</v>
      </c>
      <c r="C204" s="841"/>
      <c r="D204" s="393">
        <f t="shared" si="50"/>
        <v>58.849820228531236</v>
      </c>
      <c r="E204" s="385">
        <f t="shared" si="75"/>
        <v>59.596119946401807</v>
      </c>
      <c r="F204" s="385">
        <f t="shared" si="51"/>
        <v>59.596780214426815</v>
      </c>
      <c r="G204" s="110">
        <f t="shared" si="76"/>
        <v>0.96947580758302565</v>
      </c>
      <c r="H204" s="414" t="b">
        <f>Wh_hp&gt;='2024'!Maxi_hp</f>
        <v>0</v>
      </c>
      <c r="I204" s="390">
        <f>IF(H204,Wh_hp,'2024'!Maxi_hp)</f>
        <v>60.536567302517156</v>
      </c>
      <c r="J204" s="85">
        <f>IF(H204,An,'2024'!An_max)</f>
        <v>2020</v>
      </c>
      <c r="K204" s="197">
        <f t="shared" si="52"/>
        <v>45847</v>
      </c>
      <c r="L204" s="147">
        <f>IF(t&lt;Tvie,1-EXP((T0-t)*PertePVj)+'2024'!Pspv,1-EXP((T0-t)*PertePVj)+Pspv)</f>
        <v>5.5107828939565007E-2</v>
      </c>
      <c r="M204" s="845"/>
      <c r="N204" s="845"/>
      <c r="O204" s="48">
        <f>IF(t&lt;Tnet,'2024'!Resal+('2024'!Salim-'2024'!Resal)*(1-EXP(('2024'!Tnet-t)/('2024'!Tau_j))),Resal+(Salim-Resal)*(1-EXP((Tnet-t)/(Tau_j))))*Salcycl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1.1584046801832191E-5</v>
      </c>
      <c r="Q204" s="305">
        <f t="shared" si="53"/>
        <v>0.5</v>
      </c>
      <c r="R204" s="177">
        <f t="shared" si="54"/>
        <v>0.3558957613006144</v>
      </c>
      <c r="S204" s="811">
        <f t="shared" si="55"/>
        <v>-2</v>
      </c>
      <c r="T204" s="176">
        <f t="shared" si="56"/>
        <v>4</v>
      </c>
      <c r="U204" s="251">
        <f t="shared" si="57"/>
        <v>-1.6441042386993856</v>
      </c>
      <c r="V204" s="383">
        <f t="shared" si="58"/>
        <v>57.357497607064694</v>
      </c>
      <c r="W204" s="402">
        <f t="shared" si="59"/>
        <v>55.606734402253181</v>
      </c>
      <c r="X204" s="157">
        <f t="shared" si="60"/>
        <v>45847</v>
      </c>
      <c r="Y204" s="385">
        <f t="shared" si="61"/>
        <v>52.690539510715922</v>
      </c>
      <c r="Z204" s="385">
        <f t="shared" si="62"/>
        <v>55.763547550174223</v>
      </c>
      <c r="AA204" s="386">
        <f t="shared" si="63"/>
        <v>59.580964415208278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6.4071082140114574E-2</v>
      </c>
      <c r="AD204" s="231">
        <f>(INDEX(Models!$BJ204:$BT204,,AH204)*(1-AF204)+INDEX(Models!$BJ204:$BT204,,AH204+1)*AF204-ERP_i)*AE204*Ramure*Pc/MaxiM</f>
        <v>2.7747967706512604E-4</v>
      </c>
      <c r="AE204" s="305">
        <f t="shared" si="65"/>
        <v>0.5</v>
      </c>
      <c r="AF204" s="177">
        <f t="shared" si="66"/>
        <v>0.88088332767459332</v>
      </c>
      <c r="AG204" s="811">
        <f t="shared" si="74"/>
        <v>1</v>
      </c>
      <c r="AH204" s="176">
        <f t="shared" si="67"/>
        <v>7</v>
      </c>
      <c r="AI204" s="225">
        <f t="shared" si="68"/>
        <v>1.8808833276745933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54.898345170387003</v>
      </c>
      <c r="C205" s="841"/>
      <c r="D205" s="393">
        <f t="shared" si="50"/>
        <v>58.10138901856169</v>
      </c>
      <c r="E205" s="385">
        <f t="shared" si="75"/>
        <v>58.844270566005925</v>
      </c>
      <c r="F205" s="385">
        <f t="shared" si="51"/>
        <v>58.844965599040229</v>
      </c>
      <c r="G205" s="110">
        <f t="shared" si="76"/>
        <v>0.95890632281718624</v>
      </c>
      <c r="H205" s="414" t="b">
        <f>Wh_hp&gt;='2024'!Maxi_hp</f>
        <v>0</v>
      </c>
      <c r="I205" s="390">
        <f>IF(H205,Wh_hp,'2024'!Maxi_hp)</f>
        <v>59.982897259607313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5.5128524503113119E-2</v>
      </c>
      <c r="M205" s="845"/>
      <c r="N205" s="845"/>
      <c r="O205" s="48">
        <f>IF(t&lt;Tnet,'2024'!Resal+('2024'!Salim-'2024'!Resal)*(1-EXP(('2024'!Tnet-t)/('2024'!Tau_j))),Resal+(Salim-Resal)*(1-EXP((Tnet-t)/(Tau_j))))*Salcycl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1.2547870642056104E-5</v>
      </c>
      <c r="Q205" s="305">
        <f t="shared" si="53"/>
        <v>0.5</v>
      </c>
      <c r="R205" s="177">
        <f t="shared" si="54"/>
        <v>0.35953314894844324</v>
      </c>
      <c r="S205" s="811">
        <f t="shared" si="55"/>
        <v>-2</v>
      </c>
      <c r="T205" s="176">
        <f t="shared" si="56"/>
        <v>4</v>
      </c>
      <c r="U205" s="251">
        <f t="shared" si="57"/>
        <v>-1.6404668510515568</v>
      </c>
      <c r="V205" s="383">
        <f t="shared" si="58"/>
        <v>57.250957079700683</v>
      </c>
      <c r="W205" s="402">
        <f t="shared" si="59"/>
        <v>54.898345170387003</v>
      </c>
      <c r="X205" s="157">
        <f t="shared" si="60"/>
        <v>45848</v>
      </c>
      <c r="Y205" s="385">
        <f t="shared" si="61"/>
        <v>52.020632071346739</v>
      </c>
      <c r="Z205" s="385">
        <f t="shared" si="62"/>
        <v>55.055775754041306</v>
      </c>
      <c r="AA205" s="386">
        <f t="shared" si="63"/>
        <v>58.828250388676757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6.4126922179578827E-2</v>
      </c>
      <c r="AD205" s="231">
        <f>(INDEX(Models!$BJ205:$BT205,,AH205)*(1-AF205)+INDEX(Models!$BJ205:$BT205,,AH205+1)*AF205-ERP_i)*AE205*Ramure*Pc/MaxiM</f>
        <v>3.0177025701440063E-4</v>
      </c>
      <c r="AE205" s="305">
        <f t="shared" si="65"/>
        <v>0.5</v>
      </c>
      <c r="AF205" s="177">
        <f t="shared" si="66"/>
        <v>0.88452071532242216</v>
      </c>
      <c r="AG205" s="811">
        <f t="shared" si="74"/>
        <v>1</v>
      </c>
      <c r="AH205" s="176">
        <f t="shared" si="67"/>
        <v>7</v>
      </c>
      <c r="AI205" s="225">
        <f t="shared" si="68"/>
        <v>1.8845207153224222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53.445410205626033</v>
      </c>
      <c r="C206" s="841"/>
      <c r="D206" s="393">
        <f t="shared" si="50"/>
        <v>56.564921482899798</v>
      </c>
      <c r="E206" s="385">
        <f t="shared" si="75"/>
        <v>57.294058664774333</v>
      </c>
      <c r="F206" s="385">
        <f t="shared" si="51"/>
        <v>57.294770160410209</v>
      </c>
      <c r="G206" s="110">
        <f t="shared" si="76"/>
        <v>0.93530411702893157</v>
      </c>
      <c r="H206" s="414" t="b">
        <f>Wh_hp&gt;='2024'!Maxi_hp</f>
        <v>0</v>
      </c>
      <c r="I206" s="390">
        <f>IF(H206,Wh_hp,'2024'!Maxi_hp)</f>
        <v>61.452728703103304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5.5149219613375156E-2</v>
      </c>
      <c r="M206" s="845"/>
      <c r="N206" s="845"/>
      <c r="O206" s="48">
        <f>IF(t&lt;Tnet,'2024'!Resal+('2024'!Salim-'2024'!Resal)*(1-EXP(('2024'!Tnet-t)/('2024'!Tau_j))),Resal+(Salim-Resal)*(1-EXP((Tnet-t)/(Tau_j))))*Salcycl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1.3682732002702334E-5</v>
      </c>
      <c r="Q206" s="305">
        <f t="shared" si="53"/>
        <v>0.5</v>
      </c>
      <c r="R206" s="177">
        <f t="shared" si="54"/>
        <v>0.36308945000680737</v>
      </c>
      <c r="S206" s="811">
        <f t="shared" si="55"/>
        <v>-2</v>
      </c>
      <c r="T206" s="176">
        <f t="shared" si="56"/>
        <v>4</v>
      </c>
      <c r="U206" s="251">
        <f t="shared" si="57"/>
        <v>-1.6369105499931926</v>
      </c>
      <c r="V206" s="383">
        <f t="shared" si="58"/>
        <v>57.142208235972198</v>
      </c>
      <c r="W206" s="402">
        <f t="shared" si="59"/>
        <v>53.445410205626033</v>
      </c>
      <c r="X206" s="157">
        <f t="shared" si="60"/>
        <v>45849</v>
      </c>
      <c r="Y206" s="385">
        <f t="shared" si="61"/>
        <v>50.645475958054156</v>
      </c>
      <c r="Z206" s="385">
        <f t="shared" si="62"/>
        <v>53.60156017157594</v>
      </c>
      <c r="AA206" s="386">
        <f t="shared" si="63"/>
        <v>57.27776138946497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6.4181998889453654E-2</v>
      </c>
      <c r="AD206" s="231">
        <f>(INDEX(Models!$BJ206:$BT206,,AH206)*(1-AF206)+INDEX(Models!$BJ206:$BT206,,AH206+1)*AF206-ERP_i)*AE206*Ramure*Pc/MaxiM</f>
        <v>3.2709470417581206E-4</v>
      </c>
      <c r="AE206" s="305">
        <f t="shared" si="65"/>
        <v>0.5</v>
      </c>
      <c r="AF206" s="177">
        <f t="shared" si="66"/>
        <v>0.88807701638078651</v>
      </c>
      <c r="AG206" s="811">
        <f t="shared" si="74"/>
        <v>1</v>
      </c>
      <c r="AH206" s="176">
        <f t="shared" si="67"/>
        <v>7</v>
      </c>
      <c r="AI206" s="225">
        <f t="shared" si="68"/>
        <v>1.8880770163807865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53.542111023006989</v>
      </c>
      <c r="C207" s="841"/>
      <c r="D207" s="393">
        <f t="shared" ref="D207:D270" si="77">Wh/(1-Ppv)</f>
        <v>56.668507736668289</v>
      </c>
      <c r="E207" s="385">
        <f t="shared" si="75"/>
        <v>57.404880397196472</v>
      </c>
      <c r="F207" s="385">
        <f t="shared" ref="F207:F270" si="78">Wh_sa/(1-Pvg*MEDIAN((-Sdif+Wh/Env_an)/Csdif,0,1))</f>
        <v>57.405665346676905</v>
      </c>
      <c r="G207" s="110">
        <f t="shared" si="76"/>
        <v>0.93881766562275937</v>
      </c>
      <c r="H207" s="414" t="b">
        <f>Wh_hp&gt;='2024'!Maxi_hp</f>
        <v>0</v>
      </c>
      <c r="I207" s="390">
        <f>IF(H207,Wh_hp,'2024'!Maxi_hp)</f>
        <v>61.87528776158792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5.5169914270361331E-2</v>
      </c>
      <c r="M207" s="845"/>
      <c r="N207" s="845"/>
      <c r="O207" s="48">
        <f>IF(t&lt;Tnet,'2024'!Resal+('2024'!Salim-'2024'!Resal)*(1-EXP(('2024'!Tnet-t)/('2024'!Tau_j))),Resal+(Salim-Resal)*(1-EXP((Tnet-t)/(Tau_j))))*Salcycl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1.4983291823021613E-5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0.3665644435535258</v>
      </c>
      <c r="S207" s="81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-1.6334355564464742</v>
      </c>
      <c r="V207" s="383">
        <f t="shared" ref="V207:V270" si="85">MaxiM*(1-Ppv)*(1-Pvg)*(1-Psa)</f>
        <v>57.031352163303005</v>
      </c>
      <c r="W207" s="402">
        <f t="shared" ref="W207:W270" si="86">Wh*(A207&gt;Tmaj)</f>
        <v>53.542111023006989</v>
      </c>
      <c r="X207" s="157">
        <f t="shared" ref="X207:X270" si="87">t</f>
        <v>45850</v>
      </c>
      <c r="Y207" s="385">
        <f t="shared" ref="Y207:Y270" si="88">Wh_pvt_s*(1-Ppv)</f>
        <v>50.73818049702151</v>
      </c>
      <c r="Z207" s="385">
        <f t="shared" ref="Z207:Z270" si="89">Wh_sa_s*(1-Psa_s)</f>
        <v>53.700851892157196</v>
      </c>
      <c r="AA207" s="386">
        <f t="shared" ref="AA207:AA270" si="90">Wh_hp*(1-Pvg_s*MEDIAN((-Sdif+Wh/Env_an)/Csdif,0,1))</f>
        <v>57.387195489039129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6.4236343411937902E-2</v>
      </c>
      <c r="AD207" s="231">
        <f>(INDEX(Models!$BJ207:$BT207,,AH207)*(1-AF207)+INDEX(Models!$BJ207:$BT207,,AH207+1)*AF207-ERP_i)*AE207*Ramure*Pc/MaxiM</f>
        <v>3.5255678717555902E-4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0.8915520099275045</v>
      </c>
      <c r="AG207" s="81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1.8915520099275045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52.910380595737557</v>
      </c>
      <c r="C208" s="841"/>
      <c r="D208" s="393">
        <f t="shared" si="77"/>
        <v>56.001116278368485</v>
      </c>
      <c r="E208" s="385">
        <f t="shared" si="75"/>
        <v>56.734636239573909</v>
      </c>
      <c r="F208" s="385">
        <f t="shared" si="78"/>
        <v>56.735475852287991</v>
      </c>
      <c r="G208" s="110">
        <f t="shared" si="76"/>
        <v>0.92958006513903868</v>
      </c>
      <c r="H208" s="414" t="b">
        <f>Wh_hp&gt;='2024'!Maxi_hp</f>
        <v>1</v>
      </c>
      <c r="I208" s="390">
        <f>IF(H208,Wh_hp,'2024'!Maxi_hp)</f>
        <v>56.735475852287991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5.5190608474081193E-2</v>
      </c>
      <c r="M208" s="845"/>
      <c r="N208" s="845"/>
      <c r="O208" s="48">
        <f>IF(t&lt;Tnet,'2024'!Resal+('2024'!Salim-'2024'!Resal)*(1-EXP(('2024'!Tnet-t)/('2024'!Tau_j))),Resal+(Salim-Resal)*(1-EXP((Tnet-t)/(Tau_j))))*Salcycl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1.6453955373468504E-5</v>
      </c>
      <c r="Q208" s="305">
        <f t="shared" si="80"/>
        <v>0.5</v>
      </c>
      <c r="R208" s="177">
        <f t="shared" si="81"/>
        <v>0.36995805277087124</v>
      </c>
      <c r="S208" s="811">
        <f t="shared" si="82"/>
        <v>-2</v>
      </c>
      <c r="T208" s="176">
        <f t="shared" si="83"/>
        <v>4</v>
      </c>
      <c r="U208" s="251">
        <f t="shared" si="84"/>
        <v>-1.6300419472291288</v>
      </c>
      <c r="V208" s="383">
        <f t="shared" si="85"/>
        <v>56.918489326325172</v>
      </c>
      <c r="W208" s="402">
        <f t="shared" si="86"/>
        <v>52.910380595737557</v>
      </c>
      <c r="X208" s="157">
        <f t="shared" si="87"/>
        <v>45851</v>
      </c>
      <c r="Y208" s="385">
        <f t="shared" si="88"/>
        <v>50.140937747660985</v>
      </c>
      <c r="Z208" s="385">
        <f t="shared" si="89"/>
        <v>53.069897692994594</v>
      </c>
      <c r="AA208" s="386">
        <f t="shared" si="90"/>
        <v>56.716180191494665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6.4289987199223922E-2</v>
      </c>
      <c r="AD208" s="231">
        <f>(INDEX(Models!$BJ208:$BT208,,AH208)*(1-AF208)+INDEX(Models!$BJ208:$BT208,,AH208+1)*AF208-ERP_i)*AE208*Ramure*Pc/MaxiM</f>
        <v>3.7813855873350627E-4</v>
      </c>
      <c r="AE208" s="305">
        <f t="shared" si="92"/>
        <v>0.5</v>
      </c>
      <c r="AF208" s="177">
        <f t="shared" si="93"/>
        <v>0.89494561914484994</v>
      </c>
      <c r="AG208" s="811">
        <f t="shared" ref="AG208:AG271" si="99">INDEX(Echel_vg,AH208)</f>
        <v>1</v>
      </c>
      <c r="AH208" s="176">
        <f t="shared" si="94"/>
        <v>7</v>
      </c>
      <c r="AI208" s="225">
        <f t="shared" si="95"/>
        <v>1.8949456191448499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52.344167315556675</v>
      </c>
      <c r="C209" s="841"/>
      <c r="D209" s="393">
        <f t="shared" si="77"/>
        <v>55.403041377191784</v>
      </c>
      <c r="E209" s="385">
        <f t="shared" si="75"/>
        <v>56.134474290220425</v>
      </c>
      <c r="F209" s="385">
        <f t="shared" si="78"/>
        <v>56.135376334005372</v>
      </c>
      <c r="G209" s="110">
        <f t="shared" si="76"/>
        <v>0.92149001744266301</v>
      </c>
      <c r="H209" s="414" t="b">
        <f>Wh_hp&gt;='2024'!Maxi_hp</f>
        <v>0</v>
      </c>
      <c r="I209" s="390">
        <f>IF(H209,Wh_hp,'2024'!Maxi_hp)</f>
        <v>61.910407700916835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5.5211302224545067E-2</v>
      </c>
      <c r="M209" s="845"/>
      <c r="N209" s="845"/>
      <c r="O209" s="48">
        <f>IF(t&lt;Tnet,'2024'!Resal+('2024'!Salim-'2024'!Resal)*(1-EXP(('2024'!Tnet-t)/('2024'!Tau_j))),Resal+(Salim-Resal)*(1-EXP((Tnet-t)/(Tau_j))))*Salcycl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1.8098957310668066E-5</v>
      </c>
      <c r="Q209" s="305">
        <f t="shared" si="80"/>
        <v>0.5</v>
      </c>
      <c r="R209" s="177">
        <f t="shared" si="81"/>
        <v>0.37327033856900416</v>
      </c>
      <c r="S209" s="811">
        <f t="shared" si="82"/>
        <v>-2</v>
      </c>
      <c r="T209" s="176">
        <f t="shared" si="83"/>
        <v>4</v>
      </c>
      <c r="U209" s="251">
        <f t="shared" si="84"/>
        <v>-1.6267296614309958</v>
      </c>
      <c r="V209" s="383">
        <f t="shared" si="85"/>
        <v>56.803720138840305</v>
      </c>
      <c r="W209" s="402">
        <f t="shared" si="86"/>
        <v>52.344167315556675</v>
      </c>
      <c r="X209" s="157">
        <f t="shared" si="87"/>
        <v>45852</v>
      </c>
      <c r="Y209" s="385">
        <f t="shared" si="88"/>
        <v>49.605779678485888</v>
      </c>
      <c r="Z209" s="385">
        <f t="shared" si="89"/>
        <v>52.504628596092225</v>
      </c>
      <c r="AA209" s="386">
        <f t="shared" si="90"/>
        <v>56.115249983695612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6.4342961826819978E-2</v>
      </c>
      <c r="AD209" s="231">
        <f>(INDEX(Models!$BJ209:$BT209,,AH209)*(1-AF209)+INDEX(Models!$BJ209:$BT209,,AH209+1)*AF209-ERP_i)*AE209*Ramure*Pc/MaxiM</f>
        <v>4.0382291985616473E-4</v>
      </c>
      <c r="AE209" s="305">
        <f t="shared" si="92"/>
        <v>0.5</v>
      </c>
      <c r="AF209" s="177">
        <f t="shared" si="93"/>
        <v>0.89825790494298285</v>
      </c>
      <c r="AG209" s="811">
        <f t="shared" si="99"/>
        <v>1</v>
      </c>
      <c r="AH209" s="176">
        <f t="shared" si="94"/>
        <v>7</v>
      </c>
      <c r="AI209" s="225">
        <f t="shared" si="95"/>
        <v>1.8982579049429829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50.593102282989193</v>
      </c>
      <c r="C210" s="841"/>
      <c r="D210" s="393">
        <f t="shared" si="77"/>
        <v>53.550820987984252</v>
      </c>
      <c r="E210" s="385">
        <f t="shared" si="75"/>
        <v>54.263345214620173</v>
      </c>
      <c r="F210" s="385">
        <f t="shared" si="78"/>
        <v>54.264260260474003</v>
      </c>
      <c r="G210" s="110">
        <f t="shared" si="76"/>
        <v>0.89249418919578027</v>
      </c>
      <c r="H210" s="414" t="b">
        <f>Wh_hp&gt;='2024'!Maxi_hp</f>
        <v>0</v>
      </c>
      <c r="I210" s="390">
        <f>IF(H210,Wh_hp,'2024'!Maxi_hp)</f>
        <v>63.341573131215071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5.5231995521762611E-2</v>
      </c>
      <c r="M210" s="845"/>
      <c r="N210" s="845"/>
      <c r="O210" s="48">
        <f>IF(t&lt;Tnet,'2024'!Resal+('2024'!Salim-'2024'!Resal)*(1-EXP(('2024'!Tnet-t)/('2024'!Tau_j))),Resal+(Salim-Resal)*(1-EXP((Tnet-t)/(Tau_j))))*Salcycl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1.9922365959529167E-5</v>
      </c>
      <c r="Q210" s="305">
        <f t="shared" si="80"/>
        <v>0.5</v>
      </c>
      <c r="R210" s="177">
        <f t="shared" si="81"/>
        <v>0.37650149297415636</v>
      </c>
      <c r="S210" s="811">
        <f t="shared" si="82"/>
        <v>-2</v>
      </c>
      <c r="T210" s="176">
        <f t="shared" si="83"/>
        <v>4</v>
      </c>
      <c r="U210" s="251">
        <f t="shared" si="84"/>
        <v>-1.6234985070258436</v>
      </c>
      <c r="V210" s="383">
        <f t="shared" si="85"/>
        <v>56.687144967994271</v>
      </c>
      <c r="W210" s="402">
        <f t="shared" si="86"/>
        <v>50.593102282989193</v>
      </c>
      <c r="X210" s="157">
        <f t="shared" si="87"/>
        <v>45853</v>
      </c>
      <c r="Y210" s="385">
        <f t="shared" si="88"/>
        <v>47.948333042554104</v>
      </c>
      <c r="Z210" s="385">
        <f t="shared" si="89"/>
        <v>50.751436135937212</v>
      </c>
      <c r="AA210" s="386">
        <f t="shared" si="90"/>
        <v>54.244528775336128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6.4395298811908072E-2</v>
      </c>
      <c r="AD210" s="231">
        <f>(INDEX(Models!$BJ210:$BT210,,AH210)*(1-AF210)+INDEX(Models!$BJ210:$BT210,,AH210+1)*AF210-ERP_i)*AE210*Ramure*Pc/MaxiM</f>
        <v>4.2959362767949858E-4</v>
      </c>
      <c r="AE210" s="305">
        <f t="shared" si="92"/>
        <v>0.5</v>
      </c>
      <c r="AF210" s="177">
        <f t="shared" si="93"/>
        <v>0.90148905934813528</v>
      </c>
      <c r="AG210" s="811">
        <f t="shared" si="99"/>
        <v>1</v>
      </c>
      <c r="AH210" s="176">
        <f t="shared" si="94"/>
        <v>7</v>
      </c>
      <c r="AI210" s="225">
        <f t="shared" si="95"/>
        <v>1.9014890593481353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51.988643218238984</v>
      </c>
      <c r="C211" s="841"/>
      <c r="D211" s="393">
        <f t="shared" si="77"/>
        <v>55.029151793305715</v>
      </c>
      <c r="E211" s="385">
        <f t="shared" si="75"/>
        <v>55.767033237031654</v>
      </c>
      <c r="F211" s="385">
        <f t="shared" si="78"/>
        <v>55.768114676896694</v>
      </c>
      <c r="G211" s="110">
        <f t="shared" si="76"/>
        <v>0.91903049760613931</v>
      </c>
      <c r="H211" s="414" t="b">
        <f>Wh_hp&gt;='2024'!Maxi_hp</f>
        <v>0</v>
      </c>
      <c r="I211" s="390">
        <f>IF(H211,Wh_hp,'2024'!Maxi_hp)</f>
        <v>61.340662594559738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5.5252688365743818E-2</v>
      </c>
      <c r="M211" s="845"/>
      <c r="N211" s="845"/>
      <c r="O211" s="48">
        <f>IF(t&lt;Tnet,'2024'!Resal+('2024'!Salim-'2024'!Resal)*(1-EXP(('2024'!Tnet-t)/('2024'!Tau_j))),Resal+(Salim-Resal)*(1-EXP((Tnet-t)/(Tau_j))))*Salcycl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2.1928088278728427E-5</v>
      </c>
      <c r="Q211" s="305">
        <f t="shared" si="80"/>
        <v>0.5</v>
      </c>
      <c r="R211" s="177">
        <f t="shared" si="81"/>
        <v>0.37965183233549782</v>
      </c>
      <c r="S211" s="811">
        <f t="shared" si="82"/>
        <v>-2</v>
      </c>
      <c r="T211" s="176">
        <f t="shared" si="83"/>
        <v>4</v>
      </c>
      <c r="U211" s="251">
        <f t="shared" si="84"/>
        <v>-1.6203481676645022</v>
      </c>
      <c r="V211" s="383">
        <f t="shared" si="85"/>
        <v>56.568864133389575</v>
      </c>
      <c r="W211" s="402">
        <f t="shared" si="86"/>
        <v>51.988643218238984</v>
      </c>
      <c r="X211" s="157">
        <f t="shared" si="87"/>
        <v>45854</v>
      </c>
      <c r="Y211" s="385">
        <f t="shared" si="88"/>
        <v>49.271417816376115</v>
      </c>
      <c r="Z211" s="385">
        <f t="shared" si="89"/>
        <v>52.153011931989234</v>
      </c>
      <c r="AA211" s="386">
        <f t="shared" si="90"/>
        <v>55.745653718205197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6.4447029437968442E-2</v>
      </c>
      <c r="AD211" s="231">
        <f>(INDEX(Models!$BJ211:$BT211,,AH211)*(1-AF211)+INDEX(Models!$BJ211:$BT211,,AH211+1)*AF211-ERP_i)*AE211*Ramure*Pc/MaxiM</f>
        <v>4.5543529597282423E-4</v>
      </c>
      <c r="AE211" s="305">
        <f t="shared" si="92"/>
        <v>0.5</v>
      </c>
      <c r="AF211" s="177">
        <f t="shared" si="93"/>
        <v>0.90463939870947674</v>
      </c>
      <c r="AG211" s="811">
        <f t="shared" si="99"/>
        <v>1</v>
      </c>
      <c r="AH211" s="176">
        <f t="shared" si="94"/>
        <v>7</v>
      </c>
      <c r="AI211" s="225">
        <f t="shared" si="95"/>
        <v>1.9046393987094767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51.575593170423581</v>
      </c>
      <c r="C212" s="841"/>
      <c r="D212" s="393">
        <f t="shared" si="77"/>
        <v>54.593140618524352</v>
      </c>
      <c r="E212" s="385">
        <f t="shared" si="75"/>
        <v>55.3308077792421</v>
      </c>
      <c r="F212" s="385">
        <f t="shared" si="78"/>
        <v>55.331969171615505</v>
      </c>
      <c r="G212" s="110">
        <f t="shared" si="76"/>
        <v>0.91366458041409571</v>
      </c>
      <c r="H212" s="414" t="b">
        <f>Wh_hp&gt;='2024'!Maxi_hp</f>
        <v>0</v>
      </c>
      <c r="I212" s="390">
        <f>IF(H212,Wh_hp,'2024'!Maxi_hp)</f>
        <v>60.188178256844751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5.527338075649868E-2</v>
      </c>
      <c r="M212" s="845"/>
      <c r="N212" s="845"/>
      <c r="O212" s="48">
        <f>IF(t&lt;Tnet,'2024'!Resal+('2024'!Salim-'2024'!Resal)*(1-EXP(('2024'!Tnet-t)/('2024'!Tau_j))),Resal+(Salim-Resal)*(1-EXP((Tnet-t)/(Tau_j))))*Salcycl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2.394241293369885E-5</v>
      </c>
      <c r="Q212" s="305">
        <f t="shared" si="80"/>
        <v>0.5</v>
      </c>
      <c r="R212" s="177">
        <f t="shared" si="81"/>
        <v>0.3827217904020741</v>
      </c>
      <c r="S212" s="811">
        <f t="shared" si="82"/>
        <v>-2</v>
      </c>
      <c r="T212" s="176">
        <f t="shared" si="83"/>
        <v>4</v>
      </c>
      <c r="U212" s="251">
        <f t="shared" si="84"/>
        <v>-1.6172782095979259</v>
      </c>
      <c r="V212" s="383">
        <f t="shared" si="85"/>
        <v>56.448987928902447</v>
      </c>
      <c r="W212" s="402">
        <f t="shared" si="86"/>
        <v>51.575593170423581</v>
      </c>
      <c r="X212" s="157">
        <f t="shared" si="87"/>
        <v>45855</v>
      </c>
      <c r="Y212" s="385">
        <f t="shared" si="88"/>
        <v>48.881504305538925</v>
      </c>
      <c r="Z212" s="385">
        <f t="shared" si="89"/>
        <v>51.741427953709241</v>
      </c>
      <c r="AA212" s="386">
        <f t="shared" si="90"/>
        <v>55.308741363432958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6.4498184586825949E-2</v>
      </c>
      <c r="AD212" s="231">
        <f>(INDEX(Models!$BJ212:$BT212,,AH212)*(1-AF212)+INDEX(Models!$BJ212:$BT212,,AH212+1)*AF212-ERP_i)*AE212*Ramure*Pc/MaxiM</f>
        <v>4.7884744879183645E-4</v>
      </c>
      <c r="AE212" s="305">
        <f t="shared" si="92"/>
        <v>0.5</v>
      </c>
      <c r="AF212" s="177">
        <f t="shared" si="93"/>
        <v>0.90770935677605302</v>
      </c>
      <c r="AG212" s="811">
        <f t="shared" si="99"/>
        <v>1</v>
      </c>
      <c r="AH212" s="176">
        <f t="shared" si="94"/>
        <v>7</v>
      </c>
      <c r="AI212" s="225">
        <f t="shared" si="95"/>
        <v>1.907709356776053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53.449613754553681</v>
      </c>
      <c r="C213" s="841"/>
      <c r="D213" s="393">
        <f t="shared" si="77"/>
        <v>56.578044245977189</v>
      </c>
      <c r="E213" s="385">
        <f t="shared" si="75"/>
        <v>57.348358430458696</v>
      </c>
      <c r="F213" s="385">
        <f t="shared" si="78"/>
        <v>57.349733603819672</v>
      </c>
      <c r="G213" s="110">
        <f t="shared" si="76"/>
        <v>0.94890411976735667</v>
      </c>
      <c r="H213" s="414" t="b">
        <f>Wh_hp&gt;='2024'!Maxi_hp</f>
        <v>1</v>
      </c>
      <c r="I213" s="390">
        <f>IF(H213,Wh_hp,'2024'!Maxi_hp)</f>
        <v>57.349733603819672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5.5294072694037077E-2</v>
      </c>
      <c r="M213" s="845"/>
      <c r="N213" s="845"/>
      <c r="O213" s="48">
        <f>IF(t&lt;Tnet,'2024'!Resal+('2024'!Salim-'2024'!Resal)*(1-EXP(('2024'!Tnet-t)/('2024'!Tau_j))),Resal+(Salim-Resal)*(1-EXP((Tnet-t)/(Tau_j))))*Salcycl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2.5866779172790608E-5</v>
      </c>
      <c r="Q213" s="305">
        <f t="shared" si="80"/>
        <v>0.5</v>
      </c>
      <c r="R213" s="177">
        <f t="shared" si="81"/>
        <v>0.38571191131836446</v>
      </c>
      <c r="S213" s="811">
        <f t="shared" si="82"/>
        <v>-2</v>
      </c>
      <c r="T213" s="176">
        <f t="shared" si="83"/>
        <v>4</v>
      </c>
      <c r="U213" s="251">
        <f t="shared" si="84"/>
        <v>-1.6142880886816355</v>
      </c>
      <c r="V213" s="383">
        <f t="shared" si="85"/>
        <v>56.327622277950127</v>
      </c>
      <c r="W213" s="402">
        <f t="shared" si="86"/>
        <v>53.449613754553681</v>
      </c>
      <c r="X213" s="157">
        <f t="shared" si="87"/>
        <v>45856</v>
      </c>
      <c r="Y213" s="385">
        <f t="shared" si="88"/>
        <v>50.658041689503754</v>
      </c>
      <c r="Z213" s="385">
        <f t="shared" si="89"/>
        <v>53.623080183233654</v>
      </c>
      <c r="AA213" s="386">
        <f t="shared" si="90"/>
        <v>57.323225276203857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6.4548794579188107E-2</v>
      </c>
      <c r="AD213" s="231">
        <f>(INDEX(Models!$BJ213:$BT213,,AH213)*(1-AF213)+INDEX(Models!$BJ213:$BT213,,AH213+1)*AF213-ERP_i)*AE213*Ramure*Pc/MaxiM</f>
        <v>4.9861717521333107E-4</v>
      </c>
      <c r="AE213" s="305">
        <f t="shared" si="92"/>
        <v>0.5</v>
      </c>
      <c r="AF213" s="177">
        <f t="shared" si="93"/>
        <v>0.91069947769234361</v>
      </c>
      <c r="AG213" s="811">
        <f t="shared" si="99"/>
        <v>1</v>
      </c>
      <c r="AH213" s="176">
        <f t="shared" si="94"/>
        <v>7</v>
      </c>
      <c r="AI213" s="225">
        <f t="shared" si="95"/>
        <v>1.9106994776923436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42.880314793320807</v>
      </c>
      <c r="C214" s="841"/>
      <c r="D214" s="393">
        <f t="shared" si="77"/>
        <v>45.391113534262082</v>
      </c>
      <c r="E214" s="385">
        <f t="shared" si="75"/>
        <v>46.013783658593923</v>
      </c>
      <c r="F214" s="385">
        <f t="shared" si="78"/>
        <v>46.014626488988796</v>
      </c>
      <c r="G214" s="110">
        <f t="shared" si="76"/>
        <v>0.76292168819870654</v>
      </c>
      <c r="H214" s="414" t="b">
        <f>Wh_hp&gt;='2024'!Maxi_hp</f>
        <v>0</v>
      </c>
      <c r="I214" s="390">
        <f>IF(H214,Wh_hp,'2024'!Maxi_hp)</f>
        <v>60.582660665176114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5.5314764178368891E-2</v>
      </c>
      <c r="M214" s="845"/>
      <c r="N214" s="845"/>
      <c r="O214" s="48">
        <f>IF(t&lt;Tnet,'2024'!Resal+('2024'!Salim-'2024'!Resal)*(1-EXP(('2024'!Tnet-t)/('2024'!Tau_j))),Resal+(Salim-Resal)*(1-EXP((Tnet-t)/(Tau_j))))*Salcycl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2.769670375949419E-5</v>
      </c>
      <c r="Q214" s="305">
        <f t="shared" si="80"/>
        <v>0.5</v>
      </c>
      <c r="R214" s="177">
        <f t="shared" si="81"/>
        <v>0.38862284258392821</v>
      </c>
      <c r="S214" s="811">
        <f t="shared" si="82"/>
        <v>-2</v>
      </c>
      <c r="T214" s="176">
        <f t="shared" si="83"/>
        <v>4</v>
      </c>
      <c r="U214" s="251">
        <f t="shared" si="84"/>
        <v>-1.6113771574160718</v>
      </c>
      <c r="V214" s="383">
        <f t="shared" si="85"/>
        <v>56.204867716312933</v>
      </c>
      <c r="W214" s="402">
        <f t="shared" si="86"/>
        <v>42.880314793320807</v>
      </c>
      <c r="X214" s="157">
        <f t="shared" si="87"/>
        <v>45857</v>
      </c>
      <c r="Y214" s="385">
        <f t="shared" si="88"/>
        <v>40.647426785302933</v>
      </c>
      <c r="Z214" s="385">
        <f t="shared" si="89"/>
        <v>43.027481793922838</v>
      </c>
      <c r="AA214" s="386">
        <f t="shared" si="90"/>
        <v>45.998963748351507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6.4598889024650122E-2</v>
      </c>
      <c r="AD214" s="231">
        <f>(INDEX(Models!$BJ214:$BT214,,AH214)*(1-AF214)+INDEX(Models!$BJ214:$BT214,,AH214+1)*AF214-ERP_i)*AE214*Ramure*Pc/MaxiM</f>
        <v>5.1470175984545999E-4</v>
      </c>
      <c r="AE214" s="305">
        <f t="shared" si="92"/>
        <v>0.5</v>
      </c>
      <c r="AF214" s="177">
        <f t="shared" si="93"/>
        <v>0.91361040895790735</v>
      </c>
      <c r="AG214" s="811">
        <f t="shared" si="99"/>
        <v>1</v>
      </c>
      <c r="AH214" s="176">
        <f t="shared" si="94"/>
        <v>7</v>
      </c>
      <c r="AI214" s="225">
        <f t="shared" si="95"/>
        <v>1.9136104089579073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43.310396810888221</v>
      </c>
      <c r="C215" s="841"/>
      <c r="D215" s="393">
        <f t="shared" si="77"/>
        <v>45.847382597060886</v>
      </c>
      <c r="E215" s="385">
        <f t="shared" si="75"/>
        <v>46.481017698534224</v>
      </c>
      <c r="F215" s="385">
        <f t="shared" si="78"/>
        <v>46.481940587391492</v>
      </c>
      <c r="G215" s="110">
        <f t="shared" si="76"/>
        <v>0.7722779115018682</v>
      </c>
      <c r="H215" s="414" t="b">
        <f>Wh_hp&gt;='2024'!Maxi_hp</f>
        <v>0</v>
      </c>
      <c r="I215" s="390">
        <f>IF(H215,Wh_hp,'2024'!Maxi_hp)</f>
        <v>59.347072848746947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5.5335455209504225E-2</v>
      </c>
      <c r="M215" s="845"/>
      <c r="N215" s="845"/>
      <c r="O215" s="48">
        <f>IF(t&lt;Tnet,'2024'!Resal+('2024'!Salim-'2024'!Resal)*(1-EXP(('2024'!Tnet-t)/('2024'!Tau_j))),Resal+(Salim-Resal)*(1-EXP((Tnet-t)/(Tau_j))))*Salcycl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2.9427865237153475E-5</v>
      </c>
      <c r="Q215" s="305">
        <f t="shared" si="80"/>
        <v>0.5</v>
      </c>
      <c r="R215" s="177">
        <f t="shared" si="81"/>
        <v>0.39145532801936334</v>
      </c>
      <c r="S215" s="811">
        <f t="shared" si="82"/>
        <v>-2</v>
      </c>
      <c r="T215" s="176">
        <f t="shared" si="83"/>
        <v>4</v>
      </c>
      <c r="U215" s="251">
        <f t="shared" si="84"/>
        <v>-1.6085446719806367</v>
      </c>
      <c r="V215" s="383">
        <f t="shared" si="85"/>
        <v>56.080824718205584</v>
      </c>
      <c r="W215" s="402">
        <f t="shared" si="86"/>
        <v>43.310396810888221</v>
      </c>
      <c r="X215" s="157">
        <f t="shared" si="87"/>
        <v>45858</v>
      </c>
      <c r="Y215" s="385">
        <f t="shared" si="88"/>
        <v>41.05653097236209</v>
      </c>
      <c r="Z215" s="385">
        <f t="shared" si="89"/>
        <v>43.461492440649877</v>
      </c>
      <c r="AA215" s="386">
        <f t="shared" si="90"/>
        <v>46.465411437817153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6.4648496682038384E-2</v>
      </c>
      <c r="AD215" s="231">
        <f>(INDEX(Models!$BJ215:$BT215,,AH215)*(1-AF215)+INDEX(Models!$BJ215:$BT215,,AH215+1)*AF215-ERP_i)*AE215*Ramure*Pc/MaxiM</f>
        <v>5.2705976708568238E-4</v>
      </c>
      <c r="AE215" s="305">
        <f t="shared" si="92"/>
        <v>0.5</v>
      </c>
      <c r="AF215" s="177">
        <f t="shared" si="93"/>
        <v>0.91644289439334248</v>
      </c>
      <c r="AG215" s="811">
        <f t="shared" si="99"/>
        <v>1</v>
      </c>
      <c r="AH215" s="176">
        <f t="shared" si="94"/>
        <v>7</v>
      </c>
      <c r="AI215" s="225">
        <f t="shared" si="95"/>
        <v>1.9164428943933425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50.935271978519566</v>
      </c>
      <c r="C216" s="841"/>
      <c r="D216" s="393">
        <f t="shared" si="77"/>
        <v>53.920079775439902</v>
      </c>
      <c r="E216" s="385">
        <f t="shared" si="75"/>
        <v>54.670809421116047</v>
      </c>
      <c r="F216" s="385">
        <f t="shared" si="78"/>
        <v>54.672289706549698</v>
      </c>
      <c r="G216" s="110">
        <f t="shared" si="76"/>
        <v>0.91027662935890796</v>
      </c>
      <c r="H216" s="414" t="b">
        <f>Wh_hp&gt;='2024'!Maxi_hp</f>
        <v>1</v>
      </c>
      <c r="I216" s="390">
        <f>IF(H216,Wh_hp,'2024'!Maxi_hp)</f>
        <v>54.672289706549698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5.5356145787452737E-2</v>
      </c>
      <c r="M216" s="845"/>
      <c r="N216" s="845"/>
      <c r="O216" s="48">
        <f>IF(t&lt;Tnet,'2024'!Resal+('2024'!Salim-'2024'!Resal)*(1-EXP(('2024'!Tnet-t)/('2024'!Tau_j))),Resal+(Salim-Resal)*(1-EXP((Tnet-t)/(Tau_j))))*Salcycl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3.1056100636612571E-5</v>
      </c>
      <c r="Q216" s="305">
        <f t="shared" si="80"/>
        <v>0.5</v>
      </c>
      <c r="R216" s="177">
        <f t="shared" si="81"/>
        <v>0.3942102007774233</v>
      </c>
      <c r="S216" s="811">
        <f t="shared" si="82"/>
        <v>-2</v>
      </c>
      <c r="T216" s="176">
        <f t="shared" si="83"/>
        <v>4</v>
      </c>
      <c r="U216" s="251">
        <f t="shared" si="84"/>
        <v>-1.6057897992225767</v>
      </c>
      <c r="V216" s="383">
        <f t="shared" si="85"/>
        <v>55.955593698346526</v>
      </c>
      <c r="W216" s="402">
        <f t="shared" si="86"/>
        <v>50.935271978519566</v>
      </c>
      <c r="X216" s="157">
        <f t="shared" si="87"/>
        <v>45859</v>
      </c>
      <c r="Y216" s="385">
        <f t="shared" si="88"/>
        <v>48.281920072031724</v>
      </c>
      <c r="Z216" s="385">
        <f t="shared" si="89"/>
        <v>51.111241402485398</v>
      </c>
      <c r="AA216" s="386">
        <f t="shared" si="90"/>
        <v>54.646757967978672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6.4697645330853426E-2</v>
      </c>
      <c r="AD216" s="231">
        <f>(INDEX(Models!$BJ216:$BT216,,AH216)*(1-AF216)+INDEX(Models!$BJ216:$BT216,,AH216+1)*AF216-ERP_i)*AE216*Ramure*Pc/MaxiM</f>
        <v>5.3565091195699162E-4</v>
      </c>
      <c r="AE216" s="305">
        <f t="shared" si="92"/>
        <v>0.5</v>
      </c>
      <c r="AF216" s="177">
        <f t="shared" si="93"/>
        <v>0.91919776715140245</v>
      </c>
      <c r="AG216" s="811">
        <f t="shared" si="99"/>
        <v>1</v>
      </c>
      <c r="AH216" s="176">
        <f t="shared" si="94"/>
        <v>7</v>
      </c>
      <c r="AI216" s="225">
        <f t="shared" si="95"/>
        <v>1.9191977671514024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40.602684751944174</v>
      </c>
      <c r="C217" s="841"/>
      <c r="D217" s="393">
        <f t="shared" si="77"/>
        <v>42.982944199927886</v>
      </c>
      <c r="E217" s="385">
        <f t="shared" si="75"/>
        <v>43.58579386116967</v>
      </c>
      <c r="F217" s="385">
        <f t="shared" si="78"/>
        <v>43.586660562459983</v>
      </c>
      <c r="G217" s="110">
        <f t="shared" si="76"/>
        <v>0.72725589517778522</v>
      </c>
      <c r="H217" s="414" t="b">
        <f>Wh_hp&gt;='2024'!Maxi_hp</f>
        <v>0</v>
      </c>
      <c r="I217" s="390">
        <f>IF(H217,Wh_hp,'2024'!Maxi_hp)</f>
        <v>55.563972127949256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5.5376835912224531E-2</v>
      </c>
      <c r="M217" s="845"/>
      <c r="N217" s="845"/>
      <c r="O217" s="48">
        <f>IF(t&lt;Tnet,'2024'!Resal+('2024'!Salim-'2024'!Resal)*(1-EXP(('2024'!Tnet-t)/('2024'!Tau_j))),Resal+(Salim-Resal)*(1-EXP((Tnet-t)/(Tau_j))))*Salcycl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3.2577401461217416E-5</v>
      </c>
      <c r="Q217" s="305">
        <f t="shared" si="80"/>
        <v>0.5</v>
      </c>
      <c r="R217" s="177">
        <f t="shared" si="81"/>
        <v>0.39688837643470265</v>
      </c>
      <c r="S217" s="811">
        <f t="shared" si="82"/>
        <v>-2</v>
      </c>
      <c r="T217" s="176">
        <f t="shared" si="83"/>
        <v>4</v>
      </c>
      <c r="U217" s="251">
        <f t="shared" si="84"/>
        <v>-1.6031116235652974</v>
      </c>
      <c r="V217" s="383">
        <f t="shared" si="85"/>
        <v>55.829275014776236</v>
      </c>
      <c r="W217" s="402">
        <f t="shared" si="86"/>
        <v>40.602684751944174</v>
      </c>
      <c r="X217" s="157">
        <f t="shared" si="87"/>
        <v>45860</v>
      </c>
      <c r="Y217" s="385">
        <f t="shared" si="88"/>
        <v>38.494466874053089</v>
      </c>
      <c r="Z217" s="385">
        <f t="shared" si="89"/>
        <v>40.751135836508176</v>
      </c>
      <c r="AA217" s="386">
        <f t="shared" si="90"/>
        <v>43.572282604103677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6.4746361654457074E-2</v>
      </c>
      <c r="AD217" s="231">
        <f>(INDEX(Models!$BJ217:$BT217,,AH217)*(1-AF217)+INDEX(Models!$BJ217:$BT217,,AH217+1)*AF217-ERP_i)*AE217*Ramure*Pc/MaxiM</f>
        <v>5.4043593427142371E-4</v>
      </c>
      <c r="AE217" s="305">
        <f t="shared" si="92"/>
        <v>0.5</v>
      </c>
      <c r="AF217" s="177">
        <f t="shared" si="93"/>
        <v>0.92187594280868135</v>
      </c>
      <c r="AG217" s="811">
        <f t="shared" si="99"/>
        <v>1</v>
      </c>
      <c r="AH217" s="176">
        <f t="shared" si="94"/>
        <v>7</v>
      </c>
      <c r="AI217" s="225">
        <f t="shared" si="95"/>
        <v>1.9218759428086813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45.374037430705556</v>
      </c>
      <c r="C218" s="841"/>
      <c r="D218" s="393">
        <f t="shared" si="77"/>
        <v>48.035060948522116</v>
      </c>
      <c r="E218" s="385">
        <f t="shared" si="75"/>
        <v>48.713675337339552</v>
      </c>
      <c r="F218" s="385">
        <f t="shared" si="78"/>
        <v>48.71489249271572</v>
      </c>
      <c r="G218" s="110">
        <f t="shared" si="76"/>
        <v>0.81457854672805496</v>
      </c>
      <c r="H218" s="414" t="b">
        <f>Wh_hp&gt;='2024'!Maxi_hp</f>
        <v>0</v>
      </c>
      <c r="I218" s="390">
        <f>IF(H218,Wh_hp,'2024'!Maxi_hp)</f>
        <v>57.937152506467669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5.5397525583829488E-2</v>
      </c>
      <c r="M218" s="845"/>
      <c r="N218" s="845"/>
      <c r="O218" s="48">
        <f>IF(t&lt;Tnet,'2024'!Resal+('2024'!Salim-'2024'!Resal)*(1-EXP(('2024'!Tnet-t)/('2024'!Tau_j))),Resal+(Salim-Resal)*(1-EXP((Tnet-t)/(Tau_j))))*Salcycl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3.3987909077928906E-5</v>
      </c>
      <c r="Q218" s="305">
        <f t="shared" si="80"/>
        <v>0.5</v>
      </c>
      <c r="R218" s="177">
        <f t="shared" si="81"/>
        <v>0.39949084619583464</v>
      </c>
      <c r="S218" s="811">
        <f t="shared" si="82"/>
        <v>-2</v>
      </c>
      <c r="T218" s="176">
        <f t="shared" si="83"/>
        <v>4</v>
      </c>
      <c r="U218" s="251">
        <f t="shared" si="84"/>
        <v>-1.6005091538041654</v>
      </c>
      <c r="V218" s="383">
        <f t="shared" si="85"/>
        <v>55.701968971882671</v>
      </c>
      <c r="W218" s="402">
        <f t="shared" si="86"/>
        <v>45.374037430705556</v>
      </c>
      <c r="X218" s="157">
        <f t="shared" si="87"/>
        <v>45861</v>
      </c>
      <c r="Y218" s="385">
        <f t="shared" si="88"/>
        <v>43.017476095123953</v>
      </c>
      <c r="Z218" s="385">
        <f t="shared" si="89"/>
        <v>45.540295796611922</v>
      </c>
      <c r="AA218" s="386">
        <f t="shared" si="90"/>
        <v>48.695505030865178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6.4794671135525936E-2</v>
      </c>
      <c r="AD218" s="231">
        <f>(INDEX(Models!$BJ218:$BT218,,AH218)*(1-AF218)+INDEX(Models!$BJ218:$BT218,,AH218+1)*AF218-ERP_i)*AE218*Ramure*Pc/MaxiM</f>
        <v>5.4137647791878212E-4</v>
      </c>
      <c r="AE218" s="305">
        <f t="shared" si="92"/>
        <v>0.5</v>
      </c>
      <c r="AF218" s="177">
        <f t="shared" si="93"/>
        <v>0.92447841256981356</v>
      </c>
      <c r="AG218" s="811">
        <f t="shared" si="99"/>
        <v>1</v>
      </c>
      <c r="AH218" s="176">
        <f t="shared" si="94"/>
        <v>7</v>
      </c>
      <c r="AI218" s="225">
        <f t="shared" si="95"/>
        <v>1.9244784125698136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50.88879940137133</v>
      </c>
      <c r="C219" s="841"/>
      <c r="D219" s="393">
        <f t="shared" si="77"/>
        <v>53.874423791391607</v>
      </c>
      <c r="E219" s="385">
        <f t="shared" si="75"/>
        <v>54.641029066413864</v>
      </c>
      <c r="F219" s="385">
        <f t="shared" si="78"/>
        <v>54.642724898940621</v>
      </c>
      <c r="G219" s="110">
        <f t="shared" si="76"/>
        <v>0.91569830027775889</v>
      </c>
      <c r="H219" s="414" t="b">
        <f>Wh_hp&gt;='2024'!Maxi_hp</f>
        <v>0</v>
      </c>
      <c r="I219" s="390">
        <f>IF(H219,Wh_hp,'2024'!Maxi_hp)</f>
        <v>57.924820130429069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5.5418214802277599E-2</v>
      </c>
      <c r="M219" s="845"/>
      <c r="N219" s="845"/>
      <c r="O219" s="48">
        <f>IF(t&lt;Tnet,'2024'!Resal+('2024'!Salim-'2024'!Resal)*(1-EXP(('2024'!Tnet-t)/('2024'!Tau_j))),Resal+(Salim-Resal)*(1-EXP((Tnet-t)/(Tau_j))))*Salcycl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3.5284011364818127E-5</v>
      </c>
      <c r="Q219" s="305">
        <f t="shared" si="80"/>
        <v>0.5</v>
      </c>
      <c r="R219" s="177">
        <f t="shared" si="81"/>
        <v>0.40201867023871185</v>
      </c>
      <c r="S219" s="811">
        <f t="shared" si="82"/>
        <v>-2</v>
      </c>
      <c r="T219" s="176">
        <f t="shared" si="83"/>
        <v>4</v>
      </c>
      <c r="U219" s="251">
        <f t="shared" si="84"/>
        <v>-1.5979813297612881</v>
      </c>
      <c r="V219" s="383">
        <f t="shared" si="85"/>
        <v>55.573525852348901</v>
      </c>
      <c r="W219" s="402">
        <f t="shared" si="86"/>
        <v>50.88879940137133</v>
      </c>
      <c r="X219" s="157">
        <f t="shared" si="87"/>
        <v>45862</v>
      </c>
      <c r="Y219" s="385">
        <f t="shared" si="88"/>
        <v>48.244843546634762</v>
      </c>
      <c r="Z219" s="385">
        <f t="shared" si="89"/>
        <v>51.075348162188014</v>
      </c>
      <c r="AA219" s="386">
        <f t="shared" si="90"/>
        <v>54.616846373666434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6.484259796416865E-2</v>
      </c>
      <c r="AD219" s="231">
        <f>(INDEX(Models!$BJ219:$BT219,,AH219)*(1-AF219)+INDEX(Models!$BJ219:$BT219,,AH219+1)*AF219-ERP_i)*AE219*Ramure*Pc/MaxiM</f>
        <v>5.3843652924039532E-4</v>
      </c>
      <c r="AE219" s="305">
        <f t="shared" si="92"/>
        <v>0.5</v>
      </c>
      <c r="AF219" s="177">
        <f t="shared" si="93"/>
        <v>0.92700623661269077</v>
      </c>
      <c r="AG219" s="811">
        <f t="shared" si="99"/>
        <v>1</v>
      </c>
      <c r="AH219" s="176">
        <f t="shared" si="94"/>
        <v>7</v>
      </c>
      <c r="AI219" s="225">
        <f t="shared" si="95"/>
        <v>1.9270062366126908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26.005811355241011</v>
      </c>
      <c r="C220" s="841"/>
      <c r="D220" s="393">
        <f t="shared" si="77"/>
        <v>27.532164360213621</v>
      </c>
      <c r="E220" s="385">
        <f t="shared" si="75"/>
        <v>27.92673711451334</v>
      </c>
      <c r="F220" s="385">
        <f t="shared" si="78"/>
        <v>27.926982067236761</v>
      </c>
      <c r="G220" s="110">
        <f t="shared" si="76"/>
        <v>0.46903575064570413</v>
      </c>
      <c r="H220" s="414" t="b">
        <f>Wh_hp&gt;='2024'!Maxi_hp</f>
        <v>0</v>
      </c>
      <c r="I220" s="390">
        <f>IF(H220,Wh_hp,'2024'!Maxi_hp)</f>
        <v>58.619065963281635</v>
      </c>
      <c r="J220" s="85">
        <f>IF(H220,An,'2024'!An_max)</f>
        <v>2019</v>
      </c>
      <c r="K220" s="197">
        <f t="shared" si="79"/>
        <v>45863</v>
      </c>
      <c r="L220" s="147">
        <f>IF(t&lt;Tvie,1-EXP((T0-t)*PertePVj)+'2024'!Pspv,1-EXP((T0-t)*PertePVj)+Pspv)</f>
        <v>5.5438903567578635E-2</v>
      </c>
      <c r="M220" s="845"/>
      <c r="N220" s="845"/>
      <c r="O220" s="48">
        <f>IF(t&lt;Tnet,'2024'!Resal+('2024'!Salim-'2024'!Resal)*(1-EXP(('2024'!Tnet-t)/('2024'!Tau_j))),Resal+(Salim-Resal)*(1-EXP((Tnet-t)/(Tau_j))))*Salcycl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3.631989143452448E-5</v>
      </c>
      <c r="Q220" s="305">
        <f t="shared" si="80"/>
        <v>0.5</v>
      </c>
      <c r="R220" s="177">
        <f t="shared" si="81"/>
        <v>0.40447297122584702</v>
      </c>
      <c r="S220" s="811">
        <f t="shared" si="82"/>
        <v>-2</v>
      </c>
      <c r="T220" s="176">
        <f t="shared" si="83"/>
        <v>4</v>
      </c>
      <c r="U220" s="251">
        <f t="shared" si="84"/>
        <v>-1.595527028774153</v>
      </c>
      <c r="V220" s="383">
        <f t="shared" si="85"/>
        <v>55.443737256044109</v>
      </c>
      <c r="W220" s="402">
        <f t="shared" si="86"/>
        <v>26.005811355241011</v>
      </c>
      <c r="X220" s="157">
        <f t="shared" si="87"/>
        <v>45863</v>
      </c>
      <c r="Y220" s="385">
        <f t="shared" si="88"/>
        <v>24.663855157444729</v>
      </c>
      <c r="Z220" s="385">
        <f t="shared" si="89"/>
        <v>26.11144504108772</v>
      </c>
      <c r="AA220" s="386">
        <f t="shared" si="90"/>
        <v>27.923399008996842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6.4890164958976426E-2</v>
      </c>
      <c r="AD220" s="231">
        <f>(INDEX(Models!$BJ220:$BT220,,AH220)*(1-AF220)+INDEX(Models!$BJ220:$BT220,,AH220+1)*AF220-ERP_i)*AE220*Ramure*Pc/MaxiM</f>
        <v>5.3127103246369551E-4</v>
      </c>
      <c r="AE220" s="305">
        <f t="shared" si="92"/>
        <v>0.5</v>
      </c>
      <c r="AF220" s="177">
        <f t="shared" si="93"/>
        <v>0.92946053759982572</v>
      </c>
      <c r="AG220" s="811">
        <f t="shared" si="99"/>
        <v>1</v>
      </c>
      <c r="AH220" s="176">
        <f t="shared" si="94"/>
        <v>7</v>
      </c>
      <c r="AI220" s="225">
        <f t="shared" si="95"/>
        <v>1.9294605375998257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54.664695366532889</v>
      </c>
      <c r="C221" s="841"/>
      <c r="D221" s="393">
        <f t="shared" si="77"/>
        <v>57.87438514708105</v>
      </c>
      <c r="E221" s="385">
        <f t="shared" si="75"/>
        <v>58.709688742031133</v>
      </c>
      <c r="F221" s="385">
        <f t="shared" si="78"/>
        <v>58.711826275026539</v>
      </c>
      <c r="G221" s="110">
        <f t="shared" si="76"/>
        <v>0.98828575110265771</v>
      </c>
      <c r="H221" s="414" t="b">
        <f>Wh_hp&gt;='2024'!Maxi_hp</f>
        <v>1</v>
      </c>
      <c r="I221" s="390">
        <f>IF(H221,Wh_hp,'2024'!Maxi_hp)</f>
        <v>58.711826275026539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5.5459591879742698E-2</v>
      </c>
      <c r="M221" s="845"/>
      <c r="N221" s="845"/>
      <c r="O221" s="48">
        <f>IF(t&lt;Tnet,'2024'!Resal+('2024'!Salim-'2024'!Resal)*(1-EXP(('2024'!Tnet-t)/('2024'!Tau_j))),Resal+(Salim-Resal)*(1-EXP((Tnet-t)/(Tau_j))))*Salcycl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3.7026794216507069E-5</v>
      </c>
      <c r="Q221" s="305">
        <f t="shared" si="80"/>
        <v>0.5</v>
      </c>
      <c r="R221" s="177">
        <f t="shared" si="81"/>
        <v>0.40685492800370593</v>
      </c>
      <c r="S221" s="811">
        <f t="shared" si="82"/>
        <v>-2</v>
      </c>
      <c r="T221" s="176">
        <f t="shared" si="83"/>
        <v>4</v>
      </c>
      <c r="U221" s="251">
        <f t="shared" si="84"/>
        <v>-1.5931450719962941</v>
      </c>
      <c r="V221" s="383">
        <f t="shared" si="85"/>
        <v>55.312607142405753</v>
      </c>
      <c r="W221" s="402">
        <f t="shared" si="86"/>
        <v>54.664695366532889</v>
      </c>
      <c r="X221" s="157">
        <f t="shared" si="87"/>
        <v>45864</v>
      </c>
      <c r="Y221" s="385">
        <f t="shared" si="88"/>
        <v>51.827972432533848</v>
      </c>
      <c r="Z221" s="385">
        <f t="shared" si="89"/>
        <v>54.871101317599951</v>
      </c>
      <c r="AA221" s="386">
        <f t="shared" si="90"/>
        <v>58.681740598154555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6.4937393501147134E-2</v>
      </c>
      <c r="AD221" s="231">
        <f>(INDEX(Models!$BJ221:$BT221,,AH221)*(1-AF221)+INDEX(Models!$BJ221:$BT221,,AH221+1)*AF221-ERP_i)*AE221*Ramure*Pc/MaxiM</f>
        <v>5.2115039571309831E-4</v>
      </c>
      <c r="AE221" s="305">
        <f t="shared" si="92"/>
        <v>0.5</v>
      </c>
      <c r="AF221" s="177">
        <f t="shared" si="93"/>
        <v>0.93184249437768463</v>
      </c>
      <c r="AG221" s="811">
        <f t="shared" si="99"/>
        <v>1</v>
      </c>
      <c r="AH221" s="176">
        <f t="shared" si="94"/>
        <v>7</v>
      </c>
      <c r="AI221" s="225">
        <f t="shared" si="95"/>
        <v>1.9318424943776846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54.67193469448754</v>
      </c>
      <c r="C222" s="841"/>
      <c r="D222" s="393">
        <f t="shared" si="77"/>
        <v>57.883317332291625</v>
      </c>
      <c r="E222" s="385">
        <f t="shared" si="75"/>
        <v>58.724628664498134</v>
      </c>
      <c r="F222" s="385">
        <f t="shared" si="78"/>
        <v>58.726795959176478</v>
      </c>
      <c r="G222" s="110">
        <f t="shared" si="76"/>
        <v>0.99078965123809781</v>
      </c>
      <c r="H222" s="414" t="b">
        <f>Wh_hp&gt;='2024'!Maxi_hp</f>
        <v>1</v>
      </c>
      <c r="I222" s="390">
        <f>IF(H222,Wh_hp,'2024'!Maxi_hp)</f>
        <v>58.726795959176478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5.5480279738779559E-2</v>
      </c>
      <c r="M222" s="845"/>
      <c r="N222" s="845"/>
      <c r="O222" s="48">
        <f>IF(t&lt;Tnet,'2024'!Resal+('2024'!Salim-'2024'!Resal)*(1-EXP(('2024'!Tnet-t)/('2024'!Tau_j))),Resal+(Salim-Resal)*(1-EXP((Tnet-t)/(Tau_j))))*Salcycl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3.7396724790446287E-5</v>
      </c>
      <c r="Q222" s="305">
        <f t="shared" si="80"/>
        <v>0.5</v>
      </c>
      <c r="R222" s="177">
        <f t="shared" si="81"/>
        <v>0.40916576950867167</v>
      </c>
      <c r="S222" s="811">
        <f t="shared" si="82"/>
        <v>-2</v>
      </c>
      <c r="T222" s="176">
        <f t="shared" si="83"/>
        <v>4</v>
      </c>
      <c r="U222" s="251">
        <f t="shared" si="84"/>
        <v>-1.5908342304913283</v>
      </c>
      <c r="V222" s="383">
        <f t="shared" si="85"/>
        <v>55.180136091579229</v>
      </c>
      <c r="W222" s="402">
        <f t="shared" si="86"/>
        <v>54.67193469448754</v>
      </c>
      <c r="X222" s="157">
        <f t="shared" si="87"/>
        <v>45865</v>
      </c>
      <c r="Y222" s="385">
        <f t="shared" si="88"/>
        <v>51.838024107855851</v>
      </c>
      <c r="Z222" s="385">
        <f t="shared" si="89"/>
        <v>54.882945263990152</v>
      </c>
      <c r="AA222" s="386">
        <f t="shared" si="90"/>
        <v>58.697351786025031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6.4984303481695302E-2</v>
      </c>
      <c r="AD222" s="231">
        <f>(INDEX(Models!$BJ222:$BT222,,AH222)*(1-AF222)+INDEX(Models!$BJ222:$BT222,,AH222+1)*AF222-ERP_i)*AE222*Ramure*Pc/MaxiM</f>
        <v>5.080599565113797E-4</v>
      </c>
      <c r="AE222" s="305">
        <f t="shared" si="92"/>
        <v>0.5</v>
      </c>
      <c r="AF222" s="177">
        <f t="shared" si="93"/>
        <v>0.93415333588265059</v>
      </c>
      <c r="AG222" s="811">
        <f t="shared" si="99"/>
        <v>1</v>
      </c>
      <c r="AH222" s="176">
        <f t="shared" si="94"/>
        <v>7</v>
      </c>
      <c r="AI222" s="225">
        <f t="shared" si="95"/>
        <v>1.9341533358826506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43.874015107169086</v>
      </c>
      <c r="C223" s="841"/>
      <c r="D223" s="393">
        <f t="shared" si="77"/>
        <v>46.452154614213008</v>
      </c>
      <c r="E223" s="385">
        <f t="shared" si="75"/>
        <v>47.132029783681268</v>
      </c>
      <c r="F223" s="385">
        <f t="shared" si="78"/>
        <v>47.133282191866975</v>
      </c>
      <c r="G223" s="110">
        <f t="shared" si="76"/>
        <v>0.79702939854453625</v>
      </c>
      <c r="H223" s="414" t="b">
        <f>Wh_hp&gt;='2024'!Maxi_hp</f>
        <v>0</v>
      </c>
      <c r="I223" s="390">
        <f>IF(H223,Wh_hp,'2024'!Maxi_hp)</f>
        <v>56.44038029737262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5.5500967144699209E-2</v>
      </c>
      <c r="M223" s="845"/>
      <c r="N223" s="845"/>
      <c r="O223" s="48">
        <f>IF(t&lt;Tnet,'2024'!Resal+('2024'!Salim-'2024'!Resal)*(1-EXP(('2024'!Tnet-t)/('2024'!Tau_j))),Resal+(Salim-Resal)*(1-EXP((Tnet-t)/(Tau_j))))*Salcycl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3.7421967729870582E-5</v>
      </c>
      <c r="Q223" s="305">
        <f t="shared" si="80"/>
        <v>0.5</v>
      </c>
      <c r="R223" s="177">
        <f t="shared" si="81"/>
        <v>0.41140676889525318</v>
      </c>
      <c r="S223" s="811">
        <f t="shared" si="82"/>
        <v>-2</v>
      </c>
      <c r="T223" s="176">
        <f t="shared" si="83"/>
        <v>4</v>
      </c>
      <c r="U223" s="251">
        <f t="shared" si="84"/>
        <v>-1.5885932311047468</v>
      </c>
      <c r="V223" s="383">
        <f t="shared" si="85"/>
        <v>55.04632467359793</v>
      </c>
      <c r="W223" s="402">
        <f t="shared" si="86"/>
        <v>43.874015107169086</v>
      </c>
      <c r="X223" s="157">
        <f t="shared" si="87"/>
        <v>45866</v>
      </c>
      <c r="Y223" s="385">
        <f t="shared" si="88"/>
        <v>41.6077960342677</v>
      </c>
      <c r="Z223" s="385">
        <f t="shared" si="89"/>
        <v>44.052767220400213</v>
      </c>
      <c r="AA223" s="386">
        <f t="shared" si="90"/>
        <v>47.116816850146314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6.5030913261632808E-2</v>
      </c>
      <c r="AD223" s="231">
        <f>(INDEX(Models!$BJ223:$BT223,,AH223)*(1-AF223)+INDEX(Models!$BJ223:$BT223,,AH223+1)*AF223-ERP_i)*AE223*Ramure*Pc/MaxiM</f>
        <v>4.9198455708153736E-4</v>
      </c>
      <c r="AE223" s="305">
        <f t="shared" si="92"/>
        <v>0.5</v>
      </c>
      <c r="AF223" s="177">
        <f t="shared" si="93"/>
        <v>0.9363943352692321</v>
      </c>
      <c r="AG223" s="811">
        <f t="shared" si="99"/>
        <v>1</v>
      </c>
      <c r="AH223" s="176">
        <f t="shared" si="94"/>
        <v>7</v>
      </c>
      <c r="AI223" s="225">
        <f t="shared" si="95"/>
        <v>1.9363943352692321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29.678287219464075</v>
      </c>
      <c r="C224" s="841"/>
      <c r="D224" s="393">
        <f t="shared" si="77"/>
        <v>31.422940873361409</v>
      </c>
      <c r="E224" s="385">
        <f t="shared" si="75"/>
        <v>31.886030683142923</v>
      </c>
      <c r="F224" s="385">
        <f t="shared" si="78"/>
        <v>31.88643703261798</v>
      </c>
      <c r="G224" s="110">
        <f t="shared" si="76"/>
        <v>0.54046494795629818</v>
      </c>
      <c r="H224" s="414" t="b">
        <f>Wh_hp&gt;='2024'!Maxi_hp</f>
        <v>0</v>
      </c>
      <c r="I224" s="390">
        <f>IF(H224,Wh_hp,'2024'!Maxi_hp)</f>
        <v>59.643858292588483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5.5521654097511641E-2</v>
      </c>
      <c r="M224" s="845"/>
      <c r="N224" s="845"/>
      <c r="O224" s="48">
        <f>IF(t&lt;Tnet,'2024'!Resal+('2024'!Salim-'2024'!Resal)*(1-EXP(('2024'!Tnet-t)/('2024'!Tau_j))),Resal+(Salim-Resal)*(1-EXP((Tnet-t)/(Tau_j))))*Salcycl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3.709507040642726E-5</v>
      </c>
      <c r="Q224" s="305">
        <f t="shared" si="80"/>
        <v>0.5</v>
      </c>
      <c r="R224" s="177">
        <f t="shared" si="81"/>
        <v>0.41357923789928663</v>
      </c>
      <c r="S224" s="811">
        <f t="shared" si="82"/>
        <v>-2</v>
      </c>
      <c r="T224" s="176">
        <f t="shared" si="83"/>
        <v>4</v>
      </c>
      <c r="U224" s="251">
        <f t="shared" si="84"/>
        <v>-1.5864207621007134</v>
      </c>
      <c r="V224" s="383">
        <f t="shared" si="85"/>
        <v>54.911173451519865</v>
      </c>
      <c r="W224" s="402">
        <f t="shared" si="86"/>
        <v>29.678287219464075</v>
      </c>
      <c r="X224" s="157">
        <f t="shared" si="87"/>
        <v>45867</v>
      </c>
      <c r="Y224" s="385">
        <f t="shared" si="88"/>
        <v>28.151605608513538</v>
      </c>
      <c r="Z224" s="385">
        <f t="shared" si="89"/>
        <v>29.806512484532938</v>
      </c>
      <c r="AA224" s="386">
        <f t="shared" si="90"/>
        <v>31.881256664680315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6.5077239644881574E-2</v>
      </c>
      <c r="AD224" s="231">
        <f>(INDEX(Models!$BJ224:$BT224,,AH224)*(1-AF224)+INDEX(Models!$BJ224:$BT224,,AH224+1)*AF224-ERP_i)*AE224*Ramure*Pc/MaxiM</f>
        <v>4.7290848192148706E-4</v>
      </c>
      <c r="AE224" s="305">
        <f t="shared" si="92"/>
        <v>0.5</v>
      </c>
      <c r="AF224" s="177">
        <f t="shared" si="93"/>
        <v>0.93856680427326555</v>
      </c>
      <c r="AG224" s="811">
        <f t="shared" si="99"/>
        <v>1</v>
      </c>
      <c r="AH224" s="176">
        <f t="shared" si="94"/>
        <v>7</v>
      </c>
      <c r="AI224" s="225">
        <f t="shared" si="95"/>
        <v>1.9385668042732656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49.94598146127904</v>
      </c>
      <c r="C225" s="841"/>
      <c r="D225" s="393">
        <f t="shared" si="77"/>
        <v>52.883240412134853</v>
      </c>
      <c r="E225" s="385">
        <f t="shared" si="75"/>
        <v>53.667946578639686</v>
      </c>
      <c r="F225" s="385">
        <f t="shared" si="78"/>
        <v>53.669654541203862</v>
      </c>
      <c r="G225" s="110">
        <f t="shared" si="76"/>
        <v>0.91184010060379217</v>
      </c>
      <c r="H225" s="414" t="b">
        <f>Wh_hp&gt;='2024'!Maxi_hp</f>
        <v>0</v>
      </c>
      <c r="I225" s="390">
        <f>IF(H225,Wh_hp,'2024'!Maxi_hp)</f>
        <v>55.994393253662331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5.5542340597226625E-2</v>
      </c>
      <c r="M225" s="845"/>
      <c r="N225" s="845"/>
      <c r="O225" s="48">
        <f>IF(t&lt;Tnet,'2024'!Resal+('2024'!Salim-'2024'!Resal)*(1-EXP(('2024'!Tnet-t)/('2024'!Tau_j))),Resal+(Salim-Resal)*(1-EXP((Tnet-t)/(Tau_j))))*Salcycl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3.6408826563197276E-5</v>
      </c>
      <c r="Q225" s="305">
        <f t="shared" si="80"/>
        <v>0.5</v>
      </c>
      <c r="R225" s="177">
        <f t="shared" si="81"/>
        <v>0.41568452144616908</v>
      </c>
      <c r="S225" s="811">
        <f t="shared" si="82"/>
        <v>-2</v>
      </c>
      <c r="T225" s="176">
        <f t="shared" si="83"/>
        <v>4</v>
      </c>
      <c r="U225" s="251">
        <f t="shared" si="84"/>
        <v>-1.5843154785538309</v>
      </c>
      <c r="V225" s="383">
        <f t="shared" si="85"/>
        <v>54.774682982419442</v>
      </c>
      <c r="W225" s="402">
        <f t="shared" si="86"/>
        <v>49.94598146127904</v>
      </c>
      <c r="X225" s="157">
        <f t="shared" si="87"/>
        <v>45868</v>
      </c>
      <c r="Y225" s="385">
        <f t="shared" si="88"/>
        <v>47.369027233109428</v>
      </c>
      <c r="Z225" s="385">
        <f t="shared" si="89"/>
        <v>50.154738819168635</v>
      </c>
      <c r="AA225" s="386">
        <f t="shared" si="90"/>
        <v>53.64850648706058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6.5123297863559429E-2</v>
      </c>
      <c r="AD225" s="231">
        <f>(INDEX(Models!$BJ225:$BT225,,AH225)*(1-AF225)+INDEX(Models!$BJ225:$BT225,,AH225+1)*AF225-ERP_i)*AE225*Ramure*Pc/MaxiM</f>
        <v>4.5081540521095997E-4</v>
      </c>
      <c r="AE225" s="305">
        <f t="shared" si="92"/>
        <v>0.5</v>
      </c>
      <c r="AF225" s="177">
        <f t="shared" si="93"/>
        <v>0.940672087820148</v>
      </c>
      <c r="AG225" s="811">
        <f t="shared" si="99"/>
        <v>1</v>
      </c>
      <c r="AH225" s="176">
        <f t="shared" si="94"/>
        <v>7</v>
      </c>
      <c r="AI225" s="225">
        <f t="shared" si="95"/>
        <v>1.940672087820148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52.637606346711365</v>
      </c>
      <c r="C226" s="841"/>
      <c r="D226" s="393">
        <f t="shared" si="77"/>
        <v>55.734377022172978</v>
      </c>
      <c r="E226" s="385">
        <f t="shared" si="75"/>
        <v>56.567019811400399</v>
      </c>
      <c r="F226" s="385">
        <f t="shared" si="78"/>
        <v>56.568917956373575</v>
      </c>
      <c r="G226" s="110">
        <f t="shared" si="76"/>
        <v>0.96340670860575528</v>
      </c>
      <c r="H226" s="414" t="b">
        <f>Wh_hp&gt;='2024'!Maxi_hp</f>
        <v>0</v>
      </c>
      <c r="I226" s="390">
        <f>IF(H226,Wh_hp,'2024'!Maxi_hp)</f>
        <v>58.250484133448317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5.5563026643854263E-2</v>
      </c>
      <c r="M226" s="845"/>
      <c r="N226" s="845"/>
      <c r="O226" s="48">
        <f>IF(t&lt;Tnet,'2024'!Resal+('2024'!Salim-'2024'!Resal)*(1-EXP(('2024'!Tnet-t)/('2024'!Tau_j))),Resal+(Salim-Resal)*(1-EXP((Tnet-t)/(Tau_j))))*Salcycl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3.5405319775844615E-5</v>
      </c>
      <c r="Q226" s="305">
        <f t="shared" si="80"/>
        <v>0.5</v>
      </c>
      <c r="R226" s="177">
        <f t="shared" si="81"/>
        <v>0.41772399251164205</v>
      </c>
      <c r="S226" s="811">
        <f t="shared" si="82"/>
        <v>-2</v>
      </c>
      <c r="T226" s="176">
        <f t="shared" si="83"/>
        <v>4</v>
      </c>
      <c r="U226" s="251">
        <f t="shared" si="84"/>
        <v>-1.5822760074883579</v>
      </c>
      <c r="V226" s="383">
        <f t="shared" si="85"/>
        <v>54.636851138278743</v>
      </c>
      <c r="W226" s="402">
        <f t="shared" si="86"/>
        <v>52.637606346711365</v>
      </c>
      <c r="X226" s="157">
        <f t="shared" si="87"/>
        <v>45869</v>
      </c>
      <c r="Y226" s="385">
        <f t="shared" si="88"/>
        <v>49.923878813036161</v>
      </c>
      <c r="Z226" s="385">
        <f t="shared" si="89"/>
        <v>52.860995727038251</v>
      </c>
      <c r="AA226" s="386">
        <f t="shared" si="90"/>
        <v>56.546051073095327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6.516910157516613E-2</v>
      </c>
      <c r="AD226" s="231">
        <f>(INDEX(Models!$BJ226:$BT226,,AH226)*(1-AF226)+INDEX(Models!$BJ226:$BT226,,AH226+1)*AF226-ERP_i)*AE226*Ramure*Pc/MaxiM</f>
        <v>4.2652659632648877E-4</v>
      </c>
      <c r="AE226" s="305">
        <f t="shared" si="92"/>
        <v>0.5</v>
      </c>
      <c r="AF226" s="177">
        <f t="shared" si="93"/>
        <v>0.94271155888562097</v>
      </c>
      <c r="AG226" s="811">
        <f t="shared" si="99"/>
        <v>1</v>
      </c>
      <c r="AH226" s="176">
        <f t="shared" si="94"/>
        <v>7</v>
      </c>
      <c r="AI226" s="225">
        <f t="shared" si="95"/>
        <v>1.942711558885621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51.717647109458255</v>
      </c>
      <c r="C227" s="841"/>
      <c r="D227" s="393">
        <f t="shared" si="77"/>
        <v>54.761494247395774</v>
      </c>
      <c r="E227" s="385">
        <f t="shared" si="75"/>
        <v>55.585127355625211</v>
      </c>
      <c r="F227" s="385">
        <f t="shared" si="78"/>
        <v>55.586893998711901</v>
      </c>
      <c r="G227" s="110">
        <f t="shared" si="76"/>
        <v>0.94898589791609755</v>
      </c>
      <c r="H227" s="414" t="b">
        <f>Wh_hp&gt;='2024'!Maxi_hp</f>
        <v>1</v>
      </c>
      <c r="I227" s="390">
        <f>IF(H227,Wh_hp,'2024'!Maxi_hp)</f>
        <v>55.586893998711901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5.5583712237404326E-2</v>
      </c>
      <c r="M227" s="845"/>
      <c r="N227" s="845"/>
      <c r="O227" s="48">
        <f>IF(t&lt;Tnet,'2024'!Resal+('2024'!Salim-'2024'!Resal)*(1-EXP(('2024'!Tnet-t)/('2024'!Tau_j))),Resal+(Salim-Resal)*(1-EXP((Tnet-t)/(Tau_j))))*Salcycl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3.4279746685678784E-5</v>
      </c>
      <c r="Q227" s="305">
        <f t="shared" si="80"/>
        <v>0.5</v>
      </c>
      <c r="R227" s="177">
        <f t="shared" si="81"/>
        <v>0.41969904724031126</v>
      </c>
      <c r="S227" s="811">
        <f t="shared" si="82"/>
        <v>-2</v>
      </c>
      <c r="T227" s="176">
        <f t="shared" si="83"/>
        <v>4</v>
      </c>
      <c r="U227" s="251">
        <f t="shared" si="84"/>
        <v>-1.5803009527596887</v>
      </c>
      <c r="V227" s="383">
        <f t="shared" si="85"/>
        <v>54.497667481806268</v>
      </c>
      <c r="W227" s="402">
        <f t="shared" si="86"/>
        <v>51.717647109458255</v>
      </c>
      <c r="X227" s="157">
        <f t="shared" si="87"/>
        <v>45870</v>
      </c>
      <c r="Y227" s="385">
        <f t="shared" si="88"/>
        <v>49.05526487316439</v>
      </c>
      <c r="Z227" s="385">
        <f t="shared" si="89"/>
        <v>51.942417246297794</v>
      </c>
      <c r="AA227" s="386">
        <f t="shared" si="90"/>
        <v>55.566144635765411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6.5214662871089096E-2</v>
      </c>
      <c r="AD227" s="231">
        <f>(INDEX(Models!$BJ227:$BT227,,AH227)*(1-AF227)+INDEX(Models!$BJ227:$BT227,,AH227+1)*AF227-ERP_i)*AE227*Ramure*Pc/MaxiM</f>
        <v>4.0261833929679128E-4</v>
      </c>
      <c r="AE227" s="305">
        <f t="shared" si="92"/>
        <v>0.5</v>
      </c>
      <c r="AF227" s="177">
        <f t="shared" si="93"/>
        <v>0.94468661361429018</v>
      </c>
      <c r="AG227" s="811">
        <f t="shared" si="99"/>
        <v>1</v>
      </c>
      <c r="AH227" s="176">
        <f t="shared" si="94"/>
        <v>7</v>
      </c>
      <c r="AI227" s="225">
        <f t="shared" si="95"/>
        <v>1.9446866136142902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51.921918163818731</v>
      </c>
      <c r="C228" s="841"/>
      <c r="D228" s="393">
        <f t="shared" si="77"/>
        <v>54.978991875499631</v>
      </c>
      <c r="E228" s="385">
        <f t="shared" si="75"/>
        <v>55.811435754173587</v>
      </c>
      <c r="F228" s="385">
        <f t="shared" si="78"/>
        <v>55.813161310419261</v>
      </c>
      <c r="G228" s="110">
        <f t="shared" si="76"/>
        <v>0.95519771032155387</v>
      </c>
      <c r="H228" s="414" t="b">
        <f>Wh_hp&gt;='2024'!Maxi_hp</f>
        <v>0</v>
      </c>
      <c r="I228" s="390">
        <f>IF(H228,Wh_hp,'2024'!Maxi_hp)</f>
        <v>56.845203333586923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5.5604397377886916E-2</v>
      </c>
      <c r="M228" s="845"/>
      <c r="N228" s="845"/>
      <c r="O228" s="48">
        <f>IF(t&lt;Tnet,'2024'!Resal+('2024'!Salim-'2024'!Resal)*(1-EXP(('2024'!Tnet-t)/('2024'!Tau_j))),Resal+(Salim-Resal)*(1-EXP((Tnet-t)/(Tau_j))))*Salcycl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3.3030627810979751E-5</v>
      </c>
      <c r="Q228" s="305">
        <f t="shared" si="80"/>
        <v>0.5</v>
      </c>
      <c r="R228" s="177">
        <f t="shared" si="81"/>
        <v>0.42161110032494808</v>
      </c>
      <c r="S228" s="811">
        <f t="shared" si="82"/>
        <v>-2</v>
      </c>
      <c r="T228" s="176">
        <f t="shared" si="83"/>
        <v>4</v>
      </c>
      <c r="U228" s="251">
        <f t="shared" si="84"/>
        <v>-1.5783888996750519</v>
      </c>
      <c r="V228" s="383">
        <f t="shared" si="85"/>
        <v>54.357132390336858</v>
      </c>
      <c r="W228" s="402">
        <f t="shared" si="86"/>
        <v>51.921918163818731</v>
      </c>
      <c r="X228" s="157">
        <f t="shared" si="87"/>
        <v>45871</v>
      </c>
      <c r="Y228" s="385">
        <f t="shared" si="88"/>
        <v>49.25238646206666</v>
      </c>
      <c r="Z228" s="385">
        <f t="shared" si="89"/>
        <v>52.152282714275117</v>
      </c>
      <c r="AA228" s="386">
        <f t="shared" si="90"/>
        <v>55.793356745650165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6.5259992295747957E-2</v>
      </c>
      <c r="AD228" s="231">
        <f>(INDEX(Models!$BJ228:$BT228,,AH228)*(1-AF228)+INDEX(Models!$BJ228:$BT228,,AH228+1)*AF228-ERP_i)*AE228*Ramure*Pc/MaxiM</f>
        <v>3.7909932492044898E-4</v>
      </c>
      <c r="AE228" s="305">
        <f t="shared" si="92"/>
        <v>0.5</v>
      </c>
      <c r="AF228" s="177">
        <f t="shared" si="93"/>
        <v>0.946598666698927</v>
      </c>
      <c r="AG228" s="811">
        <f t="shared" si="99"/>
        <v>1</v>
      </c>
      <c r="AH228" s="176">
        <f t="shared" si="94"/>
        <v>7</v>
      </c>
      <c r="AI228" s="225">
        <f t="shared" si="95"/>
        <v>1.946598666698927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49.747862706239829</v>
      </c>
      <c r="C229" s="841"/>
      <c r="D229" s="393">
        <f t="shared" si="77"/>
        <v>52.678085537295395</v>
      </c>
      <c r="E229" s="385">
        <f t="shared" si="75"/>
        <v>53.480992063825802</v>
      </c>
      <c r="F229" s="385">
        <f t="shared" si="78"/>
        <v>53.482485832596353</v>
      </c>
      <c r="G229" s="110">
        <f t="shared" si="76"/>
        <v>0.917595708884692</v>
      </c>
      <c r="H229" s="414" t="b">
        <f>Wh_hp&gt;='2024'!Maxi_hp</f>
        <v>0</v>
      </c>
      <c r="I229" s="390">
        <f>IF(H229,Wh_hp,'2024'!Maxi_hp)</f>
        <v>57.532187418566849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5.5625082065311693E-2</v>
      </c>
      <c r="M229" s="845"/>
      <c r="N229" s="845"/>
      <c r="O229" s="48">
        <f>IF(t&lt;Tnet,'2024'!Resal+('2024'!Salim-'2024'!Resal)*(1-EXP(('2024'!Tnet-t)/('2024'!Tau_j))),Resal+(Salim-Resal)*(1-EXP((Tnet-t)/(Tau_j))))*Salcycl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3.1656518925975659E-5</v>
      </c>
      <c r="Q229" s="305">
        <f t="shared" si="80"/>
        <v>0.5</v>
      </c>
      <c r="R229" s="177">
        <f t="shared" si="81"/>
        <v>0.42346158064767114</v>
      </c>
      <c r="S229" s="811">
        <f t="shared" si="82"/>
        <v>-2</v>
      </c>
      <c r="T229" s="176">
        <f t="shared" si="83"/>
        <v>4</v>
      </c>
      <c r="U229" s="251">
        <f t="shared" si="84"/>
        <v>-1.5765384193523289</v>
      </c>
      <c r="V229" s="383">
        <f t="shared" si="85"/>
        <v>54.215246252527237</v>
      </c>
      <c r="W229" s="402">
        <f t="shared" si="86"/>
        <v>49.747862706239829</v>
      </c>
      <c r="X229" s="157">
        <f t="shared" si="87"/>
        <v>45872</v>
      </c>
      <c r="Y229" s="385">
        <f t="shared" si="88"/>
        <v>47.194292558007398</v>
      </c>
      <c r="Z229" s="385">
        <f t="shared" si="89"/>
        <v>49.97410632338638</v>
      </c>
      <c r="AA229" s="386">
        <f t="shared" si="90"/>
        <v>53.465688390158029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6.5305098875606774E-2</v>
      </c>
      <c r="AD229" s="231">
        <f>(INDEX(Models!$BJ229:$BT229,,AH229)*(1-AF229)+INDEX(Models!$BJ229:$BT229,,AH229+1)*AF229-ERP_i)*AE229*Ramure*Pc/MaxiM</f>
        <v>3.5597782263163924E-4</v>
      </c>
      <c r="AE229" s="305">
        <f t="shared" si="92"/>
        <v>0.5</v>
      </c>
      <c r="AF229" s="177">
        <f t="shared" si="93"/>
        <v>0.94844914702165006</v>
      </c>
      <c r="AG229" s="811">
        <f t="shared" si="99"/>
        <v>1</v>
      </c>
      <c r="AH229" s="176">
        <f t="shared" si="94"/>
        <v>7</v>
      </c>
      <c r="AI229" s="225">
        <f t="shared" si="95"/>
        <v>1.9484491470216501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46.681426360714887</v>
      </c>
      <c r="C230" s="841"/>
      <c r="D230" s="393">
        <f t="shared" si="77"/>
        <v>49.43211423726104</v>
      </c>
      <c r="E230" s="385">
        <f t="shared" si="75"/>
        <v>50.19051452143794</v>
      </c>
      <c r="F230" s="385">
        <f t="shared" si="78"/>
        <v>50.191732565123317</v>
      </c>
      <c r="G230" s="110">
        <f t="shared" si="76"/>
        <v>0.86331453080645015</v>
      </c>
      <c r="H230" s="414" t="b">
        <f>Wh_hp&gt;='2024'!Maxi_hp</f>
        <v>0</v>
      </c>
      <c r="I230" s="390">
        <f>IF(H230,Wh_hp,'2024'!Maxi_hp)</f>
        <v>54.820289563876685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5.564576629968887E-2</v>
      </c>
      <c r="M230" s="845"/>
      <c r="N230" s="845"/>
      <c r="O230" s="48">
        <f>IF(t&lt;Tnet,'2024'!Resal+('2024'!Salim-'2024'!Resal)*(1-EXP(('2024'!Tnet-t)/('2024'!Tau_j))),Resal+(Salim-Resal)*(1-EXP((Tnet-t)/(Tau_j))))*Salcycl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3.0156007597157855E-5</v>
      </c>
      <c r="Q230" s="305">
        <f t="shared" si="80"/>
        <v>0.5</v>
      </c>
      <c r="R230" s="177">
        <f t="shared" si="81"/>
        <v>0.42525192718234783</v>
      </c>
      <c r="S230" s="811">
        <f t="shared" si="82"/>
        <v>-2</v>
      </c>
      <c r="T230" s="176">
        <f t="shared" si="83"/>
        <v>4</v>
      </c>
      <c r="U230" s="251">
        <f t="shared" si="84"/>
        <v>-1.5747480728176522</v>
      </c>
      <c r="V230" s="383">
        <f t="shared" si="85"/>
        <v>54.072009469380028</v>
      </c>
      <c r="W230" s="402">
        <f t="shared" si="86"/>
        <v>46.681426360714887</v>
      </c>
      <c r="X230" s="157">
        <f t="shared" si="87"/>
        <v>45873</v>
      </c>
      <c r="Y230" s="385">
        <f t="shared" si="88"/>
        <v>44.289384507725877</v>
      </c>
      <c r="Z230" s="385">
        <f t="shared" si="89"/>
        <v>46.899122095513391</v>
      </c>
      <c r="AA230" s="386">
        <f t="shared" si="90"/>
        <v>50.178271654222144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6.5349990157200527E-2</v>
      </c>
      <c r="AD230" s="231">
        <f>(INDEX(Models!$BJ230:$BT230,,AH230)*(1-AF230)+INDEX(Models!$BJ230:$BT230,,AH230+1)*AF230-ERP_i)*AE230*Ramure*Pc/MaxiM</f>
        <v>3.3326171817484658E-4</v>
      </c>
      <c r="AE230" s="305">
        <f t="shared" si="92"/>
        <v>0.5</v>
      </c>
      <c r="AF230" s="177">
        <f t="shared" si="93"/>
        <v>0.95023949355632675</v>
      </c>
      <c r="AG230" s="811">
        <f t="shared" si="99"/>
        <v>1</v>
      </c>
      <c r="AH230" s="176">
        <f t="shared" si="94"/>
        <v>7</v>
      </c>
      <c r="AI230" s="225">
        <f t="shared" si="95"/>
        <v>1.9502394935563268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43.430793882018506</v>
      </c>
      <c r="C231" s="841"/>
      <c r="D231" s="393">
        <f t="shared" si="77"/>
        <v>45.990946615997139</v>
      </c>
      <c r="E231" s="385">
        <f t="shared" si="75"/>
        <v>46.70116804072569</v>
      </c>
      <c r="F231" s="385">
        <f t="shared" si="78"/>
        <v>46.702129881790114</v>
      </c>
      <c r="G231" s="110">
        <f t="shared" si="76"/>
        <v>0.80534999421621833</v>
      </c>
      <c r="H231" s="414" t="b">
        <f>Wh_hp&gt;='2024'!Maxi_hp</f>
        <v>0</v>
      </c>
      <c r="I231" s="390">
        <f>IF(H231,Wh_hp,'2024'!Maxi_hp)</f>
        <v>56.442491959447445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5.5666450081028107E-2</v>
      </c>
      <c r="M231" s="845"/>
      <c r="N231" s="845"/>
      <c r="O231" s="48">
        <f>IF(t&lt;Tnet,'2024'!Resal+('2024'!Salim-'2024'!Resal)*(1-EXP(('2024'!Tnet-t)/('2024'!Tau_j))),Resal+(Salim-Resal)*(1-EXP((Tnet-t)/(Tau_j))))*Salcycl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2.8527710069307805E-5</v>
      </c>
      <c r="Q231" s="305">
        <f t="shared" si="80"/>
        <v>0.5</v>
      </c>
      <c r="R231" s="177">
        <f t="shared" si="81"/>
        <v>0.42698358515599022</v>
      </c>
      <c r="S231" s="811">
        <f t="shared" si="82"/>
        <v>-2</v>
      </c>
      <c r="T231" s="176">
        <f t="shared" si="83"/>
        <v>4</v>
      </c>
      <c r="U231" s="251">
        <f t="shared" si="84"/>
        <v>-1.5730164148440098</v>
      </c>
      <c r="V231" s="383">
        <f t="shared" si="85"/>
        <v>53.927422453444521</v>
      </c>
      <c r="W231" s="402">
        <f t="shared" si="86"/>
        <v>43.430793882018506</v>
      </c>
      <c r="X231" s="157">
        <f t="shared" si="87"/>
        <v>45874</v>
      </c>
      <c r="Y231" s="385">
        <f t="shared" si="88"/>
        <v>41.209073671277764</v>
      </c>
      <c r="Z231" s="385">
        <f t="shared" si="89"/>
        <v>43.6382607340528</v>
      </c>
      <c r="AA231" s="386">
        <f t="shared" si="90"/>
        <v>46.691645594682051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6.5394672253252434E-2</v>
      </c>
      <c r="AD231" s="231">
        <f>(INDEX(Models!$BJ231:$BT231,,AH231)*(1-AF231)+INDEX(Models!$BJ231:$BT231,,AH231+1)*AF231-ERP_i)*AE231*Ramure*Pc/MaxiM</f>
        <v>3.1095855018418842E-4</v>
      </c>
      <c r="AE231" s="305">
        <f t="shared" si="92"/>
        <v>0.5</v>
      </c>
      <c r="AF231" s="177">
        <f t="shared" si="93"/>
        <v>0.95197115152996914</v>
      </c>
      <c r="AG231" s="811">
        <f t="shared" si="99"/>
        <v>1</v>
      </c>
      <c r="AH231" s="176">
        <f t="shared" si="94"/>
        <v>7</v>
      </c>
      <c r="AI231" s="225">
        <f t="shared" si="95"/>
        <v>1.9519711515299691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47.589658773078327</v>
      </c>
      <c r="C232" s="841"/>
      <c r="D232" s="393">
        <f t="shared" si="77"/>
        <v>50.396071531774894</v>
      </c>
      <c r="E232" s="385">
        <f t="shared" si="75"/>
        <v>51.179371973300832</v>
      </c>
      <c r="F232" s="385">
        <f t="shared" si="78"/>
        <v>51.180516745806109</v>
      </c>
      <c r="G232" s="110">
        <f t="shared" si="76"/>
        <v>0.88486676554556121</v>
      </c>
      <c r="H232" s="414" t="b">
        <f>Wh_hp&gt;='2024'!Maxi_hp</f>
        <v>0</v>
      </c>
      <c r="I232" s="390">
        <f>IF(H232,Wh_hp,'2024'!Maxi_hp)</f>
        <v>57.46185272567628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5.5687133409339507E-2</v>
      </c>
      <c r="M232" s="845"/>
      <c r="N232" s="845"/>
      <c r="O232" s="48">
        <f>IF(t&lt;Tnet,'2024'!Resal+('2024'!Salim-'2024'!Resal)*(1-EXP(('2024'!Tnet-t)/('2024'!Tau_j))),Resal+(Salim-Resal)*(1-EXP((Tnet-t)/(Tau_j))))*Salcycl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2.6770268491383568E-5</v>
      </c>
      <c r="Q232" s="305">
        <f t="shared" si="80"/>
        <v>0.5</v>
      </c>
      <c r="R232" s="177">
        <f t="shared" si="81"/>
        <v>0.42865800246552177</v>
      </c>
      <c r="S232" s="811">
        <f t="shared" si="82"/>
        <v>-2</v>
      </c>
      <c r="T232" s="176">
        <f t="shared" si="83"/>
        <v>4</v>
      </c>
      <c r="U232" s="251">
        <f t="shared" si="84"/>
        <v>-1.5713419975344782</v>
      </c>
      <c r="V232" s="383">
        <f t="shared" si="85"/>
        <v>53.781485629237835</v>
      </c>
      <c r="W232" s="402">
        <f t="shared" si="86"/>
        <v>47.589658773078327</v>
      </c>
      <c r="X232" s="157">
        <f t="shared" si="87"/>
        <v>45875</v>
      </c>
      <c r="Y232" s="385">
        <f t="shared" si="88"/>
        <v>45.15680944027239</v>
      </c>
      <c r="Z232" s="385">
        <f t="shared" si="89"/>
        <v>47.819754488050307</v>
      </c>
      <c r="AA232" s="386">
        <f t="shared" si="90"/>
        <v>51.168155056702453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6.5439149895898843E-2</v>
      </c>
      <c r="AD232" s="231">
        <f>(INDEX(Models!$BJ232:$BT232,,AH232)*(1-AF232)+INDEX(Models!$BJ232:$BT232,,AH232+1)*AF232-ERP_i)*AE232*Ramure*Pc/MaxiM</f>
        <v>2.8907554539064749E-4</v>
      </c>
      <c r="AE232" s="305">
        <f t="shared" si="92"/>
        <v>0.5</v>
      </c>
      <c r="AF232" s="177">
        <f t="shared" si="93"/>
        <v>0.95364556883950069</v>
      </c>
      <c r="AG232" s="811">
        <f t="shared" si="99"/>
        <v>1</v>
      </c>
      <c r="AH232" s="176">
        <f t="shared" si="94"/>
        <v>7</v>
      </c>
      <c r="AI232" s="225">
        <f t="shared" si="95"/>
        <v>1.9536455688395007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50.58092289237721</v>
      </c>
      <c r="C233" s="841"/>
      <c r="D233" s="393">
        <f t="shared" si="77"/>
        <v>53.564906884396649</v>
      </c>
      <c r="E233" s="385">
        <f t="shared" ref="E233:E296" si="100">Wh_pvt/(1-Psa)</f>
        <v>54.402823429912573</v>
      </c>
      <c r="F233" s="385">
        <f t="shared" si="78"/>
        <v>54.404067028203457</v>
      </c>
      <c r="G233" s="110">
        <f t="shared" ref="G233:G296" si="101">+Wh_hp/MaxiM</f>
        <v>0.9430664968161484</v>
      </c>
      <c r="H233" s="414" t="b">
        <f>Wh_hp&gt;='2024'!Maxi_hp</f>
        <v>0</v>
      </c>
      <c r="I233" s="390">
        <f>IF(H233,Wh_hp,'2024'!Maxi_hp)</f>
        <v>55.820902062700583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5.5707816284632949E-2</v>
      </c>
      <c r="M233" s="845"/>
      <c r="N233" s="845"/>
      <c r="O233" s="48">
        <f>IF(t&lt;Tnet,'2024'!Resal+('2024'!Salim-'2024'!Resal)*(1-EXP(('2024'!Tnet-t)/('2024'!Tau_j))),Resal+(Salim-Resal)*(1-EXP((Tnet-t)/(Tau_j))))*Salcycl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2.4882248138130591E-5</v>
      </c>
      <c r="Q233" s="305">
        <f t="shared" si="80"/>
        <v>0.5</v>
      </c>
      <c r="R233" s="177">
        <f t="shared" si="81"/>
        <v>0.43027662634508523</v>
      </c>
      <c r="S233" s="811">
        <f t="shared" si="82"/>
        <v>-2</v>
      </c>
      <c r="T233" s="176">
        <f t="shared" si="83"/>
        <v>4</v>
      </c>
      <c r="U233" s="251">
        <f t="shared" si="84"/>
        <v>-1.5697233736549148</v>
      </c>
      <c r="V233" s="383">
        <f t="shared" si="85"/>
        <v>53.634415707134153</v>
      </c>
      <c r="W233" s="402">
        <f t="shared" si="86"/>
        <v>50.58092289237721</v>
      </c>
      <c r="X233" s="157">
        <f t="shared" si="87"/>
        <v>45876</v>
      </c>
      <c r="Y233" s="385">
        <f t="shared" si="88"/>
        <v>47.997430023374974</v>
      </c>
      <c r="Z233" s="385">
        <f t="shared" si="89"/>
        <v>50.829002771712638</v>
      </c>
      <c r="AA233" s="386">
        <f t="shared" si="90"/>
        <v>54.390691629071007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6.5483426495990732E-2</v>
      </c>
      <c r="AD233" s="231">
        <f>(INDEX(Models!$BJ233:$BT233,,AH233)*(1-AF233)+INDEX(Models!$BJ233:$BT233,,AH233+1)*AF233-ERP_i)*AE233*Ramure*Pc/MaxiM</f>
        <v>2.6761857313451116E-4</v>
      </c>
      <c r="AE233" s="305">
        <f t="shared" si="92"/>
        <v>0.5</v>
      </c>
      <c r="AF233" s="177">
        <f t="shared" si="93"/>
        <v>0.95526419271906438</v>
      </c>
      <c r="AG233" s="811">
        <f t="shared" si="99"/>
        <v>1</v>
      </c>
      <c r="AH233" s="176">
        <f t="shared" si="94"/>
        <v>7</v>
      </c>
      <c r="AI233" s="225">
        <f t="shared" si="95"/>
        <v>1.9552641927190644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51.391440862470986</v>
      </c>
      <c r="C234" s="841"/>
      <c r="D234" s="393">
        <f t="shared" si="77"/>
        <v>54.424432795118513</v>
      </c>
      <c r="E234" s="385">
        <f t="shared" si="100"/>
        <v>55.281237415488185</v>
      </c>
      <c r="F234" s="385">
        <f t="shared" si="78"/>
        <v>55.282433516208563</v>
      </c>
      <c r="G234" s="110">
        <f t="shared" si="101"/>
        <v>0.96083141927968285</v>
      </c>
      <c r="H234" s="414" t="b">
        <f>Wh_hp&gt;='2024'!Maxi_hp</f>
        <v>1</v>
      </c>
      <c r="I234" s="390">
        <f>IF(H234,Wh_hp,'2024'!Maxi_hp)</f>
        <v>55.282433516208563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5.5728498706918317E-2</v>
      </c>
      <c r="M234" s="845"/>
      <c r="N234" s="845"/>
      <c r="O234" s="48">
        <f>IF(t&lt;Tnet,'2024'!Resal+('2024'!Salim-'2024'!Resal)*(1-EXP(('2024'!Tnet-t)/('2024'!Tau_j))),Resal+(Salim-Resal)*(1-EXP((Tnet-t)/(Tau_j))))*Salcycl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2.2918550479823322E-5</v>
      </c>
      <c r="Q234" s="305">
        <f t="shared" si="80"/>
        <v>0.5</v>
      </c>
      <c r="R234" s="177">
        <f t="shared" si="81"/>
        <v>0.43184090027800681</v>
      </c>
      <c r="S234" s="811">
        <f t="shared" si="82"/>
        <v>-2</v>
      </c>
      <c r="T234" s="176">
        <f t="shared" si="83"/>
        <v>4</v>
      </c>
      <c r="U234" s="251">
        <f t="shared" si="84"/>
        <v>-1.5681590997219932</v>
      </c>
      <c r="V234" s="383">
        <f t="shared" si="85"/>
        <v>53.486359757823955</v>
      </c>
      <c r="W234" s="402">
        <f t="shared" si="86"/>
        <v>51.391440862470986</v>
      </c>
      <c r="X234" s="157">
        <f t="shared" si="87"/>
        <v>45877</v>
      </c>
      <c r="Y234" s="385">
        <f t="shared" si="88"/>
        <v>48.769609131487655</v>
      </c>
      <c r="Z234" s="385">
        <f t="shared" si="89"/>
        <v>51.647867233844018</v>
      </c>
      <c r="AA234" s="386">
        <f t="shared" si="90"/>
        <v>55.269542406422261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6.5527504207406079E-2</v>
      </c>
      <c r="AD234" s="231">
        <f>(INDEX(Models!$BJ234:$BT234,,AH234)*(1-AF234)+INDEX(Models!$BJ234:$BT234,,AH234+1)*AF234-ERP_i)*AE234*Ramure*Pc/MaxiM</f>
        <v>2.4700725059756851E-4</v>
      </c>
      <c r="AE234" s="305">
        <f t="shared" si="92"/>
        <v>0.5</v>
      </c>
      <c r="AF234" s="177">
        <f t="shared" si="93"/>
        <v>0.95682846665198573</v>
      </c>
      <c r="AG234" s="811">
        <f t="shared" si="99"/>
        <v>1</v>
      </c>
      <c r="AH234" s="176">
        <f t="shared" si="94"/>
        <v>7</v>
      </c>
      <c r="AI234" s="225">
        <f t="shared" si="95"/>
        <v>1.9568284666519857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49.670912495918238</v>
      </c>
      <c r="C235" s="841"/>
      <c r="D235" s="393">
        <f t="shared" si="77"/>
        <v>52.603515378984824</v>
      </c>
      <c r="E235" s="385">
        <f t="shared" si="100"/>
        <v>53.436907070369273</v>
      </c>
      <c r="F235" s="385">
        <f t="shared" si="78"/>
        <v>53.437920834763212</v>
      </c>
      <c r="G235" s="110">
        <f t="shared" si="101"/>
        <v>0.93125999660625758</v>
      </c>
      <c r="H235" s="414" t="b">
        <f>Wh_hp&gt;='2024'!Maxi_hp</f>
        <v>0</v>
      </c>
      <c r="I235" s="390">
        <f>IF(H235,Wh_hp,'2024'!Maxi_hp)</f>
        <v>55.939165383860541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5.5749180676205601E-2</v>
      </c>
      <c r="M235" s="845"/>
      <c r="N235" s="845"/>
      <c r="O235" s="48">
        <f>IF(t&lt;Tnet,'2024'!Resal+('2024'!Salim-'2024'!Resal)*(1-EXP(('2024'!Tnet-t)/('2024'!Tau_j))),Resal+(Salim-Resal)*(1-EXP((Tnet-t)/(Tau_j))))*Salcycl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2.103661840915996E-5</v>
      </c>
      <c r="Q235" s="305">
        <f t="shared" si="80"/>
        <v>0.5</v>
      </c>
      <c r="R235" s="177">
        <f t="shared" si="81"/>
        <v>0.43335226114663516</v>
      </c>
      <c r="S235" s="811">
        <f t="shared" si="82"/>
        <v>-2</v>
      </c>
      <c r="T235" s="176">
        <f t="shared" si="83"/>
        <v>4</v>
      </c>
      <c r="U235" s="251">
        <f t="shared" si="84"/>
        <v>-1.5666477388533648</v>
      </c>
      <c r="V235" s="383">
        <f t="shared" si="85"/>
        <v>53.337209874666854</v>
      </c>
      <c r="W235" s="402">
        <f t="shared" si="86"/>
        <v>49.670912495918238</v>
      </c>
      <c r="X235" s="157">
        <f t="shared" si="87"/>
        <v>45878</v>
      </c>
      <c r="Y235" s="385">
        <f t="shared" si="88"/>
        <v>47.140471459977356</v>
      </c>
      <c r="Z235" s="385">
        <f t="shared" si="89"/>
        <v>49.923675463407086</v>
      </c>
      <c r="AA235" s="386">
        <f t="shared" si="90"/>
        <v>53.426954834562906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6.5571383995284005E-2</v>
      </c>
      <c r="AD235" s="231">
        <f>(INDEX(Models!$BJ235:$BT235,,AH235)*(1-AF235)+INDEX(Models!$BJ235:$BT235,,AH235+1)*AF235-ERP_i)*AE235*Ramure*Pc/MaxiM</f>
        <v>2.2755539952590986E-4</v>
      </c>
      <c r="AE235" s="305">
        <f t="shared" si="92"/>
        <v>0.5</v>
      </c>
      <c r="AF235" s="177">
        <f t="shared" si="93"/>
        <v>0.95833982752061408</v>
      </c>
      <c r="AG235" s="811">
        <f t="shared" si="99"/>
        <v>1</v>
      </c>
      <c r="AH235" s="176">
        <f t="shared" si="94"/>
        <v>7</v>
      </c>
      <c r="AI235" s="225">
        <f t="shared" si="95"/>
        <v>1.9583398275206141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47.624179335762278</v>
      </c>
      <c r="C236" s="841"/>
      <c r="D236" s="393">
        <f t="shared" si="77"/>
        <v>50.437046466601601</v>
      </c>
      <c r="E236" s="385">
        <f t="shared" si="100"/>
        <v>51.241146087396565</v>
      </c>
      <c r="F236" s="385">
        <f t="shared" si="78"/>
        <v>51.241984632928968</v>
      </c>
      <c r="G236" s="110">
        <f t="shared" si="101"/>
        <v>0.89540981692546007</v>
      </c>
      <c r="H236" s="414" t="b">
        <f>Wh_hp&gt;='2024'!Maxi_hp</f>
        <v>0</v>
      </c>
      <c r="I236" s="390">
        <f>IF(H236,Wh_hp,'2024'!Maxi_hp)</f>
        <v>53.022413412282127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5.5769862192504571E-2</v>
      </c>
      <c r="M236" s="845"/>
      <c r="N236" s="845"/>
      <c r="O236" s="48">
        <f>IF(t&lt;Tnet,'2024'!Resal+('2024'!Salim-'2024'!Resal)*(1-EXP(('2024'!Tnet-t)/('2024'!Tau_j))),Resal+(Salim-Resal)*(1-EXP((Tnet-t)/(Tau_j))))*Salcycl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1.9238928441072407E-5</v>
      </c>
      <c r="Q236" s="305">
        <f t="shared" si="80"/>
        <v>0.5</v>
      </c>
      <c r="R236" s="177">
        <f t="shared" si="81"/>
        <v>0.43481213661253237</v>
      </c>
      <c r="S236" s="811">
        <f t="shared" si="82"/>
        <v>-2</v>
      </c>
      <c r="T236" s="176">
        <f t="shared" si="83"/>
        <v>4</v>
      </c>
      <c r="U236" s="251">
        <f t="shared" si="84"/>
        <v>-1.5651878633874676</v>
      </c>
      <c r="V236" s="383">
        <f t="shared" si="85"/>
        <v>53.186866546877496</v>
      </c>
      <c r="W236" s="402">
        <f t="shared" si="86"/>
        <v>47.624179335762278</v>
      </c>
      <c r="X236" s="157">
        <f t="shared" si="87"/>
        <v>45879</v>
      </c>
      <c r="Y236" s="385">
        <f t="shared" si="88"/>
        <v>45.201444506231397</v>
      </c>
      <c r="Z236" s="385">
        <f t="shared" si="89"/>
        <v>47.871215603421909</v>
      </c>
      <c r="AA236" s="386">
        <f t="shared" si="90"/>
        <v>51.232863294877291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6.5615065707083101E-2</v>
      </c>
      <c r="AD236" s="231">
        <f>(INDEX(Models!$BJ236:$BT236,,AH236)*(1-AF236)+INDEX(Models!$BJ236:$BT236,,AH236+1)*AF236-ERP_i)*AE236*Ramure*Pc/MaxiM</f>
        <v>2.0927279829387351E-4</v>
      </c>
      <c r="AE236" s="305">
        <f t="shared" si="92"/>
        <v>0.5</v>
      </c>
      <c r="AF236" s="177">
        <f t="shared" si="93"/>
        <v>0.95979970298651129</v>
      </c>
      <c r="AG236" s="811">
        <f t="shared" si="99"/>
        <v>1</v>
      </c>
      <c r="AH236" s="176">
        <f t="shared" si="94"/>
        <v>7</v>
      </c>
      <c r="AI236" s="225">
        <f t="shared" si="95"/>
        <v>1.9597997029865113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43.824161793286066</v>
      </c>
      <c r="C237" s="841"/>
      <c r="D237" s="393">
        <f t="shared" si="77"/>
        <v>46.41360185525005</v>
      </c>
      <c r="E237" s="385">
        <f t="shared" si="100"/>
        <v>47.158180974887834</v>
      </c>
      <c r="F237" s="385">
        <f t="shared" si="78"/>
        <v>47.158802480626761</v>
      </c>
      <c r="G237" s="110">
        <f t="shared" si="101"/>
        <v>0.826318108391633</v>
      </c>
      <c r="H237" s="414" t="b">
        <f>Wh_hp&gt;='2024'!Maxi_hp</f>
        <v>0</v>
      </c>
      <c r="I237" s="390">
        <f>IF(H237,Wh_hp,'2024'!Maxi_hp)</f>
        <v>54.934751797677123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5.5790543255825331E-2</v>
      </c>
      <c r="M237" s="845"/>
      <c r="N237" s="845"/>
      <c r="O237" s="48">
        <f>IF(t&lt;Tnet,'2024'!Resal+('2024'!Salim-'2024'!Resal)*(1-EXP(('2024'!Tnet-t)/('2024'!Tau_j))),Resal+(Salim-Resal)*(1-EXP((Tnet-t)/(Tau_j))))*Salcycl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1.7527869740088794E-5</v>
      </c>
      <c r="Q237" s="305">
        <f t="shared" si="80"/>
        <v>0.5</v>
      </c>
      <c r="R237" s="177">
        <f t="shared" si="81"/>
        <v>0.43622194271887471</v>
      </c>
      <c r="S237" s="811">
        <f t="shared" si="82"/>
        <v>-2</v>
      </c>
      <c r="T237" s="176">
        <f t="shared" si="83"/>
        <v>4</v>
      </c>
      <c r="U237" s="251">
        <f t="shared" si="84"/>
        <v>-1.5637780572811253</v>
      </c>
      <c r="V237" s="383">
        <f t="shared" si="85"/>
        <v>53.035230330838033</v>
      </c>
      <c r="W237" s="402">
        <f t="shared" si="86"/>
        <v>43.824161793286066</v>
      </c>
      <c r="X237" s="157">
        <f t="shared" si="87"/>
        <v>45880</v>
      </c>
      <c r="Y237" s="385">
        <f t="shared" si="88"/>
        <v>41.598146033488199</v>
      </c>
      <c r="Z237" s="385">
        <f t="shared" si="89"/>
        <v>44.056057410107947</v>
      </c>
      <c r="AA237" s="386">
        <f t="shared" si="90"/>
        <v>47.151988518392685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6.5658548145368339E-2</v>
      </c>
      <c r="AD237" s="231">
        <f>(INDEX(Models!$BJ237:$BT237,,AH237)*(1-AF237)+INDEX(Models!$BJ237:$BT237,,AH237+1)*AF237-ERP_i)*AE237*Ramure*Pc/MaxiM</f>
        <v>1.921691707285341E-4</v>
      </c>
      <c r="AE237" s="305">
        <f t="shared" si="92"/>
        <v>0.5</v>
      </c>
      <c r="AF237" s="177">
        <f t="shared" si="93"/>
        <v>0.96120950909285385</v>
      </c>
      <c r="AG237" s="811">
        <f t="shared" si="99"/>
        <v>1</v>
      </c>
      <c r="AH237" s="176">
        <f t="shared" si="94"/>
        <v>7</v>
      </c>
      <c r="AI237" s="225">
        <f t="shared" si="95"/>
        <v>1.9612095090928539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45.991441741161928</v>
      </c>
      <c r="C238" s="841"/>
      <c r="D238" s="393">
        <f t="shared" si="77"/>
        <v>48.710006837280439</v>
      </c>
      <c r="E238" s="385">
        <f t="shared" si="100"/>
        <v>49.496271836794989</v>
      </c>
      <c r="F238" s="385">
        <f t="shared" si="78"/>
        <v>49.496912570281467</v>
      </c>
      <c r="G238" s="110">
        <f t="shared" si="101"/>
        <v>0.86969346888356092</v>
      </c>
      <c r="H238" s="414" t="b">
        <f>Wh_hp&gt;='2024'!Maxi_hp</f>
        <v>0</v>
      </c>
      <c r="I238" s="390">
        <f>IF(H238,Wh_hp,'2024'!Maxi_hp)</f>
        <v>52.198759439863373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5.5811223866177762E-2</v>
      </c>
      <c r="M238" s="845"/>
      <c r="N238" s="845"/>
      <c r="O238" s="48">
        <f>IF(t&lt;Tnet,'2024'!Resal+('2024'!Salim-'2024'!Resal)*(1-EXP(('2024'!Tnet-t)/('2024'!Tau_j))),Resal+(Salim-Resal)*(1-EXP((Tnet-t)/(Tau_j))))*Salcycl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1.5905749857505293E-5</v>
      </c>
      <c r="Q238" s="305">
        <f t="shared" si="80"/>
        <v>0.5</v>
      </c>
      <c r="R238" s="177">
        <f t="shared" si="81"/>
        <v>0.43758308170644078</v>
      </c>
      <c r="S238" s="811">
        <f t="shared" si="82"/>
        <v>-2</v>
      </c>
      <c r="T238" s="176">
        <f t="shared" si="83"/>
        <v>4</v>
      </c>
      <c r="U238" s="251">
        <f t="shared" si="84"/>
        <v>-1.5624169182935592</v>
      </c>
      <c r="V238" s="383">
        <f t="shared" si="85"/>
        <v>52.882201846961301</v>
      </c>
      <c r="W238" s="402">
        <f t="shared" si="86"/>
        <v>45.991441741161928</v>
      </c>
      <c r="X238" s="157">
        <f t="shared" si="87"/>
        <v>45881</v>
      </c>
      <c r="Y238" s="385">
        <f t="shared" si="88"/>
        <v>43.657628456553148</v>
      </c>
      <c r="Z238" s="385">
        <f t="shared" si="89"/>
        <v>46.238241292507638</v>
      </c>
      <c r="AA238" s="386">
        <f t="shared" si="90"/>
        <v>49.489812497447332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6.5701829141248183E-2</v>
      </c>
      <c r="AD238" s="231">
        <f>(INDEX(Models!$BJ238:$BT238,,AH238)*(1-AF238)+INDEX(Models!$BJ238:$BT238,,AH238+1)*AF238-ERP_i)*AE238*Ramure*Pc/MaxiM</f>
        <v>1.76254222470608E-4</v>
      </c>
      <c r="AE238" s="305">
        <f t="shared" si="92"/>
        <v>0.5</v>
      </c>
      <c r="AF238" s="177">
        <f t="shared" si="93"/>
        <v>0.96257064808041992</v>
      </c>
      <c r="AG238" s="811">
        <f t="shared" si="99"/>
        <v>1</v>
      </c>
      <c r="AH238" s="176">
        <f t="shared" si="94"/>
        <v>7</v>
      </c>
      <c r="AI238" s="225">
        <f t="shared" si="95"/>
        <v>1.9625706480804199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32.036277188914426</v>
      </c>
      <c r="C239" s="841"/>
      <c r="D239" s="393">
        <f t="shared" si="77"/>
        <v>33.930692347514174</v>
      </c>
      <c r="E239" s="385">
        <f t="shared" si="100"/>
        <v>34.481764775353511</v>
      </c>
      <c r="F239" s="385">
        <f t="shared" si="78"/>
        <v>34.481982573357442</v>
      </c>
      <c r="G239" s="110">
        <f t="shared" si="101"/>
        <v>0.60757495762197733</v>
      </c>
      <c r="H239" s="414" t="b">
        <f>Wh_hp&gt;='2024'!Maxi_hp</f>
        <v>0</v>
      </c>
      <c r="I239" s="390">
        <f>IF(H239,Wh_hp,'2024'!Maxi_hp)</f>
        <v>49.571963401626377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5.5831904023571632E-2</v>
      </c>
      <c r="M239" s="845"/>
      <c r="N239" s="845"/>
      <c r="O239" s="48">
        <f>IF(t&lt;Tnet,'2024'!Resal+('2024'!Salim-'2024'!Resal)*(1-EXP(('2024'!Tnet-t)/('2024'!Tau_j))),Resal+(Salim-Resal)*(1-EXP((Tnet-t)/(Tau_j))))*Salcycl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1.4374800331461121E-5</v>
      </c>
      <c r="Q239" s="305">
        <f t="shared" si="80"/>
        <v>0.5</v>
      </c>
      <c r="R239" s="177">
        <f t="shared" si="81"/>
        <v>0.43889694003418445</v>
      </c>
      <c r="S239" s="811">
        <f t="shared" si="82"/>
        <v>-2</v>
      </c>
      <c r="T239" s="176">
        <f t="shared" si="83"/>
        <v>4</v>
      </c>
      <c r="U239" s="251">
        <f t="shared" si="84"/>
        <v>-1.5611030599658156</v>
      </c>
      <c r="V239" s="383">
        <f t="shared" si="85"/>
        <v>52.727681779079475</v>
      </c>
      <c r="W239" s="402">
        <f t="shared" si="86"/>
        <v>32.036277188914426</v>
      </c>
      <c r="X239" s="157">
        <f t="shared" si="87"/>
        <v>45882</v>
      </c>
      <c r="Y239" s="385">
        <f t="shared" si="88"/>
        <v>30.414185947627786</v>
      </c>
      <c r="Z239" s="385">
        <f t="shared" si="89"/>
        <v>32.212681277028757</v>
      </c>
      <c r="AA239" s="386">
        <f t="shared" si="90"/>
        <v>34.479535055317655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6.574490562741174E-2</v>
      </c>
      <c r="AD239" s="231">
        <f>(INDEX(Models!$BJ239:$BT239,,AH239)*(1-AF239)+INDEX(Models!$BJ239:$BT239,,AH239+1)*AF239-ERP_i)*AE239*Ramure*Pc/MaxiM</f>
        <v>1.6153767479427908E-4</v>
      </c>
      <c r="AE239" s="305">
        <f t="shared" si="92"/>
        <v>0.5</v>
      </c>
      <c r="AF239" s="177">
        <f t="shared" si="93"/>
        <v>0.96388450640816337</v>
      </c>
      <c r="AG239" s="811">
        <f t="shared" si="99"/>
        <v>1</v>
      </c>
      <c r="AH239" s="176">
        <f t="shared" si="94"/>
        <v>7</v>
      </c>
      <c r="AI239" s="225">
        <f t="shared" si="95"/>
        <v>1.9638845064081634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33.306486263561851</v>
      </c>
      <c r="C240" s="841"/>
      <c r="D240" s="393">
        <f t="shared" si="77"/>
        <v>35.276785901797318</v>
      </c>
      <c r="E240" s="385">
        <f t="shared" si="100"/>
        <v>35.853221026041915</v>
      </c>
      <c r="F240" s="385">
        <f t="shared" si="78"/>
        <v>35.853442691670615</v>
      </c>
      <c r="G240" s="110">
        <f t="shared" si="101"/>
        <v>0.63354129874412712</v>
      </c>
      <c r="H240" s="414" t="b">
        <f>Wh_hp&gt;='2024'!Maxi_hp</f>
        <v>0</v>
      </c>
      <c r="I240" s="390">
        <f>IF(H240,Wh_hp,'2024'!Maxi_hp)</f>
        <v>57.385484130512104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5.5852583728017047E-2</v>
      </c>
      <c r="M240" s="845"/>
      <c r="N240" s="845"/>
      <c r="O240" s="48">
        <f>IF(t&lt;Tnet,'2024'!Resal+('2024'!Salim-'2024'!Resal)*(1-EXP(('2024'!Tnet-t)/('2024'!Tau_j))),Resal+(Salim-Resal)*(1-EXP((Tnet-t)/(Tau_j))))*Salcycl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1.2975088080256502E-5</v>
      </c>
      <c r="Q240" s="305">
        <f t="shared" si="80"/>
        <v>0.5</v>
      </c>
      <c r="R240" s="177">
        <f t="shared" si="81"/>
        <v>0.44016488659513353</v>
      </c>
      <c r="S240" s="811">
        <f t="shared" si="82"/>
        <v>-2</v>
      </c>
      <c r="T240" s="176">
        <f t="shared" si="83"/>
        <v>4</v>
      </c>
      <c r="U240" s="251">
        <f t="shared" si="84"/>
        <v>-1.5598351134048665</v>
      </c>
      <c r="V240" s="383">
        <f t="shared" si="85"/>
        <v>52.571568882000072</v>
      </c>
      <c r="W240" s="402">
        <f t="shared" si="86"/>
        <v>33.306486263561851</v>
      </c>
      <c r="X240" s="157">
        <f t="shared" si="87"/>
        <v>45883</v>
      </c>
      <c r="Y240" s="385">
        <f t="shared" si="88"/>
        <v>31.621722272778175</v>
      </c>
      <c r="Z240" s="385">
        <f t="shared" si="89"/>
        <v>33.492356943196704</v>
      </c>
      <c r="AA240" s="386">
        <f t="shared" si="90"/>
        <v>35.850908391763262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6.5787773709757205E-2</v>
      </c>
      <c r="AD240" s="231">
        <f>(INDEX(Models!$BJ240:$BT240,,AH240)*(1-AF240)+INDEX(Models!$BJ240:$BT240,,AH240+1)*AF240-ERP_i)*AE240*Ramure*Pc/MaxiM</f>
        <v>1.4834399321217873E-4</v>
      </c>
      <c r="AE240" s="305">
        <f t="shared" si="92"/>
        <v>0.5</v>
      </c>
      <c r="AF240" s="177">
        <f t="shared" si="93"/>
        <v>0.96515245296911223</v>
      </c>
      <c r="AG240" s="811">
        <f t="shared" si="99"/>
        <v>1</v>
      </c>
      <c r="AH240" s="176">
        <f t="shared" si="94"/>
        <v>7</v>
      </c>
      <c r="AI240" s="225">
        <f t="shared" si="95"/>
        <v>1.9651524529691122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38.188895633069272</v>
      </c>
      <c r="C241" s="841"/>
      <c r="D241" s="393">
        <f t="shared" si="77"/>
        <v>40.448908113319362</v>
      </c>
      <c r="E241" s="385">
        <f t="shared" si="100"/>
        <v>41.113866038163685</v>
      </c>
      <c r="F241" s="385">
        <f t="shared" si="78"/>
        <v>41.114159454731528</v>
      </c>
      <c r="G241" s="110">
        <f t="shared" si="101"/>
        <v>0.72860100341382328</v>
      </c>
      <c r="H241" s="414" t="b">
        <f>Wh_hp&gt;='2024'!Maxi_hp</f>
        <v>0</v>
      </c>
      <c r="I241" s="390">
        <f>IF(H241,Wh_hp,'2024'!Maxi_hp)</f>
        <v>56.300151621417385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5.5873262979523886E-2</v>
      </c>
      <c r="M241" s="845"/>
      <c r="N241" s="845"/>
      <c r="O241" s="48">
        <f>IF(t&lt;Tnet,'2024'!Resal+('2024'!Salim-'2024'!Resal)*(1-EXP(('2024'!Tnet-t)/('2024'!Tau_j))),Resal+(Salim-Resal)*(1-EXP((Tnet-t)/(Tau_j))))*Salcycl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1.1655602746795813E-5</v>
      </c>
      <c r="Q241" s="305">
        <f t="shared" si="80"/>
        <v>0.5</v>
      </c>
      <c r="R241" s="177">
        <f t="shared" si="81"/>
        <v>0.44138827111817358</v>
      </c>
      <c r="S241" s="811">
        <f t="shared" si="82"/>
        <v>-2</v>
      </c>
      <c r="T241" s="176">
        <f t="shared" si="83"/>
        <v>4</v>
      </c>
      <c r="U241" s="251">
        <f t="shared" si="84"/>
        <v>-1.5586117288818264</v>
      </c>
      <c r="V241" s="383">
        <f t="shared" si="85"/>
        <v>52.413766764456909</v>
      </c>
      <c r="W241" s="402">
        <f t="shared" si="86"/>
        <v>38.188895633069272</v>
      </c>
      <c r="X241" s="157">
        <f t="shared" si="87"/>
        <v>45884</v>
      </c>
      <c r="Y241" s="385">
        <f t="shared" si="88"/>
        <v>36.258623543810003</v>
      </c>
      <c r="Z241" s="385">
        <f t="shared" si="89"/>
        <v>38.404402843453873</v>
      </c>
      <c r="AA241" s="386">
        <f t="shared" si="90"/>
        <v>41.110740517395399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6.5830428736655205E-2</v>
      </c>
      <c r="AD241" s="231">
        <f>(INDEX(Models!$BJ241:$BT241,,AH241)*(1-AF241)+INDEX(Models!$BJ241:$BT241,,AH241+1)*AF241-ERP_i)*AE241*Ramure*Pc/MaxiM</f>
        <v>1.3581296959213119E-4</v>
      </c>
      <c r="AE241" s="305">
        <f t="shared" si="92"/>
        <v>0.5</v>
      </c>
      <c r="AF241" s="177">
        <f t="shared" si="93"/>
        <v>0.9663758374921525</v>
      </c>
      <c r="AG241" s="811">
        <f t="shared" si="99"/>
        <v>1</v>
      </c>
      <c r="AH241" s="176">
        <f t="shared" si="94"/>
        <v>7</v>
      </c>
      <c r="AI241" s="225">
        <f t="shared" si="95"/>
        <v>1.9663758374921525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32.078514206911628</v>
      </c>
      <c r="C242" s="841"/>
      <c r="D242" s="393">
        <f t="shared" si="77"/>
        <v>33.977659530463526</v>
      </c>
      <c r="E242" s="385">
        <f t="shared" si="100"/>
        <v>34.539596280074655</v>
      </c>
      <c r="F242" s="385">
        <f t="shared" si="78"/>
        <v>34.539757639231766</v>
      </c>
      <c r="G242" s="110">
        <f t="shared" si="101"/>
        <v>0.61389025987524848</v>
      </c>
      <c r="H242" s="414" t="b">
        <f>Wh_hp&gt;='2024'!Maxi_hp</f>
        <v>0</v>
      </c>
      <c r="I242" s="390">
        <f>IF(H242,Wh_hp,'2024'!Maxi_hp)</f>
        <v>56.421516120211891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5.589394177810203E-2</v>
      </c>
      <c r="M242" s="845"/>
      <c r="N242" s="845"/>
      <c r="O242" s="48">
        <f>IF(t&lt;Tnet,'2024'!Resal+('2024'!Salim-'2024'!Resal)*(1-EXP(('2024'!Tnet-t)/('2024'!Tau_j))),Resal+(Salim-Resal)*(1-EXP((Tnet-t)/(Tau_j))))*Salcycl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1.0418127071532986E-5</v>
      </c>
      <c r="Q242" s="305">
        <f t="shared" si="80"/>
        <v>0.5</v>
      </c>
      <c r="R242" s="177">
        <f t="shared" si="81"/>
        <v>0.44256842274619235</v>
      </c>
      <c r="S242" s="811">
        <f t="shared" si="82"/>
        <v>-2</v>
      </c>
      <c r="T242" s="176">
        <f t="shared" si="83"/>
        <v>4</v>
      </c>
      <c r="U242" s="251">
        <f t="shared" si="84"/>
        <v>-1.5574315772538077</v>
      </c>
      <c r="V242" s="383">
        <f t="shared" si="85"/>
        <v>52.254176301012535</v>
      </c>
      <c r="W242" s="402">
        <f t="shared" si="86"/>
        <v>32.078514206911628</v>
      </c>
      <c r="X242" s="157">
        <f t="shared" si="87"/>
        <v>45885</v>
      </c>
      <c r="Y242" s="385">
        <f t="shared" si="88"/>
        <v>30.4594402842738</v>
      </c>
      <c r="Z242" s="385">
        <f t="shared" si="89"/>
        <v>32.262731521541369</v>
      </c>
      <c r="AA242" s="386">
        <f t="shared" si="90"/>
        <v>34.537837865234643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6.5872865364955735E-2</v>
      </c>
      <c r="AD242" s="231">
        <f>(INDEX(Models!$BJ242:$BT242,,AH242)*(1-AF242)+INDEX(Models!$BJ242:$BT242,,AH242+1)*AF242-ERP_i)*AE242*Ramure*Pc/MaxiM</f>
        <v>1.2394988799090614E-4</v>
      </c>
      <c r="AE242" s="305">
        <f t="shared" si="92"/>
        <v>0.5</v>
      </c>
      <c r="AF242" s="177">
        <f t="shared" si="93"/>
        <v>0.96755598912017127</v>
      </c>
      <c r="AG242" s="811">
        <f t="shared" si="99"/>
        <v>1</v>
      </c>
      <c r="AH242" s="176">
        <f t="shared" si="94"/>
        <v>7</v>
      </c>
      <c r="AI242" s="225">
        <f t="shared" si="95"/>
        <v>1.9675559891201713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22.050180814231219</v>
      </c>
      <c r="C243" s="841"/>
      <c r="D243" s="393">
        <f t="shared" si="77"/>
        <v>23.356129947825067</v>
      </c>
      <c r="E243" s="385">
        <f t="shared" si="100"/>
        <v>23.744711642773371</v>
      </c>
      <c r="F243" s="385">
        <f t="shared" si="78"/>
        <v>23.744750386833111</v>
      </c>
      <c r="G243" s="110">
        <f t="shared" si="101"/>
        <v>0.42328412961089762</v>
      </c>
      <c r="H243" s="414" t="b">
        <f>Wh_hp&gt;='2024'!Maxi_hp</f>
        <v>0</v>
      </c>
      <c r="I243" s="390">
        <f>IF(H243,Wh_hp,'2024'!Maxi_hp)</f>
        <v>55.293372982977111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5.5914620123761472E-2</v>
      </c>
      <c r="M243" s="845"/>
      <c r="N243" s="845"/>
      <c r="O243" s="48">
        <f>IF(t&lt;Tnet,'2024'!Resal+('2024'!Salim-'2024'!Resal)*(1-EXP(('2024'!Tnet-t)/('2024'!Tau_j))),Resal+(Salim-Resal)*(1-EXP((Tnet-t)/(Tau_j))))*Salcycl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9.2643937023464178E-6</v>
      </c>
      <c r="Q243" s="305">
        <f t="shared" si="80"/>
        <v>0.5</v>
      </c>
      <c r="R243" s="177">
        <f t="shared" si="81"/>
        <v>0.44370664878104504</v>
      </c>
      <c r="S243" s="811">
        <f t="shared" si="82"/>
        <v>-2</v>
      </c>
      <c r="T243" s="176">
        <f t="shared" si="83"/>
        <v>4</v>
      </c>
      <c r="U243" s="251">
        <f t="shared" si="84"/>
        <v>-1.556293351218955</v>
      </c>
      <c r="V243" s="383">
        <f t="shared" si="85"/>
        <v>52.092698423912324</v>
      </c>
      <c r="W243" s="402">
        <f t="shared" si="86"/>
        <v>22.050180814231219</v>
      </c>
      <c r="X243" s="157">
        <f t="shared" si="87"/>
        <v>45886</v>
      </c>
      <c r="Y243" s="385">
        <f t="shared" si="88"/>
        <v>20.939032814387591</v>
      </c>
      <c r="Z243" s="385">
        <f t="shared" si="89"/>
        <v>22.179172838300406</v>
      </c>
      <c r="AA243" s="386">
        <f t="shared" si="90"/>
        <v>23.744278819782913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6.5915077621920226E-2</v>
      </c>
      <c r="AD243" s="231">
        <f>(INDEX(Models!$BJ243:$BT243,,AH243)*(1-AF243)+INDEX(Models!$BJ243:$BT243,,AH243+1)*AF243-ERP_i)*AE243*Ramure*Pc/MaxiM</f>
        <v>1.1276006798139586E-4</v>
      </c>
      <c r="AE243" s="305">
        <f t="shared" si="92"/>
        <v>0.5</v>
      </c>
      <c r="AF243" s="177">
        <f t="shared" si="93"/>
        <v>0.96869421515502396</v>
      </c>
      <c r="AG243" s="811">
        <f t="shared" si="99"/>
        <v>1</v>
      </c>
      <c r="AH243" s="176">
        <f t="shared" si="94"/>
        <v>7</v>
      </c>
      <c r="AI243" s="225">
        <f t="shared" si="95"/>
        <v>1.968694215155024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38.367750954274051</v>
      </c>
      <c r="C244" s="841"/>
      <c r="D244" s="393">
        <f t="shared" si="77"/>
        <v>40.641018431960305</v>
      </c>
      <c r="E244" s="385">
        <f t="shared" si="100"/>
        <v>41.32118389255929</v>
      </c>
      <c r="F244" s="385">
        <f t="shared" si="78"/>
        <v>41.321396215353232</v>
      </c>
      <c r="G244" s="110">
        <f t="shared" si="101"/>
        <v>0.73884458882971649</v>
      </c>
      <c r="H244" s="414" t="b">
        <f>Wh_hp&gt;='2024'!Maxi_hp</f>
        <v>0</v>
      </c>
      <c r="I244" s="390">
        <f>IF(H244,Wh_hp,'2024'!Maxi_hp)</f>
        <v>53.147705265054185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5.5935298016511981E-2</v>
      </c>
      <c r="M244" s="845"/>
      <c r="N244" s="845"/>
      <c r="O244" s="48">
        <f>IF(t&lt;Tnet,'2024'!Resal+('2024'!Salim-'2024'!Resal)*(1-EXP(('2024'!Tnet-t)/('2024'!Tau_j))),Resal+(Salim-Resal)*(1-EXP((Tnet-t)/(Tau_j))))*Salcycl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8.1960894480130096E-6</v>
      </c>
      <c r="Q244" s="305">
        <f t="shared" si="80"/>
        <v>0.5</v>
      </c>
      <c r="R244" s="177">
        <f t="shared" si="81"/>
        <v>0.44480423358585863</v>
      </c>
      <c r="S244" s="811">
        <f t="shared" si="82"/>
        <v>-2</v>
      </c>
      <c r="T244" s="176">
        <f t="shared" si="83"/>
        <v>4</v>
      </c>
      <c r="U244" s="251">
        <f t="shared" si="84"/>
        <v>-1.5551957664141414</v>
      </c>
      <c r="V244" s="383">
        <f t="shared" si="85"/>
        <v>51.929234123412698</v>
      </c>
      <c r="W244" s="402">
        <f t="shared" si="86"/>
        <v>38.367750954274051</v>
      </c>
      <c r="X244" s="157">
        <f t="shared" si="87"/>
        <v>45887</v>
      </c>
      <c r="Y244" s="385">
        <f t="shared" si="88"/>
        <v>36.434746310535218</v>
      </c>
      <c r="Z244" s="385">
        <f t="shared" si="89"/>
        <v>38.593484359690073</v>
      </c>
      <c r="AA244" s="386">
        <f t="shared" si="90"/>
        <v>41.318747419487501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6.5957058962346146E-2</v>
      </c>
      <c r="AD244" s="231">
        <f>(INDEX(Models!$BJ244:$BT244,,AH244)*(1-AF244)+INDEX(Models!$BJ244:$BT244,,AH244+1)*AF244-ERP_i)*AE244*Ramure*Pc/MaxiM</f>
        <v>1.0224887983874387E-4</v>
      </c>
      <c r="AE244" s="305">
        <f t="shared" si="92"/>
        <v>0.5</v>
      </c>
      <c r="AF244" s="177">
        <f t="shared" si="93"/>
        <v>0.96979179995983755</v>
      </c>
      <c r="AG244" s="811">
        <f t="shared" si="99"/>
        <v>1</v>
      </c>
      <c r="AH244" s="176">
        <f t="shared" si="94"/>
        <v>7</v>
      </c>
      <c r="AI244" s="225">
        <f t="shared" si="95"/>
        <v>1.9697917999598376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39.725351647579195</v>
      </c>
      <c r="C245" s="841"/>
      <c r="D245" s="393">
        <f t="shared" si="77"/>
        <v>42.079977855675715</v>
      </c>
      <c r="E245" s="385">
        <f t="shared" si="100"/>
        <v>42.78837249413413</v>
      </c>
      <c r="F245" s="385">
        <f t="shared" si="78"/>
        <v>42.788578642790903</v>
      </c>
      <c r="G245" s="110">
        <f t="shared" si="101"/>
        <v>0.76743486962333163</v>
      </c>
      <c r="H245" s="414" t="b">
        <f>Wh_hp&gt;='2024'!Maxi_hp</f>
        <v>0</v>
      </c>
      <c r="I245" s="390">
        <f>IF(H245,Wh_hp,'2024'!Maxi_hp)</f>
        <v>53.076716411968974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5.595597545636366E-2</v>
      </c>
      <c r="M245" s="845"/>
      <c r="N245" s="845"/>
      <c r="O245" s="48">
        <f>IF(t&lt;Tnet,'2024'!Resal+('2024'!Salim-'2024'!Resal)*(1-EXP(('2024'!Tnet-t)/('2024'!Tau_j))),Resal+(Salim-Resal)*(1-EXP((Tnet-t)/(Tau_j))))*Salcycl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7.2148594185109583E-6</v>
      </c>
      <c r="Q245" s="305">
        <f t="shared" si="80"/>
        <v>0.5</v>
      </c>
      <c r="R245" s="177">
        <f t="shared" si="81"/>
        <v>0.44586243763529798</v>
      </c>
      <c r="S245" s="811">
        <f t="shared" si="82"/>
        <v>-2</v>
      </c>
      <c r="T245" s="176">
        <f t="shared" si="83"/>
        <v>4</v>
      </c>
      <c r="U245" s="251">
        <f t="shared" si="84"/>
        <v>-1.554137562364702</v>
      </c>
      <c r="V245" s="383">
        <f t="shared" si="85"/>
        <v>51.76368444699488</v>
      </c>
      <c r="W245" s="402">
        <f t="shared" si="86"/>
        <v>39.725351647579195</v>
      </c>
      <c r="X245" s="157">
        <f t="shared" si="87"/>
        <v>45888</v>
      </c>
      <c r="Y245" s="385">
        <f t="shared" si="88"/>
        <v>37.725997986762259</v>
      </c>
      <c r="Z245" s="385">
        <f t="shared" si="89"/>
        <v>39.962117238123</v>
      </c>
      <c r="AA245" s="386">
        <f t="shared" si="90"/>
        <v>42.785937895365379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6.5998802320242106E-2</v>
      </c>
      <c r="AD245" s="231">
        <f>(INDEX(Models!$BJ245:$BT245,,AH245)*(1-AF245)+INDEX(Models!$BJ245:$BT245,,AH245+1)*AF245-ERP_i)*AE245*Ramure*Pc/MaxiM</f>
        <v>9.2421758807372976E-5</v>
      </c>
      <c r="AE245" s="305">
        <f t="shared" si="92"/>
        <v>0.5</v>
      </c>
      <c r="AF245" s="177">
        <f t="shared" si="93"/>
        <v>0.9708500040092769</v>
      </c>
      <c r="AG245" s="811">
        <f t="shared" si="99"/>
        <v>1</v>
      </c>
      <c r="AH245" s="176">
        <f t="shared" si="94"/>
        <v>7</v>
      </c>
      <c r="AI245" s="225">
        <f t="shared" si="95"/>
        <v>1.9708500040092769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47.308782760391324</v>
      </c>
      <c r="C246" s="841"/>
      <c r="D246" s="393">
        <f t="shared" si="77"/>
        <v>50.113996526501353</v>
      </c>
      <c r="E246" s="385">
        <f t="shared" si="100"/>
        <v>50.962571030259348</v>
      </c>
      <c r="F246" s="385">
        <f t="shared" si="78"/>
        <v>50.962854987245308</v>
      </c>
      <c r="G246" s="110">
        <f t="shared" si="101"/>
        <v>0.91690814496622308</v>
      </c>
      <c r="H246" s="414" t="b">
        <f>Wh_hp&gt;='2024'!Maxi_hp</f>
        <v>0</v>
      </c>
      <c r="I246" s="390">
        <f>IF(H246,Wh_hp,'2024'!Maxi_hp)</f>
        <v>53.656818151544883</v>
      </c>
      <c r="J246" s="85">
        <f>IF(H246,An,'2024'!An_max)</f>
        <v>2018</v>
      </c>
      <c r="K246" s="197">
        <f t="shared" si="79"/>
        <v>45889</v>
      </c>
      <c r="L246" s="147">
        <f>IF(t&lt;Tvie,1-EXP((T0-t)*PertePVj)+'2024'!Pspv,1-EXP((T0-t)*PertePVj)+Pspv)</f>
        <v>5.597665244332628E-2</v>
      </c>
      <c r="M246" s="845"/>
      <c r="N246" s="845"/>
      <c r="O246" s="48">
        <f>IF(t&lt;Tnet,'2024'!Resal+('2024'!Salim-'2024'!Resal)*(1-EXP(('2024'!Tnet-t)/('2024'!Tau_j))),Resal+(Salim-Resal)*(1-EXP((Tnet-t)/(Tau_j))))*Salcycl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6.3223110606029438E-6</v>
      </c>
      <c r="Q246" s="305">
        <f t="shared" si="80"/>
        <v>0.5</v>
      </c>
      <c r="R246" s="177">
        <f t="shared" si="81"/>
        <v>0.44688249670458324</v>
      </c>
      <c r="S246" s="811">
        <f t="shared" si="82"/>
        <v>-2</v>
      </c>
      <c r="T246" s="176">
        <f t="shared" si="83"/>
        <v>4</v>
      </c>
      <c r="U246" s="251">
        <f t="shared" si="84"/>
        <v>-1.5531175032954168</v>
      </c>
      <c r="V246" s="383">
        <f t="shared" si="85"/>
        <v>51.595950495311477</v>
      </c>
      <c r="W246" s="402">
        <f t="shared" si="86"/>
        <v>47.308782760391324</v>
      </c>
      <c r="X246" s="157">
        <f t="shared" si="87"/>
        <v>45889</v>
      </c>
      <c r="Y246" s="385">
        <f t="shared" si="88"/>
        <v>44.929619875646615</v>
      </c>
      <c r="Z246" s="385">
        <f t="shared" si="89"/>
        <v>47.593759192432792</v>
      </c>
      <c r="AA246" s="386">
        <f t="shared" si="90"/>
        <v>50.959114403230309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6.6040300154513426E-2</v>
      </c>
      <c r="AD246" s="231">
        <f>(INDEX(Models!$BJ246:$BT246,,AH246)*(1-AF246)+INDEX(Models!$BJ246:$BT246,,AH246+1)*AF246-ERP_i)*AE246*Ramure*Pc/MaxiM</f>
        <v>8.3284218597696243E-5</v>
      </c>
      <c r="AE246" s="305">
        <f t="shared" si="92"/>
        <v>0.5</v>
      </c>
      <c r="AF246" s="177">
        <f t="shared" si="93"/>
        <v>0.97187006307856216</v>
      </c>
      <c r="AG246" s="811">
        <f t="shared" si="99"/>
        <v>1</v>
      </c>
      <c r="AH246" s="176">
        <f t="shared" si="94"/>
        <v>7</v>
      </c>
      <c r="AI246" s="225">
        <f t="shared" si="95"/>
        <v>1.9718700630785622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31.891992724193194</v>
      </c>
      <c r="C247" s="841"/>
      <c r="D247" s="393">
        <f t="shared" si="77"/>
        <v>33.783795007323675</v>
      </c>
      <c r="E247" s="385">
        <f t="shared" si="100"/>
        <v>34.35917150932702</v>
      </c>
      <c r="F247" s="385">
        <f t="shared" si="78"/>
        <v>34.359258244650718</v>
      </c>
      <c r="G247" s="110">
        <f t="shared" si="101"/>
        <v>0.62012820037076233</v>
      </c>
      <c r="H247" s="414" t="b">
        <f>Wh_hp&gt;='2024'!Maxi_hp</f>
        <v>0</v>
      </c>
      <c r="I247" s="390">
        <f>IF(H247,Wh_hp,'2024'!Maxi_hp)</f>
        <v>54.498162972904758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5.5997328977409833E-2</v>
      </c>
      <c r="M247" s="845"/>
      <c r="N247" s="845"/>
      <c r="O247" s="48">
        <f>IF(t&lt;Tnet,'2024'!Resal+('2024'!Salim-'2024'!Resal)*(1-EXP(('2024'!Tnet-t)/('2024'!Tau_j))),Resal+(Salim-Resal)*(1-EXP((Tnet-t)/(Tau_j))))*Salcycl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5.5198059562948201E-6</v>
      </c>
      <c r="Q247" s="305">
        <f t="shared" si="80"/>
        <v>0.5</v>
      </c>
      <c r="R247" s="177">
        <f t="shared" si="81"/>
        <v>0.44786562118824746</v>
      </c>
      <c r="S247" s="811">
        <f t="shared" si="82"/>
        <v>-2</v>
      </c>
      <c r="T247" s="176">
        <f t="shared" si="83"/>
        <v>4</v>
      </c>
      <c r="U247" s="251">
        <f t="shared" si="84"/>
        <v>-1.5521343788117525</v>
      </c>
      <c r="V247" s="383">
        <f t="shared" si="85"/>
        <v>51.427909864955382</v>
      </c>
      <c r="W247" s="402">
        <f t="shared" si="86"/>
        <v>31.891992724193194</v>
      </c>
      <c r="X247" s="157">
        <f t="shared" si="87"/>
        <v>45890</v>
      </c>
      <c r="Y247" s="385">
        <f t="shared" si="88"/>
        <v>30.290824590504769</v>
      </c>
      <c r="Z247" s="385">
        <f t="shared" si="89"/>
        <v>32.087647122536481</v>
      </c>
      <c r="AA247" s="386">
        <f t="shared" si="90"/>
        <v>34.358082264208804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6.6081544488222607E-2</v>
      </c>
      <c r="AD247" s="231">
        <f>(INDEX(Models!$BJ247:$BT247,,AH247)*(1-AF247)+INDEX(Models!$BJ247:$BT247,,AH247+1)*AF247-ERP_i)*AE247*Ramure*Pc/MaxiM</f>
        <v>7.4838987984916756E-5</v>
      </c>
      <c r="AE247" s="305">
        <f t="shared" si="92"/>
        <v>0.5</v>
      </c>
      <c r="AF247" s="177">
        <f t="shared" si="93"/>
        <v>0.97285318756222638</v>
      </c>
      <c r="AG247" s="811">
        <f t="shared" si="99"/>
        <v>1</v>
      </c>
      <c r="AH247" s="176">
        <f t="shared" si="94"/>
        <v>7</v>
      </c>
      <c r="AI247" s="225">
        <f t="shared" si="95"/>
        <v>1.9728531875622264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24.847140694881521</v>
      </c>
      <c r="C248" s="841"/>
      <c r="D248" s="393">
        <f t="shared" si="77"/>
        <v>26.321625653913671</v>
      </c>
      <c r="E248" s="385">
        <f t="shared" si="100"/>
        <v>26.772495170469995</v>
      </c>
      <c r="F248" s="385">
        <f t="shared" si="78"/>
        <v>26.772529311759659</v>
      </c>
      <c r="G248" s="110">
        <f t="shared" si="101"/>
        <v>0.484716750793175</v>
      </c>
      <c r="H248" s="414" t="b">
        <f>Wh_hp&gt;='2024'!Maxi_hp</f>
        <v>0</v>
      </c>
      <c r="I248" s="390">
        <f>IF(H248,Wh_hp,'2024'!Maxi_hp)</f>
        <v>56.835581680919191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5.6018005058624198E-2</v>
      </c>
      <c r="M248" s="845"/>
      <c r="N248" s="845"/>
      <c r="O248" s="48">
        <f>IF(t&lt;Tnet,'2024'!Resal+('2024'!Salim-'2024'!Resal)*(1-EXP(('2024'!Tnet-t)/('2024'!Tau_j))),Resal+(Salim-Resal)*(1-EXP((Tnet-t)/(Tau_j))))*Salcycl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4.8325707939089878E-6</v>
      </c>
      <c r="Q248" s="305">
        <f t="shared" si="80"/>
        <v>0.5</v>
      </c>
      <c r="R248" s="177">
        <f t="shared" si="81"/>
        <v>0.44881299553986587</v>
      </c>
      <c r="S248" s="811">
        <f t="shared" si="82"/>
        <v>-2</v>
      </c>
      <c r="T248" s="176">
        <f t="shared" si="83"/>
        <v>4</v>
      </c>
      <c r="U248" s="251">
        <f t="shared" si="84"/>
        <v>-1.5511870044601341</v>
      </c>
      <c r="V248" s="383">
        <f t="shared" si="85"/>
        <v>51.260973062120279</v>
      </c>
      <c r="W248" s="402">
        <f t="shared" si="86"/>
        <v>24.847140694881521</v>
      </c>
      <c r="X248" s="157">
        <f t="shared" si="87"/>
        <v>45891</v>
      </c>
      <c r="Y248" s="385">
        <f t="shared" si="88"/>
        <v>23.601265841486882</v>
      </c>
      <c r="Z248" s="385">
        <f t="shared" si="89"/>
        <v>25.001817797332663</v>
      </c>
      <c r="AA248" s="386">
        <f t="shared" si="90"/>
        <v>26.77205363508736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6.6122526941102197E-2</v>
      </c>
      <c r="AD248" s="231">
        <f>(INDEX(Models!$BJ248:$BT248,,AH248)*(1-AF248)+INDEX(Models!$BJ248:$BT248,,AH248+1)*AF248-ERP_i)*AE248*Ramure*Pc/MaxiM</f>
        <v>6.7330239027139574E-5</v>
      </c>
      <c r="AE248" s="305">
        <f t="shared" si="92"/>
        <v>0.5</v>
      </c>
      <c r="AF248" s="177">
        <f t="shared" si="93"/>
        <v>0.97380056191384479</v>
      </c>
      <c r="AG248" s="811">
        <f t="shared" si="99"/>
        <v>1</v>
      </c>
      <c r="AH248" s="176">
        <f t="shared" si="94"/>
        <v>7</v>
      </c>
      <c r="AI248" s="225">
        <f t="shared" si="95"/>
        <v>1.9738005619138448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44.444486506126466</v>
      </c>
      <c r="C249" s="841"/>
      <c r="D249" s="393">
        <f t="shared" si="77"/>
        <v>47.082953079551487</v>
      </c>
      <c r="E249" s="385">
        <f t="shared" si="100"/>
        <v>47.894060204912535</v>
      </c>
      <c r="F249" s="385">
        <f t="shared" si="78"/>
        <v>47.894224029992081</v>
      </c>
      <c r="G249" s="110">
        <f t="shared" si="101"/>
        <v>0.86985068647611763</v>
      </c>
      <c r="H249" s="414" t="b">
        <f>Wh_hp&gt;='2024'!Maxi_hp</f>
        <v>0</v>
      </c>
      <c r="I249" s="390">
        <f>IF(H249,Wh_hp,'2024'!Maxi_hp)</f>
        <v>54.138140935976416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5.603868068697937E-2</v>
      </c>
      <c r="M249" s="845"/>
      <c r="N249" s="845"/>
      <c r="O249" s="48">
        <f>IF(t&lt;Tnet,'2024'!Resal+('2024'!Salim-'2024'!Resal)*(1-EXP(('2024'!Tnet-t)/('2024'!Tau_j))),Resal+(Salim-Resal)*(1-EXP((Tnet-t)/(Tau_j))))*Salcycl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4.201783705137408E-6</v>
      </c>
      <c r="Q249" s="305">
        <f t="shared" si="80"/>
        <v>0.5</v>
      </c>
      <c r="R249" s="177">
        <f t="shared" si="81"/>
        <v>0.44972577782425205</v>
      </c>
      <c r="S249" s="811">
        <f t="shared" si="82"/>
        <v>-2</v>
      </c>
      <c r="T249" s="176">
        <f t="shared" si="83"/>
        <v>4</v>
      </c>
      <c r="U249" s="251">
        <f t="shared" si="84"/>
        <v>-1.550274222175748</v>
      </c>
      <c r="V249" s="383">
        <f t="shared" si="85"/>
        <v>51.094345818112117</v>
      </c>
      <c r="W249" s="402">
        <f t="shared" si="86"/>
        <v>44.444486506126466</v>
      </c>
      <c r="X249" s="157">
        <f t="shared" si="87"/>
        <v>45892</v>
      </c>
      <c r="Y249" s="385">
        <f t="shared" si="88"/>
        <v>42.216961601651839</v>
      </c>
      <c r="Z249" s="385">
        <f t="shared" si="89"/>
        <v>44.723190175181912</v>
      </c>
      <c r="AA249" s="386">
        <f t="shared" si="90"/>
        <v>47.891871503925245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6.6163238755111639E-2</v>
      </c>
      <c r="AD249" s="231">
        <f>(INDEX(Models!$BJ249:$BT249,,AH249)*(1-AF249)+INDEX(Models!$BJ249:$BT249,,AH249+1)*AF249-ERP_i)*AE249*Ramure*Pc/MaxiM</f>
        <v>6.0337560774892934E-5</v>
      </c>
      <c r="AE249" s="305">
        <f t="shared" si="92"/>
        <v>0.5</v>
      </c>
      <c r="AF249" s="177">
        <f t="shared" si="93"/>
        <v>0.97471334419823119</v>
      </c>
      <c r="AG249" s="811">
        <f t="shared" si="99"/>
        <v>1</v>
      </c>
      <c r="AH249" s="176">
        <f t="shared" si="94"/>
        <v>7</v>
      </c>
      <c r="AI249" s="225">
        <f t="shared" si="95"/>
        <v>1.9747133441982312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45.918684658830834</v>
      </c>
      <c r="C250" s="841"/>
      <c r="D250" s="393">
        <f t="shared" si="77"/>
        <v>48.645733123174345</v>
      </c>
      <c r="E250" s="385">
        <f t="shared" si="100"/>
        <v>49.488519793100316</v>
      </c>
      <c r="F250" s="385">
        <f t="shared" si="78"/>
        <v>49.488674135491792</v>
      </c>
      <c r="G250" s="110">
        <f t="shared" si="101"/>
        <v>0.90165242072854446</v>
      </c>
      <c r="H250" s="414" t="b">
        <f>Wh_hp&gt;='2024'!Maxi_hp</f>
        <v>0</v>
      </c>
      <c r="I250" s="390">
        <f>IF(H250,Wh_hp,'2024'!Maxi_hp)</f>
        <v>54.480093410292213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5.6059355862485116E-2</v>
      </c>
      <c r="M250" s="845"/>
      <c r="N250" s="845"/>
      <c r="O250" s="48">
        <f>IF(t&lt;Tnet,'2024'!Resal+('2024'!Salim-'2024'!Resal)*(1-EXP(('2024'!Tnet-t)/('2024'!Tau_j))),Resal+(Salim-Resal)*(1-EXP((Tnet-t)/(Tau_j))))*Salcycl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3.6285360844050627E-6</v>
      </c>
      <c r="Q250" s="305">
        <f t="shared" si="80"/>
        <v>0.5</v>
      </c>
      <c r="R250" s="177">
        <f t="shared" si="81"/>
        <v>0.45060509937391635</v>
      </c>
      <c r="S250" s="811">
        <f t="shared" si="82"/>
        <v>-2</v>
      </c>
      <c r="T250" s="176">
        <f t="shared" si="83"/>
        <v>4</v>
      </c>
      <c r="U250" s="251">
        <f t="shared" si="84"/>
        <v>-1.5493949006260836</v>
      </c>
      <c r="V250" s="383">
        <f t="shared" si="85"/>
        <v>50.927231152518047</v>
      </c>
      <c r="W250" s="402">
        <f t="shared" si="86"/>
        <v>45.918684658830834</v>
      </c>
      <c r="X250" s="157">
        <f t="shared" si="87"/>
        <v>45893</v>
      </c>
      <c r="Y250" s="385">
        <f t="shared" si="88"/>
        <v>43.619688466427469</v>
      </c>
      <c r="Z250" s="385">
        <f t="shared" si="89"/>
        <v>46.210202661930168</v>
      </c>
      <c r="AA250" s="386">
        <f t="shared" si="90"/>
        <v>49.486382862695578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6.6203670812947993E-2</v>
      </c>
      <c r="AD250" s="231">
        <f>(INDEX(Models!$BJ250:$BT250,,AH250)*(1-AF250)+INDEX(Models!$BJ250:$BT250,,AH250+1)*AF250-ERP_i)*AE250*Ramure*Pc/MaxiM</f>
        <v>5.3867028628883075E-5</v>
      </c>
      <c r="AE250" s="305">
        <f t="shared" si="92"/>
        <v>0.5</v>
      </c>
      <c r="AF250" s="177">
        <f t="shared" si="93"/>
        <v>0.97559266574789527</v>
      </c>
      <c r="AG250" s="811">
        <f t="shared" si="99"/>
        <v>1</v>
      </c>
      <c r="AH250" s="176">
        <f t="shared" si="94"/>
        <v>7</v>
      </c>
      <c r="AI250" s="225">
        <f t="shared" si="95"/>
        <v>1.9755926657478953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32.764495972865603</v>
      </c>
      <c r="C251" s="841"/>
      <c r="D251" s="393">
        <f t="shared" si="77"/>
        <v>34.711095256493891</v>
      </c>
      <c r="E251" s="385">
        <f t="shared" si="100"/>
        <v>35.315853462903505</v>
      </c>
      <c r="F251" s="385">
        <f t="shared" si="78"/>
        <v>35.315907739281897</v>
      </c>
      <c r="G251" s="110">
        <f t="shared" si="101"/>
        <v>0.64549247313686009</v>
      </c>
      <c r="H251" s="414" t="b">
        <f>Wh_hp&gt;='2024'!Maxi_hp</f>
        <v>0</v>
      </c>
      <c r="I251" s="390">
        <f>IF(H251,Wh_hp,'2024'!Maxi_hp)</f>
        <v>50.04617729749566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5.6080030585151541E-2</v>
      </c>
      <c r="M251" s="845"/>
      <c r="N251" s="845"/>
      <c r="O251" s="48">
        <f>IF(t&lt;Tnet,'2024'!Resal+('2024'!Salim-'2024'!Resal)*(1-EXP(('2024'!Tnet-t)/('2024'!Tau_j))),Resal+(Salim-Resal)*(1-EXP((Tnet-t)/(Tau_j))))*Salcycl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3.1138569554214575E-6</v>
      </c>
      <c r="Q251" s="305">
        <f t="shared" si="80"/>
        <v>0.5</v>
      </c>
      <c r="R251" s="177">
        <f t="shared" si="81"/>
        <v>0.45145206454188092</v>
      </c>
      <c r="S251" s="811">
        <f t="shared" si="82"/>
        <v>-2</v>
      </c>
      <c r="T251" s="176">
        <f t="shared" si="83"/>
        <v>4</v>
      </c>
      <c r="U251" s="251">
        <f t="shared" si="84"/>
        <v>-1.5485479354581191</v>
      </c>
      <c r="V251" s="383">
        <f t="shared" si="85"/>
        <v>50.758832469058966</v>
      </c>
      <c r="W251" s="402">
        <f t="shared" si="86"/>
        <v>32.764495972865603</v>
      </c>
      <c r="X251" s="157">
        <f t="shared" si="87"/>
        <v>45894</v>
      </c>
      <c r="Y251" s="385">
        <f t="shared" si="88"/>
        <v>31.126390883909359</v>
      </c>
      <c r="Z251" s="385">
        <f t="shared" si="89"/>
        <v>32.975667315530067</v>
      </c>
      <c r="AA251" s="386">
        <f t="shared" si="90"/>
        <v>35.31507238994989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6.6243813649539185E-2</v>
      </c>
      <c r="AD251" s="231">
        <f>(INDEX(Models!$BJ251:$BT251,,AH251)*(1-AF251)+INDEX(Models!$BJ251:$BT251,,AH251+1)*AF251-ERP_i)*AE251*Ramure*Pc/MaxiM</f>
        <v>4.7924316340486572E-5</v>
      </c>
      <c r="AE251" s="305">
        <f t="shared" si="92"/>
        <v>0.5</v>
      </c>
      <c r="AF251" s="177">
        <f t="shared" si="93"/>
        <v>0.97643963091586006</v>
      </c>
      <c r="AG251" s="811">
        <f t="shared" si="99"/>
        <v>1</v>
      </c>
      <c r="AH251" s="176">
        <f t="shared" si="94"/>
        <v>7</v>
      </c>
      <c r="AI251" s="225">
        <f t="shared" si="95"/>
        <v>1.9764396309158601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41.16074639191865</v>
      </c>
      <c r="C252" s="841"/>
      <c r="D252" s="393">
        <f t="shared" si="77"/>
        <v>43.607137544895735</v>
      </c>
      <c r="E252" s="385">
        <f t="shared" si="100"/>
        <v>44.371138461044644</v>
      </c>
      <c r="F252" s="385">
        <f t="shared" si="78"/>
        <v>44.37122502465531</v>
      </c>
      <c r="G252" s="110">
        <f t="shared" si="101"/>
        <v>0.8136401833045297</v>
      </c>
      <c r="H252" s="414" t="b">
        <f>Wh_hp&gt;='2024'!Maxi_hp</f>
        <v>0</v>
      </c>
      <c r="I252" s="390">
        <f>IF(H252,Wh_hp,'2024'!Maxi_hp)</f>
        <v>54.589001673677714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5.6100704854988526E-2</v>
      </c>
      <c r="M252" s="845"/>
      <c r="N252" s="845"/>
      <c r="O252" s="48">
        <f>IF(t&lt;Tnet,'2024'!Resal+('2024'!Salim-'2024'!Resal)*(1-EXP(('2024'!Tnet-t)/('2024'!Tau_j))),Resal+(Salim-Resal)*(1-EXP((Tnet-t)/(Tau_j))))*Salcycl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2.6587194011892301E-6</v>
      </c>
      <c r="Q252" s="305">
        <f t="shared" si="80"/>
        <v>0.5</v>
      </c>
      <c r="R252" s="177">
        <f t="shared" si="81"/>
        <v>0.45226775054328461</v>
      </c>
      <c r="S252" s="811">
        <f t="shared" si="82"/>
        <v>-2</v>
      </c>
      <c r="T252" s="176">
        <f t="shared" si="83"/>
        <v>4</v>
      </c>
      <c r="U252" s="251">
        <f t="shared" si="84"/>
        <v>-1.5477322494567154</v>
      </c>
      <c r="V252" s="383">
        <f t="shared" si="85"/>
        <v>50.588353552204559</v>
      </c>
      <c r="W252" s="402">
        <f t="shared" si="86"/>
        <v>41.16074639191865</v>
      </c>
      <c r="X252" s="157">
        <f t="shared" si="87"/>
        <v>45895</v>
      </c>
      <c r="Y252" s="385">
        <f t="shared" si="88"/>
        <v>39.104658051036672</v>
      </c>
      <c r="Z252" s="385">
        <f t="shared" si="89"/>
        <v>41.428845484018517</v>
      </c>
      <c r="AA252" s="386">
        <f t="shared" si="90"/>
        <v>44.3698408139363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6.6283657456666631E-2</v>
      </c>
      <c r="AD252" s="231">
        <f>(INDEX(Models!$BJ252:$BT252,,AH252)*(1-AF252)+INDEX(Models!$BJ252:$BT252,,AH252+1)*AF252-ERP_i)*AE252*Ramure*Pc/MaxiM</f>
        <v>4.2514722591566389E-5</v>
      </c>
      <c r="AE252" s="305">
        <f t="shared" si="92"/>
        <v>0.5</v>
      </c>
      <c r="AF252" s="177">
        <f t="shared" si="93"/>
        <v>0.97725531691726353</v>
      </c>
      <c r="AG252" s="811">
        <f t="shared" si="99"/>
        <v>1</v>
      </c>
      <c r="AH252" s="176">
        <f t="shared" si="94"/>
        <v>7</v>
      </c>
      <c r="AI252" s="225">
        <f t="shared" si="95"/>
        <v>1.9772553169172635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48.494515400962435</v>
      </c>
      <c r="C253" s="841"/>
      <c r="D253" s="393">
        <f t="shared" si="77"/>
        <v>51.377914813594217</v>
      </c>
      <c r="E253" s="385">
        <f t="shared" si="100"/>
        <v>52.283059585754074</v>
      </c>
      <c r="F253" s="385">
        <f t="shared" si="78"/>
        <v>52.283171515945369</v>
      </c>
      <c r="G253" s="110">
        <f t="shared" si="101"/>
        <v>0.96190639303640457</v>
      </c>
      <c r="H253" s="414" t="b">
        <f>Wh_hp&gt;='2024'!Maxi_hp</f>
        <v>1</v>
      </c>
      <c r="I253" s="390">
        <f>IF(H253,Wh_hp,'2024'!Maxi_hp)</f>
        <v>52.283171515945369</v>
      </c>
      <c r="J253" s="85">
        <f>IF(H253,An,'2024'!An_max)</f>
        <v>2025</v>
      </c>
      <c r="K253" s="197">
        <f t="shared" si="79"/>
        <v>45896</v>
      </c>
      <c r="L253" s="147">
        <f>IF(t&lt;Tvie,1-EXP((T0-t)*PertePVj)+'2024'!Pspv,1-EXP((T0-t)*PertePVj)+Pspv)</f>
        <v>5.6121378672005839E-2</v>
      </c>
      <c r="M253" s="845"/>
      <c r="N253" s="845"/>
      <c r="O253" s="48">
        <f>IF(t&lt;Tnet,'2024'!Resal+('2024'!Salim-'2024'!Resal)*(1-EXP(('2024'!Tnet-t)/('2024'!Tau_j))),Resal+(Salim-Resal)*(1-EXP((Tnet-t)/(Tau_j))))*Salcycl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2.2640536210445767E-6</v>
      </c>
      <c r="Q253" s="305">
        <f t="shared" si="80"/>
        <v>0.5</v>
      </c>
      <c r="R253" s="177">
        <f t="shared" si="81"/>
        <v>0.45305320737853183</v>
      </c>
      <c r="S253" s="811">
        <f t="shared" si="82"/>
        <v>-2</v>
      </c>
      <c r="T253" s="176">
        <f t="shared" si="83"/>
        <v>4</v>
      </c>
      <c r="U253" s="251">
        <f t="shared" si="84"/>
        <v>-1.5469467926214682</v>
      </c>
      <c r="V253" s="383">
        <f t="shared" si="85"/>
        <v>50.414998566492628</v>
      </c>
      <c r="W253" s="402">
        <f t="shared" si="86"/>
        <v>48.494515400962435</v>
      </c>
      <c r="X253" s="157">
        <f t="shared" si="87"/>
        <v>45896</v>
      </c>
      <c r="Y253" s="385">
        <f t="shared" si="88"/>
        <v>46.074346711251039</v>
      </c>
      <c r="Z253" s="385">
        <f t="shared" si="89"/>
        <v>48.813847109310025</v>
      </c>
      <c r="AA253" s="386">
        <f t="shared" si="90"/>
        <v>52.281310508404346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6.6323192080981155E-2</v>
      </c>
      <c r="AD253" s="231">
        <f>(INDEX(Models!$BJ253:$BT253,,AH253)*(1-AF253)+INDEX(Models!$BJ253:$BT253,,AH253+1)*AF253-ERP_i)*AE253*Ramure*Pc/MaxiM</f>
        <v>3.7643291889847564E-5</v>
      </c>
      <c r="AE253" s="305">
        <f t="shared" si="92"/>
        <v>0.5</v>
      </c>
      <c r="AF253" s="177">
        <f t="shared" si="93"/>
        <v>0.97804077375251075</v>
      </c>
      <c r="AG253" s="811">
        <f t="shared" si="99"/>
        <v>1</v>
      </c>
      <c r="AH253" s="176">
        <f t="shared" si="94"/>
        <v>7</v>
      </c>
      <c r="AI253" s="225">
        <f t="shared" si="95"/>
        <v>1.9780407737525108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47.591547156631194</v>
      </c>
      <c r="C254" s="841"/>
      <c r="D254" s="393">
        <f t="shared" si="77"/>
        <v>50.422362029479004</v>
      </c>
      <c r="E254" s="385">
        <f t="shared" si="100"/>
        <v>51.315569983125869</v>
      </c>
      <c r="F254" s="385">
        <f t="shared" si="78"/>
        <v>51.315661971982578</v>
      </c>
      <c r="G254" s="110">
        <f t="shared" si="101"/>
        <v>0.94732208796275341</v>
      </c>
      <c r="H254" s="414" t="b">
        <f>Wh_hp&gt;='2024'!Maxi_hp</f>
        <v>0</v>
      </c>
      <c r="I254" s="390">
        <f>IF(H254,Wh_hp,'2024'!Maxi_hp)</f>
        <v>54.458266820267049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5.6142052036213586E-2</v>
      </c>
      <c r="M254" s="845"/>
      <c r="N254" s="845"/>
      <c r="O254" s="48">
        <f>IF(t&lt;Tnet,'2024'!Resal+('2024'!Salim-'2024'!Resal)*(1-EXP(('2024'!Tnet-t)/('2024'!Tau_j))),Resal+(Salim-Resal)*(1-EXP((Tnet-t)/(Tau_j))))*Salcycl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1.9384866148318712E-6</v>
      </c>
      <c r="Q254" s="305">
        <f t="shared" si="80"/>
        <v>0.5</v>
      </c>
      <c r="R254" s="177">
        <f t="shared" si="81"/>
        <v>0.45380945783109183</v>
      </c>
      <c r="S254" s="811">
        <f t="shared" si="82"/>
        <v>-2</v>
      </c>
      <c r="T254" s="176">
        <f t="shared" si="83"/>
        <v>4</v>
      </c>
      <c r="U254" s="251">
        <f t="shared" si="84"/>
        <v>-1.5461905421689082</v>
      </c>
      <c r="V254" s="383">
        <f t="shared" si="85"/>
        <v>50.23797166639293</v>
      </c>
      <c r="W254" s="402">
        <f t="shared" si="86"/>
        <v>47.591547156631194</v>
      </c>
      <c r="X254" s="157">
        <f t="shared" si="87"/>
        <v>45897</v>
      </c>
      <c r="Y254" s="385">
        <f t="shared" si="88"/>
        <v>45.219046465555799</v>
      </c>
      <c r="Z254" s="385">
        <f t="shared" si="89"/>
        <v>47.908741525256239</v>
      </c>
      <c r="AA254" s="386">
        <f t="shared" si="90"/>
        <v>51.314066491393383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6.6362407015789826E-2</v>
      </c>
      <c r="AD254" s="231">
        <f>(INDEX(Models!$BJ254:$BT254,,AH254)*(1-AF254)+INDEX(Models!$BJ254:$BT254,,AH254+1)*AF254-ERP_i)*AE254*Ramure*Pc/MaxiM</f>
        <v>3.3621656763127398E-5</v>
      </c>
      <c r="AE254" s="305">
        <f t="shared" si="92"/>
        <v>0.5</v>
      </c>
      <c r="AF254" s="177">
        <f t="shared" si="93"/>
        <v>0.97879702420507053</v>
      </c>
      <c r="AG254" s="811">
        <f t="shared" si="99"/>
        <v>1</v>
      </c>
      <c r="AH254" s="176">
        <f t="shared" si="94"/>
        <v>7</v>
      </c>
      <c r="AI254" s="225">
        <f t="shared" si="95"/>
        <v>1.9787970242050705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32.086529106567681</v>
      </c>
      <c r="C255" s="841"/>
      <c r="D255" s="393">
        <f t="shared" si="77"/>
        <v>33.995827410807685</v>
      </c>
      <c r="E255" s="385">
        <f t="shared" si="100"/>
        <v>34.6013432369773</v>
      </c>
      <c r="F255" s="385">
        <f t="shared" si="78"/>
        <v>34.601370919461608</v>
      </c>
      <c r="G255" s="110">
        <f t="shared" si="101"/>
        <v>0.64100596375316965</v>
      </c>
      <c r="H255" s="414" t="b">
        <f>Wh_hp&gt;='2024'!Maxi_hp</f>
        <v>0</v>
      </c>
      <c r="I255" s="390">
        <f>IF(H255,Wh_hp,'2024'!Maxi_hp)</f>
        <v>53.843045701686705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5.6162724947621534E-2</v>
      </c>
      <c r="M255" s="845"/>
      <c r="N255" s="845"/>
      <c r="O255" s="48">
        <f>IF(t&lt;Tnet,'2024'!Resal+('2024'!Salim-'2024'!Resal)*(1-EXP(('2024'!Tnet-t)/('2024'!Tau_j))),Resal+(Salim-Resal)*(1-EXP((Tnet-t)/(Tau_j))))*Salcycl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1.6422797373244049E-6</v>
      </c>
      <c r="Q255" s="305">
        <f t="shared" si="80"/>
        <v>0.5</v>
      </c>
      <c r="R255" s="177">
        <f t="shared" si="81"/>
        <v>0.45453749753338624</v>
      </c>
      <c r="S255" s="811">
        <f t="shared" si="82"/>
        <v>-2</v>
      </c>
      <c r="T255" s="176">
        <f t="shared" si="83"/>
        <v>4</v>
      </c>
      <c r="U255" s="251">
        <f t="shared" si="84"/>
        <v>-1.5454625024666138</v>
      </c>
      <c r="V255" s="383">
        <f t="shared" si="85"/>
        <v>50.05647980890695</v>
      </c>
      <c r="W255" s="402">
        <f t="shared" si="86"/>
        <v>32.086529106567681</v>
      </c>
      <c r="X255" s="157">
        <f t="shared" si="87"/>
        <v>45898</v>
      </c>
      <c r="Y255" s="385">
        <f t="shared" si="88"/>
        <v>30.489078529106433</v>
      </c>
      <c r="Z255" s="385">
        <f t="shared" si="89"/>
        <v>32.303321064973233</v>
      </c>
      <c r="AA255" s="386">
        <f t="shared" si="90"/>
        <v>34.600863054928709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6.6401291387100353E-2</v>
      </c>
      <c r="AD255" s="231">
        <f>(INDEX(Models!$BJ255:$BT255,,AH255)*(1-AF255)+INDEX(Models!$BJ255:$BT255,,AH255+1)*AF255-ERP_i)*AE255*Ramure*Pc/MaxiM</f>
        <v>3.0129363474939964E-5</v>
      </c>
      <c r="AE255" s="305">
        <f t="shared" si="92"/>
        <v>0.5</v>
      </c>
      <c r="AF255" s="177">
        <f t="shared" si="93"/>
        <v>0.97952506390736538</v>
      </c>
      <c r="AG255" s="811">
        <f t="shared" si="99"/>
        <v>1</v>
      </c>
      <c r="AH255" s="176">
        <f t="shared" si="94"/>
        <v>7</v>
      </c>
      <c r="AI255" s="225">
        <f t="shared" si="95"/>
        <v>1.9795250639073654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46.589094695629534</v>
      </c>
      <c r="C256" s="841"/>
      <c r="D256" s="393">
        <f t="shared" si="77"/>
        <v>49.362444533816401</v>
      </c>
      <c r="E256" s="385">
        <f t="shared" si="100"/>
        <v>50.246439526731137</v>
      </c>
      <c r="F256" s="385">
        <f t="shared" si="78"/>
        <v>50.246502161969964</v>
      </c>
      <c r="G256" s="110">
        <f t="shared" si="101"/>
        <v>0.93421581121927411</v>
      </c>
      <c r="H256" s="414" t="b">
        <f>Wh_hp&gt;='2024'!Maxi_hp</f>
        <v>0</v>
      </c>
      <c r="I256" s="390">
        <f>IF(H256,Wh_hp,'2024'!Maxi_hp)</f>
        <v>52.67575781397985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5.6183397406239677E-2</v>
      </c>
      <c r="M256" s="845"/>
      <c r="N256" s="845"/>
      <c r="O256" s="48">
        <f>IF(t&lt;Tnet,'2024'!Resal+('2024'!Salim-'2024'!Resal)*(1-EXP(('2024'!Tnet-t)/('2024'!Tau_j))),Resal+(Salim-Resal)*(1-EXP((Tnet-t)/(Tau_j))))*Salcycl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1.3758585775645994E-6</v>
      </c>
      <c r="Q256" s="305">
        <f t="shared" si="80"/>
        <v>0.5</v>
      </c>
      <c r="R256" s="177">
        <f t="shared" si="81"/>
        <v>0.45523829509456104</v>
      </c>
      <c r="S256" s="811">
        <f t="shared" si="82"/>
        <v>-2</v>
      </c>
      <c r="T256" s="176">
        <f t="shared" si="83"/>
        <v>4</v>
      </c>
      <c r="U256" s="251">
        <f t="shared" si="84"/>
        <v>-1.544761704905439</v>
      </c>
      <c r="V256" s="383">
        <f t="shared" si="85"/>
        <v>49.869728292090834</v>
      </c>
      <c r="W256" s="402">
        <f t="shared" si="86"/>
        <v>46.589094695629534</v>
      </c>
      <c r="X256" s="157">
        <f t="shared" si="87"/>
        <v>45899</v>
      </c>
      <c r="Y256" s="385">
        <f t="shared" si="88"/>
        <v>44.271584730536993</v>
      </c>
      <c r="Z256" s="385">
        <f t="shared" si="89"/>
        <v>46.906978123579869</v>
      </c>
      <c r="AA256" s="386">
        <f t="shared" si="90"/>
        <v>50.245265199425276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6.6439833934513554E-2</v>
      </c>
      <c r="AD256" s="231">
        <f>(INDEX(Models!$BJ256:$BT256,,AH256)*(1-AF256)+INDEX(Models!$BJ256:$BT256,,AH256+1)*AF256-ERP_i)*AE256*Ramure*Pc/MaxiM</f>
        <v>2.717137443910286E-5</v>
      </c>
      <c r="AE256" s="305">
        <f t="shared" si="92"/>
        <v>0.5</v>
      </c>
      <c r="AF256" s="177">
        <f t="shared" si="93"/>
        <v>0.98022586146853996</v>
      </c>
      <c r="AG256" s="811">
        <f t="shared" si="99"/>
        <v>1</v>
      </c>
      <c r="AH256" s="176">
        <f t="shared" si="94"/>
        <v>7</v>
      </c>
      <c r="AI256" s="225">
        <f t="shared" si="95"/>
        <v>1.98022586146854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21.92648313308425</v>
      </c>
      <c r="C257" s="841"/>
      <c r="D257" s="393">
        <f t="shared" si="77"/>
        <v>23.232228941086351</v>
      </c>
      <c r="E257" s="385">
        <f t="shared" si="100"/>
        <v>23.65052152932644</v>
      </c>
      <c r="F257" s="385">
        <f t="shared" si="78"/>
        <v>23.650526973129807</v>
      </c>
      <c r="G257" s="110">
        <f t="shared" si="101"/>
        <v>0.44138126842732955</v>
      </c>
      <c r="H257" s="414" t="b">
        <f>Wh_hp&gt;='2024'!Maxi_hp</f>
        <v>0</v>
      </c>
      <c r="I257" s="390">
        <f>IF(H257,Wh_hp,'2024'!Maxi_hp)</f>
        <v>52.060228799144411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5.6204069412077895E-2</v>
      </c>
      <c r="M257" s="845"/>
      <c r="N257" s="845"/>
      <c r="O257" s="48">
        <f>IF(t&lt;Tnet,'2024'!Resal+('2024'!Salim-'2024'!Resal)*(1-EXP(('2024'!Tnet-t)/('2024'!Tau_j))),Resal+(Salim-Resal)*(1-EXP((Tnet-t)/(Tau_j))))*Salcycl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1.1396370006107684E-6</v>
      </c>
      <c r="Q257" s="305">
        <f t="shared" si="80"/>
        <v>0.5</v>
      </c>
      <c r="R257" s="177">
        <f t="shared" si="81"/>
        <v>0.45591279228426118</v>
      </c>
      <c r="S257" s="811">
        <f t="shared" si="82"/>
        <v>-2</v>
      </c>
      <c r="T257" s="176">
        <f t="shared" si="83"/>
        <v>4</v>
      </c>
      <c r="U257" s="251">
        <f t="shared" si="84"/>
        <v>-1.5440872077157388</v>
      </c>
      <c r="V257" s="383">
        <f t="shared" si="85"/>
        <v>49.676922788187255</v>
      </c>
      <c r="W257" s="402">
        <f t="shared" si="86"/>
        <v>21.92648313308425</v>
      </c>
      <c r="X257" s="157">
        <f t="shared" si="87"/>
        <v>45900</v>
      </c>
      <c r="Y257" s="385">
        <f t="shared" si="88"/>
        <v>20.837292964780097</v>
      </c>
      <c r="Z257" s="385">
        <f t="shared" si="89"/>
        <v>22.078176319111538</v>
      </c>
      <c r="AA257" s="386">
        <f t="shared" si="90"/>
        <v>23.650408734640283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6.6478022987650459E-2</v>
      </c>
      <c r="AD257" s="231">
        <f>(INDEX(Models!$BJ257:$BT257,,AH257)*(1-AF257)+INDEX(Models!$BJ257:$BT257,,AH257+1)*AF257-ERP_i)*AE257*Ramure*Pc/MaxiM</f>
        <v>2.4752723142293201E-5</v>
      </c>
      <c r="AE257" s="305">
        <f t="shared" si="92"/>
        <v>0.5</v>
      </c>
      <c r="AF257" s="177">
        <f t="shared" si="93"/>
        <v>0.9809003586582401</v>
      </c>
      <c r="AG257" s="811">
        <f t="shared" si="99"/>
        <v>1</v>
      </c>
      <c r="AH257" s="176">
        <f t="shared" si="94"/>
        <v>7</v>
      </c>
      <c r="AI257" s="225">
        <f t="shared" si="95"/>
        <v>1.9809003586582401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42.266598149759631</v>
      </c>
      <c r="C258" s="841"/>
      <c r="D258" s="393">
        <f t="shared" si="77"/>
        <v>44.784600724735377</v>
      </c>
      <c r="E258" s="385">
        <f t="shared" si="100"/>
        <v>45.595257694540919</v>
      </c>
      <c r="F258" s="385">
        <f t="shared" si="78"/>
        <v>45.595291415134355</v>
      </c>
      <c r="G258" s="110">
        <f t="shared" si="101"/>
        <v>0.8542627856234698</v>
      </c>
      <c r="H258" s="414" t="b">
        <f>Wh_hp&gt;='2024'!Maxi_hp</f>
        <v>0</v>
      </c>
      <c r="I258" s="390">
        <f>IF(H258,Wh_hp,'2024'!Maxi_hp)</f>
        <v>53.475031417285187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5.622474096514618E-2</v>
      </c>
      <c r="M258" s="845"/>
      <c r="N258" s="845"/>
      <c r="O258" s="48">
        <f>IF(t&lt;Tnet,'2024'!Resal+('2024'!Salim-'2024'!Resal)*(1-EXP(('2024'!Tnet-t)/('2024'!Tau_j))),Resal+(Salim-Resal)*(1-EXP((Tnet-t)/(Tau_j))))*Salcycl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9.3402263924836895E-7</v>
      </c>
      <c r="Q258" s="305">
        <f t="shared" si="80"/>
        <v>0.5</v>
      </c>
      <c r="R258" s="177">
        <f t="shared" si="81"/>
        <v>0.4565619042668827</v>
      </c>
      <c r="S258" s="811">
        <f t="shared" si="82"/>
        <v>-2</v>
      </c>
      <c r="T258" s="176">
        <f t="shared" si="83"/>
        <v>4</v>
      </c>
      <c r="U258" s="251">
        <f t="shared" si="84"/>
        <v>-1.5434380957331173</v>
      </c>
      <c r="V258" s="383">
        <f t="shared" si="85"/>
        <v>49.47726933903747</v>
      </c>
      <c r="W258" s="402">
        <f t="shared" si="86"/>
        <v>42.266598149759631</v>
      </c>
      <c r="X258" s="157">
        <f t="shared" si="87"/>
        <v>45901</v>
      </c>
      <c r="Y258" s="385">
        <f t="shared" si="88"/>
        <v>40.16868980294484</v>
      </c>
      <c r="Z258" s="385">
        <f t="shared" si="89"/>
        <v>42.561710977699406</v>
      </c>
      <c r="AA258" s="386">
        <f t="shared" si="90"/>
        <v>45.5944654393248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6.6515846438889734E-2</v>
      </c>
      <c r="AD258" s="231">
        <f>(INDEX(Models!$BJ258:$BT258,,AH258)*(1-AF258)+INDEX(Models!$BJ258:$BT258,,AH258+1)*AF258-ERP_i)*AE258*Ramure*Pc/MaxiM</f>
        <v>2.2878604050101425E-5</v>
      </c>
      <c r="AE258" s="305">
        <f t="shared" si="92"/>
        <v>0.5</v>
      </c>
      <c r="AF258" s="177">
        <f t="shared" si="93"/>
        <v>0.98154947064086162</v>
      </c>
      <c r="AG258" s="811">
        <f t="shared" si="99"/>
        <v>1</v>
      </c>
      <c r="AH258" s="176">
        <f t="shared" si="94"/>
        <v>7</v>
      </c>
      <c r="AI258" s="225">
        <f t="shared" si="95"/>
        <v>1.9815494706408616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38.76858667577693</v>
      </c>
      <c r="C259" s="841"/>
      <c r="D259" s="393">
        <f t="shared" si="77"/>
        <v>41.079097438481263</v>
      </c>
      <c r="E259" s="385">
        <f t="shared" si="100"/>
        <v>41.826632390529063</v>
      </c>
      <c r="F259" s="385">
        <f t="shared" si="78"/>
        <v>41.826654482931893</v>
      </c>
      <c r="G259" s="110">
        <f t="shared" si="101"/>
        <v>0.78686011543700562</v>
      </c>
      <c r="H259" s="414" t="b">
        <f>Wh_hp&gt;='2024'!Maxi_hp</f>
        <v>0</v>
      </c>
      <c r="I259" s="390">
        <f>IF(H259,Wh_hp,'2024'!Maxi_hp)</f>
        <v>51.427835350869806</v>
      </c>
      <c r="J259" s="85">
        <f>IF(H259,An,'2024'!An_max)</f>
        <v>2019</v>
      </c>
      <c r="K259" s="197">
        <f t="shared" si="79"/>
        <v>45902</v>
      </c>
      <c r="L259" s="147">
        <f>IF(t&lt;Tvie,1-EXP((T0-t)*PertePVj)+'2024'!Pspv,1-EXP((T0-t)*PertePVj)+Pspv)</f>
        <v>5.6245412065454414E-2</v>
      </c>
      <c r="M259" s="845"/>
      <c r="N259" s="845"/>
      <c r="O259" s="48">
        <f>IF(t&lt;Tnet,'2024'!Resal+('2024'!Salim-'2024'!Resal)*(1-EXP(('2024'!Tnet-t)/('2024'!Tau_j))),Resal+(Salim-Resal)*(1-EXP((Tnet-t)/(Tau_j))))*Salcycl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7.5942257778481503E-7</v>
      </c>
      <c r="Q259" s="305">
        <f t="shared" si="80"/>
        <v>0.5</v>
      </c>
      <c r="R259" s="177">
        <f t="shared" si="81"/>
        <v>0.45718651988108938</v>
      </c>
      <c r="S259" s="811">
        <f t="shared" si="82"/>
        <v>-2</v>
      </c>
      <c r="T259" s="176">
        <f t="shared" si="83"/>
        <v>4</v>
      </c>
      <c r="U259" s="251">
        <f t="shared" si="84"/>
        <v>-1.5428134801189106</v>
      </c>
      <c r="V259" s="383">
        <f t="shared" si="85"/>
        <v>49.269974358357473</v>
      </c>
      <c r="W259" s="402">
        <f t="shared" si="86"/>
        <v>38.76858667577693</v>
      </c>
      <c r="X259" s="157">
        <f t="shared" si="87"/>
        <v>45902</v>
      </c>
      <c r="Y259" s="385">
        <f t="shared" si="88"/>
        <v>36.846413579674234</v>
      </c>
      <c r="Z259" s="385">
        <f t="shared" si="89"/>
        <v>39.042367635334593</v>
      </c>
      <c r="AA259" s="386">
        <f t="shared" si="90"/>
        <v>41.826027440810002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6.6553291713268695E-2</v>
      </c>
      <c r="AD259" s="231">
        <f>(INDEX(Models!$BJ259:$BT259,,AH259)*(1-AF259)+INDEX(Models!$BJ259:$BT259,,AH259+1)*AF259-ERP_i)*AE259*Ramure*Pc/MaxiM</f>
        <v>2.1554465952733246E-5</v>
      </c>
      <c r="AE259" s="305">
        <f t="shared" si="92"/>
        <v>0.5</v>
      </c>
      <c r="AF259" s="177">
        <f t="shared" si="93"/>
        <v>0.9821740862550683</v>
      </c>
      <c r="AG259" s="811">
        <f t="shared" si="99"/>
        <v>1</v>
      </c>
      <c r="AH259" s="176">
        <f t="shared" si="94"/>
        <v>7</v>
      </c>
      <c r="AI259" s="225">
        <f t="shared" si="95"/>
        <v>1.9821740862550683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32.369480024123</v>
      </c>
      <c r="C260" s="841"/>
      <c r="D260" s="393">
        <f t="shared" si="77"/>
        <v>34.29937128589976</v>
      </c>
      <c r="E260" s="385">
        <f t="shared" si="100"/>
        <v>34.926825622105603</v>
      </c>
      <c r="F260" s="385">
        <f t="shared" si="78"/>
        <v>34.926836687442126</v>
      </c>
      <c r="G260" s="110">
        <f t="shared" si="101"/>
        <v>0.65987093635197847</v>
      </c>
      <c r="H260" s="414" t="b">
        <f>Wh_hp&gt;='2024'!Maxi_hp</f>
        <v>0</v>
      </c>
      <c r="I260" s="390">
        <f>IF(H260,Wh_hp,'2024'!Maxi_hp)</f>
        <v>54.150203084511908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5.6266082713012477E-2</v>
      </c>
      <c r="M260" s="845"/>
      <c r="N260" s="845"/>
      <c r="O260" s="48">
        <f>IF(t&lt;Tnet,'2024'!Resal+('2024'!Salim-'2024'!Resal)*(1-EXP(('2024'!Tnet-t)/('2024'!Tau_j))),Resal+(Salim-Resal)*(1-EXP((Tnet-t)/(Tau_j))))*Salcycl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6.1624924561950141E-7</v>
      </c>
      <c r="Q260" s="305">
        <f t="shared" si="80"/>
        <v>0.5</v>
      </c>
      <c r="R260" s="177">
        <f t="shared" si="81"/>
        <v>0.45778750195971485</v>
      </c>
      <c r="S260" s="811">
        <f t="shared" si="82"/>
        <v>-2</v>
      </c>
      <c r="T260" s="176">
        <f t="shared" si="83"/>
        <v>4</v>
      </c>
      <c r="U260" s="251">
        <f t="shared" si="84"/>
        <v>-1.5422124980402852</v>
      </c>
      <c r="V260" s="383">
        <f t="shared" si="85"/>
        <v>49.054244623246284</v>
      </c>
      <c r="W260" s="402">
        <f t="shared" si="86"/>
        <v>32.369480024123</v>
      </c>
      <c r="X260" s="157">
        <f t="shared" si="87"/>
        <v>45903</v>
      </c>
      <c r="Y260" s="385">
        <f t="shared" si="88"/>
        <v>30.766384596436726</v>
      </c>
      <c r="Z260" s="385">
        <f t="shared" si="89"/>
        <v>32.600698176539872</v>
      </c>
      <c r="AA260" s="386">
        <f t="shared" si="90"/>
        <v>34.926463453243613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6.6590345736471837E-2</v>
      </c>
      <c r="AD260" s="231">
        <f>(INDEX(Models!$BJ260:$BT260,,AH260)*(1-AF260)+INDEX(Models!$BJ260:$BT260,,AH260+1)*AF260-ERP_i)*AE260*Ramure*Pc/MaxiM</f>
        <v>2.0786109193741109E-5</v>
      </c>
      <c r="AE260" s="305">
        <f t="shared" si="92"/>
        <v>0.5</v>
      </c>
      <c r="AF260" s="177">
        <f t="shared" si="93"/>
        <v>0.98277506833369377</v>
      </c>
      <c r="AG260" s="811">
        <f t="shared" si="99"/>
        <v>1</v>
      </c>
      <c r="AH260" s="176">
        <f t="shared" si="94"/>
        <v>7</v>
      </c>
      <c r="AI260" s="225">
        <f t="shared" si="95"/>
        <v>1.9827750683336938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46.947216686388352</v>
      </c>
      <c r="C261" s="841"/>
      <c r="D261" s="393">
        <f t="shared" si="77"/>
        <v>49.747332498558386</v>
      </c>
      <c r="E261" s="385">
        <f t="shared" si="100"/>
        <v>50.662149775765926</v>
      </c>
      <c r="F261" s="385">
        <f t="shared" si="78"/>
        <v>50.662173946531816</v>
      </c>
      <c r="G261" s="110">
        <f t="shared" si="101"/>
        <v>0.96143388392342666</v>
      </c>
      <c r="H261" s="414" t="b">
        <f>Wh_hp&gt;='2024'!Maxi_hp</f>
        <v>0</v>
      </c>
      <c r="I261" s="390">
        <f>IF(H261,Wh_hp,'2024'!Maxi_hp)</f>
        <v>53.283178554064911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5.6286752907830362E-2</v>
      </c>
      <c r="M261" s="845"/>
      <c r="N261" s="845"/>
      <c r="O261" s="48">
        <f>IF(t&lt;Tnet,'2024'!Resal+('2024'!Salim-'2024'!Resal)*(1-EXP(('2024'!Tnet-t)/('2024'!Tau_j))),Resal+(Salim-Resal)*(1-EXP((Tnet-t)/(Tau_j))))*Salcycl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5.0491488443018487E-7</v>
      </c>
      <c r="Q261" s="305">
        <f t="shared" si="80"/>
        <v>0.5</v>
      </c>
      <c r="R261" s="177">
        <f t="shared" si="81"/>
        <v>0.45836568768547892</v>
      </c>
      <c r="S261" s="811">
        <f t="shared" si="82"/>
        <v>-2</v>
      </c>
      <c r="T261" s="176">
        <f t="shared" si="83"/>
        <v>4</v>
      </c>
      <c r="U261" s="251">
        <f t="shared" si="84"/>
        <v>-1.5416343123145211</v>
      </c>
      <c r="V261" s="383">
        <f t="shared" si="85"/>
        <v>48.830414826683658</v>
      </c>
      <c r="W261" s="402">
        <f t="shared" si="86"/>
        <v>46.947216686388352</v>
      </c>
      <c r="X261" s="157">
        <f t="shared" si="87"/>
        <v>45904</v>
      </c>
      <c r="Y261" s="385">
        <f t="shared" si="88"/>
        <v>44.62422267314313</v>
      </c>
      <c r="Z261" s="385">
        <f t="shared" si="89"/>
        <v>47.285786027315154</v>
      </c>
      <c r="AA261" s="386">
        <f t="shared" si="90"/>
        <v>50.661188794874768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6.66269949018862E-2</v>
      </c>
      <c r="AD261" s="231">
        <f>(INDEX(Models!$BJ261:$BT261,,AH261)*(1-AF261)+INDEX(Models!$BJ261:$BT261,,AH261+1)*AF261-ERP_i)*AE261*Ramure*Pc/MaxiM</f>
        <v>2.0579312106183804E-5</v>
      </c>
      <c r="AE261" s="305">
        <f t="shared" si="92"/>
        <v>0.5</v>
      </c>
      <c r="AF261" s="177">
        <f t="shared" si="93"/>
        <v>0.98335325405945806</v>
      </c>
      <c r="AG261" s="811">
        <f t="shared" si="99"/>
        <v>1</v>
      </c>
      <c r="AH261" s="176">
        <f t="shared" si="94"/>
        <v>7</v>
      </c>
      <c r="AI261" s="225">
        <f t="shared" si="95"/>
        <v>1.9833532540594581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39.687526284717322</v>
      </c>
      <c r="C262" s="841"/>
      <c r="D262" s="393">
        <f t="shared" si="77"/>
        <v>42.055566862845438</v>
      </c>
      <c r="E262" s="385">
        <f t="shared" si="100"/>
        <v>42.832958667116735</v>
      </c>
      <c r="F262" s="385">
        <f t="shared" si="78"/>
        <v>42.832972260121906</v>
      </c>
      <c r="G262" s="110">
        <f t="shared" si="101"/>
        <v>0.81662214241197295</v>
      </c>
      <c r="H262" s="414" t="b">
        <f>Wh_hp&gt;='2024'!Maxi_hp</f>
        <v>0</v>
      </c>
      <c r="I262" s="390">
        <f>IF(H262,Wh_hp,'2024'!Maxi_hp)</f>
        <v>52.787883333438941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5.6307422649917838E-2</v>
      </c>
      <c r="M262" s="845"/>
      <c r="N262" s="845"/>
      <c r="O262" s="48">
        <f>IF(t&lt;Tnet,'2024'!Resal+('2024'!Salim-'2024'!Resal)*(1-EXP(('2024'!Tnet-t)/('2024'!Tau_j))),Resal+(Salim-Resal)*(1-EXP((Tnet-t)/(Tau_j))))*Salcycl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4.2999382297632405E-7</v>
      </c>
      <c r="Q262" s="305">
        <f t="shared" si="80"/>
        <v>0.5</v>
      </c>
      <c r="R262" s="177">
        <f t="shared" si="81"/>
        <v>0.45892188897825092</v>
      </c>
      <c r="S262" s="811">
        <f t="shared" si="82"/>
        <v>-2</v>
      </c>
      <c r="T262" s="176">
        <f t="shared" si="83"/>
        <v>4</v>
      </c>
      <c r="U262" s="251">
        <f t="shared" si="84"/>
        <v>-1.5410781110217491</v>
      </c>
      <c r="V262" s="383">
        <f t="shared" si="85"/>
        <v>48.59961511318383</v>
      </c>
      <c r="W262" s="402">
        <f t="shared" si="86"/>
        <v>39.687526284717322</v>
      </c>
      <c r="X262" s="157">
        <f t="shared" si="87"/>
        <v>45905</v>
      </c>
      <c r="Y262" s="385">
        <f t="shared" si="88"/>
        <v>37.72595563010438</v>
      </c>
      <c r="Z262" s="385">
        <f t="shared" si="89"/>
        <v>39.976954927461684</v>
      </c>
      <c r="AA262" s="386">
        <f t="shared" si="90"/>
        <v>42.832293765643819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6.6663225037750171E-2</v>
      </c>
      <c r="AD262" s="231">
        <f>(INDEX(Models!$BJ262:$BT262,,AH262)*(1-AF262)+INDEX(Models!$BJ262:$BT262,,AH262+1)*AF262-ERP_i)*AE262*Ramure*Pc/MaxiM</f>
        <v>2.1463129807777531E-5</v>
      </c>
      <c r="AE262" s="305">
        <f t="shared" si="92"/>
        <v>0.5</v>
      </c>
      <c r="AF262" s="177">
        <f t="shared" si="93"/>
        <v>0.98390945535222984</v>
      </c>
      <c r="AG262" s="811">
        <f t="shared" si="99"/>
        <v>1</v>
      </c>
      <c r="AH262" s="176">
        <f t="shared" si="94"/>
        <v>7</v>
      </c>
      <c r="AI262" s="225">
        <f t="shared" si="95"/>
        <v>1.9839094553522298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45.008773149057255</v>
      </c>
      <c r="C263" s="841"/>
      <c r="D263" s="393">
        <f t="shared" si="77"/>
        <v>47.695361877998629</v>
      </c>
      <c r="E263" s="385">
        <f t="shared" si="100"/>
        <v>48.5815540337044</v>
      </c>
      <c r="F263" s="385">
        <f t="shared" si="78"/>
        <v>48.581570078344853</v>
      </c>
      <c r="G263" s="110">
        <f t="shared" si="101"/>
        <v>0.93065922676951118</v>
      </c>
      <c r="H263" s="414" t="b">
        <f>Wh_hp&gt;='2024'!Maxi_hp</f>
        <v>0</v>
      </c>
      <c r="I263" s="390">
        <f>IF(H263,Wh_hp,'2024'!Maxi_hp)</f>
        <v>54.673871330579189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5.6328091939285008E-2</v>
      </c>
      <c r="M263" s="845"/>
      <c r="N263" s="845"/>
      <c r="O263" s="48">
        <f>IF(t&lt;Tnet,'2024'!Resal+('2024'!Salim-'2024'!Resal)*(1-EXP(('2024'!Tnet-t)/('2024'!Tau_j))),Resal+(Salim-Resal)*(1-EXP((Tnet-t)/(Tau_j))))*Salcycl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3.6657403985124844E-7</v>
      </c>
      <c r="Q263" s="305">
        <f t="shared" si="80"/>
        <v>0.5</v>
      </c>
      <c r="R263" s="177">
        <f t="shared" si="81"/>
        <v>0.45945689290988256</v>
      </c>
      <c r="S263" s="811">
        <f t="shared" si="82"/>
        <v>-2</v>
      </c>
      <c r="T263" s="176">
        <f t="shared" si="83"/>
        <v>4</v>
      </c>
      <c r="U263" s="251">
        <f t="shared" si="84"/>
        <v>-1.5405431070901174</v>
      </c>
      <c r="V263" s="383">
        <f t="shared" si="85"/>
        <v>48.362247125539653</v>
      </c>
      <c r="W263" s="402">
        <f t="shared" si="86"/>
        <v>45.008773149057255</v>
      </c>
      <c r="X263" s="157">
        <f t="shared" si="87"/>
        <v>45906</v>
      </c>
      <c r="Y263" s="385">
        <f t="shared" si="88"/>
        <v>42.786347797496042</v>
      </c>
      <c r="Z263" s="385">
        <f t="shared" si="89"/>
        <v>45.340279213592112</v>
      </c>
      <c r="AA263" s="386">
        <f t="shared" si="90"/>
        <v>48.580554667811903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6.6699021375453915E-2</v>
      </c>
      <c r="AD263" s="231">
        <f>(INDEX(Models!$BJ263:$BT263,,AH263)*(1-AF263)+INDEX(Models!$BJ263:$BT263,,AH263+1)*AF263-ERP_i)*AE263*Ramure*Pc/MaxiM</f>
        <v>2.319921984250298E-5</v>
      </c>
      <c r="AE263" s="305">
        <f t="shared" si="92"/>
        <v>0.5</v>
      </c>
      <c r="AF263" s="177">
        <f t="shared" si="93"/>
        <v>0.98444445928386148</v>
      </c>
      <c r="AG263" s="811">
        <f t="shared" si="99"/>
        <v>1</v>
      </c>
      <c r="AH263" s="176">
        <f t="shared" si="94"/>
        <v>7</v>
      </c>
      <c r="AI263" s="225">
        <f t="shared" si="95"/>
        <v>1.9844444592838615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35.018484347374383</v>
      </c>
      <c r="C264" s="841"/>
      <c r="D264" s="393">
        <f t="shared" si="77"/>
        <v>37.109562189701819</v>
      </c>
      <c r="E264" s="385">
        <f t="shared" si="100"/>
        <v>37.8025990127854</v>
      </c>
      <c r="F264" s="385">
        <f t="shared" si="78"/>
        <v>37.802606285130643</v>
      </c>
      <c r="G264" s="110">
        <f t="shared" si="101"/>
        <v>0.72775183022648038</v>
      </c>
      <c r="H264" s="414" t="b">
        <f>Wh_hp&gt;='2024'!Maxi_hp</f>
        <v>0</v>
      </c>
      <c r="I264" s="390">
        <f>IF(H264,Wh_hp,'2024'!Maxi_hp)</f>
        <v>50.140065797662274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5.6348760775941642E-2</v>
      </c>
      <c r="M264" s="845"/>
      <c r="N264" s="845"/>
      <c r="O264" s="48">
        <f>IF(t&lt;Tnet,'2024'!Resal+('2024'!Salim-'2024'!Resal)*(1-EXP(('2024'!Tnet-t)/('2024'!Tau_j))),Resal+(Salim-Resal)*(1-EXP((Tnet-t)/(Tau_j))))*Salcycl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3.1481746558980966E-7</v>
      </c>
      <c r="Q264" s="305">
        <f t="shared" si="80"/>
        <v>0.5</v>
      </c>
      <c r="R264" s="177">
        <f t="shared" si="81"/>
        <v>0.45997146214292028</v>
      </c>
      <c r="S264" s="811">
        <f t="shared" si="82"/>
        <v>-2</v>
      </c>
      <c r="T264" s="176">
        <f t="shared" si="83"/>
        <v>4</v>
      </c>
      <c r="U264" s="251">
        <f t="shared" si="84"/>
        <v>-1.5400285378570797</v>
      </c>
      <c r="V264" s="383">
        <f t="shared" si="85"/>
        <v>48.118711084230235</v>
      </c>
      <c r="W264" s="402">
        <f t="shared" si="86"/>
        <v>35.018484347374383</v>
      </c>
      <c r="X264" s="157">
        <f t="shared" si="87"/>
        <v>45907</v>
      </c>
      <c r="Y264" s="385">
        <f t="shared" si="88"/>
        <v>33.291371248516576</v>
      </c>
      <c r="Z264" s="385">
        <f t="shared" si="89"/>
        <v>35.279317045025309</v>
      </c>
      <c r="AA264" s="386">
        <f t="shared" si="90"/>
        <v>37.802010333414913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6.6734368520070003E-2</v>
      </c>
      <c r="AD264" s="231">
        <f>(INDEX(Models!$BJ264:$BT264,,AH264)*(1-AF264)+INDEX(Models!$BJ264:$BT264,,AH264+1)*AF264-ERP_i)*AE264*Ramure*Pc/MaxiM</f>
        <v>2.5798556365765205E-5</v>
      </c>
      <c r="AE264" s="305">
        <f t="shared" si="92"/>
        <v>0.5</v>
      </c>
      <c r="AF264" s="177">
        <f t="shared" si="93"/>
        <v>0.98495902851689898</v>
      </c>
      <c r="AG264" s="811">
        <f t="shared" si="99"/>
        <v>1</v>
      </c>
      <c r="AH264" s="176">
        <f t="shared" si="94"/>
        <v>7</v>
      </c>
      <c r="AI264" s="225">
        <f t="shared" si="95"/>
        <v>1.984959028516899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38.346593729735133</v>
      </c>
      <c r="C265" s="841"/>
      <c r="D265" s="393">
        <f t="shared" si="77"/>
        <v>40.637294842615844</v>
      </c>
      <c r="E265" s="385">
        <f t="shared" si="100"/>
        <v>41.400071668029007</v>
      </c>
      <c r="F265" s="385">
        <f t="shared" si="78"/>
        <v>41.400079814388334</v>
      </c>
      <c r="G265" s="110">
        <f t="shared" si="101"/>
        <v>0.80106675879104561</v>
      </c>
      <c r="H265" s="414" t="b">
        <f>Wh_hp&gt;='2024'!Maxi_hp</f>
        <v>0</v>
      </c>
      <c r="I265" s="390">
        <f>IF(H265,Wh_hp,'2024'!Maxi_hp)</f>
        <v>49.195092920557293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5.6369429159897733E-2</v>
      </c>
      <c r="M265" s="845"/>
      <c r="N265" s="845"/>
      <c r="O265" s="48">
        <f>IF(t&lt;Tnet,'2024'!Resal+('2024'!Salim-'2024'!Resal)*(1-EXP(('2024'!Tnet-t)/('2024'!Tau_j))),Resal+(Salim-Resal)*(1-EXP((Tnet-t)/(Tau_j))))*Salcycl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2.7489369423837111E-7</v>
      </c>
      <c r="Q265" s="305">
        <f t="shared" si="80"/>
        <v>0.5</v>
      </c>
      <c r="R265" s="177">
        <f t="shared" si="81"/>
        <v>0.460466335389766</v>
      </c>
      <c r="S265" s="811">
        <f t="shared" si="82"/>
        <v>-2</v>
      </c>
      <c r="T265" s="176">
        <f t="shared" si="83"/>
        <v>4</v>
      </c>
      <c r="U265" s="251">
        <f t="shared" si="84"/>
        <v>-1.539533664610234</v>
      </c>
      <c r="V265" s="383">
        <f t="shared" si="85"/>
        <v>47.869407029059218</v>
      </c>
      <c r="W265" s="402">
        <f t="shared" si="86"/>
        <v>38.346593729735133</v>
      </c>
      <c r="X265" s="157">
        <f t="shared" si="87"/>
        <v>45908</v>
      </c>
      <c r="Y265" s="385">
        <f t="shared" si="88"/>
        <v>36.457184048876613</v>
      </c>
      <c r="Z265" s="385">
        <f t="shared" si="89"/>
        <v>38.63501795667689</v>
      </c>
      <c r="AA265" s="386">
        <f t="shared" si="90"/>
        <v>41.399212332253718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6.6769250424198734E-2</v>
      </c>
      <c r="AD265" s="231">
        <f>(INDEX(Models!$BJ265:$BT265,,AH265)*(1-AF265)+INDEX(Models!$BJ265:$BT265,,AH265+1)*AF265-ERP_i)*AE265*Ramure*Pc/MaxiM</f>
        <v>2.9272630757970842E-5</v>
      </c>
      <c r="AE265" s="305">
        <f t="shared" si="92"/>
        <v>0.5</v>
      </c>
      <c r="AF265" s="177">
        <f t="shared" si="93"/>
        <v>0.98545390176374492</v>
      </c>
      <c r="AG265" s="811">
        <f t="shared" si="99"/>
        <v>1</v>
      </c>
      <c r="AH265" s="176">
        <f t="shared" si="94"/>
        <v>7</v>
      </c>
      <c r="AI265" s="225">
        <f t="shared" si="95"/>
        <v>1.9854539017637449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21.347111604877576</v>
      </c>
      <c r="C266" s="841"/>
      <c r="D266" s="393">
        <f t="shared" si="77"/>
        <v>22.622814299713792</v>
      </c>
      <c r="E266" s="385">
        <f t="shared" si="100"/>
        <v>23.049595313055367</v>
      </c>
      <c r="F266" s="385">
        <f t="shared" si="78"/>
        <v>23.049596519354147</v>
      </c>
      <c r="G266" s="110">
        <f t="shared" si="101"/>
        <v>0.44832986121820845</v>
      </c>
      <c r="H266" s="414" t="b">
        <f>Wh_hp&gt;='2024'!Maxi_hp</f>
        <v>0</v>
      </c>
      <c r="I266" s="390">
        <f>IF(H266,Wh_hp,'2024'!Maxi_hp)</f>
        <v>49.204296027158733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5.639009709116316E-2</v>
      </c>
      <c r="M266" s="845"/>
      <c r="N266" s="845"/>
      <c r="O266" s="48">
        <f>IF(t&lt;Tnet,'2024'!Resal+('2024'!Salim-'2024'!Resal)*(1-EXP(('2024'!Tnet-t)/('2024'!Tau_j))),Resal+(Salim-Resal)*(1-EXP((Tnet-t)/(Tau_j))))*Salcycl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2.4697941333762341E-7</v>
      </c>
      <c r="Q266" s="305">
        <f t="shared" si="80"/>
        <v>0.5</v>
      </c>
      <c r="R266" s="177">
        <f t="shared" si="81"/>
        <v>0.46094222788912109</v>
      </c>
      <c r="S266" s="811">
        <f t="shared" si="82"/>
        <v>-2</v>
      </c>
      <c r="T266" s="176">
        <f t="shared" si="83"/>
        <v>4</v>
      </c>
      <c r="U266" s="251">
        <f t="shared" si="84"/>
        <v>-1.5390577721108789</v>
      </c>
      <c r="V266" s="383">
        <f t="shared" si="85"/>
        <v>47.614734811049509</v>
      </c>
      <c r="W266" s="402">
        <f t="shared" si="86"/>
        <v>21.347111604877576</v>
      </c>
      <c r="X266" s="157">
        <f t="shared" si="87"/>
        <v>45909</v>
      </c>
      <c r="Y266" s="385">
        <f t="shared" si="88"/>
        <v>20.296715005662065</v>
      </c>
      <c r="Z266" s="385">
        <f t="shared" si="89"/>
        <v>21.509646033910851</v>
      </c>
      <c r="AA266" s="386">
        <f t="shared" si="90"/>
        <v>23.049432246870303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6.6803650366204892E-2</v>
      </c>
      <c r="AD266" s="231">
        <f>(INDEX(Models!$BJ266:$BT266,,AH266)*(1-AF266)+INDEX(Models!$BJ266:$BT266,,AH266+1)*AF266-ERP_i)*AE266*Ramure*Pc/MaxiM</f>
        <v>3.3633393656447366E-5</v>
      </c>
      <c r="AE266" s="305">
        <f t="shared" si="92"/>
        <v>0.5</v>
      </c>
      <c r="AF266" s="177">
        <f t="shared" si="93"/>
        <v>0.98592979426310023</v>
      </c>
      <c r="AG266" s="811">
        <f t="shared" si="99"/>
        <v>1</v>
      </c>
      <c r="AH266" s="176">
        <f t="shared" si="94"/>
        <v>7</v>
      </c>
      <c r="AI266" s="225">
        <f t="shared" si="95"/>
        <v>1.9859297942631002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45.096046330383906</v>
      </c>
      <c r="C267" s="841"/>
      <c r="D267" s="393">
        <f t="shared" si="77"/>
        <v>47.792031359727495</v>
      </c>
      <c r="E267" s="385">
        <f t="shared" si="100"/>
        <v>48.698146294729312</v>
      </c>
      <c r="F267" s="385">
        <f t="shared" si="78"/>
        <v>48.698156789072321</v>
      </c>
      <c r="G267" s="110">
        <f t="shared" si="101"/>
        <v>0.95229555499858376</v>
      </c>
      <c r="H267" s="414" t="b">
        <f>Wh_hp&gt;='2024'!Maxi_hp</f>
        <v>1</v>
      </c>
      <c r="I267" s="390">
        <f>IF(H267,Wh_hp,'2024'!Maxi_hp)</f>
        <v>48.698156789072321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5.6410764569747807E-2</v>
      </c>
      <c r="M267" s="845"/>
      <c r="N267" s="845"/>
      <c r="O267" s="48">
        <f>IF(t&lt;Tnet,'2024'!Resal+('2024'!Salim-'2024'!Resal)*(1-EXP(('2024'!Tnet-t)/('2024'!Tau_j))),Resal+(Salim-Resal)*(1-EXP((Tnet-t)/(Tau_j))))*Salcycl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2.3125777483780131E-7</v>
      </c>
      <c r="Q267" s="305">
        <f t="shared" si="80"/>
        <v>0.5</v>
      </c>
      <c r="R267" s="177">
        <f t="shared" si="81"/>
        <v>0.46139983189678602</v>
      </c>
      <c r="S267" s="811">
        <f t="shared" si="82"/>
        <v>-2</v>
      </c>
      <c r="T267" s="176">
        <f t="shared" si="83"/>
        <v>4</v>
      </c>
      <c r="U267" s="251">
        <f t="shared" si="84"/>
        <v>-1.538600168103214</v>
      </c>
      <c r="V267" s="383">
        <f t="shared" si="85"/>
        <v>47.355094101784211</v>
      </c>
      <c r="W267" s="402">
        <f t="shared" si="86"/>
        <v>45.096046330383906</v>
      </c>
      <c r="X267" s="157">
        <f t="shared" si="87"/>
        <v>45910</v>
      </c>
      <c r="Y267" s="385">
        <f t="shared" si="88"/>
        <v>42.878246372332775</v>
      </c>
      <c r="Z267" s="385">
        <f t="shared" si="89"/>
        <v>45.441644268844811</v>
      </c>
      <c r="AA267" s="386">
        <f t="shared" si="90"/>
        <v>48.696391838658364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6.6837550933901396E-2</v>
      </c>
      <c r="AD267" s="231">
        <f>(INDEX(Models!$BJ267:$BT267,,AH267)*(1-AF267)+INDEX(Models!$BJ267:$BT267,,AH267+1)*AF267-ERP_i)*AE267*Ramure*Pc/MaxiM</f>
        <v>3.8893192737178155E-5</v>
      </c>
      <c r="AE267" s="305">
        <f t="shared" si="92"/>
        <v>0.5</v>
      </c>
      <c r="AF267" s="177">
        <f t="shared" si="93"/>
        <v>0.98638739827076494</v>
      </c>
      <c r="AG267" s="811">
        <f t="shared" si="99"/>
        <v>1</v>
      </c>
      <c r="AH267" s="176">
        <f t="shared" si="94"/>
        <v>7</v>
      </c>
      <c r="AI267" s="225">
        <f t="shared" si="95"/>
        <v>1.9863873982707649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45.625650827281561</v>
      </c>
      <c r="C268" s="841"/>
      <c r="D268" s="393">
        <f t="shared" si="77"/>
        <v>48.354356381792954</v>
      </c>
      <c r="E268" s="385">
        <f t="shared" si="100"/>
        <v>49.275688806481575</v>
      </c>
      <c r="F268" s="385">
        <f t="shared" si="78"/>
        <v>49.27569967741627</v>
      </c>
      <c r="G268" s="110">
        <f t="shared" si="101"/>
        <v>0.96888497828333986</v>
      </c>
      <c r="H268" s="414" t="b">
        <f>Wh_hp&gt;='2024'!Maxi_hp</f>
        <v>1</v>
      </c>
      <c r="I268" s="390">
        <f>IF(H268,Wh_hp,'2024'!Maxi_hp)</f>
        <v>49.27569967741627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5.6431431595661663E-2</v>
      </c>
      <c r="M268" s="845"/>
      <c r="N268" s="845"/>
      <c r="O268" s="48">
        <f>IF(t&lt;Tnet,'2024'!Resal+('2024'!Salim-'2024'!Resal)*(1-EXP(('2024'!Tnet-t)/('2024'!Tau_j))),Resal+(Salim-Resal)*(1-EXP((Tnet-t)/(Tau_j))))*Salcycl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2.3087700397275315E-7</v>
      </c>
      <c r="Q268" s="305">
        <f t="shared" si="80"/>
        <v>0.5</v>
      </c>
      <c r="R268" s="177">
        <f t="shared" si="81"/>
        <v>0.46183981718812284</v>
      </c>
      <c r="S268" s="811">
        <f t="shared" si="82"/>
        <v>-2</v>
      </c>
      <c r="T268" s="176">
        <f t="shared" si="83"/>
        <v>4</v>
      </c>
      <c r="U268" s="251">
        <f t="shared" si="84"/>
        <v>-1.5381601828118772</v>
      </c>
      <c r="V268" s="383">
        <f t="shared" si="85"/>
        <v>47.090884244988352</v>
      </c>
      <c r="W268" s="402">
        <f t="shared" si="86"/>
        <v>45.625650827281561</v>
      </c>
      <c r="X268" s="157">
        <f t="shared" si="87"/>
        <v>45911</v>
      </c>
      <c r="Y268" s="385">
        <f t="shared" si="88"/>
        <v>43.383917629280234</v>
      </c>
      <c r="Z268" s="385">
        <f t="shared" si="89"/>
        <v>45.978553209594985</v>
      </c>
      <c r="AA268" s="386">
        <f t="shared" si="90"/>
        <v>49.273519479372105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6.6870934014699901E-2</v>
      </c>
      <c r="AD268" s="231">
        <f>(INDEX(Models!$BJ268:$BT268,,AH268)*(1-AF268)+INDEX(Models!$BJ268:$BT268,,AH268+1)*AF268-ERP_i)*AE268*Ramure*Pc/MaxiM</f>
        <v>4.6303064688388537E-5</v>
      </c>
      <c r="AE268" s="305">
        <f t="shared" si="92"/>
        <v>0.5</v>
      </c>
      <c r="AF268" s="177">
        <f t="shared" si="93"/>
        <v>0.98682738356210176</v>
      </c>
      <c r="AG268" s="811">
        <f t="shared" si="99"/>
        <v>1</v>
      </c>
      <c r="AH268" s="176">
        <f t="shared" si="94"/>
        <v>7</v>
      </c>
      <c r="AI268" s="225">
        <f t="shared" si="95"/>
        <v>1.9868273835621018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31.953468517913329</v>
      </c>
      <c r="C269" s="841"/>
      <c r="D269" s="393">
        <f t="shared" si="77"/>
        <v>33.865231914461575</v>
      </c>
      <c r="E269" s="385">
        <f t="shared" si="100"/>
        <v>34.51367429221758</v>
      </c>
      <c r="F269" s="385">
        <f t="shared" si="78"/>
        <v>34.513678775541706</v>
      </c>
      <c r="G269" s="110">
        <f t="shared" si="101"/>
        <v>0.68243818043726023</v>
      </c>
      <c r="H269" s="414" t="b">
        <f>Wh_hp&gt;='2024'!Maxi_hp</f>
        <v>0</v>
      </c>
      <c r="I269" s="390">
        <f>IF(H269,Wh_hp,'2024'!Maxi_hp)</f>
        <v>50.761032411385656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5.6452098168914611E-2</v>
      </c>
      <c r="M269" s="845"/>
      <c r="N269" s="845"/>
      <c r="O269" s="48">
        <f>IF(t&lt;Tnet,'2024'!Resal+('2024'!Salim-'2024'!Resal)*(1-EXP(('2024'!Tnet-t)/('2024'!Tau_j))),Resal+(Salim-Resal)*(1-EXP((Tnet-t)/(Tau_j))))*Salcycl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2.3776372621618941E-7</v>
      </c>
      <c r="Q269" s="305">
        <f t="shared" si="80"/>
        <v>0.5</v>
      </c>
      <c r="R269" s="177">
        <f t="shared" si="81"/>
        <v>0.46226283156970971</v>
      </c>
      <c r="S269" s="811">
        <f t="shared" si="82"/>
        <v>-2</v>
      </c>
      <c r="T269" s="176">
        <f t="shared" si="83"/>
        <v>4</v>
      </c>
      <c r="U269" s="251">
        <f t="shared" si="84"/>
        <v>-1.5377371684302903</v>
      </c>
      <c r="V269" s="383">
        <f t="shared" si="85"/>
        <v>46.822504934903463</v>
      </c>
      <c r="W269" s="402">
        <f t="shared" si="86"/>
        <v>31.953468517913329</v>
      </c>
      <c r="X269" s="157">
        <f t="shared" si="87"/>
        <v>45912</v>
      </c>
      <c r="Y269" s="385">
        <f t="shared" si="88"/>
        <v>30.385644381972426</v>
      </c>
      <c r="Z269" s="385">
        <f t="shared" si="89"/>
        <v>32.203605479917741</v>
      </c>
      <c r="AA269" s="386">
        <f t="shared" si="90"/>
        <v>34.512630977428174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6.6903780793199405E-2</v>
      </c>
      <c r="AD269" s="231">
        <f>(INDEX(Models!$BJ269:$BT269,,AH269)*(1-AF269)+INDEX(Models!$BJ269:$BT269,,AH269+1)*AF269-ERP_i)*AE269*Ramure*Pc/MaxiM</f>
        <v>5.5567783340143827E-5</v>
      </c>
      <c r="AE269" s="305">
        <f t="shared" si="92"/>
        <v>0.5</v>
      </c>
      <c r="AF269" s="177">
        <f t="shared" si="93"/>
        <v>0.98725039794368863</v>
      </c>
      <c r="AG269" s="811">
        <f t="shared" si="99"/>
        <v>1</v>
      </c>
      <c r="AH269" s="176">
        <f t="shared" si="94"/>
        <v>7</v>
      </c>
      <c r="AI269" s="225">
        <f t="shared" si="95"/>
        <v>1.9872503979436886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11.330000316067164</v>
      </c>
      <c r="C270" s="841"/>
      <c r="D270" s="393">
        <f t="shared" si="77"/>
        <v>12.00813276739763</v>
      </c>
      <c r="E270" s="385">
        <f t="shared" si="100"/>
        <v>12.239186537126589</v>
      </c>
      <c r="F270" s="385">
        <f t="shared" si="78"/>
        <v>12.239186537126589</v>
      </c>
      <c r="G270" s="110">
        <f t="shared" si="101"/>
        <v>0.24339228754631032</v>
      </c>
      <c r="H270" s="414" t="b">
        <f>Wh_hp&gt;='2024'!Maxi_hp</f>
        <v>0</v>
      </c>
      <c r="I270" s="390">
        <f>IF(H270,Wh_hp,'2024'!Maxi_hp)</f>
        <v>48.245201516580117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5.647276428951653E-2</v>
      </c>
      <c r="M270" s="845"/>
      <c r="N270" s="845"/>
      <c r="O270" s="48">
        <f>IF(t&lt;Tnet,'2024'!Resal+('2024'!Salim-'2024'!Resal)*(1-EXP(('2024'!Tnet-t)/('2024'!Tau_j))),Resal+(Salim-Resal)*(1-EXP((Tnet-t)/(Tau_j))))*Salcycl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2.5203166246333465E-7</v>
      </c>
      <c r="Q270" s="305">
        <f t="shared" si="80"/>
        <v>0.5</v>
      </c>
      <c r="R270" s="177">
        <f t="shared" si="81"/>
        <v>0.46266950139791985</v>
      </c>
      <c r="S270" s="811">
        <f t="shared" si="82"/>
        <v>-2</v>
      </c>
      <c r="T270" s="176">
        <f t="shared" si="83"/>
        <v>4</v>
      </c>
      <c r="U270" s="251">
        <f t="shared" si="84"/>
        <v>-1.5373304986020802</v>
      </c>
      <c r="V270" s="383">
        <f t="shared" si="85"/>
        <v>46.550355291732835</v>
      </c>
      <c r="W270" s="402">
        <f t="shared" si="86"/>
        <v>11.330000316067164</v>
      </c>
      <c r="X270" s="157">
        <f t="shared" si="87"/>
        <v>45913</v>
      </c>
      <c r="Y270" s="385">
        <f t="shared" si="88"/>
        <v>10.775027693113914</v>
      </c>
      <c r="Z270" s="385">
        <f t="shared" si="89"/>
        <v>11.419943468828681</v>
      </c>
      <c r="AA270" s="386">
        <f t="shared" si="90"/>
        <v>12.239186537126589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6.6936071757122156E-2</v>
      </c>
      <c r="AD270" s="231">
        <f>(INDEX(Models!$BJ270:$BT270,,AH270)*(1-AF270)+INDEX(Models!$BJ270:$BT270,,AH270+1)*AF270-ERP_i)*AE270*Ramure*Pc/MaxiM</f>
        <v>6.6713978273603533E-5</v>
      </c>
      <c r="AE270" s="305">
        <f t="shared" si="92"/>
        <v>0.5</v>
      </c>
      <c r="AF270" s="177">
        <f t="shared" si="93"/>
        <v>0.98765706777189877</v>
      </c>
      <c r="AG270" s="811">
        <f t="shared" si="99"/>
        <v>1</v>
      </c>
      <c r="AH270" s="176">
        <f t="shared" si="94"/>
        <v>7</v>
      </c>
      <c r="AI270" s="225">
        <f t="shared" si="95"/>
        <v>1.9876570677718988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37.597549464124448</v>
      </c>
      <c r="C271" s="841"/>
      <c r="D271" s="393">
        <f t="shared" ref="D271:D334" si="102">Wh/(1-Ppv)</f>
        <v>39.848741553998906</v>
      </c>
      <c r="E271" s="385">
        <f t="shared" si="100"/>
        <v>40.619212199661938</v>
      </c>
      <c r="F271" s="385">
        <f t="shared" ref="F271:F334" si="103">Wh_sa/(1-Pvg*MEDIAN((-Sdif+Wh/Env_an)/Csdif,0,1))</f>
        <v>40.619220341851751</v>
      </c>
      <c r="G271" s="110">
        <f t="shared" si="101"/>
        <v>0.8124836601232488</v>
      </c>
      <c r="H271" s="414" t="b">
        <f>Wh_hp&gt;='2024'!Maxi_hp</f>
        <v>0</v>
      </c>
      <c r="I271" s="390">
        <f>IF(H271,Wh_hp,'2024'!Maxi_hp)</f>
        <v>47.954871485084247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5.6493429957477415E-2</v>
      </c>
      <c r="M271" s="845"/>
      <c r="N271" s="845"/>
      <c r="O271" s="48">
        <f>IF(t&lt;Tnet,'2024'!Resal+('2024'!Salim-'2024'!Resal)*(1-EXP(('2024'!Tnet-t)/('2024'!Tau_j))),Resal+(Salim-Resal)*(1-EXP((Tnet-t)/(Tau_j))))*Salcycl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2.7379631948698287E-7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0.46306043210235548</v>
      </c>
      <c r="S271" s="81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-1.5369395678976445</v>
      </c>
      <c r="V271" s="383">
        <f t="shared" ref="V271:V334" si="110">MaxiM*(1-Ppv)*(1-Pvg)*(1-Psa)</f>
        <v>46.27483425431695</v>
      </c>
      <c r="W271" s="402">
        <f t="shared" ref="W271:W334" si="111">Wh*(A271&gt;Tmaj)</f>
        <v>37.597549464124448</v>
      </c>
      <c r="X271" s="157">
        <f t="shared" ref="X271:X334" si="112">t</f>
        <v>45914</v>
      </c>
      <c r="Y271" s="385">
        <f t="shared" ref="Y271:Y334" si="113">Wh_pvt_s*(1-Ppv)</f>
        <v>35.755905962436152</v>
      </c>
      <c r="Z271" s="385">
        <f t="shared" ref="Z271:Z334" si="114">Wh_sa_s*(1-Psa_s)</f>
        <v>37.896827746334274</v>
      </c>
      <c r="AA271" s="386">
        <f t="shared" ref="AA271:AA334" si="115">Wh_hp*(1-Pvg_s*MEDIAN((-Sdif+Wh/Env_an)/Csdif,0,1))</f>
        <v>40.616848171622713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6.6967786712431393E-2</v>
      </c>
      <c r="AD271" s="231">
        <f>(INDEX(Models!$BJ271:$BT271,,AH271)*(1-AF271)+INDEX(Models!$BJ271:$BT271,,AH271+1)*AF271-ERP_i)*AE271*Ramure*Pc/MaxiM</f>
        <v>7.9768648594598222E-5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0.9880479984763344</v>
      </c>
      <c r="AG271" s="81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1.9880479984763344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41.29755432236761</v>
      </c>
      <c r="C272" s="841"/>
      <c r="D272" s="393">
        <f t="shared" si="102"/>
        <v>43.771246725653619</v>
      </c>
      <c r="E272" s="385">
        <f t="shared" si="100"/>
        <v>44.621636411087508</v>
      </c>
      <c r="F272" s="385">
        <f t="shared" si="103"/>
        <v>44.621647964977299</v>
      </c>
      <c r="G272" s="110">
        <f t="shared" si="101"/>
        <v>0.89784430619381472</v>
      </c>
      <c r="H272" s="414" t="b">
        <f>Wh_hp&gt;='2024'!Maxi_hp</f>
        <v>0</v>
      </c>
      <c r="I272" s="390">
        <f>IF(H272,Wh_hp,'2024'!Maxi_hp)</f>
        <v>48.916978336718785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5.6514095172807144E-2</v>
      </c>
      <c r="M272" s="845"/>
      <c r="N272" s="845"/>
      <c r="O272" s="48">
        <f>IF(t&lt;Tnet,'2024'!Resal+('2024'!Salim-'2024'!Resal)*(1-EXP(('2024'!Tnet-t)/('2024'!Tau_j))),Resal+(Salim-Resal)*(1-EXP((Tnet-t)/(Tau_j))))*Salcycl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3.031744014147661E-7</v>
      </c>
      <c r="Q272" s="305">
        <f t="shared" si="105"/>
        <v>0.5</v>
      </c>
      <c r="R272" s="177">
        <f t="shared" si="106"/>
        <v>0.46343620871225344</v>
      </c>
      <c r="S272" s="811">
        <f t="shared" si="107"/>
        <v>-2</v>
      </c>
      <c r="T272" s="176">
        <f t="shared" si="108"/>
        <v>4</v>
      </c>
      <c r="U272" s="251">
        <f t="shared" si="109"/>
        <v>-1.5365637912877466</v>
      </c>
      <c r="V272" s="383">
        <f t="shared" si="110"/>
        <v>45.996340579646997</v>
      </c>
      <c r="W272" s="402">
        <f t="shared" si="111"/>
        <v>41.29755432236761</v>
      </c>
      <c r="X272" s="157">
        <f t="shared" si="112"/>
        <v>45915</v>
      </c>
      <c r="Y272" s="385">
        <f t="shared" si="113"/>
        <v>39.276070110167844</v>
      </c>
      <c r="Z272" s="385">
        <f t="shared" si="114"/>
        <v>41.628677131495223</v>
      </c>
      <c r="AA272" s="386">
        <f t="shared" si="115"/>
        <v>44.618036726897344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6.6998904808378196E-2</v>
      </c>
      <c r="AD272" s="231">
        <f>(INDEX(Models!$BJ272:$BT272,,AH272)*(1-AF272)+INDEX(Models!$BJ272:$BT272,,AH272+1)*AF272-ERP_i)*AE272*Ramure*Pc/MaxiM</f>
        <v>9.4758991390321104E-5</v>
      </c>
      <c r="AE272" s="305">
        <f t="shared" si="117"/>
        <v>0.5</v>
      </c>
      <c r="AF272" s="177">
        <f t="shared" si="118"/>
        <v>0.98842377508623236</v>
      </c>
      <c r="AG272" s="811">
        <f t="shared" ref="AG272:AG335" si="124">INDEX(Echel_vg,AH272)</f>
        <v>1</v>
      </c>
      <c r="AH272" s="176">
        <f t="shared" si="119"/>
        <v>7</v>
      </c>
      <c r="AI272" s="225">
        <f t="shared" si="120"/>
        <v>1.9884237750862324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27.495626447604799</v>
      </c>
      <c r="C273" s="841"/>
      <c r="D273" s="393">
        <f t="shared" si="102"/>
        <v>29.143232076812406</v>
      </c>
      <c r="E273" s="385">
        <f t="shared" si="100"/>
        <v>29.712134827472386</v>
      </c>
      <c r="F273" s="385">
        <f t="shared" si="103"/>
        <v>29.712139181560058</v>
      </c>
      <c r="G273" s="110">
        <f t="shared" si="101"/>
        <v>0.60145372455648138</v>
      </c>
      <c r="H273" s="414" t="b">
        <f>Wh_hp&gt;='2024'!Maxi_hp</f>
        <v>0</v>
      </c>
      <c r="I273" s="390">
        <f>IF(H273,Wh_hp,'2024'!Maxi_hp)</f>
        <v>46.225866499783969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5.6534759935515599E-2</v>
      </c>
      <c r="M273" s="845"/>
      <c r="N273" s="845"/>
      <c r="O273" s="48">
        <f>IF(t&lt;Tnet,'2024'!Resal+('2024'!Salim-'2024'!Resal)*(1-EXP(('2024'!Tnet-t)/('2024'!Tau_j))),Resal+(Salim-Resal)*(1-EXP((Tnet-t)/(Tau_j))))*Salcycl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3.4028316770053E-7</v>
      </c>
      <c r="Q273" s="305">
        <f t="shared" si="105"/>
        <v>0.5</v>
      </c>
      <c r="R273" s="177">
        <f t="shared" si="106"/>
        <v>0.46379739638414907</v>
      </c>
      <c r="S273" s="811">
        <f t="shared" si="107"/>
        <v>-2</v>
      </c>
      <c r="T273" s="176">
        <f t="shared" si="108"/>
        <v>4</v>
      </c>
      <c r="U273" s="251">
        <f t="shared" si="109"/>
        <v>-1.5362026036158509</v>
      </c>
      <c r="V273" s="383">
        <f t="shared" si="110"/>
        <v>45.715272843069243</v>
      </c>
      <c r="W273" s="402">
        <f t="shared" si="111"/>
        <v>27.495626447604799</v>
      </c>
      <c r="X273" s="157">
        <f t="shared" si="112"/>
        <v>45916</v>
      </c>
      <c r="Y273" s="385">
        <f t="shared" si="113"/>
        <v>26.152119216143202</v>
      </c>
      <c r="Z273" s="385">
        <f t="shared" si="114"/>
        <v>27.719218584413078</v>
      </c>
      <c r="AA273" s="386">
        <f t="shared" si="115"/>
        <v>29.710709769722598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6.7029404573127851E-2</v>
      </c>
      <c r="AD273" s="231">
        <f>(INDEX(Models!$BJ273:$BT273,,AH273)*(1-AF273)+INDEX(Models!$BJ273:$BT273,,AH273+1)*AF273-ERP_i)*AE273*Ramure*Pc/MaxiM</f>
        <v>1.1171221721979881E-4</v>
      </c>
      <c r="AE273" s="305">
        <f t="shared" si="117"/>
        <v>0.5</v>
      </c>
      <c r="AF273" s="177">
        <f t="shared" si="118"/>
        <v>0.98878496275812799</v>
      </c>
      <c r="AG273" s="811">
        <f t="shared" si="124"/>
        <v>1</v>
      </c>
      <c r="AH273" s="176">
        <f t="shared" si="119"/>
        <v>7</v>
      </c>
      <c r="AI273" s="225">
        <f t="shared" si="120"/>
        <v>1.988784962758128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47.548825981999137</v>
      </c>
      <c r="C274" s="841"/>
      <c r="D274" s="393">
        <f t="shared" si="102"/>
        <v>50.399172568222831</v>
      </c>
      <c r="E274" s="385">
        <f t="shared" si="100"/>
        <v>51.387677045730619</v>
      </c>
      <c r="F274" s="385">
        <f t="shared" si="103"/>
        <v>51.387696842313346</v>
      </c>
      <c r="G274" s="110">
        <f t="shared" si="101"/>
        <v>1.0465926037131028</v>
      </c>
      <c r="H274" s="414" t="b">
        <f>Wh_hp&gt;='2024'!Maxi_hp</f>
        <v>1</v>
      </c>
      <c r="I274" s="390">
        <f>IF(H274,Wh_hp,'2024'!Maxi_hp)</f>
        <v>51.387696842313346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5.6555424245612773E-2</v>
      </c>
      <c r="M274" s="845"/>
      <c r="N274" s="845"/>
      <c r="O274" s="48">
        <f>IF(t&lt;Tnet,'2024'!Resal+('2024'!Salim-'2024'!Resal)*(1-EXP(('2024'!Tnet-t)/('2024'!Tau_j))),Resal+(Salim-Resal)*(1-EXP((Tnet-t)/(Tau_j))))*Salcycl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3.8523973523701053E-7</v>
      </c>
      <c r="Q274" s="305">
        <f t="shared" si="105"/>
        <v>0.5</v>
      </c>
      <c r="R274" s="177">
        <f t="shared" si="106"/>
        <v>0.46414454092924751</v>
      </c>
      <c r="S274" s="811">
        <f t="shared" si="107"/>
        <v>-2</v>
      </c>
      <c r="T274" s="176">
        <f t="shared" si="108"/>
        <v>4</v>
      </c>
      <c r="U274" s="251">
        <f t="shared" si="109"/>
        <v>-1.5358554590707525</v>
      </c>
      <c r="V274" s="383">
        <f t="shared" si="110"/>
        <v>45.432029438489579</v>
      </c>
      <c r="W274" s="402">
        <f t="shared" si="111"/>
        <v>47.548825981999137</v>
      </c>
      <c r="X274" s="157">
        <f t="shared" si="112"/>
        <v>45917</v>
      </c>
      <c r="Y274" s="385">
        <f t="shared" si="113"/>
        <v>45.224404323720329</v>
      </c>
      <c r="Z274" s="385">
        <f t="shared" si="114"/>
        <v>47.935411878920888</v>
      </c>
      <c r="AA274" s="386">
        <f t="shared" si="115"/>
        <v>51.380982764688369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6.7059263960506668E-2</v>
      </c>
      <c r="AD274" s="231">
        <f>(INDEX(Models!$BJ274:$BT274,,AH274)*(1-AF274)+INDEX(Models!$BJ274:$BT274,,AH274+1)*AF274-ERP_i)*AE274*Ramure*Pc/MaxiM</f>
        <v>1.3065535210857396E-4</v>
      </c>
      <c r="AE274" s="305">
        <f t="shared" si="117"/>
        <v>0.5</v>
      </c>
      <c r="AF274" s="177">
        <f t="shared" si="118"/>
        <v>0.98913210730322643</v>
      </c>
      <c r="AG274" s="811">
        <f t="shared" si="124"/>
        <v>1</v>
      </c>
      <c r="AH274" s="176">
        <f t="shared" si="119"/>
        <v>7</v>
      </c>
      <c r="AI274" s="225">
        <f t="shared" si="120"/>
        <v>1.9891321073032264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45.971919979845353</v>
      </c>
      <c r="C275" s="841"/>
      <c r="D275" s="393">
        <f t="shared" si="102"/>
        <v>48.728805153361115</v>
      </c>
      <c r="E275" s="385">
        <f t="shared" si="100"/>
        <v>49.689044646292501</v>
      </c>
      <c r="F275" s="385">
        <f t="shared" si="103"/>
        <v>49.689066419379252</v>
      </c>
      <c r="G275" s="110">
        <f t="shared" si="101"/>
        <v>1.0183329133380274</v>
      </c>
      <c r="H275" s="414" t="b">
        <f>Wh_hp&gt;='2024'!Maxi_hp</f>
        <v>1</v>
      </c>
      <c r="I275" s="390">
        <f>IF(H275,Wh_hp,'2024'!Maxi_hp)</f>
        <v>49.689066419379252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5.6576088103108435E-2</v>
      </c>
      <c r="M275" s="845"/>
      <c r="N275" s="845"/>
      <c r="O275" s="48">
        <f>IF(t&lt;Tnet,'2024'!Resal+('2024'!Salim-'2024'!Resal)*(1-EXP(('2024'!Tnet-t)/('2024'!Tau_j))),Resal+(Salim-Resal)*(1-EXP((Tnet-t)/(Tau_j))))*Salcycl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4.381866740169669E-7</v>
      </c>
      <c r="Q275" s="305">
        <f t="shared" si="105"/>
        <v>0.5</v>
      </c>
      <c r="R275" s="177">
        <f t="shared" si="106"/>
        <v>0.46447816933910535</v>
      </c>
      <c r="S275" s="811">
        <f t="shared" si="107"/>
        <v>-2</v>
      </c>
      <c r="T275" s="176">
        <f t="shared" si="108"/>
        <v>4</v>
      </c>
      <c r="U275" s="251">
        <f t="shared" si="109"/>
        <v>-1.5355218306608946</v>
      </c>
      <c r="V275" s="383">
        <f t="shared" si="110"/>
        <v>45.144293558333956</v>
      </c>
      <c r="W275" s="402">
        <f t="shared" si="111"/>
        <v>45.971919979845353</v>
      </c>
      <c r="X275" s="157">
        <f t="shared" si="112"/>
        <v>45918</v>
      </c>
      <c r="Y275" s="385">
        <f t="shared" si="113"/>
        <v>43.726259444622023</v>
      </c>
      <c r="Z275" s="385">
        <f t="shared" si="114"/>
        <v>46.34847484065142</v>
      </c>
      <c r="AA275" s="386">
        <f t="shared" si="115"/>
        <v>49.681532357222295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6.7088460408293818E-2</v>
      </c>
      <c r="AD275" s="231">
        <f>(INDEX(Models!$BJ275:$BT275,,AH275)*(1-AF275)+INDEX(Models!$BJ275:$BT275,,AH275+1)*AF275-ERP_i)*AE275*Ramure*Pc/MaxiM</f>
        <v>1.5162414389861169E-4</v>
      </c>
      <c r="AE275" s="305">
        <f t="shared" si="117"/>
        <v>0.5</v>
      </c>
      <c r="AF275" s="177">
        <f t="shared" si="118"/>
        <v>0.98946573571308427</v>
      </c>
      <c r="AG275" s="811">
        <f t="shared" si="124"/>
        <v>1</v>
      </c>
      <c r="AH275" s="176">
        <f t="shared" si="119"/>
        <v>7</v>
      </c>
      <c r="AI275" s="225">
        <f t="shared" si="120"/>
        <v>1.9894657357130843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44.78659091700078</v>
      </c>
      <c r="C276" s="841"/>
      <c r="D276" s="393">
        <f t="shared" si="102"/>
        <v>47.473433008198043</v>
      </c>
      <c r="E276" s="385">
        <f t="shared" si="100"/>
        <v>48.413300526499391</v>
      </c>
      <c r="F276" s="385">
        <f t="shared" si="103"/>
        <v>48.413324522624819</v>
      </c>
      <c r="G276" s="110">
        <f t="shared" si="101"/>
        <v>0.99858587504239127</v>
      </c>
      <c r="H276" s="414" t="b">
        <f>Wh_hp&gt;='2024'!Maxi_hp</f>
        <v>1</v>
      </c>
      <c r="I276" s="390">
        <f>IF(H276,Wh_hp,'2024'!Maxi_hp)</f>
        <v>48.413324522624819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5.6596751508012577E-2</v>
      </c>
      <c r="M276" s="845"/>
      <c r="N276" s="845"/>
      <c r="O276" s="48">
        <f>IF(t&lt;Tnet,'2024'!Resal+('2024'!Salim-'2024'!Resal)*(1-EXP(('2024'!Tnet-t)/('2024'!Tau_j))),Resal+(Salim-Resal)*(1-EXP((Tnet-t)/(Tau_j))))*Salcycl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4.9665459282328677E-7</v>
      </c>
      <c r="Q276" s="305">
        <f t="shared" si="105"/>
        <v>0.5</v>
      </c>
      <c r="R276" s="177">
        <f t="shared" si="106"/>
        <v>0.46479879030836679</v>
      </c>
      <c r="S276" s="811">
        <f t="shared" si="107"/>
        <v>-2</v>
      </c>
      <c r="T276" s="176">
        <f t="shared" si="108"/>
        <v>4</v>
      </c>
      <c r="U276" s="251">
        <f t="shared" si="109"/>
        <v>-1.5352012096916332</v>
      </c>
      <c r="V276" s="383">
        <f t="shared" si="110"/>
        <v>44.8500143967726</v>
      </c>
      <c r="W276" s="402">
        <f t="shared" si="111"/>
        <v>44.78659091700078</v>
      </c>
      <c r="X276" s="157">
        <f t="shared" si="112"/>
        <v>45919</v>
      </c>
      <c r="Y276" s="385">
        <f t="shared" si="113"/>
        <v>42.600341286485516</v>
      </c>
      <c r="Z276" s="385">
        <f t="shared" si="114"/>
        <v>45.156025649245294</v>
      </c>
      <c r="AA276" s="386">
        <f t="shared" si="115"/>
        <v>48.404809864763145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6.711697090835686E-2</v>
      </c>
      <c r="AD276" s="231">
        <f>(INDEX(Models!$BJ276:$BT276,,AH276)*(1-AF276)+INDEX(Models!$BJ276:$BT276,,AH276+1)*AF276-ERP_i)*AE276*Ramure*Pc/MaxiM</f>
        <v>1.7623028127282519E-4</v>
      </c>
      <c r="AE276" s="305">
        <f t="shared" si="117"/>
        <v>0.5</v>
      </c>
      <c r="AF276" s="177">
        <f t="shared" si="118"/>
        <v>0.98978635668234594</v>
      </c>
      <c r="AG276" s="811">
        <f t="shared" si="124"/>
        <v>1</v>
      </c>
      <c r="AH276" s="176">
        <f t="shared" si="119"/>
        <v>7</v>
      </c>
      <c r="AI276" s="225">
        <f t="shared" si="120"/>
        <v>1.9897863566823459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46.136347032621075</v>
      </c>
      <c r="C277" s="841"/>
      <c r="D277" s="393">
        <f t="shared" si="102"/>
        <v>48.905234991409813</v>
      </c>
      <c r="E277" s="385">
        <f t="shared" si="100"/>
        <v>49.877931070269703</v>
      </c>
      <c r="F277" s="385">
        <f t="shared" si="103"/>
        <v>49.877958814911551</v>
      </c>
      <c r="G277" s="110">
        <f t="shared" si="101"/>
        <v>1.035608495189277</v>
      </c>
      <c r="H277" s="414" t="b">
        <f>Wh_hp&gt;='2024'!Maxi_hp</f>
        <v>1</v>
      </c>
      <c r="I277" s="390">
        <f>IF(H277,Wh_hp,'2024'!Maxi_hp)</f>
        <v>49.877958814911551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5.6617414460335191E-2</v>
      </c>
      <c r="M277" s="845"/>
      <c r="N277" s="845"/>
      <c r="O277" s="48">
        <f>IF(t&lt;Tnet,'2024'!Resal+('2024'!Salim-'2024'!Resal)*(1-EXP(('2024'!Tnet-t)/('2024'!Tau_j))),Resal+(Salim-Resal)*(1-EXP((Tnet-t)/(Tau_j))))*Salcycl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5.562505465551826E-7</v>
      </c>
      <c r="Q277" s="305">
        <f t="shared" si="105"/>
        <v>0.5</v>
      </c>
      <c r="R277" s="177">
        <f t="shared" si="106"/>
        <v>0.46510689475342559</v>
      </c>
      <c r="S277" s="811">
        <f t="shared" si="107"/>
        <v>-2</v>
      </c>
      <c r="T277" s="176">
        <f t="shared" si="108"/>
        <v>4</v>
      </c>
      <c r="U277" s="251">
        <f t="shared" si="109"/>
        <v>-1.5348931052465744</v>
      </c>
      <c r="V277" s="383">
        <f t="shared" si="110"/>
        <v>44.549988964882708</v>
      </c>
      <c r="W277" s="402">
        <f t="shared" si="111"/>
        <v>46.136347032621075</v>
      </c>
      <c r="X277" s="157">
        <f t="shared" si="112"/>
        <v>45920</v>
      </c>
      <c r="Y277" s="385">
        <f t="shared" si="113"/>
        <v>43.885614669670723</v>
      </c>
      <c r="Z277" s="385">
        <f t="shared" si="114"/>
        <v>46.51942418946161</v>
      </c>
      <c r="AA277" s="386">
        <f t="shared" si="115"/>
        <v>49.867785265700128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6.7144772088797294E-2</v>
      </c>
      <c r="AD277" s="231">
        <f>(INDEX(Models!$BJ277:$BT277,,AH277)*(1-AF277)+INDEX(Models!$BJ277:$BT277,,AH277+1)*AF277-ERP_i)*AE277*Ramure*Pc/MaxiM</f>
        <v>2.039688361983481E-4</v>
      </c>
      <c r="AE277" s="305">
        <f t="shared" si="117"/>
        <v>0.5</v>
      </c>
      <c r="AF277" s="177">
        <f t="shared" si="118"/>
        <v>0.99009446112740451</v>
      </c>
      <c r="AG277" s="811">
        <f t="shared" si="124"/>
        <v>1</v>
      </c>
      <c r="AH277" s="176">
        <f t="shared" si="119"/>
        <v>7</v>
      </c>
      <c r="AI277" s="225">
        <f t="shared" si="120"/>
        <v>1.9900944611274045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45.011507711350575</v>
      </c>
      <c r="C278" s="841"/>
      <c r="D278" s="393">
        <f t="shared" si="102"/>
        <v>47.71393312791799</v>
      </c>
      <c r="E278" s="385">
        <f t="shared" si="100"/>
        <v>48.667292043026755</v>
      </c>
      <c r="F278" s="385">
        <f t="shared" si="103"/>
        <v>48.667322070237311</v>
      </c>
      <c r="G278" s="110">
        <f t="shared" si="101"/>
        <v>1.0173238506975486</v>
      </c>
      <c r="H278" s="414" t="b">
        <f>Wh_hp&gt;='2024'!Maxi_hp</f>
        <v>1</v>
      </c>
      <c r="I278" s="390">
        <f>IF(H278,Wh_hp,'2024'!Maxi_hp)</f>
        <v>48.667322070237311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5.6638076960086048E-2</v>
      </c>
      <c r="M278" s="845"/>
      <c r="N278" s="845"/>
      <c r="O278" s="48">
        <f>IF(t&lt;Tnet,'2024'!Resal+('2024'!Salim-'2024'!Resal)*(1-EXP(('2024'!Tnet-t)/('2024'!Tau_j))),Resal+(Salim-Resal)*(1-EXP((Tnet-t)/(Tau_j))))*Salcycl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6.1698916806561855E-7</v>
      </c>
      <c r="Q278" s="305">
        <f t="shared" si="105"/>
        <v>0.5</v>
      </c>
      <c r="R278" s="177">
        <f t="shared" si="106"/>
        <v>0.46540295632601336</v>
      </c>
      <c r="S278" s="811">
        <f t="shared" si="107"/>
        <v>-2</v>
      </c>
      <c r="T278" s="176">
        <f t="shared" si="108"/>
        <v>4</v>
      </c>
      <c r="U278" s="251">
        <f t="shared" si="109"/>
        <v>-1.5345970436739866</v>
      </c>
      <c r="V278" s="383">
        <f t="shared" si="110"/>
        <v>44.245013699902465</v>
      </c>
      <c r="W278" s="402">
        <f t="shared" si="111"/>
        <v>45.011507711350575</v>
      </c>
      <c r="X278" s="157">
        <f t="shared" si="112"/>
        <v>45921</v>
      </c>
      <c r="Y278" s="385">
        <f t="shared" si="113"/>
        <v>42.816919460775402</v>
      </c>
      <c r="Z278" s="385">
        <f t="shared" si="114"/>
        <v>45.38758499261985</v>
      </c>
      <c r="AA278" s="386">
        <f t="shared" si="115"/>
        <v>48.655890713689878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6.7171840308134778E-2</v>
      </c>
      <c r="AD278" s="231">
        <f>(INDEX(Models!$BJ278:$BT278,,AH278)*(1-AF278)+INDEX(Models!$BJ278:$BT278,,AH278+1)*AF278-ERP_i)*AE278*Ramure*Pc/MaxiM</f>
        <v>2.348877246817356E-4</v>
      </c>
      <c r="AE278" s="305">
        <f t="shared" si="117"/>
        <v>0.5</v>
      </c>
      <c r="AF278" s="177">
        <f t="shared" si="118"/>
        <v>0.99039052269999228</v>
      </c>
      <c r="AG278" s="811">
        <f t="shared" si="124"/>
        <v>1</v>
      </c>
      <c r="AH278" s="176">
        <f t="shared" si="119"/>
        <v>7</v>
      </c>
      <c r="AI278" s="225">
        <f t="shared" si="120"/>
        <v>1.9903905226999923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43.83843684133587</v>
      </c>
      <c r="C279" s="841"/>
      <c r="D279" s="393">
        <f t="shared" si="102"/>
        <v>46.471450634102986</v>
      </c>
      <c r="E279" s="385">
        <f t="shared" si="100"/>
        <v>47.404211681484469</v>
      </c>
      <c r="F279" s="385">
        <f t="shared" si="103"/>
        <v>47.404243761364896</v>
      </c>
      <c r="G279" s="110">
        <f t="shared" si="101"/>
        <v>0.99778204248608859</v>
      </c>
      <c r="H279" s="414" t="b">
        <f>Wh_hp&gt;='2024'!Maxi_hp</f>
        <v>1</v>
      </c>
      <c r="I279" s="390">
        <f>IF(H279,Wh_hp,'2024'!Maxi_hp)</f>
        <v>47.404243761364896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5.6658739007275249E-2</v>
      </c>
      <c r="M279" s="845"/>
      <c r="N279" s="845"/>
      <c r="O279" s="48">
        <f>IF(t&lt;Tnet,'2024'!Resal+('2024'!Salim-'2024'!Resal)*(1-EXP(('2024'!Tnet-t)/('2024'!Tau_j))),Resal+(Salim-Resal)*(1-EXP((Tnet-t)/(Tau_j))))*Salcycl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6.7888117836275519E-7</v>
      </c>
      <c r="Q279" s="305">
        <f t="shared" si="105"/>
        <v>0.5</v>
      </c>
      <c r="R279" s="177">
        <f t="shared" si="106"/>
        <v>0.46568743192082351</v>
      </c>
      <c r="S279" s="811">
        <f t="shared" si="107"/>
        <v>-2</v>
      </c>
      <c r="T279" s="176">
        <f t="shared" si="108"/>
        <v>4</v>
      </c>
      <c r="U279" s="251">
        <f t="shared" si="109"/>
        <v>-1.5343125680791765</v>
      </c>
      <c r="V279" s="383">
        <f t="shared" si="110"/>
        <v>43.935884672577451</v>
      </c>
      <c r="W279" s="402">
        <f t="shared" si="111"/>
        <v>43.83843684133587</v>
      </c>
      <c r="X279" s="157">
        <f t="shared" si="112"/>
        <v>45922</v>
      </c>
      <c r="Y279" s="385">
        <f t="shared" si="113"/>
        <v>41.702199880536561</v>
      </c>
      <c r="Z279" s="385">
        <f t="shared" si="114"/>
        <v>44.206907515792608</v>
      </c>
      <c r="AA279" s="386">
        <f t="shared" si="115"/>
        <v>47.391530794314882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6.719815176141769E-2</v>
      </c>
      <c r="AD279" s="231">
        <f>(INDEX(Models!$BJ279:$BT279,,AH279)*(1-AF279)+INDEX(Models!$BJ279:$BT279,,AH279+1)*AF279-ERP_i)*AE279*Ramure*Pc/MaxiM</f>
        <v>2.6903448316923138E-4</v>
      </c>
      <c r="AE279" s="305">
        <f t="shared" si="117"/>
        <v>0.5</v>
      </c>
      <c r="AF279" s="177">
        <f t="shared" si="118"/>
        <v>0.99067499829480243</v>
      </c>
      <c r="AG279" s="811">
        <f t="shared" si="124"/>
        <v>1</v>
      </c>
      <c r="AH279" s="176">
        <f t="shared" si="119"/>
        <v>7</v>
      </c>
      <c r="AI279" s="225">
        <f t="shared" si="120"/>
        <v>1.9906749982948024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27.697615155981282</v>
      </c>
      <c r="C280" s="841"/>
      <c r="D280" s="393">
        <f t="shared" si="102"/>
        <v>29.36182584548088</v>
      </c>
      <c r="E280" s="385">
        <f t="shared" si="100"/>
        <v>29.953828582830248</v>
      </c>
      <c r="F280" s="385">
        <f t="shared" si="103"/>
        <v>29.953839216175648</v>
      </c>
      <c r="G280" s="110">
        <f t="shared" si="101"/>
        <v>0.63492542930486473</v>
      </c>
      <c r="H280" s="414" t="b">
        <f>Wh_hp&gt;='2024'!Maxi_hp</f>
        <v>0</v>
      </c>
      <c r="I280" s="390">
        <f>IF(H280,Wh_hp,'2024'!Maxi_hp)</f>
        <v>44.303472000025792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5.6679400601912455E-2</v>
      </c>
      <c r="M280" s="845"/>
      <c r="N280" s="845"/>
      <c r="O280" s="48">
        <f>IF(t&lt;Tnet,'2024'!Resal+('2024'!Salim-'2024'!Resal)*(1-EXP(('2024'!Tnet-t)/('2024'!Tau_j))),Resal+(Salim-Resal)*(1-EXP((Tnet-t)/(Tau_j))))*Salcycl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7.4193699305565746E-7</v>
      </c>
      <c r="Q280" s="305">
        <f t="shared" si="105"/>
        <v>0.5</v>
      </c>
      <c r="R280" s="177">
        <f t="shared" si="106"/>
        <v>0.4659607621763886</v>
      </c>
      <c r="S280" s="811">
        <f t="shared" si="107"/>
        <v>-2</v>
      </c>
      <c r="T280" s="176">
        <f t="shared" si="108"/>
        <v>4</v>
      </c>
      <c r="U280" s="251">
        <f t="shared" si="109"/>
        <v>-1.5340392378236114</v>
      </c>
      <c r="V280" s="383">
        <f t="shared" si="110"/>
        <v>43.623397583590801</v>
      </c>
      <c r="W280" s="402">
        <f t="shared" si="111"/>
        <v>27.697615155981282</v>
      </c>
      <c r="X280" s="157">
        <f t="shared" si="112"/>
        <v>45923</v>
      </c>
      <c r="Y280" s="385">
        <f t="shared" si="113"/>
        <v>26.352731597435856</v>
      </c>
      <c r="Z280" s="385">
        <f t="shared" si="114"/>
        <v>27.936134983430833</v>
      </c>
      <c r="AA280" s="386">
        <f t="shared" si="115"/>
        <v>29.949447109934741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6.7223682598002238E-2</v>
      </c>
      <c r="AD280" s="231">
        <f>(INDEX(Models!$BJ280:$BT280,,AH280)*(1-AF280)+INDEX(Models!$BJ280:$BT280,,AH280+1)*AF280-ERP_i)*AE280*Ramure*Pc/MaxiM</f>
        <v>3.0645727897487759E-4</v>
      </c>
      <c r="AE280" s="305">
        <f t="shared" si="117"/>
        <v>0.5</v>
      </c>
      <c r="AF280" s="177">
        <f t="shared" si="118"/>
        <v>0.99094832855036774</v>
      </c>
      <c r="AG280" s="811">
        <f t="shared" si="124"/>
        <v>1</v>
      </c>
      <c r="AH280" s="176">
        <f t="shared" si="119"/>
        <v>7</v>
      </c>
      <c r="AI280" s="225">
        <f t="shared" si="120"/>
        <v>1.9909483285503677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17.362590439773584</v>
      </c>
      <c r="C281" s="841"/>
      <c r="D281" s="393">
        <f t="shared" si="102"/>
        <v>18.406224505722097</v>
      </c>
      <c r="E281" s="385">
        <f t="shared" si="100"/>
        <v>18.778998279967912</v>
      </c>
      <c r="F281" s="385">
        <f t="shared" si="103"/>
        <v>18.779000462270357</v>
      </c>
      <c r="G281" s="110">
        <f t="shared" si="101"/>
        <v>0.40090604598169244</v>
      </c>
      <c r="H281" s="414" t="b">
        <f>Wh_hp&gt;='2024'!Maxi_hp</f>
        <v>0</v>
      </c>
      <c r="I281" s="390">
        <f>IF(H281,Wh_hp,'2024'!Maxi_hp)</f>
        <v>40.249037915880088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5.6700061744007768E-2</v>
      </c>
      <c r="M281" s="845"/>
      <c r="N281" s="845"/>
      <c r="O281" s="48">
        <f>IF(t&lt;Tnet,'2024'!Resal+('2024'!Salim-'2024'!Resal)*(1-EXP(('2024'!Tnet-t)/('2024'!Tau_j))),Resal+(Salim-Resal)*(1-EXP((Tnet-t)/(Tau_j))))*Salcycl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8.0616163692328875E-7</v>
      </c>
      <c r="Q281" s="305">
        <f t="shared" si="105"/>
        <v>0.5</v>
      </c>
      <c r="R281" s="177">
        <f t="shared" si="106"/>
        <v>0.4662233719685247</v>
      </c>
      <c r="S281" s="811">
        <f t="shared" si="107"/>
        <v>-2</v>
      </c>
      <c r="T281" s="176">
        <f t="shared" si="108"/>
        <v>4</v>
      </c>
      <c r="U281" s="251">
        <f t="shared" si="109"/>
        <v>-1.5337766280314753</v>
      </c>
      <c r="V281" s="383">
        <f t="shared" si="110"/>
        <v>43.308347764883955</v>
      </c>
      <c r="W281" s="402">
        <f t="shared" si="111"/>
        <v>17.362590439773584</v>
      </c>
      <c r="X281" s="157">
        <f t="shared" si="112"/>
        <v>45924</v>
      </c>
      <c r="Y281" s="385">
        <f t="shared" si="113"/>
        <v>16.522149219695436</v>
      </c>
      <c r="Z281" s="385">
        <f t="shared" si="114"/>
        <v>17.515265876347023</v>
      </c>
      <c r="AA281" s="386">
        <f t="shared" si="115"/>
        <v>18.778060575076694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6.7248409050598257E-2</v>
      </c>
      <c r="AD281" s="231">
        <f>(INDEX(Models!$BJ281:$BT281,,AH281)*(1-AF281)+INDEX(Models!$BJ281:$BT281,,AH281+1)*AF281-ERP_i)*AE281*Ramure*Pc/MaxiM</f>
        <v>3.4720256144925483E-4</v>
      </c>
      <c r="AE281" s="305">
        <f t="shared" si="117"/>
        <v>0.5</v>
      </c>
      <c r="AF281" s="177">
        <f t="shared" si="118"/>
        <v>0.99121093834250362</v>
      </c>
      <c r="AG281" s="811">
        <f t="shared" si="124"/>
        <v>1</v>
      </c>
      <c r="AH281" s="176">
        <f t="shared" si="119"/>
        <v>7</v>
      </c>
      <c r="AI281" s="225">
        <f t="shared" si="120"/>
        <v>1.9912109383425036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30.734830547217467</v>
      </c>
      <c r="C282" s="841"/>
      <c r="D282" s="393">
        <f t="shared" si="102"/>
        <v>32.582959552032577</v>
      </c>
      <c r="E282" s="385">
        <f t="shared" si="100"/>
        <v>33.245778029885521</v>
      </c>
      <c r="F282" s="385">
        <f t="shared" si="103"/>
        <v>33.245797650954131</v>
      </c>
      <c r="G282" s="110">
        <f t="shared" si="101"/>
        <v>0.7149041164331994</v>
      </c>
      <c r="H282" s="414" t="b">
        <f>Wh_hp&gt;='2024'!Maxi_hp</f>
        <v>0</v>
      </c>
      <c r="I282" s="390">
        <f>IF(H282,Wh_hp,'2024'!Maxi_hp)</f>
        <v>46.514117854235721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5.6720722433571069E-2</v>
      </c>
      <c r="M282" s="845"/>
      <c r="N282" s="845"/>
      <c r="O282" s="48">
        <f>IF(t&lt;Tnet,'2024'!Resal+('2024'!Salim-'2024'!Resal)*(1-EXP(('2024'!Tnet-t)/('2024'!Tau_j))),Resal+(Salim-Resal)*(1-EXP((Tnet-t)/(Tau_j))))*Salcycl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9.9571693160694629E-7</v>
      </c>
      <c r="Q282" s="305">
        <f t="shared" si="105"/>
        <v>0.5</v>
      </c>
      <c r="R282" s="177">
        <f t="shared" si="106"/>
        <v>0.46647567089574293</v>
      </c>
      <c r="S282" s="811">
        <f t="shared" si="107"/>
        <v>-2</v>
      </c>
      <c r="T282" s="176">
        <f t="shared" si="108"/>
        <v>4</v>
      </c>
      <c r="U282" s="251">
        <f t="shared" si="109"/>
        <v>-1.5335243291042571</v>
      </c>
      <c r="V282" s="383">
        <f t="shared" si="110"/>
        <v>42.991524844621644</v>
      </c>
      <c r="W282" s="402">
        <f t="shared" si="111"/>
        <v>30.734830547217467</v>
      </c>
      <c r="X282" s="157">
        <f t="shared" si="112"/>
        <v>45925</v>
      </c>
      <c r="Y282" s="385">
        <f t="shared" si="113"/>
        <v>29.243656038326346</v>
      </c>
      <c r="Z282" s="385">
        <f t="shared" si="114"/>
        <v>31.002118602427274</v>
      </c>
      <c r="AA282" s="386">
        <f t="shared" si="115"/>
        <v>33.238123896403224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6.7272307575034815E-2</v>
      </c>
      <c r="AD282" s="231">
        <f>(INDEX(Models!$BJ282:$BT282,,AH282)*(1-AF282)+INDEX(Models!$BJ282:$BT282,,AH282+1)*AF282-ERP_i)*AE282*Ramure*Pc/MaxiM</f>
        <v>3.8942258883833557E-4</v>
      </c>
      <c r="AE282" s="305">
        <f t="shared" si="117"/>
        <v>0.5</v>
      </c>
      <c r="AF282" s="177">
        <f t="shared" si="118"/>
        <v>0.99146323726972208</v>
      </c>
      <c r="AG282" s="811">
        <f t="shared" si="124"/>
        <v>1</v>
      </c>
      <c r="AH282" s="176">
        <f t="shared" si="119"/>
        <v>7</v>
      </c>
      <c r="AI282" s="225">
        <f t="shared" si="120"/>
        <v>1.9914632372697221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33.145487367709784</v>
      </c>
      <c r="C283" s="841"/>
      <c r="D283" s="393">
        <f t="shared" si="102"/>
        <v>35.13934223209467</v>
      </c>
      <c r="E283" s="385">
        <f t="shared" si="100"/>
        <v>35.857309388552039</v>
      </c>
      <c r="F283" s="385">
        <f t="shared" si="103"/>
        <v>35.857341365225139</v>
      </c>
      <c r="G283" s="110">
        <f t="shared" si="101"/>
        <v>0.7767185690983287</v>
      </c>
      <c r="H283" s="414" t="b">
        <f>Wh_hp&gt;='2024'!Maxi_hp</f>
        <v>0</v>
      </c>
      <c r="I283" s="390">
        <f>IF(H283,Wh_hp,'2024'!Maxi_hp)</f>
        <v>46.475483095151723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5.6741382670612239E-2</v>
      </c>
      <c r="M283" s="845"/>
      <c r="N283" s="845"/>
      <c r="O283" s="48">
        <f>IF(t&lt;Tnet,'2024'!Resal+('2024'!Salim-'2024'!Resal)*(1-EXP(('2024'!Tnet-t)/('2024'!Tau_j))),Resal+(Salim-Resal)*(1-EXP((Tnet-t)/(Tau_j))))*Salcycl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1.3094558705311402E-6</v>
      </c>
      <c r="Q283" s="305">
        <f t="shared" si="105"/>
        <v>0.5</v>
      </c>
      <c r="R283" s="177">
        <f t="shared" si="106"/>
        <v>0.46671805375612108</v>
      </c>
      <c r="S283" s="811">
        <f t="shared" si="107"/>
        <v>-2</v>
      </c>
      <c r="T283" s="176">
        <f t="shared" si="108"/>
        <v>4</v>
      </c>
      <c r="U283" s="251">
        <f t="shared" si="109"/>
        <v>-1.5332819462438789</v>
      </c>
      <c r="V283" s="383">
        <f t="shared" si="110"/>
        <v>42.673723588110114</v>
      </c>
      <c r="W283" s="402">
        <f t="shared" si="111"/>
        <v>33.145487367709784</v>
      </c>
      <c r="X283" s="157">
        <f t="shared" si="112"/>
        <v>45926</v>
      </c>
      <c r="Y283" s="385">
        <f t="shared" si="113"/>
        <v>31.537355861580934</v>
      </c>
      <c r="Z283" s="385">
        <f t="shared" si="114"/>
        <v>33.434474153940357</v>
      </c>
      <c r="AA283" s="386">
        <f t="shared" si="115"/>
        <v>35.846797089707167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6.7295355000055776E-2</v>
      </c>
      <c r="AD283" s="231">
        <f>(INDEX(Models!$BJ283:$BT283,,AH283)*(1-AF283)+INDEX(Models!$BJ283:$BT283,,AH283+1)*AF283-ERP_i)*AE283*Ramure*Pc/MaxiM</f>
        <v>4.3179174497882245E-4</v>
      </c>
      <c r="AE283" s="305">
        <f t="shared" si="117"/>
        <v>0.5</v>
      </c>
      <c r="AF283" s="177">
        <f t="shared" si="118"/>
        <v>0.99170562013009977</v>
      </c>
      <c r="AG283" s="811">
        <f t="shared" si="124"/>
        <v>1</v>
      </c>
      <c r="AH283" s="176">
        <f t="shared" si="119"/>
        <v>7</v>
      </c>
      <c r="AI283" s="225">
        <f t="shared" si="120"/>
        <v>1.9917056201300998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14.981168742121529</v>
      </c>
      <c r="C284" s="841"/>
      <c r="D284" s="393">
        <f t="shared" si="102"/>
        <v>15.882703428428398</v>
      </c>
      <c r="E284" s="385">
        <f t="shared" si="100"/>
        <v>16.208634413432513</v>
      </c>
      <c r="F284" s="385">
        <f t="shared" si="103"/>
        <v>16.208636588596566</v>
      </c>
      <c r="G284" s="110">
        <f t="shared" si="101"/>
        <v>0.35369810939677265</v>
      </c>
      <c r="H284" s="414" t="b">
        <f>Wh_hp&gt;='2024'!Maxi_hp</f>
        <v>0</v>
      </c>
      <c r="I284" s="390">
        <f>IF(H284,Wh_hp,'2024'!Maxi_hp)</f>
        <v>45.12039737403196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5.676204245514116E-2</v>
      </c>
      <c r="M284" s="845"/>
      <c r="N284" s="845"/>
      <c r="O284" s="48">
        <f>IF(t&lt;Tnet,'2024'!Resal+('2024'!Salim-'2024'!Resal)*(1-EXP(('2024'!Tnet-t)/('2024'!Tau_j))),Resal+(Salim-Resal)*(1-EXP((Tnet-t)/(Tau_j))))*Salcycl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1.7493630794118271E-6</v>
      </c>
      <c r="Q284" s="305">
        <f t="shared" si="105"/>
        <v>0.5</v>
      </c>
      <c r="R284" s="177">
        <f t="shared" si="106"/>
        <v>0.46695090101519021</v>
      </c>
      <c r="S284" s="811">
        <f t="shared" si="107"/>
        <v>-2</v>
      </c>
      <c r="T284" s="176">
        <f t="shared" si="108"/>
        <v>4</v>
      </c>
      <c r="U284" s="251">
        <f t="shared" si="109"/>
        <v>-1.5330490989848098</v>
      </c>
      <c r="V284" s="383">
        <f t="shared" si="110"/>
        <v>42.355738261099155</v>
      </c>
      <c r="W284" s="402">
        <f t="shared" si="111"/>
        <v>14.981168742121529</v>
      </c>
      <c r="X284" s="157">
        <f t="shared" si="112"/>
        <v>45927</v>
      </c>
      <c r="Y284" s="385">
        <f t="shared" si="113"/>
        <v>14.258891597237069</v>
      </c>
      <c r="Z284" s="385">
        <f t="shared" si="114"/>
        <v>15.116961190102382</v>
      </c>
      <c r="AA284" s="386">
        <f t="shared" si="115"/>
        <v>16.208046848795345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6.7317528686317782E-2</v>
      </c>
      <c r="AD284" s="231">
        <f>(INDEX(Models!$BJ284:$BT284,,AH284)*(1-AF284)+INDEX(Models!$BJ284:$BT284,,AH284+1)*AF284-ERP_i)*AE284*Ramure*Pc/MaxiM</f>
        <v>4.7429481646311321E-4</v>
      </c>
      <c r="AE284" s="305">
        <f t="shared" si="117"/>
        <v>0.5</v>
      </c>
      <c r="AF284" s="177">
        <f t="shared" si="118"/>
        <v>0.99193846738916913</v>
      </c>
      <c r="AG284" s="811">
        <f t="shared" si="124"/>
        <v>1</v>
      </c>
      <c r="AH284" s="176">
        <f t="shared" si="119"/>
        <v>7</v>
      </c>
      <c r="AI284" s="225">
        <f t="shared" si="120"/>
        <v>1.9919384673891691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17.213889064636987</v>
      </c>
      <c r="C285" s="841"/>
      <c r="D285" s="393">
        <f t="shared" si="102"/>
        <v>18.250183809449982</v>
      </c>
      <c r="E285" s="385">
        <f t="shared" si="100"/>
        <v>18.62631739211086</v>
      </c>
      <c r="F285" s="385">
        <f t="shared" si="103"/>
        <v>18.626324143001785</v>
      </c>
      <c r="G285" s="110">
        <f t="shared" si="101"/>
        <v>0.40947968187699957</v>
      </c>
      <c r="H285" s="414" t="b">
        <f>Wh_hp&gt;='2024'!Maxi_hp</f>
        <v>0</v>
      </c>
      <c r="I285" s="390">
        <f>IF(H285,Wh_hp,'2024'!Maxi_hp)</f>
        <v>42.169880552957594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5.6782701787167822E-2</v>
      </c>
      <c r="M285" s="845"/>
      <c r="N285" s="845"/>
      <c r="O285" s="48">
        <f>IF(t&lt;Tnet,'2024'!Resal+('2024'!Salim-'2024'!Resal)*(1-EXP(('2024'!Tnet-t)/('2024'!Tau_j))),Resal+(Salim-Resal)*(1-EXP((Tnet-t)/(Tau_j))))*Salcycl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2.3173694233306899E-6</v>
      </c>
      <c r="Q285" s="305">
        <f t="shared" si="105"/>
        <v>0.5</v>
      </c>
      <c r="R285" s="177">
        <f t="shared" si="106"/>
        <v>0.46717457926447681</v>
      </c>
      <c r="S285" s="811">
        <f t="shared" si="107"/>
        <v>-2</v>
      </c>
      <c r="T285" s="176">
        <f t="shared" si="108"/>
        <v>4</v>
      </c>
      <c r="U285" s="251">
        <f t="shared" si="109"/>
        <v>-1.5328254207355232</v>
      </c>
      <c r="V285" s="383">
        <f t="shared" si="110"/>
        <v>42.038362767473977</v>
      </c>
      <c r="W285" s="402">
        <f t="shared" si="111"/>
        <v>17.213889064636987</v>
      </c>
      <c r="X285" s="157">
        <f t="shared" si="112"/>
        <v>45928</v>
      </c>
      <c r="Y285" s="385">
        <f t="shared" si="113"/>
        <v>16.3842930811463</v>
      </c>
      <c r="Z285" s="385">
        <f t="shared" si="114"/>
        <v>17.370645250241441</v>
      </c>
      <c r="AA285" s="386">
        <f t="shared" si="115"/>
        <v>18.624818288687308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6.7338806693628184E-2</v>
      </c>
      <c r="AD285" s="231">
        <f>(INDEX(Models!$BJ285:$BT285,,AH285)*(1-AF285)+INDEX(Models!$BJ285:$BT285,,AH285+1)*AF285-ERP_i)*AE285*Ramure*Pc/MaxiM</f>
        <v>5.1691262431239021E-4</v>
      </c>
      <c r="AE285" s="305">
        <f t="shared" si="117"/>
        <v>0.5</v>
      </c>
      <c r="AF285" s="177">
        <f t="shared" si="118"/>
        <v>0.99216214563845573</v>
      </c>
      <c r="AG285" s="811">
        <f t="shared" si="124"/>
        <v>1</v>
      </c>
      <c r="AH285" s="176">
        <f t="shared" si="119"/>
        <v>7</v>
      </c>
      <c r="AI285" s="225">
        <f t="shared" si="120"/>
        <v>1.9921621456384557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23.608394783739563</v>
      </c>
      <c r="C286" s="841"/>
      <c r="D286" s="393">
        <f t="shared" si="102"/>
        <v>25.03019391632613</v>
      </c>
      <c r="E286" s="385">
        <f t="shared" si="100"/>
        <v>25.548273020766175</v>
      </c>
      <c r="F286" s="385">
        <f t="shared" si="103"/>
        <v>25.548302277493043</v>
      </c>
      <c r="G286" s="110">
        <f t="shared" si="101"/>
        <v>0.56584366963491917</v>
      </c>
      <c r="H286" s="414" t="b">
        <f>Wh_hp&gt;='2024'!Maxi_hp</f>
        <v>0</v>
      </c>
      <c r="I286" s="390">
        <f>IF(H286,Wh_hp,'2024'!Maxi_hp)</f>
        <v>44.457549596928516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5.6803360666702107E-2</v>
      </c>
      <c r="M286" s="845"/>
      <c r="N286" s="845"/>
      <c r="O286" s="48">
        <f>IF(t&lt;Tnet,'2024'!Resal+('2024'!Salim-'2024'!Resal)*(1-EXP(('2024'!Tnet-t)/('2024'!Tau_j))),Resal+(Salim-Resal)*(1-EXP((Tnet-t)/(Tau_j))))*Salcycl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3.0153218822631902E-6</v>
      </c>
      <c r="Q286" s="305">
        <f t="shared" si="105"/>
        <v>0.5</v>
      </c>
      <c r="R286" s="177">
        <f t="shared" si="106"/>
        <v>0.46738944167038721</v>
      </c>
      <c r="S286" s="811">
        <f t="shared" si="107"/>
        <v>-2</v>
      </c>
      <c r="T286" s="176">
        <f t="shared" si="108"/>
        <v>4</v>
      </c>
      <c r="U286" s="251">
        <f t="shared" si="109"/>
        <v>-1.5326105583296128</v>
      </c>
      <c r="V286" s="383">
        <f t="shared" si="110"/>
        <v>41.722390651196527</v>
      </c>
      <c r="W286" s="402">
        <f t="shared" si="111"/>
        <v>23.608394783739563</v>
      </c>
      <c r="X286" s="157">
        <f t="shared" si="112"/>
        <v>45929</v>
      </c>
      <c r="Y286" s="385">
        <f t="shared" si="113"/>
        <v>22.469137641522856</v>
      </c>
      <c r="Z286" s="385">
        <f t="shared" si="114"/>
        <v>23.822325806212849</v>
      </c>
      <c r="AA286" s="386">
        <f t="shared" si="115"/>
        <v>25.542872441029871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6.7359167955334767E-2</v>
      </c>
      <c r="AD286" s="231">
        <f>(INDEX(Models!$BJ286:$BT286,,AH286)*(1-AF286)+INDEX(Models!$BJ286:$BT286,,AH286+1)*AF286-ERP_i)*AE286*Ramure*Pc/MaxiM</f>
        <v>5.5962188726275312E-4</v>
      </c>
      <c r="AE286" s="305">
        <f t="shared" si="117"/>
        <v>0.5</v>
      </c>
      <c r="AF286" s="177">
        <f t="shared" si="118"/>
        <v>0.9923770080443659</v>
      </c>
      <c r="AG286" s="811">
        <f t="shared" si="124"/>
        <v>1</v>
      </c>
      <c r="AH286" s="176">
        <f t="shared" si="119"/>
        <v>7</v>
      </c>
      <c r="AI286" s="225">
        <f t="shared" si="120"/>
        <v>1.9923770080443659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28.8486757939902</v>
      </c>
      <c r="C287" s="841"/>
      <c r="D287" s="393">
        <f t="shared" si="102"/>
        <v>30.586737128601477</v>
      </c>
      <c r="E287" s="385">
        <f t="shared" si="100"/>
        <v>31.222514897338758</v>
      </c>
      <c r="F287" s="385">
        <f t="shared" si="103"/>
        <v>31.222582928078079</v>
      </c>
      <c r="G287" s="110">
        <f t="shared" si="101"/>
        <v>0.69668178137770997</v>
      </c>
      <c r="H287" s="414" t="b">
        <f>Wh_hp&gt;='2024'!Maxi_hp</f>
        <v>0</v>
      </c>
      <c r="I287" s="390">
        <f>IF(H287,Wh_hp,'2024'!Maxi_hp)</f>
        <v>41.406216750872005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5.6824019093753786E-2</v>
      </c>
      <c r="M287" s="845"/>
      <c r="N287" s="845"/>
      <c r="O287" s="48">
        <f>IF(t&lt;Tnet,'2024'!Resal+('2024'!Salim-'2024'!Resal)*(1-EXP(('2024'!Tnet-t)/('2024'!Tau_j))),Resal+(Salim-Resal)*(1-EXP((Tnet-t)/(Tau_j))))*Salcycl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3.8449515997025265E-6</v>
      </c>
      <c r="Q287" s="305">
        <f t="shared" si="105"/>
        <v>0.5</v>
      </c>
      <c r="R287" s="177">
        <f t="shared" si="106"/>
        <v>0.46759582841319602</v>
      </c>
      <c r="S287" s="811">
        <f t="shared" si="107"/>
        <v>-2</v>
      </c>
      <c r="T287" s="176">
        <f t="shared" si="108"/>
        <v>4</v>
      </c>
      <c r="U287" s="251">
        <f t="shared" si="109"/>
        <v>-1.532404171586804</v>
      </c>
      <c r="V287" s="383">
        <f t="shared" si="110"/>
        <v>41.40861509729519</v>
      </c>
      <c r="W287" s="402">
        <f t="shared" si="111"/>
        <v>28.8486757939902</v>
      </c>
      <c r="X287" s="157">
        <f t="shared" si="112"/>
        <v>45930</v>
      </c>
      <c r="Y287" s="385">
        <f t="shared" si="113"/>
        <v>27.454823705050675</v>
      </c>
      <c r="Z287" s="385">
        <f t="shared" si="114"/>
        <v>29.108908900193615</v>
      </c>
      <c r="AA287" s="386">
        <f t="shared" si="115"/>
        <v>31.211924436661949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6.7378592458659958E-2</v>
      </c>
      <c r="AD287" s="231">
        <f>(INDEX(Models!$BJ287:$BT287,,AH287)*(1-AF287)+INDEX(Models!$BJ287:$BT287,,AH287+1)*AF287-ERP_i)*AE287*Ramure*Pc/MaxiM</f>
        <v>6.0239509419832507E-4</v>
      </c>
      <c r="AE287" s="305">
        <f t="shared" si="117"/>
        <v>0.5</v>
      </c>
      <c r="AF287" s="177">
        <f t="shared" si="118"/>
        <v>0.99258339478717494</v>
      </c>
      <c r="AG287" s="811">
        <f t="shared" si="124"/>
        <v>1</v>
      </c>
      <c r="AH287" s="176">
        <f t="shared" si="119"/>
        <v>7</v>
      </c>
      <c r="AI287" s="225">
        <f t="shared" si="120"/>
        <v>1.9925833947871749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34.597060281344007</v>
      </c>
      <c r="C288" s="841"/>
      <c r="D288" s="393">
        <f t="shared" si="102"/>
        <v>36.682250993191516</v>
      </c>
      <c r="E288" s="385">
        <f t="shared" si="100"/>
        <v>37.447938937353527</v>
      </c>
      <c r="F288" s="385">
        <f t="shared" si="103"/>
        <v>37.448078297381535</v>
      </c>
      <c r="G288" s="110">
        <f t="shared" si="101"/>
        <v>0.84182117625835318</v>
      </c>
      <c r="H288" s="414" t="b">
        <f>Wh_hp&gt;='2024'!Maxi_hp</f>
        <v>0</v>
      </c>
      <c r="I288" s="390">
        <f>IF(H288,Wh_hp,'2024'!Maxi_hp)</f>
        <v>43.530133856028712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5.6844677068333072E-2</v>
      </c>
      <c r="M288" s="845"/>
      <c r="N288" s="845"/>
      <c r="O288" s="48">
        <f>IF(t&lt;Tnet,'2024'!Resal+('2024'!Salim-'2024'!Resal)*(1-EXP(('2024'!Tnet-t)/('2024'!Tau_j))),Resal+(Salim-Resal)*(1-EXP((Tnet-t)/(Tau_j))))*Salcycl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4.8078401615425833E-6</v>
      </c>
      <c r="Q288" s="305">
        <f t="shared" si="105"/>
        <v>0.5</v>
      </c>
      <c r="R288" s="177">
        <f t="shared" si="106"/>
        <v>0.4677940671159444</v>
      </c>
      <c r="S288" s="811">
        <f t="shared" si="107"/>
        <v>-2</v>
      </c>
      <c r="T288" s="176">
        <f t="shared" si="108"/>
        <v>4</v>
      </c>
      <c r="U288" s="251">
        <f t="shared" si="109"/>
        <v>-1.5322059328840556</v>
      </c>
      <c r="V288" s="383">
        <f t="shared" si="110"/>
        <v>41.097828933259088</v>
      </c>
      <c r="W288" s="402">
        <f t="shared" si="111"/>
        <v>34.597060281344007</v>
      </c>
      <c r="X288" s="157">
        <f t="shared" si="112"/>
        <v>45931</v>
      </c>
      <c r="Y288" s="385">
        <f t="shared" si="113"/>
        <v>32.922483799538441</v>
      </c>
      <c r="Z288" s="385">
        <f t="shared" si="114"/>
        <v>34.90674653375595</v>
      </c>
      <c r="AA288" s="386">
        <f t="shared" si="115"/>
        <v>37.429376522518091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6.7397061429663008E-2</v>
      </c>
      <c r="AD288" s="231">
        <f>(INDEX(Models!$BJ288:$BT288,,AH288)*(1-AF288)+INDEX(Models!$BJ288:$BT288,,AH288+1)*AF288-ERP_i)*AE288*Ramure*Pc/MaxiM</f>
        <v>6.4520038900900997E-4</v>
      </c>
      <c r="AE288" s="305">
        <f t="shared" si="117"/>
        <v>0.5</v>
      </c>
      <c r="AF288" s="177">
        <f t="shared" si="118"/>
        <v>0.99278163348992332</v>
      </c>
      <c r="AG288" s="811">
        <f t="shared" si="124"/>
        <v>1</v>
      </c>
      <c r="AH288" s="176">
        <f t="shared" si="119"/>
        <v>7</v>
      </c>
      <c r="AI288" s="225">
        <f t="shared" si="120"/>
        <v>1.9927816334899233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38.565412624975046</v>
      </c>
      <c r="C289" s="841"/>
      <c r="D289" s="393">
        <f t="shared" si="102"/>
        <v>40.890674512773053</v>
      </c>
      <c r="E289" s="385">
        <f t="shared" si="100"/>
        <v>41.747765766991407</v>
      </c>
      <c r="F289" s="385">
        <f t="shared" si="103"/>
        <v>41.747993117476369</v>
      </c>
      <c r="G289" s="110">
        <f t="shared" si="101"/>
        <v>0.94548886088541217</v>
      </c>
      <c r="H289" s="414" t="b">
        <f>Wh_hp&gt;='2024'!Maxi_hp</f>
        <v>0</v>
      </c>
      <c r="I289" s="390">
        <f>IF(H289,Wh_hp,'2024'!Maxi_hp)</f>
        <v>44.550821163435508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5.6865334590449512E-2</v>
      </c>
      <c r="M289" s="845"/>
      <c r="N289" s="845"/>
      <c r="O289" s="48">
        <f>IF(t&lt;Tnet,'2024'!Resal+('2024'!Salim-'2024'!Resal)*(1-EXP(('2024'!Tnet-t)/('2024'!Tau_j))),Resal+(Salim-Resal)*(1-EXP((Tnet-t)/(Tau_j))))*Salcycl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5.9056713803950858E-6</v>
      </c>
      <c r="Q289" s="305">
        <f t="shared" si="105"/>
        <v>0.5</v>
      </c>
      <c r="R289" s="177">
        <f t="shared" si="106"/>
        <v>0.46798447326310066</v>
      </c>
      <c r="S289" s="811">
        <f t="shared" si="107"/>
        <v>-2</v>
      </c>
      <c r="T289" s="176">
        <f t="shared" si="108"/>
        <v>4</v>
      </c>
      <c r="U289" s="251">
        <f t="shared" si="109"/>
        <v>-1.5320155267368993</v>
      </c>
      <c r="V289" s="383">
        <f t="shared" si="110"/>
        <v>40.788841079475155</v>
      </c>
      <c r="W289" s="402">
        <f t="shared" si="111"/>
        <v>38.565412624975046</v>
      </c>
      <c r="X289" s="157">
        <f t="shared" si="112"/>
        <v>45932</v>
      </c>
      <c r="Y289" s="385">
        <f t="shared" si="113"/>
        <v>36.696303143510399</v>
      </c>
      <c r="Z289" s="385">
        <f t="shared" si="114"/>
        <v>38.908868997594581</v>
      </c>
      <c r="AA289" s="386">
        <f t="shared" si="115"/>
        <v>41.721505853859703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6.7414557521415994E-2</v>
      </c>
      <c r="AD289" s="231">
        <f>(INDEX(Models!$BJ289:$BT289,,AH289)*(1-AF289)+INDEX(Models!$BJ289:$BT289,,AH289+1)*AF289-ERP_i)*AE289*Ramure*Pc/MaxiM</f>
        <v>6.8803492858946446E-4</v>
      </c>
      <c r="AE289" s="305">
        <f t="shared" si="117"/>
        <v>0.5</v>
      </c>
      <c r="AF289" s="177">
        <f t="shared" si="118"/>
        <v>0.99297203963707958</v>
      </c>
      <c r="AG289" s="811">
        <f t="shared" si="124"/>
        <v>1</v>
      </c>
      <c r="AH289" s="176">
        <f t="shared" si="119"/>
        <v>7</v>
      </c>
      <c r="AI289" s="225">
        <f t="shared" si="120"/>
        <v>1.9929720396370796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35.076637297991411</v>
      </c>
      <c r="C290" s="841"/>
      <c r="D290" s="393">
        <f t="shared" si="102"/>
        <v>37.192361673998406</v>
      </c>
      <c r="E290" s="385">
        <f t="shared" si="100"/>
        <v>37.975154473678415</v>
      </c>
      <c r="F290" s="385">
        <f t="shared" si="103"/>
        <v>37.975376587200422</v>
      </c>
      <c r="G290" s="110">
        <f t="shared" si="101"/>
        <v>0.86651805518019787</v>
      </c>
      <c r="H290" s="414" t="b">
        <f>Wh_hp&gt;='2024'!Maxi_hp</f>
        <v>0</v>
      </c>
      <c r="I290" s="390">
        <f>IF(H290,Wh_hp,'2024'!Maxi_hp)</f>
        <v>42.516161138689995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5.6885991660113322E-2</v>
      </c>
      <c r="M290" s="845"/>
      <c r="N290" s="845"/>
      <c r="O290" s="48">
        <f>IF(t&lt;Tnet,'2024'!Resal+('2024'!Salim-'2024'!Resal)*(1-EXP(('2024'!Tnet-t)/('2024'!Tau_j))),Resal+(Salim-Resal)*(1-EXP((Tnet-t)/(Tau_j))))*Salcycl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7.2269704407383357E-6</v>
      </c>
      <c r="Q290" s="305">
        <f t="shared" si="105"/>
        <v>0.5</v>
      </c>
      <c r="R290" s="177">
        <f t="shared" si="106"/>
        <v>0.46816735060888881</v>
      </c>
      <c r="S290" s="811">
        <f t="shared" si="107"/>
        <v>-2</v>
      </c>
      <c r="T290" s="176">
        <f t="shared" si="108"/>
        <v>4</v>
      </c>
      <c r="U290" s="251">
        <f t="shared" si="109"/>
        <v>-1.5318326493911112</v>
      </c>
      <c r="V290" s="383">
        <f t="shared" si="110"/>
        <v>40.479928547743171</v>
      </c>
      <c r="W290" s="402">
        <f t="shared" si="111"/>
        <v>35.076637297991411</v>
      </c>
      <c r="X290" s="157">
        <f t="shared" si="112"/>
        <v>45933</v>
      </c>
      <c r="Y290" s="385">
        <f t="shared" si="113"/>
        <v>33.380410874441061</v>
      </c>
      <c r="Z290" s="385">
        <f t="shared" si="114"/>
        <v>35.393823630293454</v>
      </c>
      <c r="AA290" s="386">
        <f t="shared" si="115"/>
        <v>37.953037359582652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6.743106500389294E-2</v>
      </c>
      <c r="AD290" s="231">
        <f>(INDEX(Models!$BJ290:$BT290,,AH290)*(1-AF290)+INDEX(Models!$BJ290:$BT290,,AH290+1)*AF290-ERP_i)*AE290*Ramure*Pc/MaxiM</f>
        <v>7.2685776265911503E-4</v>
      </c>
      <c r="AE290" s="305">
        <f t="shared" si="117"/>
        <v>0.5</v>
      </c>
      <c r="AF290" s="177">
        <f t="shared" si="118"/>
        <v>0.99315491698286773</v>
      </c>
      <c r="AG290" s="811">
        <f t="shared" si="124"/>
        <v>1</v>
      </c>
      <c r="AH290" s="176">
        <f t="shared" si="119"/>
        <v>7</v>
      </c>
      <c r="AI290" s="225">
        <f t="shared" si="120"/>
        <v>1.9931549169828677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39.46845909256519</v>
      </c>
      <c r="C291" s="841"/>
      <c r="D291" s="393">
        <f t="shared" si="102"/>
        <v>41.850002463140711</v>
      </c>
      <c r="E291" s="385">
        <f t="shared" si="100"/>
        <v>42.734429812087001</v>
      </c>
      <c r="F291" s="385">
        <f t="shared" si="103"/>
        <v>42.734795539794867</v>
      </c>
      <c r="G291" s="110">
        <f t="shared" si="101"/>
        <v>0.98250879573191241</v>
      </c>
      <c r="H291" s="414" t="b">
        <f>Wh_hp&gt;='2024'!Maxi_hp</f>
        <v>1</v>
      </c>
      <c r="I291" s="390">
        <f>IF(H291,Wh_hp,'2024'!Maxi_hp)</f>
        <v>42.734795539794867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5.6906648277334271E-2</v>
      </c>
      <c r="M291" s="845"/>
      <c r="N291" s="845"/>
      <c r="O291" s="48">
        <f>IF(t&lt;Tnet,'2024'!Resal+('2024'!Salim-'2024'!Resal)*(1-EXP(('2024'!Tnet-t)/('2024'!Tau_j))),Resal+(Salim-Resal)*(1-EXP((Tnet-t)/(Tau_j))))*Salcycl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8.7773998709983662E-6</v>
      </c>
      <c r="Q291" s="305">
        <f t="shared" si="105"/>
        <v>0.5</v>
      </c>
      <c r="R291" s="177">
        <f t="shared" si="106"/>
        <v>0.4683429915752193</v>
      </c>
      <c r="S291" s="811">
        <f t="shared" si="107"/>
        <v>-2</v>
      </c>
      <c r="T291" s="176">
        <f t="shared" si="108"/>
        <v>4</v>
      </c>
      <c r="U291" s="251">
        <f t="shared" si="109"/>
        <v>-1.5316570084247807</v>
      </c>
      <c r="V291" s="383">
        <f t="shared" si="110"/>
        <v>40.171091198005861</v>
      </c>
      <c r="W291" s="402">
        <f t="shared" si="111"/>
        <v>39.46845909256519</v>
      </c>
      <c r="X291" s="157">
        <f t="shared" si="112"/>
        <v>45934</v>
      </c>
      <c r="Y291" s="385">
        <f t="shared" si="113"/>
        <v>37.556761820211314</v>
      </c>
      <c r="Z291" s="385">
        <f t="shared" si="114"/>
        <v>39.822952575807768</v>
      </c>
      <c r="AA291" s="386">
        <f t="shared" si="115"/>
        <v>42.703132381212043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6.7446569953998489E-2</v>
      </c>
      <c r="AD291" s="231">
        <f>(INDEX(Models!$BJ291:$BT291,,AH291)*(1-AF291)+INDEX(Models!$BJ291:$BT291,,AH291+1)*AF291-ERP_i)*AE291*Ramure*Pc/MaxiM</f>
        <v>7.5991016836081144E-4</v>
      </c>
      <c r="AE291" s="305">
        <f t="shared" si="117"/>
        <v>0.5</v>
      </c>
      <c r="AF291" s="177">
        <f t="shared" si="118"/>
        <v>0.99333055794919822</v>
      </c>
      <c r="AG291" s="811">
        <f t="shared" si="124"/>
        <v>1</v>
      </c>
      <c r="AH291" s="176">
        <f t="shared" si="119"/>
        <v>7</v>
      </c>
      <c r="AI291" s="225">
        <f t="shared" si="120"/>
        <v>1.9933305579491982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40.706712780995069</v>
      </c>
      <c r="C292" s="841"/>
      <c r="D292" s="393">
        <f t="shared" si="102"/>
        <v>43.16391829891213</v>
      </c>
      <c r="E292" s="385">
        <f t="shared" si="100"/>
        <v>44.079810807631198</v>
      </c>
      <c r="F292" s="385">
        <f t="shared" si="103"/>
        <v>44.080276283019209</v>
      </c>
      <c r="G292" s="110">
        <f t="shared" si="101"/>
        <v>1.0211825004158248</v>
      </c>
      <c r="H292" s="414" t="b">
        <f>Wh_hp&gt;='2024'!Maxi_hp</f>
        <v>1</v>
      </c>
      <c r="I292" s="390">
        <f>IF(H292,Wh_hp,'2024'!Maxi_hp)</f>
        <v>44.080276283019209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5.692730444212224E-2</v>
      </c>
      <c r="M292" s="845"/>
      <c r="N292" s="845"/>
      <c r="O292" s="48">
        <f>IF(t&lt;Tnet,'2024'!Resal+('2024'!Salim-'2024'!Resal)*(1-EXP(('2024'!Tnet-t)/('2024'!Tau_j))),Resal+(Salim-Resal)*(1-EXP((Tnet-t)/(Tau_j))))*Salcycl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1.0559720293548219E-5</v>
      </c>
      <c r="Q292" s="305">
        <f t="shared" si="105"/>
        <v>0.5</v>
      </c>
      <c r="R292" s="177">
        <f t="shared" si="106"/>
        <v>0.46851167763920087</v>
      </c>
      <c r="S292" s="811">
        <f t="shared" si="107"/>
        <v>-2</v>
      </c>
      <c r="T292" s="176">
        <f t="shared" si="108"/>
        <v>4</v>
      </c>
      <c r="U292" s="251">
        <f t="shared" si="109"/>
        <v>-1.5314883223607991</v>
      </c>
      <c r="V292" s="383">
        <f t="shared" si="110"/>
        <v>39.862328980783872</v>
      </c>
      <c r="W292" s="402">
        <f t="shared" si="111"/>
        <v>40.706712780995069</v>
      </c>
      <c r="X292" s="157">
        <f t="shared" si="112"/>
        <v>45935</v>
      </c>
      <c r="Y292" s="385">
        <f t="shared" si="113"/>
        <v>38.735974416380081</v>
      </c>
      <c r="Z292" s="385">
        <f t="shared" si="114"/>
        <v>41.074218985277362</v>
      </c>
      <c r="AA292" s="386">
        <f t="shared" si="115"/>
        <v>44.04558055756705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6.7461060444104118E-2</v>
      </c>
      <c r="AD292" s="231">
        <f>(INDEX(Models!$BJ292:$BT292,,AH292)*(1-AF292)+INDEX(Models!$BJ292:$BT292,,AH292+1)*AF292-ERP_i)*AE292*Ramure*Pc/MaxiM</f>
        <v>7.8710317579223227E-4</v>
      </c>
      <c r="AE292" s="305">
        <f t="shared" si="117"/>
        <v>0.5</v>
      </c>
      <c r="AF292" s="177">
        <f t="shared" si="118"/>
        <v>0.99349924401317979</v>
      </c>
      <c r="AG292" s="811">
        <f t="shared" si="124"/>
        <v>1</v>
      </c>
      <c r="AH292" s="176">
        <f t="shared" si="119"/>
        <v>7</v>
      </c>
      <c r="AI292" s="225">
        <f t="shared" si="120"/>
        <v>1.9934992440131798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11.883054116404042</v>
      </c>
      <c r="C293" s="841"/>
      <c r="D293" s="393">
        <f t="shared" si="102"/>
        <v>12.600634550719683</v>
      </c>
      <c r="E293" s="385">
        <f t="shared" si="100"/>
        <v>12.869080236078887</v>
      </c>
      <c r="F293" s="385">
        <f t="shared" si="103"/>
        <v>12.869080335228665</v>
      </c>
      <c r="G293" s="110">
        <f t="shared" si="101"/>
        <v>0.30042504843729773</v>
      </c>
      <c r="H293" s="414" t="b">
        <f>Wh_hp&gt;='2024'!Maxi_hp</f>
        <v>0</v>
      </c>
      <c r="I293" s="390">
        <f>IF(H293,Wh_hp,'2024'!Maxi_hp)</f>
        <v>39.638043153684698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5.6947960154487332E-2</v>
      </c>
      <c r="M293" s="845"/>
      <c r="N293" s="845"/>
      <c r="O293" s="48">
        <f>IF(t&lt;Tnet,'2024'!Resal+('2024'!Salim-'2024'!Resal)*(1-EXP(('2024'!Tnet-t)/('2024'!Tau_j))),Resal+(Salim-Resal)*(1-EXP((Tnet-t)/(Tau_j))))*Salcycl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1.2576583995968615E-5</v>
      </c>
      <c r="Q293" s="305">
        <f t="shared" si="105"/>
        <v>0.5</v>
      </c>
      <c r="R293" s="177">
        <f t="shared" si="106"/>
        <v>0.46867367971023999</v>
      </c>
      <c r="S293" s="811">
        <f t="shared" si="107"/>
        <v>-2</v>
      </c>
      <c r="T293" s="176">
        <f t="shared" si="108"/>
        <v>4</v>
      </c>
      <c r="U293" s="251">
        <f t="shared" si="109"/>
        <v>-1.53132632028976</v>
      </c>
      <c r="V293" s="383">
        <f t="shared" si="110"/>
        <v>39.553641820274891</v>
      </c>
      <c r="W293" s="402">
        <f t="shared" si="111"/>
        <v>11.883054116404042</v>
      </c>
      <c r="X293" s="157">
        <f t="shared" si="112"/>
        <v>45936</v>
      </c>
      <c r="Y293" s="385">
        <f t="shared" si="113"/>
        <v>11.317321664656193</v>
      </c>
      <c r="Z293" s="385">
        <f t="shared" si="114"/>
        <v>12.000739287420613</v>
      </c>
      <c r="AA293" s="386">
        <f t="shared" si="115"/>
        <v>12.869073962457541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6.7474526727415524E-2</v>
      </c>
      <c r="AD293" s="231">
        <f>(INDEX(Models!$BJ293:$BT293,,AH293)*(1-AF293)+INDEX(Models!$BJ293:$BT293,,AH293+1)*AF293-ERP_i)*AE293*Ramure*Pc/MaxiM</f>
        <v>8.0834967559904392E-4</v>
      </c>
      <c r="AE293" s="305">
        <f t="shared" si="117"/>
        <v>0.5</v>
      </c>
      <c r="AF293" s="177">
        <f t="shared" si="118"/>
        <v>0.99366124608421913</v>
      </c>
      <c r="AG293" s="811">
        <f t="shared" si="124"/>
        <v>1</v>
      </c>
      <c r="AH293" s="176">
        <f t="shared" si="119"/>
        <v>7</v>
      </c>
      <c r="AI293" s="225">
        <f t="shared" si="120"/>
        <v>1.9936612460842191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29.044176695720804</v>
      </c>
      <c r="C294" s="841"/>
      <c r="D294" s="393">
        <f t="shared" si="102"/>
        <v>30.798738165522462</v>
      </c>
      <c r="E294" s="385">
        <f t="shared" si="100"/>
        <v>31.457488354154044</v>
      </c>
      <c r="F294" s="385">
        <f t="shared" si="103"/>
        <v>31.457781653557582</v>
      </c>
      <c r="G294" s="110">
        <f t="shared" si="101"/>
        <v>0.74006866694529871</v>
      </c>
      <c r="H294" s="414" t="b">
        <f>Wh_hp&gt;='2024'!Maxi_hp</f>
        <v>0</v>
      </c>
      <c r="I294" s="390">
        <f>IF(H294,Wh_hp,'2024'!Maxi_hp)</f>
        <v>42.817625020301556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5.6968615414439094E-2</v>
      </c>
      <c r="M294" s="845"/>
      <c r="N294" s="845"/>
      <c r="O294" s="48">
        <f>IF(t&lt;Tnet,'2024'!Resal+('2024'!Salim-'2024'!Resal)*(1-EXP(('2024'!Tnet-t)/('2024'!Tau_j))),Resal+(Salim-Resal)*(1-EXP((Tnet-t)/(Tau_j))))*Salcycl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1.483052947276614E-5</v>
      </c>
      <c r="Q294" s="305">
        <f t="shared" si="105"/>
        <v>0.5</v>
      </c>
      <c r="R294" s="177">
        <f t="shared" si="106"/>
        <v>0.46882925849676305</v>
      </c>
      <c r="S294" s="811">
        <f t="shared" si="107"/>
        <v>-2</v>
      </c>
      <c r="T294" s="176">
        <f t="shared" si="108"/>
        <v>4</v>
      </c>
      <c r="U294" s="251">
        <f t="shared" si="109"/>
        <v>-1.531170741503237</v>
      </c>
      <c r="V294" s="383">
        <f t="shared" si="110"/>
        <v>39.24502961264065</v>
      </c>
      <c r="W294" s="402">
        <f t="shared" si="111"/>
        <v>29.044176695720804</v>
      </c>
      <c r="X294" s="157">
        <f t="shared" si="112"/>
        <v>45937</v>
      </c>
      <c r="Y294" s="385">
        <f t="shared" si="113"/>
        <v>27.64930612112909</v>
      </c>
      <c r="Z294" s="385">
        <f t="shared" si="114"/>
        <v>29.319603327179063</v>
      </c>
      <c r="AA294" s="386">
        <f t="shared" si="115"/>
        <v>31.441494235595673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6.7486961418467412E-2</v>
      </c>
      <c r="AD294" s="231">
        <f>(INDEX(Models!$BJ294:$BT294,,AH294)*(1-AF294)+INDEX(Models!$BJ294:$BT294,,AH294+1)*AF294-ERP_i)*AE294*Ramure*Pc/MaxiM</f>
        <v>8.2356468921269748E-4</v>
      </c>
      <c r="AE294" s="305">
        <f t="shared" si="117"/>
        <v>0.5</v>
      </c>
      <c r="AF294" s="177">
        <f t="shared" si="118"/>
        <v>0.99381682487074174</v>
      </c>
      <c r="AG294" s="811">
        <f t="shared" si="124"/>
        <v>1</v>
      </c>
      <c r="AH294" s="176">
        <f t="shared" si="119"/>
        <v>7</v>
      </c>
      <c r="AI294" s="225">
        <f t="shared" si="120"/>
        <v>1.9938168248707417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15.829874844272346</v>
      </c>
      <c r="C295" s="841"/>
      <c r="D295" s="393">
        <f t="shared" si="102"/>
        <v>16.786526753517165</v>
      </c>
      <c r="E295" s="385">
        <f t="shared" si="100"/>
        <v>17.146985866907617</v>
      </c>
      <c r="F295" s="385">
        <f t="shared" si="103"/>
        <v>17.147031085546217</v>
      </c>
      <c r="G295" s="110">
        <f t="shared" si="101"/>
        <v>0.40655029377564988</v>
      </c>
      <c r="H295" s="414" t="b">
        <f>Wh_hp&gt;='2024'!Maxi_hp</f>
        <v>0</v>
      </c>
      <c r="I295" s="390">
        <f>IF(H295,Wh_hp,'2024'!Maxi_hp)</f>
        <v>40.412475476580589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5.6989270221987853E-2</v>
      </c>
      <c r="M295" s="845"/>
      <c r="N295" s="845"/>
      <c r="O295" s="48">
        <f>IF(t&lt;Tnet,'2024'!Resal+('2024'!Salim-'2024'!Resal)*(1-EXP(('2024'!Tnet-t)/('2024'!Tau_j))),Resal+(Salim-Resal)*(1-EXP((Tnet-t)/(Tau_j))))*Salcycl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1.7323977027629431E-5</v>
      </c>
      <c r="Q295" s="305">
        <f t="shared" si="105"/>
        <v>0.5</v>
      </c>
      <c r="R295" s="177">
        <f t="shared" si="106"/>
        <v>0.46897866486262418</v>
      </c>
      <c r="S295" s="811">
        <f t="shared" si="107"/>
        <v>-2</v>
      </c>
      <c r="T295" s="176">
        <f t="shared" si="108"/>
        <v>4</v>
      </c>
      <c r="U295" s="251">
        <f t="shared" si="109"/>
        <v>-1.5310213351373758</v>
      </c>
      <c r="V295" s="383">
        <f t="shared" si="110"/>
        <v>38.9364922243957</v>
      </c>
      <c r="W295" s="402">
        <f t="shared" si="111"/>
        <v>15.829874844272346</v>
      </c>
      <c r="X295" s="157">
        <f t="shared" si="112"/>
        <v>45938</v>
      </c>
      <c r="Y295" s="385">
        <f t="shared" si="113"/>
        <v>15.076485803603729</v>
      </c>
      <c r="Z295" s="385">
        <f t="shared" si="114"/>
        <v>15.987607911049734</v>
      </c>
      <c r="AA295" s="386">
        <f t="shared" si="115"/>
        <v>17.144857681259403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6.7498359667028732E-2</v>
      </c>
      <c r="AD295" s="231">
        <f>(INDEX(Models!$BJ295:$BT295,,AH295)*(1-AF295)+INDEX(Models!$BJ295:$BT295,,AH295+1)*AF295-ERP_i)*AE295*Ramure*Pc/MaxiM</f>
        <v>8.3266562423565808E-4</v>
      </c>
      <c r="AE295" s="305">
        <f t="shared" si="117"/>
        <v>0.5</v>
      </c>
      <c r="AF295" s="177">
        <f t="shared" si="118"/>
        <v>0.9939662312366031</v>
      </c>
      <c r="AG295" s="811">
        <f t="shared" si="124"/>
        <v>1</v>
      </c>
      <c r="AH295" s="176">
        <f t="shared" si="119"/>
        <v>7</v>
      </c>
      <c r="AI295" s="225">
        <f t="shared" si="120"/>
        <v>1.9939662312366031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37.230181439813897</v>
      </c>
      <c r="C296" s="841"/>
      <c r="D296" s="393">
        <f t="shared" si="102"/>
        <v>39.480989683925458</v>
      </c>
      <c r="E296" s="385">
        <f t="shared" si="100"/>
        <v>40.332077020987143</v>
      </c>
      <c r="F296" s="385">
        <f t="shared" si="103"/>
        <v>40.332835862182719</v>
      </c>
      <c r="G296" s="110">
        <f t="shared" si="101"/>
        <v>0.963811397768913</v>
      </c>
      <c r="H296" s="414" t="b">
        <f>Wh_hp&gt;='2024'!Maxi_hp</f>
        <v>1</v>
      </c>
      <c r="I296" s="390">
        <f>IF(H296,Wh_hp,'2024'!Maxi_hp)</f>
        <v>40.332835862182719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5.7009924577143156E-2</v>
      </c>
      <c r="M296" s="845"/>
      <c r="N296" s="845"/>
      <c r="O296" s="48">
        <f>IF(t&lt;Tnet,'2024'!Resal+('2024'!Salim-'2024'!Resal)*(1-EXP(('2024'!Tnet-t)/('2024'!Tau_j))),Resal+(Salim-Resal)*(1-EXP((Tnet-t)/(Tau_j))))*Salcycl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1.9840144405636842E-5</v>
      </c>
      <c r="Q296" s="305">
        <f t="shared" si="105"/>
        <v>0.5</v>
      </c>
      <c r="R296" s="177">
        <f t="shared" si="106"/>
        <v>0.46912214017328679</v>
      </c>
      <c r="S296" s="811">
        <f t="shared" si="107"/>
        <v>-2</v>
      </c>
      <c r="T296" s="176">
        <f t="shared" si="108"/>
        <v>4</v>
      </c>
      <c r="U296" s="251">
        <f t="shared" si="109"/>
        <v>-1.5308778598267132</v>
      </c>
      <c r="V296" s="383">
        <f t="shared" si="110"/>
        <v>38.628037953772449</v>
      </c>
      <c r="W296" s="402">
        <f t="shared" si="111"/>
        <v>37.230181439813897</v>
      </c>
      <c r="X296" s="157">
        <f t="shared" si="112"/>
        <v>45939</v>
      </c>
      <c r="Y296" s="385">
        <f t="shared" si="113"/>
        <v>35.437778400652363</v>
      </c>
      <c r="Z296" s="385">
        <f t="shared" si="114"/>
        <v>37.580224144735887</v>
      </c>
      <c r="AA296" s="386">
        <f t="shared" si="115"/>
        <v>40.300885298874562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6.7508719323708014E-2</v>
      </c>
      <c r="AD296" s="231">
        <f>(INDEX(Models!$BJ296:$BT296,,AH296)*(1-AF296)+INDEX(Models!$BJ296:$BT296,,AH296+1)*AF296-ERP_i)*AE296*Ramure*Pc/MaxiM</f>
        <v>8.3535763948113623E-4</v>
      </c>
      <c r="AE296" s="305">
        <f t="shared" si="117"/>
        <v>0.5</v>
      </c>
      <c r="AF296" s="177">
        <f t="shared" si="118"/>
        <v>0.99410970654726549</v>
      </c>
      <c r="AG296" s="811">
        <f t="shared" si="124"/>
        <v>1</v>
      </c>
      <c r="AH296" s="176">
        <f t="shared" si="119"/>
        <v>7</v>
      </c>
      <c r="AI296" s="225">
        <f t="shared" si="120"/>
        <v>1.9941097065472655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30.683595307851437</v>
      </c>
      <c r="C297" s="841"/>
      <c r="D297" s="393">
        <f t="shared" si="102"/>
        <v>32.539332249383968</v>
      </c>
      <c r="E297" s="385">
        <f t="shared" ref="E297:E360" si="125">Wh_pvt/(1-Psa)</f>
        <v>33.243489038002117</v>
      </c>
      <c r="F297" s="385">
        <f t="shared" si="103"/>
        <v>33.244018026867359</v>
      </c>
      <c r="G297" s="110">
        <f t="shared" ref="G297:G360" si="126">+Wh_hp/MaxiM</f>
        <v>0.80072191898188849</v>
      </c>
      <c r="H297" s="414" t="b">
        <f>Wh_hp&gt;='2024'!Maxi_hp</f>
        <v>1</v>
      </c>
      <c r="I297" s="390">
        <f>IF(H297,Wh_hp,'2024'!Maxi_hp)</f>
        <v>33.244018026867359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5.7030578479915217E-2</v>
      </c>
      <c r="M297" s="845"/>
      <c r="N297" s="845"/>
      <c r="O297" s="48">
        <f>IF(t&lt;Tnet,'2024'!Resal+('2024'!Salim-'2024'!Resal)*(1-EXP(('2024'!Tnet-t)/('2024'!Tau_j))),Resal+(Salim-Resal)*(1-EXP((Tnet-t)/(Tau_j))))*Salcycl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2.2244879652566611E-5</v>
      </c>
      <c r="Q297" s="305">
        <f t="shared" si="105"/>
        <v>0.5</v>
      </c>
      <c r="R297" s="177">
        <f t="shared" si="106"/>
        <v>0.46925991663187783</v>
      </c>
      <c r="S297" s="811">
        <f t="shared" si="107"/>
        <v>-2</v>
      </c>
      <c r="T297" s="176">
        <f t="shared" si="108"/>
        <v>4</v>
      </c>
      <c r="U297" s="251">
        <f t="shared" si="109"/>
        <v>-1.5307400833681222</v>
      </c>
      <c r="V297" s="383">
        <f t="shared" si="110"/>
        <v>38.319671625241838</v>
      </c>
      <c r="W297" s="402">
        <f t="shared" si="111"/>
        <v>30.683595307851437</v>
      </c>
      <c r="X297" s="157">
        <f t="shared" si="112"/>
        <v>45940</v>
      </c>
      <c r="Y297" s="385">
        <f t="shared" si="113"/>
        <v>29.214100255101282</v>
      </c>
      <c r="Z297" s="385">
        <f t="shared" si="114"/>
        <v>30.980962466426103</v>
      </c>
      <c r="AA297" s="386">
        <f t="shared" si="115"/>
        <v>33.224195031961202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6.7518041095567277E-2</v>
      </c>
      <c r="AD297" s="231">
        <f>(INDEX(Models!$BJ297:$BT297,,AH297)*(1-AF297)+INDEX(Models!$BJ297:$BT297,,AH297+1)*AF297-ERP_i)*AE297*Ramure*Pc/MaxiM</f>
        <v>8.3359058199407787E-4</v>
      </c>
      <c r="AE297" s="305">
        <f t="shared" si="117"/>
        <v>0.5</v>
      </c>
      <c r="AF297" s="177">
        <f t="shared" si="118"/>
        <v>0.99424748300585675</v>
      </c>
      <c r="AG297" s="811">
        <f t="shared" si="124"/>
        <v>1</v>
      </c>
      <c r="AH297" s="176">
        <f t="shared" si="119"/>
        <v>7</v>
      </c>
      <c r="AI297" s="225">
        <f t="shared" si="120"/>
        <v>1.9942474830058567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22.312151442796509</v>
      </c>
      <c r="C298" s="841"/>
      <c r="D298" s="393">
        <f t="shared" si="102"/>
        <v>23.662103603435202</v>
      </c>
      <c r="E298" s="385">
        <f t="shared" si="125"/>
        <v>24.176114755214567</v>
      </c>
      <c r="F298" s="385">
        <f t="shared" si="103"/>
        <v>24.176357951082927</v>
      </c>
      <c r="G298" s="110">
        <f t="shared" si="126"/>
        <v>0.58697739715972486</v>
      </c>
      <c r="H298" s="414" t="b">
        <f>Wh_hp&gt;='2024'!Maxi_hp</f>
        <v>0</v>
      </c>
      <c r="I298" s="390">
        <f>IF(H298,Wh_hp,'2024'!Maxi_hp)</f>
        <v>42.375150802238252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5.7051231930313695E-2</v>
      </c>
      <c r="M298" s="845"/>
      <c r="N298" s="845"/>
      <c r="O298" s="48">
        <f>IF(t&lt;Tnet,'2024'!Resal+('2024'!Salim-'2024'!Resal)*(1-EXP(('2024'!Tnet-t)/('2024'!Tau_j))),Resal+(Salim-Resal)*(1-EXP((Tnet-t)/(Tau_j))))*Salcycl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2.4535945783389446E-5</v>
      </c>
      <c r="Q298" s="305">
        <f t="shared" si="105"/>
        <v>0.5</v>
      </c>
      <c r="R298" s="177">
        <f t="shared" si="106"/>
        <v>0.46939221760524408</v>
      </c>
      <c r="S298" s="811">
        <f t="shared" si="107"/>
        <v>-2</v>
      </c>
      <c r="T298" s="176">
        <f t="shared" si="108"/>
        <v>4</v>
      </c>
      <c r="U298" s="251">
        <f t="shared" si="109"/>
        <v>-1.5306077823947559</v>
      </c>
      <c r="V298" s="383">
        <f t="shared" si="110"/>
        <v>38.011392842609247</v>
      </c>
      <c r="W298" s="402">
        <f t="shared" si="111"/>
        <v>22.312151442796509</v>
      </c>
      <c r="X298" s="157">
        <f t="shared" si="112"/>
        <v>45941</v>
      </c>
      <c r="Y298" s="385">
        <f t="shared" si="113"/>
        <v>21.250454504664834</v>
      </c>
      <c r="Z298" s="385">
        <f t="shared" si="114"/>
        <v>22.536170812510537</v>
      </c>
      <c r="AA298" s="386">
        <f t="shared" si="115"/>
        <v>24.168157778495257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6.7526328690093854E-2</v>
      </c>
      <c r="AD298" s="231">
        <f>(INDEX(Models!$BJ298:$BT298,,AH298)*(1-AF298)+INDEX(Models!$BJ298:$BT298,,AH298+1)*AF298-ERP_i)*AE298*Ramure*Pc/MaxiM</f>
        <v>8.273125336423474E-4</v>
      </c>
      <c r="AE298" s="305">
        <f t="shared" si="117"/>
        <v>0.5</v>
      </c>
      <c r="AF298" s="177">
        <f t="shared" si="118"/>
        <v>0.994379783979223</v>
      </c>
      <c r="AG298" s="811">
        <f t="shared" si="124"/>
        <v>1</v>
      </c>
      <c r="AH298" s="176">
        <f t="shared" si="119"/>
        <v>7</v>
      </c>
      <c r="AI298" s="225">
        <f t="shared" si="120"/>
        <v>1.994379783979223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27.867042061036486</v>
      </c>
      <c r="C299" s="841"/>
      <c r="D299" s="393">
        <f t="shared" si="102"/>
        <v>29.553729086674782</v>
      </c>
      <c r="E299" s="385">
        <f t="shared" si="125"/>
        <v>30.198156327496989</v>
      </c>
      <c r="F299" s="385">
        <f t="shared" si="103"/>
        <v>30.198662340613236</v>
      </c>
      <c r="G299" s="110">
        <f t="shared" si="126"/>
        <v>0.73910871702419023</v>
      </c>
      <c r="H299" s="414" t="b">
        <f>Wh_hp&gt;='2024'!Maxi_hp</f>
        <v>0</v>
      </c>
      <c r="I299" s="390">
        <f>IF(H299,Wh_hp,'2024'!Maxi_hp)</f>
        <v>39.768274465309958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5.7071884928348693E-2</v>
      </c>
      <c r="M299" s="845"/>
      <c r="N299" s="845"/>
      <c r="O299" s="48">
        <f>IF(t&lt;Tnet,'2024'!Resal+('2024'!Salim-'2024'!Resal)*(1-EXP(('2024'!Tnet-t)/('2024'!Tau_j))),Resal+(Salim-Resal)*(1-EXP((Tnet-t)/(Tau_j))))*Salcycl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2.6711161436238904E-5</v>
      </c>
      <c r="Q299" s="305">
        <f t="shared" si="105"/>
        <v>0.5</v>
      </c>
      <c r="R299" s="177">
        <f t="shared" si="106"/>
        <v>0.46951925794014548</v>
      </c>
      <c r="S299" s="811">
        <f t="shared" si="107"/>
        <v>-2</v>
      </c>
      <c r="T299" s="176">
        <f t="shared" si="108"/>
        <v>4</v>
      </c>
      <c r="U299" s="251">
        <f t="shared" si="109"/>
        <v>-1.5304807420598545</v>
      </c>
      <c r="V299" s="383">
        <f t="shared" si="110"/>
        <v>37.70320116325891</v>
      </c>
      <c r="W299" s="402">
        <f t="shared" si="111"/>
        <v>27.867042061036486</v>
      </c>
      <c r="X299" s="157">
        <f t="shared" si="112"/>
        <v>45942</v>
      </c>
      <c r="Y299" s="385">
        <f t="shared" si="113"/>
        <v>26.538537980087593</v>
      </c>
      <c r="Z299" s="385">
        <f t="shared" si="114"/>
        <v>28.144815660810984</v>
      </c>
      <c r="AA299" s="386">
        <f t="shared" si="115"/>
        <v>30.18319515551865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6.7533588945932713E-2</v>
      </c>
      <c r="AD299" s="231">
        <f>(INDEX(Models!$BJ299:$BT299,,AH299)*(1-AF299)+INDEX(Models!$BJ299:$BT299,,AH299+1)*AF299-ERP_i)*AE299*Ramure*Pc/MaxiM</f>
        <v>8.1647385168869555E-4</v>
      </c>
      <c r="AE299" s="305">
        <f t="shared" si="117"/>
        <v>0.5</v>
      </c>
      <c r="AF299" s="177">
        <f t="shared" si="118"/>
        <v>0.9945068243141244</v>
      </c>
      <c r="AG299" s="811">
        <f t="shared" si="124"/>
        <v>1</v>
      </c>
      <c r="AH299" s="176">
        <f t="shared" si="119"/>
        <v>7</v>
      </c>
      <c r="AI299" s="225">
        <f t="shared" si="120"/>
        <v>1.9945068243141244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22.996976068323981</v>
      </c>
      <c r="C300" s="841"/>
      <c r="D300" s="393">
        <f t="shared" si="102"/>
        <v>24.3894305457261</v>
      </c>
      <c r="E300" s="385">
        <f t="shared" si="125"/>
        <v>24.923244336838788</v>
      </c>
      <c r="F300" s="385">
        <f t="shared" si="103"/>
        <v>24.923566964332188</v>
      </c>
      <c r="G300" s="110">
        <f t="shared" si="126"/>
        <v>0.61496331245325442</v>
      </c>
      <c r="H300" s="414" t="b">
        <f>Wh_hp&gt;='2024'!Maxi_hp</f>
        <v>0</v>
      </c>
      <c r="I300" s="390">
        <f>IF(H300,Wh_hp,'2024'!Maxi_hp)</f>
        <v>39.855056795061437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5.7092537474029981E-2</v>
      </c>
      <c r="M300" s="845"/>
      <c r="N300" s="845"/>
      <c r="O300" s="48">
        <f>IF(t&lt;Tnet,'2024'!Resal+('2024'!Salim-'2024'!Resal)*(1-EXP(('2024'!Tnet-t)/('2024'!Tau_j))),Resal+(Salim-Resal)*(1-EXP((Tnet-t)/(Tau_j))))*Salcycl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2.8768408025044331E-5</v>
      </c>
      <c r="Q300" s="305">
        <f t="shared" si="105"/>
        <v>0.5</v>
      </c>
      <c r="R300" s="177">
        <f t="shared" si="106"/>
        <v>0.46964124426973974</v>
      </c>
      <c r="S300" s="811">
        <f t="shared" si="107"/>
        <v>-2</v>
      </c>
      <c r="T300" s="176">
        <f t="shared" si="108"/>
        <v>4</v>
      </c>
      <c r="U300" s="251">
        <f t="shared" si="109"/>
        <v>-1.5303587557302603</v>
      </c>
      <c r="V300" s="383">
        <f t="shared" si="110"/>
        <v>37.395096097491944</v>
      </c>
      <c r="W300" s="402">
        <f t="shared" si="111"/>
        <v>22.996976068323981</v>
      </c>
      <c r="X300" s="157">
        <f t="shared" si="112"/>
        <v>45943</v>
      </c>
      <c r="Y300" s="385">
        <f t="shared" si="113"/>
        <v>21.90549126730707</v>
      </c>
      <c r="Z300" s="385">
        <f t="shared" si="114"/>
        <v>23.231856929654683</v>
      </c>
      <c r="AA300" s="386">
        <f t="shared" si="115"/>
        <v>24.914583727699121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6.7539831948853518E-2</v>
      </c>
      <c r="AD300" s="231">
        <f>(INDEX(Models!$BJ300:$BT300,,AH300)*(1-AF300)+INDEX(Models!$BJ300:$BT300,,AH300+1)*AF300-ERP_i)*AE300*Ramure*Pc/MaxiM</f>
        <v>8.0102725939961382E-4</v>
      </c>
      <c r="AE300" s="305">
        <f t="shared" si="117"/>
        <v>0.5</v>
      </c>
      <c r="AF300" s="177">
        <f t="shared" si="118"/>
        <v>0.99462881064371866</v>
      </c>
      <c r="AG300" s="811">
        <f t="shared" si="124"/>
        <v>1</v>
      </c>
      <c r="AH300" s="176">
        <f t="shared" si="119"/>
        <v>7</v>
      </c>
      <c r="AI300" s="225">
        <f t="shared" si="120"/>
        <v>1.9946288106437187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19.51945530528079</v>
      </c>
      <c r="C301" s="841"/>
      <c r="D301" s="393">
        <f t="shared" si="102"/>
        <v>20.701801201699404</v>
      </c>
      <c r="E301" s="385">
        <f t="shared" si="125"/>
        <v>21.156587196058663</v>
      </c>
      <c r="F301" s="385">
        <f t="shared" si="103"/>
        <v>21.156797226280865</v>
      </c>
      <c r="G301" s="110">
        <f t="shared" si="126"/>
        <v>0.52630326360965496</v>
      </c>
      <c r="H301" s="414" t="b">
        <f>Wh_hp&gt;='2024'!Maxi_hp</f>
        <v>0</v>
      </c>
      <c r="I301" s="390">
        <f>IF(H301,Wh_hp,'2024'!Maxi_hp)</f>
        <v>41.909965007378638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5.7113189567367439E-2</v>
      </c>
      <c r="M301" s="845"/>
      <c r="N301" s="845"/>
      <c r="O301" s="48">
        <f>IF(t&lt;Tnet,'2024'!Resal+('2024'!Salim-'2024'!Resal)*(1-EXP(('2024'!Tnet-t)/('2024'!Tau_j))),Resal+(Salim-Resal)*(1-EXP((Tnet-t)/(Tau_j))))*Salcycl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3.0705636505798743E-5</v>
      </c>
      <c r="Q301" s="305">
        <f t="shared" si="105"/>
        <v>0.5</v>
      </c>
      <c r="R301" s="177">
        <f t="shared" si="106"/>
        <v>0.46975837531052056</v>
      </c>
      <c r="S301" s="811">
        <f t="shared" si="107"/>
        <v>-2</v>
      </c>
      <c r="T301" s="176">
        <f t="shared" si="108"/>
        <v>4</v>
      </c>
      <c r="U301" s="251">
        <f t="shared" si="109"/>
        <v>-1.5302416246894794</v>
      </c>
      <c r="V301" s="383">
        <f t="shared" si="110"/>
        <v>37.087077108156628</v>
      </c>
      <c r="W301" s="402">
        <f t="shared" si="111"/>
        <v>19.51945530528079</v>
      </c>
      <c r="X301" s="157">
        <f t="shared" si="112"/>
        <v>45944</v>
      </c>
      <c r="Y301" s="385">
        <f t="shared" si="113"/>
        <v>18.596348197379655</v>
      </c>
      <c r="Z301" s="385">
        <f t="shared" si="114"/>
        <v>19.722779014001627</v>
      </c>
      <c r="AA301" s="386">
        <f t="shared" si="115"/>
        <v>21.151455586099821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6.7545071131515144E-2</v>
      </c>
      <c r="AD301" s="231">
        <f>(INDEX(Models!$BJ301:$BT301,,AH301)*(1-AF301)+INDEX(Models!$BJ301:$BT301,,AH301+1)*AF301-ERP_i)*AE301*Ramure*Pc/MaxiM</f>
        <v>7.8092790658564515E-4</v>
      </c>
      <c r="AE301" s="305">
        <f t="shared" si="117"/>
        <v>0.5</v>
      </c>
      <c r="AF301" s="177">
        <f t="shared" si="118"/>
        <v>0.99474594168449948</v>
      </c>
      <c r="AG301" s="811">
        <f t="shared" si="124"/>
        <v>1</v>
      </c>
      <c r="AH301" s="176">
        <f t="shared" si="119"/>
        <v>7</v>
      </c>
      <c r="AI301" s="225">
        <f t="shared" si="120"/>
        <v>1.9947459416844995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36.146319262894316</v>
      </c>
      <c r="C302" s="841"/>
      <c r="D302" s="393">
        <f t="shared" si="102"/>
        <v>38.336638690287927</v>
      </c>
      <c r="E302" s="385">
        <f t="shared" si="125"/>
        <v>39.181933668025977</v>
      </c>
      <c r="F302" s="385">
        <f t="shared" si="103"/>
        <v>39.1831766174584</v>
      </c>
      <c r="G302" s="110">
        <f t="shared" si="126"/>
        <v>0.98279314903384762</v>
      </c>
      <c r="H302" s="414" t="b">
        <f>Wh_hp&gt;='2024'!Maxi_hp</f>
        <v>1</v>
      </c>
      <c r="I302" s="390">
        <f>IF(H302,Wh_hp,'2024'!Maxi_hp)</f>
        <v>39.1831766174584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5.7133841208371172E-2</v>
      </c>
      <c r="M302" s="845"/>
      <c r="N302" s="845"/>
      <c r="O302" s="48">
        <f>IF(t&lt;Tnet,'2024'!Resal+('2024'!Salim-'2024'!Resal)*(1-EXP(('2024'!Tnet-t)/('2024'!Tau_j))),Resal+(Salim-Resal)*(1-EXP((Tnet-t)/(Tau_j))))*Salcycl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3.2520873647210436E-5</v>
      </c>
      <c r="Q302" s="305">
        <f t="shared" si="105"/>
        <v>0.5</v>
      </c>
      <c r="R302" s="177">
        <f t="shared" si="106"/>
        <v>0.4698708421498865</v>
      </c>
      <c r="S302" s="811">
        <f t="shared" si="107"/>
        <v>-2</v>
      </c>
      <c r="T302" s="176">
        <f t="shared" si="108"/>
        <v>4</v>
      </c>
      <c r="U302" s="251">
        <f t="shared" si="109"/>
        <v>-1.5301291578501135</v>
      </c>
      <c r="V302" s="383">
        <f t="shared" si="110"/>
        <v>36.779143610605523</v>
      </c>
      <c r="W302" s="402">
        <f t="shared" si="111"/>
        <v>36.146319262894316</v>
      </c>
      <c r="X302" s="157">
        <f t="shared" si="112"/>
        <v>45945</v>
      </c>
      <c r="Y302" s="385">
        <f t="shared" si="113"/>
        <v>34.423508128400108</v>
      </c>
      <c r="Z302" s="385">
        <f t="shared" si="114"/>
        <v>36.509432232160137</v>
      </c>
      <c r="AA302" s="386">
        <f t="shared" si="115"/>
        <v>39.154277160857248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6.7549323355691498E-2</v>
      </c>
      <c r="AD302" s="231">
        <f>(INDEX(Models!$BJ302:$BT302,,AH302)*(1-AF302)+INDEX(Models!$BJ302:$BT302,,AH302+1)*AF302-ERP_i)*AE302*Ramure*Pc/MaxiM</f>
        <v>7.5613339696592365E-4</v>
      </c>
      <c r="AE302" s="305">
        <f t="shared" si="117"/>
        <v>0.5</v>
      </c>
      <c r="AF302" s="177">
        <f t="shared" si="118"/>
        <v>0.99485840852386542</v>
      </c>
      <c r="AG302" s="811">
        <f t="shared" si="124"/>
        <v>1</v>
      </c>
      <c r="AH302" s="176">
        <f t="shared" si="119"/>
        <v>7</v>
      </c>
      <c r="AI302" s="225">
        <f t="shared" si="120"/>
        <v>1.9948584085238654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32.461164970759796</v>
      </c>
      <c r="C303" s="841"/>
      <c r="D303" s="393">
        <f t="shared" si="102"/>
        <v>34.428933169854837</v>
      </c>
      <c r="E303" s="385">
        <f t="shared" si="125"/>
        <v>35.190832938875573</v>
      </c>
      <c r="F303" s="385">
        <f t="shared" si="103"/>
        <v>35.191847872392152</v>
      </c>
      <c r="G303" s="110">
        <f t="shared" si="126"/>
        <v>0.89006311703318286</v>
      </c>
      <c r="H303" s="414" t="b">
        <f>Wh_hp&gt;='2024'!Maxi_hp</f>
        <v>0</v>
      </c>
      <c r="I303" s="390">
        <f>IF(H303,Wh_hp,'2024'!Maxi_hp)</f>
        <v>38.517225515333379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5.7154492397050949E-2</v>
      </c>
      <c r="M303" s="845"/>
      <c r="N303" s="845"/>
      <c r="O303" s="48">
        <f>IF(t&lt;Tnet,'2024'!Resal+('2024'!Salim-'2024'!Resal)*(1-EXP(('2024'!Tnet-t)/('2024'!Tau_j))),Resal+(Salim-Resal)*(1-EXP((Tnet-t)/(Tau_j))))*Salcycl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3.4213032817321024E-5</v>
      </c>
      <c r="Q303" s="305">
        <f t="shared" si="105"/>
        <v>0.5</v>
      </c>
      <c r="R303" s="177">
        <f t="shared" si="106"/>
        <v>0.46997882852451944</v>
      </c>
      <c r="S303" s="811">
        <f t="shared" si="107"/>
        <v>-2</v>
      </c>
      <c r="T303" s="176">
        <f t="shared" si="108"/>
        <v>4</v>
      </c>
      <c r="U303" s="251">
        <f t="shared" si="109"/>
        <v>-1.5300211714754806</v>
      </c>
      <c r="V303" s="383">
        <f t="shared" si="110"/>
        <v>36.470436680492391</v>
      </c>
      <c r="W303" s="402">
        <f t="shared" si="111"/>
        <v>32.461164970759796</v>
      </c>
      <c r="X303" s="157">
        <f t="shared" si="112"/>
        <v>45946</v>
      </c>
      <c r="Y303" s="385">
        <f t="shared" si="113"/>
        <v>30.9200975552633</v>
      </c>
      <c r="Z303" s="385">
        <f t="shared" si="114"/>
        <v>32.794447558935993</v>
      </c>
      <c r="AA303" s="386">
        <f t="shared" si="115"/>
        <v>35.170292581238819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6.7552608975740863E-2</v>
      </c>
      <c r="AD303" s="231">
        <f>(INDEX(Models!$BJ303:$BT303,,AH303)*(1-AF303)+INDEX(Models!$BJ303:$BT303,,AH303+1)*AF303-ERP_i)*AE303*Ramure*Pc/MaxiM</f>
        <v>7.2662087867935256E-4</v>
      </c>
      <c r="AE303" s="305">
        <f t="shared" si="117"/>
        <v>0.5</v>
      </c>
      <c r="AF303" s="177">
        <f t="shared" si="118"/>
        <v>0.99496639489849836</v>
      </c>
      <c r="AG303" s="811">
        <f t="shared" si="124"/>
        <v>1</v>
      </c>
      <c r="AH303" s="176">
        <f t="shared" si="119"/>
        <v>7</v>
      </c>
      <c r="AI303" s="225">
        <f t="shared" si="120"/>
        <v>1.9949663948984984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19.697157294307388</v>
      </c>
      <c r="C304" s="841"/>
      <c r="D304" s="393">
        <f t="shared" si="102"/>
        <v>20.891639789567705</v>
      </c>
      <c r="E304" s="385">
        <f t="shared" si="125"/>
        <v>21.355633161801869</v>
      </c>
      <c r="F304" s="385">
        <f t="shared" si="103"/>
        <v>21.355899298210485</v>
      </c>
      <c r="G304" s="110">
        <f t="shared" si="126"/>
        <v>0.54470411837319577</v>
      </c>
      <c r="H304" s="414" t="b">
        <f>Wh_hp&gt;='2024'!Maxi_hp</f>
        <v>0</v>
      </c>
      <c r="I304" s="390">
        <f>IF(H304,Wh_hp,'2024'!Maxi_hp)</f>
        <v>36.170374756257267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5.717514313341665E-2</v>
      </c>
      <c r="M304" s="845"/>
      <c r="N304" s="845"/>
      <c r="O304" s="48">
        <f>IF(t&lt;Tnet,'2024'!Resal+('2024'!Salim-'2024'!Resal)*(1-EXP(('2024'!Tnet-t)/('2024'!Tau_j))),Resal+(Salim-Resal)*(1-EXP((Tnet-t)/(Tau_j))))*Salcycl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3.5646818547610841E-5</v>
      </c>
      <c r="Q304" s="305">
        <f t="shared" si="105"/>
        <v>0.5</v>
      </c>
      <c r="R304" s="177">
        <f t="shared" si="106"/>
        <v>0.4700825110897644</v>
      </c>
      <c r="S304" s="811">
        <f t="shared" si="107"/>
        <v>-2</v>
      </c>
      <c r="T304" s="176">
        <f t="shared" si="108"/>
        <v>4</v>
      </c>
      <c r="U304" s="251">
        <f t="shared" si="109"/>
        <v>-1.5299174889102356</v>
      </c>
      <c r="V304" s="383">
        <f t="shared" si="110"/>
        <v>36.16036660724847</v>
      </c>
      <c r="W304" s="402">
        <f t="shared" si="111"/>
        <v>19.697157294307388</v>
      </c>
      <c r="X304" s="157">
        <f t="shared" si="112"/>
        <v>45947</v>
      </c>
      <c r="Y304" s="385">
        <f t="shared" si="113"/>
        <v>18.770104385021515</v>
      </c>
      <c r="Z304" s="385">
        <f t="shared" si="114"/>
        <v>19.9083681855851</v>
      </c>
      <c r="AA304" s="386">
        <f t="shared" si="115"/>
        <v>21.350714689055504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6.7554951882231748E-2</v>
      </c>
      <c r="AD304" s="231">
        <f>(INDEX(Models!$BJ304:$BT304,,AH304)*(1-AF304)+INDEX(Models!$BJ304:$BT304,,AH304+1)*AF304-ERP_i)*AE304*Ramure*Pc/MaxiM</f>
        <v>6.9443644613755083E-4</v>
      </c>
      <c r="AE304" s="305">
        <f t="shared" si="117"/>
        <v>0.5</v>
      </c>
      <c r="AF304" s="177">
        <f t="shared" si="118"/>
        <v>0.99507007746374332</v>
      </c>
      <c r="AG304" s="811">
        <f t="shared" si="124"/>
        <v>1</v>
      </c>
      <c r="AH304" s="176">
        <f t="shared" si="119"/>
        <v>7</v>
      </c>
      <c r="AI304" s="225">
        <f t="shared" si="120"/>
        <v>1.9950700774637433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33.434024959558684</v>
      </c>
      <c r="C305" s="841"/>
      <c r="D305" s="393">
        <f t="shared" si="102"/>
        <v>35.462320518011254</v>
      </c>
      <c r="E305" s="385">
        <f t="shared" si="125"/>
        <v>36.252738089443469</v>
      </c>
      <c r="F305" s="385">
        <f t="shared" si="103"/>
        <v>36.253941423094851</v>
      </c>
      <c r="G305" s="110">
        <f t="shared" si="126"/>
        <v>0.93262285639657916</v>
      </c>
      <c r="H305" s="414" t="b">
        <f>Wh_hp&gt;='2024'!Maxi_hp</f>
        <v>0</v>
      </c>
      <c r="I305" s="390">
        <f>IF(H305,Wh_hp,'2024'!Maxi_hp)</f>
        <v>37.794322636082605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5.7195793417478158E-2</v>
      </c>
      <c r="M305" s="845"/>
      <c r="N305" s="845"/>
      <c r="O305" s="48">
        <f>IF(t&lt;Tnet,'2024'!Resal+('2024'!Salim-'2024'!Resal)*(1-EXP(('2024'!Tnet-t)/('2024'!Tau_j))),Resal+(Salim-Resal)*(1-EXP((Tnet-t)/(Tau_j))))*Salcycl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3.6726685098502126E-5</v>
      </c>
      <c r="Q305" s="305">
        <f t="shared" si="105"/>
        <v>0.5</v>
      </c>
      <c r="R305" s="177">
        <f t="shared" si="106"/>
        <v>0.47018205968020488</v>
      </c>
      <c r="S305" s="811">
        <f t="shared" si="107"/>
        <v>-2</v>
      </c>
      <c r="T305" s="176">
        <f t="shared" si="108"/>
        <v>4</v>
      </c>
      <c r="U305" s="251">
        <f t="shared" si="109"/>
        <v>-1.5298179403197951</v>
      </c>
      <c r="V305" s="383">
        <f t="shared" si="110"/>
        <v>35.849332386568072</v>
      </c>
      <c r="W305" s="402">
        <f t="shared" si="111"/>
        <v>33.434024959558684</v>
      </c>
      <c r="X305" s="157">
        <f t="shared" si="112"/>
        <v>45948</v>
      </c>
      <c r="Y305" s="385">
        <f t="shared" si="113"/>
        <v>31.852145242818679</v>
      </c>
      <c r="Z305" s="385">
        <f t="shared" si="114"/>
        <v>33.784475101438488</v>
      </c>
      <c r="AA305" s="386">
        <f t="shared" si="115"/>
        <v>36.232190729365776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6.7556379524781135E-2</v>
      </c>
      <c r="AD305" s="231">
        <f>(INDEX(Models!$BJ305:$BT305,,AH305)*(1-AF305)+INDEX(Models!$BJ305:$BT305,,AH305+1)*AF305-ERP_i)*AE305*Ramure*Pc/MaxiM</f>
        <v>6.6384820066025282E-4</v>
      </c>
      <c r="AE305" s="305">
        <f t="shared" si="117"/>
        <v>0.5</v>
      </c>
      <c r="AF305" s="177">
        <f t="shared" si="118"/>
        <v>0.9951696260541838</v>
      </c>
      <c r="AG305" s="811">
        <f t="shared" si="124"/>
        <v>1</v>
      </c>
      <c r="AH305" s="176">
        <f t="shared" si="119"/>
        <v>7</v>
      </c>
      <c r="AI305" s="225">
        <f t="shared" si="120"/>
        <v>1.9951696260541838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15.399695031324427</v>
      </c>
      <c r="C306" s="841"/>
      <c r="D306" s="393">
        <f t="shared" si="102"/>
        <v>16.334284705175097</v>
      </c>
      <c r="E306" s="385">
        <f t="shared" si="125"/>
        <v>16.699648278541009</v>
      </c>
      <c r="F306" s="385">
        <f t="shared" si="103"/>
        <v>16.699767398741731</v>
      </c>
      <c r="G306" s="110">
        <f t="shared" si="126"/>
        <v>0.43332054188040264</v>
      </c>
      <c r="H306" s="414" t="b">
        <f>Wh_hp&gt;='2024'!Maxi_hp</f>
        <v>0</v>
      </c>
      <c r="I306" s="390">
        <f>IF(H306,Wh_hp,'2024'!Maxi_hp)</f>
        <v>37.715287299843339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5.7216443249245574E-2</v>
      </c>
      <c r="M306" s="845"/>
      <c r="N306" s="845"/>
      <c r="O306" s="48">
        <f>IF(t&lt;Tnet,'2024'!Resal+('2024'!Salim-'2024'!Resal)*(1-EXP(('2024'!Tnet-t)/('2024'!Tau_j))),Resal+(Salim-Resal)*(1-EXP((Tnet-t)/(Tau_j))))*Salcycl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3.7448391901530377E-5</v>
      </c>
      <c r="Q306" s="305">
        <f t="shared" si="105"/>
        <v>0.5</v>
      </c>
      <c r="R306" s="177">
        <f t="shared" si="106"/>
        <v>0.47027763756163488</v>
      </c>
      <c r="S306" s="811">
        <f t="shared" si="107"/>
        <v>-2</v>
      </c>
      <c r="T306" s="176">
        <f t="shared" si="108"/>
        <v>4</v>
      </c>
      <c r="U306" s="251">
        <f t="shared" si="109"/>
        <v>-1.5297223624383651</v>
      </c>
      <c r="V306" s="383">
        <f t="shared" si="110"/>
        <v>35.537729446381178</v>
      </c>
      <c r="W306" s="402">
        <f t="shared" si="111"/>
        <v>15.399695031324427</v>
      </c>
      <c r="X306" s="157">
        <f t="shared" si="112"/>
        <v>45949</v>
      </c>
      <c r="Y306" s="385">
        <f t="shared" si="113"/>
        <v>14.678856623566421</v>
      </c>
      <c r="Z306" s="385">
        <f t="shared" si="114"/>
        <v>15.569699448467471</v>
      </c>
      <c r="AA306" s="386">
        <f t="shared" si="115"/>
        <v>16.697747917345577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6.7556922913316539E-2</v>
      </c>
      <c r="AD306" s="231">
        <f>(INDEX(Models!$BJ306:$BT306,,AH306)*(1-AF306)+INDEX(Models!$BJ306:$BT306,,AH306+1)*AF306-ERP_i)*AE306*Ramure*Pc/MaxiM</f>
        <v>6.3487410449327016E-4</v>
      </c>
      <c r="AE306" s="305">
        <f t="shared" si="117"/>
        <v>0.5</v>
      </c>
      <c r="AF306" s="177">
        <f t="shared" si="118"/>
        <v>0.9952652039356138</v>
      </c>
      <c r="AG306" s="811">
        <f t="shared" si="124"/>
        <v>1</v>
      </c>
      <c r="AH306" s="176">
        <f t="shared" si="119"/>
        <v>7</v>
      </c>
      <c r="AI306" s="225">
        <f t="shared" si="120"/>
        <v>1.9952652039356138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6.3794608293140929</v>
      </c>
      <c r="C307" s="841"/>
      <c r="D307" s="393">
        <f t="shared" si="102"/>
        <v>6.7667711355998277</v>
      </c>
      <c r="E307" s="385">
        <f t="shared" si="125"/>
        <v>6.918660761517252</v>
      </c>
      <c r="F307" s="385">
        <f t="shared" si="103"/>
        <v>6.918660761517252</v>
      </c>
      <c r="G307" s="110">
        <f t="shared" si="126"/>
        <v>0.18109430949378758</v>
      </c>
      <c r="H307" s="414" t="b">
        <f>Wh_hp&gt;='2024'!Maxi_hp</f>
        <v>0</v>
      </c>
      <c r="I307" s="390">
        <f>IF(H307,Wh_hp,'2024'!Maxi_hp)</f>
        <v>31.908942257613869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5.723709262872867E-2</v>
      </c>
      <c r="M307" s="845"/>
      <c r="N307" s="845"/>
      <c r="O307" s="48">
        <f>IF(t&lt;Tnet,'2024'!Resal+('2024'!Salim-'2024'!Resal)*(1-EXP(('2024'!Tnet-t)/('2024'!Tau_j))),Resal+(Salim-Resal)*(1-EXP((Tnet-t)/(Tau_j))))*Salcycl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3.7807801266073049E-5</v>
      </c>
      <c r="Q307" s="305">
        <f t="shared" si="105"/>
        <v>0.5</v>
      </c>
      <c r="R307" s="177">
        <f t="shared" si="106"/>
        <v>0.47036940167462826</v>
      </c>
      <c r="S307" s="811">
        <f t="shared" si="107"/>
        <v>-2</v>
      </c>
      <c r="T307" s="176">
        <f t="shared" si="108"/>
        <v>4</v>
      </c>
      <c r="U307" s="251">
        <f t="shared" si="109"/>
        <v>-1.5296305983253717</v>
      </c>
      <c r="V307" s="383">
        <f t="shared" si="110"/>
        <v>35.22595300624679</v>
      </c>
      <c r="W307" s="402">
        <f t="shared" si="111"/>
        <v>6.3794608293140929</v>
      </c>
      <c r="X307" s="157">
        <f t="shared" si="112"/>
        <v>45950</v>
      </c>
      <c r="Y307" s="385">
        <f t="shared" si="113"/>
        <v>6.0820081144264879</v>
      </c>
      <c r="Z307" s="385">
        <f t="shared" si="114"/>
        <v>6.4512594490857715</v>
      </c>
      <c r="AA307" s="386">
        <f t="shared" si="115"/>
        <v>6.918660761517252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6.7556616597137575E-2</v>
      </c>
      <c r="AD307" s="231">
        <f>(INDEX(Models!$BJ307:$BT307,,AH307)*(1-AF307)+INDEX(Models!$BJ307:$BT307,,AH307+1)*AF307-ERP_i)*AE307*Ramure*Pc/MaxiM</f>
        <v>6.0753264364266546E-4</v>
      </c>
      <c r="AE307" s="305">
        <f t="shared" si="117"/>
        <v>0.5</v>
      </c>
      <c r="AF307" s="177">
        <f t="shared" si="118"/>
        <v>0.99535696804860718</v>
      </c>
      <c r="AG307" s="811">
        <f t="shared" si="124"/>
        <v>1</v>
      </c>
      <c r="AH307" s="176">
        <f t="shared" si="119"/>
        <v>7</v>
      </c>
      <c r="AI307" s="225">
        <f t="shared" si="120"/>
        <v>1.9953569680486072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16.156619037340324</v>
      </c>
      <c r="C308" s="841"/>
      <c r="D308" s="393">
        <f t="shared" si="102"/>
        <v>17.137896272949316</v>
      </c>
      <c r="E308" s="385">
        <f t="shared" si="125"/>
        <v>17.523918020816776</v>
      </c>
      <c r="F308" s="385">
        <f t="shared" si="103"/>
        <v>17.524072034318742</v>
      </c>
      <c r="G308" s="110">
        <f t="shared" si="126"/>
        <v>0.46273603959630372</v>
      </c>
      <c r="H308" s="414" t="b">
        <f>Wh_hp&gt;='2024'!Maxi_hp</f>
        <v>0</v>
      </c>
      <c r="I308" s="390">
        <f>IF(H308,Wh_hp,'2024'!Maxi_hp)</f>
        <v>24.59946864863414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5.7257741555937325E-2</v>
      </c>
      <c r="M308" s="845"/>
      <c r="N308" s="845"/>
      <c r="O308" s="48">
        <f>IF(t&lt;Tnet,'2024'!Resal+('2024'!Salim-'2024'!Resal)*(1-EXP(('2024'!Tnet-t)/('2024'!Tau_j))),Resal+(Salim-Resal)*(1-EXP((Tnet-t)/(Tau_j))))*Salcycl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3.7800908385172459E-5</v>
      </c>
      <c r="Q308" s="305">
        <f t="shared" si="105"/>
        <v>0.5</v>
      </c>
      <c r="R308" s="177">
        <f t="shared" si="106"/>
        <v>0.47045750286991361</v>
      </c>
      <c r="S308" s="811">
        <f t="shared" si="107"/>
        <v>-2</v>
      </c>
      <c r="T308" s="176">
        <f t="shared" si="108"/>
        <v>4</v>
      </c>
      <c r="U308" s="251">
        <f t="shared" si="109"/>
        <v>-1.5295424971300864</v>
      </c>
      <c r="V308" s="383">
        <f t="shared" si="110"/>
        <v>34.914398082828058</v>
      </c>
      <c r="W308" s="402">
        <f t="shared" si="111"/>
        <v>16.156619037340324</v>
      </c>
      <c r="X308" s="157">
        <f t="shared" si="112"/>
        <v>45951</v>
      </c>
      <c r="Y308" s="385">
        <f t="shared" si="113"/>
        <v>15.402536346646921</v>
      </c>
      <c r="Z308" s="385">
        <f t="shared" si="114"/>
        <v>16.338014137679419</v>
      </c>
      <c r="AA308" s="386">
        <f t="shared" si="115"/>
        <v>17.521701413352439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6.7555498621326218E-2</v>
      </c>
      <c r="AD308" s="231">
        <f>(INDEX(Models!$BJ308:$BT308,,AH308)*(1-AF308)+INDEX(Models!$BJ308:$BT308,,AH308+1)*AF308-ERP_i)*AE308*Ramure*Pc/MaxiM</f>
        <v>5.8184266196290263E-4</v>
      </c>
      <c r="AE308" s="305">
        <f t="shared" si="117"/>
        <v>0.5</v>
      </c>
      <c r="AF308" s="177">
        <f t="shared" si="118"/>
        <v>0.99544506924389253</v>
      </c>
      <c r="AG308" s="811">
        <f t="shared" si="124"/>
        <v>1</v>
      </c>
      <c r="AH308" s="176">
        <f t="shared" si="119"/>
        <v>7</v>
      </c>
      <c r="AI308" s="225">
        <f t="shared" si="120"/>
        <v>1.9954450692438925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32.252437890612995</v>
      </c>
      <c r="C309" s="841"/>
      <c r="D309" s="393">
        <f t="shared" si="102"/>
        <v>34.212048975592609</v>
      </c>
      <c r="E309" s="385">
        <f t="shared" si="125"/>
        <v>34.985312414574224</v>
      </c>
      <c r="F309" s="385">
        <f t="shared" si="103"/>
        <v>34.986494661416046</v>
      </c>
      <c r="G309" s="110">
        <f t="shared" si="126"/>
        <v>0.93205480629985415</v>
      </c>
      <c r="H309" s="414" t="b">
        <f>Wh_hp&gt;='2024'!Maxi_hp</f>
        <v>1</v>
      </c>
      <c r="I309" s="390">
        <f>IF(H309,Wh_hp,'2024'!Maxi_hp)</f>
        <v>34.986494661416046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5.7278390030881421E-2</v>
      </c>
      <c r="M309" s="845"/>
      <c r="N309" s="845"/>
      <c r="O309" s="48">
        <f>IF(t&lt;Tnet,'2024'!Resal+('2024'!Salim-'2024'!Resal)*(1-EXP(('2024'!Tnet-t)/('2024'!Tau_j))),Resal+(Salim-Resal)*(1-EXP((Tnet-t)/(Tau_j))))*Salcycl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3.7423870863630237E-5</v>
      </c>
      <c r="Q309" s="305">
        <f t="shared" si="105"/>
        <v>0.5</v>
      </c>
      <c r="R309" s="177">
        <f t="shared" si="106"/>
        <v>0.47054208613575943</v>
      </c>
      <c r="S309" s="811">
        <f t="shared" si="107"/>
        <v>-2</v>
      </c>
      <c r="T309" s="176">
        <f t="shared" si="108"/>
        <v>4</v>
      </c>
      <c r="U309" s="251">
        <f t="shared" si="109"/>
        <v>-1.5294579138642406</v>
      </c>
      <c r="V309" s="383">
        <f t="shared" si="110"/>
        <v>34.603459492396674</v>
      </c>
      <c r="W309" s="402">
        <f t="shared" si="111"/>
        <v>32.252437890612995</v>
      </c>
      <c r="X309" s="157">
        <f t="shared" si="112"/>
        <v>45952</v>
      </c>
      <c r="Y309" s="385">
        <f t="shared" si="113"/>
        <v>30.738945531317825</v>
      </c>
      <c r="Z309" s="385">
        <f t="shared" si="114"/>
        <v>32.606599028025634</v>
      </c>
      <c r="AA309" s="386">
        <f t="shared" si="115"/>
        <v>34.968872627754557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6.7553610460235419E-2</v>
      </c>
      <c r="AD309" s="231">
        <f>(INDEX(Models!$BJ309:$BT309,,AH309)*(1-AF309)+INDEX(Models!$BJ309:$BT309,,AH309+1)*AF309-ERP_i)*AE309*Ramure*Pc/MaxiM</f>
        <v>5.5782319628560131E-4</v>
      </c>
      <c r="AE309" s="305">
        <f t="shared" si="117"/>
        <v>0.5</v>
      </c>
      <c r="AF309" s="177">
        <f t="shared" si="118"/>
        <v>0.99552965250973857</v>
      </c>
      <c r="AG309" s="811">
        <f t="shared" si="124"/>
        <v>1</v>
      </c>
      <c r="AH309" s="176">
        <f t="shared" si="119"/>
        <v>7</v>
      </c>
      <c r="AI309" s="225">
        <f t="shared" si="120"/>
        <v>1.9955296525097386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16.806790401208126</v>
      </c>
      <c r="C310" s="841"/>
      <c r="D310" s="393">
        <f t="shared" si="102"/>
        <v>17.828336959057019</v>
      </c>
      <c r="E310" s="385">
        <f t="shared" si="125"/>
        <v>18.232670915759893</v>
      </c>
      <c r="F310" s="385">
        <f t="shared" si="103"/>
        <v>18.232853022424877</v>
      </c>
      <c r="G310" s="110">
        <f t="shared" si="126"/>
        <v>0.49007322937527314</v>
      </c>
      <c r="H310" s="414" t="b">
        <f>Wh_hp&gt;='2024'!Maxi_hp</f>
        <v>0</v>
      </c>
      <c r="I310" s="390">
        <f>IF(H310,Wh_hp,'2024'!Maxi_hp)</f>
        <v>37.419724893736571</v>
      </c>
      <c r="J310" s="85">
        <f>IF(H310,An,'2024'!An_max)</f>
        <v>2018</v>
      </c>
      <c r="K310" s="197">
        <f t="shared" si="104"/>
        <v>45953</v>
      </c>
      <c r="L310" s="147">
        <f>IF(t&lt;Tvie,1-EXP((T0-t)*PertePVj)+'2024'!Pspv,1-EXP((T0-t)*PertePVj)+Pspv)</f>
        <v>5.729903805357095E-2</v>
      </c>
      <c r="M310" s="845"/>
      <c r="N310" s="845"/>
      <c r="O310" s="48">
        <f>IF(t&lt;Tnet,'2024'!Resal+('2024'!Salim-'2024'!Resal)*(1-EXP(('2024'!Tnet-t)/('2024'!Tau_j))),Resal+(Salim-Resal)*(1-EXP((Tnet-t)/(Tau_j))))*Salcycl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3.6780556415735695E-5</v>
      </c>
      <c r="Q310" s="305">
        <f t="shared" si="105"/>
        <v>0.5</v>
      </c>
      <c r="R310" s="177">
        <f t="shared" si="106"/>
        <v>0.47062329081758136</v>
      </c>
      <c r="S310" s="811">
        <f t="shared" si="107"/>
        <v>-2</v>
      </c>
      <c r="T310" s="176">
        <f t="shared" si="108"/>
        <v>4</v>
      </c>
      <c r="U310" s="251">
        <f t="shared" si="109"/>
        <v>-1.5293767091824186</v>
      </c>
      <c r="V310" s="383">
        <f t="shared" si="110"/>
        <v>34.293528170114186</v>
      </c>
      <c r="W310" s="402">
        <f t="shared" si="111"/>
        <v>16.806790401208126</v>
      </c>
      <c r="X310" s="157">
        <f t="shared" si="112"/>
        <v>45953</v>
      </c>
      <c r="Y310" s="385">
        <f t="shared" si="113"/>
        <v>16.024717444891742</v>
      </c>
      <c r="Z310" s="385">
        <f t="shared" si="114"/>
        <v>16.998728220033769</v>
      </c>
      <c r="AA310" s="386">
        <f t="shared" si="115"/>
        <v>18.230196143735565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6.7550996927971299E-2</v>
      </c>
      <c r="AD310" s="231">
        <f>(INDEX(Models!$BJ310:$BT310,,AH310)*(1-AF310)+INDEX(Models!$BJ310:$BT310,,AH310+1)*AF310-ERP_i)*AE310*Ramure*Pc/MaxiM</f>
        <v>5.3661669402024011E-4</v>
      </c>
      <c r="AE310" s="305">
        <f t="shared" si="117"/>
        <v>0.5</v>
      </c>
      <c r="AF310" s="177">
        <f t="shared" si="118"/>
        <v>0.99561085719156028</v>
      </c>
      <c r="AG310" s="811">
        <f t="shared" si="124"/>
        <v>1</v>
      </c>
      <c r="AH310" s="176">
        <f t="shared" si="119"/>
        <v>7</v>
      </c>
      <c r="AI310" s="225">
        <f t="shared" si="120"/>
        <v>1.9956108571915603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24.910918603021294</v>
      </c>
      <c r="C311" s="841"/>
      <c r="D311" s="393">
        <f t="shared" si="102"/>
        <v>26.42562724937277</v>
      </c>
      <c r="E311" s="385">
        <f t="shared" si="125"/>
        <v>27.026971178293248</v>
      </c>
      <c r="F311" s="385">
        <f t="shared" si="103"/>
        <v>27.027574713591665</v>
      </c>
      <c r="G311" s="110">
        <f t="shared" si="126"/>
        <v>0.73298756400546661</v>
      </c>
      <c r="H311" s="414" t="b">
        <f>Wh_hp&gt;='2024'!Maxi_hp</f>
        <v>0</v>
      </c>
      <c r="I311" s="390">
        <f>IF(H311,Wh_hp,'2024'!Maxi_hp)</f>
        <v>38.572719008292552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5.7319685624015904E-2</v>
      </c>
      <c r="M311" s="845"/>
      <c r="N311" s="845"/>
      <c r="O311" s="48">
        <f>IF(t&lt;Tnet,'2024'!Resal+('2024'!Salim-'2024'!Resal)*(1-EXP(('2024'!Tnet-t)/('2024'!Tau_j))),Resal+(Salim-Resal)*(1-EXP((Tnet-t)/(Tau_j))))*Salcycl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3.6100073993029379E-5</v>
      </c>
      <c r="Q311" s="305">
        <f t="shared" si="105"/>
        <v>0.5</v>
      </c>
      <c r="R311" s="177">
        <f t="shared" si="106"/>
        <v>0.47070125082997394</v>
      </c>
      <c r="S311" s="811">
        <f t="shared" si="107"/>
        <v>-2</v>
      </c>
      <c r="T311" s="176">
        <f t="shared" si="108"/>
        <v>4</v>
      </c>
      <c r="U311" s="251">
        <f t="shared" si="109"/>
        <v>-1.5292987491700261</v>
      </c>
      <c r="V311" s="383">
        <f t="shared" si="110"/>
        <v>33.984990745068124</v>
      </c>
      <c r="W311" s="402">
        <f t="shared" si="111"/>
        <v>24.910918603021294</v>
      </c>
      <c r="X311" s="157">
        <f t="shared" si="112"/>
        <v>45954</v>
      </c>
      <c r="Y311" s="385">
        <f t="shared" si="113"/>
        <v>23.74973830151519</v>
      </c>
      <c r="Z311" s="385">
        <f t="shared" si="114"/>
        <v>25.193841368414009</v>
      </c>
      <c r="AA311" s="386">
        <f t="shared" si="115"/>
        <v>27.018906524558936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6.7547706065973739E-2</v>
      </c>
      <c r="AD311" s="231">
        <f>(INDEX(Models!$BJ311:$BT311,,AH311)*(1-AF311)+INDEX(Models!$BJ311:$BT311,,AH311+1)*AF311-ERP_i)*AE311*Ramure*Pc/MaxiM</f>
        <v>5.1848212737233839E-4</v>
      </c>
      <c r="AE311" s="305">
        <f t="shared" si="117"/>
        <v>0.5</v>
      </c>
      <c r="AF311" s="177">
        <f t="shared" si="118"/>
        <v>0.99568881720395286</v>
      </c>
      <c r="AG311" s="811">
        <f t="shared" si="124"/>
        <v>1</v>
      </c>
      <c r="AH311" s="176">
        <f t="shared" si="119"/>
        <v>7</v>
      </c>
      <c r="AI311" s="225">
        <f t="shared" si="120"/>
        <v>1.9956888172039529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21.483016754705329</v>
      </c>
      <c r="C312" s="841"/>
      <c r="D312" s="393">
        <f t="shared" si="102"/>
        <v>22.789790950959091</v>
      </c>
      <c r="E312" s="385">
        <f t="shared" si="125"/>
        <v>23.310138935118292</v>
      </c>
      <c r="F312" s="385">
        <f t="shared" si="103"/>
        <v>23.310537057762058</v>
      </c>
      <c r="G312" s="110">
        <f t="shared" si="126"/>
        <v>0.63787841853689775</v>
      </c>
      <c r="H312" s="414" t="b">
        <f>Wh_hp&gt;='2024'!Maxi_hp</f>
        <v>0</v>
      </c>
      <c r="I312" s="390">
        <f>IF(H312,Wh_hp,'2024'!Maxi_hp)</f>
        <v>35.926796289859503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5.7340332742225941E-2</v>
      </c>
      <c r="M312" s="845"/>
      <c r="N312" s="845"/>
      <c r="O312" s="48">
        <f>IF(t&lt;Tnet,'2024'!Resal+('2024'!Salim-'2024'!Resal)*(1-EXP(('2024'!Tnet-t)/('2024'!Tau_j))),Resal+(Salim-Resal)*(1-EXP((Tnet-t)/(Tau_j))))*Salcycl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3.5382391206178069E-5</v>
      </c>
      <c r="Q312" s="305">
        <f t="shared" si="105"/>
        <v>0.5</v>
      </c>
      <c r="R312" s="177">
        <f t="shared" si="106"/>
        <v>0.47077609486138217</v>
      </c>
      <c r="S312" s="811">
        <f t="shared" si="107"/>
        <v>-2</v>
      </c>
      <c r="T312" s="176">
        <f t="shared" si="108"/>
        <v>4</v>
      </c>
      <c r="U312" s="251">
        <f t="shared" si="109"/>
        <v>-1.5292239051386178</v>
      </c>
      <c r="V312" s="383">
        <f t="shared" si="110"/>
        <v>33.67824167343727</v>
      </c>
      <c r="W312" s="402">
        <f t="shared" si="111"/>
        <v>21.483016754705329</v>
      </c>
      <c r="X312" s="157">
        <f t="shared" si="112"/>
        <v>45955</v>
      </c>
      <c r="Y312" s="385">
        <f t="shared" si="113"/>
        <v>20.484723095908347</v>
      </c>
      <c r="Z312" s="385">
        <f t="shared" si="114"/>
        <v>21.73077284137873</v>
      </c>
      <c r="AA312" s="386">
        <f t="shared" si="115"/>
        <v>23.304872212991206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6.7543789007991156E-2</v>
      </c>
      <c r="AD312" s="231">
        <f>(INDEX(Models!$BJ312:$BT312,,AH312)*(1-AF312)+INDEX(Models!$BJ312:$BT312,,AH312+1)*AF312-ERP_i)*AE312*Ramure*Pc/MaxiM</f>
        <v>5.0345228271271353E-4</v>
      </c>
      <c r="AE312" s="305">
        <f t="shared" si="117"/>
        <v>0.5</v>
      </c>
      <c r="AF312" s="177">
        <f t="shared" si="118"/>
        <v>0.99576366123536109</v>
      </c>
      <c r="AG312" s="811">
        <f t="shared" si="124"/>
        <v>1</v>
      </c>
      <c r="AH312" s="176">
        <f t="shared" si="119"/>
        <v>7</v>
      </c>
      <c r="AI312" s="225">
        <f t="shared" si="120"/>
        <v>1.9957636612353611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13.465408016741051</v>
      </c>
      <c r="C313" s="841"/>
      <c r="D313" s="393">
        <f t="shared" si="102"/>
        <v>14.284798021927278</v>
      </c>
      <c r="E313" s="385">
        <f t="shared" si="125"/>
        <v>14.612041984115171</v>
      </c>
      <c r="F313" s="385">
        <f t="shared" si="103"/>
        <v>14.612116777555123</v>
      </c>
      <c r="G313" s="110">
        <f t="shared" si="126"/>
        <v>0.40346202713707213</v>
      </c>
      <c r="H313" s="414" t="b">
        <f>Wh_hp&gt;='2024'!Maxi_hp</f>
        <v>0</v>
      </c>
      <c r="I313" s="390">
        <f>IF(H313,Wh_hp,'2024'!Maxi_hp)</f>
        <v>37.208706699200022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5.7360979408211166E-2</v>
      </c>
      <c r="M313" s="845"/>
      <c r="N313" s="845"/>
      <c r="O313" s="48">
        <f>IF(t&lt;Tnet,'2024'!Resal+('2024'!Salim-'2024'!Resal)*(1-EXP(('2024'!Tnet-t)/('2024'!Tau_j))),Resal+(Salim-Resal)*(1-EXP((Tnet-t)/(Tau_j))))*Salcycl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3.4627206454746059E-5</v>
      </c>
      <c r="Q313" s="305">
        <f t="shared" si="105"/>
        <v>0.5</v>
      </c>
      <c r="R313" s="177">
        <f t="shared" si="106"/>
        <v>0.47084794657161178</v>
      </c>
      <c r="S313" s="811">
        <f t="shared" si="107"/>
        <v>-2</v>
      </c>
      <c r="T313" s="176">
        <f t="shared" si="108"/>
        <v>4</v>
      </c>
      <c r="U313" s="251">
        <f t="shared" si="109"/>
        <v>-1.5291520534283882</v>
      </c>
      <c r="V313" s="383">
        <f t="shared" si="110"/>
        <v>33.373675249434939</v>
      </c>
      <c r="W313" s="402">
        <f t="shared" si="111"/>
        <v>13.465408016741051</v>
      </c>
      <c r="X313" s="157">
        <f t="shared" si="112"/>
        <v>45956</v>
      </c>
      <c r="Y313" s="385">
        <f t="shared" si="113"/>
        <v>12.842735170897591</v>
      </c>
      <c r="Z313" s="385">
        <f t="shared" si="114"/>
        <v>13.62423461192485</v>
      </c>
      <c r="AA313" s="386">
        <f t="shared" si="115"/>
        <v>14.61105503892848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6.7539299822937396E-2</v>
      </c>
      <c r="AD313" s="231">
        <f>(INDEX(Models!$BJ313:$BT313,,AH313)*(1-AF313)+INDEX(Models!$BJ313:$BT313,,AH313+1)*AF313-ERP_i)*AE313*Ramure*Pc/MaxiM</f>
        <v>4.9155437494191004E-4</v>
      </c>
      <c r="AE313" s="305">
        <f t="shared" si="117"/>
        <v>0.5</v>
      </c>
      <c r="AF313" s="177">
        <f t="shared" si="118"/>
        <v>0.9958355129455907</v>
      </c>
      <c r="AG313" s="811">
        <f t="shared" si="124"/>
        <v>1</v>
      </c>
      <c r="AH313" s="176">
        <f t="shared" si="119"/>
        <v>7</v>
      </c>
      <c r="AI313" s="225">
        <f t="shared" si="120"/>
        <v>1.9958355129455907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14.381817671339805</v>
      </c>
      <c r="C314" s="841"/>
      <c r="D314" s="393">
        <f t="shared" si="102"/>
        <v>15.25730673437123</v>
      </c>
      <c r="E314" s="385">
        <f t="shared" si="125"/>
        <v>15.60798428136609</v>
      </c>
      <c r="F314" s="385">
        <f t="shared" si="103"/>
        <v>15.608086027332833</v>
      </c>
      <c r="G314" s="110">
        <f t="shared" si="126"/>
        <v>0.43485611820289233</v>
      </c>
      <c r="H314" s="414" t="b">
        <f>Wh_hp&gt;='2024'!Maxi_hp</f>
        <v>0</v>
      </c>
      <c r="I314" s="390">
        <f>IF(H314,Wh_hp,'2024'!Maxi_hp)</f>
        <v>29.570719829876996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5.7381625621981347E-2</v>
      </c>
      <c r="M314" s="845"/>
      <c r="N314" s="845"/>
      <c r="O314" s="48">
        <f>IF(t&lt;Tnet,'2024'!Resal+('2024'!Salim-'2024'!Resal)*(1-EXP(('2024'!Tnet-t)/('2024'!Tau_j))),Resal+(Salim-Resal)*(1-EXP((Tnet-t)/(Tau_j))))*Salcycl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3.3834260226594601E-5</v>
      </c>
      <c r="Q314" s="305">
        <f t="shared" si="105"/>
        <v>0.5</v>
      </c>
      <c r="R314" s="177">
        <f t="shared" si="106"/>
        <v>0.470916924782389</v>
      </c>
      <c r="S314" s="811">
        <f t="shared" si="107"/>
        <v>-2</v>
      </c>
      <c r="T314" s="176">
        <f t="shared" si="108"/>
        <v>4</v>
      </c>
      <c r="U314" s="251">
        <f t="shared" si="109"/>
        <v>-1.529083075217611</v>
      </c>
      <c r="V314" s="383">
        <f t="shared" si="110"/>
        <v>33.071685600794048</v>
      </c>
      <c r="W314" s="402">
        <f t="shared" si="111"/>
        <v>14.381817671339805</v>
      </c>
      <c r="X314" s="157">
        <f t="shared" si="112"/>
        <v>45957</v>
      </c>
      <c r="Y314" s="385">
        <f t="shared" si="113"/>
        <v>13.717596300509047</v>
      </c>
      <c r="Z314" s="385">
        <f t="shared" si="114"/>
        <v>14.552651076381283</v>
      </c>
      <c r="AA314" s="386">
        <f t="shared" si="115"/>
        <v>15.606634113830406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6.7534295336308045E-2</v>
      </c>
      <c r="AD314" s="231">
        <f>(INDEX(Models!$BJ314:$BT314,,AH314)*(1-AF314)+INDEX(Models!$BJ314:$BT314,,AH314+1)*AF314-ERP_i)*AE314*Ramure*Pc/MaxiM</f>
        <v>4.828144135842894E-4</v>
      </c>
      <c r="AE314" s="305">
        <f t="shared" si="117"/>
        <v>0.5</v>
      </c>
      <c r="AF314" s="177">
        <f t="shared" si="118"/>
        <v>0.99590449115636792</v>
      </c>
      <c r="AG314" s="811">
        <f t="shared" si="124"/>
        <v>1</v>
      </c>
      <c r="AH314" s="176">
        <f t="shared" si="119"/>
        <v>7</v>
      </c>
      <c r="AI314" s="225">
        <f t="shared" si="120"/>
        <v>1.9959044911563679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16.982215562462404</v>
      </c>
      <c r="C315" s="841"/>
      <c r="D315" s="393">
        <f t="shared" si="102"/>
        <v>18.016397713358518</v>
      </c>
      <c r="E315" s="385">
        <f t="shared" si="125"/>
        <v>18.431848505188942</v>
      </c>
      <c r="F315" s="385">
        <f t="shared" si="103"/>
        <v>18.4320381114482</v>
      </c>
      <c r="G315" s="110">
        <f t="shared" si="126"/>
        <v>0.51817052117390172</v>
      </c>
      <c r="H315" s="414" t="b">
        <f>Wh_hp&gt;='2024'!Maxi_hp</f>
        <v>0</v>
      </c>
      <c r="I315" s="390">
        <f>IF(H315,Wh_hp,'2024'!Maxi_hp)</f>
        <v>24.903019933810778</v>
      </c>
      <c r="J315" s="85">
        <f>IF(H315,An,'2024'!An_max)</f>
        <v>2020</v>
      </c>
      <c r="K315" s="197">
        <f t="shared" si="104"/>
        <v>45958</v>
      </c>
      <c r="L315" s="147">
        <f>IF(t&lt;Tvie,1-EXP((T0-t)*PertePVj)+'2024'!Pspv,1-EXP((T0-t)*PertePVj)+Pspv)</f>
        <v>5.7402271383546588E-2</v>
      </c>
      <c r="M315" s="845"/>
      <c r="N315" s="845"/>
      <c r="O315" s="48">
        <f>IF(t&lt;Tnet,'2024'!Resal+('2024'!Salim-'2024'!Resal)*(1-EXP(('2024'!Tnet-t)/('2024'!Tau_j))),Resal+(Salim-Resal)*(1-EXP((Tnet-t)/(Tau_j))))*Salcycl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3.3003336653858012E-5</v>
      </c>
      <c r="Q315" s="305">
        <f t="shared" si="105"/>
        <v>0.5</v>
      </c>
      <c r="R315" s="177">
        <f t="shared" si="106"/>
        <v>0.47098314366117111</v>
      </c>
      <c r="S315" s="811">
        <f t="shared" si="107"/>
        <v>-2</v>
      </c>
      <c r="T315" s="176">
        <f t="shared" si="108"/>
        <v>4</v>
      </c>
      <c r="U315" s="251">
        <f t="shared" si="109"/>
        <v>-1.5290168563388289</v>
      </c>
      <c r="V315" s="383">
        <f t="shared" si="110"/>
        <v>32.772666693781119</v>
      </c>
      <c r="W315" s="402">
        <f t="shared" si="111"/>
        <v>16.982215562462404</v>
      </c>
      <c r="X315" s="157">
        <f t="shared" si="112"/>
        <v>45958</v>
      </c>
      <c r="Y315" s="385">
        <f t="shared" si="113"/>
        <v>16.198341509977254</v>
      </c>
      <c r="Z315" s="385">
        <f t="shared" si="114"/>
        <v>17.184787336325549</v>
      </c>
      <c r="AA315" s="386">
        <f t="shared" si="115"/>
        <v>18.429296240012203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6.7528834931020187E-2</v>
      </c>
      <c r="AD315" s="231">
        <f>(INDEX(Models!$BJ315:$BT315,,AH315)*(1-AF315)+INDEX(Models!$BJ315:$BT315,,AH315+1)*AF315-ERP_i)*AE315*Ramure*Pc/MaxiM</f>
        <v>4.7725695564001765E-4</v>
      </c>
      <c r="AE315" s="305">
        <f t="shared" si="117"/>
        <v>0.5</v>
      </c>
      <c r="AF315" s="177">
        <f t="shared" si="118"/>
        <v>0.99597071003515003</v>
      </c>
      <c r="AG315" s="811">
        <f t="shared" si="124"/>
        <v>1</v>
      </c>
      <c r="AH315" s="176">
        <f t="shared" si="119"/>
        <v>7</v>
      </c>
      <c r="AI315" s="225">
        <f t="shared" si="120"/>
        <v>1.99597071003515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26.666206843073848</v>
      </c>
      <c r="C316" s="841"/>
      <c r="D316" s="393">
        <f t="shared" si="102"/>
        <v>28.290743871592969</v>
      </c>
      <c r="E316" s="385">
        <f t="shared" si="125"/>
        <v>28.945239916996016</v>
      </c>
      <c r="F316" s="385">
        <f t="shared" si="103"/>
        <v>28.945932324562079</v>
      </c>
      <c r="G316" s="110">
        <f t="shared" si="126"/>
        <v>0.82107268789924504</v>
      </c>
      <c r="H316" s="414" t="b">
        <f>Wh_hp&gt;='2024'!Maxi_hp</f>
        <v>0</v>
      </c>
      <c r="I316" s="390">
        <f>IF(H316,Wh_hp,'2024'!Maxi_hp)</f>
        <v>29.923980500554308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5.7422916692916548E-2</v>
      </c>
      <c r="M316" s="845"/>
      <c r="N316" s="845"/>
      <c r="O316" s="48">
        <f>IF(t&lt;Tnet,'2024'!Resal+('2024'!Salim-'2024'!Resal)*(1-EXP(('2024'!Tnet-t)/('2024'!Tau_j))),Resal+(Salim-Resal)*(1-EXP((Tnet-t)/(Tau_j))))*Salcycl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3.2134265038857927E-5</v>
      </c>
      <c r="Q316" s="305">
        <f t="shared" si="105"/>
        <v>0.5</v>
      </c>
      <c r="R316" s="177">
        <f t="shared" si="106"/>
        <v>0.47104671289840727</v>
      </c>
      <c r="S316" s="811">
        <f t="shared" si="107"/>
        <v>-2</v>
      </c>
      <c r="T316" s="176">
        <f t="shared" si="108"/>
        <v>4</v>
      </c>
      <c r="U316" s="251">
        <f t="shared" si="109"/>
        <v>-1.5289532871015927</v>
      </c>
      <c r="V316" s="383">
        <f t="shared" si="110"/>
        <v>32.477012336132802</v>
      </c>
      <c r="W316" s="402">
        <f t="shared" si="111"/>
        <v>26.666206843073848</v>
      </c>
      <c r="X316" s="157">
        <f t="shared" si="112"/>
        <v>45959</v>
      </c>
      <c r="Y316" s="385">
        <f t="shared" si="113"/>
        <v>25.432496787570638</v>
      </c>
      <c r="Z316" s="385">
        <f t="shared" si="114"/>
        <v>26.981874732556967</v>
      </c>
      <c r="AA316" s="386">
        <f t="shared" si="115"/>
        <v>28.935699393502194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6.7522980328720825E-2</v>
      </c>
      <c r="AD316" s="231">
        <f>(INDEX(Models!$BJ316:$BT316,,AH316)*(1-AF316)+INDEX(Models!$BJ316:$BT316,,AH316+1)*AF316-ERP_i)*AE316*Ramure*Pc/MaxiM</f>
        <v>4.7490486083661467E-4</v>
      </c>
      <c r="AE316" s="305">
        <f t="shared" si="117"/>
        <v>0.5</v>
      </c>
      <c r="AF316" s="177">
        <f t="shared" si="118"/>
        <v>0.99603427927238619</v>
      </c>
      <c r="AG316" s="811">
        <f t="shared" si="124"/>
        <v>1</v>
      </c>
      <c r="AH316" s="176">
        <f t="shared" si="119"/>
        <v>7</v>
      </c>
      <c r="AI316" s="225">
        <f t="shared" si="120"/>
        <v>1.9960342792723862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22.05781178840639</v>
      </c>
      <c r="C317" s="841"/>
      <c r="D317" s="393">
        <f t="shared" si="102"/>
        <v>23.402112476874102</v>
      </c>
      <c r="E317" s="385">
        <f t="shared" si="125"/>
        <v>23.945261150175249</v>
      </c>
      <c r="F317" s="385">
        <f t="shared" si="103"/>
        <v>23.945672843412677</v>
      </c>
      <c r="G317" s="110">
        <f t="shared" si="126"/>
        <v>0.68537168947811977</v>
      </c>
      <c r="H317" s="414" t="b">
        <f>Wh_hp&gt;='2024'!Maxi_hp</f>
        <v>0</v>
      </c>
      <c r="I317" s="390">
        <f>IF(H317,Wh_hp,'2024'!Maxi_hp)</f>
        <v>33.09982659368044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5.744356155010133E-2</v>
      </c>
      <c r="M317" s="845"/>
      <c r="N317" s="845"/>
      <c r="O317" s="48">
        <f>IF(t&lt;Tnet,'2024'!Resal+('2024'!Salim-'2024'!Resal)*(1-EXP(('2024'!Tnet-t)/('2024'!Tau_j))),Resal+(Salim-Resal)*(1-EXP((Tnet-t)/(Tau_j))))*Salcycl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3.1228712563677103E-5</v>
      </c>
      <c r="Q317" s="305">
        <f t="shared" si="105"/>
        <v>0.5</v>
      </c>
      <c r="R317" s="177">
        <f t="shared" si="106"/>
        <v>0.47110773787844984</v>
      </c>
      <c r="S317" s="811">
        <f t="shared" si="107"/>
        <v>-2</v>
      </c>
      <c r="T317" s="176">
        <f t="shared" si="108"/>
        <v>4</v>
      </c>
      <c r="U317" s="251">
        <f t="shared" si="109"/>
        <v>-1.5288922621215502</v>
      </c>
      <c r="V317" s="383">
        <f t="shared" si="110"/>
        <v>32.183270071206422</v>
      </c>
      <c r="W317" s="402">
        <f t="shared" si="111"/>
        <v>22.05781178840639</v>
      </c>
      <c r="X317" s="157">
        <f t="shared" si="112"/>
        <v>45960</v>
      </c>
      <c r="Y317" s="385">
        <f t="shared" si="113"/>
        <v>21.040770910107113</v>
      </c>
      <c r="Z317" s="385">
        <f t="shared" si="114"/>
        <v>22.323088625557705</v>
      </c>
      <c r="AA317" s="386">
        <f t="shared" si="115"/>
        <v>23.939400210433963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6.7516795352783779E-2</v>
      </c>
      <c r="AD317" s="231">
        <f>(INDEX(Models!$BJ317:$BT317,,AH317)*(1-AF317)+INDEX(Models!$BJ317:$BT317,,AH317+1)*AF317-ERP_i)*AE317*Ramure*Pc/MaxiM</f>
        <v>4.7580633952887187E-4</v>
      </c>
      <c r="AE317" s="305">
        <f t="shared" si="117"/>
        <v>0.5</v>
      </c>
      <c r="AF317" s="177">
        <f t="shared" si="118"/>
        <v>0.99609530425242898</v>
      </c>
      <c r="AG317" s="811">
        <f t="shared" si="124"/>
        <v>1</v>
      </c>
      <c r="AH317" s="176">
        <f t="shared" si="119"/>
        <v>7</v>
      </c>
      <c r="AI317" s="225">
        <f t="shared" si="120"/>
        <v>1.996095304252429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21.53326773141481</v>
      </c>
      <c r="C318" s="841"/>
      <c r="D318" s="393">
        <f t="shared" si="102"/>
        <v>22.846100771414591</v>
      </c>
      <c r="E318" s="385">
        <f t="shared" si="125"/>
        <v>23.378046373894236</v>
      </c>
      <c r="F318" s="385">
        <f t="shared" si="103"/>
        <v>23.378426928266201</v>
      </c>
      <c r="G318" s="110">
        <f t="shared" si="126"/>
        <v>0.67522653335060334</v>
      </c>
      <c r="H318" s="414" t="b">
        <f>Wh_hp&gt;='2024'!Maxi_hp</f>
        <v>0</v>
      </c>
      <c r="I318" s="390">
        <f>IF(H318,Wh_hp,'2024'!Maxi_hp)</f>
        <v>33.51042975379562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5.7464205955110703E-2</v>
      </c>
      <c r="M318" s="845"/>
      <c r="N318" s="845"/>
      <c r="O318" s="48">
        <f>IF(t&lt;Tnet,'2024'!Resal+('2024'!Salim-'2024'!Resal)*(1-EXP(('2024'!Tnet-t)/('2024'!Tau_j))),Resal+(Salim-Resal)*(1-EXP((Tnet-t)/(Tau_j))))*Salcycl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3.0366512592487411E-5</v>
      </c>
      <c r="Q318" s="305">
        <f t="shared" si="105"/>
        <v>0.5</v>
      </c>
      <c r="R318" s="177">
        <f t="shared" si="106"/>
        <v>0.47116631984431079</v>
      </c>
      <c r="S318" s="811">
        <f t="shared" si="107"/>
        <v>-2</v>
      </c>
      <c r="T318" s="176">
        <f t="shared" si="108"/>
        <v>4</v>
      </c>
      <c r="U318" s="251">
        <f t="shared" si="109"/>
        <v>-1.5288336801556892</v>
      </c>
      <c r="V318" s="383">
        <f t="shared" si="110"/>
        <v>31.889985496014017</v>
      </c>
      <c r="W318" s="402">
        <f t="shared" si="111"/>
        <v>21.53326773141481</v>
      </c>
      <c r="X318" s="157">
        <f t="shared" si="112"/>
        <v>45961</v>
      </c>
      <c r="Y318" s="385">
        <f t="shared" si="113"/>
        <v>20.542119729387277</v>
      </c>
      <c r="Z318" s="385">
        <f t="shared" si="114"/>
        <v>21.794524790651014</v>
      </c>
      <c r="AA318" s="386">
        <f t="shared" si="115"/>
        <v>23.372403854081256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6.7510345674380204E-2</v>
      </c>
      <c r="AD318" s="231">
        <f>(INDEX(Models!$BJ318:$BT318,,AH318)*(1-AF318)+INDEX(Models!$BJ318:$BT318,,AH318+1)*AF318-ERP_i)*AE318*Ramure*Pc/MaxiM</f>
        <v>4.8061399777867518E-4</v>
      </c>
      <c r="AE318" s="305">
        <f t="shared" si="117"/>
        <v>0.5</v>
      </c>
      <c r="AF318" s="177">
        <f t="shared" si="118"/>
        <v>0.99615388621828971</v>
      </c>
      <c r="AG318" s="811">
        <f t="shared" si="124"/>
        <v>1</v>
      </c>
      <c r="AH318" s="176">
        <f t="shared" si="119"/>
        <v>7</v>
      </c>
      <c r="AI318" s="225">
        <f t="shared" si="120"/>
        <v>1.9961538862182897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22.904683431837235</v>
      </c>
      <c r="C319" s="841"/>
      <c r="D319" s="393">
        <f t="shared" si="102"/>
        <v>24.301660752721457</v>
      </c>
      <c r="E319" s="385">
        <f t="shared" si="125"/>
        <v>24.869301480287618</v>
      </c>
      <c r="F319" s="385">
        <f t="shared" si="103"/>
        <v>24.869749637291367</v>
      </c>
      <c r="G319" s="110">
        <f t="shared" si="126"/>
        <v>0.72487952899340202</v>
      </c>
      <c r="H319" s="414" t="b">
        <f>Wh_hp&gt;='2024'!Maxi_hp</f>
        <v>0</v>
      </c>
      <c r="I319" s="390">
        <f>IF(H319,Wh_hp,'2024'!Maxi_hp)</f>
        <v>32.377451552901285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5.7484849907954549E-2</v>
      </c>
      <c r="M319" s="845"/>
      <c r="N319" s="845"/>
      <c r="O319" s="48">
        <f>IF(t&lt;Tnet,'2024'!Resal+('2024'!Salim-'2024'!Resal)*(1-EXP(('2024'!Tnet-t)/('2024'!Tau_j))),Resal+(Salim-Resal)*(1-EXP((Tnet-t)/(Tau_j))))*Salcycl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2.9688097133141019E-5</v>
      </c>
      <c r="Q319" s="305">
        <f t="shared" si="105"/>
        <v>0.5</v>
      </c>
      <c r="R319" s="177">
        <f t="shared" si="106"/>
        <v>0.47122255605645247</v>
      </c>
      <c r="S319" s="811">
        <f t="shared" si="107"/>
        <v>-2</v>
      </c>
      <c r="T319" s="176">
        <f t="shared" si="108"/>
        <v>4</v>
      </c>
      <c r="U319" s="251">
        <f t="shared" si="109"/>
        <v>-1.5287774439435475</v>
      </c>
      <c r="V319" s="383">
        <f t="shared" si="110"/>
        <v>31.597548641698182</v>
      </c>
      <c r="W319" s="402">
        <f t="shared" si="111"/>
        <v>22.904683431837235</v>
      </c>
      <c r="X319" s="157">
        <f t="shared" si="112"/>
        <v>45962</v>
      </c>
      <c r="Y319" s="385">
        <f t="shared" si="113"/>
        <v>21.851357583297226</v>
      </c>
      <c r="Z319" s="385">
        <f t="shared" si="114"/>
        <v>23.184091609735116</v>
      </c>
      <c r="AA319" s="386">
        <f t="shared" si="115"/>
        <v>24.862395243299822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6.7503698543163987E-2</v>
      </c>
      <c r="AD319" s="231">
        <f>(INDEX(Models!$BJ319:$BT319,,AH319)*(1-AF319)+INDEX(Models!$BJ319:$BT319,,AH319+1)*AF319-ERP_i)*AE319*Ramure*Pc/MaxiM</f>
        <v>4.8719078660089274E-4</v>
      </c>
      <c r="AE319" s="305">
        <f t="shared" si="117"/>
        <v>0.5</v>
      </c>
      <c r="AF319" s="177">
        <f t="shared" si="118"/>
        <v>0.99621012243043139</v>
      </c>
      <c r="AG319" s="811">
        <f t="shared" si="124"/>
        <v>1</v>
      </c>
      <c r="AH319" s="176">
        <f t="shared" si="119"/>
        <v>7</v>
      </c>
      <c r="AI319" s="225">
        <f t="shared" si="120"/>
        <v>1.9962101224304314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27.526897908324017</v>
      </c>
      <c r="C320" s="841"/>
      <c r="D320" s="393">
        <f t="shared" si="102"/>
        <v>29.206427958798724</v>
      </c>
      <c r="E320" s="385">
        <f t="shared" si="125"/>
        <v>29.890796444384463</v>
      </c>
      <c r="F320" s="385">
        <f t="shared" si="103"/>
        <v>29.891518614278709</v>
      </c>
      <c r="G320" s="110">
        <f t="shared" si="126"/>
        <v>0.87927068670022057</v>
      </c>
      <c r="H320" s="414" t="b">
        <f>Wh_hp&gt;='2024'!Maxi_hp</f>
        <v>1</v>
      </c>
      <c r="I320" s="390">
        <f>IF(H320,Wh_hp,'2024'!Maxi_hp)</f>
        <v>29.891518614278709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5.7505493408642971E-2</v>
      </c>
      <c r="M320" s="845"/>
      <c r="N320" s="845"/>
      <c r="O320" s="48">
        <f>IF(t&lt;Tnet,'2024'!Resal+('2024'!Salim-'2024'!Resal)*(1-EXP(('2024'!Tnet-t)/('2024'!Tau_j))),Resal+(Salim-Resal)*(1-EXP((Tnet-t)/(Tau_j))))*Salcycl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2.919473709754914E-5</v>
      </c>
      <c r="Q320" s="305">
        <f t="shared" si="105"/>
        <v>0.5</v>
      </c>
      <c r="R320" s="177">
        <f t="shared" si="106"/>
        <v>0.47127653994580676</v>
      </c>
      <c r="S320" s="811">
        <f t="shared" si="107"/>
        <v>-2</v>
      </c>
      <c r="T320" s="176">
        <f t="shared" si="108"/>
        <v>4</v>
      </c>
      <c r="U320" s="251">
        <f t="shared" si="109"/>
        <v>-1.5287234600541932</v>
      </c>
      <c r="V320" s="383">
        <f t="shared" si="110"/>
        <v>31.306353916013457</v>
      </c>
      <c r="W320" s="402">
        <f t="shared" si="111"/>
        <v>27.526897908324017</v>
      </c>
      <c r="X320" s="157">
        <f t="shared" si="112"/>
        <v>45963</v>
      </c>
      <c r="Y320" s="385">
        <f t="shared" si="113"/>
        <v>26.260255524026469</v>
      </c>
      <c r="Z320" s="385">
        <f t="shared" si="114"/>
        <v>27.862502476539404</v>
      </c>
      <c r="AA320" s="386">
        <f t="shared" si="115"/>
        <v>29.879260614736779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6.7496922504256637E-2</v>
      </c>
      <c r="AD320" s="231">
        <f>(INDEX(Models!$BJ320:$BT320,,AH320)*(1-AF320)+INDEX(Models!$BJ320:$BT320,,AH320+1)*AF320-ERP_i)*AE320*Ramure*Pc/MaxiM</f>
        <v>4.9554692991070305E-4</v>
      </c>
      <c r="AE320" s="305">
        <f t="shared" si="117"/>
        <v>0.5</v>
      </c>
      <c r="AF320" s="177">
        <f t="shared" si="118"/>
        <v>0.99626410631978546</v>
      </c>
      <c r="AG320" s="811">
        <f t="shared" si="124"/>
        <v>1</v>
      </c>
      <c r="AH320" s="176">
        <f t="shared" si="119"/>
        <v>7</v>
      </c>
      <c r="AI320" s="225">
        <f t="shared" si="120"/>
        <v>1.9962641063197855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9.4517516322053385</v>
      </c>
      <c r="C321" s="841"/>
      <c r="D321" s="393">
        <f t="shared" si="102"/>
        <v>10.028661799358183</v>
      </c>
      <c r="E321" s="385">
        <f t="shared" si="125"/>
        <v>10.264394883156495</v>
      </c>
      <c r="F321" s="385">
        <f t="shared" si="103"/>
        <v>10.264396886797128</v>
      </c>
      <c r="G321" s="110">
        <f t="shared" si="126"/>
        <v>0.3047213698070973</v>
      </c>
      <c r="H321" s="414" t="b">
        <f>Wh_hp&gt;='2024'!Maxi_hp</f>
        <v>0</v>
      </c>
      <c r="I321" s="390">
        <f>IF(H321,Wh_hp,'2024'!Maxi_hp)</f>
        <v>30.00122544451607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5.7526136457185739E-2</v>
      </c>
      <c r="M321" s="845"/>
      <c r="N321" s="845"/>
      <c r="O321" s="48">
        <f>IF(t&lt;Tnet,'2024'!Resal+('2024'!Salim-'2024'!Resal)*(1-EXP(('2024'!Tnet-t)/('2024'!Tau_j))),Resal+(Salim-Resal)*(1-EXP((Tnet-t)/(Tau_j))))*Salcycl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2.8887695181778991E-5</v>
      </c>
      <c r="Q321" s="305">
        <f t="shared" si="105"/>
        <v>0.5</v>
      </c>
      <c r="R321" s="177">
        <f t="shared" si="106"/>
        <v>0.47132836126119981</v>
      </c>
      <c r="S321" s="811">
        <f t="shared" si="107"/>
        <v>-2</v>
      </c>
      <c r="T321" s="176">
        <f t="shared" si="108"/>
        <v>4</v>
      </c>
      <c r="U321" s="251">
        <f t="shared" si="109"/>
        <v>-1.5286716387388002</v>
      </c>
      <c r="V321" s="383">
        <f t="shared" si="110"/>
        <v>31.016795585506241</v>
      </c>
      <c r="W321" s="402">
        <f t="shared" si="111"/>
        <v>9.4517516322053385</v>
      </c>
      <c r="X321" s="157">
        <f t="shared" si="112"/>
        <v>45964</v>
      </c>
      <c r="Y321" s="385">
        <f t="shared" si="113"/>
        <v>9.0210008706524913</v>
      </c>
      <c r="Z321" s="385">
        <f t="shared" si="114"/>
        <v>9.5716191393807168</v>
      </c>
      <c r="AA321" s="386">
        <f t="shared" si="115"/>
        <v>10.264361812142482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6.7490087103347043E-2</v>
      </c>
      <c r="AD321" s="231">
        <f>(INDEX(Models!$BJ321:$BT321,,AH321)*(1-AF321)+INDEX(Models!$BJ321:$BT321,,AH321+1)*AF321-ERP_i)*AE321*Ramure*Pc/MaxiM</f>
        <v>5.056924458378834E-4</v>
      </c>
      <c r="AE321" s="305">
        <f t="shared" si="117"/>
        <v>0.5</v>
      </c>
      <c r="AF321" s="177">
        <f t="shared" si="118"/>
        <v>0.99631592763517873</v>
      </c>
      <c r="AG321" s="811">
        <f t="shared" si="124"/>
        <v>1</v>
      </c>
      <c r="AH321" s="176">
        <f t="shared" si="119"/>
        <v>7</v>
      </c>
      <c r="AI321" s="225">
        <f t="shared" si="120"/>
        <v>1.9963159276351787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16.575960551862522</v>
      </c>
      <c r="C322" s="841"/>
      <c r="D322" s="393">
        <f t="shared" si="102"/>
        <v>17.588098998926458</v>
      </c>
      <c r="E322" s="385">
        <f t="shared" si="125"/>
        <v>18.002819024861974</v>
      </c>
      <c r="F322" s="385">
        <f t="shared" si="103"/>
        <v>18.002996165785142</v>
      </c>
      <c r="G322" s="110">
        <f t="shared" si="126"/>
        <v>0.53940910350587268</v>
      </c>
      <c r="H322" s="414" t="b">
        <f>Wh_hp&gt;='2024'!Maxi_hp</f>
        <v>0</v>
      </c>
      <c r="I322" s="390">
        <f>IF(H322,Wh_hp,'2024'!Maxi_hp)</f>
        <v>23.180990079496752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5.7546779053592734E-2</v>
      </c>
      <c r="M322" s="845"/>
      <c r="N322" s="845"/>
      <c r="O322" s="48">
        <f>IF(t&lt;Tnet,'2024'!Resal+('2024'!Salim-'2024'!Resal)*(1-EXP(('2024'!Tnet-t)/('2024'!Tau_j))),Resal+(Salim-Resal)*(1-EXP((Tnet-t)/(Tau_j))))*Salcycl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2.8768218750315059E-5</v>
      </c>
      <c r="Q322" s="305">
        <f t="shared" si="105"/>
        <v>0.5</v>
      </c>
      <c r="R322" s="177">
        <f t="shared" si="106"/>
        <v>0.47137810621137222</v>
      </c>
      <c r="S322" s="811">
        <f t="shared" si="107"/>
        <v>-2</v>
      </c>
      <c r="T322" s="176">
        <f t="shared" si="108"/>
        <v>4</v>
      </c>
      <c r="U322" s="251">
        <f t="shared" si="109"/>
        <v>-1.5286218937886278</v>
      </c>
      <c r="V322" s="383">
        <f t="shared" si="110"/>
        <v>30.729267785349482</v>
      </c>
      <c r="W322" s="402">
        <f t="shared" si="111"/>
        <v>16.575960551862522</v>
      </c>
      <c r="X322" s="157">
        <f t="shared" si="112"/>
        <v>45965</v>
      </c>
      <c r="Y322" s="385">
        <f t="shared" si="113"/>
        <v>15.819193216962409</v>
      </c>
      <c r="Z322" s="385">
        <f t="shared" si="114"/>
        <v>16.785122980509151</v>
      </c>
      <c r="AA322" s="386">
        <f t="shared" si="115"/>
        <v>17.999808804485102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6.7483262581838219E-2</v>
      </c>
      <c r="AD322" s="231">
        <f>(INDEX(Models!$BJ322:$BT322,,AH322)*(1-AF322)+INDEX(Models!$BJ322:$BT322,,AH322+1)*AF322-ERP_i)*AE322*Ramure*Pc/MaxiM</f>
        <v>5.1763706249393303E-4</v>
      </c>
      <c r="AE322" s="305">
        <f t="shared" si="117"/>
        <v>0.5</v>
      </c>
      <c r="AF322" s="177">
        <f t="shared" si="118"/>
        <v>0.99636567258535114</v>
      </c>
      <c r="AG322" s="811">
        <f t="shared" si="124"/>
        <v>1</v>
      </c>
      <c r="AH322" s="176">
        <f t="shared" si="119"/>
        <v>7</v>
      </c>
      <c r="AI322" s="225">
        <f t="shared" si="120"/>
        <v>1.9963656725853511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28.863027961628593</v>
      </c>
      <c r="C323" s="841"/>
      <c r="D323" s="393">
        <f t="shared" si="102"/>
        <v>30.626093166595311</v>
      </c>
      <c r="E323" s="385">
        <f t="shared" si="125"/>
        <v>31.350494681305573</v>
      </c>
      <c r="F323" s="385">
        <f t="shared" si="103"/>
        <v>31.351331698156191</v>
      </c>
      <c r="G323" s="110">
        <f t="shared" si="126"/>
        <v>0.94806235168959374</v>
      </c>
      <c r="H323" s="414" t="b">
        <f>Wh_hp&gt;='2024'!Maxi_hp</f>
        <v>1</v>
      </c>
      <c r="I323" s="390">
        <f>IF(H323,Wh_hp,'2024'!Maxi_hp)</f>
        <v>31.351331698156191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5.7567421197873836E-2</v>
      </c>
      <c r="M323" s="845"/>
      <c r="N323" s="845"/>
      <c r="O323" s="48">
        <f>IF(t&lt;Tnet,'2024'!Resal+('2024'!Salim-'2024'!Resal)*(1-EXP(('2024'!Tnet-t)/('2024'!Tau_j))),Resal+(Salim-Resal)*(1-EXP((Tnet-t)/(Tau_j))))*Salcycl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2.8837532466475614E-5</v>
      </c>
      <c r="Q323" s="305">
        <f t="shared" si="105"/>
        <v>0.5</v>
      </c>
      <c r="R323" s="177">
        <f t="shared" si="106"/>
        <v>0.47142585760176159</v>
      </c>
      <c r="S323" s="811">
        <f t="shared" si="107"/>
        <v>-2</v>
      </c>
      <c r="T323" s="176">
        <f t="shared" si="108"/>
        <v>4</v>
      </c>
      <c r="U323" s="251">
        <f t="shared" si="109"/>
        <v>-1.5285741423982384</v>
      </c>
      <c r="V323" s="383">
        <f t="shared" si="110"/>
        <v>30.444164515374656</v>
      </c>
      <c r="W323" s="402">
        <f t="shared" si="111"/>
        <v>28.863027961628593</v>
      </c>
      <c r="X323" s="157">
        <f t="shared" si="112"/>
        <v>45966</v>
      </c>
      <c r="Y323" s="385">
        <f t="shared" si="113"/>
        <v>27.539265286447652</v>
      </c>
      <c r="Z323" s="385">
        <f t="shared" si="114"/>
        <v>29.221469955390639</v>
      </c>
      <c r="AA323" s="386">
        <f t="shared" si="115"/>
        <v>31.335907962049877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6.7476519564072607E-2</v>
      </c>
      <c r="AD323" s="231">
        <f>(INDEX(Models!$BJ323:$BT323,,AH323)*(1-AF323)+INDEX(Models!$BJ323:$BT323,,AH323+1)*AF323-ERP_i)*AE323*Ramure*Pc/MaxiM</f>
        <v>5.3139012720307313E-4</v>
      </c>
      <c r="AE323" s="305">
        <f t="shared" si="117"/>
        <v>0.5</v>
      </c>
      <c r="AF323" s="177">
        <f t="shared" si="118"/>
        <v>0.99641342397574051</v>
      </c>
      <c r="AG323" s="811">
        <f t="shared" si="124"/>
        <v>1</v>
      </c>
      <c r="AH323" s="176">
        <f t="shared" si="119"/>
        <v>7</v>
      </c>
      <c r="AI323" s="225">
        <f t="shared" si="120"/>
        <v>1.9964134239757405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29.734565297962451</v>
      </c>
      <c r="C324" s="841"/>
      <c r="D324" s="393">
        <f t="shared" si="102"/>
        <v>31.551558429053532</v>
      </c>
      <c r="E324" s="385">
        <f t="shared" si="125"/>
        <v>32.300165341970825</v>
      </c>
      <c r="F324" s="385">
        <f t="shared" si="103"/>
        <v>32.301087749670756</v>
      </c>
      <c r="G324" s="110">
        <f t="shared" si="126"/>
        <v>0.98583210249627007</v>
      </c>
      <c r="H324" s="414" t="b">
        <f>Wh_hp&gt;='2024'!Maxi_hp</f>
        <v>1</v>
      </c>
      <c r="I324" s="390">
        <f>IF(H324,Wh_hp,'2024'!Maxi_hp)</f>
        <v>32.301087749670756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5.7588062890039149E-2</v>
      </c>
      <c r="M324" s="845"/>
      <c r="N324" s="845"/>
      <c r="O324" s="48">
        <f>IF(t&lt;Tnet,'2024'!Resal+('2024'!Salim-'2024'!Resal)*(1-EXP(('2024'!Tnet-t)/('2024'!Tau_j))),Resal+(Salim-Resal)*(1-EXP((Tnet-t)/(Tau_j))))*Salcycl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2.9146447868647905E-5</v>
      </c>
      <c r="Q324" s="305">
        <f t="shared" si="105"/>
        <v>0.5</v>
      </c>
      <c r="R324" s="177">
        <f t="shared" si="106"/>
        <v>0.47147169496623076</v>
      </c>
      <c r="S324" s="811">
        <f t="shared" si="107"/>
        <v>-2</v>
      </c>
      <c r="T324" s="176">
        <f t="shared" si="108"/>
        <v>4</v>
      </c>
      <c r="U324" s="251">
        <f t="shared" si="109"/>
        <v>-1.5285283050337692</v>
      </c>
      <c r="V324" s="383">
        <f t="shared" si="110"/>
        <v>30.161878155397304</v>
      </c>
      <c r="W324" s="402">
        <f t="shared" si="111"/>
        <v>29.734565297962451</v>
      </c>
      <c r="X324" s="157">
        <f t="shared" si="112"/>
        <v>45967</v>
      </c>
      <c r="Y324" s="385">
        <f t="shared" si="113"/>
        <v>28.37186939753509</v>
      </c>
      <c r="Z324" s="385">
        <f t="shared" si="114"/>
        <v>30.105592130487469</v>
      </c>
      <c r="AA324" s="386">
        <f t="shared" si="115"/>
        <v>32.283776210851457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6.7469928738752724E-2</v>
      </c>
      <c r="AD324" s="231">
        <f>(INDEX(Models!$BJ324:$BT324,,AH324)*(1-AF324)+INDEX(Models!$BJ324:$BT324,,AH324+1)*AF324-ERP_i)*AE324*Ramure*Pc/MaxiM</f>
        <v>5.4701393294999639E-4</v>
      </c>
      <c r="AE324" s="305">
        <f t="shared" si="117"/>
        <v>0.5</v>
      </c>
      <c r="AF324" s="177">
        <f t="shared" si="118"/>
        <v>0.99645926134020968</v>
      </c>
      <c r="AG324" s="811">
        <f t="shared" si="124"/>
        <v>1</v>
      </c>
      <c r="AH324" s="176">
        <f t="shared" si="119"/>
        <v>7</v>
      </c>
      <c r="AI324" s="225">
        <f t="shared" si="120"/>
        <v>1.9964592613402097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27.478325876549512</v>
      </c>
      <c r="C325" s="841"/>
      <c r="D325" s="393">
        <f t="shared" si="102"/>
        <v>29.158085390829978</v>
      </c>
      <c r="E325" s="385">
        <f t="shared" si="125"/>
        <v>29.852040601292721</v>
      </c>
      <c r="F325" s="385">
        <f t="shared" si="103"/>
        <v>29.852822271446158</v>
      </c>
      <c r="G325" s="110">
        <f t="shared" si="126"/>
        <v>0.91953321230642271</v>
      </c>
      <c r="H325" s="414" t="b">
        <f>Wh_hp&gt;='2024'!Maxi_hp</f>
        <v>1</v>
      </c>
      <c r="I325" s="390">
        <f>IF(H325,Wh_hp,'2024'!Maxi_hp)</f>
        <v>29.852822271446158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5.7608704130098332E-2</v>
      </c>
      <c r="M325" s="845"/>
      <c r="N325" s="845"/>
      <c r="O325" s="48">
        <f>IF(t&lt;Tnet,'2024'!Resal+('2024'!Salim-'2024'!Resal)*(1-EXP(('2024'!Tnet-t)/('2024'!Tau_j))),Resal+(Salim-Resal)*(1-EXP((Tnet-t)/(Tau_j))))*Salcycl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2.9584851166137118E-5</v>
      </c>
      <c r="Q325" s="305">
        <f t="shared" si="105"/>
        <v>0.5</v>
      </c>
      <c r="R325" s="177">
        <f t="shared" si="106"/>
        <v>0.47151569469390187</v>
      </c>
      <c r="S325" s="811">
        <f t="shared" si="107"/>
        <v>-2</v>
      </c>
      <c r="T325" s="176">
        <f t="shared" si="108"/>
        <v>4</v>
      </c>
      <c r="U325" s="251">
        <f t="shared" si="109"/>
        <v>-1.5284843053060981</v>
      </c>
      <c r="V325" s="383">
        <f t="shared" si="110"/>
        <v>29.882805819522392</v>
      </c>
      <c r="W325" s="402">
        <f t="shared" si="111"/>
        <v>27.478325876549512</v>
      </c>
      <c r="X325" s="157">
        <f t="shared" si="112"/>
        <v>45968</v>
      </c>
      <c r="Y325" s="385">
        <f t="shared" si="113"/>
        <v>26.222004103916099</v>
      </c>
      <c r="Z325" s="385">
        <f t="shared" si="114"/>
        <v>27.824964236019515</v>
      </c>
      <c r="AA325" s="386">
        <f t="shared" si="115"/>
        <v>29.83793775612105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6.7463560536739409E-2</v>
      </c>
      <c r="AD325" s="231">
        <f>(INDEX(Models!$BJ325:$BT325,,AH325)*(1-AF325)+INDEX(Models!$BJ325:$BT325,,AH325+1)*AF325-ERP_i)*AE325*Ramure*Pc/MaxiM</f>
        <v>5.633529291560089E-4</v>
      </c>
      <c r="AE325" s="305">
        <f t="shared" si="117"/>
        <v>0.5</v>
      </c>
      <c r="AF325" s="177">
        <f t="shared" si="118"/>
        <v>0.99650326106788079</v>
      </c>
      <c r="AG325" s="811">
        <f t="shared" si="124"/>
        <v>1</v>
      </c>
      <c r="AH325" s="176">
        <f t="shared" si="119"/>
        <v>7</v>
      </c>
      <c r="AI325" s="225">
        <f t="shared" si="120"/>
        <v>1.9965032610678808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20.687542885511121</v>
      </c>
      <c r="C326" s="841"/>
      <c r="D326" s="393">
        <f t="shared" si="102"/>
        <v>21.95266031889793</v>
      </c>
      <c r="E326" s="385">
        <f t="shared" si="125"/>
        <v>22.476735618434198</v>
      </c>
      <c r="F326" s="385">
        <f t="shared" si="103"/>
        <v>22.477121681842263</v>
      </c>
      <c r="G326" s="110">
        <f t="shared" si="126"/>
        <v>0.69872111572406659</v>
      </c>
      <c r="H326" s="414" t="b">
        <f>Wh_hp&gt;='2024'!Maxi_hp</f>
        <v>0</v>
      </c>
      <c r="I326" s="390">
        <f>IF(H326,Wh_hp,'2024'!Maxi_hp)</f>
        <v>27.215230575971084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5.7629344918061376E-2</v>
      </c>
      <c r="M326" s="845"/>
      <c r="N326" s="845"/>
      <c r="O326" s="48">
        <f>IF(t&lt;Tnet,'2024'!Resal+('2024'!Salim-'2024'!Resal)*(1-EXP(('2024'!Tnet-t)/('2024'!Tau_j))),Resal+(Salim-Resal)*(1-EXP((Tnet-t)/(Tau_j))))*Salcycl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3.0153440395945966E-5</v>
      </c>
      <c r="Q326" s="305">
        <f t="shared" si="105"/>
        <v>0.5</v>
      </c>
      <c r="R326" s="177">
        <f t="shared" si="106"/>
        <v>0.47155793015126801</v>
      </c>
      <c r="S326" s="811">
        <f t="shared" si="107"/>
        <v>-2</v>
      </c>
      <c r="T326" s="176">
        <f t="shared" si="108"/>
        <v>4</v>
      </c>
      <c r="U326" s="251">
        <f t="shared" si="109"/>
        <v>-1.528442069848732</v>
      </c>
      <c r="V326" s="383">
        <f t="shared" si="110"/>
        <v>29.607341098834159</v>
      </c>
      <c r="W326" s="402">
        <f t="shared" si="111"/>
        <v>20.687542885511121</v>
      </c>
      <c r="X326" s="157">
        <f t="shared" si="112"/>
        <v>45969</v>
      </c>
      <c r="Y326" s="385">
        <f t="shared" si="113"/>
        <v>19.746379806323123</v>
      </c>
      <c r="Z326" s="385">
        <f t="shared" si="114"/>
        <v>20.953941742388174</v>
      </c>
      <c r="AA326" s="386">
        <f t="shared" si="115"/>
        <v>22.469690551386631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6.7457484807458348E-2</v>
      </c>
      <c r="AD326" s="231">
        <f>(INDEX(Models!$BJ326:$BT326,,AH326)*(1-AF326)+INDEX(Models!$BJ326:$BT326,,AH326+1)*AF326-ERP_i)*AE326*Ramure*Pc/MaxiM</f>
        <v>5.8040763405118852E-4</v>
      </c>
      <c r="AE326" s="305">
        <f t="shared" si="117"/>
        <v>0.5</v>
      </c>
      <c r="AF326" s="177">
        <f t="shared" si="118"/>
        <v>0.99654549652524693</v>
      </c>
      <c r="AG326" s="811">
        <f t="shared" si="124"/>
        <v>1</v>
      </c>
      <c r="AH326" s="176">
        <f t="shared" si="119"/>
        <v>7</v>
      </c>
      <c r="AI326" s="225">
        <f t="shared" si="120"/>
        <v>1.9965454965252469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9.6731425566815936</v>
      </c>
      <c r="C327" s="841"/>
      <c r="D327" s="393">
        <f t="shared" si="102"/>
        <v>10.264914740080146</v>
      </c>
      <c r="E327" s="385">
        <f t="shared" si="125"/>
        <v>10.510719999847074</v>
      </c>
      <c r="F327" s="385">
        <f t="shared" si="103"/>
        <v>10.510733776281118</v>
      </c>
      <c r="G327" s="110">
        <f t="shared" si="126"/>
        <v>0.32972788364724043</v>
      </c>
      <c r="H327" s="414" t="b">
        <f>Wh_hp&gt;='2024'!Maxi_hp</f>
        <v>0</v>
      </c>
      <c r="I327" s="390">
        <f>IF(H327,Wh_hp,'2024'!Maxi_hp)</f>
        <v>21.819080346731017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5.7649985253938163E-2</v>
      </c>
      <c r="M327" s="845"/>
      <c r="N327" s="845"/>
      <c r="O327" s="48">
        <f>IF(t&lt;Tnet,'2024'!Resal+('2024'!Salim-'2024'!Resal)*(1-EXP(('2024'!Tnet-t)/('2024'!Tau_j))),Resal+(Salim-Resal)*(1-EXP((Tnet-t)/(Tau_j))))*Salcycl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3.0852868151000472E-5</v>
      </c>
      <c r="Q327" s="305">
        <f t="shared" si="105"/>
        <v>0.5</v>
      </c>
      <c r="R327" s="177">
        <f t="shared" si="106"/>
        <v>0.47159847179973746</v>
      </c>
      <c r="S327" s="811">
        <f t="shared" si="107"/>
        <v>-2</v>
      </c>
      <c r="T327" s="176">
        <f t="shared" si="108"/>
        <v>4</v>
      </c>
      <c r="U327" s="251">
        <f t="shared" si="109"/>
        <v>-1.5284015282002625</v>
      </c>
      <c r="V327" s="383">
        <f t="shared" si="110"/>
        <v>29.335877462719107</v>
      </c>
      <c r="W327" s="402">
        <f t="shared" si="111"/>
        <v>9.6731425566815936</v>
      </c>
      <c r="X327" s="157">
        <f t="shared" si="112"/>
        <v>45970</v>
      </c>
      <c r="Y327" s="385">
        <f t="shared" si="113"/>
        <v>9.2364597757022029</v>
      </c>
      <c r="Z327" s="385">
        <f t="shared" si="114"/>
        <v>9.8015170914929968</v>
      </c>
      <c r="AA327" s="386">
        <f t="shared" si="115"/>
        <v>10.510466677640931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6.745177049617522E-2</v>
      </c>
      <c r="AD327" s="231">
        <f>(INDEX(Models!$BJ327:$BT327,,AH327)*(1-AF327)+INDEX(Models!$BJ327:$BT327,,AH327+1)*AF327-ERP_i)*AE327*Ramure*Pc/MaxiM</f>
        <v>5.9817795396317546E-4</v>
      </c>
      <c r="AE327" s="305">
        <f t="shared" si="117"/>
        <v>0.5</v>
      </c>
      <c r="AF327" s="177">
        <f t="shared" si="118"/>
        <v>0.99658603817371638</v>
      </c>
      <c r="AG327" s="811">
        <f t="shared" si="124"/>
        <v>1</v>
      </c>
      <c r="AH327" s="176">
        <f t="shared" si="119"/>
        <v>7</v>
      </c>
      <c r="AI327" s="225">
        <f t="shared" si="120"/>
        <v>1.9965860381737164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20.087424108120512</v>
      </c>
      <c r="C328" s="841"/>
      <c r="D328" s="393">
        <f t="shared" si="102"/>
        <v>21.316775900206505</v>
      </c>
      <c r="E328" s="385">
        <f t="shared" si="125"/>
        <v>21.82879049577835</v>
      </c>
      <c r="F328" s="385">
        <f t="shared" si="103"/>
        <v>21.829176850256719</v>
      </c>
      <c r="G328" s="110">
        <f t="shared" si="126"/>
        <v>0.69102052625028609</v>
      </c>
      <c r="H328" s="414" t="b">
        <f>Wh_hp&gt;='2024'!Maxi_hp</f>
        <v>1</v>
      </c>
      <c r="I328" s="390">
        <f>IF(H328,Wh_hp,'2024'!Maxi_hp)</f>
        <v>21.829176850256719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5.7670625137738685E-2</v>
      </c>
      <c r="M328" s="845"/>
      <c r="N328" s="845"/>
      <c r="O328" s="48">
        <f>IF(t&lt;Tnet,'2024'!Resal+('2024'!Salim-'2024'!Resal)*(1-EXP(('2024'!Tnet-t)/('2024'!Tau_j))),Resal+(Salim-Resal)*(1-EXP((Tnet-t)/(Tau_j))))*Salcycl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3.1683732797789783E-5</v>
      </c>
      <c r="Q328" s="305">
        <f t="shared" si="105"/>
        <v>0.5</v>
      </c>
      <c r="R328" s="177">
        <f t="shared" si="106"/>
        <v>0.47163738730877269</v>
      </c>
      <c r="S328" s="811">
        <f t="shared" si="107"/>
        <v>-2</v>
      </c>
      <c r="T328" s="176">
        <f t="shared" si="108"/>
        <v>4</v>
      </c>
      <c r="U328" s="251">
        <f t="shared" si="109"/>
        <v>-1.5283626126912273</v>
      </c>
      <c r="V328" s="383">
        <f t="shared" si="110"/>
        <v>29.06880826648743</v>
      </c>
      <c r="W328" s="402">
        <f t="shared" si="111"/>
        <v>20.087424108120512</v>
      </c>
      <c r="X328" s="157">
        <f t="shared" si="112"/>
        <v>45971</v>
      </c>
      <c r="Y328" s="385">
        <f t="shared" si="113"/>
        <v>19.176273791683446</v>
      </c>
      <c r="Z328" s="385">
        <f t="shared" si="114"/>
        <v>20.349863119237273</v>
      </c>
      <c r="AA328" s="386">
        <f t="shared" si="115"/>
        <v>21.821657201427648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6.7446485324409028E-2</v>
      </c>
      <c r="AD328" s="231">
        <f>(INDEX(Models!$BJ328:$BT328,,AH328)*(1-AF328)+INDEX(Models!$BJ328:$BT328,,AH328+1)*AF328-ERP_i)*AE328*Ramure*Pc/MaxiM</f>
        <v>6.1666308421924403E-4</v>
      </c>
      <c r="AE328" s="305">
        <f t="shared" si="117"/>
        <v>0.5</v>
      </c>
      <c r="AF328" s="177">
        <f t="shared" si="118"/>
        <v>0.99662495368275161</v>
      </c>
      <c r="AG328" s="811">
        <f t="shared" si="124"/>
        <v>1</v>
      </c>
      <c r="AH328" s="176">
        <f t="shared" si="119"/>
        <v>7</v>
      </c>
      <c r="AI328" s="225">
        <f t="shared" si="120"/>
        <v>1.9966249536827516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27.204930738647874</v>
      </c>
      <c r="C329" s="841"/>
      <c r="D329" s="393">
        <f t="shared" si="102"/>
        <v>28.870506783764807</v>
      </c>
      <c r="E329" s="385">
        <f t="shared" si="125"/>
        <v>29.566069715845469</v>
      </c>
      <c r="F329" s="385">
        <f t="shared" si="103"/>
        <v>29.566958308620773</v>
      </c>
      <c r="G329" s="110">
        <f t="shared" si="126"/>
        <v>0.94439917835773057</v>
      </c>
      <c r="H329" s="414" t="b">
        <f>Wh_hp&gt;='2024'!Maxi_hp</f>
        <v>1</v>
      </c>
      <c r="I329" s="390">
        <f>IF(H329,Wh_hp,'2024'!Maxi_hp)</f>
        <v>29.566958308620773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5.7691264569472711E-2</v>
      </c>
      <c r="M329" s="845"/>
      <c r="N329" s="845"/>
      <c r="O329" s="48">
        <f>IF(t&lt;Tnet,'2024'!Resal+('2024'!Salim-'2024'!Resal)*(1-EXP(('2024'!Tnet-t)/('2024'!Tau_j))),Resal+(Salim-Resal)*(1-EXP((Tnet-t)/(Tau_j))))*Salcycl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3.2646568611645059E-5</v>
      </c>
      <c r="Q329" s="305">
        <f t="shared" si="105"/>
        <v>0.5</v>
      </c>
      <c r="R329" s="177">
        <f t="shared" si="106"/>
        <v>0.47167474166476975</v>
      </c>
      <c r="S329" s="811">
        <f t="shared" si="107"/>
        <v>-2</v>
      </c>
      <c r="T329" s="176">
        <f t="shared" si="108"/>
        <v>4</v>
      </c>
      <c r="U329" s="251">
        <f t="shared" si="109"/>
        <v>-1.5283252583352303</v>
      </c>
      <c r="V329" s="383">
        <f t="shared" si="110"/>
        <v>28.806526750269292</v>
      </c>
      <c r="W329" s="402">
        <f t="shared" si="111"/>
        <v>27.204930738647874</v>
      </c>
      <c r="X329" s="157">
        <f t="shared" si="112"/>
        <v>45972</v>
      </c>
      <c r="Y329" s="385">
        <f t="shared" si="113"/>
        <v>25.96698745096954</v>
      </c>
      <c r="Z329" s="385">
        <f t="shared" si="114"/>
        <v>27.556772504189507</v>
      </c>
      <c r="AA329" s="386">
        <f t="shared" si="115"/>
        <v>29.549651073288778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6.7441695475745342E-2</v>
      </c>
      <c r="AD329" s="231">
        <f>(INDEX(Models!$BJ329:$BT329,,AH329)*(1-AF329)+INDEX(Models!$BJ329:$BT329,,AH329+1)*AF329-ERP_i)*AE329*Ramure*Pc/MaxiM</f>
        <v>6.3586139956113314E-4</v>
      </c>
      <c r="AE329" s="305">
        <f t="shared" si="117"/>
        <v>0.5</v>
      </c>
      <c r="AF329" s="177">
        <f t="shared" si="118"/>
        <v>0.99666230803874867</v>
      </c>
      <c r="AG329" s="811">
        <f t="shared" si="124"/>
        <v>1</v>
      </c>
      <c r="AH329" s="176">
        <f t="shared" si="119"/>
        <v>7</v>
      </c>
      <c r="AI329" s="225">
        <f t="shared" si="120"/>
        <v>1.9966623080387487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27.249449941289686</v>
      </c>
      <c r="C330" s="841"/>
      <c r="D330" s="393">
        <f t="shared" si="102"/>
        <v>28.918384986423344</v>
      </c>
      <c r="E330" s="385">
        <f t="shared" si="125"/>
        <v>29.617218860486386</v>
      </c>
      <c r="F330" s="385">
        <f t="shared" si="103"/>
        <v>29.618153223343985</v>
      </c>
      <c r="G330" s="110">
        <f t="shared" si="126"/>
        <v>0.95446367600123649</v>
      </c>
      <c r="H330" s="414" t="b">
        <f>Wh_hp&gt;='2024'!Maxi_hp</f>
        <v>1</v>
      </c>
      <c r="I330" s="390">
        <f>IF(H330,Wh_hp,'2024'!Maxi_hp)</f>
        <v>29.618153223343985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5.7711903549150234E-2</v>
      </c>
      <c r="M330" s="845"/>
      <c r="N330" s="845"/>
      <c r="O330" s="48">
        <f>IF(t&lt;Tnet,'2024'!Resal+('2024'!Salim-'2024'!Resal)*(1-EXP(('2024'!Tnet-t)/('2024'!Tau_j))),Resal+(Salim-Resal)*(1-EXP((Tnet-t)/(Tau_j))))*Salcycl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3.3741834670774704E-5</v>
      </c>
      <c r="Q330" s="305">
        <f t="shared" si="105"/>
        <v>0.5</v>
      </c>
      <c r="R330" s="177">
        <f t="shared" si="106"/>
        <v>0.47171059727583309</v>
      </c>
      <c r="S330" s="811">
        <f t="shared" si="107"/>
        <v>-2</v>
      </c>
      <c r="T330" s="176">
        <f t="shared" si="108"/>
        <v>4</v>
      </c>
      <c r="U330" s="251">
        <f t="shared" si="109"/>
        <v>-1.5282894027241669</v>
      </c>
      <c r="V330" s="383">
        <f t="shared" si="110"/>
        <v>28.549426044778734</v>
      </c>
      <c r="W330" s="402">
        <f t="shared" si="111"/>
        <v>27.249449941289686</v>
      </c>
      <c r="X330" s="157">
        <f t="shared" si="112"/>
        <v>45973</v>
      </c>
      <c r="Y330" s="385">
        <f t="shared" si="113"/>
        <v>26.010774916617525</v>
      </c>
      <c r="Z330" s="385">
        <f t="shared" si="114"/>
        <v>27.603845378698637</v>
      </c>
      <c r="AA330" s="386">
        <f t="shared" si="115"/>
        <v>29.59999394277764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6.7437465289281268E-2</v>
      </c>
      <c r="AD330" s="231">
        <f>(INDEX(Models!$BJ330:$BT330,,AH330)*(1-AF330)+INDEX(Models!$BJ330:$BT330,,AH330+1)*AF330-ERP_i)*AE330*Ramure*Pc/MaxiM</f>
        <v>6.5577033336461767E-4</v>
      </c>
      <c r="AE330" s="305">
        <f t="shared" si="117"/>
        <v>0.5</v>
      </c>
      <c r="AF330" s="177">
        <f t="shared" si="118"/>
        <v>0.99669816364981179</v>
      </c>
      <c r="AG330" s="811">
        <f t="shared" si="124"/>
        <v>1</v>
      </c>
      <c r="AH330" s="176">
        <f t="shared" si="119"/>
        <v>7</v>
      </c>
      <c r="AI330" s="225">
        <f t="shared" si="120"/>
        <v>1.9966981636498118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26.321251484680595</v>
      </c>
      <c r="C331" s="841"/>
      <c r="D331" s="393">
        <f t="shared" si="102"/>
        <v>27.933949393406088</v>
      </c>
      <c r="E331" s="385">
        <f t="shared" si="125"/>
        <v>28.611040809020391</v>
      </c>
      <c r="F331" s="385">
        <f t="shared" si="103"/>
        <v>28.611941617273107</v>
      </c>
      <c r="G331" s="110">
        <f t="shared" si="126"/>
        <v>0.93018486367344166</v>
      </c>
      <c r="H331" s="414" t="b">
        <f>Wh_hp&gt;='2024'!Maxi_hp</f>
        <v>0</v>
      </c>
      <c r="I331" s="390">
        <f>IF(H331,Wh_hp,'2024'!Maxi_hp)</f>
        <v>29.179515996539571</v>
      </c>
      <c r="J331" s="85">
        <f>IF(H331,An,'2024'!An_max)</f>
        <v>2020</v>
      </c>
      <c r="K331" s="197">
        <f t="shared" si="104"/>
        <v>45974</v>
      </c>
      <c r="L331" s="147">
        <f>IF(t&lt;Tvie,1-EXP((T0-t)*PertePVj)+'2024'!Pspv,1-EXP((T0-t)*PertePVj)+Pspv)</f>
        <v>5.7732542076781246E-2</v>
      </c>
      <c r="M331" s="845"/>
      <c r="N331" s="845"/>
      <c r="O331" s="48">
        <f>IF(t&lt;Tnet,'2024'!Resal+('2024'!Salim-'2024'!Resal)*(1-EXP(('2024'!Tnet-t)/('2024'!Tau_j))),Resal+(Salim-Resal)*(1-EXP((Tnet-t)/(Tau_j))))*Salcycl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3.4971387431250799E-5</v>
      </c>
      <c r="Q331" s="305">
        <f t="shared" si="105"/>
        <v>0.5</v>
      </c>
      <c r="R331" s="177">
        <f t="shared" si="106"/>
        <v>0.47174501407258362</v>
      </c>
      <c r="S331" s="811">
        <f t="shared" si="107"/>
        <v>-2</v>
      </c>
      <c r="T331" s="176">
        <f t="shared" si="108"/>
        <v>4</v>
      </c>
      <c r="U331" s="251">
        <f t="shared" si="109"/>
        <v>-1.5282549859274164</v>
      </c>
      <c r="V331" s="383">
        <f t="shared" si="110"/>
        <v>28.296697471656554</v>
      </c>
      <c r="W331" s="402">
        <f t="shared" si="111"/>
        <v>26.321251484680595</v>
      </c>
      <c r="X331" s="157">
        <f t="shared" si="112"/>
        <v>45974</v>
      </c>
      <c r="Y331" s="385">
        <f t="shared" si="113"/>
        <v>25.126767465982713</v>
      </c>
      <c r="Z331" s="385">
        <f t="shared" si="114"/>
        <v>26.666279573490463</v>
      </c>
      <c r="AA331" s="386">
        <f t="shared" si="115"/>
        <v>28.59451822542654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6.7433856962886993E-2</v>
      </c>
      <c r="AD331" s="231">
        <f>(INDEX(Models!$BJ331:$BT331,,AH331)*(1-AF331)+INDEX(Models!$BJ331:$BT331,,AH331+1)*AF331-ERP_i)*AE331*Ramure*Pc/MaxiM</f>
        <v>6.764149693291358E-4</v>
      </c>
      <c r="AE331" s="305">
        <f t="shared" si="117"/>
        <v>0.5</v>
      </c>
      <c r="AF331" s="177">
        <f t="shared" si="118"/>
        <v>0.99673258044656254</v>
      </c>
      <c r="AG331" s="811">
        <f t="shared" si="124"/>
        <v>1</v>
      </c>
      <c r="AH331" s="176">
        <f t="shared" si="119"/>
        <v>7</v>
      </c>
      <c r="AI331" s="225">
        <f t="shared" si="120"/>
        <v>1.9967325804465625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9.2679367085427273</v>
      </c>
      <c r="C332" s="841"/>
      <c r="D332" s="393">
        <f t="shared" si="102"/>
        <v>9.8359968039387926</v>
      </c>
      <c r="E332" s="385">
        <f t="shared" si="125"/>
        <v>10.075133384138107</v>
      </c>
      <c r="F332" s="385">
        <f t="shared" si="103"/>
        <v>10.075149319047432</v>
      </c>
      <c r="G332" s="110">
        <f t="shared" si="126"/>
        <v>0.33042763359440602</v>
      </c>
      <c r="H332" s="414" t="b">
        <f>Wh_hp&gt;='2024'!Maxi_hp</f>
        <v>0</v>
      </c>
      <c r="I332" s="390">
        <f>IF(H332,Wh_hp,'2024'!Maxi_hp)</f>
        <v>19.900379192311398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5.7753180152375405E-2</v>
      </c>
      <c r="M332" s="845"/>
      <c r="N332" s="845"/>
      <c r="O332" s="48">
        <f>IF(t&lt;Tnet,'2024'!Resal+('2024'!Salim-'2024'!Resal)*(1-EXP(('2024'!Tnet-t)/('2024'!Tau_j))),Resal+(Salim-Resal)*(1-EXP((Tnet-t)/(Tau_j))))*Salcycl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3.6371726361472619E-5</v>
      </c>
      <c r="Q332" s="305">
        <f t="shared" si="105"/>
        <v>0.5</v>
      </c>
      <c r="R332" s="177">
        <f t="shared" si="106"/>
        <v>0.47177804960514536</v>
      </c>
      <c r="S332" s="811">
        <f t="shared" si="107"/>
        <v>-2</v>
      </c>
      <c r="T332" s="176">
        <f t="shared" si="108"/>
        <v>4</v>
      </c>
      <c r="U332" s="251">
        <f t="shared" si="109"/>
        <v>-1.5282219503948546</v>
      </c>
      <c r="V332" s="383">
        <f t="shared" si="110"/>
        <v>28.047334221351161</v>
      </c>
      <c r="W332" s="402">
        <f t="shared" si="111"/>
        <v>9.2679367085427273</v>
      </c>
      <c r="X332" s="157">
        <f t="shared" si="112"/>
        <v>45975</v>
      </c>
      <c r="Y332" s="385">
        <f t="shared" si="113"/>
        <v>8.8528684472353039</v>
      </c>
      <c r="Z332" s="385">
        <f t="shared" si="114"/>
        <v>9.3954877435054076</v>
      </c>
      <c r="AA332" s="386">
        <f t="shared" si="115"/>
        <v>10.074843835652318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6.7430930268401953E-2</v>
      </c>
      <c r="AD332" s="231">
        <f>(INDEX(Models!$BJ332:$BT332,,AH332)*(1-AF332)+INDEX(Models!$BJ332:$BT332,,AH332+1)*AF332-ERP_i)*AE332*Ramure*Pc/MaxiM</f>
        <v>6.972715205598157E-4</v>
      </c>
      <c r="AE332" s="305">
        <f t="shared" si="117"/>
        <v>0.5</v>
      </c>
      <c r="AF332" s="177">
        <f t="shared" si="118"/>
        <v>0.99676561597912428</v>
      </c>
      <c r="AG332" s="811">
        <f t="shared" si="124"/>
        <v>1</v>
      </c>
      <c r="AH332" s="176">
        <f t="shared" si="119"/>
        <v>7</v>
      </c>
      <c r="AI332" s="225">
        <f t="shared" si="120"/>
        <v>1.9967656159791243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12.051150904651097</v>
      </c>
      <c r="C333" s="841"/>
      <c r="D333" s="393">
        <f t="shared" si="102"/>
        <v>12.790082818761437</v>
      </c>
      <c r="E333" s="385">
        <f t="shared" si="125"/>
        <v>13.101980190402118</v>
      </c>
      <c r="F333" s="385">
        <f t="shared" si="103"/>
        <v>13.102074781743559</v>
      </c>
      <c r="G333" s="110">
        <f t="shared" si="126"/>
        <v>0.43345896527429023</v>
      </c>
      <c r="H333" s="414" t="b">
        <f>Wh_hp&gt;='2024'!Maxi_hp</f>
        <v>0</v>
      </c>
      <c r="I333" s="390">
        <f>IF(H333,Wh_hp,'2024'!Maxi_hp)</f>
        <v>27.219183293094108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5.7773817775942815E-2</v>
      </c>
      <c r="M333" s="845"/>
      <c r="N333" s="845"/>
      <c r="O333" s="48">
        <f>IF(t&lt;Tnet,'2024'!Resal+('2024'!Salim-'2024'!Resal)*(1-EXP(('2024'!Tnet-t)/('2024'!Tau_j))),Resal+(Salim-Resal)*(1-EXP((Tnet-t)/(Tau_j))))*Salcycl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3.7863292247639689E-5</v>
      </c>
      <c r="Q333" s="305">
        <f t="shared" si="105"/>
        <v>0.5</v>
      </c>
      <c r="R333" s="177">
        <f t="shared" si="106"/>
        <v>0.47180975913644052</v>
      </c>
      <c r="S333" s="811">
        <f t="shared" si="107"/>
        <v>-2</v>
      </c>
      <c r="T333" s="176">
        <f t="shared" si="108"/>
        <v>4</v>
      </c>
      <c r="U333" s="251">
        <f t="shared" si="109"/>
        <v>-1.5281902408635595</v>
      </c>
      <c r="V333" s="383">
        <f t="shared" si="110"/>
        <v>27.801435834263977</v>
      </c>
      <c r="W333" s="402">
        <f t="shared" si="111"/>
        <v>12.051150904651097</v>
      </c>
      <c r="X333" s="157">
        <f t="shared" si="112"/>
        <v>45976</v>
      </c>
      <c r="Y333" s="385">
        <f t="shared" si="113"/>
        <v>11.511126597445216</v>
      </c>
      <c r="Z333" s="385">
        <f t="shared" si="114"/>
        <v>12.216946222269083</v>
      </c>
      <c r="AA333" s="386">
        <f t="shared" si="115"/>
        <v>13.100281743776003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6.7428742280798357E-2</v>
      </c>
      <c r="AD333" s="231">
        <f>(INDEX(Models!$BJ333:$BT333,,AH333)*(1-AF333)+INDEX(Models!$BJ333:$BT333,,AH333+1)*AF333-ERP_i)*AE333*Ramure*Pc/MaxiM</f>
        <v>7.1772235748853461E-4</v>
      </c>
      <c r="AE333" s="305">
        <f t="shared" si="117"/>
        <v>0.5</v>
      </c>
      <c r="AF333" s="177">
        <f t="shared" si="118"/>
        <v>0.99679732551041944</v>
      </c>
      <c r="AG333" s="811">
        <f t="shared" si="124"/>
        <v>1</v>
      </c>
      <c r="AH333" s="176">
        <f t="shared" si="119"/>
        <v>7</v>
      </c>
      <c r="AI333" s="225">
        <f t="shared" si="120"/>
        <v>1.9967973255104194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26.754494633148884</v>
      </c>
      <c r="C334" s="841"/>
      <c r="D334" s="393">
        <f t="shared" si="102"/>
        <v>28.39560303336776</v>
      </c>
      <c r="E334" s="385">
        <f t="shared" si="125"/>
        <v>29.090145247406515</v>
      </c>
      <c r="F334" s="385">
        <f t="shared" si="103"/>
        <v>29.091244945223572</v>
      </c>
      <c r="G334" s="110">
        <f t="shared" si="126"/>
        <v>0.97080278507795581</v>
      </c>
      <c r="H334" s="414" t="b">
        <f>Wh_hp&gt;='2024'!Maxi_hp</f>
        <v>1</v>
      </c>
      <c r="I334" s="390">
        <f>IF(H334,Wh_hp,'2024'!Maxi_hp)</f>
        <v>29.091244945223572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5.7794454947493246E-2</v>
      </c>
      <c r="M334" s="845"/>
      <c r="N334" s="845"/>
      <c r="O334" s="48">
        <f>IF(t&lt;Tnet,'2024'!Resal+('2024'!Salim-'2024'!Resal)*(1-EXP(('2024'!Tnet-t)/('2024'!Tau_j))),Resal+(Salim-Resal)*(1-EXP((Tnet-t)/(Tau_j))))*Salcycl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3.944692957411701E-5</v>
      </c>
      <c r="Q334" s="305">
        <f t="shared" si="105"/>
        <v>0.5</v>
      </c>
      <c r="R334" s="177">
        <f t="shared" si="106"/>
        <v>0.47184019573193003</v>
      </c>
      <c r="S334" s="811">
        <f t="shared" si="107"/>
        <v>-2</v>
      </c>
      <c r="T334" s="176">
        <f t="shared" si="108"/>
        <v>4</v>
      </c>
      <c r="U334" s="251">
        <f t="shared" si="109"/>
        <v>-1.52815980426807</v>
      </c>
      <c r="V334" s="383">
        <f t="shared" si="110"/>
        <v>27.559099566663956</v>
      </c>
      <c r="W334" s="402">
        <f t="shared" si="111"/>
        <v>26.754494633148884</v>
      </c>
      <c r="X334" s="157">
        <f t="shared" si="112"/>
        <v>45977</v>
      </c>
      <c r="Y334" s="385">
        <f t="shared" si="113"/>
        <v>25.543681140285578</v>
      </c>
      <c r="Z334" s="385">
        <f t="shared" si="114"/>
        <v>27.110518797532752</v>
      </c>
      <c r="AA334" s="386">
        <f t="shared" si="115"/>
        <v>29.070677457572316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6.7427347123243025E-2</v>
      </c>
      <c r="AD334" s="231">
        <f>(INDEX(Models!$BJ334:$BT334,,AH334)*(1-AF334)+INDEX(Models!$BJ334:$BT334,,AH334+1)*AF334-ERP_i)*AE334*Ramure*Pc/MaxiM</f>
        <v>7.3777016223213149E-4</v>
      </c>
      <c r="AE334" s="305">
        <f t="shared" si="117"/>
        <v>0.5</v>
      </c>
      <c r="AF334" s="177">
        <f t="shared" si="118"/>
        <v>0.99682776210590895</v>
      </c>
      <c r="AG334" s="811">
        <f t="shared" si="124"/>
        <v>1</v>
      </c>
      <c r="AH334" s="176">
        <f t="shared" si="119"/>
        <v>7</v>
      </c>
      <c r="AI334" s="225">
        <f t="shared" si="120"/>
        <v>1.996827762105909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12.522869542738166</v>
      </c>
      <c r="C335" s="841"/>
      <c r="D335" s="393">
        <f t="shared" ref="D335:D379" si="127">Wh/(1-Ppv)</f>
        <v>13.291307716757279</v>
      </c>
      <c r="E335" s="385">
        <f t="shared" si="125"/>
        <v>13.617387084738761</v>
      </c>
      <c r="F335" s="385">
        <f t="shared" ref="F335:F379" si="128">Wh_sa/(1-Pvg*MEDIAN((-Sdif+Wh/Env_an)/Csdif,0,1))</f>
        <v>13.617513780960516</v>
      </c>
      <c r="G335" s="110">
        <f t="shared" si="126"/>
        <v>0.45835568559869222</v>
      </c>
      <c r="H335" s="414" t="b">
        <f>Wh_hp&gt;='2024'!Maxi_hp</f>
        <v>0</v>
      </c>
      <c r="I335" s="390">
        <f>IF(H335,Wh_hp,'2024'!Maxi_hp)</f>
        <v>28.670073792979203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5.7815091667036689E-2</v>
      </c>
      <c r="M335" s="845"/>
      <c r="N335" s="845"/>
      <c r="O335" s="48">
        <f>IF(t&lt;Tnet,'2024'!Resal+('2024'!Salim-'2024'!Resal)*(1-EXP(('2024'!Tnet-t)/('2024'!Tau_j))),Resal+(Salim-Resal)*(1-EXP((Tnet-t)/(Tau_j))))*Salcycl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4.1123514269212812E-5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0.47186941034592422</v>
      </c>
      <c r="S335" s="81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-1.5281305896540758</v>
      </c>
      <c r="V335" s="383">
        <f t="shared" ref="V335:V379" si="135">MaxiM*(1-Ppv)*(1-Pvg)*(1-Psa)</f>
        <v>27.320422675704854</v>
      </c>
      <c r="W335" s="402">
        <f t="shared" ref="W335:W379" si="136">Wh*(A335&gt;Tmaj)</f>
        <v>12.522869542738166</v>
      </c>
      <c r="X335" s="157">
        <f t="shared" ref="X335:X379" si="137">t</f>
        <v>45978</v>
      </c>
      <c r="Y335" s="385">
        <f t="shared" ref="Y335:Y379" si="138">Wh_pvt_s*(1-Ppv)</f>
        <v>11.963065272329439</v>
      </c>
      <c r="Z335" s="385">
        <f t="shared" ref="Z335:Z379" si="139">Wh_sa_s*(1-Psa_s)</f>
        <v>12.697152296247303</v>
      </c>
      <c r="AA335" s="386">
        <f t="shared" ref="AA335:AA379" si="140">Wh_hp*(1-Pvg_s*MEDIAN((-Sdif+Wh/Env_an)/Csdif,0,1))</f>
        <v>13.615180275509404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6.742679572986808E-2</v>
      </c>
      <c r="AD335" s="231">
        <f>(INDEX(Models!$BJ335:$BT335,,AH335)*(1-AF335)+INDEX(Models!$BJ335:$BT335,,AH335+1)*AF335-ERP_i)*AE335*Ramure*Pc/MaxiM</f>
        <v>7.5741757241949085E-4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0.99685697671990314</v>
      </c>
      <c r="AG335" s="811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1.9968569767199031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14.863745803809691</v>
      </c>
      <c r="C336" s="841"/>
      <c r="D336" s="393">
        <f t="shared" si="127"/>
        <v>15.77617220744883</v>
      </c>
      <c r="E336" s="385">
        <f t="shared" si="125"/>
        <v>16.164380258669361</v>
      </c>
      <c r="F336" s="385">
        <f t="shared" si="128"/>
        <v>16.164626671850886</v>
      </c>
      <c r="G336" s="110">
        <f t="shared" si="126"/>
        <v>0.54875610501346117</v>
      </c>
      <c r="H336" s="414" t="b">
        <f>Wh_hp&gt;='2024'!Maxi_hp</f>
        <v>0</v>
      </c>
      <c r="I336" s="390">
        <f>IF(H336,Wh_hp,'2024'!Maxi_hp)</f>
        <v>27.452705708144066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5.7835727934583026E-2</v>
      </c>
      <c r="M336" s="845"/>
      <c r="N336" s="845"/>
      <c r="O336" s="48">
        <f>IF(t&lt;Tnet,'2024'!Resal+('2024'!Salim-'2024'!Resal)*(1-EXP(('2024'!Tnet-t)/('2024'!Tau_j))),Resal+(Salim-Resal)*(1-EXP((Tnet-t)/(Tau_j))))*Salcycl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4.2893951723266247E-5</v>
      </c>
      <c r="Q336" s="305">
        <f t="shared" si="130"/>
        <v>0.5</v>
      </c>
      <c r="R336" s="177">
        <f t="shared" si="131"/>
        <v>0.47189745190458776</v>
      </c>
      <c r="S336" s="811">
        <f t="shared" si="132"/>
        <v>-2</v>
      </c>
      <c r="T336" s="176">
        <f t="shared" si="133"/>
        <v>4</v>
      </c>
      <c r="U336" s="251">
        <f t="shared" si="134"/>
        <v>-1.5281025480954122</v>
      </c>
      <c r="V336" s="383">
        <f t="shared" si="135"/>
        <v>27.085502429116129</v>
      </c>
      <c r="W336" s="402">
        <f t="shared" si="136"/>
        <v>14.863745803809691</v>
      </c>
      <c r="X336" s="157">
        <f t="shared" si="137"/>
        <v>45979</v>
      </c>
      <c r="Y336" s="385">
        <f t="shared" si="138"/>
        <v>14.198916164634273</v>
      </c>
      <c r="Z336" s="385">
        <f t="shared" si="139"/>
        <v>15.070531313512177</v>
      </c>
      <c r="AA336" s="386">
        <f t="shared" si="140"/>
        <v>16.160164947175023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6.7427135627927293E-2</v>
      </c>
      <c r="AD336" s="231">
        <f>(INDEX(Models!$BJ336:$BT336,,AH336)*(1-AF336)+INDEX(Models!$BJ336:$BT336,,AH336+1)*AF336-ERP_i)*AE336*Ramure*Pc/MaxiM</f>
        <v>7.7666706653466144E-4</v>
      </c>
      <c r="AE336" s="305">
        <f t="shared" si="142"/>
        <v>0.5</v>
      </c>
      <c r="AF336" s="177">
        <f t="shared" si="143"/>
        <v>0.99688501827856646</v>
      </c>
      <c r="AG336" s="811">
        <f t="shared" ref="AG336:AG379" si="149">INDEX(Echel_vg,AH336)</f>
        <v>1</v>
      </c>
      <c r="AH336" s="176">
        <f t="shared" si="144"/>
        <v>7</v>
      </c>
      <c r="AI336" s="225">
        <f t="shared" si="145"/>
        <v>1.9968850182785665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7.612074895464616</v>
      </c>
      <c r="C337" s="841"/>
      <c r="D337" s="393">
        <f t="shared" si="127"/>
        <v>8.079526945343483</v>
      </c>
      <c r="E337" s="385">
        <f t="shared" si="125"/>
        <v>8.2789409741586688</v>
      </c>
      <c r="F337" s="385">
        <f t="shared" si="128"/>
        <v>8.2789409741586688</v>
      </c>
      <c r="G337" s="110">
        <f t="shared" si="126"/>
        <v>0.28344420110045898</v>
      </c>
      <c r="H337" s="414" t="b">
        <f>Wh_hp&gt;='2024'!Maxi_hp</f>
        <v>0</v>
      </c>
      <c r="I337" s="390">
        <f>IF(H337,Wh_hp,'2024'!Maxi_hp)</f>
        <v>29.080430360791048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5.7856363750142137E-2</v>
      </c>
      <c r="M337" s="845"/>
      <c r="N337" s="845"/>
      <c r="O337" s="48">
        <f>IF(t&lt;Tnet,'2024'!Resal+('2024'!Salim-'2024'!Resal)*(1-EXP(('2024'!Tnet-t)/('2024'!Tau_j))),Resal+(Salim-Resal)*(1-EXP((Tnet-t)/(Tau_j))))*Salcycl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4.4759173629987595E-5</v>
      </c>
      <c r="Q337" s="305">
        <f t="shared" si="130"/>
        <v>0.5</v>
      </c>
      <c r="R337" s="177">
        <f t="shared" si="131"/>
        <v>0.47192436738575827</v>
      </c>
      <c r="S337" s="811">
        <f t="shared" si="132"/>
        <v>-2</v>
      </c>
      <c r="T337" s="176">
        <f t="shared" si="133"/>
        <v>4</v>
      </c>
      <c r="U337" s="251">
        <f t="shared" si="134"/>
        <v>-1.5280756326142417</v>
      </c>
      <c r="V337" s="383">
        <f t="shared" si="135"/>
        <v>26.85443609617159</v>
      </c>
      <c r="W337" s="402">
        <f t="shared" si="136"/>
        <v>7.612074895464616</v>
      </c>
      <c r="X337" s="157">
        <f t="shared" si="137"/>
        <v>45980</v>
      </c>
      <c r="Y337" s="385">
        <f t="shared" si="138"/>
        <v>7.2740132165706166</v>
      </c>
      <c r="Z337" s="385">
        <f t="shared" si="139"/>
        <v>7.7207051416537276</v>
      </c>
      <c r="AA337" s="386">
        <f t="shared" si="140"/>
        <v>8.2789409741586688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6.7428410740864225E-2</v>
      </c>
      <c r="AD337" s="231">
        <f>(INDEX(Models!$BJ337:$BT337,,AH337)*(1-AF337)+INDEX(Models!$BJ337:$BT337,,AH337+1)*AF337-ERP_i)*AE337*Ramure*Pc/MaxiM</f>
        <v>7.9552084684465861E-4</v>
      </c>
      <c r="AE337" s="305">
        <f t="shared" si="142"/>
        <v>0.5</v>
      </c>
      <c r="AF337" s="177">
        <f t="shared" si="143"/>
        <v>0.99691193375973697</v>
      </c>
      <c r="AG337" s="811">
        <f t="shared" si="149"/>
        <v>1</v>
      </c>
      <c r="AH337" s="176">
        <f t="shared" si="144"/>
        <v>7</v>
      </c>
      <c r="AI337" s="225">
        <f t="shared" si="145"/>
        <v>1.996911933759737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15.213794273274669</v>
      </c>
      <c r="C338" s="841"/>
      <c r="D338" s="393">
        <f t="shared" si="127"/>
        <v>16.148416139891197</v>
      </c>
      <c r="E338" s="385">
        <f t="shared" si="125"/>
        <v>16.548182718746823</v>
      </c>
      <c r="F338" s="385">
        <f t="shared" si="128"/>
        <v>16.548481817014416</v>
      </c>
      <c r="G338" s="110">
        <f t="shared" si="126"/>
        <v>0.57134393936403716</v>
      </c>
      <c r="H338" s="414" t="b">
        <f>Wh_hp&gt;='2024'!Maxi_hp</f>
        <v>0</v>
      </c>
      <c r="I338" s="390">
        <f>IF(H338,Wh_hp,'2024'!Maxi_hp)</f>
        <v>30.110087627610774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5.7876999113723904E-2</v>
      </c>
      <c r="M338" s="845"/>
      <c r="N338" s="845"/>
      <c r="O338" s="48">
        <f>IF(t&lt;Tnet,'2024'!Resal+('2024'!Salim-'2024'!Resal)*(1-EXP(('2024'!Tnet-t)/('2024'!Tau_j))),Resal+(Salim-Resal)*(1-EXP((Tnet-t)/(Tau_j))))*Salcycl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4.6623787088039151E-5</v>
      </c>
      <c r="Q338" s="305">
        <f t="shared" si="130"/>
        <v>0.5</v>
      </c>
      <c r="R338" s="177">
        <f t="shared" si="131"/>
        <v>0.47195020189569714</v>
      </c>
      <c r="S338" s="811">
        <f t="shared" si="132"/>
        <v>-2</v>
      </c>
      <c r="T338" s="176">
        <f t="shared" si="133"/>
        <v>4</v>
      </c>
      <c r="U338" s="251">
        <f t="shared" si="134"/>
        <v>-1.5280497981043029</v>
      </c>
      <c r="V338" s="383">
        <f t="shared" si="135"/>
        <v>26.627323521969522</v>
      </c>
      <c r="W338" s="402">
        <f t="shared" si="136"/>
        <v>15.213794273274669</v>
      </c>
      <c r="X338" s="157">
        <f t="shared" si="137"/>
        <v>45981</v>
      </c>
      <c r="Y338" s="385">
        <f t="shared" si="138"/>
        <v>14.534829157160386</v>
      </c>
      <c r="Z338" s="385">
        <f t="shared" si="139"/>
        <v>15.427740479201917</v>
      </c>
      <c r="AA338" s="386">
        <f t="shared" si="140"/>
        <v>16.543263688338445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6.7430661213656054E-2</v>
      </c>
      <c r="AD338" s="231">
        <f>(INDEX(Models!$BJ338:$BT338,,AH338)*(1-AF338)+INDEX(Models!$BJ338:$BT338,,AH338+1)*AF338-ERP_i)*AE338*Ramure*Pc/MaxiM</f>
        <v>8.1340798910408134E-4</v>
      </c>
      <c r="AE338" s="305">
        <f t="shared" si="142"/>
        <v>0.5</v>
      </c>
      <c r="AF338" s="177">
        <f t="shared" si="143"/>
        <v>0.99693776826967606</v>
      </c>
      <c r="AG338" s="811">
        <f t="shared" si="149"/>
        <v>1</v>
      </c>
      <c r="AH338" s="176">
        <f t="shared" si="144"/>
        <v>7</v>
      </c>
      <c r="AI338" s="225">
        <f t="shared" si="145"/>
        <v>1.9969377682696761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3.2151075391353938</v>
      </c>
      <c r="C339" s="841"/>
      <c r="D339" s="393">
        <f t="shared" si="127"/>
        <v>3.4126944748824304</v>
      </c>
      <c r="E339" s="385">
        <f t="shared" si="125"/>
        <v>3.497433006508893</v>
      </c>
      <c r="F339" s="385">
        <f t="shared" si="128"/>
        <v>3.497433006508893</v>
      </c>
      <c r="G339" s="110">
        <f t="shared" si="126"/>
        <v>0.12175881498982143</v>
      </c>
      <c r="H339" s="414" t="b">
        <f>Wh_hp&gt;='2024'!Maxi_hp</f>
        <v>0</v>
      </c>
      <c r="I339" s="390">
        <f>IF(H339,Wh_hp,'2024'!Maxi_hp)</f>
        <v>29.084066217541494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5.7897634025338207E-2</v>
      </c>
      <c r="M339" s="845"/>
      <c r="N339" s="845"/>
      <c r="O339" s="48">
        <f>IF(t&lt;Tnet,'2024'!Resal+('2024'!Salim-'2024'!Resal)*(1-EXP(('2024'!Tnet-t)/('2024'!Tau_j))),Resal+(Salim-Resal)*(1-EXP((Tnet-t)/(Tau_j))))*Salcycl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4.8436916090406748E-5</v>
      </c>
      <c r="Q339" s="305">
        <f t="shared" si="130"/>
        <v>0.5</v>
      </c>
      <c r="R339" s="177">
        <f t="shared" si="131"/>
        <v>0.47197499874288229</v>
      </c>
      <c r="S339" s="811">
        <f t="shared" si="132"/>
        <v>-2</v>
      </c>
      <c r="T339" s="176">
        <f t="shared" si="133"/>
        <v>4</v>
      </c>
      <c r="U339" s="251">
        <f t="shared" si="134"/>
        <v>-1.5280250012571177</v>
      </c>
      <c r="V339" s="383">
        <f t="shared" si="135"/>
        <v>26.404263293052392</v>
      </c>
      <c r="W339" s="402">
        <f t="shared" si="136"/>
        <v>3.2151075391353938</v>
      </c>
      <c r="X339" s="157">
        <f t="shared" si="137"/>
        <v>45982</v>
      </c>
      <c r="Y339" s="385">
        <f t="shared" si="138"/>
        <v>3.0727491852091031</v>
      </c>
      <c r="Z339" s="385">
        <f t="shared" si="139"/>
        <v>3.2615873775353048</v>
      </c>
      <c r="AA339" s="386">
        <f t="shared" si="140"/>
        <v>3.497433006508893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6.7433923261622952E-2</v>
      </c>
      <c r="AD339" s="231">
        <f>(INDEX(Models!$BJ339:$BT339,,AH339)*(1-AF339)+INDEX(Models!$BJ339:$BT339,,AH339+1)*AF339-ERP_i)*AE339*Ramure*Pc/MaxiM</f>
        <v>8.3027113950111134E-4</v>
      </c>
      <c r="AE339" s="305">
        <f t="shared" si="142"/>
        <v>0.5</v>
      </c>
      <c r="AF339" s="177">
        <f t="shared" si="143"/>
        <v>0.99696256511686121</v>
      </c>
      <c r="AG339" s="811">
        <f t="shared" si="149"/>
        <v>1</v>
      </c>
      <c r="AH339" s="176">
        <f t="shared" si="144"/>
        <v>7</v>
      </c>
      <c r="AI339" s="225">
        <f t="shared" si="145"/>
        <v>1.9969625651168612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7.9923953750344019</v>
      </c>
      <c r="C340" s="841"/>
      <c r="D340" s="393">
        <f t="shared" si="127"/>
        <v>8.4837600684406258</v>
      </c>
      <c r="E340" s="385">
        <f t="shared" si="125"/>
        <v>8.6950502611943268</v>
      </c>
      <c r="F340" s="385">
        <f t="shared" si="128"/>
        <v>8.6950535185079154</v>
      </c>
      <c r="G340" s="110">
        <f t="shared" si="126"/>
        <v>0.30520868956999503</v>
      </c>
      <c r="H340" s="414" t="b">
        <f>Wh_hp&gt;='2024'!Maxi_hp</f>
        <v>0</v>
      </c>
      <c r="I340" s="390">
        <f>IF(H340,Wh_hp,'2024'!Maxi_hp)</f>
        <v>29.591035421411469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5.7918268484995039E-2</v>
      </c>
      <c r="M340" s="845"/>
      <c r="N340" s="845"/>
      <c r="O340" s="48">
        <f>IF(t&lt;Tnet,'2024'!Resal+('2024'!Salim-'2024'!Resal)*(1-EXP(('2024'!Tnet-t)/('2024'!Tau_j))),Resal+(Salim-Resal)*(1-EXP((Tnet-t)/(Tau_j))))*Salcycl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5.0198500587018787E-5</v>
      </c>
      <c r="Q340" s="305">
        <f t="shared" si="130"/>
        <v>0.5</v>
      </c>
      <c r="R340" s="177">
        <f t="shared" si="131"/>
        <v>0.47199879950895096</v>
      </c>
      <c r="S340" s="811">
        <f t="shared" si="132"/>
        <v>-2</v>
      </c>
      <c r="T340" s="176">
        <f t="shared" si="133"/>
        <v>4</v>
      </c>
      <c r="U340" s="251">
        <f t="shared" si="134"/>
        <v>-1.528001200491049</v>
      </c>
      <c r="V340" s="383">
        <f t="shared" si="135"/>
        <v>26.185352631889796</v>
      </c>
      <c r="W340" s="402">
        <f t="shared" si="136"/>
        <v>7.9923953750344019</v>
      </c>
      <c r="X340" s="157">
        <f t="shared" si="137"/>
        <v>45983</v>
      </c>
      <c r="Y340" s="385">
        <f t="shared" si="138"/>
        <v>7.6389858858230353</v>
      </c>
      <c r="Z340" s="385">
        <f t="shared" si="139"/>
        <v>8.1086233075960727</v>
      </c>
      <c r="AA340" s="386">
        <f t="shared" si="140"/>
        <v>8.6949986157818842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6.7438229043706763E-2</v>
      </c>
      <c r="AD340" s="231">
        <f>(INDEX(Models!$BJ340:$BT340,,AH340)*(1-AF340)+INDEX(Models!$BJ340:$BT340,,AH340+1)*AF340-ERP_i)*AE340*Ramure*Pc/MaxiM</f>
        <v>8.461065995357624E-4</v>
      </c>
      <c r="AE340" s="305">
        <f t="shared" si="142"/>
        <v>0.5</v>
      </c>
      <c r="AF340" s="177">
        <f t="shared" si="143"/>
        <v>0.99698636588292988</v>
      </c>
      <c r="AG340" s="811">
        <f t="shared" si="149"/>
        <v>1</v>
      </c>
      <c r="AH340" s="176">
        <f t="shared" si="144"/>
        <v>7</v>
      </c>
      <c r="AI340" s="225">
        <f t="shared" si="145"/>
        <v>1.9969863658829299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11.977803082287384</v>
      </c>
      <c r="C341" s="841"/>
      <c r="D341" s="393">
        <f t="shared" si="127"/>
        <v>12.71446524432522</v>
      </c>
      <c r="E341" s="385">
        <f t="shared" si="125"/>
        <v>13.032077460815437</v>
      </c>
      <c r="F341" s="385">
        <f t="shared" si="128"/>
        <v>13.032233248681779</v>
      </c>
      <c r="G341" s="110">
        <f t="shared" si="126"/>
        <v>0.46118624799474051</v>
      </c>
      <c r="H341" s="414" t="b">
        <f>Wh_hp&gt;='2024'!Maxi_hp</f>
        <v>0</v>
      </c>
      <c r="I341" s="390">
        <f>IF(H341,Wh_hp,'2024'!Maxi_hp)</f>
        <v>29.56301535081597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5.7938902492704281E-2</v>
      </c>
      <c r="M341" s="845"/>
      <c r="N341" s="845"/>
      <c r="O341" s="48">
        <f>IF(t&lt;Tnet,'2024'!Resal+('2024'!Salim-'2024'!Resal)*(1-EXP(('2024'!Tnet-t)/('2024'!Tau_j))),Resal+(Salim-Resal)*(1-EXP((Tnet-t)/(Tau_j))))*Salcycl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5.1908107104403503E-5</v>
      </c>
      <c r="Q341" s="305">
        <f t="shared" si="130"/>
        <v>0.5</v>
      </c>
      <c r="R341" s="177">
        <f t="shared" si="131"/>
        <v>0.47202164411690051</v>
      </c>
      <c r="S341" s="811">
        <f t="shared" si="132"/>
        <v>-2</v>
      </c>
      <c r="T341" s="176">
        <f t="shared" si="133"/>
        <v>4</v>
      </c>
      <c r="U341" s="251">
        <f t="shared" si="134"/>
        <v>-1.5279783558830995</v>
      </c>
      <c r="V341" s="383">
        <f t="shared" si="135"/>
        <v>25.970688776438784</v>
      </c>
      <c r="W341" s="402">
        <f t="shared" si="136"/>
        <v>11.977803082287384</v>
      </c>
      <c r="X341" s="157">
        <f t="shared" si="137"/>
        <v>45984</v>
      </c>
      <c r="Y341" s="385">
        <f t="shared" si="138"/>
        <v>11.446874107286343</v>
      </c>
      <c r="Z341" s="385">
        <f t="shared" si="139"/>
        <v>12.150882928479799</v>
      </c>
      <c r="AA341" s="386">
        <f t="shared" si="140"/>
        <v>13.029649481755456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6.7443606561031003E-2</v>
      </c>
      <c r="AD341" s="231">
        <f>(INDEX(Models!$BJ341:$BT341,,AH341)*(1-AF341)+INDEX(Models!$BJ341:$BT341,,AH341+1)*AF341-ERP_i)*AE341*Ramure*Pc/MaxiM</f>
        <v>8.6090434058058566E-4</v>
      </c>
      <c r="AE341" s="305">
        <f t="shared" si="142"/>
        <v>0.5</v>
      </c>
      <c r="AF341" s="177">
        <f t="shared" si="143"/>
        <v>0.99700921049087965</v>
      </c>
      <c r="AG341" s="811">
        <f t="shared" si="149"/>
        <v>1</v>
      </c>
      <c r="AH341" s="176">
        <f t="shared" si="144"/>
        <v>7</v>
      </c>
      <c r="AI341" s="225">
        <f t="shared" si="145"/>
        <v>1.9970092104908796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13.183155906745721</v>
      </c>
      <c r="C342" s="841"/>
      <c r="D342" s="393">
        <f t="shared" si="127"/>
        <v>13.994256522110607</v>
      </c>
      <c r="E342" s="385">
        <f t="shared" si="125"/>
        <v>14.34489371279</v>
      </c>
      <c r="F342" s="385">
        <f t="shared" si="128"/>
        <v>14.345126166854962</v>
      </c>
      <c r="G342" s="110">
        <f t="shared" si="126"/>
        <v>0.51174202430290694</v>
      </c>
      <c r="H342" s="414" t="b">
        <f>Wh_hp&gt;='2024'!Maxi_hp</f>
        <v>0</v>
      </c>
      <c r="I342" s="390">
        <f>IF(H342,Wh_hp,'2024'!Maxi_hp)</f>
        <v>27.223770958160259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5.7959536048475702E-2</v>
      </c>
      <c r="M342" s="845"/>
      <c r="N342" s="845"/>
      <c r="O342" s="48">
        <f>IF(t&lt;Tnet,'2024'!Resal+('2024'!Salim-'2024'!Resal)*(1-EXP(('2024'!Tnet-t)/('2024'!Tau_j))),Resal+(Salim-Resal)*(1-EXP((Tnet-t)/(Tau_j))))*Salcycl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5.3565422813162648E-5</v>
      </c>
      <c r="Q342" s="305">
        <f t="shared" si="130"/>
        <v>0.5</v>
      </c>
      <c r="R342" s="177">
        <f t="shared" si="131"/>
        <v>0.47204357089664861</v>
      </c>
      <c r="S342" s="811">
        <f t="shared" si="132"/>
        <v>-2</v>
      </c>
      <c r="T342" s="176">
        <f t="shared" si="133"/>
        <v>4</v>
      </c>
      <c r="U342" s="251">
        <f t="shared" si="134"/>
        <v>-1.5279564291033514</v>
      </c>
      <c r="V342" s="383">
        <f t="shared" si="135"/>
        <v>25.760368968023553</v>
      </c>
      <c r="W342" s="402">
        <f t="shared" si="136"/>
        <v>13.183155906745721</v>
      </c>
      <c r="X342" s="157">
        <f t="shared" si="137"/>
        <v>45985</v>
      </c>
      <c r="Y342" s="385">
        <f t="shared" si="138"/>
        <v>12.598855382006896</v>
      </c>
      <c r="Z342" s="385">
        <f t="shared" si="139"/>
        <v>13.374006599630746</v>
      </c>
      <c r="AA342" s="386">
        <f t="shared" si="140"/>
        <v>14.341330481940092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6.7450079581353184E-2</v>
      </c>
      <c r="AD342" s="231">
        <f>(INDEX(Models!$BJ342:$BT342,,AH342)*(1-AF342)+INDEX(Models!$BJ342:$BT342,,AH342+1)*AF342-ERP_i)*AE342*Ramure*Pc/MaxiM</f>
        <v>8.7465653639515217E-4</v>
      </c>
      <c r="AE342" s="305">
        <f t="shared" si="142"/>
        <v>0.5</v>
      </c>
      <c r="AF342" s="177">
        <f t="shared" si="143"/>
        <v>0.99703113727062753</v>
      </c>
      <c r="AG342" s="811">
        <f t="shared" si="149"/>
        <v>1</v>
      </c>
      <c r="AH342" s="176">
        <f t="shared" si="144"/>
        <v>7</v>
      </c>
      <c r="AI342" s="225">
        <f t="shared" si="145"/>
        <v>1.9970311372706275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5.1045784538732049</v>
      </c>
      <c r="C343" s="841"/>
      <c r="D343" s="393">
        <f t="shared" si="127"/>
        <v>5.4187590183529659</v>
      </c>
      <c r="E343" s="385">
        <f t="shared" si="125"/>
        <v>5.5549405213291232</v>
      </c>
      <c r="F343" s="385">
        <f t="shared" si="128"/>
        <v>5.5549405213291232</v>
      </c>
      <c r="G343" s="110">
        <f t="shared" si="126"/>
        <v>0.1997416791686821</v>
      </c>
      <c r="H343" s="414" t="b">
        <f>Wh_hp&gt;='2024'!Maxi_hp</f>
        <v>0</v>
      </c>
      <c r="I343" s="390">
        <f>IF(H343,Wh_hp,'2024'!Maxi_hp)</f>
        <v>26.38503248912658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5.7980169152319405E-2</v>
      </c>
      <c r="M343" s="845"/>
      <c r="N343" s="845"/>
      <c r="O343" s="48">
        <f>IF(t&lt;Tnet,'2024'!Resal+('2024'!Salim-'2024'!Resal)*(1-EXP(('2024'!Tnet-t)/('2024'!Tau_j))),Resal+(Salim-Resal)*(1-EXP((Tnet-t)/(Tau_j))))*Salcycl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5.5170336810717766E-5</v>
      </c>
      <c r="Q343" s="305">
        <f t="shared" si="130"/>
        <v>0.5</v>
      </c>
      <c r="R343" s="177">
        <f t="shared" si="131"/>
        <v>0.472064616648046</v>
      </c>
      <c r="S343" s="811">
        <f t="shared" si="132"/>
        <v>-2</v>
      </c>
      <c r="T343" s="176">
        <f t="shared" si="133"/>
        <v>4</v>
      </c>
      <c r="U343" s="251">
        <f t="shared" si="134"/>
        <v>-1.527935383351954</v>
      </c>
      <c r="V343" s="383">
        <f t="shared" si="135"/>
        <v>25.554490448886447</v>
      </c>
      <c r="W343" s="402">
        <f t="shared" si="136"/>
        <v>5.1045784538732049</v>
      </c>
      <c r="X343" s="157">
        <f t="shared" si="137"/>
        <v>45986</v>
      </c>
      <c r="Y343" s="385">
        <f t="shared" si="138"/>
        <v>4.8798673212288728</v>
      </c>
      <c r="Z343" s="385">
        <f t="shared" si="139"/>
        <v>5.1802171901601088</v>
      </c>
      <c r="AA343" s="386">
        <f t="shared" si="140"/>
        <v>5.5549405213291232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6.745766758981514E-2</v>
      </c>
      <c r="AD343" s="231">
        <f>(INDEX(Models!$BJ343:$BT343,,AH343)*(1-AF343)+INDEX(Models!$BJ343:$BT343,,AH343+1)*AF343-ERP_i)*AE343*Ramure*Pc/MaxiM</f>
        <v>8.8735866583173598E-4</v>
      </c>
      <c r="AE343" s="305">
        <f t="shared" si="142"/>
        <v>0.5</v>
      </c>
      <c r="AF343" s="177">
        <f t="shared" si="143"/>
        <v>0.99705218302202492</v>
      </c>
      <c r="AG343" s="811">
        <f t="shared" si="149"/>
        <v>1</v>
      </c>
      <c r="AH343" s="176">
        <f t="shared" si="144"/>
        <v>7</v>
      </c>
      <c r="AI343" s="225">
        <f t="shared" si="145"/>
        <v>1.9970521830220249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10.232060187140545</v>
      </c>
      <c r="C344" s="841"/>
      <c r="D344" s="393">
        <f t="shared" si="127"/>
        <v>10.862068892137467</v>
      </c>
      <c r="E344" s="385">
        <f t="shared" si="125"/>
        <v>11.135874422825282</v>
      </c>
      <c r="F344" s="385">
        <f t="shared" si="128"/>
        <v>11.13596789201921</v>
      </c>
      <c r="G344" s="110">
        <f t="shared" si="126"/>
        <v>0.40356190401066822</v>
      </c>
      <c r="H344" s="414" t="b">
        <f>Wh_hp&gt;='2024'!Maxi_hp</f>
        <v>0</v>
      </c>
      <c r="I344" s="390">
        <f>IF(H344,Wh_hp,'2024'!Maxi_hp)</f>
        <v>26.793324525882319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5.8000801804245161E-2</v>
      </c>
      <c r="M344" s="845"/>
      <c r="N344" s="845"/>
      <c r="O344" s="48">
        <f>IF(t&lt;Tnet,'2024'!Resal+('2024'!Salim-'2024'!Resal)*(1-EXP(('2024'!Tnet-t)/('2024'!Tau_j))),Resal+(Salim-Resal)*(1-EXP((Tnet-t)/(Tau_j))))*Salcycl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5.6722681462863871E-5</v>
      </c>
      <c r="Q344" s="305">
        <f t="shared" si="130"/>
        <v>0.5</v>
      </c>
      <c r="R344" s="177">
        <f t="shared" si="131"/>
        <v>0.47208481670144442</v>
      </c>
      <c r="S344" s="811">
        <f t="shared" si="132"/>
        <v>-2</v>
      </c>
      <c r="T344" s="176">
        <f t="shared" si="133"/>
        <v>4</v>
      </c>
      <c r="U344" s="251">
        <f t="shared" si="134"/>
        <v>-1.5279151832985556</v>
      </c>
      <c r="V344" s="383">
        <f t="shared" si="135"/>
        <v>25.353150467637221</v>
      </c>
      <c r="W344" s="402">
        <f t="shared" si="136"/>
        <v>10.232060187140545</v>
      </c>
      <c r="X344" s="157">
        <f t="shared" si="137"/>
        <v>45987</v>
      </c>
      <c r="Y344" s="385">
        <f t="shared" si="138"/>
        <v>9.7810441909435344</v>
      </c>
      <c r="Z344" s="385">
        <f t="shared" si="139"/>
        <v>10.383282926012594</v>
      </c>
      <c r="AA344" s="386">
        <f t="shared" si="140"/>
        <v>11.134486486627855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6.746638576618974E-2</v>
      </c>
      <c r="AD344" s="231">
        <f>(INDEX(Models!$BJ344:$BT344,,AH344)*(1-AF344)+INDEX(Models!$BJ344:$BT344,,AH344+1)*AF344-ERP_i)*AE344*Ramure*Pc/MaxiM</f>
        <v>8.9900514383490127E-4</v>
      </c>
      <c r="AE344" s="305">
        <f t="shared" si="142"/>
        <v>0.5</v>
      </c>
      <c r="AF344" s="177">
        <f t="shared" si="143"/>
        <v>0.99707238307542312</v>
      </c>
      <c r="AG344" s="811">
        <f t="shared" si="149"/>
        <v>1</v>
      </c>
      <c r="AH344" s="176">
        <f t="shared" si="144"/>
        <v>7</v>
      </c>
      <c r="AI344" s="225">
        <f t="shared" si="145"/>
        <v>1.9970723830754231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14.554654754071979</v>
      </c>
      <c r="C345" s="841"/>
      <c r="D345" s="393">
        <f t="shared" si="127"/>
        <v>15.45115279633427</v>
      </c>
      <c r="E345" s="385">
        <f t="shared" si="125"/>
        <v>15.841816704042062</v>
      </c>
      <c r="F345" s="385">
        <f t="shared" si="128"/>
        <v>15.842183906291595</v>
      </c>
      <c r="G345" s="110">
        <f t="shared" si="126"/>
        <v>0.57861982417295921</v>
      </c>
      <c r="H345" s="414" t="b">
        <f>Wh_hp&gt;='2024'!Maxi_hp</f>
        <v>0</v>
      </c>
      <c r="I345" s="390">
        <f>IF(H345,Wh_hp,'2024'!Maxi_hp)</f>
        <v>25.130362962848679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5.8021434004262851E-2</v>
      </c>
      <c r="M345" s="845"/>
      <c r="N345" s="845"/>
      <c r="O345" s="48">
        <f>IF(t&lt;Tnet,'2024'!Resal+('2024'!Salim-'2024'!Resal)*(1-EXP(('2024'!Tnet-t)/('2024'!Tau_j))),Resal+(Salim-Resal)*(1-EXP((Tnet-t)/(Tau_j))))*Salcycl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5.8229719096996333E-5</v>
      </c>
      <c r="Q345" s="305">
        <f t="shared" si="130"/>
        <v>0.5</v>
      </c>
      <c r="R345" s="177">
        <f t="shared" si="131"/>
        <v>0.472104204975905</v>
      </c>
      <c r="S345" s="811">
        <f t="shared" si="132"/>
        <v>-2</v>
      </c>
      <c r="T345" s="176">
        <f t="shared" si="133"/>
        <v>4</v>
      </c>
      <c r="U345" s="251">
        <f t="shared" si="134"/>
        <v>-1.527895795024095</v>
      </c>
      <c r="V345" s="383">
        <f t="shared" si="135"/>
        <v>25.153207649783447</v>
      </c>
      <c r="W345" s="402">
        <f t="shared" si="136"/>
        <v>14.554654754071979</v>
      </c>
      <c r="X345" s="157">
        <f t="shared" si="137"/>
        <v>45988</v>
      </c>
      <c r="Y345" s="385">
        <f t="shared" si="138"/>
        <v>13.91101061719908</v>
      </c>
      <c r="Z345" s="385">
        <f t="shared" si="139"/>
        <v>14.76786321830388</v>
      </c>
      <c r="AA345" s="386">
        <f t="shared" si="140"/>
        <v>15.836447209994693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6.7476244988611336E-2</v>
      </c>
      <c r="AD345" s="231">
        <f>(INDEX(Models!$BJ345:$BT345,,AH345)*(1-AF345)+INDEX(Models!$BJ345:$BT345,,AH345+1)*AF345-ERP_i)*AE345*Ramure*Pc/MaxiM</f>
        <v>9.0970633850510256E-4</v>
      </c>
      <c r="AE345" s="305">
        <f t="shared" si="142"/>
        <v>0.5</v>
      </c>
      <c r="AF345" s="177">
        <f t="shared" si="143"/>
        <v>0.99709177134988369</v>
      </c>
      <c r="AG345" s="811">
        <f t="shared" si="149"/>
        <v>1</v>
      </c>
      <c r="AH345" s="176">
        <f t="shared" si="144"/>
        <v>7</v>
      </c>
      <c r="AI345" s="225">
        <f t="shared" si="145"/>
        <v>1.9970917713498837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10.550106036440344</v>
      </c>
      <c r="C346" s="841"/>
      <c r="D346" s="393">
        <f t="shared" si="127"/>
        <v>11.200188089999122</v>
      </c>
      <c r="E346" s="385">
        <f t="shared" si="125"/>
        <v>11.484229664192194</v>
      </c>
      <c r="F346" s="385">
        <f t="shared" si="128"/>
        <v>11.484349785936455</v>
      </c>
      <c r="G346" s="110">
        <f t="shared" si="126"/>
        <v>0.42278884725322674</v>
      </c>
      <c r="H346" s="414" t="b">
        <f>Wh_hp&gt;='2024'!Maxi_hp</f>
        <v>0</v>
      </c>
      <c r="I346" s="390">
        <f>IF(H346,Wh_hp,'2024'!Maxi_hp)</f>
        <v>18.630206084198146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5.8042065752382355E-2</v>
      </c>
      <c r="M346" s="845"/>
      <c r="N346" s="845"/>
      <c r="O346" s="48">
        <f>IF(t&lt;Tnet,'2024'!Resal+('2024'!Salim-'2024'!Resal)*(1-EXP(('2024'!Tnet-t)/('2024'!Tau_j))),Resal+(Salim-Resal)*(1-EXP((Tnet-t)/(Tau_j))))*Salcycl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5.9618470097576511E-5</v>
      </c>
      <c r="Q346" s="305">
        <f t="shared" si="130"/>
        <v>0.5</v>
      </c>
      <c r="R346" s="177">
        <f t="shared" si="131"/>
        <v>0.47212281403513967</v>
      </c>
      <c r="S346" s="811">
        <f t="shared" si="132"/>
        <v>-2</v>
      </c>
      <c r="T346" s="176">
        <f t="shared" si="133"/>
        <v>4</v>
      </c>
      <c r="U346" s="251">
        <f t="shared" si="134"/>
        <v>-1.5278771859648603</v>
      </c>
      <c r="V346" s="383">
        <f t="shared" si="135"/>
        <v>24.952378636044973</v>
      </c>
      <c r="W346" s="402">
        <f t="shared" si="136"/>
        <v>10.550106036440344</v>
      </c>
      <c r="X346" s="157">
        <f t="shared" si="137"/>
        <v>45989</v>
      </c>
      <c r="Y346" s="385">
        <f t="shared" si="138"/>
        <v>10.086085686660301</v>
      </c>
      <c r="Z346" s="385">
        <f t="shared" si="139"/>
        <v>10.707575487133075</v>
      </c>
      <c r="AA346" s="386">
        <f t="shared" si="140"/>
        <v>11.482497701539746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6.7487251863569409E-2</v>
      </c>
      <c r="AD346" s="231">
        <f>(INDEX(Models!$BJ346:$BT346,,AH346)*(1-AF346)+INDEX(Models!$BJ346:$BT346,,AH346+1)*AF346-ERP_i)*AE346*Ramure*Pc/MaxiM</f>
        <v>9.1922106945039044E-4</v>
      </c>
      <c r="AE346" s="305">
        <f t="shared" si="142"/>
        <v>0.5</v>
      </c>
      <c r="AF346" s="177">
        <f t="shared" si="143"/>
        <v>0.99711038040911859</v>
      </c>
      <c r="AG346" s="811">
        <f t="shared" si="149"/>
        <v>1</v>
      </c>
      <c r="AH346" s="176">
        <f t="shared" si="144"/>
        <v>7</v>
      </c>
      <c r="AI346" s="225">
        <f t="shared" si="145"/>
        <v>1.9971103804091186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14.678637664193415</v>
      </c>
      <c r="C347" s="841"/>
      <c r="D347" s="393">
        <f t="shared" si="127"/>
        <v>15.58345509642799</v>
      </c>
      <c r="E347" s="385">
        <f t="shared" si="125"/>
        <v>15.979857297314819</v>
      </c>
      <c r="F347" s="385">
        <f t="shared" si="128"/>
        <v>15.98026435675054</v>
      </c>
      <c r="G347" s="110">
        <f t="shared" si="126"/>
        <v>0.59300628389985044</v>
      </c>
      <c r="H347" s="414" t="b">
        <f>Wh_hp&gt;='2024'!Maxi_hp</f>
        <v>0</v>
      </c>
      <c r="I347" s="390">
        <f>IF(H347,Wh_hp,'2024'!Maxi_hp)</f>
        <v>26.41641779115476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5.8062697048613776E-2</v>
      </c>
      <c r="M347" s="845"/>
      <c r="N347" s="845"/>
      <c r="O347" s="48">
        <f>IF(t&lt;Tnet,'2024'!Resal+('2024'!Salim-'2024'!Resal)*(1-EXP(('2024'!Tnet-t)/('2024'!Tau_j))),Resal+(Salim-Resal)*(1-EXP((Tnet-t)/(Tau_j))))*Salcycl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6.0850461458163831E-5</v>
      </c>
      <c r="Q347" s="305">
        <f t="shared" si="130"/>
        <v>0.5</v>
      </c>
      <c r="R347" s="177">
        <f t="shared" si="131"/>
        <v>0.47214067514126867</v>
      </c>
      <c r="S347" s="811">
        <f t="shared" si="132"/>
        <v>-2</v>
      </c>
      <c r="T347" s="176">
        <f t="shared" si="133"/>
        <v>4</v>
      </c>
      <c r="U347" s="251">
        <f t="shared" si="134"/>
        <v>-1.5278593248587313</v>
      </c>
      <c r="V347" s="383">
        <f t="shared" si="135"/>
        <v>24.752045216342363</v>
      </c>
      <c r="W347" s="402">
        <f t="shared" si="136"/>
        <v>14.678637664193415</v>
      </c>
      <c r="X347" s="157">
        <f t="shared" si="137"/>
        <v>45990</v>
      </c>
      <c r="Y347" s="385">
        <f t="shared" si="138"/>
        <v>14.030925360918777</v>
      </c>
      <c r="Z347" s="385">
        <f t="shared" si="139"/>
        <v>14.89581665038158</v>
      </c>
      <c r="AA347" s="386">
        <f t="shared" si="140"/>
        <v>15.97405598523105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6.7499408781737477E-2</v>
      </c>
      <c r="AD347" s="231">
        <f>(INDEX(Models!$BJ347:$BT347,,AH347)*(1-AF347)+INDEX(Models!$BJ347:$BT347,,AH347+1)*AF347-ERP_i)*AE347*Ramure*Pc/MaxiM</f>
        <v>9.2807643973570641E-4</v>
      </c>
      <c r="AE347" s="305">
        <f t="shared" si="142"/>
        <v>0.5</v>
      </c>
      <c r="AF347" s="177">
        <f t="shared" si="143"/>
        <v>0.99712824151524782</v>
      </c>
      <c r="AG347" s="811">
        <f t="shared" si="149"/>
        <v>1</v>
      </c>
      <c r="AH347" s="176">
        <f t="shared" si="144"/>
        <v>7</v>
      </c>
      <c r="AI347" s="225">
        <f t="shared" si="145"/>
        <v>1.9971282415152478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4.0894828359802764</v>
      </c>
      <c r="C348" s="841"/>
      <c r="D348" s="393">
        <f t="shared" si="127"/>
        <v>4.341660952695797</v>
      </c>
      <c r="E348" s="385">
        <f t="shared" si="125"/>
        <v>4.4524368988417606</v>
      </c>
      <c r="F348" s="385">
        <f t="shared" si="128"/>
        <v>4.4524368988417606</v>
      </c>
      <c r="G348" s="110">
        <f t="shared" si="126"/>
        <v>0.16654305844674699</v>
      </c>
      <c r="H348" s="414" t="b">
        <f>Wh_hp&gt;='2024'!Maxi_hp</f>
        <v>0</v>
      </c>
      <c r="I348" s="390">
        <f>IF(H348,Wh_hp,'2024'!Maxi_hp)</f>
        <v>25.687652657075112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5.8083327892966774E-2</v>
      </c>
      <c r="M348" s="845"/>
      <c r="N348" s="845"/>
      <c r="O348" s="48">
        <f>IF(t&lt;Tnet,'2024'!Resal+('2024'!Salim-'2024'!Resal)*(1-EXP(('2024'!Tnet-t)/('2024'!Tau_j))),Resal+(Salim-Resal)*(1-EXP((Tnet-t)/(Tau_j))))*Salcycl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6.1921707010025793E-5</v>
      </c>
      <c r="Q348" s="305">
        <f t="shared" si="130"/>
        <v>0.5</v>
      </c>
      <c r="R348" s="177">
        <f t="shared" si="131"/>
        <v>0.47215781830647785</v>
      </c>
      <c r="S348" s="811">
        <f t="shared" si="132"/>
        <v>-2</v>
      </c>
      <c r="T348" s="176">
        <f t="shared" si="133"/>
        <v>4</v>
      </c>
      <c r="U348" s="251">
        <f t="shared" si="134"/>
        <v>-1.5278421816935221</v>
      </c>
      <c r="V348" s="383">
        <f t="shared" si="135"/>
        <v>24.553587801018061</v>
      </c>
      <c r="W348" s="402">
        <f t="shared" si="136"/>
        <v>4.0894828359802764</v>
      </c>
      <c r="X348" s="157">
        <f t="shared" si="137"/>
        <v>45991</v>
      </c>
      <c r="Y348" s="385">
        <f t="shared" si="138"/>
        <v>3.9106880693521262</v>
      </c>
      <c r="Z348" s="385">
        <f t="shared" si="139"/>
        <v>4.1518407998916294</v>
      </c>
      <c r="AA348" s="386">
        <f t="shared" si="140"/>
        <v>4.4524368988417606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6.7512713999007462E-2</v>
      </c>
      <c r="AD348" s="231">
        <f>(INDEX(Models!$BJ348:$BT348,,AH348)*(1-AF348)+INDEX(Models!$BJ348:$BT348,,AH348+1)*AF348-ERP_i)*AE348*Ramure*Pc/MaxiM</f>
        <v>9.3622218017084039E-4</v>
      </c>
      <c r="AE348" s="305">
        <f t="shared" si="142"/>
        <v>0.5</v>
      </c>
      <c r="AF348" s="177">
        <f t="shared" si="143"/>
        <v>0.99714538468045677</v>
      </c>
      <c r="AG348" s="811">
        <f t="shared" si="149"/>
        <v>1</v>
      </c>
      <c r="AH348" s="176">
        <f t="shared" si="144"/>
        <v>7</v>
      </c>
      <c r="AI348" s="225">
        <f t="shared" si="145"/>
        <v>1.9971453846804568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3.5188320293173647</v>
      </c>
      <c r="C349" s="841"/>
      <c r="D349" s="393">
        <f t="shared" si="127"/>
        <v>3.7359027679020471</v>
      </c>
      <c r="E349" s="385">
        <f t="shared" si="125"/>
        <v>3.8315129057421631</v>
      </c>
      <c r="F349" s="385">
        <f t="shared" si="128"/>
        <v>3.8315129057421631</v>
      </c>
      <c r="G349" s="110">
        <f t="shared" si="126"/>
        <v>0.14445172615143087</v>
      </c>
      <c r="H349" s="414" t="b">
        <f>Wh_hp&gt;='2024'!Maxi_hp</f>
        <v>0</v>
      </c>
      <c r="I349" s="390">
        <f>IF(H349,Wh_hp,'2024'!Maxi_hp)</f>
        <v>26.512351889003813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5.8103958285451229E-2</v>
      </c>
      <c r="M349" s="845"/>
      <c r="N349" s="845"/>
      <c r="O349" s="48">
        <f>IF(t&lt;Tnet,'2024'!Resal+('2024'!Salim-'2024'!Resal)*(1-EXP(('2024'!Tnet-t)/('2024'!Tau_j))),Resal+(Salim-Resal)*(1-EXP((Tnet-t)/(Tau_j))))*Salcycl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6.2827637989750846E-5</v>
      </c>
      <c r="Q349" s="305">
        <f t="shared" si="130"/>
        <v>0.5</v>
      </c>
      <c r="R349" s="177">
        <f t="shared" si="131"/>
        <v>0.47217427234265341</v>
      </c>
      <c r="S349" s="811">
        <f t="shared" si="132"/>
        <v>-2</v>
      </c>
      <c r="T349" s="176">
        <f t="shared" si="133"/>
        <v>4</v>
      </c>
      <c r="U349" s="251">
        <f t="shared" si="134"/>
        <v>-1.5278257276573466</v>
      </c>
      <c r="V349" s="383">
        <f t="shared" si="135"/>
        <v>24.358386314635439</v>
      </c>
      <c r="W349" s="402">
        <f t="shared" si="136"/>
        <v>3.5188320293173647</v>
      </c>
      <c r="X349" s="157">
        <f t="shared" si="137"/>
        <v>45992</v>
      </c>
      <c r="Y349" s="385">
        <f t="shared" si="138"/>
        <v>3.3651889543643243</v>
      </c>
      <c r="Z349" s="385">
        <f t="shared" si="139"/>
        <v>3.5727817140399227</v>
      </c>
      <c r="AA349" s="386">
        <f t="shared" si="140"/>
        <v>3.8315129057421631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6.7527161741903097E-2</v>
      </c>
      <c r="AD349" s="231">
        <f>(INDEX(Models!$BJ349:$BT349,,AH349)*(1-AF349)+INDEX(Models!$BJ349:$BT349,,AH349+1)*AF349-ERP_i)*AE349*Ramure*Pc/MaxiM</f>
        <v>9.4360291961517425E-4</v>
      </c>
      <c r="AE349" s="305">
        <f t="shared" si="142"/>
        <v>0.5</v>
      </c>
      <c r="AF349" s="177">
        <f t="shared" si="143"/>
        <v>0.99716183871663233</v>
      </c>
      <c r="AG349" s="811">
        <f t="shared" si="149"/>
        <v>1</v>
      </c>
      <c r="AH349" s="176">
        <f t="shared" si="144"/>
        <v>7</v>
      </c>
      <c r="AI349" s="225">
        <f t="shared" si="145"/>
        <v>1.9971618387166323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5.8351333130971961</v>
      </c>
      <c r="C350" s="841"/>
      <c r="D350" s="393">
        <f t="shared" si="127"/>
        <v>6.1952284136044495</v>
      </c>
      <c r="E350" s="385">
        <f t="shared" si="125"/>
        <v>6.3542609769107976</v>
      </c>
      <c r="F350" s="385">
        <f t="shared" si="128"/>
        <v>6.3542609769107976</v>
      </c>
      <c r="G350" s="110">
        <f t="shared" si="126"/>
        <v>0.2414269210554483</v>
      </c>
      <c r="H350" s="414" t="b">
        <f>Wh_hp&gt;='2024'!Maxi_hp</f>
        <v>0</v>
      </c>
      <c r="I350" s="390">
        <f>IF(H350,Wh_hp,'2024'!Maxi_hp)</f>
        <v>10.56169638849005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5.8124588226077356E-2</v>
      </c>
      <c r="M350" s="845"/>
      <c r="N350" s="845"/>
      <c r="O350" s="48">
        <f>IF(t&lt;Tnet,'2024'!Resal+('2024'!Salim-'2024'!Resal)*(1-EXP(('2024'!Tnet-t)/('2024'!Tau_j))),Resal+(Salim-Resal)*(1-EXP((Tnet-t)/(Tau_j))))*Salcycl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6.3563174089106427E-5</v>
      </c>
      <c r="Q350" s="305">
        <f t="shared" si="130"/>
        <v>0.5</v>
      </c>
      <c r="R350" s="177">
        <f t="shared" si="131"/>
        <v>0.47219006490907534</v>
      </c>
      <c r="S350" s="811">
        <f t="shared" si="132"/>
        <v>-2</v>
      </c>
      <c r="T350" s="176">
        <f t="shared" si="133"/>
        <v>4</v>
      </c>
      <c r="U350" s="251">
        <f t="shared" si="134"/>
        <v>-1.5278099350909247</v>
      </c>
      <c r="V350" s="383">
        <f t="shared" si="135"/>
        <v>24.167820175126693</v>
      </c>
      <c r="W350" s="402">
        <f t="shared" si="136"/>
        <v>5.8351333130971961</v>
      </c>
      <c r="X350" s="157">
        <f t="shared" si="137"/>
        <v>45993</v>
      </c>
      <c r="Y350" s="385">
        <f t="shared" si="138"/>
        <v>5.580684117835272</v>
      </c>
      <c r="Z350" s="385">
        <f t="shared" si="139"/>
        <v>5.9250767650093383</v>
      </c>
      <c r="AA350" s="386">
        <f t="shared" si="140"/>
        <v>6.3542609769107976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6.7542742336357792E-2</v>
      </c>
      <c r="AD350" s="231">
        <f>(INDEX(Models!$BJ350:$BT350,,AH350)*(1-AF350)+INDEX(Models!$BJ350:$BT350,,AH350+1)*AF350-ERP_i)*AE350*Ramure*Pc/MaxiM</f>
        <v>9.5015845941083565E-4</v>
      </c>
      <c r="AE350" s="305">
        <f t="shared" si="142"/>
        <v>0.5</v>
      </c>
      <c r="AF350" s="177">
        <f t="shared" si="143"/>
        <v>0.99717763128305426</v>
      </c>
      <c r="AG350" s="811">
        <f t="shared" si="149"/>
        <v>1</v>
      </c>
      <c r="AH350" s="176">
        <f t="shared" si="144"/>
        <v>7</v>
      </c>
      <c r="AI350" s="225">
        <f t="shared" si="145"/>
        <v>1.9971776312830543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8.7158528377838564</v>
      </c>
      <c r="C351" s="841"/>
      <c r="D351" s="393">
        <f t="shared" si="127"/>
        <v>9.2539242797464958</v>
      </c>
      <c r="E351" s="385">
        <f t="shared" si="125"/>
        <v>9.4921982094611383</v>
      </c>
      <c r="F351" s="385">
        <f t="shared" si="128"/>
        <v>9.4922533496443027</v>
      </c>
      <c r="G351" s="110">
        <f t="shared" si="126"/>
        <v>0.36339269825275639</v>
      </c>
      <c r="H351" s="414" t="b">
        <f>Wh_hp&gt;='2024'!Maxi_hp</f>
        <v>0</v>
      </c>
      <c r="I351" s="390">
        <f>IF(H351,Wh_hp,'2024'!Maxi_hp)</f>
        <v>17.22212353344614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5.8145217714854702E-2</v>
      </c>
      <c r="M351" s="845"/>
      <c r="N351" s="845"/>
      <c r="O351" s="48">
        <f>IF(t&lt;Tnet,'2024'!Resal+('2024'!Salim-'2024'!Resal)*(1-EXP(('2024'!Tnet-t)/('2024'!Tau_j))),Resal+(Salim-Resal)*(1-EXP((Tnet-t)/(Tau_j))))*Salcycl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6.4122806987622634E-5</v>
      </c>
      <c r="Q351" s="305">
        <f t="shared" si="130"/>
        <v>0.5</v>
      </c>
      <c r="R351" s="177">
        <f t="shared" si="131"/>
        <v>0.47220522255823782</v>
      </c>
      <c r="S351" s="811">
        <f t="shared" si="132"/>
        <v>-2</v>
      </c>
      <c r="T351" s="176">
        <f t="shared" si="133"/>
        <v>4</v>
      </c>
      <c r="U351" s="251">
        <f t="shared" si="134"/>
        <v>-1.5277947774417622</v>
      </c>
      <c r="V351" s="383">
        <f t="shared" si="135"/>
        <v>23.983268298689676</v>
      </c>
      <c r="W351" s="402">
        <f t="shared" si="136"/>
        <v>8.7158528377838564</v>
      </c>
      <c r="X351" s="157">
        <f t="shared" si="137"/>
        <v>45994</v>
      </c>
      <c r="Y351" s="385">
        <f t="shared" si="138"/>
        <v>8.3355990573489525</v>
      </c>
      <c r="Z351" s="385">
        <f t="shared" si="139"/>
        <v>8.850195607782517</v>
      </c>
      <c r="AA351" s="386">
        <f t="shared" si="140"/>
        <v>9.4914314218266238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6.755944235866386E-2</v>
      </c>
      <c r="AD351" s="231">
        <f>(INDEX(Models!$BJ351:$BT351,,AH351)*(1-AF351)+INDEX(Models!$BJ351:$BT351,,AH351+1)*AF351-ERP_i)*AE351*Ramure*Pc/MaxiM</f>
        <v>9.5582415193021665E-4</v>
      </c>
      <c r="AE351" s="305">
        <f t="shared" si="142"/>
        <v>0.5</v>
      </c>
      <c r="AF351" s="177">
        <f t="shared" si="143"/>
        <v>0.99719278893221674</v>
      </c>
      <c r="AG351" s="811">
        <f t="shared" si="149"/>
        <v>1</v>
      </c>
      <c r="AH351" s="176">
        <f t="shared" si="144"/>
        <v>7</v>
      </c>
      <c r="AI351" s="225">
        <f t="shared" si="145"/>
        <v>1.9971927889322167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17.304775283223712</v>
      </c>
      <c r="C352" s="841"/>
      <c r="D352" s="393">
        <f t="shared" si="127"/>
        <v>18.373484571081686</v>
      </c>
      <c r="E352" s="385">
        <f t="shared" si="125"/>
        <v>18.848016445445207</v>
      </c>
      <c r="F352" s="385">
        <f t="shared" si="128"/>
        <v>18.848758214784411</v>
      </c>
      <c r="G352" s="110">
        <f t="shared" si="126"/>
        <v>0.72688653311885387</v>
      </c>
      <c r="H352" s="414" t="b">
        <f>Wh_hp&gt;='2024'!Maxi_hp</f>
        <v>1</v>
      </c>
      <c r="I352" s="390">
        <f>IF(H352,Wh_hp,'2024'!Maxi_hp)</f>
        <v>18.848758214784411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5.816584675179326E-2</v>
      </c>
      <c r="M352" s="845"/>
      <c r="N352" s="845"/>
      <c r="O352" s="48">
        <f>IF(t&lt;Tnet,'2024'!Resal+('2024'!Salim-'2024'!Resal)*(1-EXP(('2024'!Tnet-t)/('2024'!Tau_j))),Resal+(Salim-Resal)*(1-EXP((Tnet-t)/(Tau_j))))*Salcycl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6.4528727701867897E-5</v>
      </c>
      <c r="Q352" s="305">
        <f t="shared" si="130"/>
        <v>0.5</v>
      </c>
      <c r="R352" s="177">
        <f t="shared" si="131"/>
        <v>0.47221977077987276</v>
      </c>
      <c r="S352" s="811">
        <f t="shared" si="132"/>
        <v>-2</v>
      </c>
      <c r="T352" s="176">
        <f t="shared" si="133"/>
        <v>4</v>
      </c>
      <c r="U352" s="251">
        <f t="shared" si="134"/>
        <v>-1.5277802292201272</v>
      </c>
      <c r="V352" s="383">
        <f t="shared" si="135"/>
        <v>23.806108423164662</v>
      </c>
      <c r="W352" s="402">
        <f t="shared" si="136"/>
        <v>17.304775283223712</v>
      </c>
      <c r="X352" s="157">
        <f t="shared" si="137"/>
        <v>45995</v>
      </c>
      <c r="Y352" s="385">
        <f t="shared" si="138"/>
        <v>16.543047652366159</v>
      </c>
      <c r="Z352" s="385">
        <f t="shared" si="139"/>
        <v>17.564714122239394</v>
      </c>
      <c r="AA352" s="386">
        <f t="shared" si="140"/>
        <v>18.837715000432471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6.757724480723129E-2</v>
      </c>
      <c r="AD352" s="231">
        <f>(INDEX(Models!$BJ352:$BT352,,AH352)*(1-AF352)+INDEX(Models!$BJ352:$BT352,,AH352+1)*AF352-ERP_i)*AE352*Ramure*Pc/MaxiM</f>
        <v>9.6068216116414174E-4</v>
      </c>
      <c r="AE352" s="305">
        <f t="shared" si="142"/>
        <v>0.5</v>
      </c>
      <c r="AF352" s="177">
        <f t="shared" si="143"/>
        <v>0.9972073371538519</v>
      </c>
      <c r="AG352" s="811">
        <f t="shared" si="149"/>
        <v>1</v>
      </c>
      <c r="AH352" s="176">
        <f t="shared" si="144"/>
        <v>7</v>
      </c>
      <c r="AI352" s="225">
        <f t="shared" si="145"/>
        <v>1.9972073371538519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23.553006198410866</v>
      </c>
      <c r="C353" s="841"/>
      <c r="D353" s="393">
        <f t="shared" si="127"/>
        <v>25.008141825990645</v>
      </c>
      <c r="E353" s="385">
        <f t="shared" si="125"/>
        <v>25.655999922145181</v>
      </c>
      <c r="F353" s="385">
        <f t="shared" si="128"/>
        <v>25.657655960530157</v>
      </c>
      <c r="G353" s="110">
        <f t="shared" si="126"/>
        <v>0.99641599543404269</v>
      </c>
      <c r="H353" s="414" t="b">
        <f>Wh_hp&gt;='2024'!Maxi_hp</f>
        <v>1</v>
      </c>
      <c r="I353" s="390">
        <f>IF(H353,Wh_hp,'2024'!Maxi_hp)</f>
        <v>25.657655960530157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5.8186475336903021E-2</v>
      </c>
      <c r="M353" s="845"/>
      <c r="N353" s="845"/>
      <c r="O353" s="48">
        <f>IF(t&lt;Tnet,'2024'!Resal+('2024'!Salim-'2024'!Resal)*(1-EXP(('2024'!Tnet-t)/('2024'!Tau_j))),Resal+(Salim-Resal)*(1-EXP((Tnet-t)/(Tau_j))))*Salcycl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6.4875768830141063E-5</v>
      </c>
      <c r="Q353" s="305">
        <f t="shared" si="130"/>
        <v>0.5</v>
      </c>
      <c r="R353" s="177">
        <f t="shared" si="131"/>
        <v>0.47223373404324187</v>
      </c>
      <c r="S353" s="811">
        <f t="shared" si="132"/>
        <v>-2</v>
      </c>
      <c r="T353" s="176">
        <f t="shared" si="133"/>
        <v>4</v>
      </c>
      <c r="U353" s="251">
        <f t="shared" si="134"/>
        <v>-1.5277662659567581</v>
      </c>
      <c r="V353" s="383">
        <f t="shared" si="135"/>
        <v>23.637716057437824</v>
      </c>
      <c r="W353" s="402">
        <f t="shared" si="136"/>
        <v>23.553006198410866</v>
      </c>
      <c r="X353" s="157">
        <f t="shared" si="137"/>
        <v>45996</v>
      </c>
      <c r="Y353" s="385">
        <f t="shared" si="138"/>
        <v>22.509648157144504</v>
      </c>
      <c r="Z353" s="385">
        <f t="shared" si="139"/>
        <v>23.900323755911867</v>
      </c>
      <c r="AA353" s="386">
        <f t="shared" si="140"/>
        <v>25.633016450055855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6.7596129293640478E-2</v>
      </c>
      <c r="AD353" s="231">
        <f>(INDEX(Models!$BJ353:$BT353,,AH353)*(1-AF353)+INDEX(Models!$BJ353:$BT353,,AH353+1)*AF353-ERP_i)*AE353*Ramure*Pc/MaxiM</f>
        <v>9.6525974284352009E-4</v>
      </c>
      <c r="AE353" s="305">
        <f t="shared" si="142"/>
        <v>0.5</v>
      </c>
      <c r="AF353" s="177">
        <f t="shared" si="143"/>
        <v>0.99722130041722079</v>
      </c>
      <c r="AG353" s="811">
        <f t="shared" si="149"/>
        <v>1</v>
      </c>
      <c r="AH353" s="176">
        <f t="shared" si="144"/>
        <v>7</v>
      </c>
      <c r="AI353" s="225">
        <f t="shared" si="145"/>
        <v>1.9972213004172208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10.907942863429177</v>
      </c>
      <c r="C354" s="841"/>
      <c r="D354" s="393">
        <f t="shared" si="127"/>
        <v>11.582103563980278</v>
      </c>
      <c r="E354" s="385">
        <f t="shared" si="125"/>
        <v>11.883065612953491</v>
      </c>
      <c r="F354" s="385">
        <f t="shared" si="128"/>
        <v>11.883247654987599</v>
      </c>
      <c r="G354" s="110">
        <f t="shared" si="126"/>
        <v>0.46455051400092207</v>
      </c>
      <c r="H354" s="414" t="b">
        <f>Wh_hp&gt;='2024'!Maxi_hp</f>
        <v>0</v>
      </c>
      <c r="I354" s="390">
        <f>IF(H354,Wh_hp,'2024'!Maxi_hp)</f>
        <v>20.632916228723204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5.8207103470193866E-2</v>
      </c>
      <c r="M354" s="845"/>
      <c r="N354" s="845"/>
      <c r="O354" s="48">
        <f>IF(t&lt;Tnet,'2024'!Resal+('2024'!Salim-'2024'!Resal)*(1-EXP(('2024'!Tnet-t)/('2024'!Tau_j))),Resal+(Salim-Resal)*(1-EXP((Tnet-t)/(Tau_j))))*Salcycl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6.5158971574483994E-5</v>
      </c>
      <c r="Q354" s="305">
        <f t="shared" si="130"/>
        <v>0.5</v>
      </c>
      <c r="R354" s="177">
        <f t="shared" si="131"/>
        <v>0.4722471358377649</v>
      </c>
      <c r="S354" s="811">
        <f t="shared" si="132"/>
        <v>-2</v>
      </c>
      <c r="T354" s="176">
        <f t="shared" si="133"/>
        <v>4</v>
      </c>
      <c r="U354" s="251">
        <f t="shared" si="134"/>
        <v>-1.5277528641622351</v>
      </c>
      <c r="V354" s="383">
        <f t="shared" si="135"/>
        <v>23.479468598477911</v>
      </c>
      <c r="W354" s="402">
        <f t="shared" si="136"/>
        <v>10.907942863429177</v>
      </c>
      <c r="X354" s="157">
        <f t="shared" si="137"/>
        <v>45997</v>
      </c>
      <c r="Y354" s="385">
        <f t="shared" si="138"/>
        <v>10.432450587792417</v>
      </c>
      <c r="Z354" s="385">
        <f t="shared" si="139"/>
        <v>11.07722369348137</v>
      </c>
      <c r="AA354" s="386">
        <f t="shared" si="140"/>
        <v>11.880539082466163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6.7616072251330844E-2</v>
      </c>
      <c r="AD354" s="231">
        <f>(INDEX(Models!$BJ354:$BT354,,AH354)*(1-AF354)+INDEX(Models!$BJ354:$BT354,,AH354+1)*AF354-ERP_i)*AE354*Ramure*Pc/MaxiM</f>
        <v>9.6948927645424472E-4</v>
      </c>
      <c r="AE354" s="305">
        <f t="shared" si="142"/>
        <v>0.5</v>
      </c>
      <c r="AF354" s="177">
        <f t="shared" si="143"/>
        <v>0.9972347022117436</v>
      </c>
      <c r="AG354" s="811">
        <f t="shared" si="149"/>
        <v>1</v>
      </c>
      <c r="AH354" s="176">
        <f t="shared" si="144"/>
        <v>7</v>
      </c>
      <c r="AI354" s="225">
        <f t="shared" si="145"/>
        <v>1.9972347022117436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19.791583756974397</v>
      </c>
      <c r="C355" s="841"/>
      <c r="D355" s="393">
        <f t="shared" si="127"/>
        <v>21.015254336568177</v>
      </c>
      <c r="E355" s="385">
        <f t="shared" si="125"/>
        <v>21.563008703939147</v>
      </c>
      <c r="F355" s="385">
        <f t="shared" si="128"/>
        <v>21.564112777516236</v>
      </c>
      <c r="G355" s="110">
        <f t="shared" si="126"/>
        <v>0.8482201731979534</v>
      </c>
      <c r="H355" s="414" t="b">
        <f>Wh_hp&gt;='2024'!Maxi_hp</f>
        <v>1</v>
      </c>
      <c r="I355" s="390">
        <f>IF(H355,Wh_hp,'2024'!Maxi_hp)</f>
        <v>21.564112777516236</v>
      </c>
      <c r="J355" s="85">
        <f>IF(H355,An,'2024'!An_max)</f>
        <v>2025</v>
      </c>
      <c r="K355" s="197">
        <f t="shared" si="129"/>
        <v>45998</v>
      </c>
      <c r="L355" s="147">
        <f>IF(t&lt;Tvie,1-EXP((T0-t)*PertePVj)+'2024'!Pspv,1-EXP((T0-t)*PertePVj)+Pspv)</f>
        <v>5.8227731151675677E-2</v>
      </c>
      <c r="M355" s="845"/>
      <c r="N355" s="845"/>
      <c r="O355" s="48">
        <f>IF(t&lt;Tnet,'2024'!Resal+('2024'!Salim-'2024'!Resal)*(1-EXP(('2024'!Tnet-t)/('2024'!Tau_j))),Resal+(Salim-Resal)*(1-EXP((Tnet-t)/(Tau_j))))*Salcycl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6.5373227219512017E-5</v>
      </c>
      <c r="Q355" s="305">
        <f t="shared" si="130"/>
        <v>0.5</v>
      </c>
      <c r="R355" s="177">
        <f t="shared" si="131"/>
        <v>0.47225999871204971</v>
      </c>
      <c r="S355" s="811">
        <f t="shared" si="132"/>
        <v>-2</v>
      </c>
      <c r="T355" s="176">
        <f t="shared" si="133"/>
        <v>4</v>
      </c>
      <c r="U355" s="251">
        <f t="shared" si="134"/>
        <v>-1.5277400012879503</v>
      </c>
      <c r="V355" s="383">
        <f t="shared" si="135"/>
        <v>23.332742899904151</v>
      </c>
      <c r="W355" s="402">
        <f t="shared" si="136"/>
        <v>19.791583756974397</v>
      </c>
      <c r="X355" s="157">
        <f t="shared" si="137"/>
        <v>45998</v>
      </c>
      <c r="Y355" s="385">
        <f t="shared" si="138"/>
        <v>18.92044392553321</v>
      </c>
      <c r="Z355" s="385">
        <f t="shared" si="139"/>
        <v>20.090253823963906</v>
      </c>
      <c r="AA355" s="386">
        <f t="shared" si="140"/>
        <v>21.547674929351885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6.7637047160141836E-2</v>
      </c>
      <c r="AD355" s="231">
        <f>(INDEX(Models!$BJ355:$BT355,,AH355)*(1-AF355)+INDEX(Models!$BJ355:$BT355,,AH355+1)*AF355-ERP_i)*AE355*Ramure*Pc/MaxiM</f>
        <v>9.7330033554738954E-4</v>
      </c>
      <c r="AE355" s="305">
        <f t="shared" si="142"/>
        <v>0.5</v>
      </c>
      <c r="AF355" s="177">
        <f t="shared" si="143"/>
        <v>0.99724756508602885</v>
      </c>
      <c r="AG355" s="811">
        <f t="shared" si="149"/>
        <v>1</v>
      </c>
      <c r="AH355" s="176">
        <f t="shared" si="144"/>
        <v>7</v>
      </c>
      <c r="AI355" s="225">
        <f t="shared" si="145"/>
        <v>1.9972475650860289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4.0857913442704303</v>
      </c>
      <c r="C356" s="841"/>
      <c r="D356" s="393">
        <f t="shared" si="127"/>
        <v>4.3385019613535789</v>
      </c>
      <c r="E356" s="385">
        <f t="shared" si="125"/>
        <v>4.4519295853277034</v>
      </c>
      <c r="F356" s="385">
        <f t="shared" si="128"/>
        <v>4.4519295853277034</v>
      </c>
      <c r="G356" s="110">
        <f t="shared" si="126"/>
        <v>0.17610839221594651</v>
      </c>
      <c r="H356" s="414" t="b">
        <f>Wh_hp&gt;='2024'!Maxi_hp</f>
        <v>0</v>
      </c>
      <c r="I356" s="390">
        <f>IF(H356,Wh_hp,'2024'!Maxi_hp)</f>
        <v>16.757981515209075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5.8248358381358223E-2</v>
      </c>
      <c r="M356" s="845"/>
      <c r="N356" s="845"/>
      <c r="O356" s="48">
        <f>IF(t&lt;Tnet,'2024'!Resal+('2024'!Salim-'2024'!Resal)*(1-EXP(('2024'!Tnet-t)/('2024'!Tau_j))),Resal+(Salim-Resal)*(1-EXP((Tnet-t)/(Tau_j))))*Salcycl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6.5513340201532629E-5</v>
      </c>
      <c r="Q356" s="305">
        <f t="shared" si="130"/>
        <v>0.5</v>
      </c>
      <c r="R356" s="177">
        <f t="shared" si="131"/>
        <v>0.47227234431138387</v>
      </c>
      <c r="S356" s="811">
        <f t="shared" si="132"/>
        <v>-2</v>
      </c>
      <c r="T356" s="176">
        <f t="shared" si="133"/>
        <v>4</v>
      </c>
      <c r="U356" s="251">
        <f t="shared" si="134"/>
        <v>-1.5277276556886161</v>
      </c>
      <c r="V356" s="383">
        <f t="shared" si="135"/>
        <v>23.198915276123667</v>
      </c>
      <c r="W356" s="402">
        <f t="shared" si="136"/>
        <v>4.0857913442704303</v>
      </c>
      <c r="X356" s="157">
        <f t="shared" si="137"/>
        <v>45999</v>
      </c>
      <c r="Y356" s="385">
        <f t="shared" si="138"/>
        <v>3.9089439564462731</v>
      </c>
      <c r="Z356" s="385">
        <f t="shared" si="139"/>
        <v>4.1507163711737736</v>
      </c>
      <c r="AA356" s="386">
        <f t="shared" si="140"/>
        <v>4.4519295853277034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6.7659024784813115E-2</v>
      </c>
      <c r="AD356" s="231">
        <f>(INDEX(Models!$BJ356:$BT356,,AH356)*(1-AF356)+INDEX(Models!$BJ356:$BT356,,AH356+1)*AF356-ERP_i)*AE356*Ramure*Pc/MaxiM</f>
        <v>9.7662020220905103E-4</v>
      </c>
      <c r="AE356" s="305">
        <f t="shared" si="142"/>
        <v>0.5</v>
      </c>
      <c r="AF356" s="177">
        <f t="shared" si="143"/>
        <v>0.99725991068536279</v>
      </c>
      <c r="AG356" s="811">
        <f t="shared" si="149"/>
        <v>1</v>
      </c>
      <c r="AH356" s="176">
        <f t="shared" si="144"/>
        <v>7</v>
      </c>
      <c r="AI356" s="225">
        <f t="shared" si="145"/>
        <v>1.9972599106853628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4.9434256694037693</v>
      </c>
      <c r="C357" s="841"/>
      <c r="D357" s="393">
        <f t="shared" si="127"/>
        <v>5.2492968708689371</v>
      </c>
      <c r="E357" s="385">
        <f t="shared" si="125"/>
        <v>5.3869571894488484</v>
      </c>
      <c r="F357" s="385">
        <f t="shared" si="128"/>
        <v>5.3869571894488484</v>
      </c>
      <c r="G357" s="110">
        <f t="shared" si="126"/>
        <v>0.21417843427852024</v>
      </c>
      <c r="H357" s="414" t="b">
        <f>Wh_hp&gt;='2024'!Maxi_hp</f>
        <v>0</v>
      </c>
      <c r="I357" s="390">
        <f>IF(H357,Wh_hp,'2024'!Maxi_hp)</f>
        <v>11.880379374635188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5.8268985159251607E-2</v>
      </c>
      <c r="M357" s="845"/>
      <c r="N357" s="845"/>
      <c r="O357" s="48">
        <f>IF(t&lt;Tnet,'2024'!Resal+('2024'!Salim-'2024'!Resal)*(1-EXP(('2024'!Tnet-t)/('2024'!Tau_j))),Resal+(Salim-Resal)*(1-EXP((Tnet-t)/(Tau_j))))*Salcycl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6.5574101027292264E-5</v>
      </c>
      <c r="Q357" s="305">
        <f t="shared" si="130"/>
        <v>0.5</v>
      </c>
      <c r="R357" s="177">
        <f t="shared" si="131"/>
        <v>0.47228419341374384</v>
      </c>
      <c r="S357" s="811">
        <f t="shared" si="132"/>
        <v>-2</v>
      </c>
      <c r="T357" s="176">
        <f t="shared" si="133"/>
        <v>4</v>
      </c>
      <c r="U357" s="251">
        <f t="shared" si="134"/>
        <v>-1.5277158065862562</v>
      </c>
      <c r="V357" s="383">
        <f t="shared" si="135"/>
        <v>23.079361492957009</v>
      </c>
      <c r="W357" s="402">
        <f t="shared" si="136"/>
        <v>4.9434256694037693</v>
      </c>
      <c r="X357" s="157">
        <f t="shared" si="137"/>
        <v>46000</v>
      </c>
      <c r="Y357" s="385">
        <f t="shared" si="138"/>
        <v>4.7297096333570909</v>
      </c>
      <c r="Z357" s="385">
        <f t="shared" si="139"/>
        <v>5.0223572961084955</v>
      </c>
      <c r="AA357" s="386">
        <f t="shared" si="140"/>
        <v>5.3869571894488484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6.7681973425457176E-2</v>
      </c>
      <c r="AD357" s="231">
        <f>(INDEX(Models!$BJ357:$BT357,,AH357)*(1-AF357)+INDEX(Models!$BJ357:$BT357,,AH357+1)*AF357-ERP_i)*AE357*Ramure*Pc/MaxiM</f>
        <v>9.7937450829596964E-4</v>
      </c>
      <c r="AE357" s="305">
        <f t="shared" si="142"/>
        <v>0.5</v>
      </c>
      <c r="AF357" s="177">
        <f t="shared" si="143"/>
        <v>0.99727175978772298</v>
      </c>
      <c r="AG357" s="811">
        <f t="shared" si="149"/>
        <v>1</v>
      </c>
      <c r="AH357" s="176">
        <f t="shared" si="144"/>
        <v>7</v>
      </c>
      <c r="AI357" s="225">
        <f t="shared" si="145"/>
        <v>1.997271759787723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11.636197649446906</v>
      </c>
      <c r="C358" s="841"/>
      <c r="D358" s="393">
        <f t="shared" si="127"/>
        <v>12.356450339048241</v>
      </c>
      <c r="E358" s="385">
        <f t="shared" si="125"/>
        <v>12.68148564581149</v>
      </c>
      <c r="F358" s="385">
        <f t="shared" si="128"/>
        <v>12.68173083195928</v>
      </c>
      <c r="G358" s="110">
        <f t="shared" si="126"/>
        <v>0.50643867386048469</v>
      </c>
      <c r="H358" s="414" t="b">
        <f>Wh_hp&gt;='2024'!Maxi_hp</f>
        <v>0</v>
      </c>
      <c r="I358" s="390">
        <f>IF(H358,Wh_hp,'2024'!Maxi_hp)</f>
        <v>21.95872257479607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5.8289611485365489E-2</v>
      </c>
      <c r="M358" s="845"/>
      <c r="N358" s="845"/>
      <c r="O358" s="48">
        <f>IF(t&lt;Tnet,'2024'!Resal+('2024'!Salim-'2024'!Resal)*(1-EXP(('2024'!Tnet-t)/('2024'!Tau_j))),Resal+(Salim-Resal)*(1-EXP((Tnet-t)/(Tau_j))))*Salcycl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6.5550368622939282E-5</v>
      </c>
      <c r="Q358" s="305">
        <f t="shared" si="130"/>
        <v>0.5</v>
      </c>
      <c r="R358" s="177">
        <f t="shared" si="131"/>
        <v>0.4722955659643886</v>
      </c>
      <c r="S358" s="811">
        <f t="shared" si="132"/>
        <v>-2</v>
      </c>
      <c r="T358" s="176">
        <f t="shared" si="133"/>
        <v>4</v>
      </c>
      <c r="U358" s="251">
        <f t="shared" si="134"/>
        <v>-1.5277044340356114</v>
      </c>
      <c r="V358" s="383">
        <f t="shared" si="135"/>
        <v>22.975456762252506</v>
      </c>
      <c r="W358" s="402">
        <f t="shared" si="136"/>
        <v>11.636197649446906</v>
      </c>
      <c r="X358" s="157">
        <f t="shared" si="137"/>
        <v>46001</v>
      </c>
      <c r="Y358" s="385">
        <f t="shared" si="138"/>
        <v>11.130716132039042</v>
      </c>
      <c r="Z358" s="385">
        <f t="shared" si="139"/>
        <v>11.819680729651489</v>
      </c>
      <c r="AA358" s="386">
        <f t="shared" si="140"/>
        <v>12.678059651033967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6.7705859177943861E-2</v>
      </c>
      <c r="AD358" s="231">
        <f>(INDEX(Models!$BJ358:$BT358,,AH358)*(1-AF358)+INDEX(Models!$BJ358:$BT358,,AH358+1)*AF358-ERP_i)*AE358*Ramure*Pc/MaxiM</f>
        <v>9.8148800454229382E-4</v>
      </c>
      <c r="AE358" s="305">
        <f t="shared" si="142"/>
        <v>0.5</v>
      </c>
      <c r="AF358" s="177">
        <f t="shared" si="143"/>
        <v>0.9972831323383673</v>
      </c>
      <c r="AG358" s="811">
        <f t="shared" si="149"/>
        <v>1</v>
      </c>
      <c r="AH358" s="176">
        <f t="shared" si="144"/>
        <v>7</v>
      </c>
      <c r="AI358" s="225">
        <f t="shared" si="145"/>
        <v>1.9972831323383673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16.255797688085252</v>
      </c>
      <c r="C359" s="841"/>
      <c r="D359" s="393">
        <f t="shared" si="127"/>
        <v>17.262370616101407</v>
      </c>
      <c r="E359" s="385">
        <f t="shared" si="125"/>
        <v>17.717847981419794</v>
      </c>
      <c r="F359" s="385">
        <f t="shared" si="128"/>
        <v>17.718527764765508</v>
      </c>
      <c r="G359" s="110">
        <f t="shared" si="126"/>
        <v>0.7103182891424703</v>
      </c>
      <c r="H359" s="414" t="b">
        <f>Wh_hp&gt;='2024'!Maxi_hp</f>
        <v>0</v>
      </c>
      <c r="I359" s="390">
        <f>IF(H359,Wh_hp,'2024'!Maxi_hp)</f>
        <v>18.260406248134906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5.8310237359709971E-2</v>
      </c>
      <c r="M359" s="845"/>
      <c r="N359" s="845"/>
      <c r="O359" s="48">
        <f>IF(t&lt;Tnet,'2024'!Resal+('2024'!Salim-'2024'!Resal)*(1-EXP(('2024'!Tnet-t)/('2024'!Tau_j))),Resal+(Salim-Resal)*(1-EXP((Tnet-t)/(Tau_j))))*Salcycl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6.5448498774452134E-5</v>
      </c>
      <c r="Q359" s="305">
        <f t="shared" si="130"/>
        <v>0.5</v>
      </c>
      <c r="R359" s="177">
        <f t="shared" si="131"/>
        <v>0.4723064811090798</v>
      </c>
      <c r="S359" s="811">
        <f t="shared" si="132"/>
        <v>-2</v>
      </c>
      <c r="T359" s="176">
        <f t="shared" si="133"/>
        <v>4</v>
      </c>
      <c r="U359" s="251">
        <f t="shared" si="134"/>
        <v>-1.5276935188909202</v>
      </c>
      <c r="V359" s="383">
        <f t="shared" si="135"/>
        <v>22.884610556735819</v>
      </c>
      <c r="W359" s="402">
        <f t="shared" si="136"/>
        <v>16.255797688085252</v>
      </c>
      <c r="X359" s="157">
        <f t="shared" si="137"/>
        <v>46002</v>
      </c>
      <c r="Y359" s="385">
        <f t="shared" si="138"/>
        <v>15.546282321828871</v>
      </c>
      <c r="Z359" s="385">
        <f t="shared" si="139"/>
        <v>16.508921450139301</v>
      </c>
      <c r="AA359" s="386">
        <f t="shared" si="140"/>
        <v>17.708317218499683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6.7730646202078804E-2</v>
      </c>
      <c r="AD359" s="231">
        <f>(INDEX(Models!$BJ359:$BT359,,AH359)*(1-AF359)+INDEX(Models!$BJ359:$BT359,,AH359+1)*AF359-ERP_i)*AE359*Ramure*Pc/MaxiM</f>
        <v>9.8305574707018158E-4</v>
      </c>
      <c r="AE359" s="305">
        <f t="shared" si="142"/>
        <v>0.5</v>
      </c>
      <c r="AF359" s="177">
        <f t="shared" si="143"/>
        <v>0.99729404748305872</v>
      </c>
      <c r="AG359" s="811">
        <f t="shared" si="149"/>
        <v>1</v>
      </c>
      <c r="AH359" s="176">
        <f t="shared" si="144"/>
        <v>7</v>
      </c>
      <c r="AI359" s="225">
        <f t="shared" si="145"/>
        <v>1.9972940474830587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5.6611935663788335</v>
      </c>
      <c r="C360" s="841"/>
      <c r="D360" s="393">
        <f t="shared" si="127"/>
        <v>6.011871200436314</v>
      </c>
      <c r="E360" s="385">
        <f t="shared" si="125"/>
        <v>6.1709842327482551</v>
      </c>
      <c r="F360" s="385">
        <f t="shared" si="128"/>
        <v>6.1709842327482551</v>
      </c>
      <c r="G360" s="110">
        <f t="shared" si="126"/>
        <v>0.24824393754824023</v>
      </c>
      <c r="H360" s="414" t="b">
        <f>Wh_hp&gt;='2024'!Maxi_hp</f>
        <v>0</v>
      </c>
      <c r="I360" s="390">
        <f>IF(H360,Wh_hp,'2024'!Maxi_hp)</f>
        <v>23.792403120855759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5.8330862782294823E-2</v>
      </c>
      <c r="M360" s="845"/>
      <c r="N360" s="845"/>
      <c r="O360" s="48">
        <f>IF(t&lt;Tnet,'2024'!Resal+('2024'!Salim-'2024'!Resal)*(1-EXP(('2024'!Tnet-t)/('2024'!Tau_j))),Resal+(Salim-Resal)*(1-EXP((Tnet-t)/(Tau_j))))*Salcycl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6.5277291463018236E-5</v>
      </c>
      <c r="Q360" s="305">
        <f t="shared" si="130"/>
        <v>0.5</v>
      </c>
      <c r="R360" s="177">
        <f t="shared" si="131"/>
        <v>0.47231695722599465</v>
      </c>
      <c r="S360" s="811">
        <f t="shared" si="132"/>
        <v>-2</v>
      </c>
      <c r="T360" s="176">
        <f t="shared" si="133"/>
        <v>4</v>
      </c>
      <c r="U360" s="251">
        <f t="shared" si="134"/>
        <v>-1.5276830427740054</v>
      </c>
      <c r="V360" s="383">
        <f t="shared" si="135"/>
        <v>22.803473369400322</v>
      </c>
      <c r="W360" s="402">
        <f t="shared" si="136"/>
        <v>5.6611935663788335</v>
      </c>
      <c r="X360" s="157">
        <f t="shared" si="137"/>
        <v>46003</v>
      </c>
      <c r="Y360" s="385">
        <f t="shared" si="138"/>
        <v>5.4172918355052921</v>
      </c>
      <c r="Z360" s="385">
        <f t="shared" si="139"/>
        <v>5.752861192320105</v>
      </c>
      <c r="AA360" s="386">
        <f t="shared" si="140"/>
        <v>6.1709842327482551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6.7756296995420823E-2</v>
      </c>
      <c r="AD360" s="231">
        <f>(INDEX(Models!$BJ360:$BT360,,AH360)*(1-AF360)+INDEX(Models!$BJ360:$BT360,,AH360+1)*AF360-ERP_i)*AE360*Ramure*Pc/MaxiM</f>
        <v>9.8420937182263691E-4</v>
      </c>
      <c r="AE360" s="305">
        <f t="shared" si="142"/>
        <v>0.5</v>
      </c>
      <c r="AF360" s="177">
        <f t="shared" si="143"/>
        <v>0.99730452359997335</v>
      </c>
      <c r="AG360" s="811">
        <f t="shared" si="149"/>
        <v>1</v>
      </c>
      <c r="AH360" s="176">
        <f t="shared" si="144"/>
        <v>7</v>
      </c>
      <c r="AI360" s="225">
        <f t="shared" si="145"/>
        <v>1.9973045235999733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5.3738594333497627</v>
      </c>
      <c r="C361" s="841"/>
      <c r="D361" s="393">
        <f t="shared" si="127"/>
        <v>5.7068634033384527</v>
      </c>
      <c r="E361" s="385">
        <f t="shared" ref="E361:E379" si="150">Wh_pvt/(1-Psa)</f>
        <v>5.8583671013898933</v>
      </c>
      <c r="F361" s="385">
        <f t="shared" si="128"/>
        <v>5.8583671013898933</v>
      </c>
      <c r="G361" s="110">
        <f t="shared" ref="G361:G379" si="151">+Wh_hp/MaxiM</f>
        <v>0.23638234258045693</v>
      </c>
      <c r="H361" s="414" t="b">
        <f>Wh_hp&gt;='2024'!Maxi_hp</f>
        <v>0</v>
      </c>
      <c r="I361" s="390">
        <f>IF(H361,Wh_hp,'2024'!Maxi_hp)</f>
        <v>25.480851358483925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5.8351487753130038E-2</v>
      </c>
      <c r="M361" s="845"/>
      <c r="N361" s="845"/>
      <c r="O361" s="48">
        <f>IF(t&lt;Tnet,'2024'!Resal+('2024'!Salim-'2024'!Resal)*(1-EXP(('2024'!Tnet-t)/('2024'!Tau_j))),Resal+(Salim-Resal)*(1-EXP((Tnet-t)/(Tau_j))))*Salcycl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6.5122318026820296E-5</v>
      </c>
      <c r="Q361" s="305">
        <f t="shared" si="130"/>
        <v>0.5</v>
      </c>
      <c r="R361" s="177">
        <f t="shared" si="131"/>
        <v>0.4723270119563705</v>
      </c>
      <c r="S361" s="811">
        <f t="shared" si="132"/>
        <v>-2</v>
      </c>
      <c r="T361" s="176">
        <f t="shared" si="133"/>
        <v>4</v>
      </c>
      <c r="U361" s="251">
        <f t="shared" si="134"/>
        <v>-1.5276729880436295</v>
      </c>
      <c r="V361" s="383">
        <f t="shared" si="135"/>
        <v>22.732279477845278</v>
      </c>
      <c r="W361" s="402">
        <f t="shared" si="136"/>
        <v>5.3738594333497627</v>
      </c>
      <c r="X361" s="157">
        <f t="shared" si="137"/>
        <v>46004</v>
      </c>
      <c r="Y361" s="385">
        <f t="shared" si="138"/>
        <v>5.1425974634711888</v>
      </c>
      <c r="Z361" s="385">
        <f t="shared" si="139"/>
        <v>5.461270735935666</v>
      </c>
      <c r="AA361" s="386">
        <f t="shared" si="140"/>
        <v>5.8583671013898933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6.7782772670564831E-2</v>
      </c>
      <c r="AD361" s="231">
        <f>(INDEX(Models!$BJ361:$BT361,,AH361)*(1-AF361)+INDEX(Models!$BJ361:$BT361,,AH361+1)*AF361-ERP_i)*AE361*Ramure*Pc/MaxiM</f>
        <v>9.8519854104377452E-4</v>
      </c>
      <c r="AE361" s="305">
        <f t="shared" si="142"/>
        <v>0.5</v>
      </c>
      <c r="AF361" s="177">
        <f t="shared" si="143"/>
        <v>0.99731457833034942</v>
      </c>
      <c r="AG361" s="811">
        <f t="shared" si="149"/>
        <v>1</v>
      </c>
      <c r="AH361" s="176">
        <f t="shared" si="144"/>
        <v>7</v>
      </c>
      <c r="AI361" s="225">
        <f t="shared" si="145"/>
        <v>1.9973145783303494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17.051201678056131</v>
      </c>
      <c r="C362" s="841"/>
      <c r="D362" s="393">
        <f t="shared" si="127"/>
        <v>18.108216526171589</v>
      </c>
      <c r="E362" s="385">
        <f t="shared" si="150"/>
        <v>18.590420549157056</v>
      </c>
      <c r="F362" s="385">
        <f t="shared" si="128"/>
        <v>18.591200822196011</v>
      </c>
      <c r="G362" s="110">
        <f t="shared" si="151"/>
        <v>0.75208900909950593</v>
      </c>
      <c r="H362" s="414" t="b">
        <f>Wh_hp&gt;='2024'!Maxi_hp</f>
        <v>0</v>
      </c>
      <c r="I362" s="390">
        <f>IF(H362,Wh_hp,'2024'!Maxi_hp)</f>
        <v>22.845836803064749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5.8372112272225496E-2</v>
      </c>
      <c r="M362" s="845"/>
      <c r="N362" s="845"/>
      <c r="O362" s="48">
        <f>IF(t&lt;Tnet,'2024'!Resal+('2024'!Salim-'2024'!Resal)*(1-EXP(('2024'!Tnet-t)/('2024'!Tau_j))),Resal+(Salim-Resal)*(1-EXP((Tnet-t)/(Tau_j))))*Salcycl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6.4982531032111793E-5</v>
      </c>
      <c r="Q362" s="305">
        <f t="shared" si="130"/>
        <v>0.5</v>
      </c>
      <c r="R362" s="177">
        <f t="shared" si="131"/>
        <v>0.47233666223393977</v>
      </c>
      <c r="S362" s="811">
        <f t="shared" si="132"/>
        <v>-2</v>
      </c>
      <c r="T362" s="176">
        <f t="shared" si="133"/>
        <v>4</v>
      </c>
      <c r="U362" s="251">
        <f t="shared" si="134"/>
        <v>-1.5276633377660602</v>
      </c>
      <c r="V362" s="383">
        <f t="shared" si="135"/>
        <v>22.671265055457489</v>
      </c>
      <c r="W362" s="402">
        <f t="shared" si="136"/>
        <v>17.051201678056131</v>
      </c>
      <c r="X362" s="157">
        <f t="shared" si="137"/>
        <v>46005</v>
      </c>
      <c r="Y362" s="385">
        <f t="shared" si="138"/>
        <v>16.308518867669274</v>
      </c>
      <c r="Z362" s="385">
        <f t="shared" si="139"/>
        <v>17.319494335520446</v>
      </c>
      <c r="AA362" s="386">
        <f t="shared" si="140"/>
        <v>18.579361453117592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6.7810033233717162E-2</v>
      </c>
      <c r="AD362" s="231">
        <f>(INDEX(Models!$BJ362:$BT362,,AH362)*(1-AF362)+INDEX(Models!$BJ362:$BT362,,AH362+1)*AF362-ERP_i)*AE362*Ramure*Pc/MaxiM</f>
        <v>9.8600378345707032E-4</v>
      </c>
      <c r="AE362" s="305">
        <f t="shared" si="142"/>
        <v>0.5</v>
      </c>
      <c r="AF362" s="177">
        <f t="shared" si="143"/>
        <v>0.99732422860791869</v>
      </c>
      <c r="AG362" s="811">
        <f t="shared" si="149"/>
        <v>1</v>
      </c>
      <c r="AH362" s="176">
        <f t="shared" si="144"/>
        <v>7</v>
      </c>
      <c r="AI362" s="225">
        <f t="shared" si="145"/>
        <v>1.9973242286079187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5.6558410932626026</v>
      </c>
      <c r="C363" s="841"/>
      <c r="D363" s="393">
        <f t="shared" si="127"/>
        <v>6.0065818431307081</v>
      </c>
      <c r="E363" s="385">
        <f t="shared" si="150"/>
        <v>6.1670213930012059</v>
      </c>
      <c r="F363" s="385">
        <f t="shared" si="128"/>
        <v>6.1670213930012059</v>
      </c>
      <c r="G363" s="110">
        <f t="shared" si="151"/>
        <v>0.25001360398710243</v>
      </c>
      <c r="H363" s="414" t="b">
        <f>Wh_hp&gt;='2024'!Maxi_hp</f>
        <v>0</v>
      </c>
      <c r="I363" s="390">
        <f>IF(H363,Wh_hp,'2024'!Maxi_hp)</f>
        <v>25.557265904120406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5.8392736339590967E-2</v>
      </c>
      <c r="M363" s="845"/>
      <c r="N363" s="845"/>
      <c r="O363" s="48">
        <f>IF(t&lt;Tnet,'2024'!Resal+('2024'!Salim-'2024'!Resal)*(1-EXP(('2024'!Tnet-t)/('2024'!Tau_j))),Resal+(Salim-Resal)*(1-EXP((Tnet-t)/(Tau_j))))*Salcycl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6.4856865458950942E-5</v>
      </c>
      <c r="Q363" s="305">
        <f t="shared" si="130"/>
        <v>0.5</v>
      </c>
      <c r="R363" s="177">
        <f t="shared" si="131"/>
        <v>0.47234592431319622</v>
      </c>
      <c r="S363" s="811">
        <f t="shared" si="132"/>
        <v>-2</v>
      </c>
      <c r="T363" s="176">
        <f t="shared" si="133"/>
        <v>4</v>
      </c>
      <c r="U363" s="251">
        <f t="shared" si="134"/>
        <v>-1.5276540756868038</v>
      </c>
      <c r="V363" s="383">
        <f t="shared" si="135"/>
        <v>22.620666167547874</v>
      </c>
      <c r="W363" s="402">
        <f t="shared" si="136"/>
        <v>5.6558410932626026</v>
      </c>
      <c r="X363" s="157">
        <f t="shared" si="137"/>
        <v>46006</v>
      </c>
      <c r="Y363" s="385">
        <f t="shared" si="138"/>
        <v>5.4129826132635301</v>
      </c>
      <c r="Z363" s="385">
        <f t="shared" si="139"/>
        <v>5.7486627622444981</v>
      </c>
      <c r="AA363" s="386">
        <f t="shared" si="140"/>
        <v>6.1670213930012059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6.7838037862409883E-2</v>
      </c>
      <c r="AD363" s="231">
        <f>(INDEX(Models!$BJ363:$BT363,,AH363)*(1-AF363)+INDEX(Models!$BJ363:$BT363,,AH363+1)*AF363-ERP_i)*AE363*Ramure*Pc/MaxiM</f>
        <v>9.8660580028683571E-4</v>
      </c>
      <c r="AE363" s="305">
        <f t="shared" si="142"/>
        <v>0.5</v>
      </c>
      <c r="AF363" s="177">
        <f t="shared" si="143"/>
        <v>0.99733349068717514</v>
      </c>
      <c r="AG363" s="811">
        <f t="shared" si="149"/>
        <v>1</v>
      </c>
      <c r="AH363" s="176">
        <f t="shared" si="144"/>
        <v>7</v>
      </c>
      <c r="AI363" s="225">
        <f t="shared" si="145"/>
        <v>1.9973334906871751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4.8192238507665284</v>
      </c>
      <c r="C364" s="841"/>
      <c r="D364" s="393">
        <f t="shared" si="127"/>
        <v>5.1181948063084448</v>
      </c>
      <c r="E364" s="385">
        <f t="shared" si="150"/>
        <v>5.2553237049433132</v>
      </c>
      <c r="F364" s="385">
        <f t="shared" si="128"/>
        <v>5.2553237049433132</v>
      </c>
      <c r="G364" s="110">
        <f t="shared" si="151"/>
        <v>0.21340825684799641</v>
      </c>
      <c r="H364" s="414" t="b">
        <f>Wh_hp&gt;='2024'!Maxi_hp</f>
        <v>0</v>
      </c>
      <c r="I364" s="390">
        <f>IF(H364,Wh_hp,'2024'!Maxi_hp)</f>
        <v>25.18523938599883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5.8413359955236444E-2</v>
      </c>
      <c r="M364" s="845"/>
      <c r="N364" s="845"/>
      <c r="O364" s="48">
        <f>IF(t&lt;Tnet,'2024'!Resal+('2024'!Salim-'2024'!Resal)*(1-EXP(('2024'!Tnet-t)/('2024'!Tau_j))),Resal+(Salim-Resal)*(1-EXP((Tnet-t)/(Tau_j))))*Salcycl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6.4744243452067454E-5</v>
      </c>
      <c r="Q364" s="305">
        <f t="shared" si="130"/>
        <v>0.5</v>
      </c>
      <c r="R364" s="177">
        <f t="shared" si="131"/>
        <v>0.47235481379654143</v>
      </c>
      <c r="S364" s="811">
        <f t="shared" si="132"/>
        <v>-2</v>
      </c>
      <c r="T364" s="176">
        <f t="shared" si="133"/>
        <v>4</v>
      </c>
      <c r="U364" s="251">
        <f t="shared" si="134"/>
        <v>-1.5276451862034586</v>
      </c>
      <c r="V364" s="383">
        <f t="shared" si="135"/>
        <v>22.580718782575662</v>
      </c>
      <c r="W364" s="402">
        <f t="shared" si="136"/>
        <v>4.8192238507665284</v>
      </c>
      <c r="X364" s="157">
        <f t="shared" si="137"/>
        <v>46007</v>
      </c>
      <c r="Y364" s="385">
        <f t="shared" si="138"/>
        <v>4.6125146840864852</v>
      </c>
      <c r="Z364" s="385">
        <f t="shared" si="139"/>
        <v>4.8986619902202557</v>
      </c>
      <c r="AA364" s="386">
        <f t="shared" si="140"/>
        <v>5.2553237049433132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6.786674518023901E-2</v>
      </c>
      <c r="AD364" s="231">
        <f>(INDEX(Models!$BJ364:$BT364,,AH364)*(1-AF364)+INDEX(Models!$BJ364:$BT364,,AH364+1)*AF364-ERP_i)*AE364*Ramure*Pc/MaxiM</f>
        <v>9.8698562455990153E-4</v>
      </c>
      <c r="AE364" s="305">
        <f t="shared" si="142"/>
        <v>0.5</v>
      </c>
      <c r="AF364" s="177">
        <f t="shared" si="143"/>
        <v>0.99734238017052035</v>
      </c>
      <c r="AG364" s="811">
        <f t="shared" si="149"/>
        <v>1</v>
      </c>
      <c r="AH364" s="176">
        <f t="shared" si="144"/>
        <v>7</v>
      </c>
      <c r="AI364" s="225">
        <f t="shared" si="145"/>
        <v>1.9973423801705203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3.5217135417967094</v>
      </c>
      <c r="C365" s="841"/>
      <c r="D365" s="393">
        <f t="shared" si="127"/>
        <v>3.7402725657657681</v>
      </c>
      <c r="E365" s="385">
        <f t="shared" si="150"/>
        <v>3.8407902755282195</v>
      </c>
      <c r="F365" s="385">
        <f t="shared" si="128"/>
        <v>3.8407902755282195</v>
      </c>
      <c r="G365" s="110">
        <f t="shared" si="151"/>
        <v>0.15615196749256599</v>
      </c>
      <c r="H365" s="414" t="b">
        <f>Wh_hp&gt;='2024'!Maxi_hp</f>
        <v>0</v>
      </c>
      <c r="I365" s="390">
        <f>IF(H365,Wh_hp,'2024'!Maxi_hp)</f>
        <v>25.601732712427946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5.8433983119171917E-2</v>
      </c>
      <c r="M365" s="845"/>
      <c r="N365" s="845"/>
      <c r="O365" s="48">
        <f>IF(t&lt;Tnet,'2024'!Resal+('2024'!Salim-'2024'!Resal)*(1-EXP(('2024'!Tnet-t)/('2024'!Tau_j))),Resal+(Salim-Resal)*(1-EXP((Tnet-t)/(Tau_j))))*Salcycl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6.4643579326499978E-5</v>
      </c>
      <c r="Q365" s="305">
        <f t="shared" si="130"/>
        <v>0.5</v>
      </c>
      <c r="R365" s="177">
        <f t="shared" si="131"/>
        <v>0.47236334566035398</v>
      </c>
      <c r="S365" s="811">
        <f t="shared" si="132"/>
        <v>-2</v>
      </c>
      <c r="T365" s="176">
        <f t="shared" si="133"/>
        <v>4</v>
      </c>
      <c r="U365" s="251">
        <f t="shared" si="134"/>
        <v>-1.527636654339646</v>
      </c>
      <c r="V365" s="383">
        <f t="shared" si="135"/>
        <v>22.551658760211616</v>
      </c>
      <c r="W365" s="402">
        <f t="shared" si="136"/>
        <v>3.5217135417967094</v>
      </c>
      <c r="X365" s="157">
        <f t="shared" si="137"/>
        <v>46008</v>
      </c>
      <c r="Y365" s="385">
        <f t="shared" si="138"/>
        <v>3.3708209751461489</v>
      </c>
      <c r="Z365" s="385">
        <f t="shared" si="139"/>
        <v>3.5800155429492166</v>
      </c>
      <c r="AA365" s="386">
        <f t="shared" si="140"/>
        <v>3.8407902755282195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6.789611352656813E-2</v>
      </c>
      <c r="AD365" s="231">
        <f>(INDEX(Models!$BJ365:$BT365,,AH365)*(1-AF365)+INDEX(Models!$BJ365:$BT365,,AH365+1)*AF365-ERP_i)*AE365*Ramure*Pc/MaxiM</f>
        <v>9.8712478398985961E-4</v>
      </c>
      <c r="AE365" s="305">
        <f t="shared" si="142"/>
        <v>0.5</v>
      </c>
      <c r="AF365" s="177">
        <f t="shared" si="143"/>
        <v>0.9973509120343329</v>
      </c>
      <c r="AG365" s="811">
        <f t="shared" si="149"/>
        <v>1</v>
      </c>
      <c r="AH365" s="176">
        <f t="shared" si="144"/>
        <v>7</v>
      </c>
      <c r="AI365" s="225">
        <f t="shared" si="145"/>
        <v>1.9973509120343329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21.146962916043528</v>
      </c>
      <c r="C366" s="841"/>
      <c r="D366" s="393">
        <f t="shared" si="127"/>
        <v>22.45984425925295</v>
      </c>
      <c r="E366" s="385">
        <f t="shared" si="150"/>
        <v>23.065285511433093</v>
      </c>
      <c r="F366" s="385">
        <f t="shared" si="128"/>
        <v>23.06664373650246</v>
      </c>
      <c r="G366" s="110">
        <f t="shared" si="151"/>
        <v>0.93845318238865716</v>
      </c>
      <c r="H366" s="414" t="b">
        <f>Wh_hp&gt;='2024'!Maxi_hp</f>
        <v>0</v>
      </c>
      <c r="I366" s="390">
        <f>IF(H366,Wh_hp,'2024'!Maxi_hp)</f>
        <v>25.724211482819697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5.8454605831407047E-2</v>
      </c>
      <c r="M366" s="845"/>
      <c r="N366" s="845"/>
      <c r="O366" s="48">
        <f>IF(t&lt;Tnet,'2024'!Resal+('2024'!Salim-'2024'!Resal)*(1-EXP(('2024'!Tnet-t)/('2024'!Tau_j))),Resal+(Salim-Resal)*(1-EXP((Tnet-t)/(Tau_j))))*Salcycl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6.4558390532669287E-5</v>
      </c>
      <c r="Q366" s="305">
        <f t="shared" si="130"/>
        <v>0.5</v>
      </c>
      <c r="R366" s="177">
        <f t="shared" si="131"/>
        <v>0.47237153428002321</v>
      </c>
      <c r="S366" s="811">
        <f t="shared" si="132"/>
        <v>-2</v>
      </c>
      <c r="T366" s="176">
        <f t="shared" si="133"/>
        <v>4</v>
      </c>
      <c r="U366" s="251">
        <f t="shared" si="134"/>
        <v>-1.5276284657199768</v>
      </c>
      <c r="V366" s="383">
        <f t="shared" si="135"/>
        <v>22.533721746713841</v>
      </c>
      <c r="W366" s="402">
        <f t="shared" si="136"/>
        <v>21.146962916043528</v>
      </c>
      <c r="X366" s="157">
        <f t="shared" si="137"/>
        <v>46009</v>
      </c>
      <c r="Y366" s="385">
        <f t="shared" si="138"/>
        <v>20.224831121835898</v>
      </c>
      <c r="Z366" s="385">
        <f t="shared" si="139"/>
        <v>21.480463127000803</v>
      </c>
      <c r="AA366" s="386">
        <f t="shared" si="140"/>
        <v>23.04587989761179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6.7926101219212318E-2</v>
      </c>
      <c r="AD366" s="231">
        <f>(INDEX(Models!$BJ366:$BT366,,AH366)*(1-AF366)+INDEX(Models!$BJ366:$BT366,,AH366+1)*AF366-ERP_i)*AE366*Ramure*Pc/MaxiM</f>
        <v>9.8693511870256425E-4</v>
      </c>
      <c r="AE366" s="305">
        <f t="shared" si="142"/>
        <v>0.5</v>
      </c>
      <c r="AF366" s="177">
        <f t="shared" si="143"/>
        <v>0.99735910065400213</v>
      </c>
      <c r="AG366" s="811">
        <f t="shared" si="149"/>
        <v>1</v>
      </c>
      <c r="AH366" s="176">
        <f t="shared" si="144"/>
        <v>7</v>
      </c>
      <c r="AI366" s="225">
        <f t="shared" si="145"/>
        <v>1.9973591006540021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17.112869006959947</v>
      </c>
      <c r="C367" s="841"/>
      <c r="D367" s="393">
        <f t="shared" si="127"/>
        <v>18.175697036924312</v>
      </c>
      <c r="E367" s="385">
        <f t="shared" si="150"/>
        <v>18.667148711479964</v>
      </c>
      <c r="F367" s="385">
        <f t="shared" si="128"/>
        <v>18.667938870980279</v>
      </c>
      <c r="G367" s="110">
        <f t="shared" si="151"/>
        <v>0.75963869284693097</v>
      </c>
      <c r="H367" s="414" t="b">
        <f>Wh_hp&gt;='2024'!Maxi_hp</f>
        <v>0</v>
      </c>
      <c r="I367" s="390">
        <f>IF(H367,Wh_hp,'2024'!Maxi_hp)</f>
        <v>25.408167099175618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5.8475228091951936E-2</v>
      </c>
      <c r="M367" s="845"/>
      <c r="N367" s="845"/>
      <c r="O367" s="48">
        <f>IF(t&lt;Tnet,'2024'!Resal+('2024'!Salim-'2024'!Resal)*(1-EXP(('2024'!Tnet-t)/('2024'!Tau_j))),Resal+(Salim-Resal)*(1-EXP((Tnet-t)/(Tau_j))))*Salcycl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6.4459060173641542E-5</v>
      </c>
      <c r="Q367" s="305">
        <f t="shared" si="130"/>
        <v>0.5</v>
      </c>
      <c r="R367" s="177">
        <f t="shared" si="131"/>
        <v>0.47237939345398949</v>
      </c>
      <c r="S367" s="811">
        <f t="shared" si="132"/>
        <v>-2</v>
      </c>
      <c r="T367" s="176">
        <f t="shared" si="133"/>
        <v>4</v>
      </c>
      <c r="U367" s="251">
        <f t="shared" si="134"/>
        <v>-1.5276206065460105</v>
      </c>
      <c r="V367" s="383">
        <f t="shared" si="135"/>
        <v>22.52714403641361</v>
      </c>
      <c r="W367" s="402">
        <f t="shared" si="136"/>
        <v>17.112869006959947</v>
      </c>
      <c r="X367" s="157">
        <f t="shared" si="137"/>
        <v>46010</v>
      </c>
      <c r="Y367" s="385">
        <f t="shared" si="138"/>
        <v>16.371289060487054</v>
      </c>
      <c r="Z367" s="385">
        <f t="shared" si="139"/>
        <v>17.388059824819905</v>
      </c>
      <c r="AA367" s="386">
        <f t="shared" si="140"/>
        <v>18.655849149496436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6.7956666808208638E-2</v>
      </c>
      <c r="AD367" s="231">
        <f>(INDEX(Models!$BJ367:$BT367,,AH367)*(1-AF367)+INDEX(Models!$BJ367:$BT367,,AH367+1)*AF367-ERP_i)*AE367*Ramure*Pc/MaxiM</f>
        <v>9.8624655439664673E-4</v>
      </c>
      <c r="AE367" s="305">
        <f t="shared" si="142"/>
        <v>0.5</v>
      </c>
      <c r="AF367" s="177">
        <f t="shared" si="143"/>
        <v>0.99736695982796841</v>
      </c>
      <c r="AG367" s="811">
        <f t="shared" si="149"/>
        <v>1</v>
      </c>
      <c r="AH367" s="176">
        <f t="shared" si="144"/>
        <v>7</v>
      </c>
      <c r="AI367" s="225">
        <f t="shared" si="145"/>
        <v>1.9973669598279684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4.4985472083822113</v>
      </c>
      <c r="C368" s="841"/>
      <c r="D368" s="393">
        <f t="shared" si="127"/>
        <v>4.7780428879769756</v>
      </c>
      <c r="E368" s="385">
        <f t="shared" si="150"/>
        <v>4.9076302266182781</v>
      </c>
      <c r="F368" s="385">
        <f t="shared" si="128"/>
        <v>4.9076302266182781</v>
      </c>
      <c r="G368" s="110">
        <f t="shared" si="151"/>
        <v>0.19963720833387774</v>
      </c>
      <c r="H368" s="414" t="b">
        <f>Wh_hp&gt;='2024'!Maxi_hp</f>
        <v>0</v>
      </c>
      <c r="I368" s="390">
        <f>IF(H368,Wh_hp,'2024'!Maxi_hp)</f>
        <v>22.549218247197125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5.8495849900816355E-2</v>
      </c>
      <c r="M368" s="845"/>
      <c r="N368" s="845"/>
      <c r="O368" s="48">
        <f>IF(t&lt;Tnet,'2024'!Resal+('2024'!Salim-'2024'!Resal)*(1-EXP(('2024'!Tnet-t)/('2024'!Tau_j))),Resal+(Salim-Resal)*(1-EXP((Tnet-t)/(Tau_j))))*Salcycl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6.4344612051008433E-5</v>
      </c>
      <c r="Q368" s="305">
        <f t="shared" si="130"/>
        <v>0.5</v>
      </c>
      <c r="R368" s="177">
        <f t="shared" si="131"/>
        <v>0.47238693642682783</v>
      </c>
      <c r="S368" s="811">
        <f t="shared" si="132"/>
        <v>-2</v>
      </c>
      <c r="T368" s="176">
        <f t="shared" si="133"/>
        <v>4</v>
      </c>
      <c r="U368" s="251">
        <f t="shared" si="134"/>
        <v>-1.5276130635731722</v>
      </c>
      <c r="V368" s="383">
        <f t="shared" si="135"/>
        <v>22.532161156973842</v>
      </c>
      <c r="W368" s="402">
        <f t="shared" si="136"/>
        <v>4.4985472083822113</v>
      </c>
      <c r="X368" s="157">
        <f t="shared" si="137"/>
        <v>46011</v>
      </c>
      <c r="Y368" s="385">
        <f t="shared" si="138"/>
        <v>4.3064130507037079</v>
      </c>
      <c r="Z368" s="385">
        <f t="shared" si="139"/>
        <v>4.5739713948685674</v>
      </c>
      <c r="AA368" s="386">
        <f t="shared" si="140"/>
        <v>4.9076302266182781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6.7987769318885047E-2</v>
      </c>
      <c r="AD368" s="231">
        <f>(INDEX(Models!$BJ368:$BT368,,AH368)*(1-AF368)+INDEX(Models!$BJ368:$BT368,,AH368+1)*AF368-ERP_i)*AE368*Ramure*Pc/MaxiM</f>
        <v>9.8504416293102698E-4</v>
      </c>
      <c r="AE368" s="305">
        <f t="shared" si="142"/>
        <v>0.5</v>
      </c>
      <c r="AF368" s="177">
        <f t="shared" si="143"/>
        <v>0.99737450280080675</v>
      </c>
      <c r="AG368" s="811">
        <f t="shared" si="149"/>
        <v>1</v>
      </c>
      <c r="AH368" s="176">
        <f t="shared" si="144"/>
        <v>7</v>
      </c>
      <c r="AI368" s="225">
        <f t="shared" si="145"/>
        <v>1.9973745028008068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20.288274568943066</v>
      </c>
      <c r="C369" s="841"/>
      <c r="D369" s="393">
        <f t="shared" si="127"/>
        <v>21.549261298338653</v>
      </c>
      <c r="E369" s="385">
        <f t="shared" si="150"/>
        <v>22.135488241046264</v>
      </c>
      <c r="F369" s="385">
        <f t="shared" si="128"/>
        <v>22.13670613532959</v>
      </c>
      <c r="G369" s="110">
        <f t="shared" si="151"/>
        <v>0.8997330383383868</v>
      </c>
      <c r="H369" s="414" t="b">
        <f>Wh_hp&gt;='2024'!Maxi_hp</f>
        <v>1</v>
      </c>
      <c r="I369" s="390">
        <f>IF(H369,Wh_hp,'2024'!Maxi_hp)</f>
        <v>22.13670613532959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5.8516471258010183E-2</v>
      </c>
      <c r="M369" s="845"/>
      <c r="N369" s="845"/>
      <c r="O369" s="48">
        <f>IF(t&lt;Tnet,'2024'!Resal+('2024'!Salim-'2024'!Resal)*(1-EXP(('2024'!Tnet-t)/('2024'!Tau_j))),Resal+(Salim-Resal)*(1-EXP((Tnet-t)/(Tau_j))))*Salcycl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6.4214139231880547E-5</v>
      </c>
      <c r="Q369" s="305">
        <f t="shared" si="130"/>
        <v>0.5</v>
      </c>
      <c r="R369" s="177">
        <f t="shared" si="131"/>
        <v>0.47239417591141475</v>
      </c>
      <c r="S369" s="811">
        <f t="shared" si="132"/>
        <v>-2</v>
      </c>
      <c r="T369" s="176">
        <f t="shared" si="133"/>
        <v>4</v>
      </c>
      <c r="U369" s="251">
        <f t="shared" si="134"/>
        <v>-1.5276058240885853</v>
      </c>
      <c r="V369" s="383">
        <f t="shared" si="135"/>
        <v>22.549008538414427</v>
      </c>
      <c r="W369" s="402">
        <f t="shared" si="136"/>
        <v>20.288274568943066</v>
      </c>
      <c r="X369" s="157">
        <f t="shared" si="137"/>
        <v>46012</v>
      </c>
      <c r="Y369" s="385">
        <f t="shared" si="138"/>
        <v>19.407365075860536</v>
      </c>
      <c r="Z369" s="385">
        <f t="shared" si="139"/>
        <v>20.613600220699194</v>
      </c>
      <c r="AA369" s="386">
        <f t="shared" si="140"/>
        <v>22.118056452671549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6.8019368482561182E-2</v>
      </c>
      <c r="AD369" s="231">
        <f>(INDEX(Models!$BJ369:$BT369,,AH369)*(1-AF369)+INDEX(Models!$BJ369:$BT369,,AH369+1)*AF369-ERP_i)*AE369*Ramure*Pc/MaxiM</f>
        <v>9.8331467289881056E-4</v>
      </c>
      <c r="AE369" s="305">
        <f t="shared" si="142"/>
        <v>0.5</v>
      </c>
      <c r="AF369" s="177">
        <f t="shared" si="143"/>
        <v>0.99738174228539367</v>
      </c>
      <c r="AG369" s="811">
        <f t="shared" si="149"/>
        <v>1</v>
      </c>
      <c r="AH369" s="176">
        <f t="shared" si="144"/>
        <v>7</v>
      </c>
      <c r="AI369" s="225">
        <f t="shared" si="145"/>
        <v>1.9973817422853937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16.766510439269808</v>
      </c>
      <c r="C370" s="841"/>
      <c r="D370" s="393">
        <f t="shared" si="127"/>
        <v>17.808997359014757</v>
      </c>
      <c r="E370" s="385">
        <f t="shared" si="150"/>
        <v>18.294947341207255</v>
      </c>
      <c r="F370" s="385">
        <f t="shared" si="128"/>
        <v>18.295688483481136</v>
      </c>
      <c r="G370" s="110">
        <f t="shared" si="151"/>
        <v>0.74258896874134095</v>
      </c>
      <c r="H370" s="414" t="b">
        <f>Wh_hp&gt;='2024'!Maxi_hp</f>
        <v>0</v>
      </c>
      <c r="I370" s="390">
        <f>IF(H370,Wh_hp,'2024'!Maxi_hp)</f>
        <v>25.041754314682116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5.8537092163543414E-2</v>
      </c>
      <c r="M370" s="845"/>
      <c r="N370" s="845"/>
      <c r="O370" s="48">
        <f>IF(t&lt;Tnet,'2024'!Resal+('2024'!Salim-'2024'!Resal)*(1-EXP(('2024'!Tnet-t)/('2024'!Tau_j))),Resal+(Salim-Resal)*(1-EXP((Tnet-t)/(Tau_j))))*Salcycl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6.406681244418519E-5</v>
      </c>
      <c r="Q370" s="305">
        <f t="shared" si="130"/>
        <v>0.5</v>
      </c>
      <c r="R370" s="177">
        <f t="shared" si="131"/>
        <v>0.47240112411021196</v>
      </c>
      <c r="S370" s="811">
        <f t="shared" si="132"/>
        <v>-2</v>
      </c>
      <c r="T370" s="176">
        <f t="shared" si="133"/>
        <v>4</v>
      </c>
      <c r="U370" s="251">
        <f t="shared" si="134"/>
        <v>-1.527598875889788</v>
      </c>
      <c r="V370" s="383">
        <f t="shared" si="135"/>
        <v>22.577921499993842</v>
      </c>
      <c r="W370" s="402">
        <f t="shared" si="136"/>
        <v>16.766510439269808</v>
      </c>
      <c r="X370" s="157">
        <f t="shared" si="137"/>
        <v>46013</v>
      </c>
      <c r="Y370" s="385">
        <f t="shared" si="138"/>
        <v>16.042588310905749</v>
      </c>
      <c r="Z370" s="385">
        <f t="shared" si="139"/>
        <v>17.040064114445748</v>
      </c>
      <c r="AA370" s="386">
        <f t="shared" si="140"/>
        <v>18.284339469688824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6.8051424953348497E-2</v>
      </c>
      <c r="AD370" s="231">
        <f>(INDEX(Models!$BJ370:$BT370,,AH370)*(1-AF370)+INDEX(Models!$BJ370:$BT370,,AH370+1)*AF370-ERP_i)*AE370*Ramure*Pc/MaxiM</f>
        <v>9.8104664068015602E-4</v>
      </c>
      <c r="AE370" s="305">
        <f t="shared" si="142"/>
        <v>0.5</v>
      </c>
      <c r="AF370" s="177">
        <f t="shared" si="143"/>
        <v>0.99738869048419088</v>
      </c>
      <c r="AG370" s="811">
        <f t="shared" si="149"/>
        <v>1</v>
      </c>
      <c r="AH370" s="176">
        <f t="shared" si="144"/>
        <v>7</v>
      </c>
      <c r="AI370" s="225">
        <f t="shared" si="145"/>
        <v>1.9973886904841909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17.314429136947833</v>
      </c>
      <c r="C371" s="841"/>
      <c r="D371" s="393">
        <f t="shared" si="127"/>
        <v>18.391386672342843</v>
      </c>
      <c r="E371" s="385">
        <f t="shared" si="150"/>
        <v>18.894751571093821</v>
      </c>
      <c r="F371" s="385">
        <f t="shared" si="128"/>
        <v>18.895554482752519</v>
      </c>
      <c r="G371" s="110">
        <f t="shared" si="151"/>
        <v>0.76546067032551635</v>
      </c>
      <c r="H371" s="414" t="b">
        <f>Wh_hp&gt;='2024'!Maxi_hp</f>
        <v>0</v>
      </c>
      <c r="I371" s="390">
        <f>IF(H371,Wh_hp,'2024'!Maxi_hp)</f>
        <v>19.829576058520093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5.8557712617425928E-2</v>
      </c>
      <c r="M371" s="845"/>
      <c r="N371" s="845"/>
      <c r="O371" s="48">
        <f>IF(t&lt;Tnet,'2024'!Resal+('2024'!Salim-'2024'!Resal)*(1-EXP(('2024'!Tnet-t)/('2024'!Tau_j))),Resal+(Salim-Resal)*(1-EXP((Tnet-t)/(Tau_j))))*Salcycl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6.3901033428806202E-5</v>
      </c>
      <c r="Q371" s="305">
        <f t="shared" si="130"/>
        <v>0.5</v>
      </c>
      <c r="R371" s="177">
        <f t="shared" si="131"/>
        <v>0.47240112411021196</v>
      </c>
      <c r="S371" s="811">
        <f t="shared" si="132"/>
        <v>-2</v>
      </c>
      <c r="T371" s="176">
        <f t="shared" si="133"/>
        <v>4</v>
      </c>
      <c r="U371" s="251">
        <f t="shared" si="134"/>
        <v>-1.527598875889788</v>
      </c>
      <c r="V371" s="383">
        <f t="shared" si="135"/>
        <v>22.619135259100247</v>
      </c>
      <c r="W371" s="402">
        <f t="shared" si="136"/>
        <v>17.314429136947833</v>
      </c>
      <c r="X371" s="157">
        <f t="shared" si="137"/>
        <v>46014</v>
      </c>
      <c r="Y371" s="385">
        <f t="shared" si="138"/>
        <v>16.567140708896964</v>
      </c>
      <c r="Z371" s="385">
        <f t="shared" si="139"/>
        <v>17.597616902208017</v>
      </c>
      <c r="AA371" s="386">
        <f t="shared" si="140"/>
        <v>18.883263109020348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6.8083900509663009E-2</v>
      </c>
      <c r="AD371" s="231">
        <f>(INDEX(Models!$BJ371:$BT371,,AH371)*(1-AF371)+INDEX(Models!$BJ371:$BT371,,AH371+1)*AF371-ERP_i)*AE371*Ramure*Pc/MaxiM</f>
        <v>9.7822901839295399E-4</v>
      </c>
      <c r="AE371" s="305">
        <f t="shared" si="142"/>
        <v>0.5</v>
      </c>
      <c r="AF371" s="177">
        <f t="shared" si="143"/>
        <v>0.99738869048419088</v>
      </c>
      <c r="AG371" s="811">
        <f t="shared" si="149"/>
        <v>1</v>
      </c>
      <c r="AH371" s="176">
        <f t="shared" si="144"/>
        <v>7</v>
      </c>
      <c r="AI371" s="225">
        <f t="shared" si="145"/>
        <v>1.9973886904841909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20.807250034868122</v>
      </c>
      <c r="C372" s="841"/>
      <c r="D372" s="393">
        <f t="shared" si="127"/>
        <v>22.101945128125074</v>
      </c>
      <c r="E372" s="385">
        <f t="shared" si="150"/>
        <v>22.708699241379392</v>
      </c>
      <c r="F372" s="385">
        <f t="shared" si="128"/>
        <v>22.709976155997435</v>
      </c>
      <c r="G372" s="110">
        <f t="shared" si="151"/>
        <v>0.91770827907181274</v>
      </c>
      <c r="H372" s="414" t="b">
        <f>Wh_hp&gt;='2024'!Maxi_hp</f>
        <v>1</v>
      </c>
      <c r="I372" s="390">
        <f>IF(H372,Wh_hp,'2024'!Maxi_hp)</f>
        <v>22.709976155997435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5.8578332619667495E-2</v>
      </c>
      <c r="M372" s="845"/>
      <c r="N372" s="845"/>
      <c r="O372" s="48">
        <f>IF(t&lt;Tnet,'2024'!Resal+('2024'!Salim-'2024'!Resal)*(1-EXP(('2024'!Tnet-t)/('2024'!Tau_j))),Resal+(Salim-Resal)*(1-EXP((Tnet-t)/(Tau_j))))*Salcycl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6.3716948039416527E-5</v>
      </c>
      <c r="Q372" s="305">
        <f t="shared" si="130"/>
        <v>0.5</v>
      </c>
      <c r="R372" s="177">
        <f t="shared" si="131"/>
        <v>0.47240112411021196</v>
      </c>
      <c r="S372" s="811">
        <f t="shared" si="132"/>
        <v>-2</v>
      </c>
      <c r="T372" s="176">
        <f t="shared" si="133"/>
        <v>4</v>
      </c>
      <c r="U372" s="251">
        <f t="shared" si="134"/>
        <v>-1.527598875889788</v>
      </c>
      <c r="V372" s="383">
        <f t="shared" si="135"/>
        <v>22.672884898293251</v>
      </c>
      <c r="W372" s="402">
        <f t="shared" si="136"/>
        <v>20.807250034868122</v>
      </c>
      <c r="X372" s="157">
        <f t="shared" si="137"/>
        <v>46015</v>
      </c>
      <c r="Y372" s="385">
        <f t="shared" si="138"/>
        <v>19.906210965719239</v>
      </c>
      <c r="Z372" s="385">
        <f t="shared" si="139"/>
        <v>21.14484046358492</v>
      </c>
      <c r="AA372" s="386">
        <f t="shared" si="140"/>
        <v>22.690439655972451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6.8116758239222017E-2</v>
      </c>
      <c r="AD372" s="231">
        <f>(INDEX(Models!$BJ372:$BT372,,AH372)*(1-AF372)+INDEX(Models!$BJ372:$BT372,,AH372+1)*AF372-ERP_i)*AE372*Ramure*Pc/MaxiM</f>
        <v>9.7485465306466012E-4</v>
      </c>
      <c r="AE372" s="305">
        <f t="shared" si="142"/>
        <v>0.5</v>
      </c>
      <c r="AF372" s="177">
        <f t="shared" si="143"/>
        <v>0.99738869048419088</v>
      </c>
      <c r="AG372" s="811">
        <f t="shared" si="149"/>
        <v>1</v>
      </c>
      <c r="AH372" s="176">
        <f t="shared" si="144"/>
        <v>7</v>
      </c>
      <c r="AI372" s="225">
        <f t="shared" si="145"/>
        <v>1.9973886904841909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12.379895140375051</v>
      </c>
      <c r="C373" s="841"/>
      <c r="D373" s="393">
        <f t="shared" si="127"/>
        <v>13.150500702028424</v>
      </c>
      <c r="E373" s="385">
        <f t="shared" si="150"/>
        <v>13.512606545730963</v>
      </c>
      <c r="F373" s="385">
        <f t="shared" si="128"/>
        <v>13.512906143559215</v>
      </c>
      <c r="G373" s="110">
        <f t="shared" si="151"/>
        <v>0.54435380913273934</v>
      </c>
      <c r="H373" s="414" t="b">
        <f>Wh_hp&gt;='2024'!Maxi_hp</f>
        <v>0</v>
      </c>
      <c r="I373" s="390">
        <f>IF(H373,Wh_hp,'2024'!Maxi_hp)</f>
        <v>16.332134440633631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5.8598952170278107E-2</v>
      </c>
      <c r="M373" s="845"/>
      <c r="N373" s="845"/>
      <c r="O373" s="48">
        <f>IF(t&lt;Tnet,'2024'!Resal+('2024'!Salim-'2024'!Resal)*(1-EXP(('2024'!Tnet-t)/('2024'!Tau_j))),Resal+(Salim-Resal)*(1-EXP((Tnet-t)/(Tau_j))))*Salcycl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6.3508058109306228E-5</v>
      </c>
      <c r="Q373" s="305">
        <f t="shared" si="130"/>
        <v>0.5</v>
      </c>
      <c r="R373" s="177">
        <f t="shared" si="131"/>
        <v>0.47240112411021196</v>
      </c>
      <c r="S373" s="811">
        <f t="shared" si="132"/>
        <v>-2</v>
      </c>
      <c r="T373" s="176">
        <f t="shared" si="133"/>
        <v>4</v>
      </c>
      <c r="U373" s="251">
        <f t="shared" si="134"/>
        <v>-1.527598875889788</v>
      </c>
      <c r="V373" s="383">
        <f t="shared" si="135"/>
        <v>22.741428783653976</v>
      </c>
      <c r="W373" s="402">
        <f t="shared" si="136"/>
        <v>12.379895140375051</v>
      </c>
      <c r="X373" s="157">
        <f t="shared" si="137"/>
        <v>46016</v>
      </c>
      <c r="Y373" s="385">
        <f t="shared" si="138"/>
        <v>11.850106310455912</v>
      </c>
      <c r="Z373" s="385">
        <f t="shared" si="139"/>
        <v>12.587734353785558</v>
      </c>
      <c r="AA373" s="386">
        <f t="shared" si="140"/>
        <v>13.508326286432641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6.8149962706460343E-2</v>
      </c>
      <c r="AD373" s="231">
        <f>(INDEX(Models!$BJ373:$BT373,,AH373)*(1-AF373)+INDEX(Models!$BJ373:$BT373,,AH373+1)*AF373-ERP_i)*AE373*Ramure*Pc/MaxiM</f>
        <v>9.7082757316397088E-4</v>
      </c>
      <c r="AE373" s="305">
        <f t="shared" si="142"/>
        <v>0.5</v>
      </c>
      <c r="AF373" s="177">
        <f t="shared" si="143"/>
        <v>0.99738869048419088</v>
      </c>
      <c r="AG373" s="811">
        <f t="shared" si="149"/>
        <v>1</v>
      </c>
      <c r="AH373" s="176">
        <f t="shared" si="144"/>
        <v>7</v>
      </c>
      <c r="AI373" s="225">
        <f t="shared" si="145"/>
        <v>1.9973886904841909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21.095623273428384</v>
      </c>
      <c r="C374" s="841"/>
      <c r="D374" s="393">
        <f t="shared" si="127"/>
        <v>22.409243521104123</v>
      </c>
      <c r="E374" s="385">
        <f t="shared" si="150"/>
        <v>23.02815494166455</v>
      </c>
      <c r="F374" s="385">
        <f t="shared" si="128"/>
        <v>23.029454223450379</v>
      </c>
      <c r="G374" s="110">
        <f t="shared" si="151"/>
        <v>0.9241816648882526</v>
      </c>
      <c r="H374" s="414" t="b">
        <f>Wh_hp&gt;='2024'!Maxi_hp</f>
        <v>0</v>
      </c>
      <c r="I374" s="390">
        <f>IF(H374,Wh_hp,'2024'!Maxi_hp)</f>
        <v>24.2954595694269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5.8619571269267756E-2</v>
      </c>
      <c r="M374" s="845"/>
      <c r="N374" s="845"/>
      <c r="O374" s="48">
        <f>IF(t&lt;Tnet,'2024'!Resal+('2024'!Salim-'2024'!Resal)*(1-EXP(('2024'!Tnet-t)/('2024'!Tau_j))),Resal+(Salim-Resal)*(1-EXP((Tnet-t)/(Tau_j))))*Salcycl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6.327065504437418E-5</v>
      </c>
      <c r="Q374" s="305">
        <f t="shared" si="130"/>
        <v>0.5</v>
      </c>
      <c r="R374" s="177">
        <f t="shared" si="131"/>
        <v>0.47240112411021196</v>
      </c>
      <c r="S374" s="811">
        <f t="shared" si="132"/>
        <v>-2</v>
      </c>
      <c r="T374" s="176">
        <f t="shared" si="133"/>
        <v>4</v>
      </c>
      <c r="U374" s="251">
        <f t="shared" si="134"/>
        <v>-1.527598875889788</v>
      </c>
      <c r="V374" s="383">
        <f t="shared" si="135"/>
        <v>22.826116889393546</v>
      </c>
      <c r="W374" s="402">
        <f t="shared" si="136"/>
        <v>21.095623273428384</v>
      </c>
      <c r="X374" s="157">
        <f t="shared" si="137"/>
        <v>46017</v>
      </c>
      <c r="Y374" s="385">
        <f t="shared" si="138"/>
        <v>20.183892566466675</v>
      </c>
      <c r="Z374" s="385">
        <f t="shared" si="139"/>
        <v>21.440739525125579</v>
      </c>
      <c r="AA374" s="386">
        <f t="shared" si="140"/>
        <v>23.009615162715185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6.8183480101475735E-2</v>
      </c>
      <c r="AD374" s="231">
        <f>(INDEX(Models!$BJ374:$BT374,,AH374)*(1-AF374)+INDEX(Models!$BJ374:$BT374,,AH374+1)*AF374-ERP_i)*AE374*Ramure*Pc/MaxiM</f>
        <v>9.6609556285019152E-4</v>
      </c>
      <c r="AE374" s="305">
        <f t="shared" si="142"/>
        <v>0.5</v>
      </c>
      <c r="AF374" s="177">
        <f t="shared" si="143"/>
        <v>0.99738869048419088</v>
      </c>
      <c r="AG374" s="811">
        <f t="shared" si="149"/>
        <v>1</v>
      </c>
      <c r="AH374" s="176">
        <f t="shared" si="144"/>
        <v>7</v>
      </c>
      <c r="AI374" s="225">
        <f t="shared" si="145"/>
        <v>1.9973886904841909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7.6023521125629347</v>
      </c>
      <c r="C375" s="841"/>
      <c r="D375" s="393">
        <f t="shared" si="127"/>
        <v>8.0759259436514235</v>
      </c>
      <c r="E375" s="385">
        <f t="shared" si="150"/>
        <v>8.2996427195115761</v>
      </c>
      <c r="F375" s="385">
        <f t="shared" si="128"/>
        <v>8.2996663421005383</v>
      </c>
      <c r="G375" s="110">
        <f t="shared" si="151"/>
        <v>0.33158657278305609</v>
      </c>
      <c r="H375" s="414" t="b">
        <f>Wh_hp&gt;='2024'!Maxi_hp</f>
        <v>0</v>
      </c>
      <c r="I375" s="390">
        <f>IF(H375,Wh_hp,'2024'!Maxi_hp)</f>
        <v>24.678488393426758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5.8640189916646102E-2</v>
      </c>
      <c r="M375" s="845"/>
      <c r="N375" s="845"/>
      <c r="O375" s="48">
        <f>IF(t&lt;Tnet,'2024'!Resal+('2024'!Salim-'2024'!Resal)*(1-EXP(('2024'!Tnet-t)/('2024'!Tau_j))),Resal+(Salim-Resal)*(1-EXP((Tnet-t)/(Tau_j))))*Salcycl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6.3035913653930475E-5</v>
      </c>
      <c r="Q375" s="305">
        <f t="shared" si="130"/>
        <v>0.5</v>
      </c>
      <c r="R375" s="177">
        <f t="shared" si="131"/>
        <v>0.47240112411021196</v>
      </c>
      <c r="S375" s="811">
        <f t="shared" si="132"/>
        <v>-2</v>
      </c>
      <c r="T375" s="176">
        <f t="shared" si="133"/>
        <v>4</v>
      </c>
      <c r="U375" s="251">
        <f t="shared" si="134"/>
        <v>-1.527598875889788</v>
      </c>
      <c r="V375" s="383">
        <f t="shared" si="135"/>
        <v>22.92582134473048</v>
      </c>
      <c r="W375" s="402">
        <f t="shared" si="136"/>
        <v>7.6023521125629347</v>
      </c>
      <c r="X375" s="157">
        <f t="shared" si="137"/>
        <v>46018</v>
      </c>
      <c r="Y375" s="385">
        <f t="shared" si="138"/>
        <v>7.2796767795528945</v>
      </c>
      <c r="Z375" s="385">
        <f t="shared" si="139"/>
        <v>7.7331501744357523</v>
      </c>
      <c r="AA375" s="386">
        <f t="shared" si="140"/>
        <v>8.299306259839371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6.8217278369791828E-2</v>
      </c>
      <c r="AD375" s="231">
        <f>(INDEX(Models!$BJ375:$BT375,,AH375)*(1-AF375)+INDEX(Models!$BJ375:$BT375,,AH375+1)*AF375-ERP_i)*AE375*Ramure*Pc/MaxiM</f>
        <v>9.608648044289762E-4</v>
      </c>
      <c r="AE375" s="305">
        <f t="shared" si="142"/>
        <v>0.5</v>
      </c>
      <c r="AF375" s="177">
        <f t="shared" si="143"/>
        <v>0.99738869048419088</v>
      </c>
      <c r="AG375" s="811">
        <f t="shared" si="149"/>
        <v>1</v>
      </c>
      <c r="AH375" s="176">
        <f t="shared" si="144"/>
        <v>7</v>
      </c>
      <c r="AI375" s="225">
        <f t="shared" si="145"/>
        <v>1.9973886904841909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20.262513801994189</v>
      </c>
      <c r="C376" s="841"/>
      <c r="D376" s="393">
        <f t="shared" si="127"/>
        <v>21.525199393179118</v>
      </c>
      <c r="E376" s="385">
        <f t="shared" si="150"/>
        <v>22.123273546593321</v>
      </c>
      <c r="F376" s="385">
        <f t="shared" si="128"/>
        <v>22.124423768538893</v>
      </c>
      <c r="G376" s="110">
        <f t="shared" si="151"/>
        <v>0.87946218542806331</v>
      </c>
      <c r="H376" s="414" t="b">
        <f>Wh_hp&gt;='2024'!Maxi_hp</f>
        <v>1</v>
      </c>
      <c r="I376" s="390">
        <f>IF(H376,Wh_hp,'2024'!Maxi_hp)</f>
        <v>22.124423768538893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5.8660808112423246E-2</v>
      </c>
      <c r="M376" s="845"/>
      <c r="N376" s="845"/>
      <c r="O376" s="48">
        <f>IF(t&lt;Tnet,'2024'!Resal+('2024'!Salim-'2024'!Resal)*(1-EXP(('2024'!Tnet-t)/('2024'!Tau_j))),Resal+(Salim-Resal)*(1-EXP((Tnet-t)/(Tau_j))))*Salcycl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6.2802291903698681E-5</v>
      </c>
      <c r="Q376" s="305">
        <f t="shared" si="130"/>
        <v>0.5</v>
      </c>
      <c r="R376" s="177">
        <f t="shared" si="131"/>
        <v>0.47240112411021196</v>
      </c>
      <c r="S376" s="811">
        <f t="shared" si="132"/>
        <v>-2</v>
      </c>
      <c r="T376" s="176">
        <f t="shared" si="133"/>
        <v>4</v>
      </c>
      <c r="U376" s="251">
        <f t="shared" si="134"/>
        <v>-1.527598875889788</v>
      </c>
      <c r="V376" s="383">
        <f t="shared" si="135"/>
        <v>23.039415471785471</v>
      </c>
      <c r="W376" s="402">
        <f t="shared" si="136"/>
        <v>20.262513801994189</v>
      </c>
      <c r="X376" s="157">
        <f t="shared" si="137"/>
        <v>46019</v>
      </c>
      <c r="Y376" s="385">
        <f t="shared" si="138"/>
        <v>19.389799789869006</v>
      </c>
      <c r="Z376" s="385">
        <f t="shared" si="139"/>
        <v>20.598101042609848</v>
      </c>
      <c r="AA376" s="386">
        <f t="shared" si="140"/>
        <v>22.106928237865407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6.8251327322409003E-2</v>
      </c>
      <c r="AD376" s="231">
        <f>(INDEX(Models!$BJ376:$BT376,,AH376)*(1-AF376)+INDEX(Models!$BJ376:$BT376,,AH376+1)*AF376-ERP_i)*AE376*Ramure*Pc/MaxiM</f>
        <v>9.5525861647430266E-4</v>
      </c>
      <c r="AE376" s="305">
        <f t="shared" si="142"/>
        <v>0.5</v>
      </c>
      <c r="AF376" s="177">
        <f t="shared" si="143"/>
        <v>0.99738869048419088</v>
      </c>
      <c r="AG376" s="811">
        <f t="shared" si="149"/>
        <v>1</v>
      </c>
      <c r="AH376" s="176">
        <f t="shared" si="144"/>
        <v>7</v>
      </c>
      <c r="AI376" s="225">
        <f t="shared" si="145"/>
        <v>1.9973886904841909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9.9603897362612983</v>
      </c>
      <c r="C377" s="841"/>
      <c r="D377" s="393">
        <f t="shared" si="127"/>
        <v>10.581316474420307</v>
      </c>
      <c r="E377" s="385">
        <f t="shared" si="150"/>
        <v>10.876196757225031</v>
      </c>
      <c r="F377" s="385">
        <f t="shared" si="128"/>
        <v>10.876323109665519</v>
      </c>
      <c r="G377" s="110">
        <f t="shared" si="151"/>
        <v>0.42993955886657831</v>
      </c>
      <c r="H377" s="414" t="b">
        <f>Wh_hp&gt;='2024'!Maxi_hp</f>
        <v>0</v>
      </c>
      <c r="I377" s="390">
        <f>IF(H377,Wh_hp,'2024'!Maxi_hp)</f>
        <v>24.70046719987749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5.8681425856608849E-2</v>
      </c>
      <c r="M377" s="845"/>
      <c r="N377" s="845"/>
      <c r="O377" s="48">
        <f>IF(t&lt;Tnet,'2024'!Resal+('2024'!Salim-'2024'!Resal)*(1-EXP(('2024'!Tnet-t)/('2024'!Tau_j))),Resal+(Salim-Resal)*(1-EXP((Tnet-t)/(Tau_j))))*Salcycl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6.2572710117030604E-5</v>
      </c>
      <c r="Q377" s="305">
        <f t="shared" si="130"/>
        <v>0.5</v>
      </c>
      <c r="R377" s="177">
        <f t="shared" si="131"/>
        <v>0.47240112411021196</v>
      </c>
      <c r="S377" s="811">
        <f t="shared" si="132"/>
        <v>-2</v>
      </c>
      <c r="T377" s="176">
        <f t="shared" si="133"/>
        <v>4</v>
      </c>
      <c r="U377" s="251">
        <f t="shared" si="134"/>
        <v>-1.527598875889788</v>
      </c>
      <c r="V377" s="383">
        <f t="shared" si="135"/>
        <v>23.165772928408096</v>
      </c>
      <c r="W377" s="402">
        <f t="shared" si="136"/>
        <v>9.9603897362612983</v>
      </c>
      <c r="X377" s="157">
        <f t="shared" si="137"/>
        <v>46020</v>
      </c>
      <c r="Y377" s="385">
        <f t="shared" si="138"/>
        <v>9.5372899369516464</v>
      </c>
      <c r="Z377" s="385">
        <f t="shared" si="139"/>
        <v>10.131840801750535</v>
      </c>
      <c r="AA377" s="386">
        <f t="shared" si="140"/>
        <v>10.874406135500699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6.8285598725798674E-2</v>
      </c>
      <c r="AD377" s="231">
        <f>(INDEX(Models!$BJ377:$BT377,,AH377)*(1-AF377)+INDEX(Models!$BJ377:$BT377,,AH377+1)*AF377-ERP_i)*AE377*Ramure*Pc/MaxiM</f>
        <v>9.4933084200103884E-4</v>
      </c>
      <c r="AE377" s="305">
        <f t="shared" si="142"/>
        <v>0.5</v>
      </c>
      <c r="AF377" s="177">
        <f t="shared" si="143"/>
        <v>0.99738869048419088</v>
      </c>
      <c r="AG377" s="811">
        <f t="shared" si="149"/>
        <v>1</v>
      </c>
      <c r="AH377" s="176">
        <f t="shared" si="144"/>
        <v>7</v>
      </c>
      <c r="AI377" s="225">
        <f t="shared" si="145"/>
        <v>1.9973886904841909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13.114616299183952</v>
      </c>
      <c r="C378" s="841"/>
      <c r="D378" s="393">
        <f t="shared" si="127"/>
        <v>13.932481424968037</v>
      </c>
      <c r="E378" s="385">
        <f t="shared" si="150"/>
        <v>14.321911149216222</v>
      </c>
      <c r="F378" s="385">
        <f t="shared" si="128"/>
        <v>14.322246363232928</v>
      </c>
      <c r="G378" s="110">
        <f t="shared" si="151"/>
        <v>0.56274614622816499</v>
      </c>
      <c r="H378" s="414" t="b">
        <f>Wh_hp&gt;='2024'!Maxi_hp</f>
        <v>0</v>
      </c>
      <c r="I378" s="390">
        <f>IF(H378,Wh_hp,'2024'!Maxi_hp)</f>
        <v>26.021620495154139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5.8702043149213123E-2</v>
      </c>
      <c r="M378" s="845"/>
      <c r="N378" s="845"/>
      <c r="O378" s="48">
        <f>IF(t&lt;Tnet,'2024'!Resal+('2024'!Salim-'2024'!Resal)*(1-EXP(('2024'!Tnet-t)/('2024'!Tau_j))),Resal+(Salim-Resal)*(1-EXP((Tnet-t)/(Tau_j))))*Salcycl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6.2350004521322862E-5</v>
      </c>
      <c r="Q378" s="305">
        <f t="shared" si="130"/>
        <v>0.5</v>
      </c>
      <c r="R378" s="177">
        <f t="shared" si="131"/>
        <v>0.47240112411021196</v>
      </c>
      <c r="S378" s="811">
        <f t="shared" si="132"/>
        <v>-2</v>
      </c>
      <c r="T378" s="176">
        <f t="shared" si="133"/>
        <v>4</v>
      </c>
      <c r="U378" s="251">
        <f t="shared" si="134"/>
        <v>-1.527598875889788</v>
      </c>
      <c r="V378" s="383">
        <f t="shared" si="135"/>
        <v>23.303767832124397</v>
      </c>
      <c r="W378" s="402">
        <f t="shared" si="136"/>
        <v>13.114616299183952</v>
      </c>
      <c r="X378" s="157">
        <f t="shared" si="137"/>
        <v>46021</v>
      </c>
      <c r="Y378" s="385">
        <f t="shared" si="138"/>
        <v>12.555997322337618</v>
      </c>
      <c r="Z378" s="385">
        <f t="shared" si="139"/>
        <v>13.339025364874955</v>
      </c>
      <c r="AA378" s="386">
        <f t="shared" si="140"/>
        <v>14.317175763277087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6.8320066371682309E-2</v>
      </c>
      <c r="AD378" s="231">
        <f>(INDEX(Models!$BJ378:$BT378,,AH378)*(1-AF378)+INDEX(Models!$BJ378:$BT378,,AH378+1)*AF378-ERP_i)*AE378*Ramure*Pc/MaxiM</f>
        <v>9.4313457796064439E-4</v>
      </c>
      <c r="AE378" s="305">
        <f t="shared" si="142"/>
        <v>0.5</v>
      </c>
      <c r="AF378" s="177">
        <f t="shared" si="143"/>
        <v>0.99738869048419088</v>
      </c>
      <c r="AG378" s="811">
        <f t="shared" si="149"/>
        <v>1</v>
      </c>
      <c r="AH378" s="176">
        <f t="shared" si="144"/>
        <v>7</v>
      </c>
      <c r="AI378" s="225">
        <f t="shared" si="145"/>
        <v>1.9973886904841909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12.169668397621113</v>
      </c>
      <c r="C379" s="841"/>
      <c r="D379" s="393">
        <f t="shared" si="127"/>
        <v>12.928887035031567</v>
      </c>
      <c r="E379" s="385">
        <f t="shared" si="150"/>
        <v>13.291340827912213</v>
      </c>
      <c r="F379" s="385">
        <f t="shared" si="128"/>
        <v>13.291599112558998</v>
      </c>
      <c r="G379" s="110">
        <f t="shared" si="151"/>
        <v>0.51888990812085989</v>
      </c>
      <c r="H379" s="414" t="b">
        <f>Wh_hp&gt;='2024'!Maxi_hp</f>
        <v>0</v>
      </c>
      <c r="I379" s="390">
        <f>IF(H379,Wh_hp,'2024'!Maxi_hp)</f>
        <v>25.489311551615195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5.8722659990245618E-2</v>
      </c>
      <c r="M379" s="845"/>
      <c r="N379" s="845"/>
      <c r="O379" s="48">
        <f>IF(t&lt;Tnet,'2024'!Resal+('2024'!Salim-'2024'!Resal)*(1-EXP(('2024'!Tnet-t)/('2024'!Tau_j))),Resal+(Salim-Resal)*(1-EXP((Tnet-t)/(Tau_j))))*Salcycl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6.2136915708607332E-5</v>
      </c>
      <c r="Q379" s="306">
        <f t="shared" si="130"/>
        <v>0.5</v>
      </c>
      <c r="R379" s="177">
        <f t="shared" si="131"/>
        <v>0.47240112411021196</v>
      </c>
      <c r="S379" s="811">
        <f t="shared" si="132"/>
        <v>-2</v>
      </c>
      <c r="T379" s="176">
        <f t="shared" si="133"/>
        <v>4</v>
      </c>
      <c r="U379" s="307">
        <f t="shared" si="134"/>
        <v>-1.527598875889788</v>
      </c>
      <c r="V379" s="383">
        <f t="shared" si="135"/>
        <v>23.452274739796444</v>
      </c>
      <c r="W379" s="402">
        <f t="shared" si="136"/>
        <v>12.169668397621113</v>
      </c>
      <c r="X379" s="157">
        <f t="shared" si="137"/>
        <v>46022</v>
      </c>
      <c r="Y379" s="385">
        <f t="shared" si="138"/>
        <v>11.652475283460404</v>
      </c>
      <c r="Z379" s="385">
        <f t="shared" si="139"/>
        <v>12.37942823880117</v>
      </c>
      <c r="AA379" s="386">
        <f t="shared" si="140"/>
        <v>13.287705439194376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6.8354706126618855E-2</v>
      </c>
      <c r="AD379" s="231">
        <f>(INDEX(Models!$BJ379:$BT379,,AH379)*(1-AF379)+INDEX(Models!$BJ379:$BT379,,AH379+1)*AF379-ERP_i)*AE379*Ramure*Pc/MaxiM</f>
        <v>9.3672177833533364E-4</v>
      </c>
      <c r="AE379" s="306">
        <f t="shared" si="142"/>
        <v>0.5</v>
      </c>
      <c r="AF379" s="177">
        <f t="shared" si="143"/>
        <v>0.99738869048419088</v>
      </c>
      <c r="AG379" s="811">
        <f t="shared" si="149"/>
        <v>1</v>
      </c>
      <c r="AH379" s="176">
        <f t="shared" si="144"/>
        <v>7</v>
      </c>
      <c r="AI379" s="222">
        <f t="shared" si="145"/>
        <v>1.9973886904841909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16.727521718765839</v>
      </c>
      <c r="J380" s="85">
        <f>IF(H380,An,'2024'!An_max)</f>
        <v>2024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1.7016259894150789</v>
      </c>
      <c r="C381" s="375"/>
      <c r="D381" s="373">
        <f>MIN(D15:D380)</f>
        <v>1.7937819565524309</v>
      </c>
      <c r="E381" s="373">
        <f>MIN(E15:E380)</f>
        <v>1.892535163306764</v>
      </c>
      <c r="F381" s="374">
        <f>MIN(F15:F380)</f>
        <v>1.892535163306764</v>
      </c>
      <c r="G381" s="125">
        <f>+MIN(G15:G380)</f>
        <v>6.846342882924876E-2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5.1188217318522411E-2</v>
      </c>
      <c r="M381" s="847"/>
      <c r="N381" s="847"/>
      <c r="O381" s="47">
        <f t="shared" si="152"/>
        <v>5.0553188945380769E-3</v>
      </c>
      <c r="P381" s="168">
        <f t="shared" si="152"/>
        <v>0</v>
      </c>
      <c r="Q381" s="310">
        <f t="shared" si="152"/>
        <v>0.5</v>
      </c>
      <c r="R381" s="311">
        <f t="shared" si="152"/>
        <v>5.6515871126228134E-4</v>
      </c>
      <c r="S381" s="811">
        <f t="shared" si="152"/>
        <v>-3</v>
      </c>
      <c r="T381" s="176">
        <f t="shared" si="152"/>
        <v>3</v>
      </c>
      <c r="U381" s="252">
        <f>MIN(U15:U380)</f>
        <v>-2.0026106892122759</v>
      </c>
      <c r="V381" s="57">
        <f>MIN(V15:V380)</f>
        <v>22.52714403641361</v>
      </c>
      <c r="W381" s="58"/>
      <c r="X381" s="112" t="s">
        <v>7</v>
      </c>
      <c r="Y381" s="373">
        <f>MIN(Y15:Y380)</f>
        <v>1.6488122512214978</v>
      </c>
      <c r="Z381" s="373">
        <f>MIN(Z15:Z380)</f>
        <v>1.7381079534406809</v>
      </c>
      <c r="AA381" s="373">
        <f>MIN(AA15:AA380)</f>
        <v>1.892535163306764</v>
      </c>
      <c r="AB381" s="200" t="s">
        <v>7</v>
      </c>
      <c r="AC381" s="47">
        <f t="shared" ref="AC381:AH381" si="153">MIN(AC15:AC380)</f>
        <v>5.8451468147874677E-2</v>
      </c>
      <c r="AD381" s="168">
        <f t="shared" si="153"/>
        <v>8.7021491887001941E-6</v>
      </c>
      <c r="AE381" s="310">
        <f t="shared" si="153"/>
        <v>0.5</v>
      </c>
      <c r="AF381" s="311">
        <f t="shared" si="153"/>
        <v>0.4973899635203618</v>
      </c>
      <c r="AG381" s="811">
        <f t="shared" si="153"/>
        <v>1</v>
      </c>
      <c r="AH381" s="176">
        <f t="shared" si="153"/>
        <v>7</v>
      </c>
      <c r="AI381" s="226">
        <f>MIN(AI15:AI380)</f>
        <v>1.4973899635203618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30.075855289437389</v>
      </c>
      <c r="C382" s="375"/>
      <c r="D382" s="375">
        <f>AVERAGE(D15:D380)</f>
        <v>31.822208758297613</v>
      </c>
      <c r="E382" s="375">
        <f>AVERAGE(E15:E380)</f>
        <v>32.657846278128076</v>
      </c>
      <c r="F382" s="376">
        <f>AVERAGE(F15:F380)</f>
        <v>32.659405448302145</v>
      </c>
      <c r="G382" s="126">
        <f>AVERAGE(G15:G380)</f>
        <v>0.67336346183021145</v>
      </c>
      <c r="H382" s="94"/>
      <c r="I382" s="376">
        <f>AVERAGE(I15:I380)</f>
        <v>43.935023273498182</v>
      </c>
      <c r="J382" s="59">
        <f>AVERAGE(J15:J380)</f>
        <v>2020.5655737704917</v>
      </c>
      <c r="K382" s="200" t="s">
        <v>8</v>
      </c>
      <c r="L382" s="147">
        <f t="shared" ref="L382:V382" si="154">AVERAGE(L15:L380)</f>
        <v>5.4960430668607028E-2</v>
      </c>
      <c r="M382" s="845"/>
      <c r="N382" s="845"/>
      <c r="O382" s="48">
        <f t="shared" si="154"/>
        <v>2.9392728668520437E-2</v>
      </c>
      <c r="P382" s="169">
        <f t="shared" si="154"/>
        <v>1.1034074559712076E-4</v>
      </c>
      <c r="Q382" s="312">
        <f t="shared" si="154"/>
        <v>0.5</v>
      </c>
      <c r="R382" s="177">
        <f t="shared" si="154"/>
        <v>0.38851583909699017</v>
      </c>
      <c r="S382" s="811">
        <f t="shared" si="154"/>
        <v>-1.2767123287671234</v>
      </c>
      <c r="T382" s="176">
        <f t="shared" si="154"/>
        <v>4.7232876712328764</v>
      </c>
      <c r="U382" s="251">
        <f>AVERAGE(U15:U380)</f>
        <v>-0.88819648967013365</v>
      </c>
      <c r="V382" s="59">
        <f t="shared" si="154"/>
        <v>43.226867795029094</v>
      </c>
      <c r="X382" s="112" t="s">
        <v>8</v>
      </c>
      <c r="Y382" s="375">
        <f>AVERAGE(Y15:Y380)</f>
        <v>28.717929654959772</v>
      </c>
      <c r="Z382" s="375">
        <f>AVERAGE(Z15:Z380)</f>
        <v>30.385113903798349</v>
      </c>
      <c r="AA382" s="375">
        <f>AVERAGE(AA15:AA380)</f>
        <v>32.652380772908884</v>
      </c>
      <c r="AB382" s="200" t="s">
        <v>8</v>
      </c>
      <c r="AC382" s="48">
        <f t="shared" ref="AC382:AH382" si="155">AVERAGE(AC15:AC380)</f>
        <v>7.1007603021546017E-2</v>
      </c>
      <c r="AD382" s="169">
        <f t="shared" si="155"/>
        <v>3.9378486202432079E-4</v>
      </c>
      <c r="AE382" s="312">
        <f t="shared" si="155"/>
        <v>0.5</v>
      </c>
      <c r="AF382" s="177">
        <f t="shared" si="155"/>
        <v>0.77727356051950536</v>
      </c>
      <c r="AG382" s="811">
        <f t="shared" si="155"/>
        <v>1</v>
      </c>
      <c r="AH382" s="176">
        <f t="shared" si="155"/>
        <v>7</v>
      </c>
      <c r="AI382" s="225">
        <f>AVERAGE(AI15:AI380)</f>
        <v>1.7772735605195054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58.615178358966403</v>
      </c>
      <c r="C383" s="377"/>
      <c r="D383" s="377">
        <f>MAX(D15:D380)</f>
        <v>61.978039894134298</v>
      </c>
      <c r="E383" s="377">
        <f>MAX(E15:E380)</f>
        <v>62.488822845932361</v>
      </c>
      <c r="F383" s="378">
        <f>MAX(F15:F380)</f>
        <v>62.489291504318835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2025</v>
      </c>
      <c r="K383" s="200" t="s">
        <v>9</v>
      </c>
      <c r="L383" s="148">
        <f t="shared" ref="L383:T383" si="156">MAX(L15:L380)</f>
        <v>5.8722659990245618E-2</v>
      </c>
      <c r="M383" s="848"/>
      <c r="N383" s="848"/>
      <c r="O383" s="49">
        <f t="shared" si="156"/>
        <v>5.837321549258289E-2</v>
      </c>
      <c r="P383" s="170">
        <f t="shared" si="156"/>
        <v>7.6962231496880795E-4</v>
      </c>
      <c r="Q383" s="313">
        <f t="shared" si="156"/>
        <v>0.5</v>
      </c>
      <c r="R383" s="314">
        <f t="shared" si="156"/>
        <v>0.99946757390644869</v>
      </c>
      <c r="S383" s="812">
        <f t="shared" si="156"/>
        <v>1</v>
      </c>
      <c r="T383" s="233">
        <f t="shared" si="156"/>
        <v>7</v>
      </c>
      <c r="U383" s="253">
        <f>MAX(U15:U380)</f>
        <v>1.5213937526780386</v>
      </c>
      <c r="V383" s="60">
        <f>MAX(V15:V380)</f>
        <v>59.801200291839514</v>
      </c>
      <c r="X383" s="112" t="s">
        <v>9</v>
      </c>
      <c r="Y383" s="377">
        <f>MAX(Y15:Y380)</f>
        <v>55.477071947433025</v>
      </c>
      <c r="Z383" s="377">
        <f>MAX(Z15:Z380)</f>
        <v>58.65989449542969</v>
      </c>
      <c r="AA383" s="377">
        <f>MAX(AA15:AA380)</f>
        <v>62.469011518055744</v>
      </c>
      <c r="AB383" s="200" t="s">
        <v>9</v>
      </c>
      <c r="AC383" s="49">
        <f t="shared" ref="AC383:AH383" si="157">MAX(AC15:AC380)</f>
        <v>8.4944609720117276E-2</v>
      </c>
      <c r="AD383" s="170">
        <f t="shared" si="157"/>
        <v>9.8712478398985961E-4</v>
      </c>
      <c r="AE383" s="313">
        <f t="shared" si="157"/>
        <v>0.5</v>
      </c>
      <c r="AF383" s="314">
        <f t="shared" si="157"/>
        <v>0.99738869048419088</v>
      </c>
      <c r="AG383" s="812">
        <f t="shared" si="157"/>
        <v>1</v>
      </c>
      <c r="AH383" s="233">
        <f t="shared" si="157"/>
        <v>7</v>
      </c>
      <c r="AI383" s="227">
        <f>MAX(AI15:AI380)</f>
        <v>1.9973886904841909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3" stopIfTrue="1" operator="lessThan">
      <formula>0.01</formula>
    </cfRule>
    <cfRule type="cellIs" dxfId="5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'2025'!An+1</f>
        <v>2026</v>
      </c>
      <c r="K1" s="1271"/>
      <c r="L1" s="113" t="str">
        <f>"Calcul pertes et enveloppes en "&amp;TEXT(An,0)</f>
        <v>Calcul pertes et enveloppes en 2026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2026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393.69132976295896</v>
      </c>
      <c r="AK4" s="834">
        <f>AM12-AK12</f>
        <v>2.6104651102257672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393.69132976295896</v>
      </c>
      <c r="AA5" s="237">
        <f>Wh_Pvg_s-Wh_Pvg</f>
        <v>2.6104651102257672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10716.929027914814</v>
      </c>
      <c r="AK6" s="516">
        <f>SUMIF(AK15:AK380,"FAUX",Wh)</f>
        <v>10716.929027914814</v>
      </c>
      <c r="AL6" s="516">
        <f>SUMIF(AJ15:AJ380,"FAUX",Wh_s)</f>
        <v>10320.346513659309</v>
      </c>
      <c r="AM6" s="516">
        <f>SUMIF(AK15:AK380,"FAUX",Wh_s)</f>
        <v>10320.346513659309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11429.850120409163</v>
      </c>
      <c r="AK8" s="516">
        <f>SUMIF(AK15:AK380,"FAUX",Wh_sa)</f>
        <v>11920.598275168881</v>
      </c>
      <c r="AL8" s="516">
        <f>SUMIF(AJ15:AJ380,"FAUX",Wh_pvt_s)</f>
        <v>11006.94022559306</v>
      </c>
      <c r="AM8" s="516">
        <f>SUMIF(AK15:AK380,"FAUX",Wh_sa_s)</f>
        <v>11917.57369870826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11429.850120409163</v>
      </c>
      <c r="E9" s="184">
        <f>SUM(E$15:E$380)</f>
        <v>11920.598275168881</v>
      </c>
      <c r="F9" s="184">
        <f>SUM(F$15:F$380)</f>
        <v>11920.863003516939</v>
      </c>
      <c r="H9" s="1272">
        <f>+SUM(Wh)</f>
        <v>10716.929027914814</v>
      </c>
      <c r="I9" s="1273"/>
      <c r="J9" s="1274"/>
      <c r="K9" s="191"/>
      <c r="L9" s="232"/>
      <c r="M9" s="232"/>
      <c r="N9" s="232"/>
      <c r="O9" s="223">
        <f>Tnet_2026</f>
        <v>45777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10320.346513659309</v>
      </c>
      <c r="Y9" s="1267"/>
      <c r="Z9" s="516">
        <f>SUM(Z$15:Z$380)</f>
        <v>11006.94022559306</v>
      </c>
      <c r="AA9" s="516">
        <f>SUM(AA$15:AA$380)</f>
        <v>11917.57369870826</v>
      </c>
      <c r="AB9" s="516">
        <f>F9</f>
        <v>11920.863003516939</v>
      </c>
      <c r="AC9" s="325">
        <f>IF(An_Tnet,Tnet,'2025'!Tnet_s)</f>
        <v>45777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5.0000000000000001E-3</v>
      </c>
      <c r="P10" s="421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IF(OR(Inflex,GainD),'2025'!Resal_s+('2025'!Salim-'2025'!Resal_s)*(1-EXP(('2025'!Tnet_s-Tnet)/('2025'!Tau_j))),IF(Acti_net,'2025'!Resal+('2025'!Salim-'2025'!Resal)*(1-EXP(('2025'!Tnet-Tnet)/'2025'!Tau_j)),'2025'!Resal_s))</f>
        <v>5.7811850614436465E-2</v>
      </c>
      <c r="AD10" s="428"/>
      <c r="AE10" s="428"/>
      <c r="AF10" s="260"/>
      <c r="AG10" s="261"/>
      <c r="AH10" s="262"/>
      <c r="AI10" s="473"/>
      <c r="AJ10" s="516">
        <f>SUMIF(AJ15:AJ380,"FAUX",Wh_sa)</f>
        <v>11920.598275168881</v>
      </c>
      <c r="AK10" s="516">
        <f>SUMIF(AK15:AK380,"FAUX",Wh_hp)</f>
        <v>11920.863003516939</v>
      </c>
      <c r="AL10" s="516">
        <f>SUMIF(AJ15:AJ380,"FAUX",Wh_sa_s)</f>
        <v>11917.57369870826</v>
      </c>
      <c r="AM10" s="516">
        <f>SUMIF(AK15:AK380,"FAUX",Wh_hp)</f>
        <v>11920.863003516939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712.92109249434907</v>
      </c>
      <c r="E11" s="51">
        <f>(E$9-D$9)*Prod_an/D$9</f>
        <v>460.13841736638472</v>
      </c>
      <c r="F11" s="186">
        <f>(F$9-E$9)*Prod_an/E$9</f>
        <v>0.2379976954451489</v>
      </c>
      <c r="G11" s="185" t="s">
        <v>6</v>
      </c>
      <c r="K11" s="194"/>
      <c r="L11" s="211">
        <f>Tvie_2026</f>
        <v>43259</v>
      </c>
      <c r="M11" s="844"/>
      <c r="N11" s="844"/>
      <c r="O11" s="202">
        <f>IF(An_Tnet,Salim_2026,'2025'!Salim)</f>
        <v>0.105</v>
      </c>
      <c r="P11" s="256">
        <f>Ttai_2026</f>
        <v>45747</v>
      </c>
      <c r="Q11" s="272">
        <f>Dens_2026</f>
        <v>0.5</v>
      </c>
      <c r="R11" s="277"/>
      <c r="S11" s="230"/>
      <c r="T11" s="230"/>
      <c r="U11" s="266">
        <f>Htf_2026</f>
        <v>-1.027598875889788</v>
      </c>
      <c r="V11" s="428"/>
      <c r="W11" s="519"/>
      <c r="X11" s="526" t="s">
        <v>43</v>
      </c>
      <c r="Y11" s="50">
        <f>Z$9-Prod_an_s</f>
        <v>686.59371193375046</v>
      </c>
      <c r="Z11" s="51">
        <f>(AA$9-Z$9)*Prod_an_s/Z$9</f>
        <v>853.82974712934367</v>
      </c>
      <c r="AA11" s="186">
        <f>(AB$9-AA$9)*Prod_an_s/AA$9</f>
        <v>2.8484628056709163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Pspv_2026</f>
        <v>0</v>
      </c>
      <c r="M12" s="212"/>
      <c r="N12" s="212"/>
      <c r="O12" s="205">
        <f>IF(An_Tnet,Tau_2026*365,'2025'!Tau_j)</f>
        <v>973.33333333333326</v>
      </c>
      <c r="P12" s="281">
        <f>INDEX(Croivg,MIN(MAX(Ttai-$A$15,0)+1,366))</f>
        <v>2.3909964587625958E-6</v>
      </c>
      <c r="Q12" s="280">
        <f>'2025'!Df</f>
        <v>0.5</v>
      </c>
      <c r="R12" s="278"/>
      <c r="S12" s="279"/>
      <c r="T12" s="279"/>
      <c r="U12" s="267">
        <f>'2025'!Hdf</f>
        <v>-1.527598875889788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'2025'!Df_s</f>
        <v>0.5</v>
      </c>
      <c r="AF12" s="203"/>
      <c r="AG12" s="203"/>
      <c r="AH12" s="203"/>
      <c r="AI12" s="297">
        <f>'2025'!Hdf_s</f>
        <v>1.9973886904841909</v>
      </c>
      <c r="AJ12" s="833">
        <f>IF($AJ8=0,0,($AJ10-$AJ8)*$AJ6/$AJ8)</f>
        <v>460.13841736638472</v>
      </c>
      <c r="AK12" s="834">
        <f>IF($AK8=0,0,($AK10-$AK8)*$AK6/$AK8)</f>
        <v>0.2379976954451489</v>
      </c>
      <c r="AL12" s="833">
        <f>IF($AL8=0,0,($AL10-$AL8)*$AL6/$AL8)</f>
        <v>853.82974712934367</v>
      </c>
      <c r="AM12" s="834">
        <f>IF($AM8=0,0,($AM10-$AM8)*$AM6/$AM8)</f>
        <v>2.8484628056709163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460.13841736638472</v>
      </c>
      <c r="AK13" s="73">
        <f>+AK11+AK12</f>
        <v>0.2379976954451489</v>
      </c>
      <c r="AL13" s="73">
        <f>+AL11+AL12</f>
        <v>853.82974712934367</v>
      </c>
      <c r="AM13" s="73">
        <f>+AM11+AM12</f>
        <v>2.8484628056709163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22.455368647169532</v>
      </c>
      <c r="C15" s="841"/>
      <c r="D15" s="393">
        <f t="shared" ref="D15:D78" si="0">Wh/(1-Ppv)</f>
        <v>23.856794946230153</v>
      </c>
      <c r="E15" s="400">
        <f t="shared" ref="E15:E79" si="1">Wh_pvt/(1-Psa)</f>
        <v>24.527591260742117</v>
      </c>
      <c r="F15" s="400">
        <f t="shared" ref="F15:F78" si="2">Wh_sa/(1-Pvg*MEDIAN((-Sdif+Wh/Env_an)/Csdif,0,1))</f>
        <v>24.529004341448143</v>
      </c>
      <c r="G15" s="123">
        <f>+Wh_hp/MaxiM</f>
        <v>0.95108475435450779</v>
      </c>
      <c r="H15" s="414" t="b">
        <f>Wh_hp&gt;='2025'!Maxi_hp</f>
        <v>1</v>
      </c>
      <c r="I15" s="396">
        <f>IF(H15,Wh_hp,'2025'!Maxi_hp)</f>
        <v>24.529004341448143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5.8743276379716436E-2</v>
      </c>
      <c r="M15" s="845"/>
      <c r="N15" s="845"/>
      <c r="O15" s="48">
        <f>IF(t&lt;Tnet,'2025'!Resal+('2025'!Salim-'2025'!Resal)*(1-EXP(('2025'!Tnet-t)/('2025'!Tau_j))),Resal+(Salim-Resal)*(1-EXP((Tnet-t)/(Tau_j))))*Salcycl</f>
        <v>2.7348642081524471E-2</v>
      </c>
      <c r="P15" s="302">
        <f>(INDEX(Models!$BJ15:$BT15,,T15)*(1-R15)+INDEX(Models!$BJ15:$BT15,,T15+1)*R15-ERP_i)*Q15*Ramure*Pc/MaxiM</f>
        <v>6.1936236854216075E-5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0.47240231960844126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-1.5275976803915587</v>
      </c>
      <c r="V15" s="382">
        <f t="shared" ref="V15:V78" si="9">MaxiM*(1-Ppv)*(1-Pvg)*(1-Psa)</f>
        <v>23.610168661900317</v>
      </c>
      <c r="W15" s="402">
        <f t="shared" ref="W15:W78" si="10">Wh*(A15&gt;Tmaj)</f>
        <v>22.455368647169532</v>
      </c>
      <c r="X15" s="156">
        <f t="shared" ref="X15:X78" si="11">t</f>
        <v>46023</v>
      </c>
      <c r="Y15" s="385">
        <f t="shared" ref="Y15:Y78" si="12">Wh_pvt_s*(1-Ppv)</f>
        <v>21.490498770842152</v>
      </c>
      <c r="Z15" s="385">
        <f>Wh_sa_s*(1-Psa_s)</f>
        <v>22.831708110604399</v>
      </c>
      <c r="AA15" s="386">
        <f t="shared" ref="AA15:AA78" si="13">Wh_hp*(1-Pvg_s*MEDIAN((-Sdif+Wh/Env_an)/Csdif,0,1))</f>
        <v>24.507783039835147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6.8389495961606997E-2</v>
      </c>
      <c r="AD15" s="231">
        <f>(INDEX(Models!$BJ15:$BT15,,AH15)*(1-AF15)+INDEX(Models!$BJ15:$BT15,,AH15+1)*AF15-ERP_i)*AE15*Ramure*Pc/MaxiM</f>
        <v>9.3014330848342384E-4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0.99738988598242018</v>
      </c>
      <c r="AG15" s="81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1.9973898859824202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16.14589286125593</v>
      </c>
      <c r="C16" s="841"/>
      <c r="D16" s="393">
        <f t="shared" si="0"/>
        <v>17.153924216754149</v>
      </c>
      <c r="E16" s="385">
        <f t="shared" si="1"/>
        <v>17.637678920446763</v>
      </c>
      <c r="F16" s="385">
        <f t="shared" si="2"/>
        <v>17.638267999948017</v>
      </c>
      <c r="G16" s="110">
        <f t="shared" ref="G16:G79" si="21">+Wh_hp/MaxiM</f>
        <v>0.67905511178089661</v>
      </c>
      <c r="H16" s="414" t="b">
        <f>Wh_hp&gt;='2025'!Maxi_hp</f>
        <v>0</v>
      </c>
      <c r="I16" s="390">
        <f>IF(H16,Wh_hp,'2025'!Maxi_hp)</f>
        <v>24.297474136240545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5.8763892317635458E-2</v>
      </c>
      <c r="M16" s="845"/>
      <c r="N16" s="845"/>
      <c r="O16" s="48">
        <f>IF(t&lt;Tnet,'2025'!Resal+('2025'!Salim-'2025'!Resal)*(1-EXP(('2025'!Tnet-t)/('2025'!Tau_j))),Resal+(Salim-Resal)*(1-EXP((Tnet-t)/(Tau_j))))*Salcycl</f>
        <v>2.7427344940031517E-2</v>
      </c>
      <c r="P16" s="169">
        <f>(INDEX(Models!$BJ16:$BT16,,T16)*(1-R16)+INDEX(Models!$BJ16:$BT16,,T16+1)*R16-ERP_i)*Q16*Ramure*Pc/MaxiM</f>
        <v>6.167251464071641E-5</v>
      </c>
      <c r="Q16" s="305">
        <f t="shared" si="4"/>
        <v>0.5</v>
      </c>
      <c r="R16" s="177">
        <f t="shared" si="5"/>
        <v>0.47243153422243567</v>
      </c>
      <c r="S16" s="811">
        <f t="shared" si="6"/>
        <v>-2</v>
      </c>
      <c r="T16" s="176">
        <f t="shared" si="7"/>
        <v>4</v>
      </c>
      <c r="U16" s="251">
        <f t="shared" si="8"/>
        <v>-1.5275684657775643</v>
      </c>
      <c r="V16" s="383">
        <f t="shared" si="9"/>
        <v>23.776326907095036</v>
      </c>
      <c r="W16" s="402">
        <f t="shared" si="10"/>
        <v>16.14589286125593</v>
      </c>
      <c r="X16" s="157">
        <f t="shared" si="11"/>
        <v>46024</v>
      </c>
      <c r="Y16" s="385">
        <f t="shared" si="12"/>
        <v>15.458075900501909</v>
      </c>
      <c r="Z16" s="385">
        <f t="shared" ref="Z16:Z78" si="22">Wh_sa_s*(1-Psa_s)</f>
        <v>16.423165000081454</v>
      </c>
      <c r="AA16" s="386">
        <f t="shared" si="13"/>
        <v>17.629449806847873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6.8424415962082846E-2</v>
      </c>
      <c r="AD16" s="231">
        <f>(INDEX(Models!$BJ16:$BT16,,AH16)*(1-AF16)+INDEX(Models!$BJ16:$BT16,,AH16+1)*AF16-ERP_i)*AE16*Ramure*Pc/MaxiM</f>
        <v>9.2320330603320306E-4</v>
      </c>
      <c r="AE16" s="305">
        <f t="shared" si="15"/>
        <v>0.5</v>
      </c>
      <c r="AF16" s="177">
        <f t="shared" ref="AF16:AF78" si="23">(Hp_vg_s-AG16)/(INDEX(Echel_vg,AH16+1)-AG16)</f>
        <v>0.99741910059641459</v>
      </c>
      <c r="AG16" s="811">
        <f t="shared" ref="AG16:AG79" si="24">INDEX(Echel_vg,AH16)</f>
        <v>1</v>
      </c>
      <c r="AH16" s="176">
        <f t="shared" si="16"/>
        <v>7</v>
      </c>
      <c r="AI16" s="225">
        <f t="shared" si="17"/>
        <v>1.9974191005964146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17.374644742876225</v>
      </c>
      <c r="C17" s="841"/>
      <c r="D17" s="393">
        <f t="shared" si="0"/>
        <v>18.459794687759278</v>
      </c>
      <c r="E17" s="385">
        <f t="shared" si="1"/>
        <v>18.981911552529098</v>
      </c>
      <c r="F17" s="385">
        <f t="shared" si="2"/>
        <v>18.982619355844658</v>
      </c>
      <c r="G17" s="110">
        <f t="shared" si="21"/>
        <v>0.72544878540273938</v>
      </c>
      <c r="H17" s="414" t="b">
        <f>Wh_hp&gt;='2025'!Maxi_hp</f>
        <v>0</v>
      </c>
      <c r="I17" s="390">
        <f>IF(H17,Wh_hp,'2025'!Maxi_hp)</f>
        <v>27.383515682442006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5.8784507804012454E-2</v>
      </c>
      <c r="M17" s="845"/>
      <c r="N17" s="845"/>
      <c r="O17" s="48">
        <f>IF(t&lt;Tnet,'2025'!Resal+('2025'!Salim-'2025'!Resal)*(1-EXP(('2025'!Tnet-t)/('2025'!Tau_j))),Resal+(Salim-Resal)*(1-EXP((Tnet-t)/(Tau_j))))*Salcycl</f>
        <v>2.7506021368024696E-2</v>
      </c>
      <c r="P17" s="169">
        <f>(INDEX(Models!$BJ17:$BT17,,T17)*(1-R17)+INDEX(Models!$BJ17:$BT17,,T17+1)*R17-ERP_i)*Q17*Ramure*Pc/MaxiM</f>
        <v>6.1346443178307073E-5</v>
      </c>
      <c r="Q17" s="305">
        <f t="shared" si="4"/>
        <v>0.5</v>
      </c>
      <c r="R17" s="177">
        <f t="shared" si="5"/>
        <v>0.47246197081792518</v>
      </c>
      <c r="S17" s="811">
        <f t="shared" si="6"/>
        <v>-2</v>
      </c>
      <c r="T17" s="176">
        <f t="shared" si="7"/>
        <v>4</v>
      </c>
      <c r="U17" s="251">
        <f t="shared" si="8"/>
        <v>-1.5275380291820748</v>
      </c>
      <c r="V17" s="383">
        <f t="shared" si="9"/>
        <v>23.949625461002842</v>
      </c>
      <c r="W17" s="402">
        <f t="shared" si="10"/>
        <v>17.374644742876225</v>
      </c>
      <c r="X17" s="157">
        <f t="shared" si="11"/>
        <v>46025</v>
      </c>
      <c r="Y17" s="385">
        <f t="shared" si="12"/>
        <v>16.634322754148904</v>
      </c>
      <c r="Z17" s="385">
        <f t="shared" si="22"/>
        <v>17.67323518585388</v>
      </c>
      <c r="AA17" s="386">
        <f t="shared" si="13"/>
        <v>18.972051355101289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6.8459448318864968E-2</v>
      </c>
      <c r="AD17" s="231">
        <f>(INDEX(Models!$BJ17:$BT17,,AH17)*(1-AF17)+INDEX(Models!$BJ17:$BT17,,AH17+1)*AF17-ERP_i)*AE17*Ramure*Pc/MaxiM</f>
        <v>9.1594549341689549E-4</v>
      </c>
      <c r="AE17" s="305">
        <f t="shared" si="15"/>
        <v>0.5</v>
      </c>
      <c r="AF17" s="177">
        <f>(Hp_vg_s-AG17)/(INDEX(Echel_vg,AH17+1)-AG17)</f>
        <v>0.9974495371919041</v>
      </c>
      <c r="AG17" s="811">
        <f>INDEX(Echel_vg,AH17)</f>
        <v>1</v>
      </c>
      <c r="AH17" s="176">
        <f t="shared" si="16"/>
        <v>7</v>
      </c>
      <c r="AI17" s="225">
        <f t="shared" si="17"/>
        <v>1.9974495371919041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18.357956243199091</v>
      </c>
      <c r="C18" s="841"/>
      <c r="D18" s="393">
        <f t="shared" si="0"/>
        <v>19.504947050467226</v>
      </c>
      <c r="E18" s="385">
        <f t="shared" si="1"/>
        <v>20.058247087732539</v>
      </c>
      <c r="F18" s="385">
        <f t="shared" si="2"/>
        <v>20.059052115833115</v>
      </c>
      <c r="G18" s="110">
        <f t="shared" si="21"/>
        <v>0.76081142921555978</v>
      </c>
      <c r="H18" s="414" t="b">
        <f>Wh_hp&gt;='2025'!Maxi_hp</f>
        <v>0</v>
      </c>
      <c r="I18" s="390">
        <f>IF(H18,Wh_hp,'2025'!Maxi_hp)</f>
        <v>24.454097030053351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5.8805122838857415E-2</v>
      </c>
      <c r="M18" s="845"/>
      <c r="N18" s="845"/>
      <c r="O18" s="48">
        <f>IF(t&lt;Tnet,'2025'!Resal+('2025'!Salim-'2025'!Resal)*(1-EXP(('2025'!Tnet-t)/('2025'!Tau_j))),Resal+(Salim-Resal)*(1-EXP((Tnet-t)/(Tau_j))))*Salcycl</f>
        <v>2.7584665541571973E-2</v>
      </c>
      <c r="P18" s="169">
        <f>(INDEX(Models!$BJ18:$BT18,,T18)*(1-R18)+INDEX(Models!$BJ18:$BT18,,T18+1)*R18-ERP_i)*Q18*Ramure*Pc/MaxiM</f>
        <v>6.096218093359992E-5</v>
      </c>
      <c r="Q18" s="305">
        <f t="shared" si="4"/>
        <v>0.5</v>
      </c>
      <c r="R18" s="177">
        <f t="shared" si="5"/>
        <v>0.47249368034922035</v>
      </c>
      <c r="S18" s="811">
        <f t="shared" si="6"/>
        <v>-2</v>
      </c>
      <c r="T18" s="176">
        <f t="shared" si="7"/>
        <v>4</v>
      </c>
      <c r="U18" s="251">
        <f t="shared" si="8"/>
        <v>-1.5275063196507797</v>
      </c>
      <c r="V18" s="383">
        <f t="shared" si="9"/>
        <v>24.128940681011812</v>
      </c>
      <c r="W18" s="402">
        <f t="shared" si="10"/>
        <v>18.357956243199091</v>
      </c>
      <c r="X18" s="157">
        <f t="shared" si="11"/>
        <v>46026</v>
      </c>
      <c r="Y18" s="385">
        <f t="shared" si="12"/>
        <v>17.575818035112182</v>
      </c>
      <c r="Z18" s="385">
        <f>Wh_sa_s*(1-Psa_s)</f>
        <v>18.673941456337754</v>
      </c>
      <c r="AA18" s="386">
        <f t="shared" si="13"/>
        <v>20.047056089298895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6.8494577300759307E-2</v>
      </c>
      <c r="AD18" s="231">
        <f>(INDEX(Models!$BJ18:$BT18,,AH18)*(1-AF18)+INDEX(Models!$BJ18:$BT18,,AH18+1)*AF18-ERP_i)*AE18*Ramure*Pc/MaxiM</f>
        <v>9.0842038873029855E-4</v>
      </c>
      <c r="AE18" s="305">
        <f t="shared" si="15"/>
        <v>0.5</v>
      </c>
      <c r="AF18" s="177">
        <f t="shared" si="23"/>
        <v>0.99748124672319927</v>
      </c>
      <c r="AG18" s="811">
        <f t="shared" si="24"/>
        <v>1</v>
      </c>
      <c r="AH18" s="176">
        <f t="shared" si="16"/>
        <v>7</v>
      </c>
      <c r="AI18" s="225">
        <f t="shared" si="17"/>
        <v>1.9974812467231993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14.615827223193413</v>
      </c>
      <c r="C19" s="841"/>
      <c r="D19" s="393">
        <f t="shared" si="0"/>
        <v>15.52935285667666</v>
      </c>
      <c r="E19" s="385">
        <f t="shared" si="1"/>
        <v>15.971167616949614</v>
      </c>
      <c r="F19" s="385">
        <f t="shared" si="2"/>
        <v>15.971583486999929</v>
      </c>
      <c r="G19" s="110">
        <f t="shared" si="21"/>
        <v>0.60112834226184009</v>
      </c>
      <c r="H19" s="414" t="b">
        <f>Wh_hp&gt;='2025'!Maxi_hp</f>
        <v>0</v>
      </c>
      <c r="I19" s="390">
        <f>IF(H19,Wh_hp,'2025'!Maxi_hp)</f>
        <v>27.046839831733369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5.8825737422180224E-2</v>
      </c>
      <c r="M19" s="845"/>
      <c r="N19" s="845"/>
      <c r="O19" s="48">
        <f>IF(t&lt;Tnet,'2025'!Resal+('2025'!Salim-'2025'!Resal)*(1-EXP(('2025'!Tnet-t)/('2025'!Tau_j))),Resal+(Salim-Resal)*(1-EXP((Tnet-t)/(Tau_j))))*Salcycl</f>
        <v>2.7663272396194233E-2</v>
      </c>
      <c r="P19" s="169">
        <f>(INDEX(Models!$BJ19:$BT19,,T19)*(1-R19)+INDEX(Models!$BJ19:$BT19,,T19+1)*R19-ERP_i)*Q19*Ramure*Pc/MaxiM</f>
        <v>6.0523798555209998E-5</v>
      </c>
      <c r="Q19" s="305">
        <f t="shared" si="4"/>
        <v>0.5</v>
      </c>
      <c r="R19" s="177">
        <f t="shared" si="5"/>
        <v>0.47252671588178186</v>
      </c>
      <c r="S19" s="811">
        <f t="shared" si="6"/>
        <v>-2</v>
      </c>
      <c r="T19" s="176">
        <f t="shared" si="7"/>
        <v>4</v>
      </c>
      <c r="U19" s="251">
        <f t="shared" si="8"/>
        <v>-1.5274732841182181</v>
      </c>
      <c r="V19" s="383">
        <f t="shared" si="9"/>
        <v>24.313149365734876</v>
      </c>
      <c r="W19" s="402">
        <f t="shared" si="10"/>
        <v>14.615827223193413</v>
      </c>
      <c r="X19" s="157">
        <f t="shared" si="11"/>
        <v>46027</v>
      </c>
      <c r="Y19" s="385">
        <f t="shared" si="12"/>
        <v>13.996475057358809</v>
      </c>
      <c r="Z19" s="385">
        <f t="shared" si="22"/>
        <v>14.871289636653795</v>
      </c>
      <c r="AA19" s="386">
        <f t="shared" si="13"/>
        <v>15.965394775251255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6.8529789209690328E-2</v>
      </c>
      <c r="AD19" s="231">
        <f>(INDEX(Models!$BJ19:$BT19,,AH19)*(1-AF19)+INDEX(Models!$BJ19:$BT19,,AH19+1)*AF19-ERP_i)*AE19*Ramure*Pc/MaxiM</f>
        <v>9.0067640819317099E-4</v>
      </c>
      <c r="AE19" s="305">
        <f t="shared" si="15"/>
        <v>0.5</v>
      </c>
      <c r="AF19" s="177">
        <f t="shared" si="23"/>
        <v>0.99751428225576078</v>
      </c>
      <c r="AG19" s="811">
        <f t="shared" si="24"/>
        <v>1</v>
      </c>
      <c r="AH19" s="176">
        <f t="shared" si="16"/>
        <v>7</v>
      </c>
      <c r="AI19" s="225">
        <f t="shared" si="17"/>
        <v>1.9975142822557608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21.076138821912334</v>
      </c>
      <c r="C20" s="841"/>
      <c r="D20" s="393">
        <f t="shared" si="0"/>
        <v>22.393940518333334</v>
      </c>
      <c r="E20" s="385">
        <f t="shared" si="1"/>
        <v>23.032915931843277</v>
      </c>
      <c r="F20" s="385">
        <f t="shared" si="2"/>
        <v>23.034022631171602</v>
      </c>
      <c r="G20" s="110">
        <f t="shared" si="21"/>
        <v>0.86020061898819433</v>
      </c>
      <c r="H20" s="414" t="b">
        <f>Wh_hp&gt;='2025'!Maxi_hp</f>
        <v>0</v>
      </c>
      <c r="I20" s="390">
        <f>IF(H20,Wh_hp,'2025'!Maxi_hp)</f>
        <v>26.739364860323523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5.8846351553990761E-2</v>
      </c>
      <c r="M20" s="845"/>
      <c r="N20" s="845"/>
      <c r="O20" s="48">
        <f>IF(t&lt;Tnet,'2025'!Resal+('2025'!Salim-'2025'!Resal)*(1-EXP(('2025'!Tnet-t)/('2025'!Tau_j))),Resal+(Salim-Resal)*(1-EXP((Tnet-t)/(Tau_j))))*Salcycl</f>
        <v>2.7741837611908897E-2</v>
      </c>
      <c r="P20" s="169">
        <f>(INDEX(Models!$BJ20:$BT20,,T20)*(1-R20)+INDEX(Models!$BJ20:$BT20,,T20+1)*R20-ERP_i)*Q20*Ramure*Pc/MaxiM</f>
        <v>6.0035249153966065E-5</v>
      </c>
      <c r="Q20" s="305">
        <f t="shared" si="4"/>
        <v>0.5</v>
      </c>
      <c r="R20" s="177">
        <f t="shared" si="5"/>
        <v>0.47256113267853261</v>
      </c>
      <c r="S20" s="811">
        <f t="shared" si="6"/>
        <v>-2</v>
      </c>
      <c r="T20" s="176">
        <f t="shared" si="7"/>
        <v>4</v>
      </c>
      <c r="U20" s="251">
        <f t="shared" si="8"/>
        <v>-1.5274388673214674</v>
      </c>
      <c r="V20" s="383">
        <f t="shared" si="9"/>
        <v>24.501128764115109</v>
      </c>
      <c r="W20" s="402">
        <f t="shared" si="10"/>
        <v>21.076138821912334</v>
      </c>
      <c r="X20" s="157">
        <f t="shared" si="11"/>
        <v>46028</v>
      </c>
      <c r="Y20" s="385">
        <f t="shared" si="12"/>
        <v>20.177735953201307</v>
      </c>
      <c r="Z20" s="385">
        <f t="shared" si="22"/>
        <v>21.439364323262073</v>
      </c>
      <c r="AA20" s="386">
        <f t="shared" si="13"/>
        <v>23.017565356549618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6.8565072319365358E-2</v>
      </c>
      <c r="AD20" s="231">
        <f>(INDEX(Models!$BJ20:$BT20,,AH20)*(1-AF20)+INDEX(Models!$BJ20:$BT20,,AH20+1)*AF20-ERP_i)*AE20*Ramure*Pc/MaxiM</f>
        <v>8.9275971986248215E-4</v>
      </c>
      <c r="AE20" s="305">
        <f t="shared" si="15"/>
        <v>0.5</v>
      </c>
      <c r="AF20" s="177">
        <f t="shared" si="23"/>
        <v>0.99754869905251153</v>
      </c>
      <c r="AG20" s="811">
        <f t="shared" si="24"/>
        <v>1</v>
      </c>
      <c r="AH20" s="176">
        <f t="shared" si="16"/>
        <v>7</v>
      </c>
      <c r="AI20" s="225">
        <f t="shared" si="17"/>
        <v>1.9975486990525115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10.778001271252666</v>
      </c>
      <c r="C21" s="841"/>
      <c r="D21" s="393">
        <f t="shared" si="0"/>
        <v>11.452154874083124</v>
      </c>
      <c r="E21" s="385">
        <f t="shared" si="1"/>
        <v>11.779875214947994</v>
      </c>
      <c r="F21" s="385">
        <f t="shared" si="2"/>
        <v>11.78001189533355</v>
      </c>
      <c r="G21" s="110">
        <f t="shared" si="21"/>
        <v>0.43648109825795967</v>
      </c>
      <c r="H21" s="414" t="b">
        <f>Wh_hp&gt;='2025'!Maxi_hp</f>
        <v>0</v>
      </c>
      <c r="I21" s="390">
        <f>IF(H21,Wh_hp,'2025'!Maxi_hp)</f>
        <v>14.932480243717823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5.8866965234298907E-2</v>
      </c>
      <c r="M21" s="845"/>
      <c r="N21" s="845"/>
      <c r="O21" s="48">
        <f>IF(t&lt;Tnet,'2025'!Resal+('2025'!Salim-'2025'!Resal)*(1-EXP(('2025'!Tnet-t)/('2025'!Tau_j))),Resal+(Salim-Resal)*(1-EXP((Tnet-t)/(Tau_j))))*Salcycl</f>
        <v>2.7820357591650136E-2</v>
      </c>
      <c r="P21" s="169">
        <f>(INDEX(Models!$BJ21:$BT21,,T21)*(1-R21)+INDEX(Models!$BJ21:$BT21,,T21+1)*R21-ERP_i)*Q21*Ramure*Pc/MaxiM</f>
        <v>5.950034348345893E-5</v>
      </c>
      <c r="Q21" s="305">
        <f t="shared" si="4"/>
        <v>0.5</v>
      </c>
      <c r="R21" s="177">
        <f t="shared" si="5"/>
        <v>0.47259698828959573</v>
      </c>
      <c r="S21" s="811">
        <f t="shared" si="6"/>
        <v>-2</v>
      </c>
      <c r="T21" s="176">
        <f t="shared" si="7"/>
        <v>4</v>
      </c>
      <c r="U21" s="251">
        <f t="shared" si="8"/>
        <v>-1.5274030117104043</v>
      </c>
      <c r="V21" s="383">
        <f t="shared" si="9"/>
        <v>24.691756568196091</v>
      </c>
      <c r="W21" s="402">
        <f t="shared" si="10"/>
        <v>10.778001271252666</v>
      </c>
      <c r="X21" s="157">
        <f t="shared" si="11"/>
        <v>46029</v>
      </c>
      <c r="Y21" s="385">
        <f t="shared" si="12"/>
        <v>10.32423435854691</v>
      </c>
      <c r="Z21" s="385">
        <f t="shared" si="22"/>
        <v>10.970005277858693</v>
      </c>
      <c r="AA21" s="386">
        <f t="shared" si="13"/>
        <v>11.777979586540926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6.8600416798610508E-2</v>
      </c>
      <c r="AD21" s="231">
        <f>(INDEX(Models!$BJ21:$BT21,,AH21)*(1-AF21)+INDEX(Models!$BJ21:$BT21,,AH21+1)*AF21-ERP_i)*AE21*Ramure*Pc/MaxiM</f>
        <v>8.8471415071294894E-4</v>
      </c>
      <c r="AE21" s="305">
        <f t="shared" si="15"/>
        <v>0.5</v>
      </c>
      <c r="AF21" s="177">
        <f t="shared" si="23"/>
        <v>0.99758455466357465</v>
      </c>
      <c r="AG21" s="811">
        <f t="shared" si="24"/>
        <v>1</v>
      </c>
      <c r="AH21" s="176">
        <f t="shared" si="16"/>
        <v>7</v>
      </c>
      <c r="AI21" s="225">
        <f t="shared" si="17"/>
        <v>1.9975845546635747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7.560724441913381</v>
      </c>
      <c r="C22" s="841"/>
      <c r="D22" s="393">
        <f t="shared" si="0"/>
        <v>8.0338164377496213</v>
      </c>
      <c r="E22" s="385">
        <f t="shared" si="1"/>
        <v>8.2643830508584522</v>
      </c>
      <c r="F22" s="385">
        <f t="shared" si="2"/>
        <v>8.2643857220974617</v>
      </c>
      <c r="G22" s="110">
        <f t="shared" si="21"/>
        <v>0.30382207247203907</v>
      </c>
      <c r="H22" s="414" t="b">
        <f>Wh_hp&gt;='2025'!Maxi_hp</f>
        <v>0</v>
      </c>
      <c r="I22" s="390">
        <f>IF(H22,Wh_hp,'2025'!Maxi_hp)</f>
        <v>20.323342747491672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5.8887578463114543E-2</v>
      </c>
      <c r="M22" s="845"/>
      <c r="N22" s="845"/>
      <c r="O22" s="48">
        <f>IF(t&lt;Tnet,'2025'!Resal+('2025'!Salim-'2025'!Resal)*(1-EXP(('2025'!Tnet-t)/('2025'!Tau_j))),Resal+(Salim-Resal)*(1-EXP((Tnet-t)/(Tau_j))))*Salcycl</f>
        <v>2.7898829433478396E-2</v>
      </c>
      <c r="P22" s="169">
        <f>(INDEX(Models!$BJ22:$BT22,,T22)*(1-R22)+INDEX(Models!$BJ22:$BT22,,T22+1)*R22-ERP_i)*Q22*Ramure*Pc/MaxiM</f>
        <v>5.8922729603372499E-5</v>
      </c>
      <c r="Q22" s="305">
        <f t="shared" si="4"/>
        <v>0.5</v>
      </c>
      <c r="R22" s="177">
        <f t="shared" si="5"/>
        <v>0.47263434264559301</v>
      </c>
      <c r="S22" s="811">
        <f t="shared" si="6"/>
        <v>-2</v>
      </c>
      <c r="T22" s="176">
        <f t="shared" si="7"/>
        <v>4</v>
      </c>
      <c r="U22" s="251">
        <f t="shared" si="8"/>
        <v>-1.527365657354407</v>
      </c>
      <c r="V22" s="383">
        <f t="shared" si="9"/>
        <v>24.883910920407541</v>
      </c>
      <c r="W22" s="402">
        <f t="shared" si="10"/>
        <v>7.560724441913381</v>
      </c>
      <c r="X22" s="157">
        <f t="shared" si="11"/>
        <v>46030</v>
      </c>
      <c r="Y22" s="385">
        <f t="shared" si="12"/>
        <v>7.2438513494382883</v>
      </c>
      <c r="Z22" s="385">
        <f t="shared" si="22"/>
        <v>7.6971158638079631</v>
      </c>
      <c r="AA22" s="386">
        <f t="shared" si="13"/>
        <v>8.2643459826327117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6.863581462063266E-2</v>
      </c>
      <c r="AD22" s="231">
        <f>(INDEX(Models!$BJ22:$BT22,,AH22)*(1-AF22)+INDEX(Models!$BJ22:$BT22,,AH22+1)*AF22-ERP_i)*AE22*Ramure*Pc/MaxiM</f>
        <v>8.7658114014305371E-4</v>
      </c>
      <c r="AE22" s="305">
        <f t="shared" si="15"/>
        <v>0.5</v>
      </c>
      <c r="AF22" s="177">
        <f t="shared" si="23"/>
        <v>0.99762190901957193</v>
      </c>
      <c r="AG22" s="811">
        <f t="shared" si="24"/>
        <v>1</v>
      </c>
      <c r="AH22" s="176">
        <f t="shared" si="16"/>
        <v>7</v>
      </c>
      <c r="AI22" s="225">
        <f t="shared" si="17"/>
        <v>1.9976219090195719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2.2316666763139397</v>
      </c>
      <c r="C23" s="841"/>
      <c r="D23" s="393">
        <f t="shared" si="0"/>
        <v>2.3713591549112367</v>
      </c>
      <c r="E23" s="385">
        <f t="shared" si="1"/>
        <v>2.439612814720312</v>
      </c>
      <c r="F23" s="385">
        <f t="shared" si="2"/>
        <v>2.439612814720312</v>
      </c>
      <c r="G23" s="110">
        <f t="shared" si="21"/>
        <v>8.8976996529951474E-2</v>
      </c>
      <c r="H23" s="414" t="b">
        <f>Wh_hp&gt;='2025'!Maxi_hp</f>
        <v>0</v>
      </c>
      <c r="I23" s="390">
        <f>IF(H23,Wh_hp,'2025'!Maxi_hp)</f>
        <v>26.033603222307448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5.8908191240447549E-2</v>
      </c>
      <c r="M23" s="845"/>
      <c r="N23" s="845"/>
      <c r="O23" s="48">
        <f>IF(t&lt;Tnet,'2025'!Resal+('2025'!Salim-'2025'!Resal)*(1-EXP(('2025'!Tnet-t)/('2025'!Tau_j))),Resal+(Salim-Resal)*(1-EXP((Tnet-t)/(Tau_j))))*Salcycl</f>
        <v>2.7977250897044604E-2</v>
      </c>
      <c r="P23" s="169">
        <f>(INDEX(Models!$BJ23:$BT23,,T23)*(1-R23)+INDEX(Models!$BJ23:$BT23,,T23+1)*R23-ERP_i)*Q23*Ramure*Pc/MaxiM</f>
        <v>5.8297841351726706E-5</v>
      </c>
      <c r="Q23" s="305">
        <f t="shared" si="4"/>
        <v>0.5</v>
      </c>
      <c r="R23" s="177">
        <f t="shared" si="5"/>
        <v>0.47267325815462802</v>
      </c>
      <c r="S23" s="811">
        <f t="shared" si="6"/>
        <v>-2</v>
      </c>
      <c r="T23" s="176">
        <f t="shared" si="7"/>
        <v>4</v>
      </c>
      <c r="U23" s="251">
        <f t="shared" si="8"/>
        <v>-1.527326741845372</v>
      </c>
      <c r="V23" s="383">
        <f t="shared" si="9"/>
        <v>25.079926969808575</v>
      </c>
      <c r="W23" s="402">
        <f t="shared" si="10"/>
        <v>2.2316666763139397</v>
      </c>
      <c r="X23" s="157">
        <f t="shared" si="11"/>
        <v>46031</v>
      </c>
      <c r="Y23" s="385">
        <f t="shared" si="12"/>
        <v>2.138237316848409</v>
      </c>
      <c r="Z23" s="385">
        <f t="shared" si="22"/>
        <v>2.2720815301397712</v>
      </c>
      <c r="AA23" s="386">
        <f t="shared" si="13"/>
        <v>2.439612814720312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6.8671259459566023E-2</v>
      </c>
      <c r="AD23" s="231">
        <f>(INDEX(Models!$BJ23:$BT23,,AH23)*(1-AF23)+INDEX(Models!$BJ23:$BT23,,AH23+1)*AF23-ERP_i)*AE23*Ramure*Pc/MaxiM</f>
        <v>8.6828005771416063E-4</v>
      </c>
      <c r="AE23" s="305">
        <f t="shared" si="15"/>
        <v>0.5</v>
      </c>
      <c r="AF23" s="177">
        <f t="shared" si="23"/>
        <v>0.99766082452860694</v>
      </c>
      <c r="AG23" s="811">
        <f t="shared" si="24"/>
        <v>1</v>
      </c>
      <c r="AH23" s="176">
        <f t="shared" si="16"/>
        <v>7</v>
      </c>
      <c r="AI23" s="225">
        <f t="shared" si="17"/>
        <v>1.9976608245286069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1.7321728163925161</v>
      </c>
      <c r="C24" s="841"/>
      <c r="D24" s="393">
        <f t="shared" si="0"/>
        <v>1.8406394999196694</v>
      </c>
      <c r="E24" s="385">
        <f t="shared" si="1"/>
        <v>1.8937704034160434</v>
      </c>
      <c r="F24" s="385">
        <f t="shared" si="2"/>
        <v>1.8937704034160434</v>
      </c>
      <c r="G24" s="110">
        <f t="shared" si="21"/>
        <v>6.8508114272852846E-2</v>
      </c>
      <c r="H24" s="414" t="b">
        <f>Wh_hp&gt;='2025'!Maxi_hp</f>
        <v>0</v>
      </c>
      <c r="I24" s="390">
        <f>IF(H24,Wh_hp,'2025'!Maxi_hp)</f>
        <v>13.230713123965954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5.8928803566307808E-2</v>
      </c>
      <c r="M24" s="845"/>
      <c r="N24" s="845"/>
      <c r="O24" s="48">
        <f>IF(t&lt;Tnet,'2025'!Resal+('2025'!Salim-'2025'!Resal)*(1-EXP(('2025'!Tnet-t)/('2025'!Tau_j))),Resal+(Salim-Resal)*(1-EXP((Tnet-t)/(Tau_j))))*Salcycl</f>
        <v>2.805562036482076E-2</v>
      </c>
      <c r="P24" s="169">
        <f>(INDEX(Models!$BJ24:$BT24,,T24)*(1-R24)+INDEX(Models!$BJ24:$BT24,,T24+1)*R24-ERP_i)*Q24*Ramure*Pc/MaxiM</f>
        <v>5.7530027230697331E-5</v>
      </c>
      <c r="Q24" s="305">
        <f t="shared" si="4"/>
        <v>0.5</v>
      </c>
      <c r="R24" s="177">
        <f t="shared" si="5"/>
        <v>0.47271379980309769</v>
      </c>
      <c r="S24" s="811">
        <f t="shared" si="6"/>
        <v>-2</v>
      </c>
      <c r="T24" s="176">
        <f t="shared" si="7"/>
        <v>4</v>
      </c>
      <c r="U24" s="251">
        <f t="shared" si="8"/>
        <v>-1.5272862001969023</v>
      </c>
      <c r="V24" s="383">
        <f t="shared" si="9"/>
        <v>25.282744720497661</v>
      </c>
      <c r="W24" s="402">
        <f t="shared" si="10"/>
        <v>1.7321728163925161</v>
      </c>
      <c r="X24" s="157">
        <f t="shared" si="11"/>
        <v>46032</v>
      </c>
      <c r="Y24" s="385">
        <f t="shared" si="12"/>
        <v>1.6597254858109631</v>
      </c>
      <c r="Z24" s="385">
        <f t="shared" si="22"/>
        <v>1.7636556002358821</v>
      </c>
      <c r="AA24" s="386">
        <f t="shared" si="13"/>
        <v>1.8937704034160434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6.8706746575749753E-2</v>
      </c>
      <c r="AD24" s="231">
        <f>(INDEX(Models!$BJ24:$BT24,,AH24)*(1-AF24)+INDEX(Models!$BJ24:$BT24,,AH24+1)*AF24-ERP_i)*AE24*Ramure*Pc/MaxiM</f>
        <v>8.5918087170535414E-4</v>
      </c>
      <c r="AE24" s="305">
        <f t="shared" si="15"/>
        <v>0.5</v>
      </c>
      <c r="AF24" s="177">
        <f t="shared" si="23"/>
        <v>0.99770136617707661</v>
      </c>
      <c r="AG24" s="811">
        <f t="shared" si="24"/>
        <v>1</v>
      </c>
      <c r="AH24" s="176">
        <f t="shared" si="16"/>
        <v>7</v>
      </c>
      <c r="AI24" s="225">
        <f t="shared" si="17"/>
        <v>1.9977013661770766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24.962033862698696</v>
      </c>
      <c r="C25" s="841"/>
      <c r="D25" s="393">
        <f t="shared" si="0"/>
        <v>26.525708896285014</v>
      </c>
      <c r="E25" s="385">
        <f t="shared" si="1"/>
        <v>27.293584888548036</v>
      </c>
      <c r="F25" s="385">
        <f t="shared" si="2"/>
        <v>27.295083858202698</v>
      </c>
      <c r="G25" s="110">
        <f t="shared" si="21"/>
        <v>0.97920319093400854</v>
      </c>
      <c r="H25" s="414" t="b">
        <f>Wh_hp&gt;='2025'!Maxi_hp</f>
        <v>0</v>
      </c>
      <c r="I25" s="390">
        <f>IF(H25,Wh_hp,'2025'!Maxi_hp)</f>
        <v>27.813177241518638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5.8949415440705311E-2</v>
      </c>
      <c r="M25" s="845"/>
      <c r="N25" s="845"/>
      <c r="O25" s="48">
        <f>IF(t&lt;Tnet,'2025'!Resal+('2025'!Salim-'2025'!Resal)*(1-EXP(('2025'!Tnet-t)/('2025'!Tau_j))),Resal+(Salim-Resal)*(1-EXP((Tnet-t)/(Tau_j))))*Salcycl</f>
        <v>2.8133936798650876E-2</v>
      </c>
      <c r="P25" s="169">
        <f>(INDEX(Models!$BJ25:$BT25,,T25)*(1-R25)+INDEX(Models!$BJ25:$BT25,,T25+1)*R25-ERP_i)*Q25*Ramure*Pc/MaxiM</f>
        <v>5.6598598558088411E-5</v>
      </c>
      <c r="Q25" s="305">
        <f t="shared" si="4"/>
        <v>0.5</v>
      </c>
      <c r="R25" s="177">
        <f t="shared" si="5"/>
        <v>0.47275603526046361</v>
      </c>
      <c r="S25" s="811">
        <f t="shared" si="6"/>
        <v>-2</v>
      </c>
      <c r="T25" s="176">
        <f t="shared" si="7"/>
        <v>4</v>
      </c>
      <c r="U25" s="251">
        <f t="shared" si="8"/>
        <v>-1.5272439647395364</v>
      </c>
      <c r="V25" s="383">
        <f t="shared" si="9"/>
        <v>25.49214720749119</v>
      </c>
      <c r="W25" s="402">
        <f t="shared" si="10"/>
        <v>24.962033862698696</v>
      </c>
      <c r="X25" s="157">
        <f t="shared" si="11"/>
        <v>46033</v>
      </c>
      <c r="Y25" s="385">
        <f t="shared" si="12"/>
        <v>23.900627607404452</v>
      </c>
      <c r="Z25" s="385">
        <f t="shared" si="22"/>
        <v>25.39781388967247</v>
      </c>
      <c r="AA25" s="386">
        <f t="shared" si="13"/>
        <v>27.272593982194412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6.8742272691256948E-2</v>
      </c>
      <c r="AD25" s="231">
        <f>(INDEX(Models!$BJ25:$BT25,,AH25)*(1-AF25)+INDEX(Models!$BJ25:$BT25,,AH25+1)*AF25-ERP_i)*AE25*Ramure*Pc/MaxiM</f>
        <v>8.4918027516671163E-4</v>
      </c>
      <c r="AE25" s="305">
        <f t="shared" si="15"/>
        <v>0.5</v>
      </c>
      <c r="AF25" s="177">
        <f t="shared" si="23"/>
        <v>0.99774360163444253</v>
      </c>
      <c r="AG25" s="811">
        <f t="shared" si="24"/>
        <v>1</v>
      </c>
      <c r="AH25" s="176">
        <f t="shared" si="16"/>
        <v>7</v>
      </c>
      <c r="AI25" s="225">
        <f t="shared" si="17"/>
        <v>1.9977436016344425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21.297428569879827</v>
      </c>
      <c r="C26" s="841"/>
      <c r="D26" s="393">
        <f t="shared" si="0"/>
        <v>22.632040612795596</v>
      </c>
      <c r="E26" s="385">
        <f t="shared" si="1"/>
        <v>23.289076695166859</v>
      </c>
      <c r="F26" s="385">
        <f t="shared" si="2"/>
        <v>23.290052643248366</v>
      </c>
      <c r="G26" s="110">
        <f t="shared" si="21"/>
        <v>0.82842724650909072</v>
      </c>
      <c r="H26" s="414" t="b">
        <f>Wh_hp&gt;='2025'!Maxi_hp</f>
        <v>0</v>
      </c>
      <c r="I26" s="390">
        <f>IF(H26,Wh_hp,'2025'!Maxi_hp)</f>
        <v>27.969146072299974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5.8970026863649827E-2</v>
      </c>
      <c r="M26" s="845"/>
      <c r="N26" s="845"/>
      <c r="O26" s="48">
        <f>IF(t&lt;Tnet,'2025'!Resal+('2025'!Salim-'2025'!Resal)*(1-EXP(('2025'!Tnet-t)/('2025'!Tau_j))),Resal+(Salim-Resal)*(1-EXP((Tnet-t)/(Tau_j))))*Salcycl</f>
        <v>2.8212199692210851E-2</v>
      </c>
      <c r="P26" s="169">
        <f>(INDEX(Models!$BJ26:$BT26,,T26)*(1-R26)+INDEX(Models!$BJ26:$BT26,,T26+1)*R26-ERP_i)*Q26*Ramure*Pc/MaxiM</f>
        <v>5.5508541852021942E-5</v>
      </c>
      <c r="Q26" s="305">
        <f t="shared" si="4"/>
        <v>0.5</v>
      </c>
      <c r="R26" s="177">
        <f t="shared" si="5"/>
        <v>0.47280003498813472</v>
      </c>
      <c r="S26" s="811">
        <f t="shared" si="6"/>
        <v>-2</v>
      </c>
      <c r="T26" s="176">
        <f t="shared" si="7"/>
        <v>4</v>
      </c>
      <c r="U26" s="251">
        <f t="shared" si="8"/>
        <v>-1.5271999650118653</v>
      </c>
      <c r="V26" s="383">
        <f t="shared" si="9"/>
        <v>25.707916907963227</v>
      </c>
      <c r="W26" s="402">
        <f t="shared" si="10"/>
        <v>21.297428569879827</v>
      </c>
      <c r="X26" s="157">
        <f t="shared" si="11"/>
        <v>46034</v>
      </c>
      <c r="Y26" s="385">
        <f t="shared" si="12"/>
        <v>20.396342659403466</v>
      </c>
      <c r="Z26" s="385">
        <f t="shared" si="22"/>
        <v>21.674487786424784</v>
      </c>
      <c r="AA26" s="386">
        <f t="shared" si="13"/>
        <v>23.275313476218216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6.8777835857252334E-2</v>
      </c>
      <c r="AD26" s="231">
        <f>(INDEX(Models!$BJ26:$BT26,,AH26)*(1-AF26)+INDEX(Models!$BJ26:$BT26,,AH26+1)*AF26-ERP_i)*AE26*Ramure*Pc/MaxiM</f>
        <v>8.383126986582064E-4</v>
      </c>
      <c r="AE26" s="305">
        <f t="shared" si="15"/>
        <v>0.5</v>
      </c>
      <c r="AF26" s="177">
        <f t="shared" si="23"/>
        <v>0.99778760136211364</v>
      </c>
      <c r="AG26" s="811">
        <f t="shared" si="24"/>
        <v>1</v>
      </c>
      <c r="AH26" s="176">
        <f t="shared" si="16"/>
        <v>7</v>
      </c>
      <c r="AI26" s="225">
        <f t="shared" si="17"/>
        <v>1.9977876013621136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5.128648868362947</v>
      </c>
      <c r="C27" s="841"/>
      <c r="D27" s="393">
        <f t="shared" si="0"/>
        <v>5.4501571127455959</v>
      </c>
      <c r="E27" s="385">
        <f t="shared" si="1"/>
        <v>5.608833300954573</v>
      </c>
      <c r="F27" s="385">
        <f t="shared" si="2"/>
        <v>5.608833300954573</v>
      </c>
      <c r="G27" s="110">
        <f t="shared" si="21"/>
        <v>0.197778747586208</v>
      </c>
      <c r="H27" s="414" t="b">
        <f>Wh_hp&gt;='2025'!Maxi_hp</f>
        <v>0</v>
      </c>
      <c r="I27" s="390">
        <f>IF(H27,Wh_hp,'2025'!Maxi_hp)</f>
        <v>16.029400800100351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5.8990637835151238E-2</v>
      </c>
      <c r="M27" s="845"/>
      <c r="N27" s="845"/>
      <c r="O27" s="48">
        <f>IF(t&lt;Tnet,'2025'!Resal+('2025'!Salim-'2025'!Resal)*(1-EXP(('2025'!Tnet-t)/('2025'!Tau_j))),Resal+(Salim-Resal)*(1-EXP((Tnet-t)/(Tau_j))))*Salcycl</f>
        <v>2.8290409019995542E-2</v>
      </c>
      <c r="P27" s="169">
        <f>(INDEX(Models!$BJ27:$BT27,,T27)*(1-R27)+INDEX(Models!$BJ27:$BT27,,T27+1)*R27-ERP_i)*Q27*Ramure*Pc/MaxiM</f>
        <v>5.4264897068923106E-5</v>
      </c>
      <c r="Q27" s="305">
        <f t="shared" si="4"/>
        <v>0.5</v>
      </c>
      <c r="R27" s="177">
        <f t="shared" si="5"/>
        <v>0.47284587235260389</v>
      </c>
      <c r="S27" s="811">
        <f t="shared" si="6"/>
        <v>-2</v>
      </c>
      <c r="T27" s="176">
        <f t="shared" si="7"/>
        <v>4</v>
      </c>
      <c r="U27" s="251">
        <f t="shared" si="8"/>
        <v>-1.5271541276473961</v>
      </c>
      <c r="V27" s="383">
        <f t="shared" si="9"/>
        <v>25.929836371952167</v>
      </c>
      <c r="W27" s="402">
        <f t="shared" si="10"/>
        <v>5.128648868362947</v>
      </c>
      <c r="X27" s="157">
        <f t="shared" si="11"/>
        <v>46035</v>
      </c>
      <c r="Y27" s="385">
        <f t="shared" si="12"/>
        <v>4.9147697681887124</v>
      </c>
      <c r="Z27" s="385">
        <f t="shared" si="22"/>
        <v>5.2228702134078544</v>
      </c>
      <c r="AA27" s="386">
        <f t="shared" si="13"/>
        <v>5.608833300954573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6.8813435314797389E-2</v>
      </c>
      <c r="AD27" s="231">
        <f>(INDEX(Models!$BJ27:$BT27,,AH27)*(1-AF27)+INDEX(Models!$BJ27:$BT27,,AH27+1)*AF27-ERP_i)*AE27*Ramure*Pc/MaxiM</f>
        <v>8.2661261332716467E-4</v>
      </c>
      <c r="AE27" s="305">
        <f t="shared" si="15"/>
        <v>0.5</v>
      </c>
      <c r="AF27" s="177">
        <f t="shared" si="23"/>
        <v>0.99783343872658281</v>
      </c>
      <c r="AG27" s="811">
        <f t="shared" si="24"/>
        <v>1</v>
      </c>
      <c r="AH27" s="176">
        <f t="shared" si="16"/>
        <v>7</v>
      </c>
      <c r="AI27" s="225">
        <f t="shared" si="17"/>
        <v>1.9978334387265828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25.354938785029603</v>
      </c>
      <c r="C28" s="841"/>
      <c r="D28" s="393">
        <f t="shared" si="0"/>
        <v>26.944996675795537</v>
      </c>
      <c r="E28" s="385">
        <f t="shared" si="1"/>
        <v>27.731705367152486</v>
      </c>
      <c r="F28" s="385">
        <f t="shared" si="2"/>
        <v>27.733107406829998</v>
      </c>
      <c r="G28" s="110">
        <f t="shared" si="21"/>
        <v>0.96930890007654491</v>
      </c>
      <c r="H28" s="414" t="b">
        <f>Wh_hp&gt;='2025'!Maxi_hp</f>
        <v>0</v>
      </c>
      <c r="I28" s="390">
        <f>IF(H28,Wh_hp,'2025'!Maxi_hp)</f>
        <v>27.813666688911876</v>
      </c>
      <c r="J28" s="85">
        <f>IF(H28,An,'2025'!An_max)</f>
        <v>2020</v>
      </c>
      <c r="K28" s="197">
        <f t="shared" si="3"/>
        <v>46036</v>
      </c>
      <c r="L28" s="147">
        <f>IF(t&lt;Tvie,1-EXP((T0-t)*PertePVj)+'2025'!Pspv,1-EXP((T0-t)*PertePVj)+Pspv)</f>
        <v>5.9011248355219537E-2</v>
      </c>
      <c r="M28" s="845"/>
      <c r="N28" s="845"/>
      <c r="O28" s="48">
        <f>IF(t&lt;Tnet,'2025'!Resal+('2025'!Salim-'2025'!Resal)*(1-EXP(('2025'!Tnet-t)/('2025'!Tau_j))),Resal+(Salim-Resal)*(1-EXP((Tnet-t)/(Tau_j))))*Salcycl</f>
        <v>2.8368565183473533E-2</v>
      </c>
      <c r="P28" s="169">
        <f>(INDEX(Models!$BJ28:$BT28,,T28)*(1-R28)+INDEX(Models!$BJ28:$BT28,,T28+1)*R28-ERP_i)*Q28*Ramure*Pc/MaxiM</f>
        <v>5.2872732134902662E-5</v>
      </c>
      <c r="Q28" s="305">
        <f t="shared" si="4"/>
        <v>0.5</v>
      </c>
      <c r="R28" s="177">
        <f t="shared" si="5"/>
        <v>0.47289362374299349</v>
      </c>
      <c r="S28" s="811">
        <f t="shared" si="6"/>
        <v>-2</v>
      </c>
      <c r="T28" s="176">
        <f t="shared" si="7"/>
        <v>4</v>
      </c>
      <c r="U28" s="251">
        <f t="shared" si="8"/>
        <v>-1.5271063762570065</v>
      </c>
      <c r="V28" s="383">
        <f t="shared" si="9"/>
        <v>26.157688232493324</v>
      </c>
      <c r="W28" s="402">
        <f t="shared" si="10"/>
        <v>25.354938785029603</v>
      </c>
      <c r="X28" s="157">
        <f t="shared" si="11"/>
        <v>46036</v>
      </c>
      <c r="Y28" s="385">
        <f t="shared" si="12"/>
        <v>24.280903898967612</v>
      </c>
      <c r="Z28" s="385">
        <f t="shared" si="22"/>
        <v>25.803606957603204</v>
      </c>
      <c r="AA28" s="386">
        <f t="shared" si="13"/>
        <v>27.711519329132223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6.8849071350746555E-2</v>
      </c>
      <c r="AD28" s="231">
        <f>(INDEX(Models!$BJ28:$BT28,,AH28)*(1-AF28)+INDEX(Models!$BJ28:$BT28,,AH28+1)*AF28-ERP_i)*AE28*Ramure*Pc/MaxiM</f>
        <v>8.1411437046369185E-4</v>
      </c>
      <c r="AE28" s="305">
        <f t="shared" si="15"/>
        <v>0.5</v>
      </c>
      <c r="AF28" s="177">
        <f t="shared" si="23"/>
        <v>0.99788119011697241</v>
      </c>
      <c r="AG28" s="811">
        <f t="shared" si="24"/>
        <v>1</v>
      </c>
      <c r="AH28" s="176">
        <f t="shared" si="16"/>
        <v>7</v>
      </c>
      <c r="AI28" s="225">
        <f t="shared" si="17"/>
        <v>1.9978811901169724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26.942595053200844</v>
      </c>
      <c r="C29" s="841"/>
      <c r="D29" s="393">
        <f t="shared" si="0"/>
        <v>28.632845112132703</v>
      </c>
      <c r="E29" s="385">
        <f t="shared" si="1"/>
        <v>29.471202657848181</v>
      </c>
      <c r="F29" s="385">
        <f t="shared" si="2"/>
        <v>29.472715702164702</v>
      </c>
      <c r="G29" s="110">
        <f t="shared" si="21"/>
        <v>1.0208910053719742</v>
      </c>
      <c r="H29" s="414" t="b">
        <f>Wh_hp&gt;='2025'!Maxi_hp</f>
        <v>1</v>
      </c>
      <c r="I29" s="390">
        <f>IF(H29,Wh_hp,'2025'!Maxi_hp)</f>
        <v>29.472715702164702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5.9031858423864492E-2</v>
      </c>
      <c r="M29" s="845"/>
      <c r="N29" s="845"/>
      <c r="O29" s="48">
        <f>IF(t&lt;Tnet,'2025'!Resal+('2025'!Salim-'2025'!Resal)*(1-EXP(('2025'!Tnet-t)/('2025'!Tau_j))),Resal+(Salim-Resal)*(1-EXP((Tnet-t)/(Tau_j))))*Salcycl</f>
        <v>2.8446668955066298E-2</v>
      </c>
      <c r="P29" s="169">
        <f>(INDEX(Models!$BJ29:$BT29,,T29)*(1-R29)+INDEX(Models!$BJ29:$BT29,,T29+1)*R29-ERP_i)*Q29*Ramure*Pc/MaxiM</f>
        <v>5.1337119110797519E-5</v>
      </c>
      <c r="Q29" s="305">
        <f t="shared" si="4"/>
        <v>0.5</v>
      </c>
      <c r="R29" s="177">
        <f t="shared" si="5"/>
        <v>0.47294336869316567</v>
      </c>
      <c r="S29" s="811">
        <f t="shared" si="6"/>
        <v>-2</v>
      </c>
      <c r="T29" s="176">
        <f t="shared" si="7"/>
        <v>4</v>
      </c>
      <c r="U29" s="251">
        <f t="shared" si="8"/>
        <v>-1.5270566313068343</v>
      </c>
      <c r="V29" s="383">
        <f t="shared" si="9"/>
        <v>26.391255199064055</v>
      </c>
      <c r="W29" s="402">
        <f t="shared" si="10"/>
        <v>26.942595053200844</v>
      </c>
      <c r="X29" s="157">
        <f t="shared" si="11"/>
        <v>46037</v>
      </c>
      <c r="Y29" s="385">
        <f t="shared" si="12"/>
        <v>25.801833688030094</v>
      </c>
      <c r="Z29" s="385">
        <f t="shared" si="22"/>
        <v>27.420517813506038</v>
      </c>
      <c r="AA29" s="386">
        <f t="shared" si="13"/>
        <v>29.449112417275128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6.8884745150386867E-2</v>
      </c>
      <c r="AD29" s="231">
        <f>(INDEX(Models!$BJ29:$BT29,,AH29)*(1-AF29)+INDEX(Models!$BJ29:$BT29,,AH29+1)*AF29-ERP_i)*AE29*Ramure*Pc/MaxiM</f>
        <v>8.0085205340753622E-4</v>
      </c>
      <c r="AE29" s="305">
        <f t="shared" si="15"/>
        <v>0.5</v>
      </c>
      <c r="AF29" s="177">
        <f t="shared" si="23"/>
        <v>0.99793093506714459</v>
      </c>
      <c r="AG29" s="811">
        <f t="shared" si="24"/>
        <v>1</v>
      </c>
      <c r="AH29" s="176">
        <f t="shared" si="16"/>
        <v>7</v>
      </c>
      <c r="AI29" s="225">
        <f t="shared" si="17"/>
        <v>1.9979309350671446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26.461057089314032</v>
      </c>
      <c r="C30" s="841"/>
      <c r="D30" s="393">
        <f t="shared" si="0"/>
        <v>28.121713688144009</v>
      </c>
      <c r="E30" s="385">
        <f t="shared" si="1"/>
        <v>28.947431095999935</v>
      </c>
      <c r="F30" s="385">
        <f t="shared" si="2"/>
        <v>28.948856614941633</v>
      </c>
      <c r="G30" s="110">
        <f t="shared" si="21"/>
        <v>0.99364355746615252</v>
      </c>
      <c r="H30" s="414" t="b">
        <f>Wh_hp&gt;='2025'!Maxi_hp</f>
        <v>0</v>
      </c>
      <c r="I30" s="390">
        <f>IF(H30,Wh_hp,'2025'!Maxi_hp)</f>
        <v>29.178076379468706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5.9052468041096096E-2</v>
      </c>
      <c r="M30" s="845"/>
      <c r="N30" s="845"/>
      <c r="O30" s="48">
        <f>IF(t&lt;Tnet,'2025'!Resal+('2025'!Salim-'2025'!Resal)*(1-EXP(('2025'!Tnet-t)/('2025'!Tau_j))),Resal+(Salim-Resal)*(1-EXP((Tnet-t)/(Tau_j))))*Salcycl</f>
        <v>2.8524721420617811E-2</v>
      </c>
      <c r="P30" s="169">
        <f>(INDEX(Models!$BJ30:$BT30,,T30)*(1-R30)+INDEX(Models!$BJ30:$BT30,,T30+1)*R30-ERP_i)*Q30*Ramure*Pc/MaxiM</f>
        <v>4.9693888313298862E-5</v>
      </c>
      <c r="Q30" s="305">
        <f t="shared" si="4"/>
        <v>0.5</v>
      </c>
      <c r="R30" s="177">
        <f t="shared" si="5"/>
        <v>0.47299519000855894</v>
      </c>
      <c r="S30" s="811">
        <f t="shared" si="6"/>
        <v>-2</v>
      </c>
      <c r="T30" s="176">
        <f t="shared" si="7"/>
        <v>4</v>
      </c>
      <c r="U30" s="251">
        <f t="shared" si="8"/>
        <v>-1.5270048099914411</v>
      </c>
      <c r="V30" s="383">
        <f t="shared" si="9"/>
        <v>26.630319242890909</v>
      </c>
      <c r="W30" s="402">
        <f t="shared" si="10"/>
        <v>26.461057089314032</v>
      </c>
      <c r="X30" s="157">
        <f t="shared" si="11"/>
        <v>46038</v>
      </c>
      <c r="Y30" s="385">
        <f t="shared" si="12"/>
        <v>25.342243784969796</v>
      </c>
      <c r="Z30" s="385">
        <f t="shared" si="22"/>
        <v>26.932685324346675</v>
      </c>
      <c r="AA30" s="386">
        <f t="shared" si="13"/>
        <v>28.926299127195719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6.8920458648465799E-2</v>
      </c>
      <c r="AD30" s="231">
        <f>(INDEX(Models!$BJ30:$BT30,,AH30)*(1-AF30)+INDEX(Models!$BJ30:$BT30,,AH30+1)*AF30-ERP_i)*AE30*Ramure*Pc/MaxiM</f>
        <v>7.8635873848145992E-4</v>
      </c>
      <c r="AE30" s="305">
        <f t="shared" si="15"/>
        <v>0.5</v>
      </c>
      <c r="AF30" s="177">
        <f t="shared" si="23"/>
        <v>0.99798275638253786</v>
      </c>
      <c r="AG30" s="811">
        <f t="shared" si="24"/>
        <v>1</v>
      </c>
      <c r="AH30" s="176">
        <f t="shared" si="16"/>
        <v>7</v>
      </c>
      <c r="AI30" s="225">
        <f t="shared" si="17"/>
        <v>1.9979827563825379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13.544710853249491</v>
      </c>
      <c r="C31" s="841"/>
      <c r="D31" s="393">
        <f t="shared" si="0"/>
        <v>14.395072056226178</v>
      </c>
      <c r="E31" s="385">
        <f t="shared" si="1"/>
        <v>14.818933932295501</v>
      </c>
      <c r="F31" s="385">
        <f t="shared" si="2"/>
        <v>14.819141293469157</v>
      </c>
      <c r="G31" s="110">
        <f t="shared" si="21"/>
        <v>0.50397844335436359</v>
      </c>
      <c r="H31" s="414" t="b">
        <f>Wh_hp&gt;='2025'!Maxi_hp</f>
        <v>1</v>
      </c>
      <c r="I31" s="390">
        <f>IF(H31,Wh_hp,'2025'!Maxi_hp)</f>
        <v>14.819141293469157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5.9073077206924229E-2</v>
      </c>
      <c r="M31" s="845"/>
      <c r="N31" s="845"/>
      <c r="O31" s="48">
        <f>IF(t&lt;Tnet,'2025'!Resal+('2025'!Salim-'2025'!Resal)*(1-EXP(('2025'!Tnet-t)/('2025'!Tau_j))),Resal+(Salim-Resal)*(1-EXP((Tnet-t)/(Tau_j))))*Salcycl</f>
        <v>2.8602723921022612E-2</v>
      </c>
      <c r="P31" s="169">
        <f>(INDEX(Models!$BJ31:$BT31,,T31)*(1-R31)+INDEX(Models!$BJ31:$BT31,,T31+1)*R31-ERP_i)*Q31*Ramure*Pc/MaxiM</f>
        <v>4.80155228832378E-5</v>
      </c>
      <c r="Q31" s="305">
        <f t="shared" si="4"/>
        <v>0.5</v>
      </c>
      <c r="R31" s="177">
        <f t="shared" si="5"/>
        <v>0.47304917389791301</v>
      </c>
      <c r="S31" s="811">
        <f t="shared" si="6"/>
        <v>-2</v>
      </c>
      <c r="T31" s="176">
        <f t="shared" si="7"/>
        <v>4</v>
      </c>
      <c r="U31" s="251">
        <f t="shared" si="8"/>
        <v>-1.526950826102087</v>
      </c>
      <c r="V31" s="383">
        <f t="shared" si="9"/>
        <v>26.874661401413096</v>
      </c>
      <c r="W31" s="402">
        <f t="shared" si="10"/>
        <v>13.544710853249491</v>
      </c>
      <c r="X31" s="157">
        <f t="shared" si="11"/>
        <v>46039</v>
      </c>
      <c r="Y31" s="385">
        <f t="shared" si="12"/>
        <v>12.979305456111728</v>
      </c>
      <c r="Z31" s="385">
        <f t="shared" si="22"/>
        <v>13.794169495738911</v>
      </c>
      <c r="AA31" s="386">
        <f t="shared" si="13"/>
        <v>14.815811789728549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6.8956214380228475E-2</v>
      </c>
      <c r="AD31" s="231">
        <f>(INDEX(Models!$BJ31:$BT31,,AH31)*(1-AF31)+INDEX(Models!$BJ31:$BT31,,AH31+1)*AF31-ERP_i)*AE31*Ramure*Pc/MaxiM</f>
        <v>7.7096334009083239E-4</v>
      </c>
      <c r="AE31" s="305">
        <f t="shared" si="15"/>
        <v>0.5</v>
      </c>
      <c r="AF31" s="177">
        <f t="shared" si="23"/>
        <v>0.99803674027189193</v>
      </c>
      <c r="AG31" s="811">
        <f t="shared" si="24"/>
        <v>1</v>
      </c>
      <c r="AH31" s="176">
        <f t="shared" si="16"/>
        <v>7</v>
      </c>
      <c r="AI31" s="225">
        <f t="shared" si="17"/>
        <v>1.9980367402718919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3.5759242194058953</v>
      </c>
      <c r="C32" s="841"/>
      <c r="D32" s="393">
        <f t="shared" si="0"/>
        <v>3.8005103865282575</v>
      </c>
      <c r="E32" s="385">
        <f t="shared" si="1"/>
        <v>3.9127301397423619</v>
      </c>
      <c r="F32" s="385">
        <f t="shared" si="2"/>
        <v>3.9127301397423619</v>
      </c>
      <c r="G32" s="110">
        <f t="shared" si="21"/>
        <v>0.13182974926487356</v>
      </c>
      <c r="H32" s="414" t="b">
        <f>Wh_hp&gt;='2025'!Maxi_hp</f>
        <v>0</v>
      </c>
      <c r="I32" s="390">
        <f>IF(H32,Wh_hp,'2025'!Maxi_hp)</f>
        <v>28.469265740450702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5.9093685921358663E-2</v>
      </c>
      <c r="M32" s="845"/>
      <c r="N32" s="845"/>
      <c r="O32" s="48">
        <f>IF(t&lt;Tnet,'2025'!Resal+('2025'!Salim-'2025'!Resal)*(1-EXP(('2025'!Tnet-t)/('2025'!Tau_j))),Resal+(Salim-Resal)*(1-EXP((Tnet-t)/(Tau_j))))*Salcycl</f>
        <v>2.8680677993676771E-2</v>
      </c>
      <c r="P32" s="169">
        <f>(INDEX(Models!$BJ32:$BT32,,T32)*(1-R32)+INDEX(Models!$BJ32:$BT32,,T32+1)*R32-ERP_i)*Q32*Ramure*Pc/MaxiM</f>
        <v>4.6304265952858412E-5</v>
      </c>
      <c r="Q32" s="305">
        <f t="shared" si="4"/>
        <v>0.5</v>
      </c>
      <c r="R32" s="177">
        <f t="shared" si="5"/>
        <v>0.47310541011005469</v>
      </c>
      <c r="S32" s="811">
        <f t="shared" si="6"/>
        <v>-2</v>
      </c>
      <c r="T32" s="176">
        <f t="shared" si="7"/>
        <v>4</v>
      </c>
      <c r="U32" s="251">
        <f t="shared" si="8"/>
        <v>-1.5268945898899453</v>
      </c>
      <c r="V32" s="383">
        <f t="shared" si="9"/>
        <v>27.124064627289584</v>
      </c>
      <c r="W32" s="402">
        <f t="shared" si="10"/>
        <v>3.5759242194058953</v>
      </c>
      <c r="X32" s="157">
        <f t="shared" si="11"/>
        <v>46040</v>
      </c>
      <c r="Y32" s="385">
        <f t="shared" si="12"/>
        <v>3.4275175273467697</v>
      </c>
      <c r="Z32" s="385">
        <f t="shared" si="22"/>
        <v>3.6427830019432692</v>
      </c>
      <c r="AA32" s="386">
        <f t="shared" si="13"/>
        <v>3.9127301397423619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6.8992015334046988E-2</v>
      </c>
      <c r="AD32" s="231">
        <f>(INDEX(Models!$BJ32:$BT32,,AH32)*(1-AF32)+INDEX(Models!$BJ32:$BT32,,AH32+1)*AF32-ERP_i)*AE32*Ramure*Pc/MaxiM</f>
        <v>7.5470428801302915E-4</v>
      </c>
      <c r="AE32" s="305">
        <f t="shared" si="15"/>
        <v>0.5</v>
      </c>
      <c r="AF32" s="177">
        <f t="shared" si="23"/>
        <v>0.99809297648403361</v>
      </c>
      <c r="AG32" s="811">
        <f t="shared" si="24"/>
        <v>1</v>
      </c>
      <c r="AH32" s="176">
        <f t="shared" si="16"/>
        <v>7</v>
      </c>
      <c r="AI32" s="225">
        <f t="shared" si="17"/>
        <v>1.9980929764840336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10.34313776280467</v>
      </c>
      <c r="C33" s="841"/>
      <c r="D33" s="393">
        <f t="shared" si="0"/>
        <v>10.992980017523912</v>
      </c>
      <c r="E33" s="385">
        <f t="shared" si="1"/>
        <v>11.318483593579565</v>
      </c>
      <c r="F33" s="385">
        <f t="shared" si="2"/>
        <v>11.318539641578873</v>
      </c>
      <c r="G33" s="110">
        <f t="shared" si="21"/>
        <v>0.37777084575695219</v>
      </c>
      <c r="H33" s="414" t="b">
        <f>Wh_hp&gt;='2025'!Maxi_hp</f>
        <v>0</v>
      </c>
      <c r="I33" s="390">
        <f>IF(H33,Wh_hp,'2025'!Maxi_hp)</f>
        <v>30.474199442688686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5.9114294184409388E-2</v>
      </c>
      <c r="M33" s="845"/>
      <c r="N33" s="845"/>
      <c r="O33" s="48">
        <f>IF(t&lt;Tnet,'2025'!Resal+('2025'!Salim-'2025'!Resal)*(1-EXP(('2025'!Tnet-t)/('2025'!Tau_j))),Resal+(Salim-Resal)*(1-EXP((Tnet-t)/(Tau_j))))*Salcycl</f>
        <v>2.8758585314405106E-2</v>
      </c>
      <c r="P33" s="169">
        <f>(INDEX(Models!$BJ33:$BT33,,T33)*(1-R33)+INDEX(Models!$BJ33:$BT33,,T33+1)*R33-ERP_i)*Q33*Ramure*Pc/MaxiM</f>
        <v>4.4562277573273737E-5</v>
      </c>
      <c r="Q33" s="305">
        <f t="shared" si="4"/>
        <v>0.5</v>
      </c>
      <c r="R33" s="177">
        <f t="shared" si="5"/>
        <v>0.47316399207591564</v>
      </c>
      <c r="S33" s="811">
        <f t="shared" si="6"/>
        <v>-2</v>
      </c>
      <c r="T33" s="176">
        <f t="shared" si="7"/>
        <v>4</v>
      </c>
      <c r="U33" s="251">
        <f t="shared" si="8"/>
        <v>-1.5268360079240844</v>
      </c>
      <c r="V33" s="383">
        <f t="shared" si="9"/>
        <v>27.378311961068587</v>
      </c>
      <c r="W33" s="402">
        <f t="shared" si="10"/>
        <v>10.34313776280467</v>
      </c>
      <c r="X33" s="157">
        <f t="shared" si="11"/>
        <v>46041</v>
      </c>
      <c r="Y33" s="385">
        <f t="shared" si="12"/>
        <v>9.9135305748740787</v>
      </c>
      <c r="Z33" s="385">
        <f t="shared" si="22"/>
        <v>10.53638131985511</v>
      </c>
      <c r="AA33" s="386">
        <f t="shared" si="13"/>
        <v>11.317611904327023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6.9027864807170963E-2</v>
      </c>
      <c r="AD33" s="231">
        <f>(INDEX(Models!$BJ33:$BT33,,AH33)*(1-AF33)+INDEX(Models!$BJ33:$BT33,,AH33+1)*AF33-ERP_i)*AE33*Ramure*Pc/MaxiM</f>
        <v>7.3761928065316739E-4</v>
      </c>
      <c r="AE33" s="305">
        <f t="shared" si="15"/>
        <v>0.5</v>
      </c>
      <c r="AF33" s="177">
        <f t="shared" si="23"/>
        <v>0.99815155844989456</v>
      </c>
      <c r="AG33" s="811">
        <f t="shared" si="24"/>
        <v>1</v>
      </c>
      <c r="AH33" s="176">
        <f t="shared" si="16"/>
        <v>7</v>
      </c>
      <c r="AI33" s="225">
        <f t="shared" si="17"/>
        <v>1.9981515584498946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6.5063589883315203</v>
      </c>
      <c r="C34" s="841"/>
      <c r="D34" s="393">
        <f t="shared" si="0"/>
        <v>6.9152942352044349</v>
      </c>
      <c r="E34" s="385">
        <f t="shared" si="1"/>
        <v>7.1206278472903124</v>
      </c>
      <c r="F34" s="385">
        <f t="shared" si="2"/>
        <v>7.1206278472903124</v>
      </c>
      <c r="G34" s="110">
        <f t="shared" si="21"/>
        <v>0.23541037959078073</v>
      </c>
      <c r="H34" s="414" t="b">
        <f>Wh_hp&gt;='2025'!Maxi_hp</f>
        <v>0</v>
      </c>
      <c r="I34" s="390">
        <f>IF(H34,Wh_hp,'2025'!Maxi_hp)</f>
        <v>12.344744575403277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5.9134901996086287E-2</v>
      </c>
      <c r="M34" s="845"/>
      <c r="N34" s="845"/>
      <c r="O34" s="48">
        <f>IF(t&lt;Tnet,'2025'!Resal+('2025'!Salim-'2025'!Resal)*(1-EXP(('2025'!Tnet-t)/('2025'!Tau_j))),Resal+(Salim-Resal)*(1-EXP((Tnet-t)/(Tau_j))))*Salcycl</f>
        <v>2.8836447640500636E-2</v>
      </c>
      <c r="P34" s="169">
        <f>(INDEX(Models!$BJ34:$BT34,,T34)*(1-R34)+INDEX(Models!$BJ34:$BT34,,T34+1)*R34-ERP_i)*Q34*Ramure*Pc/MaxiM</f>
        <v>4.2791870137673588E-5</v>
      </c>
      <c r="Q34" s="305">
        <f t="shared" si="4"/>
        <v>0.5</v>
      </c>
      <c r="R34" s="177">
        <f t="shared" si="5"/>
        <v>0.47322501705595843</v>
      </c>
      <c r="S34" s="811">
        <f t="shared" si="6"/>
        <v>-2</v>
      </c>
      <c r="T34" s="176">
        <f t="shared" si="7"/>
        <v>4</v>
      </c>
      <c r="U34" s="251">
        <f t="shared" si="8"/>
        <v>-1.5267749829440416</v>
      </c>
      <c r="V34" s="383">
        <f t="shared" si="9"/>
        <v>27.637186518165812</v>
      </c>
      <c r="W34" s="402">
        <f t="shared" si="10"/>
        <v>6.5063589883315203</v>
      </c>
      <c r="X34" s="157">
        <f t="shared" si="11"/>
        <v>46042</v>
      </c>
      <c r="Y34" s="385">
        <f t="shared" si="12"/>
        <v>6.2368540470886238</v>
      </c>
      <c r="Z34" s="385">
        <f t="shared" si="22"/>
        <v>6.6288504699774506</v>
      </c>
      <c r="AA34" s="386">
        <f t="shared" si="13"/>
        <v>7.1206278472903124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6.9063766266060839E-2</v>
      </c>
      <c r="AD34" s="231">
        <f>(INDEX(Models!$BJ34:$BT34,,AH34)*(1-AF34)+INDEX(Models!$BJ34:$BT34,,AH34+1)*AF34-ERP_i)*AE34*Ramure*Pc/MaxiM</f>
        <v>7.1974919491263139E-4</v>
      </c>
      <c r="AE34" s="305">
        <f t="shared" si="15"/>
        <v>0.5</v>
      </c>
      <c r="AF34" s="177">
        <f t="shared" si="23"/>
        <v>0.99821258342993735</v>
      </c>
      <c r="AG34" s="811">
        <f t="shared" si="24"/>
        <v>1</v>
      </c>
      <c r="AH34" s="176">
        <f t="shared" si="16"/>
        <v>7</v>
      </c>
      <c r="AI34" s="225">
        <f t="shared" si="17"/>
        <v>1.9982125834299374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20.78209962039017</v>
      </c>
      <c r="C35" s="841"/>
      <c r="D35" s="393">
        <f t="shared" si="0"/>
        <v>22.088772190368907</v>
      </c>
      <c r="E35" s="385">
        <f t="shared" si="1"/>
        <v>22.746469682514793</v>
      </c>
      <c r="F35" s="385">
        <f t="shared" si="2"/>
        <v>22.747062321791933</v>
      </c>
      <c r="G35" s="110">
        <f t="shared" si="21"/>
        <v>0.7448544046986082</v>
      </c>
      <c r="H35" s="414" t="b">
        <f>Wh_hp&gt;='2025'!Maxi_hp</f>
        <v>1</v>
      </c>
      <c r="I35" s="390">
        <f>IF(H35,Wh_hp,'2025'!Maxi_hp)</f>
        <v>22.747062321791933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5.9155509356399127E-2</v>
      </c>
      <c r="M35" s="845"/>
      <c r="N35" s="845"/>
      <c r="O35" s="48">
        <f>IF(t&lt;Tnet,'2025'!Resal+('2025'!Salim-'2025'!Resal)*(1-EXP(('2025'!Tnet-t)/('2025'!Tau_j))),Resal+(Salim-Resal)*(1-EXP((Tnet-t)/(Tau_j))))*Salcycl</f>
        <v>2.8914266755489422E-2</v>
      </c>
      <c r="P35" s="169">
        <f>(INDEX(Models!$BJ35:$BT35,,T35)*(1-R35)+INDEX(Models!$BJ35:$BT35,,T35+1)*R35-ERP_i)*Q35*Ramure*Pc/MaxiM</f>
        <v>4.0995330571778409E-5</v>
      </c>
      <c r="Q35" s="305">
        <f t="shared" si="4"/>
        <v>0.5</v>
      </c>
      <c r="R35" s="177">
        <f t="shared" si="5"/>
        <v>0.47328858629319459</v>
      </c>
      <c r="S35" s="811">
        <f t="shared" si="6"/>
        <v>-2</v>
      </c>
      <c r="T35" s="176">
        <f t="shared" si="7"/>
        <v>4</v>
      </c>
      <c r="U35" s="251">
        <f t="shared" si="8"/>
        <v>-1.5267114137068054</v>
      </c>
      <c r="V35" s="383">
        <f t="shared" si="9"/>
        <v>27.900471498049953</v>
      </c>
      <c r="W35" s="402">
        <f t="shared" si="10"/>
        <v>20.78209962039017</v>
      </c>
      <c r="X35" s="157">
        <f t="shared" si="11"/>
        <v>46043</v>
      </c>
      <c r="Y35" s="385">
        <f t="shared" si="12"/>
        <v>19.913736853274266</v>
      </c>
      <c r="Z35" s="385">
        <f t="shared" si="22"/>
        <v>21.16581119548453</v>
      </c>
      <c r="AA35" s="386">
        <f t="shared" si="13"/>
        <v>22.736926525074317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6.9099723212684747E-2</v>
      </c>
      <c r="AD35" s="231">
        <f>(INDEX(Models!$BJ35:$BT35,,AH35)*(1-AF35)+INDEX(Models!$BJ35:$BT35,,AH35+1)*AF35-ERP_i)*AE35*Ramure*Pc/MaxiM</f>
        <v>7.0113533320392276E-4</v>
      </c>
      <c r="AE35" s="305">
        <f t="shared" si="15"/>
        <v>0.5</v>
      </c>
      <c r="AF35" s="177">
        <f t="shared" si="23"/>
        <v>0.99827615266717351</v>
      </c>
      <c r="AG35" s="811">
        <f t="shared" si="24"/>
        <v>1</v>
      </c>
      <c r="AH35" s="176">
        <f t="shared" si="16"/>
        <v>7</v>
      </c>
      <c r="AI35" s="225">
        <f t="shared" si="17"/>
        <v>1.9982761526671735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28.040243231582565</v>
      </c>
      <c r="C36" s="841"/>
      <c r="D36" s="393">
        <f t="shared" si="0"/>
        <v>29.803923684712998</v>
      </c>
      <c r="E36" s="385">
        <f t="shared" si="1"/>
        <v>30.693799688586576</v>
      </c>
      <c r="F36" s="385">
        <f t="shared" si="2"/>
        <v>30.694994365394528</v>
      </c>
      <c r="G36" s="110">
        <f t="shared" si="21"/>
        <v>0.99546597888261523</v>
      </c>
      <c r="H36" s="414" t="b">
        <f>Wh_hp&gt;='2025'!Maxi_hp</f>
        <v>1</v>
      </c>
      <c r="I36" s="390">
        <f>IF(H36,Wh_hp,'2025'!Maxi_hp)</f>
        <v>30.694994365394528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5.9176116265358014E-2</v>
      </c>
      <c r="M36" s="845"/>
      <c r="N36" s="845"/>
      <c r="O36" s="48">
        <f>IF(t&lt;Tnet,'2025'!Resal+('2025'!Salim-'2025'!Resal)*(1-EXP(('2025'!Tnet-t)/('2025'!Tau_j))),Resal+(Salim-Resal)*(1-EXP((Tnet-t)/(Tau_j))))*Salcycl</f>
        <v>2.899204441620434E-2</v>
      </c>
      <c r="P36" s="169">
        <f>(INDEX(Models!$BJ36:$BT36,,T36)*(1-R36)+INDEX(Models!$BJ36:$BT36,,T36+1)*R36-ERP_i)*Q36*Ramure*Pc/MaxiM</f>
        <v>3.9174626757258548E-5</v>
      </c>
      <c r="Q36" s="305">
        <f t="shared" si="4"/>
        <v>0.5</v>
      </c>
      <c r="R36" s="177">
        <f t="shared" si="5"/>
        <v>0.4733548051719767</v>
      </c>
      <c r="S36" s="811">
        <f t="shared" si="6"/>
        <v>-2</v>
      </c>
      <c r="T36" s="176">
        <f t="shared" si="7"/>
        <v>4</v>
      </c>
      <c r="U36" s="251">
        <f t="shared" si="8"/>
        <v>-1.5266451948280233</v>
      </c>
      <c r="V36" s="383">
        <f t="shared" si="9"/>
        <v>28.167950197777426</v>
      </c>
      <c r="W36" s="402">
        <f t="shared" si="10"/>
        <v>28.040243231582565</v>
      </c>
      <c r="X36" s="157">
        <f t="shared" si="11"/>
        <v>46044</v>
      </c>
      <c r="Y36" s="385">
        <f t="shared" si="12"/>
        <v>26.863831722906799</v>
      </c>
      <c r="Z36" s="385">
        <f t="shared" si="22"/>
        <v>28.553518025360528</v>
      </c>
      <c r="AA36" s="386">
        <f t="shared" si="13"/>
        <v>30.674201624700366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6.9135739058067552E-2</v>
      </c>
      <c r="AD36" s="231">
        <f>(INDEX(Models!$BJ36:$BT36,,AH36)*(1-AF36)+INDEX(Models!$BJ36:$BT36,,AH36+1)*AF36-ERP_i)*AE36*Ramure*Pc/MaxiM</f>
        <v>6.8181440413988225E-4</v>
      </c>
      <c r="AE36" s="305">
        <f t="shared" si="15"/>
        <v>0.5</v>
      </c>
      <c r="AF36" s="177">
        <f t="shared" si="23"/>
        <v>0.99834237154595562</v>
      </c>
      <c r="AG36" s="811">
        <f t="shared" si="24"/>
        <v>1</v>
      </c>
      <c r="AH36" s="176">
        <f t="shared" si="16"/>
        <v>7</v>
      </c>
      <c r="AI36" s="225">
        <f t="shared" si="17"/>
        <v>1.9983423715459556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28.104428713968375</v>
      </c>
      <c r="C37" s="841"/>
      <c r="D37" s="393">
        <f t="shared" si="0"/>
        <v>29.87280060855144</v>
      </c>
      <c r="E37" s="385">
        <f t="shared" si="1"/>
        <v>30.767196307268698</v>
      </c>
      <c r="F37" s="385">
        <f t="shared" si="2"/>
        <v>30.768325353150228</v>
      </c>
      <c r="G37" s="110">
        <f t="shared" si="21"/>
        <v>0.98812821314122767</v>
      </c>
      <c r="H37" s="414" t="b">
        <f>Wh_hp&gt;='2025'!Maxi_hp</f>
        <v>1</v>
      </c>
      <c r="I37" s="390">
        <f>IF(H37,Wh_hp,'2025'!Maxi_hp)</f>
        <v>30.768325353150228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5.9196722722972606E-2</v>
      </c>
      <c r="M37" s="845"/>
      <c r="N37" s="845"/>
      <c r="O37" s="48">
        <f>IF(t&lt;Tnet,'2025'!Resal+('2025'!Salim-'2025'!Resal)*(1-EXP(('2025'!Tnet-t)/('2025'!Tau_j))),Resal+(Salim-Resal)*(1-EXP((Tnet-t)/(Tau_j))))*Salcycl</f>
        <v>2.9069782302716993E-2</v>
      </c>
      <c r="P37" s="169">
        <f>(INDEX(Models!$BJ37:$BT37,,T37)*(1-R37)+INDEX(Models!$BJ37:$BT37,,T37+1)*R37-ERP_i)*Q37*Ramure*Pc/MaxiM</f>
        <v>3.7328110978122822E-5</v>
      </c>
      <c r="Q37" s="305">
        <f t="shared" si="4"/>
        <v>0.5</v>
      </c>
      <c r="R37" s="177">
        <f t="shared" si="5"/>
        <v>0.47342378338275393</v>
      </c>
      <c r="S37" s="811">
        <f t="shared" si="6"/>
        <v>-2</v>
      </c>
      <c r="T37" s="176">
        <f t="shared" si="7"/>
        <v>4</v>
      </c>
      <c r="U37" s="251">
        <f t="shared" si="8"/>
        <v>-1.5265762166172461</v>
      </c>
      <c r="V37" s="383">
        <f t="shared" si="9"/>
        <v>28.442069104315777</v>
      </c>
      <c r="W37" s="402">
        <f t="shared" si="10"/>
        <v>28.104428713968375</v>
      </c>
      <c r="X37" s="157">
        <f t="shared" si="11"/>
        <v>46045</v>
      </c>
      <c r="Y37" s="385">
        <f t="shared" si="12"/>
        <v>26.927100319936226</v>
      </c>
      <c r="Z37" s="385">
        <f t="shared" si="22"/>
        <v>28.621392984377664</v>
      </c>
      <c r="AA37" s="386">
        <f t="shared" si="13"/>
        <v>30.748309416528649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6.9171817004276312E-2</v>
      </c>
      <c r="AD37" s="231">
        <f>(INDEX(Models!$BJ37:$BT37,,AH37)*(1-AF37)+INDEX(Models!$BJ37:$BT37,,AH37+1)*AF37-ERP_i)*AE37*Ramure*Pc/MaxiM</f>
        <v>6.6175973515597379E-4</v>
      </c>
      <c r="AE37" s="305">
        <f t="shared" si="15"/>
        <v>0.5</v>
      </c>
      <c r="AF37" s="177">
        <f t="shared" si="23"/>
        <v>0.99841134975673285</v>
      </c>
      <c r="AG37" s="811">
        <f t="shared" si="24"/>
        <v>1</v>
      </c>
      <c r="AH37" s="176">
        <f t="shared" si="16"/>
        <v>7</v>
      </c>
      <c r="AI37" s="225">
        <f t="shared" si="17"/>
        <v>1.9984113497567328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28.735558887560806</v>
      </c>
      <c r="C38" s="841"/>
      <c r="D38" s="393">
        <f t="shared" si="0"/>
        <v>30.544311417584588</v>
      </c>
      <c r="E38" s="385">
        <f t="shared" si="1"/>
        <v>31.461329965559464</v>
      </c>
      <c r="F38" s="385">
        <f t="shared" si="2"/>
        <v>31.462446805790826</v>
      </c>
      <c r="G38" s="110">
        <f t="shared" si="21"/>
        <v>1.0003758637461393</v>
      </c>
      <c r="H38" s="414" t="b">
        <f>Wh_hp&gt;='2025'!Maxi_hp</f>
        <v>1</v>
      </c>
      <c r="I38" s="390">
        <f>IF(H38,Wh_hp,'2025'!Maxi_hp)</f>
        <v>31.462446805790826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5.9217328729253005E-2</v>
      </c>
      <c r="M38" s="845"/>
      <c r="N38" s="845"/>
      <c r="O38" s="48">
        <f>IF(t&lt;Tnet,'2025'!Resal+('2025'!Salim-'2025'!Resal)*(1-EXP(('2025'!Tnet-t)/('2025'!Tau_j))),Resal+(Salim-Resal)*(1-EXP((Tnet-t)/(Tau_j))))*Salcycl</f>
        <v>2.9147481971637322E-2</v>
      </c>
      <c r="P38" s="169">
        <f>(INDEX(Models!$BJ38:$BT38,,T38)*(1-R38)+INDEX(Models!$BJ38:$BT38,,T38+1)*R38-ERP_i)*Q38*Ramure*Pc/MaxiM</f>
        <v>3.5497564390142114E-5</v>
      </c>
      <c r="Q38" s="305">
        <f t="shared" si="4"/>
        <v>0.5</v>
      </c>
      <c r="R38" s="177">
        <f t="shared" si="5"/>
        <v>0.47349563509298331</v>
      </c>
      <c r="S38" s="811">
        <f t="shared" si="6"/>
        <v>-2</v>
      </c>
      <c r="T38" s="176">
        <f t="shared" si="7"/>
        <v>4</v>
      </c>
      <c r="U38" s="251">
        <f t="shared" si="8"/>
        <v>-1.5265043649070167</v>
      </c>
      <c r="V38" s="383">
        <f t="shared" si="9"/>
        <v>28.724762290799219</v>
      </c>
      <c r="W38" s="402">
        <f t="shared" si="10"/>
        <v>28.735558887560806</v>
      </c>
      <c r="X38" s="157">
        <f t="shared" si="11"/>
        <v>46046</v>
      </c>
      <c r="Y38" s="385">
        <f t="shared" si="12"/>
        <v>27.533155543127872</v>
      </c>
      <c r="Z38" s="385">
        <f t="shared" si="22"/>
        <v>29.266223096921955</v>
      </c>
      <c r="AA38" s="386">
        <f t="shared" si="13"/>
        <v>31.442279088363218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6.9207959935913874E-2</v>
      </c>
      <c r="AD38" s="231">
        <f>(INDEX(Models!$BJ38:$BT38,,AH38)*(1-AF38)+INDEX(Models!$BJ38:$BT38,,AH38+1)*AF38-ERP_i)*AE38*Ramure*Pc/MaxiM</f>
        <v>6.4100918635146996E-4</v>
      </c>
      <c r="AE38" s="305">
        <f t="shared" si="15"/>
        <v>0.5</v>
      </c>
      <c r="AF38" s="177">
        <f t="shared" si="23"/>
        <v>0.99848320146696223</v>
      </c>
      <c r="AG38" s="811">
        <f t="shared" si="24"/>
        <v>1</v>
      </c>
      <c r="AH38" s="176">
        <f t="shared" si="16"/>
        <v>7</v>
      </c>
      <c r="AI38" s="225">
        <f t="shared" si="17"/>
        <v>1.9984832014669622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27.366464802711516</v>
      </c>
      <c r="C39" s="841"/>
      <c r="D39" s="393">
        <f t="shared" si="0"/>
        <v>29.089677188343455</v>
      </c>
      <c r="E39" s="385">
        <f t="shared" si="1"/>
        <v>29.965420955147522</v>
      </c>
      <c r="F39" s="385">
        <f t="shared" si="2"/>
        <v>29.966350611851741</v>
      </c>
      <c r="G39" s="110">
        <f t="shared" si="21"/>
        <v>0.9431793205711313</v>
      </c>
      <c r="H39" s="414" t="b">
        <f>Wh_hp&gt;='2025'!Maxi_hp</f>
        <v>1</v>
      </c>
      <c r="I39" s="390">
        <f>IF(H39,Wh_hp,'2025'!Maxi_hp)</f>
        <v>29.966350611851741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5.9237934284208871E-2</v>
      </c>
      <c r="M39" s="845"/>
      <c r="N39" s="845"/>
      <c r="O39" s="48">
        <f>IF(t&lt;Tnet,'2025'!Resal+('2025'!Salim-'2025'!Resal)*(1-EXP(('2025'!Tnet-t)/('2025'!Tau_j))),Resal+(Salim-Resal)*(1-EXP((Tnet-t)/(Tau_j))))*Salcycl</f>
        <v>2.9225144813246166E-2</v>
      </c>
      <c r="P39" s="169">
        <f>(INDEX(Models!$BJ39:$BT39,,T39)*(1-R39)+INDEX(Models!$BJ39:$BT39,,T39+1)*R39-ERP_i)*Q39*Ramure*Pc/MaxiM</f>
        <v>3.3763928430795082E-5</v>
      </c>
      <c r="Q39" s="305">
        <f t="shared" si="4"/>
        <v>0.5</v>
      </c>
      <c r="R39" s="177">
        <f t="shared" si="5"/>
        <v>0.47357047912439154</v>
      </c>
      <c r="S39" s="811">
        <f t="shared" si="6"/>
        <v>-2</v>
      </c>
      <c r="T39" s="176">
        <f t="shared" si="7"/>
        <v>4</v>
      </c>
      <c r="U39" s="251">
        <f t="shared" si="8"/>
        <v>-1.5264295208756085</v>
      </c>
      <c r="V39" s="383">
        <f t="shared" si="9"/>
        <v>29.015044333224569</v>
      </c>
      <c r="W39" s="402">
        <f t="shared" si="10"/>
        <v>27.366464802711516</v>
      </c>
      <c r="X39" s="157">
        <f t="shared" si="11"/>
        <v>46047</v>
      </c>
      <c r="Y39" s="385">
        <f t="shared" si="12"/>
        <v>26.22417929987893</v>
      </c>
      <c r="Z39" s="385">
        <f t="shared" si="22"/>
        <v>27.875464217326748</v>
      </c>
      <c r="AA39" s="386">
        <f t="shared" si="13"/>
        <v>29.949277059024695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6.9244170322069212E-2</v>
      </c>
      <c r="AD39" s="231">
        <f>(INDEX(Models!$BJ39:$BT39,,AH39)*(1-AF39)+INDEX(Models!$BJ39:$BT39,,AH39+1)*AF39-ERP_i)*AE39*Ramure*Pc/MaxiM</f>
        <v>6.2008934383618011E-4</v>
      </c>
      <c r="AE39" s="305">
        <f t="shared" si="15"/>
        <v>0.5</v>
      </c>
      <c r="AF39" s="177">
        <f t="shared" si="23"/>
        <v>0.99855804549837046</v>
      </c>
      <c r="AG39" s="811">
        <f t="shared" si="24"/>
        <v>1</v>
      </c>
      <c r="AH39" s="176">
        <f t="shared" si="16"/>
        <v>7</v>
      </c>
      <c r="AI39" s="225">
        <f t="shared" si="17"/>
        <v>1.9985580454983705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28.342394133322795</v>
      </c>
      <c r="C40" s="841"/>
      <c r="D40" s="393">
        <f t="shared" si="0"/>
        <v>30.127718741002568</v>
      </c>
      <c r="E40" s="385">
        <f t="shared" si="1"/>
        <v>31.037194577630196</v>
      </c>
      <c r="F40" s="385">
        <f t="shared" si="2"/>
        <v>31.038144615723596</v>
      </c>
      <c r="G40" s="110">
        <f t="shared" si="21"/>
        <v>0.96692195622603971</v>
      </c>
      <c r="H40" s="414" t="b">
        <f>Wh_hp&gt;='2025'!Maxi_hp</f>
        <v>1</v>
      </c>
      <c r="I40" s="390">
        <f>IF(H40,Wh_hp,'2025'!Maxi_hp)</f>
        <v>31.038144615723596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5.9258539387850195E-2</v>
      </c>
      <c r="M40" s="845"/>
      <c r="N40" s="845"/>
      <c r="O40" s="48">
        <f>IF(t&lt;Tnet,'2025'!Resal+('2025'!Salim-'2025'!Resal)*(1-EXP(('2025'!Tnet-t)/('2025'!Tau_j))),Resal+(Salim-Resal)*(1-EXP((Tnet-t)/(Tau_j))))*Salcycl</f>
        <v>2.9302772012877922E-2</v>
      </c>
      <c r="P40" s="169">
        <f>(INDEX(Models!$BJ40:$BT40,,T40)*(1-R40)+INDEX(Models!$BJ40:$BT40,,T40+1)*R40-ERP_i)*Q40*Ramure*Pc/MaxiM</f>
        <v>3.2126790102164626E-5</v>
      </c>
      <c r="Q40" s="305">
        <f t="shared" si="4"/>
        <v>0.5</v>
      </c>
      <c r="R40" s="177">
        <f t="shared" si="5"/>
        <v>0.47364843913678434</v>
      </c>
      <c r="S40" s="811">
        <f t="shared" si="6"/>
        <v>-2</v>
      </c>
      <c r="T40" s="176">
        <f t="shared" si="7"/>
        <v>4</v>
      </c>
      <c r="U40" s="251">
        <f t="shared" si="8"/>
        <v>-1.5263515608632157</v>
      </c>
      <c r="V40" s="383">
        <f t="shared" si="9"/>
        <v>29.311932492549374</v>
      </c>
      <c r="W40" s="402">
        <f t="shared" si="10"/>
        <v>28.342394133322795</v>
      </c>
      <c r="X40" s="157">
        <f t="shared" si="11"/>
        <v>46048</v>
      </c>
      <c r="Y40" s="385">
        <f t="shared" si="12"/>
        <v>27.160448367594004</v>
      </c>
      <c r="Z40" s="385">
        <f t="shared" si="22"/>
        <v>28.87132066011041</v>
      </c>
      <c r="AA40" s="386">
        <f t="shared" si="13"/>
        <v>31.020430014743937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6.9280450129545632E-2</v>
      </c>
      <c r="AD40" s="231">
        <f>(INDEX(Models!$BJ40:$BT40,,AH40)*(1-AF40)+INDEX(Models!$BJ40:$BT40,,AH40+1)*AF40-ERP_i)*AE40*Ramure*Pc/MaxiM</f>
        <v>5.9904257668338956E-4</v>
      </c>
      <c r="AE40" s="305">
        <f t="shared" si="15"/>
        <v>0.5</v>
      </c>
      <c r="AF40" s="177">
        <f t="shared" si="23"/>
        <v>0.99863600551076326</v>
      </c>
      <c r="AG40" s="811">
        <f t="shared" si="24"/>
        <v>1</v>
      </c>
      <c r="AH40" s="176">
        <f t="shared" si="16"/>
        <v>7</v>
      </c>
      <c r="AI40" s="225">
        <f t="shared" si="17"/>
        <v>1.9986360055107633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26.406459482428051</v>
      </c>
      <c r="C41" s="841"/>
      <c r="D41" s="393">
        <f t="shared" si="0"/>
        <v>28.070451840344994</v>
      </c>
      <c r="E41" s="385">
        <f t="shared" si="1"/>
        <v>28.920135977235002</v>
      </c>
      <c r="F41" s="385">
        <f t="shared" si="2"/>
        <v>28.920883648600167</v>
      </c>
      <c r="G41" s="110">
        <f t="shared" si="21"/>
        <v>0.89167077053031218</v>
      </c>
      <c r="H41" s="414" t="b">
        <f>Wh_hp&gt;='2025'!Maxi_hp</f>
        <v>1</v>
      </c>
      <c r="I41" s="390">
        <f>IF(H41,Wh_hp,'2025'!Maxi_hp)</f>
        <v>28.920883648600167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5.9279144040186971E-2</v>
      </c>
      <c r="M41" s="845"/>
      <c r="N41" s="845"/>
      <c r="O41" s="48">
        <f>IF(t&lt;Tnet,'2025'!Resal+('2025'!Salim-'2025'!Resal)*(1-EXP(('2025'!Tnet-t)/('2025'!Tau_j))),Resal+(Salim-Resal)*(1-EXP((Tnet-t)/(Tau_j))))*Salcycl</f>
        <v>2.9380364516918424E-2</v>
      </c>
      <c r="P41" s="169">
        <f>(INDEX(Models!$BJ41:$BT41,,T41)*(1-R41)+INDEX(Models!$BJ41:$BT41,,T41+1)*R41-ERP_i)*Q41*Ramure*Pc/MaxiM</f>
        <v>3.0585389599536273E-5</v>
      </c>
      <c r="Q41" s="305">
        <f t="shared" si="4"/>
        <v>0.5</v>
      </c>
      <c r="R41" s="177">
        <f t="shared" si="5"/>
        <v>0.47372964381860605</v>
      </c>
      <c r="S41" s="811">
        <f t="shared" si="6"/>
        <v>-2</v>
      </c>
      <c r="T41" s="176">
        <f t="shared" si="7"/>
        <v>4</v>
      </c>
      <c r="U41" s="251">
        <f t="shared" si="8"/>
        <v>-1.526270356181394</v>
      </c>
      <c r="V41" s="383">
        <f t="shared" si="9"/>
        <v>29.614444442714657</v>
      </c>
      <c r="W41" s="402">
        <f t="shared" si="10"/>
        <v>26.406459482428051</v>
      </c>
      <c r="X41" s="157">
        <f t="shared" si="11"/>
        <v>46049</v>
      </c>
      <c r="Y41" s="385">
        <f t="shared" si="12"/>
        <v>25.308243873426338</v>
      </c>
      <c r="Z41" s="385">
        <f t="shared" si="22"/>
        <v>26.90303261917634</v>
      </c>
      <c r="AA41" s="386">
        <f t="shared" si="13"/>
        <v>28.90675649974137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6.9316800748052076E-2</v>
      </c>
      <c r="AD41" s="231">
        <f>(INDEX(Models!$BJ41:$BT41,,AH41)*(1-AF41)+INDEX(Models!$BJ41:$BT41,,AH41+1)*AF41-ERP_i)*AE41*Ramure*Pc/MaxiM</f>
        <v>5.7790678085161849E-4</v>
      </c>
      <c r="AE41" s="305">
        <f t="shared" si="15"/>
        <v>0.5</v>
      </c>
      <c r="AF41" s="177">
        <f t="shared" si="23"/>
        <v>0.99871721019258497</v>
      </c>
      <c r="AG41" s="811">
        <f t="shared" si="24"/>
        <v>1</v>
      </c>
      <c r="AH41" s="176">
        <f t="shared" si="16"/>
        <v>7</v>
      </c>
      <c r="AI41" s="225">
        <f t="shared" si="17"/>
        <v>1.998717210192585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4.3131149355370901</v>
      </c>
      <c r="C42" s="841"/>
      <c r="D42" s="393">
        <f t="shared" si="0"/>
        <v>4.5850045511023483</v>
      </c>
      <c r="E42" s="385">
        <f t="shared" si="1"/>
        <v>4.7241687504085048</v>
      </c>
      <c r="F42" s="385">
        <f t="shared" si="2"/>
        <v>4.7241687504085048</v>
      </c>
      <c r="G42" s="110">
        <f t="shared" si="21"/>
        <v>0.1441430106698095</v>
      </c>
      <c r="H42" s="414" t="b">
        <f>Wh_hp&gt;='2025'!Maxi_hp</f>
        <v>0</v>
      </c>
      <c r="I42" s="390">
        <f>IF(H42,Wh_hp,'2025'!Maxi_hp)</f>
        <v>18.517028420857695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5.9299748241228967E-2</v>
      </c>
      <c r="M42" s="845"/>
      <c r="N42" s="845"/>
      <c r="O42" s="48">
        <f>IF(t&lt;Tnet,'2025'!Resal+('2025'!Salim-'2025'!Resal)*(1-EXP(('2025'!Tnet-t)/('2025'!Tau_j))),Resal+(Salim-Resal)*(1-EXP((Tnet-t)/(Tau_j))))*Salcycl</f>
        <v>2.9457923003728965E-2</v>
      </c>
      <c r="P42" s="169">
        <f>(INDEX(Models!$BJ42:$BT42,,T42)*(1-R42)+INDEX(Models!$BJ42:$BT42,,T42+1)*R42-ERP_i)*Q42*Ramure*Pc/MaxiM</f>
        <v>2.9138672213840867E-5</v>
      </c>
      <c r="Q42" s="305">
        <f t="shared" si="4"/>
        <v>0.5</v>
      </c>
      <c r="R42" s="177">
        <f t="shared" si="5"/>
        <v>0.47381422708445209</v>
      </c>
      <c r="S42" s="811">
        <f t="shared" si="6"/>
        <v>-2</v>
      </c>
      <c r="T42" s="176">
        <f t="shared" si="7"/>
        <v>4</v>
      </c>
      <c r="U42" s="251">
        <f t="shared" si="8"/>
        <v>-1.5261857729155479</v>
      </c>
      <c r="V42" s="383">
        <f t="shared" si="9"/>
        <v>29.92159825893043</v>
      </c>
      <c r="W42" s="402">
        <f t="shared" si="10"/>
        <v>4.3131149355370901</v>
      </c>
      <c r="X42" s="157">
        <f t="shared" si="11"/>
        <v>46050</v>
      </c>
      <c r="Y42" s="385">
        <f t="shared" si="12"/>
        <v>4.1358191561585791</v>
      </c>
      <c r="Z42" s="385">
        <f t="shared" si="22"/>
        <v>4.3965324219123838</v>
      </c>
      <c r="AA42" s="386">
        <f t="shared" si="13"/>
        <v>4.7241687504085048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6.9353222927904537E-2</v>
      </c>
      <c r="AD42" s="231">
        <f>(INDEX(Models!$BJ42:$BT42,,AH42)*(1-AF42)+INDEX(Models!$BJ42:$BT42,,AH42+1)*AF42-ERP_i)*AE42*Ramure*Pc/MaxiM</f>
        <v>5.5671548416789333E-4</v>
      </c>
      <c r="AE42" s="305">
        <f t="shared" si="15"/>
        <v>0.5</v>
      </c>
      <c r="AF42" s="177">
        <f t="shared" si="23"/>
        <v>0.99880179345843101</v>
      </c>
      <c r="AG42" s="811">
        <f t="shared" si="24"/>
        <v>1</v>
      </c>
      <c r="AH42" s="176">
        <f t="shared" si="16"/>
        <v>7</v>
      </c>
      <c r="AI42" s="225">
        <f t="shared" si="17"/>
        <v>1.998801793458431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9.4575929986169509</v>
      </c>
      <c r="C43" s="841"/>
      <c r="D43" s="393">
        <f t="shared" si="0"/>
        <v>10.053999806027827</v>
      </c>
      <c r="E43" s="385">
        <f t="shared" si="1"/>
        <v>10.359986651603981</v>
      </c>
      <c r="F43" s="385">
        <f t="shared" si="2"/>
        <v>10.359991927419729</v>
      </c>
      <c r="G43" s="110">
        <f t="shared" si="21"/>
        <v>0.31282105104647029</v>
      </c>
      <c r="H43" s="414" t="b">
        <f>Wh_hp&gt;='2025'!Maxi_hp</f>
        <v>0</v>
      </c>
      <c r="I43" s="390">
        <f>IF(H43,Wh_hp,'2025'!Maxi_hp)</f>
        <v>20.355528257182332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5.9320351990985953E-2</v>
      </c>
      <c r="M43" s="845"/>
      <c r="N43" s="845"/>
      <c r="O43" s="48">
        <f>IF(t&lt;Tnet,'2025'!Resal+('2025'!Salim-'2025'!Resal)*(1-EXP(('2025'!Tnet-t)/('2025'!Tau_j))),Resal+(Salim-Resal)*(1-EXP((Tnet-t)/(Tau_j))))*Salcycl</f>
        <v>2.9535447859749774E-2</v>
      </c>
      <c r="P43" s="169">
        <f>(INDEX(Models!$BJ43:$BT43,,T43)*(1-R43)+INDEX(Models!$BJ43:$BT43,,T43+1)*R43-ERP_i)*Q43*Ramure*Pc/MaxiM</f>
        <v>2.7785337386065719E-5</v>
      </c>
      <c r="Q43" s="305">
        <f t="shared" si="4"/>
        <v>0.5</v>
      </c>
      <c r="R43" s="177">
        <f t="shared" si="5"/>
        <v>0.47390232827973722</v>
      </c>
      <c r="S43" s="811">
        <f t="shared" si="6"/>
        <v>-2</v>
      </c>
      <c r="T43" s="176">
        <f t="shared" si="7"/>
        <v>4</v>
      </c>
      <c r="U43" s="251">
        <f t="shared" si="8"/>
        <v>-1.5260976717202628</v>
      </c>
      <c r="V43" s="383">
        <f t="shared" si="9"/>
        <v>30.232412431023786</v>
      </c>
      <c r="W43" s="402">
        <f t="shared" si="10"/>
        <v>9.4575929986169509</v>
      </c>
      <c r="X43" s="157">
        <f t="shared" si="11"/>
        <v>46051</v>
      </c>
      <c r="Y43" s="385">
        <f t="shared" si="12"/>
        <v>9.0691116750106389</v>
      </c>
      <c r="Z43" s="385">
        <f t="shared" si="22"/>
        <v>9.6410203986083634</v>
      </c>
      <c r="AA43" s="386">
        <f t="shared" si="13"/>
        <v>10.359890248298335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6.9389716730642925E-2</v>
      </c>
      <c r="AD43" s="231">
        <f>(INDEX(Models!$BJ43:$BT43,,AH43)*(1-AF43)+INDEX(Models!$BJ43:$BT43,,AH43+1)*AF43-ERP_i)*AE43*Ramure*Pc/MaxiM</f>
        <v>5.3549798308109419E-4</v>
      </c>
      <c r="AE43" s="305">
        <f t="shared" si="15"/>
        <v>0.5</v>
      </c>
      <c r="AF43" s="177">
        <f t="shared" si="23"/>
        <v>0.99888989465371614</v>
      </c>
      <c r="AG43" s="811">
        <f t="shared" si="24"/>
        <v>1</v>
      </c>
      <c r="AH43" s="176">
        <f t="shared" si="16"/>
        <v>7</v>
      </c>
      <c r="AI43" s="225">
        <f t="shared" si="17"/>
        <v>1.9988898946537161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4.4983899534227945</v>
      </c>
      <c r="C44" s="841"/>
      <c r="D44" s="393">
        <f t="shared" si="0"/>
        <v>4.7821683942953843</v>
      </c>
      <c r="E44" s="385">
        <f t="shared" si="1"/>
        <v>4.9281040393928954</v>
      </c>
      <c r="F44" s="385">
        <f t="shared" si="2"/>
        <v>4.9281040393928954</v>
      </c>
      <c r="G44" s="110">
        <f t="shared" si="21"/>
        <v>0.14726263676786439</v>
      </c>
      <c r="H44" s="414" t="b">
        <f>Wh_hp&gt;='2025'!Maxi_hp</f>
        <v>0</v>
      </c>
      <c r="I44" s="390">
        <f>IF(H44,Wh_hp,'2025'!Maxi_hp)</f>
        <v>12.271638358981564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5.9340955289468034E-2</v>
      </c>
      <c r="M44" s="845"/>
      <c r="N44" s="845"/>
      <c r="O44" s="48">
        <f>IF(t&lt;Tnet,'2025'!Resal+('2025'!Salim-'2025'!Resal)*(1-EXP(('2025'!Tnet-t)/('2025'!Tau_j))),Resal+(Salim-Resal)*(1-EXP((Tnet-t)/(Tau_j))))*Salcycl</f>
        <v>2.9612939160977944E-2</v>
      </c>
      <c r="P44" s="169">
        <f>(INDEX(Models!$BJ44:$BT44,,T44)*(1-R44)+INDEX(Models!$BJ44:$BT44,,T44+1)*R44-ERP_i)*Q44*Ramure*Pc/MaxiM</f>
        <v>2.6587214053595363E-5</v>
      </c>
      <c r="Q44" s="305">
        <f t="shared" si="4"/>
        <v>0.5</v>
      </c>
      <c r="R44" s="177">
        <f t="shared" si="5"/>
        <v>0.47399409239273083</v>
      </c>
      <c r="S44" s="811">
        <f t="shared" si="6"/>
        <v>-2</v>
      </c>
      <c r="T44" s="176">
        <f t="shared" si="7"/>
        <v>4</v>
      </c>
      <c r="U44" s="251">
        <f t="shared" si="8"/>
        <v>-1.5260059076072692</v>
      </c>
      <c r="V44" s="383">
        <f t="shared" si="9"/>
        <v>30.545903920333835</v>
      </c>
      <c r="W44" s="402">
        <f t="shared" si="10"/>
        <v>4.4983899534227945</v>
      </c>
      <c r="X44" s="157">
        <f t="shared" si="11"/>
        <v>46052</v>
      </c>
      <c r="Y44" s="385">
        <f t="shared" si="12"/>
        <v>4.3138286104439274</v>
      </c>
      <c r="Z44" s="385">
        <f t="shared" si="22"/>
        <v>4.5859641011280736</v>
      </c>
      <c r="AA44" s="386">
        <f t="shared" si="13"/>
        <v>4.9281040393928954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6.9426281492825606E-2</v>
      </c>
      <c r="AD44" s="231">
        <f>(INDEX(Models!$BJ44:$BT44,,AH44)*(1-AF44)+INDEX(Models!$BJ44:$BT44,,AH44+1)*AF44-ERP_i)*AE44*Ramure*Pc/MaxiM</f>
        <v>5.1476624640582808E-4</v>
      </c>
      <c r="AE44" s="305">
        <f t="shared" si="15"/>
        <v>0.5</v>
      </c>
      <c r="AF44" s="177">
        <f t="shared" si="23"/>
        <v>0.99898165876670975</v>
      </c>
      <c r="AG44" s="811">
        <f t="shared" si="24"/>
        <v>1</v>
      </c>
      <c r="AH44" s="176">
        <f t="shared" si="16"/>
        <v>7</v>
      </c>
      <c r="AI44" s="225">
        <f t="shared" si="17"/>
        <v>1.9989816587667097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9.200400075684545</v>
      </c>
      <c r="C45" s="841"/>
      <c r="D45" s="393">
        <f t="shared" si="0"/>
        <v>9.7810164524633194</v>
      </c>
      <c r="E45" s="385">
        <f t="shared" si="1"/>
        <v>10.080304697381793</v>
      </c>
      <c r="F45" s="385">
        <f t="shared" si="2"/>
        <v>10.080304697381793</v>
      </c>
      <c r="G45" s="110">
        <f t="shared" si="21"/>
        <v>0.29811534476307605</v>
      </c>
      <c r="H45" s="414" t="b">
        <f>Wh_hp&gt;='2025'!Maxi_hp</f>
        <v>0</v>
      </c>
      <c r="I45" s="390">
        <f>IF(H45,Wh_hp,'2025'!Maxi_hp)</f>
        <v>23.585730416186674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5.9361558136684978E-2</v>
      </c>
      <c r="M45" s="845"/>
      <c r="N45" s="845"/>
      <c r="O45" s="48">
        <f>IF(t&lt;Tnet,'2025'!Resal+('2025'!Salim-'2025'!Resal)*(1-EXP(('2025'!Tnet-t)/('2025'!Tau_j))),Resal+(Salim-Resal)*(1-EXP((Tnet-t)/(Tau_j))))*Salcycl</f>
        <v>2.9690396659955043E-2</v>
      </c>
      <c r="P45" s="169">
        <f>(INDEX(Models!$BJ45:$BT45,,T45)*(1-R45)+INDEX(Models!$BJ45:$BT45,,T45+1)*R45-ERP_i)*Q45*Ramure*Pc/MaxiM</f>
        <v>2.5514148437028348E-5</v>
      </c>
      <c r="Q45" s="305">
        <f t="shared" si="4"/>
        <v>0.5</v>
      </c>
      <c r="R45" s="177">
        <f t="shared" si="5"/>
        <v>0.47408967027416082</v>
      </c>
      <c r="S45" s="811">
        <f t="shared" si="6"/>
        <v>-2</v>
      </c>
      <c r="T45" s="176">
        <f t="shared" si="7"/>
        <v>4</v>
      </c>
      <c r="U45" s="251">
        <f t="shared" si="8"/>
        <v>-1.5259103297258392</v>
      </c>
      <c r="V45" s="383">
        <f t="shared" si="9"/>
        <v>30.861092851906257</v>
      </c>
      <c r="W45" s="402">
        <f t="shared" si="10"/>
        <v>9.200400075684545</v>
      </c>
      <c r="X45" s="157">
        <f t="shared" si="11"/>
        <v>46053</v>
      </c>
      <c r="Y45" s="385">
        <f t="shared" si="12"/>
        <v>8.8232801472870968</v>
      </c>
      <c r="Z45" s="385">
        <f t="shared" si="22"/>
        <v>9.3800973409177502</v>
      </c>
      <c r="AA45" s="386">
        <f t="shared" si="13"/>
        <v>10.080304697381793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6.9462915803121555E-2</v>
      </c>
      <c r="AD45" s="231">
        <f>(INDEX(Models!$BJ45:$BT45,,AH45)*(1-AF45)+INDEX(Models!$BJ45:$BT45,,AH45+1)*AF45-ERP_i)*AE45*Ramure*Pc/MaxiM</f>
        <v>4.9495822421634817E-4</v>
      </c>
      <c r="AE45" s="305">
        <f t="shared" si="15"/>
        <v>0.5</v>
      </c>
      <c r="AF45" s="177">
        <f t="shared" si="23"/>
        <v>0.99907723664813974</v>
      </c>
      <c r="AG45" s="811">
        <f t="shared" si="24"/>
        <v>1</v>
      </c>
      <c r="AH45" s="176">
        <f t="shared" si="16"/>
        <v>7</v>
      </c>
      <c r="AI45" s="225">
        <f t="shared" si="17"/>
        <v>1.9990772366481397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13.356640528569649</v>
      </c>
      <c r="C46" s="841"/>
      <c r="D46" s="393">
        <f t="shared" si="0"/>
        <v>14.199858824847675</v>
      </c>
      <c r="E46" s="385">
        <f t="shared" si="1"/>
        <v>14.635526541289892</v>
      </c>
      <c r="F46" s="385">
        <f t="shared" si="2"/>
        <v>14.6355924904439</v>
      </c>
      <c r="G46" s="110">
        <f t="shared" si="21"/>
        <v>0.42840469200391074</v>
      </c>
      <c r="H46" s="414" t="b">
        <f>Wh_hp&gt;='2025'!Maxi_hp</f>
        <v>0</v>
      </c>
      <c r="I46" s="390">
        <f>IF(H46,Wh_hp,'2025'!Maxi_hp)</f>
        <v>27.944973498874095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5.9382160532646777E-2</v>
      </c>
      <c r="M46" s="845"/>
      <c r="N46" s="845"/>
      <c r="O46" s="48">
        <f>IF(t&lt;Tnet,'2025'!Resal+('2025'!Salim-'2025'!Resal)*(1-EXP(('2025'!Tnet-t)/('2025'!Tau_j))),Resal+(Salim-Resal)*(1-EXP((Tnet-t)/(Tau_j))))*Salcycl</f>
        <v>2.9767819778339054E-2</v>
      </c>
      <c r="P46" s="169">
        <f>(INDEX(Models!$BJ46:$BT46,,T46)*(1-R46)+INDEX(Models!$BJ46:$BT46,,T46+1)*R46-ERP_i)*Q46*Ramure*Pc/MaxiM</f>
        <v>2.4563316534652082E-5</v>
      </c>
      <c r="Q46" s="305">
        <f t="shared" si="4"/>
        <v>0.5</v>
      </c>
      <c r="R46" s="177">
        <f t="shared" si="5"/>
        <v>0.4741892188646013</v>
      </c>
      <c r="S46" s="811">
        <f t="shared" si="6"/>
        <v>-2</v>
      </c>
      <c r="T46" s="176">
        <f t="shared" si="7"/>
        <v>4</v>
      </c>
      <c r="U46" s="251">
        <f t="shared" si="8"/>
        <v>-1.5258107811353987</v>
      </c>
      <c r="V46" s="383">
        <f t="shared" si="9"/>
        <v>31.176998943665311</v>
      </c>
      <c r="W46" s="402">
        <f t="shared" si="10"/>
        <v>13.356640528569649</v>
      </c>
      <c r="X46" s="157">
        <f t="shared" si="11"/>
        <v>46054</v>
      </c>
      <c r="Y46" s="385">
        <f t="shared" si="12"/>
        <v>12.808614236608157</v>
      </c>
      <c r="Z46" s="385">
        <f t="shared" si="22"/>
        <v>13.61723507589579</v>
      </c>
      <c r="AA46" s="386">
        <f t="shared" si="13"/>
        <v>14.634314323657627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6.9499617492678842E-2</v>
      </c>
      <c r="AD46" s="231">
        <f>(INDEX(Models!$BJ46:$BT46,,AH46)*(1-AF46)+INDEX(Models!$BJ46:$BT46,,AH46+1)*AF46-ERP_i)*AE46*Ramure*Pc/MaxiM</f>
        <v>4.7606395909021034E-4</v>
      </c>
      <c r="AE46" s="305">
        <f t="shared" si="15"/>
        <v>0.5</v>
      </c>
      <c r="AF46" s="177">
        <f t="shared" si="23"/>
        <v>0.99917678523858022</v>
      </c>
      <c r="AG46" s="811">
        <f t="shared" si="24"/>
        <v>1</v>
      </c>
      <c r="AH46" s="176">
        <f t="shared" si="16"/>
        <v>7</v>
      </c>
      <c r="AI46" s="225">
        <f t="shared" si="17"/>
        <v>1.9991767852385802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5.3655478191540427</v>
      </c>
      <c r="C47" s="841"/>
      <c r="D47" s="393">
        <f t="shared" si="0"/>
        <v>5.7044052492498549</v>
      </c>
      <c r="E47" s="385">
        <f t="shared" si="1"/>
        <v>5.8798918419688047</v>
      </c>
      <c r="F47" s="385">
        <f t="shared" si="2"/>
        <v>5.8798918419688047</v>
      </c>
      <c r="G47" s="110">
        <f t="shared" si="21"/>
        <v>0.17037060370663146</v>
      </c>
      <c r="H47" s="414" t="b">
        <f>Wh_hp&gt;='2025'!Maxi_hp</f>
        <v>0</v>
      </c>
      <c r="I47" s="390">
        <f>IF(H47,Wh_hp,'2025'!Maxi_hp)</f>
        <v>29.540538398179784</v>
      </c>
      <c r="J47" s="85">
        <f>IF(H47,An,'2025'!An_max)</f>
        <v>2020</v>
      </c>
      <c r="K47" s="197">
        <f t="shared" si="3"/>
        <v>46055</v>
      </c>
      <c r="L47" s="147">
        <f>IF(t&lt;Tvie,1-EXP((T0-t)*PertePVj)+'2025'!Pspv,1-EXP((T0-t)*PertePVj)+Pspv)</f>
        <v>5.9402762477363091E-2</v>
      </c>
      <c r="M47" s="845"/>
      <c r="N47" s="845"/>
      <c r="O47" s="48">
        <f>IF(t&lt;Tnet,'2025'!Resal+('2025'!Salim-'2025'!Resal)*(1-EXP(('2025'!Tnet-t)/('2025'!Tau_j))),Resal+(Salim-Resal)*(1-EXP((Tnet-t)/(Tau_j))))*Salcycl</f>
        <v>2.9845207605075731E-2</v>
      </c>
      <c r="P47" s="169">
        <f>(INDEX(Models!$BJ47:$BT47,,T47)*(1-R47)+INDEX(Models!$BJ47:$BT47,,T47+1)*R47-ERP_i)*Q47*Ramure*Pc/MaxiM</f>
        <v>2.3731867578948051E-5</v>
      </c>
      <c r="Q47" s="305">
        <f t="shared" si="4"/>
        <v>0.5</v>
      </c>
      <c r="R47" s="177">
        <f t="shared" si="5"/>
        <v>0.47429290142984604</v>
      </c>
      <c r="S47" s="811">
        <f t="shared" si="6"/>
        <v>-2</v>
      </c>
      <c r="T47" s="176">
        <f t="shared" si="7"/>
        <v>4</v>
      </c>
      <c r="U47" s="251">
        <f t="shared" si="8"/>
        <v>-1.525707098570154</v>
      </c>
      <c r="V47" s="383">
        <f t="shared" si="9"/>
        <v>31.49264232180958</v>
      </c>
      <c r="W47" s="402">
        <f t="shared" si="10"/>
        <v>5.3655478191540427</v>
      </c>
      <c r="X47" s="157">
        <f t="shared" si="11"/>
        <v>46055</v>
      </c>
      <c r="Y47" s="385">
        <f t="shared" si="12"/>
        <v>5.1460314031389585</v>
      </c>
      <c r="Z47" s="385">
        <f t="shared" si="22"/>
        <v>5.4710254270921261</v>
      </c>
      <c r="AA47" s="386">
        <f t="shared" si="13"/>
        <v>5.8798918419688047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6.9536383638610422E-2</v>
      </c>
      <c r="AD47" s="231">
        <f>(INDEX(Models!$BJ47:$BT47,,AH47)*(1-AF47)+INDEX(Models!$BJ47:$BT47,,AH47+1)*AF47-ERP_i)*AE47*Ramure*Pc/MaxiM</f>
        <v>4.5807126045487885E-4</v>
      </c>
      <c r="AE47" s="305">
        <f t="shared" si="15"/>
        <v>0.5</v>
      </c>
      <c r="AF47" s="177">
        <f t="shared" si="23"/>
        <v>0.99928046780382496</v>
      </c>
      <c r="AG47" s="811">
        <f t="shared" si="24"/>
        <v>1</v>
      </c>
      <c r="AH47" s="176">
        <f t="shared" si="16"/>
        <v>7</v>
      </c>
      <c r="AI47" s="225">
        <f t="shared" si="17"/>
        <v>1.999280467803825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10.113227608416073</v>
      </c>
      <c r="C48" s="841"/>
      <c r="D48" s="393">
        <f t="shared" si="0"/>
        <v>10.752156943969192</v>
      </c>
      <c r="E48" s="385">
        <f t="shared" si="1"/>
        <v>11.083812991031294</v>
      </c>
      <c r="F48" s="385">
        <f t="shared" si="2"/>
        <v>11.083819534972276</v>
      </c>
      <c r="G48" s="110">
        <f t="shared" si="21"/>
        <v>0.31794846936673088</v>
      </c>
      <c r="H48" s="414" t="b">
        <f>Wh_hp&gt;='2025'!Maxi_hp</f>
        <v>0</v>
      </c>
      <c r="I48" s="390">
        <f>IF(H48,Wh_hp,'2025'!Maxi_hp)</f>
        <v>27.40840746637317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5.9423363970844023E-2</v>
      </c>
      <c r="M48" s="845"/>
      <c r="N48" s="845"/>
      <c r="O48" s="48">
        <f>IF(t&lt;Tnet,'2025'!Resal+('2025'!Salim-'2025'!Resal)*(1-EXP(('2025'!Tnet-t)/('2025'!Tau_j))),Resal+(Salim-Resal)*(1-EXP((Tnet-t)/(Tau_j))))*Salcycl</f>
        <v>2.9922558900124806E-2</v>
      </c>
      <c r="P48" s="169">
        <f>(INDEX(Models!$BJ48:$BT48,,T48)*(1-R48)+INDEX(Models!$BJ48:$BT48,,T48+1)*R48-ERP_i)*Q48*Ramure*Pc/MaxiM</f>
        <v>2.3016964368757347E-5</v>
      </c>
      <c r="Q48" s="305">
        <f t="shared" si="4"/>
        <v>0.5</v>
      </c>
      <c r="R48" s="177">
        <f t="shared" si="5"/>
        <v>0.4744008878044792</v>
      </c>
      <c r="S48" s="811">
        <f t="shared" si="6"/>
        <v>-2</v>
      </c>
      <c r="T48" s="176">
        <f t="shared" si="7"/>
        <v>4</v>
      </c>
      <c r="U48" s="251">
        <f t="shared" si="8"/>
        <v>-1.5255991121955208</v>
      </c>
      <c r="V48" s="383">
        <f t="shared" si="9"/>
        <v>31.807043523511386</v>
      </c>
      <c r="W48" s="402">
        <f t="shared" si="10"/>
        <v>10.113227608416073</v>
      </c>
      <c r="X48" s="157">
        <f t="shared" si="11"/>
        <v>46056</v>
      </c>
      <c r="Y48" s="385">
        <f t="shared" si="12"/>
        <v>9.6997586145737156</v>
      </c>
      <c r="Z48" s="385">
        <f t="shared" si="22"/>
        <v>10.312565976041364</v>
      </c>
      <c r="AA48" s="386">
        <f t="shared" si="13"/>
        <v>11.083694164130081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6.9573210580304704E-2</v>
      </c>
      <c r="AD48" s="231">
        <f>(INDEX(Models!$BJ48:$BT48,,AH48)*(1-AF48)+INDEX(Models!$BJ48:$BT48,,AH48+1)*AF48-ERP_i)*AE48*Ramure*Pc/MaxiM</f>
        <v>4.4096611129876609E-4</v>
      </c>
      <c r="AE48" s="305">
        <f t="shared" si="15"/>
        <v>0.5</v>
      </c>
      <c r="AF48" s="177">
        <f t="shared" si="23"/>
        <v>0.99938845417845812</v>
      </c>
      <c r="AG48" s="811">
        <f t="shared" si="24"/>
        <v>1</v>
      </c>
      <c r="AH48" s="176">
        <f t="shared" si="16"/>
        <v>7</v>
      </c>
      <c r="AI48" s="225">
        <f t="shared" si="17"/>
        <v>1.9993884541784581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10.013951264628373</v>
      </c>
      <c r="C49" s="841"/>
      <c r="D49" s="393">
        <f t="shared" si="0"/>
        <v>10.646841753312273</v>
      </c>
      <c r="E49" s="385">
        <f t="shared" si="1"/>
        <v>10.976124071655617</v>
      </c>
      <c r="F49" s="385">
        <f t="shared" si="2"/>
        <v>10.976128210166586</v>
      </c>
      <c r="G49" s="110">
        <f t="shared" si="21"/>
        <v>0.31176751737911024</v>
      </c>
      <c r="H49" s="414" t="b">
        <f>Wh_hp&gt;='2025'!Maxi_hp</f>
        <v>0</v>
      </c>
      <c r="I49" s="390">
        <f>IF(H49,Wh_hp,'2025'!Maxi_hp)</f>
        <v>27.911356460515268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5.9443965013099342E-2</v>
      </c>
      <c r="M49" s="845"/>
      <c r="N49" s="845"/>
      <c r="O49" s="48">
        <f>IF(t&lt;Tnet,'2025'!Resal+('2025'!Salim-'2025'!Resal)*(1-EXP(('2025'!Tnet-t)/('2025'!Tau_j))),Resal+(Salim-Resal)*(1-EXP((Tnet-t)/(Tau_j))))*Salcycl</f>
        <v>2.9999872103639167E-2</v>
      </c>
      <c r="P49" s="169">
        <f>(INDEX(Models!$BJ49:$BT49,,T49)*(1-R49)+INDEX(Models!$BJ49:$BT49,,T49+1)*R49-ERP_i)*Q49*Ramure*Pc/MaxiM</f>
        <v>2.241581933108022E-5</v>
      </c>
      <c r="Q49" s="305">
        <f t="shared" si="4"/>
        <v>0.5</v>
      </c>
      <c r="R49" s="177">
        <f t="shared" si="5"/>
        <v>0.47451335464384514</v>
      </c>
      <c r="S49" s="811">
        <f t="shared" si="6"/>
        <v>-2</v>
      </c>
      <c r="T49" s="176">
        <f t="shared" si="7"/>
        <v>4</v>
      </c>
      <c r="U49" s="251">
        <f t="shared" si="8"/>
        <v>-1.5254866453561549</v>
      </c>
      <c r="V49" s="383">
        <f t="shared" si="9"/>
        <v>32.119223495536886</v>
      </c>
      <c r="W49" s="402">
        <f t="shared" si="10"/>
        <v>10.013951264628373</v>
      </c>
      <c r="X49" s="157">
        <f t="shared" si="11"/>
        <v>46057</v>
      </c>
      <c r="Y49" s="385">
        <f t="shared" si="12"/>
        <v>9.6049638130582942</v>
      </c>
      <c r="Z49" s="385">
        <f t="shared" si="22"/>
        <v>10.212005936671348</v>
      </c>
      <c r="AA49" s="386">
        <f t="shared" si="13"/>
        <v>10.97604979401199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6.9610093948140467E-2</v>
      </c>
      <c r="AD49" s="231">
        <f>(INDEX(Models!$BJ49:$BT49,,AH49)*(1-AF49)+INDEX(Models!$BJ49:$BT49,,AH49+1)*AF49-ERP_i)*AE49*Ramure*Pc/MaxiM</f>
        <v>4.2473304228373153E-4</v>
      </c>
      <c r="AE49" s="305">
        <f t="shared" si="15"/>
        <v>0.5</v>
      </c>
      <c r="AF49" s="177">
        <f t="shared" si="23"/>
        <v>0.99950092101782406</v>
      </c>
      <c r="AG49" s="811">
        <f t="shared" si="24"/>
        <v>1</v>
      </c>
      <c r="AH49" s="176">
        <f t="shared" si="16"/>
        <v>7</v>
      </c>
      <c r="AI49" s="225">
        <f t="shared" si="17"/>
        <v>1.9995009210178241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9.6886820820460304</v>
      </c>
      <c r="C50" s="841"/>
      <c r="D50" s="393">
        <f t="shared" si="0"/>
        <v>10.301240897180458</v>
      </c>
      <c r="E50" s="385">
        <f t="shared" si="1"/>
        <v>10.620680652898272</v>
      </c>
      <c r="F50" s="385">
        <f t="shared" si="2"/>
        <v>10.620680652898272</v>
      </c>
      <c r="G50" s="110">
        <f t="shared" si="21"/>
        <v>0.29876677017590042</v>
      </c>
      <c r="H50" s="414" t="b">
        <f>Wh_hp&gt;='2025'!Maxi_hp</f>
        <v>0</v>
      </c>
      <c r="I50" s="390">
        <f>IF(H50,Wh_hp,'2025'!Maxi_hp)</f>
        <v>35.533389786711119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5.9464565604139041E-2</v>
      </c>
      <c r="M50" s="845"/>
      <c r="N50" s="845"/>
      <c r="O50" s="48">
        <f>IF(t&lt;Tnet,'2025'!Resal+('2025'!Salim-'2025'!Resal)*(1-EXP(('2025'!Tnet-t)/('2025'!Tau_j))),Resal+(Salim-Resal)*(1-EXP((Tnet-t)/(Tau_j))))*Salcycl</f>
        <v>3.0077145350438827E-2</v>
      </c>
      <c r="P50" s="169">
        <f>(INDEX(Models!$BJ50:$BT50,,T50)*(1-R50)+INDEX(Models!$BJ50:$BT50,,T50+1)*R50-ERP_i)*Q50*Ramure*Pc/MaxiM</f>
        <v>2.1925726650510624E-5</v>
      </c>
      <c r="Q50" s="305">
        <f t="shared" si="4"/>
        <v>0.5</v>
      </c>
      <c r="R50" s="177">
        <f t="shared" si="5"/>
        <v>0.47463048568462596</v>
      </c>
      <c r="S50" s="811">
        <f t="shared" si="6"/>
        <v>-2</v>
      </c>
      <c r="T50" s="176">
        <f t="shared" si="7"/>
        <v>4</v>
      </c>
      <c r="U50" s="251">
        <f t="shared" si="8"/>
        <v>-1.525369514315374</v>
      </c>
      <c r="V50" s="383">
        <f t="shared" si="9"/>
        <v>32.428203594887606</v>
      </c>
      <c r="W50" s="402">
        <f t="shared" si="10"/>
        <v>9.6886820820460304</v>
      </c>
      <c r="X50" s="157">
        <f t="shared" si="11"/>
        <v>46058</v>
      </c>
      <c r="Y50" s="385">
        <f t="shared" si="12"/>
        <v>9.2934135119745971</v>
      </c>
      <c r="Z50" s="385">
        <f t="shared" si="22"/>
        <v>9.8809818026091527</v>
      </c>
      <c r="AA50" s="386">
        <f t="shared" si="13"/>
        <v>10.620680652898272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6.9647028704065583E-2</v>
      </c>
      <c r="AD50" s="231">
        <f>(INDEX(Models!$BJ50:$BT50,,AH50)*(1-AF50)+INDEX(Models!$BJ50:$BT50,,AH50+1)*AF50-ERP_i)*AE50*Ramure*Pc/MaxiM</f>
        <v>4.0935547362954859E-4</v>
      </c>
      <c r="AE50" s="305">
        <f t="shared" si="15"/>
        <v>0.5</v>
      </c>
      <c r="AF50" s="177">
        <f t="shared" si="23"/>
        <v>0.99961805205860488</v>
      </c>
      <c r="AG50" s="811">
        <f t="shared" si="24"/>
        <v>1</v>
      </c>
      <c r="AH50" s="176">
        <f t="shared" si="16"/>
        <v>7</v>
      </c>
      <c r="AI50" s="225">
        <f t="shared" si="17"/>
        <v>1.9996180520586049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22.166008933540695</v>
      </c>
      <c r="C51" s="841"/>
      <c r="D51" s="393">
        <f t="shared" si="0"/>
        <v>23.567952493885556</v>
      </c>
      <c r="E51" s="385">
        <f t="shared" si="1"/>
        <v>24.30072572640946</v>
      </c>
      <c r="F51" s="385">
        <f t="shared" si="2"/>
        <v>24.301007774728351</v>
      </c>
      <c r="G51" s="110">
        <f t="shared" si="21"/>
        <v>0.67712750027093738</v>
      </c>
      <c r="H51" s="414" t="b">
        <f>Wh_hp&gt;='2025'!Maxi_hp</f>
        <v>0</v>
      </c>
      <c r="I51" s="390">
        <f>IF(H51,Wh_hp,'2025'!Maxi_hp)</f>
        <v>37.103452774243969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5.948516574397289E-2</v>
      </c>
      <c r="M51" s="845"/>
      <c r="N51" s="845"/>
      <c r="O51" s="48">
        <f>IF(t&lt;Tnet,'2025'!Resal+('2025'!Salim-'2025'!Resal)*(1-EXP(('2025'!Tnet-t)/('2025'!Tau_j))),Resal+(Salim-Resal)*(1-EXP((Tnet-t)/(Tau_j))))*Salcycl</f>
        <v>3.0154376489568945E-2</v>
      </c>
      <c r="P51" s="169">
        <f>(INDEX(Models!$BJ51:$BT51,,T51)*(1-R51)+INDEX(Models!$BJ51:$BT51,,T51+1)*R51-ERP_i)*Q51*Ramure*Pc/MaxiM</f>
        <v>2.1542758878532525E-5</v>
      </c>
      <c r="Q51" s="305">
        <f t="shared" si="4"/>
        <v>0.5</v>
      </c>
      <c r="R51" s="177">
        <f t="shared" si="5"/>
        <v>0.47475247201421999</v>
      </c>
      <c r="S51" s="811">
        <f t="shared" si="6"/>
        <v>-2</v>
      </c>
      <c r="T51" s="176">
        <f t="shared" si="7"/>
        <v>4</v>
      </c>
      <c r="U51" s="251">
        <f t="shared" si="8"/>
        <v>-1.52524752798578</v>
      </c>
      <c r="V51" s="383">
        <f t="shared" si="9"/>
        <v>32.735029479235394</v>
      </c>
      <c r="W51" s="402">
        <f t="shared" si="10"/>
        <v>22.166008933540695</v>
      </c>
      <c r="X51" s="157">
        <f t="shared" si="11"/>
        <v>46059</v>
      </c>
      <c r="Y51" s="385">
        <f t="shared" si="12"/>
        <v>21.258275753299575</v>
      </c>
      <c r="Z51" s="385">
        <f t="shared" si="22"/>
        <v>22.60280750395123</v>
      </c>
      <c r="AA51" s="386">
        <f t="shared" si="13"/>
        <v>24.295838970105045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6.9684009193385535E-2</v>
      </c>
      <c r="AD51" s="231">
        <f>(INDEX(Models!$BJ51:$BT51,,AH51)*(1-AF51)+INDEX(Models!$BJ51:$BT51,,AH51+1)*AF51-ERP_i)*AE51*Ramure*Pc/MaxiM</f>
        <v>3.9479161630200733E-4</v>
      </c>
      <c r="AE51" s="305">
        <f t="shared" si="15"/>
        <v>0.5</v>
      </c>
      <c r="AF51" s="177">
        <f t="shared" si="23"/>
        <v>0.99974003838819891</v>
      </c>
      <c r="AG51" s="811">
        <f t="shared" si="24"/>
        <v>1</v>
      </c>
      <c r="AH51" s="176">
        <f t="shared" si="16"/>
        <v>7</v>
      </c>
      <c r="AI51" s="225">
        <f t="shared" si="17"/>
        <v>1.9997400383881989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9.5113657070800866</v>
      </c>
      <c r="C52" s="841"/>
      <c r="D52" s="393">
        <f t="shared" si="0"/>
        <v>10.113156846150309</v>
      </c>
      <c r="E52" s="385">
        <f t="shared" si="1"/>
        <v>10.4284244170381</v>
      </c>
      <c r="F52" s="385">
        <f t="shared" si="2"/>
        <v>10.4284244170381</v>
      </c>
      <c r="G52" s="110">
        <f t="shared" si="21"/>
        <v>0.28785481604251251</v>
      </c>
      <c r="H52" s="414" t="b">
        <f>Wh_hp&gt;='2025'!Maxi_hp</f>
        <v>0</v>
      </c>
      <c r="I52" s="390">
        <f>IF(H52,Wh_hp,'2025'!Maxi_hp)</f>
        <v>25.358898167859724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5.9505765432610769E-2</v>
      </c>
      <c r="M52" s="845"/>
      <c r="N52" s="845"/>
      <c r="O52" s="48">
        <f>IF(t&lt;Tnet,'2025'!Resal+('2025'!Salim-'2025'!Resal)*(1-EXP(('2025'!Tnet-t)/('2025'!Tau_j))),Resal+(Salim-Resal)*(1-EXP((Tnet-t)/(Tau_j))))*Salcycl</f>
        <v>3.0231563108680373E-2</v>
      </c>
      <c r="P52" s="169">
        <f>(INDEX(Models!$BJ52:$BT52,,T52)*(1-R52)+INDEX(Models!$BJ52:$BT52,,T52+1)*R52-ERP_i)*Q52*Ramure*Pc/MaxiM</f>
        <v>2.1344983715023255E-5</v>
      </c>
      <c r="Q52" s="305">
        <f t="shared" si="4"/>
        <v>0.5</v>
      </c>
      <c r="R52" s="177">
        <f t="shared" si="5"/>
        <v>0.47487951234912162</v>
      </c>
      <c r="S52" s="811">
        <f t="shared" si="6"/>
        <v>-2</v>
      </c>
      <c r="T52" s="176">
        <f t="shared" si="7"/>
        <v>4</v>
      </c>
      <c r="U52" s="251">
        <f t="shared" si="8"/>
        <v>-1.5251204876508784</v>
      </c>
      <c r="V52" s="383">
        <f t="shared" si="9"/>
        <v>33.041527037467688</v>
      </c>
      <c r="W52" s="402">
        <f t="shared" si="10"/>
        <v>9.5113657070800866</v>
      </c>
      <c r="X52" s="157">
        <f t="shared" si="11"/>
        <v>46060</v>
      </c>
      <c r="Y52" s="385">
        <f t="shared" si="12"/>
        <v>9.1240580371764146</v>
      </c>
      <c r="Z52" s="385">
        <f t="shared" si="22"/>
        <v>9.701343933674746</v>
      </c>
      <c r="AA52" s="386">
        <f t="shared" si="13"/>
        <v>10.4284244170381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6.9721029207004612E-2</v>
      </c>
      <c r="AD52" s="231">
        <f>(INDEX(Models!$BJ52:$BT52,,AH52)*(1-AF52)+INDEX(Models!$BJ52:$BT52,,AH52+1)*AF52-ERP_i)*AE52*Ramure*Pc/MaxiM</f>
        <v>3.8184718357703177E-4</v>
      </c>
      <c r="AE52" s="305">
        <f t="shared" si="15"/>
        <v>0.5</v>
      </c>
      <c r="AF52" s="177">
        <f t="shared" si="23"/>
        <v>0.99986707872310054</v>
      </c>
      <c r="AG52" s="811">
        <f t="shared" si="24"/>
        <v>1</v>
      </c>
      <c r="AH52" s="176">
        <f t="shared" si="16"/>
        <v>7</v>
      </c>
      <c r="AI52" s="225">
        <f t="shared" si="17"/>
        <v>1.9998670787231005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33.337805072604958</v>
      </c>
      <c r="C53" s="841"/>
      <c r="D53" s="393">
        <f t="shared" si="0"/>
        <v>35.447889042534804</v>
      </c>
      <c r="E53" s="385">
        <f t="shared" si="1"/>
        <v>36.555849409213749</v>
      </c>
      <c r="F53" s="385">
        <f t="shared" si="2"/>
        <v>36.556627398882846</v>
      </c>
      <c r="G53" s="110">
        <f t="shared" si="21"/>
        <v>0.999697469698135</v>
      </c>
      <c r="H53" s="414" t="b">
        <f>Wh_hp&gt;='2025'!Maxi_hp</f>
        <v>1</v>
      </c>
      <c r="I53" s="390">
        <f>IF(H53,Wh_hp,'2025'!Maxi_hp)</f>
        <v>36.556627398882846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5.952636467006267E-2</v>
      </c>
      <c r="M53" s="845"/>
      <c r="N53" s="845"/>
      <c r="O53" s="48">
        <f>IF(t&lt;Tnet,'2025'!Resal+('2025'!Salim-'2025'!Resal)*(1-EXP(('2025'!Tnet-t)/('2025'!Tau_j))),Resal+(Salim-Resal)*(1-EXP((Tnet-t)/(Tau_j))))*Salcycl</f>
        <v>3.0308702562925324E-2</v>
      </c>
      <c r="P53" s="169">
        <f>(INDEX(Models!$BJ53:$BT53,,T53)*(1-R53)+INDEX(Models!$BJ53:$BT53,,T53+1)*R53-ERP_i)*Q53*Ramure*Pc/MaxiM</f>
        <v>2.1290969544612226E-5</v>
      </c>
      <c r="Q53" s="305">
        <f t="shared" si="4"/>
        <v>0.5</v>
      </c>
      <c r="R53" s="177">
        <f t="shared" si="5"/>
        <v>0.47501181332248787</v>
      </c>
      <c r="S53" s="811">
        <f t="shared" si="6"/>
        <v>-2</v>
      </c>
      <c r="T53" s="176">
        <f t="shared" si="7"/>
        <v>4</v>
      </c>
      <c r="U53" s="251">
        <f t="shared" si="8"/>
        <v>-1.5249881866775121</v>
      </c>
      <c r="V53" s="383">
        <f t="shared" si="9"/>
        <v>33.347893514135933</v>
      </c>
      <c r="W53" s="402">
        <f t="shared" si="10"/>
        <v>33.337805072604958</v>
      </c>
      <c r="X53" s="157">
        <f t="shared" si="11"/>
        <v>46061</v>
      </c>
      <c r="Y53" s="385">
        <f t="shared" si="12"/>
        <v>31.970381170320078</v>
      </c>
      <c r="Z53" s="385">
        <f t="shared" si="22"/>
        <v>33.993915373400355</v>
      </c>
      <c r="AA53" s="386">
        <f t="shared" si="13"/>
        <v>36.543091337394415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6.9758082053268902E-2</v>
      </c>
      <c r="AD53" s="231">
        <f>(INDEX(Models!$BJ53:$BT53,,AH53)*(1-AF53)+INDEX(Models!$BJ53:$BT53,,AH53+1)*AF53-ERP_i)*AE53*Ramure*Pc/MaxiM</f>
        <v>3.7043663219534168E-4</v>
      </c>
      <c r="AE53" s="305">
        <f t="shared" si="15"/>
        <v>0.5</v>
      </c>
      <c r="AF53" s="177">
        <f t="shared" si="23"/>
        <v>0.99999937969646679</v>
      </c>
      <c r="AG53" s="811">
        <f t="shared" si="24"/>
        <v>1</v>
      </c>
      <c r="AH53" s="176">
        <f t="shared" si="16"/>
        <v>7</v>
      </c>
      <c r="AI53" s="225">
        <f t="shared" si="17"/>
        <v>1.9999993796964668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33.556801792721124</v>
      </c>
      <c r="C54" s="841"/>
      <c r="D54" s="393">
        <f t="shared" si="0"/>
        <v>35.68152846424799</v>
      </c>
      <c r="E54" s="385">
        <f t="shared" si="1"/>
        <v>36.799717011307493</v>
      </c>
      <c r="F54" s="385">
        <f t="shared" si="2"/>
        <v>36.800500431009468</v>
      </c>
      <c r="G54" s="110">
        <f t="shared" si="21"/>
        <v>0.99710212429202216</v>
      </c>
      <c r="H54" s="414" t="b">
        <f>Wh_hp&gt;='2025'!Maxi_hp</f>
        <v>1</v>
      </c>
      <c r="I54" s="390">
        <f>IF(H54,Wh_hp,'2025'!Maxi_hp)</f>
        <v>36.800500431009468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5.9546963456338253E-2</v>
      </c>
      <c r="M54" s="845"/>
      <c r="N54" s="845"/>
      <c r="O54" s="48">
        <f>IF(t&lt;Tnet,'2025'!Resal+('2025'!Salim-'2025'!Resal)*(1-EXP(('2025'!Tnet-t)/('2025'!Tau_j))),Resal+(Salim-Resal)*(1-EXP((Tnet-t)/(Tau_j))))*Salcycl</f>
        <v>3.0385792008017675E-2</v>
      </c>
      <c r="P54" s="169">
        <f>(INDEX(Models!$BJ54:$BT54,,T54)*(1-R54)+INDEX(Models!$BJ54:$BT54,,T54+1)*R54-ERP_i)*Q54*Ramure*Pc/MaxiM</f>
        <v>2.1376782755959883E-5</v>
      </c>
      <c r="Q54" s="305">
        <f t="shared" si="4"/>
        <v>0.5</v>
      </c>
      <c r="R54" s="177">
        <f t="shared" si="5"/>
        <v>0.47514958978107891</v>
      </c>
      <c r="S54" s="811">
        <f t="shared" si="6"/>
        <v>-2</v>
      </c>
      <c r="T54" s="176">
        <f t="shared" si="7"/>
        <v>4</v>
      </c>
      <c r="U54" s="251">
        <f t="shared" si="8"/>
        <v>-1.5248504102189211</v>
      </c>
      <c r="V54" s="383">
        <f t="shared" si="9"/>
        <v>33.654324873622414</v>
      </c>
      <c r="W54" s="402">
        <f t="shared" si="10"/>
        <v>33.556801792721124</v>
      </c>
      <c r="X54" s="157">
        <f t="shared" si="11"/>
        <v>46062</v>
      </c>
      <c r="Y54" s="385">
        <f t="shared" si="12"/>
        <v>32.182033178866085</v>
      </c>
      <c r="Z54" s="385">
        <f t="shared" si="22"/>
        <v>34.219713189656964</v>
      </c>
      <c r="AA54" s="386">
        <f t="shared" si="13"/>
        <v>36.787287854946896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6.9795160638477488E-2</v>
      </c>
      <c r="AD54" s="231">
        <f>(INDEX(Models!$BJ54:$BT54,,AH54)*(1-AF54)+INDEX(Models!$BJ54:$BT54,,AH54+1)*AF54-ERP_i)*AE54*Ramure*Pc/MaxiM</f>
        <v>3.6052497457413741E-4</v>
      </c>
      <c r="AE54" s="305">
        <f t="shared" si="15"/>
        <v>0.5</v>
      </c>
      <c r="AF54" s="177">
        <f t="shared" si="23"/>
        <v>1.3715615505782708E-4</v>
      </c>
      <c r="AG54" s="811">
        <f t="shared" si="24"/>
        <v>2</v>
      </c>
      <c r="AH54" s="176">
        <f t="shared" si="16"/>
        <v>8</v>
      </c>
      <c r="AI54" s="225">
        <f t="shared" si="17"/>
        <v>2.0001371561550578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31.194991784802848</v>
      </c>
      <c r="C55" s="841"/>
      <c r="D55" s="393">
        <f t="shared" si="0"/>
        <v>33.170901510189061</v>
      </c>
      <c r="E55" s="385">
        <f t="shared" si="1"/>
        <v>34.213130226576382</v>
      </c>
      <c r="F55" s="385">
        <f t="shared" si="2"/>
        <v>34.21378321648077</v>
      </c>
      <c r="G55" s="110">
        <f t="shared" si="21"/>
        <v>0.91855062466365123</v>
      </c>
      <c r="H55" s="414" t="b">
        <f>Wh_hp&gt;='2025'!Maxi_hp</f>
        <v>1</v>
      </c>
      <c r="I55" s="390">
        <f>IF(H55,Wh_hp,'2025'!Maxi_hp)</f>
        <v>34.21378321648077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5.9567561791447732E-2</v>
      </c>
      <c r="M55" s="845"/>
      <c r="N55" s="845"/>
      <c r="O55" s="48">
        <f>IF(t&lt;Tnet,'2025'!Resal+('2025'!Salim-'2025'!Resal)*(1-EXP(('2025'!Tnet-t)/('2025'!Tau_j))),Resal+(Salim-Resal)*(1-EXP((Tnet-t)/(Tau_j))))*Salcycl</f>
        <v>3.0462828437069871E-2</v>
      </c>
      <c r="P55" s="169">
        <f>(INDEX(Models!$BJ55:$BT55,,T55)*(1-R55)+INDEX(Models!$BJ55:$BT55,,T55+1)*R55-ERP_i)*Q55*Ramure*Pc/MaxiM</f>
        <v>2.1598646523110129E-5</v>
      </c>
      <c r="Q55" s="305">
        <f t="shared" si="4"/>
        <v>0.5</v>
      </c>
      <c r="R55" s="177">
        <f t="shared" si="5"/>
        <v>0.47529306509174152</v>
      </c>
      <c r="S55" s="811">
        <f t="shared" si="6"/>
        <v>-2</v>
      </c>
      <c r="T55" s="176">
        <f t="shared" si="7"/>
        <v>4</v>
      </c>
      <c r="U55" s="251">
        <f t="shared" si="8"/>
        <v>-1.5247069349082585</v>
      </c>
      <c r="V55" s="383">
        <f t="shared" si="9"/>
        <v>33.961017009429206</v>
      </c>
      <c r="W55" s="402">
        <f t="shared" si="10"/>
        <v>31.194991784802848</v>
      </c>
      <c r="X55" s="157">
        <f t="shared" si="11"/>
        <v>46063</v>
      </c>
      <c r="Y55" s="385">
        <f t="shared" si="12"/>
        <v>29.919535418411911</v>
      </c>
      <c r="Z55" s="385">
        <f t="shared" si="22"/>
        <v>31.814656962924637</v>
      </c>
      <c r="AA55" s="386">
        <f t="shared" si="13"/>
        <v>34.203139402899417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6.9832257555056787E-2</v>
      </c>
      <c r="AD55" s="231">
        <f>(INDEX(Models!$BJ55:$BT55,,AH55)*(1-AF55)+INDEX(Models!$BJ55:$BT55,,AH55+1)*AF55-ERP_i)*AE55*Ramure*Pc/MaxiM</f>
        <v>3.520605229217677E-4</v>
      </c>
      <c r="AE55" s="305">
        <f t="shared" si="15"/>
        <v>0.5</v>
      </c>
      <c r="AF55" s="177">
        <f t="shared" si="23"/>
        <v>2.806314657202158E-4</v>
      </c>
      <c r="AG55" s="811">
        <f t="shared" si="24"/>
        <v>2</v>
      </c>
      <c r="AH55" s="176">
        <f t="shared" si="16"/>
        <v>8</v>
      </c>
      <c r="AI55" s="225">
        <f t="shared" si="17"/>
        <v>2.0002806314657202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17.414216171016143</v>
      </c>
      <c r="C56" s="841"/>
      <c r="D56" s="393">
        <f t="shared" si="0"/>
        <v>18.517648783542885</v>
      </c>
      <c r="E56" s="385">
        <f t="shared" si="1"/>
        <v>19.100989344501706</v>
      </c>
      <c r="F56" s="385">
        <f t="shared" si="2"/>
        <v>19.101114048711842</v>
      </c>
      <c r="G56" s="110">
        <f t="shared" si="21"/>
        <v>0.50816690036969803</v>
      </c>
      <c r="H56" s="414" t="b">
        <f>Wh_hp&gt;='2025'!Maxi_hp</f>
        <v>0</v>
      </c>
      <c r="I56" s="390">
        <f>IF(H56,Wh_hp,'2025'!Maxi_hp)</f>
        <v>30.625815125737557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5.9588159675400654E-2</v>
      </c>
      <c r="M56" s="845"/>
      <c r="N56" s="845"/>
      <c r="O56" s="48">
        <f>IF(t&lt;Tnet,'2025'!Resal+('2025'!Salim-'2025'!Resal)*(1-EXP(('2025'!Tnet-t)/('2025'!Tau_j))),Resal+(Salim-Resal)*(1-EXP((Tnet-t)/(Tau_j))))*Salcycl</f>
        <v>3.0539808720784354E-2</v>
      </c>
      <c r="P56" s="169">
        <f>(INDEX(Models!$BJ56:$BT56,,T56)*(1-R56)+INDEX(Models!$BJ56:$BT56,,T56+1)*R56-ERP_i)*Q56*Ramure*Pc/MaxiM</f>
        <v>2.1952926844126021E-5</v>
      </c>
      <c r="Q56" s="305">
        <f t="shared" si="4"/>
        <v>0.5</v>
      </c>
      <c r="R56" s="177">
        <f t="shared" si="5"/>
        <v>0.47544247145760266</v>
      </c>
      <c r="S56" s="811">
        <f t="shared" si="6"/>
        <v>-2</v>
      </c>
      <c r="T56" s="176">
        <f t="shared" si="7"/>
        <v>4</v>
      </c>
      <c r="U56" s="251">
        <f t="shared" si="8"/>
        <v>-1.5245575285423973</v>
      </c>
      <c r="V56" s="383">
        <f t="shared" si="9"/>
        <v>34.268165743673727</v>
      </c>
      <c r="W56" s="402">
        <f t="shared" si="10"/>
        <v>17.414216171016143</v>
      </c>
      <c r="X56" s="157">
        <f t="shared" si="11"/>
        <v>46064</v>
      </c>
      <c r="Y56" s="385">
        <f t="shared" si="12"/>
        <v>16.706142185104735</v>
      </c>
      <c r="Z56" s="385">
        <f t="shared" si="22"/>
        <v>17.764708470002166</v>
      </c>
      <c r="AA56" s="386">
        <f t="shared" si="13"/>
        <v>19.099154253068967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6.9869365176333562E-2</v>
      </c>
      <c r="AD56" s="231">
        <f>(INDEX(Models!$BJ56:$BT56,,AH56)*(1-AF56)+INDEX(Models!$BJ56:$BT56,,AH56+1)*AF56-ERP_i)*AE56*Ramure*Pc/MaxiM</f>
        <v>3.4500238869753441E-4</v>
      </c>
      <c r="AE56" s="305">
        <f t="shared" si="15"/>
        <v>0.5</v>
      </c>
      <c r="AF56" s="177">
        <f t="shared" si="23"/>
        <v>4.300378315815756E-4</v>
      </c>
      <c r="AG56" s="811">
        <f t="shared" si="24"/>
        <v>2</v>
      </c>
      <c r="AH56" s="176">
        <f t="shared" si="16"/>
        <v>8</v>
      </c>
      <c r="AI56" s="225">
        <f t="shared" si="17"/>
        <v>2.0004300378315816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26.456602677012572</v>
      </c>
      <c r="C57" s="841"/>
      <c r="D57" s="393">
        <f t="shared" si="0"/>
        <v>28.133612341663234</v>
      </c>
      <c r="E57" s="385">
        <f t="shared" si="1"/>
        <v>29.02217647259523</v>
      </c>
      <c r="F57" s="385">
        <f t="shared" si="2"/>
        <v>29.022609186484463</v>
      </c>
      <c r="G57" s="110">
        <f t="shared" si="21"/>
        <v>0.76516742627003076</v>
      </c>
      <c r="H57" s="414" t="b">
        <f>Wh_hp&gt;='2025'!Maxi_hp</f>
        <v>0</v>
      </c>
      <c r="I57" s="390">
        <f>IF(H57,Wh_hp,'2025'!Maxi_hp)</f>
        <v>38.463815462769276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5.9608757108207122E-2</v>
      </c>
      <c r="M57" s="845"/>
      <c r="N57" s="845"/>
      <c r="O57" s="48">
        <f>IF(t&lt;Tnet,'2025'!Resal+('2025'!Salim-'2025'!Resal)*(1-EXP(('2025'!Tnet-t)/('2025'!Tau_j))),Resal+(Salim-Resal)*(1-EXP((Tnet-t)/(Tau_j))))*Salcycl</f>
        <v>3.06167296505498E-2</v>
      </c>
      <c r="P57" s="169">
        <f>(INDEX(Models!$BJ57:$BT57,,T57)*(1-R57)+INDEX(Models!$BJ57:$BT57,,T57+1)*R57-ERP_i)*Q57*Ramure*Pc/MaxiM</f>
        <v>2.2436119754348707E-5</v>
      </c>
      <c r="Q57" s="305">
        <f t="shared" si="4"/>
        <v>0.5</v>
      </c>
      <c r="R57" s="177">
        <f t="shared" si="5"/>
        <v>0.47559805024412549</v>
      </c>
      <c r="S57" s="811">
        <f t="shared" si="6"/>
        <v>-2</v>
      </c>
      <c r="T57" s="176">
        <f t="shared" si="7"/>
        <v>4</v>
      </c>
      <c r="U57" s="251">
        <f t="shared" si="8"/>
        <v>-1.5244019497558745</v>
      </c>
      <c r="V57" s="383">
        <f t="shared" si="9"/>
        <v>34.57596682520245</v>
      </c>
      <c r="W57" s="402">
        <f t="shared" si="10"/>
        <v>26.456602677012572</v>
      </c>
      <c r="X57" s="157">
        <f t="shared" si="11"/>
        <v>46065</v>
      </c>
      <c r="Y57" s="385">
        <f t="shared" si="12"/>
        <v>25.378953689945991</v>
      </c>
      <c r="Z57" s="385">
        <f t="shared" si="22"/>
        <v>26.987654214966192</v>
      </c>
      <c r="AA57" s="386">
        <f t="shared" si="13"/>
        <v>29.016065063914304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6.9906475756795039E-2</v>
      </c>
      <c r="AD57" s="231">
        <f>(INDEX(Models!$BJ57:$BT57,,AH57)*(1-AF57)+INDEX(Models!$BJ57:$BT57,,AH57+1)*AF57-ERP_i)*AE57*Ramure*Pc/MaxiM</f>
        <v>3.3931131245168618E-4</v>
      </c>
      <c r="AE57" s="305">
        <f t="shared" si="15"/>
        <v>0.5</v>
      </c>
      <c r="AF57" s="177">
        <f t="shared" si="23"/>
        <v>5.8561661810463406E-4</v>
      </c>
      <c r="AG57" s="811">
        <f t="shared" si="24"/>
        <v>2</v>
      </c>
      <c r="AH57" s="176">
        <f t="shared" si="16"/>
        <v>8</v>
      </c>
      <c r="AI57" s="225">
        <f t="shared" si="17"/>
        <v>2.0005856166181046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31.274378306830265</v>
      </c>
      <c r="C58" s="841"/>
      <c r="D58" s="393">
        <f t="shared" si="0"/>
        <v>33.257501648790672</v>
      </c>
      <c r="E58" s="385">
        <f t="shared" si="1"/>
        <v>34.310617609161788</v>
      </c>
      <c r="F58" s="385">
        <f t="shared" si="2"/>
        <v>34.31128850186191</v>
      </c>
      <c r="G58" s="110">
        <f t="shared" si="21"/>
        <v>0.89650604630857866</v>
      </c>
      <c r="H58" s="414" t="b">
        <f>Wh_hp&gt;='2025'!Maxi_hp</f>
        <v>0</v>
      </c>
      <c r="I58" s="390">
        <f>IF(H58,Wh_hp,'2025'!Maxi_hp)</f>
        <v>39.79279391744533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5.9629354089877018E-2</v>
      </c>
      <c r="M58" s="845"/>
      <c r="N58" s="845"/>
      <c r="O58" s="48">
        <f>IF(t&lt;Tnet,'2025'!Resal+('2025'!Salim-'2025'!Resal)*(1-EXP(('2025'!Tnet-t)/('2025'!Tau_j))),Resal+(Salim-Resal)*(1-EXP((Tnet-t)/(Tau_j))))*Salcycl</f>
        <v>3.0693587983968842E-2</v>
      </c>
      <c r="P58" s="169">
        <f>(INDEX(Models!$BJ58:$BT58,,T58)*(1-R58)+INDEX(Models!$BJ58:$BT58,,T58+1)*R58-ERP_i)*Q58*Ramure*Pc/MaxiM</f>
        <v>2.2945472987219637E-5</v>
      </c>
      <c r="Q58" s="305">
        <f t="shared" si="4"/>
        <v>0.5</v>
      </c>
      <c r="R58" s="177">
        <f t="shared" si="5"/>
        <v>0.47576005231516461</v>
      </c>
      <c r="S58" s="811">
        <f t="shared" si="6"/>
        <v>-2</v>
      </c>
      <c r="T58" s="176">
        <f t="shared" si="7"/>
        <v>4</v>
      </c>
      <c r="U58" s="251">
        <f t="shared" si="8"/>
        <v>-1.5242399476848354</v>
      </c>
      <c r="V58" s="383">
        <f t="shared" si="9"/>
        <v>34.884619395219097</v>
      </c>
      <c r="W58" s="402">
        <f t="shared" si="10"/>
        <v>31.274378306830265</v>
      </c>
      <c r="X58" s="157">
        <f t="shared" si="11"/>
        <v>46066</v>
      </c>
      <c r="Y58" s="385">
        <f t="shared" si="12"/>
        <v>29.999971665575703</v>
      </c>
      <c r="Z58" s="385">
        <f t="shared" si="22"/>
        <v>31.902284270624698</v>
      </c>
      <c r="AA58" s="386">
        <f t="shared" si="13"/>
        <v>34.301450575799926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6.9943581536690697E-2</v>
      </c>
      <c r="AD58" s="231">
        <f>(INDEX(Models!$BJ58:$BT58,,AH58)*(1-AF58)+INDEX(Models!$BJ58:$BT58,,AH58+1)*AF58-ERP_i)*AE58*Ramure*Pc/MaxiM</f>
        <v>3.3647089417625789E-4</v>
      </c>
      <c r="AE58" s="305">
        <f t="shared" si="15"/>
        <v>0.5</v>
      </c>
      <c r="AF58" s="177">
        <f t="shared" si="23"/>
        <v>7.4761868914352547E-4</v>
      </c>
      <c r="AG58" s="811">
        <f t="shared" si="24"/>
        <v>2</v>
      </c>
      <c r="AH58" s="176">
        <f t="shared" si="16"/>
        <v>8</v>
      </c>
      <c r="AI58" s="225">
        <f t="shared" si="17"/>
        <v>2.0007476186891435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15.317340593596308</v>
      </c>
      <c r="C59" s="841"/>
      <c r="D59" s="393">
        <f t="shared" si="0"/>
        <v>16.288977284259534</v>
      </c>
      <c r="E59" s="385">
        <f t="shared" si="1"/>
        <v>16.806107610014664</v>
      </c>
      <c r="F59" s="385">
        <f t="shared" si="2"/>
        <v>16.806183659984743</v>
      </c>
      <c r="G59" s="110">
        <f t="shared" si="21"/>
        <v>0.43521371236083756</v>
      </c>
      <c r="H59" s="414" t="b">
        <f>Wh_hp&gt;='2025'!Maxi_hp</f>
        <v>0</v>
      </c>
      <c r="I59" s="390">
        <f>IF(H59,Wh_hp,'2025'!Maxi_hp)</f>
        <v>40.073233720515397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5.9649950620420111E-2</v>
      </c>
      <c r="M59" s="845"/>
      <c r="N59" s="845"/>
      <c r="O59" s="48">
        <f>IF(t&lt;Tnet,'2025'!Resal+('2025'!Salim-'2025'!Resal)*(1-EXP(('2025'!Tnet-t)/('2025'!Tau_j))),Resal+(Salim-Resal)*(1-EXP((Tnet-t)/(Tau_j))))*Salcycl</f>
        <v>3.0770380492326155E-2</v>
      </c>
      <c r="P59" s="169">
        <f>(INDEX(Models!$BJ59:$BT59,,T59)*(1-R59)+INDEX(Models!$BJ59:$BT59,,T59+1)*R59-ERP_i)*Q59*Ramure*Pc/MaxiM</f>
        <v>2.3425066158064002E-5</v>
      </c>
      <c r="Q59" s="305">
        <f t="shared" si="4"/>
        <v>0.5</v>
      </c>
      <c r="R59" s="177">
        <f t="shared" si="5"/>
        <v>0.4759287383791464</v>
      </c>
      <c r="S59" s="811">
        <f t="shared" si="6"/>
        <v>-2</v>
      </c>
      <c r="T59" s="176">
        <f t="shared" si="7"/>
        <v>4</v>
      </c>
      <c r="U59" s="251">
        <f t="shared" si="8"/>
        <v>-1.5240712616208536</v>
      </c>
      <c r="V59" s="383">
        <f t="shared" si="9"/>
        <v>35.194320997517401</v>
      </c>
      <c r="W59" s="402">
        <f t="shared" si="10"/>
        <v>15.317340593596308</v>
      </c>
      <c r="X59" s="157">
        <f t="shared" si="11"/>
        <v>46067</v>
      </c>
      <c r="Y59" s="385">
        <f t="shared" si="12"/>
        <v>14.69678841922857</v>
      </c>
      <c r="Z59" s="385">
        <f t="shared" si="22"/>
        <v>15.629061144756841</v>
      </c>
      <c r="AA59" s="386">
        <f t="shared" si="13"/>
        <v>16.805092885820237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6.9980674849807259E-2</v>
      </c>
      <c r="AD59" s="231">
        <f>(INDEX(Models!$BJ59:$BT59,,AH59)*(1-AF59)+INDEX(Models!$BJ59:$BT59,,AH59+1)*AF59-ERP_i)*AE59*Ramure*Pc/MaxiM</f>
        <v>3.3598247231259948E-4</v>
      </c>
      <c r="AE59" s="305">
        <f t="shared" si="15"/>
        <v>0.5</v>
      </c>
      <c r="AF59" s="177">
        <f t="shared" si="23"/>
        <v>9.1630475312509674E-4</v>
      </c>
      <c r="AG59" s="811">
        <f t="shared" si="24"/>
        <v>2</v>
      </c>
      <c r="AH59" s="176">
        <f t="shared" si="16"/>
        <v>8</v>
      </c>
      <c r="AI59" s="225">
        <f t="shared" si="17"/>
        <v>2.0009163047531251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19.257985306790591</v>
      </c>
      <c r="C60" s="841"/>
      <c r="D60" s="393">
        <f t="shared" si="0"/>
        <v>20.480040521120877</v>
      </c>
      <c r="E60" s="385">
        <f t="shared" si="1"/>
        <v>21.131898388633111</v>
      </c>
      <c r="F60" s="385">
        <f t="shared" si="2"/>
        <v>21.132073102018463</v>
      </c>
      <c r="G60" s="110">
        <f t="shared" si="21"/>
        <v>0.54238951764137755</v>
      </c>
      <c r="H60" s="414" t="b">
        <f>Wh_hp&gt;='2025'!Maxi_hp</f>
        <v>0</v>
      </c>
      <c r="I60" s="390">
        <f>IF(H60,Wh_hp,'2025'!Maxi_hp)</f>
        <v>40.326165520091415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5.9670546699846283E-2</v>
      </c>
      <c r="M60" s="845"/>
      <c r="N60" s="845"/>
      <c r="O60" s="48">
        <f>IF(t&lt;Tnet,'2025'!Resal+('2025'!Salim-'2025'!Resal)*(1-EXP(('2025'!Tnet-t)/('2025'!Tau_j))),Resal+(Salim-Resal)*(1-EXP((Tnet-t)/(Tau_j))))*Salcycl</f>
        <v>3.0847104009494364E-2</v>
      </c>
      <c r="P60" s="169">
        <f>(INDEX(Models!$BJ60:$BT60,,T60)*(1-R60)+INDEX(Models!$BJ60:$BT60,,T60+1)*R60-ERP_i)*Q60*Ramure*Pc/MaxiM</f>
        <v>2.3875535011230506E-5</v>
      </c>
      <c r="Q60" s="305">
        <f t="shared" si="4"/>
        <v>0.5</v>
      </c>
      <c r="R60" s="177">
        <f t="shared" si="5"/>
        <v>0.47610437934547689</v>
      </c>
      <c r="S60" s="811">
        <f t="shared" si="6"/>
        <v>-2</v>
      </c>
      <c r="T60" s="176">
        <f t="shared" si="7"/>
        <v>4</v>
      </c>
      <c r="U60" s="251">
        <f t="shared" si="8"/>
        <v>-1.5238956206545231</v>
      </c>
      <c r="V60" s="383">
        <f t="shared" si="9"/>
        <v>35.505267159953469</v>
      </c>
      <c r="W60" s="402">
        <f t="shared" si="10"/>
        <v>19.257985306790591</v>
      </c>
      <c r="X60" s="157">
        <f t="shared" si="11"/>
        <v>46068</v>
      </c>
      <c r="Y60" s="385">
        <f t="shared" si="12"/>
        <v>18.477618765480219</v>
      </c>
      <c r="Z60" s="385">
        <f t="shared" si="22"/>
        <v>19.650154209922587</v>
      </c>
      <c r="AA60" s="386">
        <f t="shared" si="13"/>
        <v>21.129601315069916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7.0017748233241306E-2</v>
      </c>
      <c r="AD60" s="231">
        <f>(INDEX(Models!$BJ60:$BT60,,AH60)*(1-AF60)+INDEX(Models!$BJ60:$BT60,,AH60+1)*AF60-ERP_i)*AE60*Ramure*Pc/MaxiM</f>
        <v>3.3778313957763946E-4</v>
      </c>
      <c r="AE60" s="305">
        <f t="shared" si="15"/>
        <v>0.5</v>
      </c>
      <c r="AF60" s="177">
        <f t="shared" si="23"/>
        <v>1.0919457194558113E-3</v>
      </c>
      <c r="AG60" s="811">
        <f t="shared" si="24"/>
        <v>2</v>
      </c>
      <c r="AH60" s="176">
        <f t="shared" si="16"/>
        <v>8</v>
      </c>
      <c r="AI60" s="225">
        <f t="shared" si="17"/>
        <v>2.0010919457194558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10.088086568726935</v>
      </c>
      <c r="C61" s="841"/>
      <c r="D61" s="393">
        <f t="shared" si="0"/>
        <v>10.728481909342657</v>
      </c>
      <c r="E61" s="385">
        <f t="shared" si="1"/>
        <v>11.07083366250116</v>
      </c>
      <c r="F61" s="385">
        <f t="shared" si="2"/>
        <v>11.07083366250116</v>
      </c>
      <c r="G61" s="110">
        <f t="shared" si="21"/>
        <v>0.28164439920814682</v>
      </c>
      <c r="H61" s="414" t="b">
        <f>Wh_hp&gt;='2025'!Maxi_hp</f>
        <v>0</v>
      </c>
      <c r="I61" s="390">
        <f>IF(H61,Wh_hp,'2025'!Maxi_hp)</f>
        <v>40.772992464506032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5.9691142328165525E-2</v>
      </c>
      <c r="M61" s="845"/>
      <c r="N61" s="845"/>
      <c r="O61" s="48">
        <f>IF(t&lt;Tnet,'2025'!Resal+('2025'!Salim-'2025'!Resal)*(1-EXP(('2025'!Tnet-t)/('2025'!Tau_j))),Resal+(Salim-Resal)*(1-EXP((Tnet-t)/(Tau_j))))*Salcycl</f>
        <v>3.0923755481767283E-2</v>
      </c>
      <c r="P61" s="169">
        <f>(INDEX(Models!$BJ61:$BT61,,T61)*(1-R61)+INDEX(Models!$BJ61:$BT61,,T61+1)*R61-ERP_i)*Q61*Ramure*Pc/MaxiM</f>
        <v>2.4297489507791145E-5</v>
      </c>
      <c r="Q61" s="305">
        <f t="shared" si="4"/>
        <v>0.5</v>
      </c>
      <c r="R61" s="177">
        <f t="shared" si="5"/>
        <v>0.47628725669126482</v>
      </c>
      <c r="S61" s="811">
        <f t="shared" si="6"/>
        <v>-2</v>
      </c>
      <c r="T61" s="176">
        <f t="shared" si="7"/>
        <v>4</v>
      </c>
      <c r="U61" s="251">
        <f t="shared" si="8"/>
        <v>-1.5237127433087352</v>
      </c>
      <c r="V61" s="383">
        <f t="shared" si="9"/>
        <v>35.817653331334469</v>
      </c>
      <c r="W61" s="402">
        <f t="shared" si="10"/>
        <v>10.088086568726935</v>
      </c>
      <c r="X61" s="157">
        <f t="shared" si="11"/>
        <v>46069</v>
      </c>
      <c r="Y61" s="385">
        <f t="shared" si="12"/>
        <v>9.6807323365326301</v>
      </c>
      <c r="Z61" s="385">
        <f t="shared" si="22"/>
        <v>10.295268684910317</v>
      </c>
      <c r="AA61" s="386">
        <f t="shared" si="13"/>
        <v>11.07083366250116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7.0054794537995554E-2</v>
      </c>
      <c r="AD61" s="231">
        <f>(INDEX(Models!$BJ61:$BT61,,AH61)*(1-AF61)+INDEX(Models!$BJ61:$BT61,,AH61+1)*AF61-ERP_i)*AE61*Ramure*Pc/MaxiM</f>
        <v>3.4181183564024908E-4</v>
      </c>
      <c r="AE61" s="305">
        <f t="shared" si="15"/>
        <v>0.5</v>
      </c>
      <c r="AF61" s="177">
        <f t="shared" si="23"/>
        <v>1.2748230652439574E-3</v>
      </c>
      <c r="AG61" s="811">
        <f t="shared" si="24"/>
        <v>2</v>
      </c>
      <c r="AH61" s="176">
        <f t="shared" si="16"/>
        <v>8</v>
      </c>
      <c r="AI61" s="225">
        <f t="shared" si="17"/>
        <v>2.001274823065244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10.914302752474988</v>
      </c>
      <c r="C62" s="841"/>
      <c r="D62" s="393">
        <f t="shared" si="0"/>
        <v>11.607400823571936</v>
      </c>
      <c r="E62" s="385">
        <f t="shared" si="1"/>
        <v>11.978745924388566</v>
      </c>
      <c r="F62" s="385">
        <f t="shared" si="2"/>
        <v>11.978746799123146</v>
      </c>
      <c r="G62" s="110">
        <f t="shared" si="21"/>
        <v>0.30206277718262942</v>
      </c>
      <c r="H62" s="414" t="b">
        <f>Wh_hp&gt;='2025'!Maxi_hp</f>
        <v>0</v>
      </c>
      <c r="I62" s="390">
        <f>IF(H62,Wh_hp,'2025'!Maxi_hp)</f>
        <v>41.216821259374889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5.9711737505387608E-2</v>
      </c>
      <c r="M62" s="845"/>
      <c r="N62" s="845"/>
      <c r="O62" s="48">
        <f>IF(t&lt;Tnet,'2025'!Resal+('2025'!Salim-'2025'!Resal)*(1-EXP(('2025'!Tnet-t)/('2025'!Tau_j))),Resal+(Salim-Resal)*(1-EXP((Tnet-t)/(Tau_j))))*Salcycl</f>
        <v>3.1000332018110095E-2</v>
      </c>
      <c r="P62" s="169">
        <f>(INDEX(Models!$BJ62:$BT62,,T62)*(1-R62)+INDEX(Models!$BJ62:$BT62,,T62+1)*R62-ERP_i)*Q62*Ramure*Pc/MaxiM</f>
        <v>2.4691516981274428E-5</v>
      </c>
      <c r="Q62" s="305">
        <f t="shared" si="4"/>
        <v>0.5</v>
      </c>
      <c r="R62" s="177">
        <f t="shared" si="5"/>
        <v>0.4764776628384213</v>
      </c>
      <c r="S62" s="811">
        <f t="shared" si="6"/>
        <v>-2</v>
      </c>
      <c r="T62" s="176">
        <f t="shared" si="7"/>
        <v>4</v>
      </c>
      <c r="U62" s="251">
        <f t="shared" si="8"/>
        <v>-1.5235223371615787</v>
      </c>
      <c r="V62" s="383">
        <f t="shared" si="9"/>
        <v>36.131674880846546</v>
      </c>
      <c r="W62" s="402">
        <f t="shared" si="10"/>
        <v>10.914302752474988</v>
      </c>
      <c r="X62" s="157">
        <f t="shared" si="11"/>
        <v>46070</v>
      </c>
      <c r="Y62" s="385">
        <f t="shared" si="12"/>
        <v>10.473986917256637</v>
      </c>
      <c r="Z62" s="385">
        <f t="shared" si="22"/>
        <v>11.139123325296906</v>
      </c>
      <c r="AA62" s="386">
        <f t="shared" si="13"/>
        <v>11.978734470368277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7.0091807039242143E-2</v>
      </c>
      <c r="AD62" s="231">
        <f>(INDEX(Models!$BJ62:$BT62,,AH62)*(1-AF62)+INDEX(Models!$BJ62:$BT62,,AH62+1)*AF62-ERP_i)*AE62*Ramure*Pc/MaxiM</f>
        <v>3.4800917580449426E-4</v>
      </c>
      <c r="AE62" s="305">
        <f t="shared" si="15"/>
        <v>0.5</v>
      </c>
      <c r="AF62" s="177">
        <f t="shared" si="23"/>
        <v>1.4652292124002209E-3</v>
      </c>
      <c r="AG62" s="811">
        <f t="shared" si="24"/>
        <v>2</v>
      </c>
      <c r="AH62" s="176">
        <f t="shared" si="16"/>
        <v>8</v>
      </c>
      <c r="AI62" s="225">
        <f t="shared" si="17"/>
        <v>2.0014652292124002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27.794603842793137</v>
      </c>
      <c r="C63" s="841"/>
      <c r="D63" s="393">
        <f t="shared" si="0"/>
        <v>29.560310106969467</v>
      </c>
      <c r="E63" s="385">
        <f t="shared" si="1"/>
        <v>30.508414960968604</v>
      </c>
      <c r="F63" s="385">
        <f t="shared" si="2"/>
        <v>30.508920176645002</v>
      </c>
      <c r="G63" s="110">
        <f t="shared" si="21"/>
        <v>0.76258582789591522</v>
      </c>
      <c r="H63" s="414" t="b">
        <f>Wh_hp&gt;='2025'!Maxi_hp</f>
        <v>0</v>
      </c>
      <c r="I63" s="390">
        <f>IF(H63,Wh_hp,'2025'!Maxi_hp)</f>
        <v>40.739227562492772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5.9732332231522411E-2</v>
      </c>
      <c r="M63" s="845"/>
      <c r="N63" s="845"/>
      <c r="O63" s="48">
        <f>IF(t&lt;Tnet,'2025'!Resal+('2025'!Salim-'2025'!Resal)*(1-EXP(('2025'!Tnet-t)/('2025'!Tau_j))),Resal+(Salim-Resal)*(1-EXP((Tnet-t)/(Tau_j))))*Salcycl</f>
        <v>3.1076830940319575E-2</v>
      </c>
      <c r="P63" s="169">
        <f>(INDEX(Models!$BJ63:$BT63,,T63)*(1-R63)+INDEX(Models!$BJ63:$BT63,,T63+1)*R63-ERP_i)*Q63*Ramure*Pc/MaxiM</f>
        <v>2.505818512080584E-5</v>
      </c>
      <c r="Q63" s="305">
        <f t="shared" si="4"/>
        <v>0.5</v>
      </c>
      <c r="R63" s="177">
        <f t="shared" si="5"/>
        <v>0.47667590154116946</v>
      </c>
      <c r="S63" s="811">
        <f t="shared" si="6"/>
        <v>-2</v>
      </c>
      <c r="T63" s="176">
        <f t="shared" si="7"/>
        <v>4</v>
      </c>
      <c r="U63" s="251">
        <f t="shared" si="8"/>
        <v>-1.5233240984588305</v>
      </c>
      <c r="V63" s="383">
        <f t="shared" si="9"/>
        <v>36.447527094636584</v>
      </c>
      <c r="W63" s="402">
        <f t="shared" si="10"/>
        <v>27.794603842793137</v>
      </c>
      <c r="X63" s="157">
        <f t="shared" si="11"/>
        <v>46071</v>
      </c>
      <c r="Y63" s="385">
        <f t="shared" si="12"/>
        <v>26.668517254947922</v>
      </c>
      <c r="Z63" s="385">
        <f t="shared" si="22"/>
        <v>28.362686678613436</v>
      </c>
      <c r="AA63" s="386">
        <f t="shared" si="13"/>
        <v>30.501736213256379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7.0128779545122796E-2</v>
      </c>
      <c r="AD63" s="231">
        <f>(INDEX(Models!$BJ63:$BT63,,AH63)*(1-AF63)+INDEX(Models!$BJ63:$BT63,,AH63+1)*AF63-ERP_i)*AE63*Ramure*Pc/MaxiM</f>
        <v>3.5631729754955464E-4</v>
      </c>
      <c r="AE63" s="305">
        <f t="shared" si="15"/>
        <v>0.5</v>
      </c>
      <c r="AF63" s="177">
        <f t="shared" si="23"/>
        <v>1.6634679151485976E-3</v>
      </c>
      <c r="AG63" s="811">
        <f t="shared" si="24"/>
        <v>2</v>
      </c>
      <c r="AH63" s="176">
        <f t="shared" si="16"/>
        <v>8</v>
      </c>
      <c r="AI63" s="225">
        <f t="shared" si="17"/>
        <v>2.0016634679151486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20.142941510946937</v>
      </c>
      <c r="C64" s="841"/>
      <c r="D64" s="393">
        <f t="shared" si="0"/>
        <v>21.423030263851068</v>
      </c>
      <c r="E64" s="385">
        <f t="shared" si="1"/>
        <v>22.111887416817446</v>
      </c>
      <c r="F64" s="385">
        <f t="shared" si="2"/>
        <v>22.112086286795847</v>
      </c>
      <c r="G64" s="110">
        <f t="shared" si="21"/>
        <v>0.547868600423147</v>
      </c>
      <c r="H64" s="414" t="b">
        <f>Wh_hp&gt;='2025'!Maxi_hp</f>
        <v>0</v>
      </c>
      <c r="I64" s="390">
        <f>IF(H64,Wh_hp,'2025'!Maxi_hp)</f>
        <v>38.479174675338513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5.9752926506579929E-2</v>
      </c>
      <c r="M64" s="845"/>
      <c r="N64" s="845"/>
      <c r="O64" s="48">
        <f>IF(t&lt;Tnet,'2025'!Resal+('2025'!Salim-'2025'!Resal)*(1-EXP(('2025'!Tnet-t)/('2025'!Tau_j))),Resal+(Salim-Resal)*(1-EXP((Tnet-t)/(Tau_j))))*Salcycl</f>
        <v>3.1153249832597259E-2</v>
      </c>
      <c r="P64" s="169">
        <f>(INDEX(Models!$BJ64:$BT64,,T64)*(1-R64)+INDEX(Models!$BJ64:$BT64,,T64+1)*R64-ERP_i)*Q64*Ramure*Pc/MaxiM</f>
        <v>2.5398044775774708E-5</v>
      </c>
      <c r="Q64" s="305">
        <f t="shared" si="4"/>
        <v>0.5</v>
      </c>
      <c r="R64" s="177">
        <f t="shared" si="5"/>
        <v>0.47688228828397849</v>
      </c>
      <c r="S64" s="811">
        <f t="shared" si="6"/>
        <v>-2</v>
      </c>
      <c r="T64" s="176">
        <f t="shared" si="7"/>
        <v>4</v>
      </c>
      <c r="U64" s="251">
        <f t="shared" si="8"/>
        <v>-1.5231177117160215</v>
      </c>
      <c r="V64" s="383">
        <f t="shared" si="9"/>
        <v>36.765405174020408</v>
      </c>
      <c r="W64" s="402">
        <f t="shared" si="10"/>
        <v>20.142941510946937</v>
      </c>
      <c r="X64" s="157">
        <f t="shared" si="11"/>
        <v>46072</v>
      </c>
      <c r="Y64" s="385">
        <f t="shared" si="12"/>
        <v>19.329511364320208</v>
      </c>
      <c r="Z64" s="385">
        <f t="shared" si="22"/>
        <v>20.557906436765396</v>
      </c>
      <c r="AA64" s="386">
        <f t="shared" si="13"/>
        <v>22.109215137085737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7.0165706502995362E-2</v>
      </c>
      <c r="AD64" s="231">
        <f>(INDEX(Models!$BJ64:$BT64,,AH64)*(1-AF64)+INDEX(Models!$BJ64:$BT64,,AH64+1)*AF64-ERP_i)*AE64*Ramure*Pc/MaxiM</f>
        <v>3.6667972451845702E-4</v>
      </c>
      <c r="AE64" s="305">
        <f t="shared" si="15"/>
        <v>0.5</v>
      </c>
      <c r="AF64" s="177">
        <f t="shared" si="23"/>
        <v>1.8698546579574149E-3</v>
      </c>
      <c r="AG64" s="811">
        <f t="shared" si="24"/>
        <v>2</v>
      </c>
      <c r="AH64" s="176">
        <f t="shared" si="16"/>
        <v>8</v>
      </c>
      <c r="AI64" s="225">
        <f t="shared" si="17"/>
        <v>2.0018698546579574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19.213106803861361</v>
      </c>
      <c r="C65" s="841"/>
      <c r="D65" s="393">
        <f t="shared" si="0"/>
        <v>20.434551907766316</v>
      </c>
      <c r="E65" s="385">
        <f t="shared" si="1"/>
        <v>21.093286525792351</v>
      </c>
      <c r="F65" s="385">
        <f t="shared" si="2"/>
        <v>21.0934554847661</v>
      </c>
      <c r="G65" s="110">
        <f t="shared" si="21"/>
        <v>0.51806470218499012</v>
      </c>
      <c r="H65" s="414" t="b">
        <f>Wh_hp&gt;='2025'!Maxi_hp</f>
        <v>0</v>
      </c>
      <c r="I65" s="390">
        <f>IF(H65,Wh_hp,'2025'!Maxi_hp)</f>
        <v>40.655100676030095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5.9773520330569929E-2</v>
      </c>
      <c r="M65" s="845"/>
      <c r="N65" s="845"/>
      <c r="O65" s="48">
        <f>IF(t&lt;Tnet,'2025'!Resal+('2025'!Salim-'2025'!Resal)*(1-EXP(('2025'!Tnet-t)/('2025'!Tau_j))),Resal+(Salim-Resal)*(1-EXP((Tnet-t)/(Tau_j))))*Salcycl</f>
        <v>3.122958659005318E-2</v>
      </c>
      <c r="P65" s="169">
        <f>(INDEX(Models!$BJ65:$BT65,,T65)*(1-R65)+INDEX(Models!$BJ65:$BT65,,T65+1)*R65-ERP_i)*Q65*Ramure*Pc/MaxiM</f>
        <v>2.5711530881813863E-5</v>
      </c>
      <c r="Q65" s="305">
        <f t="shared" si="4"/>
        <v>0.5</v>
      </c>
      <c r="R65" s="177">
        <f t="shared" si="5"/>
        <v>0.47709715068988867</v>
      </c>
      <c r="S65" s="811">
        <f t="shared" si="6"/>
        <v>-2</v>
      </c>
      <c r="T65" s="176">
        <f t="shared" si="7"/>
        <v>4</v>
      </c>
      <c r="U65" s="251">
        <f t="shared" si="8"/>
        <v>-1.5229028493101113</v>
      </c>
      <c r="V65" s="383">
        <f t="shared" si="9"/>
        <v>37.085650921713047</v>
      </c>
      <c r="W65" s="402">
        <f t="shared" si="10"/>
        <v>19.213106803861361</v>
      </c>
      <c r="X65" s="157">
        <f t="shared" si="11"/>
        <v>46073</v>
      </c>
      <c r="Y65" s="385">
        <f t="shared" si="12"/>
        <v>18.438146358444055</v>
      </c>
      <c r="Z65" s="385">
        <f t="shared" si="22"/>
        <v>19.610324487911292</v>
      </c>
      <c r="AA65" s="386">
        <f t="shared" si="13"/>
        <v>21.090964689208601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7.0202583102085117E-2</v>
      </c>
      <c r="AD65" s="231">
        <f>(INDEX(Models!$BJ65:$BT65,,AH65)*(1-AF65)+INDEX(Models!$BJ65:$BT65,,AH65+1)*AF65-ERP_i)*AE65*Ramure*Pc/MaxiM</f>
        <v>3.7903974838078054E-4</v>
      </c>
      <c r="AE65" s="305">
        <f t="shared" si="15"/>
        <v>0.5</v>
      </c>
      <c r="AF65" s="177">
        <f t="shared" si="23"/>
        <v>2.0847170638678136E-3</v>
      </c>
      <c r="AG65" s="811">
        <f t="shared" si="24"/>
        <v>2</v>
      </c>
      <c r="AH65" s="176">
        <f t="shared" si="16"/>
        <v>8</v>
      </c>
      <c r="AI65" s="225">
        <f t="shared" si="17"/>
        <v>2.0020847170638678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21.239608116438578</v>
      </c>
      <c r="C66" s="841"/>
      <c r="D66" s="393">
        <f t="shared" si="0"/>
        <v>22.590379858290508</v>
      </c>
      <c r="E66" s="385">
        <f t="shared" si="1"/>
        <v>23.320445996938663</v>
      </c>
      <c r="F66" s="385">
        <f t="shared" si="2"/>
        <v>23.320676542379037</v>
      </c>
      <c r="G66" s="110">
        <f t="shared" si="21"/>
        <v>0.56776910994550644</v>
      </c>
      <c r="H66" s="414" t="b">
        <f>Wh_hp&gt;='2025'!Maxi_hp</f>
        <v>0</v>
      </c>
      <c r="I66" s="390">
        <f>IF(H66,Wh_hp,'2025'!Maxi_hp)</f>
        <v>38.737384022485628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5.9794113703502294E-2</v>
      </c>
      <c r="M66" s="845"/>
      <c r="N66" s="845"/>
      <c r="O66" s="48">
        <f>IF(t&lt;Tnet,'2025'!Resal+('2025'!Salim-'2025'!Resal)*(1-EXP(('2025'!Tnet-t)/('2025'!Tau_j))),Resal+(Salim-Resal)*(1-EXP((Tnet-t)/(Tau_j))))*Salcycl</f>
        <v>3.1305839465677159E-2</v>
      </c>
      <c r="P66" s="169">
        <f>(INDEX(Models!$BJ66:$BT66,,T66)*(1-R66)+INDEX(Models!$BJ66:$BT66,,T66+1)*R66-ERP_i)*Q66*Ramure*Pc/MaxiM</f>
        <v>2.5842722420835166E-5</v>
      </c>
      <c r="Q66" s="305">
        <f t="shared" si="4"/>
        <v>0.5</v>
      </c>
      <c r="R66" s="177">
        <f t="shared" si="5"/>
        <v>0.47732082893917549</v>
      </c>
      <c r="S66" s="811">
        <f t="shared" si="6"/>
        <v>-2</v>
      </c>
      <c r="T66" s="176">
        <f t="shared" si="7"/>
        <v>4</v>
      </c>
      <c r="U66" s="251">
        <f t="shared" si="8"/>
        <v>-1.5226791710608245</v>
      </c>
      <c r="V66" s="383">
        <f t="shared" si="9"/>
        <v>37.408285910578329</v>
      </c>
      <c r="W66" s="402">
        <f t="shared" si="10"/>
        <v>21.239608116438578</v>
      </c>
      <c r="X66" s="157">
        <f t="shared" si="11"/>
        <v>46074</v>
      </c>
      <c r="Y66" s="385">
        <f t="shared" si="12"/>
        <v>20.383085100536551</v>
      </c>
      <c r="Z66" s="385">
        <f t="shared" si="22"/>
        <v>21.679384693948474</v>
      </c>
      <c r="AA66" s="386">
        <f t="shared" si="13"/>
        <v>23.317168762795522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7.0239405371558872E-2</v>
      </c>
      <c r="AD66" s="231">
        <f>(INDEX(Models!$BJ66:$BT66,,AH66)*(1-AF66)+INDEX(Models!$BJ66:$BT66,,AH66+1)*AF66-ERP_i)*AE66*Ramure*Pc/MaxiM</f>
        <v>3.932004638373191E-4</v>
      </c>
      <c r="AE66" s="305">
        <f t="shared" si="15"/>
        <v>0.5</v>
      </c>
      <c r="AF66" s="177">
        <f t="shared" si="23"/>
        <v>2.3083953131544099E-3</v>
      </c>
      <c r="AG66" s="811">
        <f t="shared" si="24"/>
        <v>2</v>
      </c>
      <c r="AH66" s="176">
        <f t="shared" si="16"/>
        <v>8</v>
      </c>
      <c r="AI66" s="225">
        <f t="shared" si="17"/>
        <v>2.0023083953131544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32.828339886288177</v>
      </c>
      <c r="C67" s="841"/>
      <c r="D67" s="393">
        <f t="shared" si="0"/>
        <v>34.916882999155632</v>
      </c>
      <c r="E67" s="385">
        <f t="shared" si="1"/>
        <v>36.048146179041069</v>
      </c>
      <c r="F67" s="385">
        <f t="shared" si="2"/>
        <v>36.048901295273772</v>
      </c>
      <c r="G67" s="110">
        <f t="shared" si="21"/>
        <v>0.87001209989027828</v>
      </c>
      <c r="H67" s="414" t="b">
        <f>Wh_hp&gt;='2025'!Maxi_hp</f>
        <v>0</v>
      </c>
      <c r="I67" s="390">
        <f>IF(H67,Wh_hp,'2025'!Maxi_hp)</f>
        <v>40.196901311599696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5.9814706625387015E-2</v>
      </c>
      <c r="M67" s="845"/>
      <c r="N67" s="845"/>
      <c r="O67" s="48">
        <f>IF(t&lt;Tnet,'2025'!Resal+('2025'!Salim-'2025'!Resal)*(1-EXP(('2025'!Tnet-t)/('2025'!Tau_j))),Resal+(Salim-Resal)*(1-EXP((Tnet-t)/(Tau_j))))*Salcycl</f>
        <v>3.1382007115338707E-2</v>
      </c>
      <c r="P67" s="169">
        <f>(INDEX(Models!$BJ67:$BT67,,T67)*(1-R67)+INDEX(Models!$BJ67:$BT67,,T67+1)*R67-ERP_i)*Q67*Ramure*Pc/MaxiM</f>
        <v>2.5723648856624904E-5</v>
      </c>
      <c r="Q67" s="305">
        <f t="shared" si="4"/>
        <v>0.5</v>
      </c>
      <c r="R67" s="177">
        <f t="shared" si="5"/>
        <v>0.47755367619824463</v>
      </c>
      <c r="S67" s="811">
        <f t="shared" si="6"/>
        <v>-2</v>
      </c>
      <c r="T67" s="176">
        <f t="shared" si="7"/>
        <v>4</v>
      </c>
      <c r="U67" s="251">
        <f t="shared" si="8"/>
        <v>-1.5224463238017554</v>
      </c>
      <c r="V67" s="383">
        <f t="shared" si="9"/>
        <v>37.733018974791058</v>
      </c>
      <c r="W67" s="402">
        <f t="shared" si="10"/>
        <v>32.828339886288177</v>
      </c>
      <c r="X67" s="157">
        <f t="shared" si="11"/>
        <v>46075</v>
      </c>
      <c r="Y67" s="385">
        <f t="shared" si="12"/>
        <v>31.500322872807423</v>
      </c>
      <c r="Z67" s="385">
        <f t="shared" si="22"/>
        <v>33.504377376233059</v>
      </c>
      <c r="AA67" s="386">
        <f t="shared" si="13"/>
        <v>36.036913656472628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7.0276170273108146E-2</v>
      </c>
      <c r="AD67" s="231">
        <f>(INDEX(Models!$BJ67:$BT67,,AH67)*(1-AF67)+INDEX(Models!$BJ67:$BT67,,AH67+1)*AF67-ERP_i)*AE67*Ramure*Pc/MaxiM</f>
        <v>4.0836866933093133E-4</v>
      </c>
      <c r="AE67" s="305">
        <f t="shared" si="15"/>
        <v>0.5</v>
      </c>
      <c r="AF67" s="177">
        <f t="shared" si="23"/>
        <v>2.5412425722235454E-3</v>
      </c>
      <c r="AG67" s="811">
        <f t="shared" si="24"/>
        <v>2</v>
      </c>
      <c r="AH67" s="176">
        <f t="shared" si="16"/>
        <v>8</v>
      </c>
      <c r="AI67" s="225">
        <f t="shared" si="17"/>
        <v>2.0025412425722235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33.967357133127173</v>
      </c>
      <c r="C68" s="841"/>
      <c r="D68" s="393">
        <f t="shared" si="0"/>
        <v>36.129155987748597</v>
      </c>
      <c r="E68" s="385">
        <f t="shared" si="1"/>
        <v>37.302625280337253</v>
      </c>
      <c r="F68" s="385">
        <f t="shared" si="2"/>
        <v>37.303425998401323</v>
      </c>
      <c r="G68" s="110">
        <f t="shared" si="21"/>
        <v>0.89247558547274208</v>
      </c>
      <c r="H68" s="414" t="b">
        <f>Wh_hp&gt;='2025'!Maxi_hp</f>
        <v>0</v>
      </c>
      <c r="I68" s="390">
        <f>IF(H68,Wh_hp,'2025'!Maxi_hp)</f>
        <v>40.899659056750139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5.9835299096233863E-2</v>
      </c>
      <c r="M68" s="845"/>
      <c r="N68" s="845"/>
      <c r="O68" s="48">
        <f>IF(t&lt;Tnet,'2025'!Resal+('2025'!Salim-'2025'!Resal)*(1-EXP(('2025'!Tnet-t)/('2025'!Tau_j))),Resal+(Salim-Resal)*(1-EXP((Tnet-t)/(Tau_j))))*Salcycl</f>
        <v>3.1458088640404884E-2</v>
      </c>
      <c r="P68" s="169">
        <f>(INDEX(Models!$BJ68:$BT68,,T68)*(1-R68)+INDEX(Models!$BJ68:$BT68,,T68+1)*R68-ERP_i)*Q68*Ramure*Pc/MaxiM</f>
        <v>2.536039065436427E-5</v>
      </c>
      <c r="Q68" s="305">
        <f t="shared" si="4"/>
        <v>0.5</v>
      </c>
      <c r="R68" s="177">
        <f t="shared" si="5"/>
        <v>0.47779605905862255</v>
      </c>
      <c r="S68" s="811">
        <f t="shared" si="6"/>
        <v>-2</v>
      </c>
      <c r="T68" s="176">
        <f t="shared" si="7"/>
        <v>4</v>
      </c>
      <c r="U68" s="251">
        <f t="shared" si="8"/>
        <v>-1.5222039409413775</v>
      </c>
      <c r="V68" s="383">
        <f t="shared" si="9"/>
        <v>38.059556325220754</v>
      </c>
      <c r="W68" s="402">
        <f t="shared" si="10"/>
        <v>33.967357133127173</v>
      </c>
      <c r="X68" s="157">
        <f t="shared" si="11"/>
        <v>46076</v>
      </c>
      <c r="Y68" s="385">
        <f t="shared" si="12"/>
        <v>32.593680354489138</v>
      </c>
      <c r="Z68" s="385">
        <f t="shared" si="22"/>
        <v>34.668053717776601</v>
      </c>
      <c r="AA68" s="386">
        <f t="shared" si="13"/>
        <v>37.290022433226071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7.0312875787203868E-2</v>
      </c>
      <c r="AD68" s="231">
        <f>(INDEX(Models!$BJ68:$BT68,,AH68)*(1-AF68)+INDEX(Models!$BJ68:$BT68,,AH68+1)*AF68-ERP_i)*AE68*Ramure*Pc/MaxiM</f>
        <v>4.2451852188420467E-4</v>
      </c>
      <c r="AE68" s="305">
        <f t="shared" si="15"/>
        <v>0.5</v>
      </c>
      <c r="AF68" s="177">
        <f t="shared" si="23"/>
        <v>2.7836254326012444E-3</v>
      </c>
      <c r="AG68" s="811">
        <f t="shared" si="24"/>
        <v>2</v>
      </c>
      <c r="AH68" s="176">
        <f t="shared" si="16"/>
        <v>8</v>
      </c>
      <c r="AI68" s="225">
        <f t="shared" si="17"/>
        <v>2.0027836254326012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20.882785047502093</v>
      </c>
      <c r="C69" s="841"/>
      <c r="D69" s="393">
        <f t="shared" si="0"/>
        <v>22.212323462083081</v>
      </c>
      <c r="E69" s="385">
        <f t="shared" si="1"/>
        <v>22.935575828299783</v>
      </c>
      <c r="F69" s="385">
        <f t="shared" si="2"/>
        <v>22.93577376881208</v>
      </c>
      <c r="G69" s="110">
        <f t="shared" si="21"/>
        <v>0.54398935875624865</v>
      </c>
      <c r="H69" s="414" t="b">
        <f>Wh_hp&gt;='2025'!Maxi_hp</f>
        <v>0</v>
      </c>
      <c r="I69" s="390">
        <f>IF(H69,Wh_hp,'2025'!Maxi_hp)</f>
        <v>41.03378848015074</v>
      </c>
      <c r="J69" s="85">
        <f>IF(H69,An,'2025'!An_max)</f>
        <v>2019</v>
      </c>
      <c r="K69" s="197">
        <f t="shared" si="3"/>
        <v>46077</v>
      </c>
      <c r="L69" s="147">
        <f>IF(t&lt;Tvie,1-EXP((T0-t)*PertePVj)+'2025'!Pspv,1-EXP((T0-t)*PertePVj)+Pspv)</f>
        <v>5.9855891116052717E-2</v>
      </c>
      <c r="M69" s="845"/>
      <c r="N69" s="845"/>
      <c r="O69" s="48">
        <f>IF(t&lt;Tnet,'2025'!Resal+('2025'!Salim-'2025'!Resal)*(1-EXP(('2025'!Tnet-t)/('2025'!Tau_j))),Resal+(Salim-Resal)*(1-EXP((Tnet-t)/(Tau_j))))*Salcycl</f>
        <v>3.1534083627597145E-2</v>
      </c>
      <c r="P69" s="169">
        <f>(INDEX(Models!$BJ69:$BT69,,T69)*(1-R69)+INDEX(Models!$BJ69:$BT69,,T69+1)*R69-ERP_i)*Q69*Ramure*Pc/MaxiM</f>
        <v>2.4758984658983567E-5</v>
      </c>
      <c r="Q69" s="305">
        <f t="shared" si="4"/>
        <v>0.5</v>
      </c>
      <c r="R69" s="177">
        <f t="shared" si="5"/>
        <v>0.47804835798584078</v>
      </c>
      <c r="S69" s="811">
        <f t="shared" si="6"/>
        <v>-2</v>
      </c>
      <c r="T69" s="176">
        <f t="shared" si="7"/>
        <v>4</v>
      </c>
      <c r="U69" s="251">
        <f t="shared" si="8"/>
        <v>-1.5219516420141592</v>
      </c>
      <c r="V69" s="383">
        <f t="shared" si="9"/>
        <v>38.387604269643539</v>
      </c>
      <c r="W69" s="402">
        <f t="shared" si="10"/>
        <v>20.882785047502093</v>
      </c>
      <c r="X69" s="157">
        <f t="shared" si="11"/>
        <v>46077</v>
      </c>
      <c r="Y69" s="385">
        <f t="shared" si="12"/>
        <v>20.042904784014613</v>
      </c>
      <c r="Z69" s="385">
        <f t="shared" si="22"/>
        <v>21.318970777583989</v>
      </c>
      <c r="AA69" s="386">
        <f t="shared" si="13"/>
        <v>22.932243094564885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7.0349520992268544E-2</v>
      </c>
      <c r="AD69" s="231">
        <f>(INDEX(Models!$BJ69:$BT69,,AH69)*(1-AF69)+INDEX(Models!$BJ69:$BT69,,AH69+1)*AF69-ERP_i)*AE69*Ramure*Pc/MaxiM</f>
        <v>4.416271763074806E-4</v>
      </c>
      <c r="AE69" s="305">
        <f t="shared" si="15"/>
        <v>0.5</v>
      </c>
      <c r="AF69" s="177">
        <f t="shared" si="23"/>
        <v>3.0359243598199193E-3</v>
      </c>
      <c r="AG69" s="811">
        <f t="shared" si="24"/>
        <v>2</v>
      </c>
      <c r="AH69" s="176">
        <f t="shared" si="16"/>
        <v>8</v>
      </c>
      <c r="AI69" s="225">
        <f t="shared" si="17"/>
        <v>2.0030359243598199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30.415252961934758</v>
      </c>
      <c r="C70" s="841"/>
      <c r="D70" s="393">
        <f t="shared" si="0"/>
        <v>32.35240093641761</v>
      </c>
      <c r="E70" s="385">
        <f t="shared" si="1"/>
        <v>33.408441511535116</v>
      </c>
      <c r="F70" s="385">
        <f t="shared" si="2"/>
        <v>33.408995989788032</v>
      </c>
      <c r="G70" s="110">
        <f t="shared" si="21"/>
        <v>0.78557565921574346</v>
      </c>
      <c r="H70" s="414" t="b">
        <f>Wh_hp&gt;='2025'!Maxi_hp</f>
        <v>0</v>
      </c>
      <c r="I70" s="390">
        <f>IF(H70,Wh_hp,'2025'!Maxi_hp)</f>
        <v>42.028165575806206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5.9876482684853571E-2</v>
      </c>
      <c r="M70" s="845"/>
      <c r="N70" s="845"/>
      <c r="O70" s="48">
        <f>IF(t&lt;Tnet,'2025'!Resal+('2025'!Salim-'2025'!Resal)*(1-EXP(('2025'!Tnet-t)/('2025'!Tau_j))),Resal+(Salim-Resal)*(1-EXP((Tnet-t)/(Tau_j))))*Salcycl</f>
        <v>3.1609992185743903E-2</v>
      </c>
      <c r="P70" s="169">
        <f>(INDEX(Models!$BJ70:$BT70,,T70)*(1-R70)+INDEX(Models!$BJ70:$BT70,,T70+1)*R70-ERP_i)*Q70*Ramure*Pc/MaxiM</f>
        <v>2.3925282551382521E-5</v>
      </c>
      <c r="Q70" s="305">
        <f t="shared" si="4"/>
        <v>0.5</v>
      </c>
      <c r="R70" s="177">
        <f t="shared" si="5"/>
        <v>0.47831096777797688</v>
      </c>
      <c r="S70" s="811">
        <f t="shared" si="6"/>
        <v>-2</v>
      </c>
      <c r="T70" s="176">
        <f t="shared" si="7"/>
        <v>4</v>
      </c>
      <c r="U70" s="251">
        <f t="shared" si="8"/>
        <v>-1.5216890322220231</v>
      </c>
      <c r="V70" s="383">
        <f t="shared" si="9"/>
        <v>38.716869215564422</v>
      </c>
      <c r="W70" s="402">
        <f t="shared" si="10"/>
        <v>30.415252961934758</v>
      </c>
      <c r="X70" s="157">
        <f t="shared" si="11"/>
        <v>46078</v>
      </c>
      <c r="Y70" s="385">
        <f t="shared" si="12"/>
        <v>29.1885446705124</v>
      </c>
      <c r="Z70" s="385">
        <f t="shared" si="22"/>
        <v>31.047563573210638</v>
      </c>
      <c r="AA70" s="386">
        <f t="shared" si="13"/>
        <v>33.398342879927078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7.0386106136100968E-2</v>
      </c>
      <c r="AD70" s="231">
        <f>(INDEX(Models!$BJ70:$BT70,,AH70)*(1-AF70)+INDEX(Models!$BJ70:$BT70,,AH70+1)*AF70-ERP_i)*AE70*Ramure*Pc/MaxiM</f>
        <v>4.5967296667313623E-4</v>
      </c>
      <c r="AE70" s="305">
        <f t="shared" si="15"/>
        <v>0.5</v>
      </c>
      <c r="AF70" s="177">
        <f t="shared" si="23"/>
        <v>3.2985341519555789E-3</v>
      </c>
      <c r="AG70" s="811">
        <f t="shared" si="24"/>
        <v>2</v>
      </c>
      <c r="AH70" s="176">
        <f t="shared" si="16"/>
        <v>8</v>
      </c>
      <c r="AI70" s="225">
        <f t="shared" si="17"/>
        <v>2.0032985341519556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39.168899009759109</v>
      </c>
      <c r="C71" s="841"/>
      <c r="D71" s="393">
        <f t="shared" si="0"/>
        <v>41.66447940779674</v>
      </c>
      <c r="E71" s="385">
        <f t="shared" si="1"/>
        <v>43.027851964079673</v>
      </c>
      <c r="F71" s="385">
        <f t="shared" si="2"/>
        <v>43.028835815721585</v>
      </c>
      <c r="G71" s="110">
        <f t="shared" si="21"/>
        <v>1.0031203719459276</v>
      </c>
      <c r="H71" s="414" t="b">
        <f>Wh_hp&gt;='2025'!Maxi_hp</f>
        <v>1</v>
      </c>
      <c r="I71" s="390">
        <f>IF(H71,Wh_hp,'2025'!Maxi_hp)</f>
        <v>43.028835815721585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5.9897073802646195E-2</v>
      </c>
      <c r="M71" s="845"/>
      <c r="N71" s="845"/>
      <c r="O71" s="48">
        <f>IF(t&lt;Tnet,'2025'!Resal+('2025'!Salim-'2025'!Resal)*(1-EXP(('2025'!Tnet-t)/('2025'!Tau_j))),Resal+(Salim-Resal)*(1-EXP((Tnet-t)/(Tau_j))))*Salcycl</f>
        <v>3.1685814979123303E-2</v>
      </c>
      <c r="P71" s="169">
        <f>(INDEX(Models!$BJ71:$BT71,,T71)*(1-R71)+INDEX(Models!$BJ71:$BT71,,T71+1)*R71-ERP_i)*Q71*Ramure*Pc/MaxiM</f>
        <v>2.2864937506723007E-5</v>
      </c>
      <c r="Q71" s="305">
        <f t="shared" si="4"/>
        <v>0.5</v>
      </c>
      <c r="R71" s="177">
        <f t="shared" si="5"/>
        <v>0.47858429803354219</v>
      </c>
      <c r="S71" s="811">
        <f t="shared" si="6"/>
        <v>-2</v>
      </c>
      <c r="T71" s="176">
        <f t="shared" si="7"/>
        <v>4</v>
      </c>
      <c r="U71" s="251">
        <f t="shared" si="8"/>
        <v>-1.5214157019664578</v>
      </c>
      <c r="V71" s="383">
        <f t="shared" si="9"/>
        <v>39.04705766644571</v>
      </c>
      <c r="W71" s="402">
        <f t="shared" si="10"/>
        <v>39.168899009759109</v>
      </c>
      <c r="X71" s="157">
        <f t="shared" si="11"/>
        <v>46079</v>
      </c>
      <c r="Y71" s="385">
        <f t="shared" si="12"/>
        <v>37.584832859316037</v>
      </c>
      <c r="Z71" s="385">
        <f t="shared" si="22"/>
        <v>39.979487151841852</v>
      </c>
      <c r="AA71" s="386">
        <f t="shared" si="13"/>
        <v>43.008240688906135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7.042263269898269E-2</v>
      </c>
      <c r="AD71" s="231">
        <f>(INDEX(Models!$BJ71:$BT71,,AH71)*(1-AF71)+INDEX(Models!$BJ71:$BT71,,AH71+1)*AF71-ERP_i)*AE71*Ramure*Pc/MaxiM</f>
        <v>4.7863546445110907E-4</v>
      </c>
      <c r="AE71" s="305">
        <f t="shared" si="15"/>
        <v>0.5</v>
      </c>
      <c r="AF71" s="177">
        <f t="shared" si="23"/>
        <v>3.5718644075211081E-3</v>
      </c>
      <c r="AG71" s="811">
        <f t="shared" si="24"/>
        <v>2</v>
      </c>
      <c r="AH71" s="176">
        <f t="shared" si="16"/>
        <v>8</v>
      </c>
      <c r="AI71" s="225">
        <f t="shared" si="17"/>
        <v>2.0035718644075211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27.296599906496791</v>
      </c>
      <c r="C72" s="841"/>
      <c r="D72" s="393">
        <f t="shared" si="0"/>
        <v>29.036392744356011</v>
      </c>
      <c r="E72" s="385">
        <f t="shared" si="1"/>
        <v>29.98888635545693</v>
      </c>
      <c r="F72" s="385">
        <f t="shared" si="2"/>
        <v>29.989250955608217</v>
      </c>
      <c r="G72" s="110">
        <f t="shared" si="21"/>
        <v>0.69318981199455521</v>
      </c>
      <c r="H72" s="414" t="b">
        <f>Wh_hp&gt;='2025'!Maxi_hp</f>
        <v>0</v>
      </c>
      <c r="I72" s="390">
        <f>IF(H72,Wh_hp,'2025'!Maxi_hp)</f>
        <v>42.246597609719124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5.9917664469440468E-2</v>
      </c>
      <c r="M72" s="845"/>
      <c r="N72" s="845"/>
      <c r="O72" s="48">
        <f>IF(t&lt;Tnet,'2025'!Resal+('2025'!Salim-'2025'!Resal)*(1-EXP(('2025'!Tnet-t)/('2025'!Tau_j))),Resal+(Salim-Resal)*(1-EXP((Tnet-t)/(Tau_j))))*Salcycl</f>
        <v>3.1761553257131828E-2</v>
      </c>
      <c r="P72" s="169">
        <f>(INDEX(Models!$BJ72:$BT72,,T72)*(1-R72)+INDEX(Models!$BJ72:$BT72,,T72+1)*R72-ERP_i)*Q72*Ramure*Pc/MaxiM</f>
        <v>2.1644110695099251E-5</v>
      </c>
      <c r="Q72" s="305">
        <f t="shared" si="4"/>
        <v>0.5</v>
      </c>
      <c r="R72" s="177">
        <f t="shared" si="5"/>
        <v>0.47886877362835234</v>
      </c>
      <c r="S72" s="811">
        <f t="shared" si="6"/>
        <v>-2</v>
      </c>
      <c r="T72" s="176">
        <f t="shared" si="7"/>
        <v>4</v>
      </c>
      <c r="U72" s="251">
        <f t="shared" si="8"/>
        <v>-1.5211312263716477</v>
      </c>
      <c r="V72" s="383">
        <f t="shared" si="9"/>
        <v>39.37787382924698</v>
      </c>
      <c r="W72" s="402">
        <f t="shared" si="10"/>
        <v>27.296599906496791</v>
      </c>
      <c r="X72" s="157">
        <f t="shared" si="11"/>
        <v>46080</v>
      </c>
      <c r="Y72" s="385">
        <f t="shared" si="12"/>
        <v>26.198659338082813</v>
      </c>
      <c r="Z72" s="385">
        <f t="shared" si="22"/>
        <v>27.868473162296926</v>
      </c>
      <c r="AA72" s="386">
        <f t="shared" si="13"/>
        <v>29.980900534522867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7.0459103447993193E-2</v>
      </c>
      <c r="AD72" s="231">
        <f>(INDEX(Models!$BJ72:$BT72,,AH72)*(1-AF72)+INDEX(Models!$BJ72:$BT72,,AH72+1)*AF72-ERP_i)*AE72*Ramure*Pc/MaxiM</f>
        <v>4.9571410676659618E-4</v>
      </c>
      <c r="AE72" s="305">
        <f t="shared" si="15"/>
        <v>0.5</v>
      </c>
      <c r="AF72" s="177">
        <f t="shared" si="23"/>
        <v>3.8563400023310379E-3</v>
      </c>
      <c r="AG72" s="811">
        <f t="shared" si="24"/>
        <v>2</v>
      </c>
      <c r="AH72" s="176">
        <f t="shared" si="16"/>
        <v>8</v>
      </c>
      <c r="AI72" s="225">
        <f t="shared" si="17"/>
        <v>2.003856340002331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33.729923052275481</v>
      </c>
      <c r="C73" s="841"/>
      <c r="D73" s="393">
        <f t="shared" si="0"/>
        <v>35.880539996850892</v>
      </c>
      <c r="E73" s="385">
        <f t="shared" si="1"/>
        <v>37.060440998094208</v>
      </c>
      <c r="F73" s="385">
        <f t="shared" si="2"/>
        <v>37.061033095129147</v>
      </c>
      <c r="G73" s="110">
        <f t="shared" si="21"/>
        <v>0.84942349641460013</v>
      </c>
      <c r="H73" s="414" t="b">
        <f>Wh_hp&gt;='2025'!Maxi_hp</f>
        <v>1</v>
      </c>
      <c r="I73" s="390">
        <f>IF(H73,Wh_hp,'2025'!Maxi_hp)</f>
        <v>37.061033095129147</v>
      </c>
      <c r="J73" s="85">
        <f>IF(H73,An,'2025'!An_max)</f>
        <v>2026</v>
      </c>
      <c r="K73" s="197">
        <f t="shared" si="3"/>
        <v>46081</v>
      </c>
      <c r="L73" s="147">
        <f>IF(t&lt;Tvie,1-EXP((T0-t)*PertePVj)+'2025'!Pspv,1-EXP((T0-t)*PertePVj)+Pspv)</f>
        <v>5.9938254685246273E-2</v>
      </c>
      <c r="M73" s="845"/>
      <c r="N73" s="845"/>
      <c r="O73" s="48">
        <f>IF(t&lt;Tnet,'2025'!Resal+('2025'!Salim-'2025'!Resal)*(1-EXP(('2025'!Tnet-t)/('2025'!Tau_j))),Resal+(Salim-Resal)*(1-EXP((Tnet-t)/(Tau_j))))*Salcycl</f>
        <v>3.1837208880056089E-2</v>
      </c>
      <c r="P73" s="169">
        <f>(INDEX(Models!$BJ73:$BT73,,T73)*(1-R73)+INDEX(Models!$BJ73:$BT73,,T73+1)*R73-ERP_i)*Q73*Ramure*Pc/MaxiM</f>
        <v>2.0354631146778292E-5</v>
      </c>
      <c r="Q73" s="305">
        <f t="shared" si="4"/>
        <v>0.5</v>
      </c>
      <c r="R73" s="177">
        <f t="shared" si="5"/>
        <v>0.47916483520093989</v>
      </c>
      <c r="S73" s="811">
        <f t="shared" si="6"/>
        <v>-2</v>
      </c>
      <c r="T73" s="176">
        <f t="shared" si="7"/>
        <v>4</v>
      </c>
      <c r="U73" s="251">
        <f t="shared" si="8"/>
        <v>-1.5208351647990601</v>
      </c>
      <c r="V73" s="383">
        <f t="shared" si="9"/>
        <v>39.709020895314488</v>
      </c>
      <c r="W73" s="402">
        <f t="shared" si="10"/>
        <v>33.729923052275481</v>
      </c>
      <c r="X73" s="157">
        <f t="shared" si="11"/>
        <v>46081</v>
      </c>
      <c r="Y73" s="385">
        <f t="shared" si="12"/>
        <v>32.370666025876424</v>
      </c>
      <c r="Z73" s="385">
        <f t="shared" si="22"/>
        <v>34.434616861297762</v>
      </c>
      <c r="AA73" s="386">
        <f t="shared" si="13"/>
        <v>37.046208699556132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7.0495522482160553E-2</v>
      </c>
      <c r="AD73" s="231">
        <f>(INDEX(Models!$BJ73:$BT73,,AH73)*(1-AF73)+INDEX(Models!$BJ73:$BT73,,AH73+1)*AF73-ERP_i)*AE73*Ramure*Pc/MaxiM</f>
        <v>5.0962103516189524E-4</v>
      </c>
      <c r="AE73" s="305">
        <f t="shared" si="15"/>
        <v>0.5</v>
      </c>
      <c r="AF73" s="177">
        <f t="shared" si="23"/>
        <v>4.1524015749190291E-3</v>
      </c>
      <c r="AG73" s="811">
        <f t="shared" si="24"/>
        <v>2</v>
      </c>
      <c r="AH73" s="176">
        <f t="shared" si="16"/>
        <v>8</v>
      </c>
      <c r="AI73" s="225">
        <f t="shared" si="17"/>
        <v>2.004152401574919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39.154638590147258</v>
      </c>
      <c r="C74" s="841"/>
      <c r="D74" s="393">
        <f t="shared" si="0"/>
        <v>41.652047209828481</v>
      </c>
      <c r="E74" s="385">
        <f t="shared" si="1"/>
        <v>43.025097879703985</v>
      </c>
      <c r="F74" s="385">
        <f t="shared" si="2"/>
        <v>43.025889465210824</v>
      </c>
      <c r="G74" s="110">
        <f t="shared" si="21"/>
        <v>0.97788246760205055</v>
      </c>
      <c r="H74" s="414" t="b">
        <f>Wh_hp&gt;='2025'!Maxi_hp</f>
        <v>1</v>
      </c>
      <c r="I74" s="390">
        <f>IF(H74,Wh_hp,'2025'!Maxi_hp)</f>
        <v>43.025889465210824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5.995884445007349E-2</v>
      </c>
      <c r="M74" s="845"/>
      <c r="N74" s="845"/>
      <c r="O74" s="48">
        <f>IF(t&lt;Tnet,'2025'!Resal+('2025'!Salim-'2025'!Resal)*(1-EXP(('2025'!Tnet-t)/('2025'!Tau_j))),Resal+(Salim-Resal)*(1-EXP((Tnet-t)/(Tau_j))))*Salcycl</f>
        <v>3.1912784340769794E-2</v>
      </c>
      <c r="P74" s="169">
        <f>(INDEX(Models!$BJ74:$BT74,,T74)*(1-R74)+INDEX(Models!$BJ74:$BT74,,T74+1)*R74-ERP_i)*Q74*Ramure*Pc/MaxiM</f>
        <v>1.8998146800487765E-5</v>
      </c>
      <c r="Q74" s="305">
        <f t="shared" si="4"/>
        <v>0.5</v>
      </c>
      <c r="R74" s="177">
        <f t="shared" si="5"/>
        <v>0.47947293964599869</v>
      </c>
      <c r="S74" s="811">
        <f t="shared" si="6"/>
        <v>-2</v>
      </c>
      <c r="T74" s="176">
        <f t="shared" si="7"/>
        <v>4</v>
      </c>
      <c r="U74" s="251">
        <f t="shared" si="8"/>
        <v>-1.5205270603540013</v>
      </c>
      <c r="V74" s="383">
        <f t="shared" si="9"/>
        <v>40.040205632097248</v>
      </c>
      <c r="W74" s="402">
        <f t="shared" si="10"/>
        <v>39.154638590147258</v>
      </c>
      <c r="X74" s="157">
        <f t="shared" si="11"/>
        <v>46082</v>
      </c>
      <c r="Y74" s="385">
        <f t="shared" si="12"/>
        <v>37.574419387132615</v>
      </c>
      <c r="Z74" s="385">
        <f t="shared" si="22"/>
        <v>39.971036550151339</v>
      </c>
      <c r="AA74" s="386">
        <f t="shared" si="13"/>
        <v>43.004204605475998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7.0531895268176326E-2</v>
      </c>
      <c r="AD74" s="231">
        <f>(INDEX(Models!$BJ74:$BT74,,AH74)*(1-AF74)+INDEX(Models!$BJ74:$BT74,,AH74+1)*AF74-ERP_i)*AE74*Ramure*Pc/MaxiM</f>
        <v>5.2043922612442825E-4</v>
      </c>
      <c r="AE74" s="305">
        <f t="shared" si="15"/>
        <v>0.5</v>
      </c>
      <c r="AF74" s="177">
        <f t="shared" si="23"/>
        <v>4.4605060199778279E-3</v>
      </c>
      <c r="AG74" s="811">
        <f t="shared" si="24"/>
        <v>2</v>
      </c>
      <c r="AH74" s="176">
        <f t="shared" si="16"/>
        <v>8</v>
      </c>
      <c r="AI74" s="225">
        <f t="shared" si="17"/>
        <v>2.0044605060199778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10.782502086529433</v>
      </c>
      <c r="C75" s="841"/>
      <c r="D75" s="393">
        <f t="shared" si="0"/>
        <v>11.470495937874638</v>
      </c>
      <c r="E75" s="385">
        <f t="shared" si="1"/>
        <v>11.849542452691269</v>
      </c>
      <c r="F75" s="385">
        <f t="shared" si="2"/>
        <v>11.849542452691269</v>
      </c>
      <c r="G75" s="110">
        <f t="shared" si="21"/>
        <v>0.26707974891660435</v>
      </c>
      <c r="H75" s="414" t="b">
        <f>Wh_hp&gt;='2025'!Maxi_hp</f>
        <v>0</v>
      </c>
      <c r="I75" s="390">
        <f>IF(H75,Wh_hp,'2025'!Maxi_hp)</f>
        <v>29.154269715170336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5.9979433763932111E-2</v>
      </c>
      <c r="M75" s="845"/>
      <c r="N75" s="845"/>
      <c r="O75" s="48">
        <f>IF(t&lt;Tnet,'2025'!Resal+('2025'!Salim-'2025'!Resal)*(1-EXP(('2025'!Tnet-t)/('2025'!Tau_j))),Resal+(Salim-Resal)*(1-EXP((Tnet-t)/(Tau_j))))*Salcycl</f>
        <v>3.1988282782221905E-2</v>
      </c>
      <c r="P75" s="169">
        <f>(INDEX(Models!$BJ75:$BT75,,T75)*(1-R75)+INDEX(Models!$BJ75:$BT75,,T75+1)*R75-ERP_i)*Q75*Ramure*Pc/MaxiM</f>
        <v>1.7576198688978121E-5</v>
      </c>
      <c r="Q75" s="305">
        <f t="shared" si="4"/>
        <v>0.5</v>
      </c>
      <c r="R75" s="177">
        <f t="shared" si="5"/>
        <v>0.47979356061526035</v>
      </c>
      <c r="S75" s="811">
        <f t="shared" si="6"/>
        <v>-2</v>
      </c>
      <c r="T75" s="176">
        <f t="shared" si="7"/>
        <v>4</v>
      </c>
      <c r="U75" s="251">
        <f t="shared" si="8"/>
        <v>-1.5202064393847396</v>
      </c>
      <c r="V75" s="383">
        <f t="shared" si="9"/>
        <v>40.371134894608474</v>
      </c>
      <c r="W75" s="402">
        <f t="shared" si="10"/>
        <v>10.782502086529433</v>
      </c>
      <c r="X75" s="157">
        <f t="shared" si="11"/>
        <v>46083</v>
      </c>
      <c r="Y75" s="385">
        <f t="shared" si="12"/>
        <v>10.352767260394181</v>
      </c>
      <c r="Z75" s="385">
        <f t="shared" si="22"/>
        <v>11.0133412312963</v>
      </c>
      <c r="AA75" s="386">
        <f t="shared" si="13"/>
        <v>11.849542452691269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7.0568228666504446E-2</v>
      </c>
      <c r="AD75" s="231">
        <f>(INDEX(Models!$BJ75:$BT75,,AH75)*(1-AF75)+INDEX(Models!$BJ75:$BT75,,AH75+1)*AF75-ERP_i)*AE75*Ramure*Pc/MaxiM</f>
        <v>5.2824959046961369E-4</v>
      </c>
      <c r="AE75" s="305">
        <f t="shared" si="15"/>
        <v>0.5</v>
      </c>
      <c r="AF75" s="177">
        <f t="shared" si="23"/>
        <v>4.7811269892390484E-3</v>
      </c>
      <c r="AG75" s="811">
        <f t="shared" si="24"/>
        <v>2</v>
      </c>
      <c r="AH75" s="176">
        <f t="shared" si="16"/>
        <v>8</v>
      </c>
      <c r="AI75" s="225">
        <f t="shared" si="17"/>
        <v>2.004781126989239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34.750498563119201</v>
      </c>
      <c r="C76" s="841"/>
      <c r="D76" s="393">
        <f t="shared" si="0"/>
        <v>36.968616382555183</v>
      </c>
      <c r="E76" s="385">
        <f t="shared" si="1"/>
        <v>38.193233055219572</v>
      </c>
      <c r="F76" s="385">
        <f t="shared" si="2"/>
        <v>38.193719238472546</v>
      </c>
      <c r="G76" s="110">
        <f t="shared" si="21"/>
        <v>0.85378593989384255</v>
      </c>
      <c r="H76" s="414" t="b">
        <f>Wh_hp&gt;='2025'!Maxi_hp</f>
        <v>0</v>
      </c>
      <c r="I76" s="390">
        <f>IF(H76,Wh_hp,'2025'!Maxi_hp)</f>
        <v>39.010447727103518</v>
      </c>
      <c r="J76" s="85">
        <f>IF(H76,An,'2025'!An_max)</f>
        <v>2019</v>
      </c>
      <c r="K76" s="197">
        <f t="shared" si="3"/>
        <v>46084</v>
      </c>
      <c r="L76" s="147">
        <f>IF(t&lt;Tvie,1-EXP((T0-t)*PertePVj)+'2025'!Pspv,1-EXP((T0-t)*PertePVj)+Pspv)</f>
        <v>6.0000022626831906E-2</v>
      </c>
      <c r="M76" s="845"/>
      <c r="N76" s="845"/>
      <c r="O76" s="48">
        <f>IF(t&lt;Tnet,'2025'!Resal+('2025'!Salim-'2025'!Resal)*(1-EXP(('2025'!Tnet-t)/('2025'!Tau_j))),Resal+(Salim-Resal)*(1-EXP((Tnet-t)/(Tau_j))))*Salcycl</f>
        <v>3.2063708010627051E-2</v>
      </c>
      <c r="P76" s="169">
        <f>(INDEX(Models!$BJ76:$BT76,,T76)*(1-R76)+INDEX(Models!$BJ76:$BT76,,T76+1)*R76-ERP_i)*Q76*Ramure*Pc/MaxiM</f>
        <v>1.6090217261919515E-5</v>
      </c>
      <c r="Q76" s="305">
        <f t="shared" si="4"/>
        <v>0.5</v>
      </c>
      <c r="R76" s="177">
        <f t="shared" si="5"/>
        <v>0.4801271890251182</v>
      </c>
      <c r="S76" s="811">
        <f t="shared" si="6"/>
        <v>-2</v>
      </c>
      <c r="T76" s="176">
        <f t="shared" si="7"/>
        <v>4</v>
      </c>
      <c r="U76" s="251">
        <f t="shared" si="8"/>
        <v>-1.5198728109748818</v>
      </c>
      <c r="V76" s="383">
        <f t="shared" si="9"/>
        <v>40.701515623447769</v>
      </c>
      <c r="W76" s="402">
        <f t="shared" si="10"/>
        <v>34.750498563119201</v>
      </c>
      <c r="X76" s="157">
        <f t="shared" si="11"/>
        <v>46084</v>
      </c>
      <c r="Y76" s="385">
        <f t="shared" si="12"/>
        <v>33.35317118624782</v>
      </c>
      <c r="Z76" s="385">
        <f t="shared" si="22"/>
        <v>35.482097860739664</v>
      </c>
      <c r="AA76" s="386">
        <f t="shared" si="13"/>
        <v>38.177610115664699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7.0604530947814326E-2</v>
      </c>
      <c r="AD76" s="231">
        <f>(INDEX(Models!$BJ76:$BT76,,AH76)*(1-AF76)+INDEX(Models!$BJ76:$BT76,,AH76+1)*AF76-ERP_i)*AE76*Ramure*Pc/MaxiM</f>
        <v>5.331308396429199E-4</v>
      </c>
      <c r="AE76" s="305">
        <f t="shared" si="15"/>
        <v>0.5</v>
      </c>
      <c r="AF76" s="177">
        <f t="shared" si="23"/>
        <v>5.114755399096893E-3</v>
      </c>
      <c r="AG76" s="811">
        <f t="shared" si="24"/>
        <v>2</v>
      </c>
      <c r="AH76" s="176">
        <f t="shared" si="16"/>
        <v>8</v>
      </c>
      <c r="AI76" s="225">
        <f t="shared" si="17"/>
        <v>2.0051147553990969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3.9969575153267276</v>
      </c>
      <c r="C77" s="841"/>
      <c r="D77" s="393">
        <f t="shared" si="0"/>
        <v>4.2521756990265649</v>
      </c>
      <c r="E77" s="385">
        <f t="shared" si="1"/>
        <v>4.3933746503043141</v>
      </c>
      <c r="F77" s="385">
        <f t="shared" si="2"/>
        <v>4.3933746503043141</v>
      </c>
      <c r="G77" s="110">
        <f t="shared" si="21"/>
        <v>9.7411568109880942E-2</v>
      </c>
      <c r="H77" s="414" t="b">
        <f>Wh_hp&gt;='2025'!Maxi_hp</f>
        <v>0</v>
      </c>
      <c r="I77" s="390">
        <f>IF(H77,Wh_hp,'2025'!Maxi_hp)</f>
        <v>30.286197485540761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6.0020611038782645E-2</v>
      </c>
      <c r="M77" s="845"/>
      <c r="N77" s="845"/>
      <c r="O77" s="48">
        <f>IF(t&lt;Tnet,'2025'!Resal+('2025'!Salim-'2025'!Resal)*(1-EXP(('2025'!Tnet-t)/('2025'!Tau_j))),Resal+(Salim-Resal)*(1-EXP((Tnet-t)/(Tau_j))))*Salcycl</f>
        <v>3.2139064504314287E-2</v>
      </c>
      <c r="P77" s="169">
        <f>(INDEX(Models!$BJ77:$BT77,,T77)*(1-R77)+INDEX(Models!$BJ77:$BT77,,T77+1)*R77-ERP_i)*Q77*Ramure*Pc/MaxiM</f>
        <v>1.4541518649718496E-5</v>
      </c>
      <c r="Q77" s="305">
        <f t="shared" si="4"/>
        <v>0.5</v>
      </c>
      <c r="R77" s="177">
        <f t="shared" si="5"/>
        <v>0.48047433357021641</v>
      </c>
      <c r="S77" s="811">
        <f t="shared" si="6"/>
        <v>-2</v>
      </c>
      <c r="T77" s="176">
        <f t="shared" si="7"/>
        <v>4</v>
      </c>
      <c r="U77" s="251">
        <f t="shared" si="8"/>
        <v>-1.5195256664297836</v>
      </c>
      <c r="V77" s="383">
        <f t="shared" si="9"/>
        <v>41.031054843362604</v>
      </c>
      <c r="W77" s="402">
        <f t="shared" si="10"/>
        <v>3.9969575153267276</v>
      </c>
      <c r="X77" s="157">
        <f t="shared" si="11"/>
        <v>46085</v>
      </c>
      <c r="Y77" s="385">
        <f t="shared" si="12"/>
        <v>3.8379575572108897</v>
      </c>
      <c r="Z77" s="385">
        <f t="shared" si="22"/>
        <v>4.0830230984663007</v>
      </c>
      <c r="AA77" s="386">
        <f t="shared" si="13"/>
        <v>4.3933746503043141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7.0640811799766862E-2</v>
      </c>
      <c r="AD77" s="231">
        <f>(INDEX(Models!$BJ77:$BT77,,AH77)*(1-AF77)+INDEX(Models!$BJ77:$BT77,,AH77+1)*AF77-ERP_i)*AE77*Ramure*Pc/MaxiM</f>
        <v>5.3515935833317932E-4</v>
      </c>
      <c r="AE77" s="305">
        <f t="shared" si="15"/>
        <v>0.5</v>
      </c>
      <c r="AF77" s="177">
        <f t="shared" si="23"/>
        <v>5.4618999441955474E-3</v>
      </c>
      <c r="AG77" s="811">
        <f t="shared" si="24"/>
        <v>2</v>
      </c>
      <c r="AH77" s="176">
        <f t="shared" si="16"/>
        <v>8</v>
      </c>
      <c r="AI77" s="225">
        <f t="shared" si="17"/>
        <v>2.0054618999441955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13.231925031343188</v>
      </c>
      <c r="C78" s="841"/>
      <c r="D78" s="393">
        <f t="shared" si="0"/>
        <v>14.077132973554971</v>
      </c>
      <c r="E78" s="385">
        <f t="shared" si="1"/>
        <v>14.545713796705368</v>
      </c>
      <c r="F78" s="385">
        <f t="shared" si="2"/>
        <v>14.54571915069654</v>
      </c>
      <c r="G78" s="110">
        <f t="shared" si="21"/>
        <v>0.3199209782718675</v>
      </c>
      <c r="H78" s="414" t="b">
        <f>Wh_hp&gt;='2025'!Maxi_hp</f>
        <v>0</v>
      </c>
      <c r="I78" s="390">
        <f>IF(H78,Wh_hp,'2025'!Maxi_hp)</f>
        <v>44.531611979407565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6.0041198999794432E-2</v>
      </c>
      <c r="M78" s="845"/>
      <c r="N78" s="845"/>
      <c r="O78" s="48">
        <f>IF(t&lt;Tnet,'2025'!Resal+('2025'!Salim-'2025'!Resal)*(1-EXP(('2025'!Tnet-t)/('2025'!Tau_j))),Resal+(Salim-Resal)*(1-EXP((Tnet-t)/(Tau_j))))*Salcycl</f>
        <v>3.2214357418233565E-2</v>
      </c>
      <c r="P78" s="169">
        <f>(INDEX(Models!$BJ78:$BT78,,T78)*(1-R78)+INDEX(Models!$BJ78:$BT78,,T78+1)*R78-ERP_i)*Q78*Ramure*Pc/MaxiM</f>
        <v>1.2931300853370584E-5</v>
      </c>
      <c r="Q78" s="305">
        <f t="shared" si="4"/>
        <v>0.5</v>
      </c>
      <c r="R78" s="177">
        <f t="shared" si="5"/>
        <v>0.48083552124211204</v>
      </c>
      <c r="S78" s="811">
        <f t="shared" si="6"/>
        <v>-2</v>
      </c>
      <c r="T78" s="176">
        <f t="shared" si="7"/>
        <v>4</v>
      </c>
      <c r="U78" s="251">
        <f t="shared" si="8"/>
        <v>-1.519164478757888</v>
      </c>
      <c r="V78" s="383">
        <f t="shared" si="9"/>
        <v>41.359459661453755</v>
      </c>
      <c r="W78" s="402">
        <f t="shared" si="10"/>
        <v>13.231925031343188</v>
      </c>
      <c r="X78" s="157">
        <f t="shared" si="11"/>
        <v>46086</v>
      </c>
      <c r="Y78" s="385">
        <f t="shared" si="12"/>
        <v>12.705859757650549</v>
      </c>
      <c r="Z78" s="385">
        <f t="shared" si="22"/>
        <v>13.517464535818277</v>
      </c>
      <c r="AA78" s="386">
        <f t="shared" si="13"/>
        <v>14.545497887457717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7.0677082324276649E-2</v>
      </c>
      <c r="AD78" s="231">
        <f>(INDEX(Models!$BJ78:$BT78,,AH78)*(1-AF78)+INDEX(Models!$BJ78:$BT78,,AH78+1)*AF78-ERP_i)*AE78*Ramure*Pc/MaxiM</f>
        <v>5.3440908232360042E-4</v>
      </c>
      <c r="AE78" s="305">
        <f t="shared" si="15"/>
        <v>0.5</v>
      </c>
      <c r="AF78" s="177">
        <f t="shared" si="23"/>
        <v>5.8230876160911826E-3</v>
      </c>
      <c r="AG78" s="811">
        <f t="shared" si="24"/>
        <v>2</v>
      </c>
      <c r="AH78" s="176">
        <f t="shared" si="16"/>
        <v>8</v>
      </c>
      <c r="AI78" s="225">
        <f t="shared" si="17"/>
        <v>2.0058230876160912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15.809551013746981</v>
      </c>
      <c r="C79" s="841"/>
      <c r="D79" s="393">
        <f t="shared" ref="D79:D142" si="25">Wh/(1-Ppv)</f>
        <v>16.819776860697996</v>
      </c>
      <c r="E79" s="385">
        <f t="shared" si="1"/>
        <v>17.381002345126504</v>
      </c>
      <c r="F79" s="385">
        <f t="shared" ref="F79:F142" si="26">Wh_sa/(1-Pvg*MEDIAN((-Sdif+Wh/Env_an)/Csdif,0,1))</f>
        <v>17.381024499834563</v>
      </c>
      <c r="G79" s="110">
        <f t="shared" si="21"/>
        <v>0.3792349729157139</v>
      </c>
      <c r="H79" s="414" t="b">
        <f>Wh_hp&gt;='2025'!Maxi_hp</f>
        <v>0</v>
      </c>
      <c r="I79" s="390">
        <f>IF(H79,Wh_hp,'2025'!Maxi_hp)</f>
        <v>23.382336400970807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6.0061786509877035E-2</v>
      </c>
      <c r="M79" s="845"/>
      <c r="N79" s="845"/>
      <c r="O79" s="48">
        <f>IF(t&lt;Tnet,'2025'!Resal+('2025'!Salim-'2025'!Resal)*(1-EXP(('2025'!Tnet-t)/('2025'!Tau_j))),Resal+(Salim-Resal)*(1-EXP((Tnet-t)/(Tau_j))))*Salcycl</f>
        <v>3.2289592584162509E-2</v>
      </c>
      <c r="P79" s="169">
        <f>(INDEX(Models!$BJ79:$BT79,,T79)*(1-R79)+INDEX(Models!$BJ79:$BT79,,T79+1)*R79-ERP_i)*Q79*Ramure*Pc/MaxiM</f>
        <v>1.1260327705916706E-5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0.48121129785201022</v>
      </c>
      <c r="S79" s="81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-1.5187887021479898</v>
      </c>
      <c r="V79" s="383">
        <f t="shared" ref="V79:V142" si="33">MaxiM*(1-Ppv)*(1-Pvg)*(1-Psa)</f>
        <v>41.687592847521636</v>
      </c>
      <c r="W79" s="402">
        <f t="shared" ref="W79:W142" si="34">Wh*(A79&gt;Tmaj)</f>
        <v>15.809551013746981</v>
      </c>
      <c r="X79" s="157">
        <f t="shared" ref="X79:X142" si="35">t</f>
        <v>46087</v>
      </c>
      <c r="Y79" s="385">
        <f t="shared" ref="Y79:Y142" si="36">Wh_pvt_s*(1-Ppv)</f>
        <v>15.180926289138917</v>
      </c>
      <c r="Z79" s="385">
        <f t="shared" ref="Z79:Z142" si="37">Wh_sa_s*(1-Psa_s)</f>
        <v>16.150983193639931</v>
      </c>
      <c r="AA79" s="386">
        <f t="shared" ref="AA79:AA142" si="38">Wh_hp*(1-Pvg_s*MEDIAN((-Sdif+Wh/Env_an)/Csdif,0,1))</f>
        <v>17.379979881323376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7.0713355025464109E-2</v>
      </c>
      <c r="AD79" s="231">
        <f>(INDEX(Models!$BJ79:$BT79,,AH79)*(1-AF79)+INDEX(Models!$BJ79:$BT79,,AH79+1)*AF79-ERP_i)*AE79*Ramure*Pc/MaxiM</f>
        <v>5.3093666282500438E-4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6.1988642259893645E-3</v>
      </c>
      <c r="AG79" s="81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2.0061988642259894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36.926208290431184</v>
      </c>
      <c r="C80" s="841"/>
      <c r="D80" s="393">
        <f t="shared" si="25"/>
        <v>39.286643054718311</v>
      </c>
      <c r="E80" s="385">
        <f t="shared" ref="E80:E143" si="47">Wh_pvt/(1-Psa)</f>
        <v>40.600674821331772</v>
      </c>
      <c r="F80" s="385">
        <f t="shared" si="26"/>
        <v>40.600997635144658</v>
      </c>
      <c r="G80" s="110">
        <f t="shared" ref="G80:G143" si="48">+Wh_hp/MaxiM</f>
        <v>0.87885125612987125</v>
      </c>
      <c r="H80" s="414" t="b">
        <f>Wh_hp&gt;='2025'!Maxi_hp</f>
        <v>0</v>
      </c>
      <c r="I80" s="390">
        <f>IF(H80,Wh_hp,'2025'!Maxi_hp)</f>
        <v>42.685529835046331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6.0082373569040337E-2</v>
      </c>
      <c r="M80" s="845"/>
      <c r="N80" s="845"/>
      <c r="O80" s="48">
        <f>IF(t&lt;Tnet,'2025'!Resal+('2025'!Salim-'2025'!Resal)*(1-EXP(('2025'!Tnet-t)/('2025'!Tau_j))),Resal+(Salim-Resal)*(1-EXP((Tnet-t)/(Tau_j))))*Salcycl</f>
        <v>3.2364776506696447E-2</v>
      </c>
      <c r="P80" s="169">
        <f>(INDEX(Models!$BJ80:$BT80,,T80)*(1-R80)+INDEX(Models!$BJ80:$BT80,,T80+1)*R80-ERP_i)*Q80*Ramure*Pc/MaxiM</f>
        <v>9.6149131825764413E-6</v>
      </c>
      <c r="Q80" s="305">
        <f t="shared" si="28"/>
        <v>0.5</v>
      </c>
      <c r="R80" s="177">
        <f t="shared" si="29"/>
        <v>0.48160222855644585</v>
      </c>
      <c r="S80" s="811">
        <f t="shared" si="30"/>
        <v>-2</v>
      </c>
      <c r="T80" s="176">
        <f t="shared" si="31"/>
        <v>4</v>
      </c>
      <c r="U80" s="251">
        <f t="shared" si="32"/>
        <v>-1.5183977714435541</v>
      </c>
      <c r="V80" s="383">
        <f t="shared" si="33"/>
        <v>42.016378296202809</v>
      </c>
      <c r="W80" s="402">
        <f t="shared" si="34"/>
        <v>36.926208290431184</v>
      </c>
      <c r="X80" s="157">
        <f t="shared" si="35"/>
        <v>46088</v>
      </c>
      <c r="Y80" s="385">
        <f t="shared" si="36"/>
        <v>35.446322540379207</v>
      </c>
      <c r="Z80" s="385">
        <f t="shared" si="37"/>
        <v>37.712158537738482</v>
      </c>
      <c r="AA80" s="386">
        <f t="shared" si="38"/>
        <v>40.583421126135171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7.0749643788597175E-2</v>
      </c>
      <c r="AD80" s="231">
        <f>(INDEX(Models!$BJ80:$BT80,,AH80)*(1-AF80)+INDEX(Models!$BJ80:$BT80,,AH80+1)*AF80-ERP_i)*AE80*Ramure*Pc/MaxiM</f>
        <v>5.2351108109759614E-4</v>
      </c>
      <c r="AE80" s="305">
        <f t="shared" si="40"/>
        <v>0.5</v>
      </c>
      <c r="AF80" s="177">
        <f t="shared" si="41"/>
        <v>6.5897949304245529E-3</v>
      </c>
      <c r="AG80" s="811">
        <f t="shared" ref="AG80:AG143" si="49">INDEX(Echel_vg,AH80)</f>
        <v>2</v>
      </c>
      <c r="AH80" s="176">
        <f t="shared" si="42"/>
        <v>8</v>
      </c>
      <c r="AI80" s="225">
        <f t="shared" si="43"/>
        <v>2.0065897949304246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31.911865039277671</v>
      </c>
      <c r="C81" s="841"/>
      <c r="D81" s="393">
        <f t="shared" si="25"/>
        <v>33.952511484978452</v>
      </c>
      <c r="E81" s="385">
        <f t="shared" si="47"/>
        <v>35.090855915714634</v>
      </c>
      <c r="F81" s="385">
        <f t="shared" si="26"/>
        <v>35.091040882862927</v>
      </c>
      <c r="G81" s="110">
        <f t="shared" si="48"/>
        <v>0.753602802988246</v>
      </c>
      <c r="H81" s="414" t="b">
        <f>Wh_hp&gt;='2025'!Maxi_hp</f>
        <v>1</v>
      </c>
      <c r="I81" s="390">
        <f>IF(H81,Wh_hp,'2025'!Maxi_hp)</f>
        <v>35.091040882862927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6.0102960177294107E-2</v>
      </c>
      <c r="M81" s="845"/>
      <c r="N81" s="845"/>
      <c r="O81" s="48">
        <f>IF(t&lt;Tnet,'2025'!Resal+('2025'!Salim-'2025'!Resal)*(1-EXP(('2025'!Tnet-t)/('2025'!Tau_j))),Resal+(Salim-Resal)*(1-EXP((Tnet-t)/(Tau_j))))*Salcycl</f>
        <v>3.2439916355143782E-2</v>
      </c>
      <c r="P81" s="169">
        <f>(INDEX(Models!$BJ81:$BT81,,T81)*(1-R81)+INDEX(Models!$BJ81:$BT81,,T81+1)*R81-ERP_i)*Q81*Ramure*Pc/MaxiM</f>
        <v>8.1342702076846629E-6</v>
      </c>
      <c r="Q81" s="305">
        <f t="shared" si="28"/>
        <v>0.5</v>
      </c>
      <c r="R81" s="177">
        <f t="shared" si="29"/>
        <v>0.48200889838465599</v>
      </c>
      <c r="S81" s="811">
        <f t="shared" si="30"/>
        <v>-2</v>
      </c>
      <c r="T81" s="176">
        <f t="shared" si="31"/>
        <v>4</v>
      </c>
      <c r="U81" s="251">
        <f t="shared" si="32"/>
        <v>-1.517991101615344</v>
      </c>
      <c r="V81" s="383">
        <f t="shared" si="33"/>
        <v>42.345614350199433</v>
      </c>
      <c r="W81" s="402">
        <f t="shared" si="34"/>
        <v>31.911865039277671</v>
      </c>
      <c r="X81" s="157">
        <f t="shared" si="35"/>
        <v>46089</v>
      </c>
      <c r="Y81" s="385">
        <f t="shared" si="36"/>
        <v>30.637130107243145</v>
      </c>
      <c r="Z81" s="385">
        <f t="shared" si="37"/>
        <v>32.596261940586885</v>
      </c>
      <c r="AA81" s="386">
        <f t="shared" si="38"/>
        <v>35.079390401437081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7.0785963850400063E-2</v>
      </c>
      <c r="AD81" s="231">
        <f>(INDEX(Models!$BJ81:$BT81,,AH81)*(1-AF81)+INDEX(Models!$BJ81:$BT81,,AH81+1)*AF81-ERP_i)*AE81*Ramure*Pc/MaxiM</f>
        <v>5.1235132747945043E-4</v>
      </c>
      <c r="AE81" s="305">
        <f t="shared" si="40"/>
        <v>0.5</v>
      </c>
      <c r="AF81" s="177">
        <f t="shared" si="41"/>
        <v>6.9964647586346906E-3</v>
      </c>
      <c r="AG81" s="811">
        <f t="shared" si="49"/>
        <v>2</v>
      </c>
      <c r="AH81" s="176">
        <f t="shared" si="42"/>
        <v>8</v>
      </c>
      <c r="AI81" s="225">
        <f t="shared" si="43"/>
        <v>2.0069964647586347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28.474622500667202</v>
      </c>
      <c r="C82" s="841"/>
      <c r="D82" s="393">
        <f t="shared" si="25"/>
        <v>30.296133486078112</v>
      </c>
      <c r="E82" s="385">
        <f t="shared" si="47"/>
        <v>31.314319199620936</v>
      </c>
      <c r="F82" s="385">
        <f t="shared" si="26"/>
        <v>31.314431158589269</v>
      </c>
      <c r="G82" s="110">
        <f t="shared" si="48"/>
        <v>0.66723983587433222</v>
      </c>
      <c r="H82" s="414" t="b">
        <f>Wh_hp&gt;='2025'!Maxi_hp</f>
        <v>0</v>
      </c>
      <c r="I82" s="390">
        <f>IF(H82,Wh_hp,'2025'!Maxi_hp)</f>
        <v>44.010087492548095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6.0123546334648448E-2</v>
      </c>
      <c r="M82" s="845"/>
      <c r="N82" s="845"/>
      <c r="O82" s="48">
        <f>IF(t&lt;Tnet,'2025'!Resal+('2025'!Salim-'2025'!Resal)*(1-EXP(('2025'!Tnet-t)/('2025'!Tau_j))),Resal+(Salim-Resal)*(1-EXP((Tnet-t)/(Tau_j))))*Salcycl</f>
        <v>3.25150199514843E-2</v>
      </c>
      <c r="P82" s="169">
        <f>(INDEX(Models!$BJ82:$BT82,,T82)*(1-R82)+INDEX(Models!$BJ82:$BT82,,T82+1)*R82-ERP_i)*Q82*Ramure*Pc/MaxiM</f>
        <v>6.8149089851634024E-6</v>
      </c>
      <c r="Q82" s="305">
        <f t="shared" si="28"/>
        <v>0.5</v>
      </c>
      <c r="R82" s="177">
        <f t="shared" si="29"/>
        <v>0.48243191276624287</v>
      </c>
      <c r="S82" s="811">
        <f t="shared" si="30"/>
        <v>-2</v>
      </c>
      <c r="T82" s="176">
        <f t="shared" si="31"/>
        <v>4</v>
      </c>
      <c r="U82" s="251">
        <f t="shared" si="32"/>
        <v>-1.5175680872337571</v>
      </c>
      <c r="V82" s="383">
        <f t="shared" si="33"/>
        <v>42.675105296765018</v>
      </c>
      <c r="W82" s="402">
        <f t="shared" si="34"/>
        <v>28.474622500667202</v>
      </c>
      <c r="X82" s="157">
        <f t="shared" si="35"/>
        <v>46090</v>
      </c>
      <c r="Y82" s="385">
        <f t="shared" si="36"/>
        <v>27.340136731484932</v>
      </c>
      <c r="Z82" s="385">
        <f t="shared" si="37"/>
        <v>29.08907508520215</v>
      </c>
      <c r="AA82" s="386">
        <f t="shared" si="38"/>
        <v>31.306257220255961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7.0822331761180218E-2</v>
      </c>
      <c r="AD82" s="231">
        <f>(INDEX(Models!$BJ82:$BT82,,AH82)*(1-AF82)+INDEX(Models!$BJ82:$BT82,,AH82+1)*AF82-ERP_i)*AE82*Ramure*Pc/MaxiM</f>
        <v>4.9754518659688557E-4</v>
      </c>
      <c r="AE82" s="305">
        <f t="shared" si="40"/>
        <v>0.5</v>
      </c>
      <c r="AF82" s="177">
        <f t="shared" si="41"/>
        <v>7.4194791402217852E-3</v>
      </c>
      <c r="AG82" s="811">
        <f t="shared" si="49"/>
        <v>2</v>
      </c>
      <c r="AH82" s="176">
        <f t="shared" si="42"/>
        <v>8</v>
      </c>
      <c r="AI82" s="225">
        <f t="shared" si="43"/>
        <v>2.0074194791402218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24.735738856698301</v>
      </c>
      <c r="C83" s="841"/>
      <c r="D83" s="393">
        <f t="shared" si="25"/>
        <v>26.318651295349831</v>
      </c>
      <c r="E83" s="385">
        <f t="shared" si="47"/>
        <v>27.205273772629429</v>
      </c>
      <c r="F83" s="385">
        <f t="shared" si="26"/>
        <v>27.205334236664118</v>
      </c>
      <c r="G83" s="110">
        <f t="shared" si="48"/>
        <v>0.57518549386932827</v>
      </c>
      <c r="H83" s="414" t="b">
        <f>Wh_hp&gt;='2025'!Maxi_hp</f>
        <v>0</v>
      </c>
      <c r="I83" s="390">
        <f>IF(H83,Wh_hp,'2025'!Maxi_hp)</f>
        <v>43.468612982947825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6.0144132041113019E-2</v>
      </c>
      <c r="M83" s="845"/>
      <c r="N83" s="845"/>
      <c r="O83" s="48">
        <f>IF(t&lt;Tnet,'2025'!Resal+('2025'!Salim-'2025'!Resal)*(1-EXP(('2025'!Tnet-t)/('2025'!Tau_j))),Resal+(Salim-Resal)*(1-EXP((Tnet-t)/(Tau_j))))*Salcycl</f>
        <v>3.2590095754581536E-2</v>
      </c>
      <c r="P83" s="169">
        <f>(INDEX(Models!$BJ83:$BT83,,T83)*(1-R83)+INDEX(Models!$BJ83:$BT83,,T83+1)*R83-ERP_i)*Q83*Ramure*Pc/MaxiM</f>
        <v>5.6534355650065714E-6</v>
      </c>
      <c r="Q83" s="305">
        <f t="shared" si="28"/>
        <v>0.5</v>
      </c>
      <c r="R83" s="177">
        <f t="shared" si="29"/>
        <v>0.48287189805757968</v>
      </c>
      <c r="S83" s="811">
        <f t="shared" si="30"/>
        <v>-2</v>
      </c>
      <c r="T83" s="176">
        <f t="shared" si="31"/>
        <v>4</v>
      </c>
      <c r="U83" s="251">
        <f t="shared" si="32"/>
        <v>-1.5171281019424203</v>
      </c>
      <c r="V83" s="383">
        <f t="shared" si="33"/>
        <v>43.004655460880024</v>
      </c>
      <c r="W83" s="402">
        <f t="shared" si="34"/>
        <v>24.735738856698301</v>
      </c>
      <c r="X83" s="157">
        <f t="shared" si="35"/>
        <v>46091</v>
      </c>
      <c r="Y83" s="385">
        <f t="shared" si="36"/>
        <v>23.752823342239573</v>
      </c>
      <c r="Z83" s="385">
        <f t="shared" si="37"/>
        <v>25.272836135847392</v>
      </c>
      <c r="AA83" s="386">
        <f t="shared" si="38"/>
        <v>27.200209390207601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7.0858765339287713E-2</v>
      </c>
      <c r="AD83" s="231">
        <f>(INDEX(Models!$BJ83:$BT83,,AH83)*(1-AF83)+INDEX(Models!$BJ83:$BT83,,AH83+1)*AF83-ERP_i)*AE83*Ramure*Pc/MaxiM</f>
        <v>4.7917723934928807E-4</v>
      </c>
      <c r="AE83" s="305">
        <f t="shared" si="40"/>
        <v>0.5</v>
      </c>
      <c r="AF83" s="177">
        <f t="shared" si="41"/>
        <v>7.8594644315583828E-3</v>
      </c>
      <c r="AG83" s="811">
        <f t="shared" si="49"/>
        <v>2</v>
      </c>
      <c r="AH83" s="176">
        <f t="shared" si="42"/>
        <v>8</v>
      </c>
      <c r="AI83" s="225">
        <f t="shared" si="43"/>
        <v>2.0078594644315584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15.695612999714344</v>
      </c>
      <c r="C84" s="841"/>
      <c r="D84" s="393">
        <f t="shared" si="25"/>
        <v>16.70038706630395</v>
      </c>
      <c r="E84" s="385">
        <f t="shared" si="47"/>
        <v>17.264329012181928</v>
      </c>
      <c r="F84" s="385">
        <f t="shared" si="26"/>
        <v>17.264336140316011</v>
      </c>
      <c r="G84" s="110">
        <f t="shared" si="48"/>
        <v>0.36219876963968056</v>
      </c>
      <c r="H84" s="414" t="b">
        <f>Wh_hp&gt;='2025'!Maxi_hp</f>
        <v>0</v>
      </c>
      <c r="I84" s="390">
        <f>IF(H84,Wh_hp,'2025'!Maxi_hp)</f>
        <v>34.137173352401021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6.0164717296697812E-2</v>
      </c>
      <c r="M84" s="845"/>
      <c r="N84" s="845"/>
      <c r="O84" s="48">
        <f>IF(t&lt;Tnet,'2025'!Resal+('2025'!Salim-'2025'!Resal)*(1-EXP(('2025'!Tnet-t)/('2025'!Tau_j))),Resal+(Salim-Resal)*(1-EXP((Tnet-t)/(Tau_j))))*Salcycl</f>
        <v>3.2665152840869432E-2</v>
      </c>
      <c r="P84" s="169">
        <f>(INDEX(Models!$BJ84:$BT84,,T84)*(1-R84)+INDEX(Models!$BJ84:$BT84,,T84+1)*R84-ERP_i)*Q84*Ramure*Pc/MaxiM</f>
        <v>4.6465596442752699E-6</v>
      </c>
      <c r="Q84" s="305">
        <f t="shared" si="28"/>
        <v>0.5</v>
      </c>
      <c r="R84" s="177">
        <f t="shared" si="29"/>
        <v>0.48332950206524439</v>
      </c>
      <c r="S84" s="811">
        <f t="shared" si="30"/>
        <v>-2</v>
      </c>
      <c r="T84" s="176">
        <f t="shared" si="31"/>
        <v>4</v>
      </c>
      <c r="U84" s="251">
        <f t="shared" si="32"/>
        <v>-1.5166704979347556</v>
      </c>
      <c r="V84" s="383">
        <f t="shared" si="33"/>
        <v>43.334069204971492</v>
      </c>
      <c r="W84" s="402">
        <f t="shared" si="34"/>
        <v>15.695612999714344</v>
      </c>
      <c r="X84" s="157">
        <f t="shared" si="35"/>
        <v>46092</v>
      </c>
      <c r="Y84" s="385">
        <f t="shared" si="36"/>
        <v>15.074698820566999</v>
      </c>
      <c r="Z84" s="385">
        <f t="shared" si="37"/>
        <v>16.039724298503433</v>
      </c>
      <c r="AA84" s="386">
        <f t="shared" si="38"/>
        <v>17.263634567448456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7.0895283618478244E-2</v>
      </c>
      <c r="AD84" s="231">
        <f>(INDEX(Models!$BJ84:$BT84,,AH84)*(1-AF84)+INDEX(Models!$BJ84:$BT84,,AH84+1)*AF84-ERP_i)*AE84*Ramure*Pc/MaxiM</f>
        <v>4.5732868327446848E-4</v>
      </c>
      <c r="AE84" s="305">
        <f t="shared" si="40"/>
        <v>0.5</v>
      </c>
      <c r="AF84" s="177">
        <f t="shared" si="41"/>
        <v>8.3170684392235295E-3</v>
      </c>
      <c r="AG84" s="811">
        <f t="shared" si="49"/>
        <v>2</v>
      </c>
      <c r="AH84" s="176">
        <f t="shared" si="42"/>
        <v>8</v>
      </c>
      <c r="AI84" s="225">
        <f t="shared" si="43"/>
        <v>2.0083170684392235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14.583376106938205</v>
      </c>
      <c r="C85" s="841"/>
      <c r="D85" s="393">
        <f t="shared" si="25"/>
        <v>15.517288822516219</v>
      </c>
      <c r="E85" s="385">
        <f t="shared" si="47"/>
        <v>16.042524290435598</v>
      </c>
      <c r="F85" s="385">
        <f t="shared" si="26"/>
        <v>16.042527244263201</v>
      </c>
      <c r="G85" s="110">
        <f t="shared" si="48"/>
        <v>0.33399613163176295</v>
      </c>
      <c r="H85" s="414" t="b">
        <f>Wh_hp&gt;='2025'!Maxi_hp</f>
        <v>0</v>
      </c>
      <c r="I85" s="390">
        <f>IF(H85,Wh_hp,'2025'!Maxi_hp)</f>
        <v>42.294025676295831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6.0185302101412708E-2</v>
      </c>
      <c r="M85" s="845"/>
      <c r="N85" s="845"/>
      <c r="O85" s="48">
        <f>IF(t&lt;Tnet,'2025'!Resal+('2025'!Salim-'2025'!Resal)*(1-EXP(('2025'!Tnet-t)/('2025'!Tau_j))),Resal+(Salim-Resal)*(1-EXP((Tnet-t)/(Tau_j))))*Salcycl</f>
        <v>3.2740200881760155E-2</v>
      </c>
      <c r="P85" s="169">
        <f>(INDEX(Models!$BJ85:$BT85,,T85)*(1-R85)+INDEX(Models!$BJ85:$BT85,,T85+1)*R85-ERP_i)*Q85*Ramure*Pc/MaxiM</f>
        <v>3.7911023316041235E-6</v>
      </c>
      <c r="Q85" s="305">
        <f t="shared" si="28"/>
        <v>0.5</v>
      </c>
      <c r="R85" s="177">
        <f t="shared" si="29"/>
        <v>0.4838053945645997</v>
      </c>
      <c r="S85" s="811">
        <f t="shared" si="30"/>
        <v>-2</v>
      </c>
      <c r="T85" s="176">
        <f t="shared" si="31"/>
        <v>4</v>
      </c>
      <c r="U85" s="251">
        <f t="shared" si="32"/>
        <v>-1.5161946054354003</v>
      </c>
      <c r="V85" s="383">
        <f t="shared" si="33"/>
        <v>43.663150928638288</v>
      </c>
      <c r="W85" s="402">
        <f t="shared" si="34"/>
        <v>14.583376106938205</v>
      </c>
      <c r="X85" s="157">
        <f t="shared" si="35"/>
        <v>46093</v>
      </c>
      <c r="Y85" s="385">
        <f t="shared" si="36"/>
        <v>14.007268383408805</v>
      </c>
      <c r="Z85" s="385">
        <f t="shared" si="37"/>
        <v>14.904287424668782</v>
      </c>
      <c r="AA85" s="386">
        <f t="shared" si="38"/>
        <v>16.042190592461392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7.0931906788798363E-2</v>
      </c>
      <c r="AD85" s="231">
        <f>(INDEX(Models!$BJ85:$BT85,,AH85)*(1-AF85)+INDEX(Models!$BJ85:$BT85,,AH85+1)*AF85-ERP_i)*AE85*Ramure*Pc/MaxiM</f>
        <v>4.3207715607316595E-4</v>
      </c>
      <c r="AE85" s="305">
        <f t="shared" si="40"/>
        <v>0.5</v>
      </c>
      <c r="AF85" s="177">
        <f t="shared" si="41"/>
        <v>8.79296093857862E-3</v>
      </c>
      <c r="AG85" s="811">
        <f t="shared" si="49"/>
        <v>2</v>
      </c>
      <c r="AH85" s="176">
        <f t="shared" si="42"/>
        <v>8</v>
      </c>
      <c r="AI85" s="225">
        <f t="shared" si="43"/>
        <v>2.0087929609385786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9.8989187829338263</v>
      </c>
      <c r="C86" s="841"/>
      <c r="D86" s="393">
        <f t="shared" si="25"/>
        <v>10.533071701839996</v>
      </c>
      <c r="E86" s="385">
        <f t="shared" si="47"/>
        <v>10.890444357322133</v>
      </c>
      <c r="F86" s="385">
        <f t="shared" si="26"/>
        <v>10.890444357322133</v>
      </c>
      <c r="G86" s="110">
        <f t="shared" si="48"/>
        <v>0.22501715355787186</v>
      </c>
      <c r="H86" s="414" t="b">
        <f>Wh_hp&gt;='2025'!Maxi_hp</f>
        <v>0</v>
      </c>
      <c r="I86" s="390">
        <f>IF(H86,Wh_hp,'2025'!Maxi_hp)</f>
        <v>41.647039184319176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6.0205886455267477E-2</v>
      </c>
      <c r="M86" s="845"/>
      <c r="N86" s="845"/>
      <c r="O86" s="48">
        <f>IF(t&lt;Tnet,'2025'!Resal+('2025'!Salim-'2025'!Resal)*(1-EXP(('2025'!Tnet-t)/('2025'!Tau_j))),Resal+(Salim-Resal)*(1-EXP((Tnet-t)/(Tau_j))))*Salcycl</f>
        <v>3.2815250118041275E-2</v>
      </c>
      <c r="P86" s="169">
        <f>(INDEX(Models!$BJ86:$BT86,,T86)*(1-R86)+INDEX(Models!$BJ86:$BT86,,T86+1)*R86-ERP_i)*Q86*Ramure*Pc/MaxiM</f>
        <v>3.0822087060910085E-6</v>
      </c>
      <c r="Q86" s="305">
        <f t="shared" si="28"/>
        <v>0.5</v>
      </c>
      <c r="R86" s="177">
        <f t="shared" si="29"/>
        <v>0.48430026781144542</v>
      </c>
      <c r="S86" s="811">
        <f t="shared" si="30"/>
        <v>-2</v>
      </c>
      <c r="T86" s="176">
        <f t="shared" si="31"/>
        <v>4</v>
      </c>
      <c r="U86" s="251">
        <f t="shared" si="32"/>
        <v>-1.5156997321885546</v>
      </c>
      <c r="V86" s="383">
        <f t="shared" si="33"/>
        <v>43.991705147289096</v>
      </c>
      <c r="W86" s="402">
        <f t="shared" si="34"/>
        <v>9.8989187829338263</v>
      </c>
      <c r="X86" s="157">
        <f t="shared" si="35"/>
        <v>46094</v>
      </c>
      <c r="Y86" s="385">
        <f t="shared" si="36"/>
        <v>9.5084272377899417</v>
      </c>
      <c r="Z86" s="385">
        <f t="shared" si="37"/>
        <v>10.117564156606475</v>
      </c>
      <c r="AA86" s="386">
        <f t="shared" si="38"/>
        <v>10.890444357322133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7.0968656131649641E-2</v>
      </c>
      <c r="AD86" s="231">
        <f>(INDEX(Models!$BJ86:$BT86,,AH86)*(1-AF86)+INDEX(Models!$BJ86:$BT86,,AH86+1)*AF86-ERP_i)*AE86*Ramure*Pc/MaxiM</f>
        <v>4.045222704623489E-4</v>
      </c>
      <c r="AE86" s="305">
        <f t="shared" si="40"/>
        <v>0.5</v>
      </c>
      <c r="AF86" s="177">
        <f t="shared" si="41"/>
        <v>9.2878341854243374E-3</v>
      </c>
      <c r="AG86" s="811">
        <f t="shared" si="49"/>
        <v>2</v>
      </c>
      <c r="AH86" s="176">
        <f t="shared" si="42"/>
        <v>8</v>
      </c>
      <c r="AI86" s="225">
        <f t="shared" si="43"/>
        <v>2.0092878341854243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14.26479726763209</v>
      </c>
      <c r="C87" s="841"/>
      <c r="D87" s="393">
        <f t="shared" si="25"/>
        <v>15.178973250151335</v>
      </c>
      <c r="E87" s="385">
        <f t="shared" si="47"/>
        <v>15.695193035497617</v>
      </c>
      <c r="F87" s="385">
        <f t="shared" si="26"/>
        <v>15.695194242484922</v>
      </c>
      <c r="G87" s="110">
        <f t="shared" si="48"/>
        <v>0.32186172600501506</v>
      </c>
      <c r="H87" s="414" t="b">
        <f>Wh_hp&gt;='2025'!Maxi_hp</f>
        <v>0</v>
      </c>
      <c r="I87" s="390">
        <f>IF(H87,Wh_hp,'2025'!Maxi_hp)</f>
        <v>41.178376020580401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6.0226470358272111E-2</v>
      </c>
      <c r="M87" s="845"/>
      <c r="N87" s="845"/>
      <c r="O87" s="48">
        <f>IF(t&lt;Tnet,'2025'!Resal+('2025'!Salim-'2025'!Resal)*(1-EXP(('2025'!Tnet-t)/('2025'!Tau_j))),Resal+(Salim-Resal)*(1-EXP((Tnet-t)/(Tau_j))))*Salcycl</f>
        <v>3.2890311331549418E-2</v>
      </c>
      <c r="P87" s="169">
        <f>(INDEX(Models!$BJ87:$BT87,,T87)*(1-R87)+INDEX(Models!$BJ87:$BT87,,T87+1)*R87-ERP_i)*Q87*Ramure*Pc/MaxiM</f>
        <v>2.4622624862819389E-6</v>
      </c>
      <c r="Q87" s="305">
        <f t="shared" si="28"/>
        <v>0.5</v>
      </c>
      <c r="R87" s="177">
        <f t="shared" si="29"/>
        <v>0.48481483704448314</v>
      </c>
      <c r="S87" s="811">
        <f t="shared" si="30"/>
        <v>-2</v>
      </c>
      <c r="T87" s="176">
        <f t="shared" si="31"/>
        <v>4</v>
      </c>
      <c r="U87" s="251">
        <f t="shared" si="32"/>
        <v>-1.5151851629555169</v>
      </c>
      <c r="V87" s="383">
        <f t="shared" si="33"/>
        <v>44.319538759695057</v>
      </c>
      <c r="W87" s="402">
        <f t="shared" si="34"/>
        <v>14.26479726763209</v>
      </c>
      <c r="X87" s="157">
        <f t="shared" si="35"/>
        <v>46095</v>
      </c>
      <c r="Y87" s="385">
        <f t="shared" si="36"/>
        <v>13.702439855717035</v>
      </c>
      <c r="Z87" s="385">
        <f t="shared" si="37"/>
        <v>14.58057651500447</v>
      </c>
      <c r="AA87" s="386">
        <f t="shared" si="38"/>
        <v>15.695009348005604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7.1005553949717609E-2</v>
      </c>
      <c r="AD87" s="231">
        <f>(INDEX(Models!$BJ87:$BT87,,AH87)*(1-AF87)+INDEX(Models!$BJ87:$BT87,,AH87+1)*AF87-ERP_i)*AE87*Ramure*Pc/MaxiM</f>
        <v>3.7718602243732023E-4</v>
      </c>
      <c r="AE87" s="305">
        <f t="shared" si="40"/>
        <v>0.5</v>
      </c>
      <c r="AF87" s="177">
        <f t="shared" si="41"/>
        <v>9.8024034184618358E-3</v>
      </c>
      <c r="AG87" s="811">
        <f t="shared" si="49"/>
        <v>2</v>
      </c>
      <c r="AH87" s="176">
        <f t="shared" si="42"/>
        <v>8</v>
      </c>
      <c r="AI87" s="225">
        <f t="shared" si="43"/>
        <v>2.0098024034184618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14.288190493683663</v>
      </c>
      <c r="C88" s="841"/>
      <c r="D88" s="393">
        <f t="shared" si="25"/>
        <v>15.204198669042004</v>
      </c>
      <c r="E88" s="385">
        <f t="shared" si="47"/>
        <v>15.722497006037056</v>
      </c>
      <c r="F88" s="385">
        <f t="shared" si="26"/>
        <v>15.722497874070111</v>
      </c>
      <c r="G88" s="110">
        <f t="shared" si="48"/>
        <v>0.32002906617906224</v>
      </c>
      <c r="H88" s="414" t="b">
        <f>Wh_hp&gt;='2025'!Maxi_hp</f>
        <v>0</v>
      </c>
      <c r="I88" s="390">
        <f>IF(H88,Wh_hp,'2025'!Maxi_hp)</f>
        <v>31.428093358036886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6.0247053810436491E-2</v>
      </c>
      <c r="M88" s="845"/>
      <c r="N88" s="845"/>
      <c r="O88" s="48">
        <f>IF(t&lt;Tnet,'2025'!Resal+('2025'!Salim-'2025'!Resal)*(1-EXP(('2025'!Tnet-t)/('2025'!Tau_j))),Resal+(Salim-Resal)*(1-EXP((Tnet-t)/(Tau_j))))*Salcycl</f>
        <v>3.2965395814420463E-2</v>
      </c>
      <c r="P88" s="169">
        <f>(INDEX(Models!$BJ88:$BT88,,T88)*(1-R88)+INDEX(Models!$BJ88:$BT88,,T88+1)*R88-ERP_i)*Q88*Ramure*Pc/MaxiM</f>
        <v>1.9294745397399802E-6</v>
      </c>
      <c r="Q88" s="305">
        <f t="shared" si="28"/>
        <v>0.5</v>
      </c>
      <c r="R88" s="177">
        <f t="shared" si="29"/>
        <v>0.48534984097611478</v>
      </c>
      <c r="S88" s="811">
        <f t="shared" si="30"/>
        <v>-2</v>
      </c>
      <c r="T88" s="176">
        <f t="shared" si="31"/>
        <v>4</v>
      </c>
      <c r="U88" s="251">
        <f t="shared" si="32"/>
        <v>-1.5146501590238852</v>
      </c>
      <c r="V88" s="383">
        <f t="shared" si="33"/>
        <v>44.646456287296765</v>
      </c>
      <c r="W88" s="402">
        <f t="shared" si="34"/>
        <v>14.288190493683663</v>
      </c>
      <c r="X88" s="157">
        <f t="shared" si="35"/>
        <v>46096</v>
      </c>
      <c r="Y88" s="385">
        <f t="shared" si="36"/>
        <v>13.725452719888425</v>
      </c>
      <c r="Z88" s="385">
        <f t="shared" si="37"/>
        <v>14.605384080508939</v>
      </c>
      <c r="AA88" s="386">
        <f t="shared" si="38"/>
        <v>15.722340389199296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7.1042623492471091E-2</v>
      </c>
      <c r="AD88" s="231">
        <f>(INDEX(Models!$BJ88:$BT88,,AH88)*(1-AF88)+INDEX(Models!$BJ88:$BT88,,AH88+1)*AF88-ERP_i)*AE88*Ramure*Pc/MaxiM</f>
        <v>3.500593052279337E-4</v>
      </c>
      <c r="AE88" s="305">
        <f t="shared" si="40"/>
        <v>0.5</v>
      </c>
      <c r="AF88" s="177">
        <f t="shared" si="41"/>
        <v>1.0337407350093475E-2</v>
      </c>
      <c r="AG88" s="811">
        <f t="shared" si="49"/>
        <v>2</v>
      </c>
      <c r="AH88" s="176">
        <f t="shared" si="42"/>
        <v>8</v>
      </c>
      <c r="AI88" s="225">
        <f t="shared" si="43"/>
        <v>2.0103374073500935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12.878211619240576</v>
      </c>
      <c r="C89" s="841"/>
      <c r="D89" s="393">
        <f t="shared" si="25"/>
        <v>13.70412696605305</v>
      </c>
      <c r="E89" s="385">
        <f t="shared" si="47"/>
        <v>14.172390036401765</v>
      </c>
      <c r="F89" s="385">
        <f t="shared" si="26"/>
        <v>14.172390036401765</v>
      </c>
      <c r="G89" s="110">
        <f t="shared" si="48"/>
        <v>0.28635856583817237</v>
      </c>
      <c r="H89" s="414" t="b">
        <f>Wh_hp&gt;='2025'!Maxi_hp</f>
        <v>0</v>
      </c>
      <c r="I89" s="390">
        <f>IF(H89,Wh_hp,'2025'!Maxi_hp)</f>
        <v>50.491533478793343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6.0267636811770386E-2</v>
      </c>
      <c r="M89" s="845"/>
      <c r="N89" s="845"/>
      <c r="O89" s="48">
        <f>IF(t&lt;Tnet,'2025'!Resal+('2025'!Salim-'2025'!Resal)*(1-EXP(('2025'!Tnet-t)/('2025'!Tau_j))),Resal+(Salim-Resal)*(1-EXP((Tnet-t)/(Tau_j))))*Salcycl</f>
        <v>3.304051533622647E-2</v>
      </c>
      <c r="P89" s="169">
        <f>(INDEX(Models!$BJ89:$BT89,,T89)*(1-R89)+INDEX(Models!$BJ89:$BT89,,T89+1)*R89-ERP_i)*Q89*Ramure*Pc/MaxiM</f>
        <v>1.4821326915685623E-6</v>
      </c>
      <c r="Q89" s="305">
        <f t="shared" si="28"/>
        <v>0.5</v>
      </c>
      <c r="R89" s="177">
        <f t="shared" si="29"/>
        <v>0.48590604226888656</v>
      </c>
      <c r="S89" s="811">
        <f t="shared" si="30"/>
        <v>-2</v>
      </c>
      <c r="T89" s="176">
        <f t="shared" si="31"/>
        <v>4</v>
      </c>
      <c r="U89" s="251">
        <f t="shared" si="32"/>
        <v>-1.5140939577311134</v>
      </c>
      <c r="V89" s="383">
        <f t="shared" si="33"/>
        <v>44.97226229055736</v>
      </c>
      <c r="W89" s="402">
        <f t="shared" si="34"/>
        <v>12.878211619240576</v>
      </c>
      <c r="X89" s="157">
        <f t="shared" si="35"/>
        <v>46097</v>
      </c>
      <c r="Y89" s="385">
        <f t="shared" si="36"/>
        <v>12.371593596352097</v>
      </c>
      <c r="Z89" s="385">
        <f t="shared" si="37"/>
        <v>13.165018127479399</v>
      </c>
      <c r="AA89" s="386">
        <f t="shared" si="38"/>
        <v>14.172390036401765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7.1079888877947403E-2</v>
      </c>
      <c r="AD89" s="231">
        <f>(INDEX(Models!$BJ89:$BT89,,AH89)*(1-AF89)+INDEX(Models!$BJ89:$BT89,,AH89+1)*AF89-ERP_i)*AE89*Ramure*Pc/MaxiM</f>
        <v>3.2313216365244886E-4</v>
      </c>
      <c r="AE89" s="305">
        <f t="shared" si="40"/>
        <v>0.5</v>
      </c>
      <c r="AF89" s="177">
        <f t="shared" si="41"/>
        <v>1.0893608642865704E-2</v>
      </c>
      <c r="AG89" s="811">
        <f t="shared" si="49"/>
        <v>2</v>
      </c>
      <c r="AH89" s="176">
        <f t="shared" si="42"/>
        <v>8</v>
      </c>
      <c r="AI89" s="225">
        <f t="shared" si="43"/>
        <v>2.0108936086428657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10.743281767878269</v>
      </c>
      <c r="C90" s="841"/>
      <c r="D90" s="393">
        <f t="shared" si="25"/>
        <v>11.432528557413168</v>
      </c>
      <c r="E90" s="385">
        <f t="shared" si="47"/>
        <v>11.824091409770602</v>
      </c>
      <c r="F90" s="385">
        <f t="shared" si="26"/>
        <v>11.824091409770602</v>
      </c>
      <c r="G90" s="110">
        <f t="shared" si="48"/>
        <v>0.23717522899257226</v>
      </c>
      <c r="H90" s="414" t="b">
        <f>Wh_hp&gt;='2025'!Maxi_hp</f>
        <v>0</v>
      </c>
      <c r="I90" s="390">
        <f>IF(H90,Wh_hp,'2025'!Maxi_hp)</f>
        <v>27.136616542417517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6.028821936228379E-2</v>
      </c>
      <c r="M90" s="845"/>
      <c r="N90" s="845"/>
      <c r="O90" s="48">
        <f>IF(t&lt;Tnet,'2025'!Resal+('2025'!Salim-'2025'!Resal)*(1-EXP(('2025'!Tnet-t)/('2025'!Tau_j))),Resal+(Salim-Resal)*(1-EXP((Tnet-t)/(Tau_j))))*Salcycl</f>
        <v>3.3115682109314142E-2</v>
      </c>
      <c r="P90" s="169">
        <f>(INDEX(Models!$BJ90:$BT90,,T90)*(1-R90)+INDEX(Models!$BJ90:$BT90,,T90+1)*R90-ERP_i)*Q90*Ramure*Pc/MaxiM</f>
        <v>1.1186061986928994E-6</v>
      </c>
      <c r="Q90" s="305">
        <f t="shared" si="28"/>
        <v>0.5</v>
      </c>
      <c r="R90" s="177">
        <f t="shared" si="29"/>
        <v>0.48648422799465085</v>
      </c>
      <c r="S90" s="811">
        <f t="shared" si="30"/>
        <v>-2</v>
      </c>
      <c r="T90" s="176">
        <f t="shared" si="31"/>
        <v>4</v>
      </c>
      <c r="U90" s="251">
        <f t="shared" si="32"/>
        <v>-1.5135157720053491</v>
      </c>
      <c r="V90" s="383">
        <f t="shared" si="33"/>
        <v>45.296761369262306</v>
      </c>
      <c r="W90" s="402">
        <f t="shared" si="34"/>
        <v>10.743281767878269</v>
      </c>
      <c r="X90" s="157">
        <f t="shared" si="35"/>
        <v>46098</v>
      </c>
      <c r="Y90" s="385">
        <f t="shared" si="36"/>
        <v>10.321035913901</v>
      </c>
      <c r="Z90" s="385">
        <f t="shared" si="37"/>
        <v>10.983193066811229</v>
      </c>
      <c r="AA90" s="386">
        <f t="shared" si="38"/>
        <v>11.824091409770602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7.1117375011539183E-2</v>
      </c>
      <c r="AD90" s="231">
        <f>(INDEX(Models!$BJ90:$BT90,,AH90)*(1-AF90)+INDEX(Models!$BJ90:$BT90,,AH90+1)*AF90-ERP_i)*AE90*Ramure*Pc/MaxiM</f>
        <v>2.9639378032241936E-4</v>
      </c>
      <c r="AE90" s="305">
        <f t="shared" si="40"/>
        <v>0.5</v>
      </c>
      <c r="AF90" s="177">
        <f t="shared" si="41"/>
        <v>1.1471794368629773E-2</v>
      </c>
      <c r="AG90" s="811">
        <f t="shared" si="49"/>
        <v>2</v>
      </c>
      <c r="AH90" s="176">
        <f t="shared" si="42"/>
        <v>8</v>
      </c>
      <c r="AI90" s="225">
        <f t="shared" si="43"/>
        <v>2.0114717943686298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14.323634937814361</v>
      </c>
      <c r="C91" s="841"/>
      <c r="D91" s="393">
        <f t="shared" si="25"/>
        <v>15.24291699241123</v>
      </c>
      <c r="E91" s="385">
        <f t="shared" si="47"/>
        <v>15.766211892717541</v>
      </c>
      <c r="F91" s="385">
        <f t="shared" si="26"/>
        <v>15.76621215635371</v>
      </c>
      <c r="G91" s="110">
        <f t="shared" si="48"/>
        <v>0.31397849878389589</v>
      </c>
      <c r="H91" s="414" t="b">
        <f>Wh_hp&gt;='2025'!Maxi_hp</f>
        <v>0</v>
      </c>
      <c r="I91" s="390">
        <f>IF(H91,Wh_hp,'2025'!Maxi_hp)</f>
        <v>35.441978382349127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6.0308801461986472E-2</v>
      </c>
      <c r="M91" s="845"/>
      <c r="N91" s="845"/>
      <c r="O91" s="48">
        <f>IF(t&lt;Tnet,'2025'!Resal+('2025'!Salim-'2025'!Resal)*(1-EXP(('2025'!Tnet-t)/('2025'!Tau_j))),Resal+(Salim-Resal)*(1-EXP((Tnet-t)/(Tau_j))))*Salcycl</f>
        <v>3.3190908752661251E-2</v>
      </c>
      <c r="P91" s="169">
        <f>(INDEX(Models!$BJ91:$BT91,,T91)*(1-R91)+INDEX(Models!$BJ91:$BT91,,T91+1)*R91-ERP_i)*Q91*Ramure*Pc/MaxiM</f>
        <v>8.3735019975220136E-7</v>
      </c>
      <c r="Q91" s="305">
        <f t="shared" si="28"/>
        <v>0.5</v>
      </c>
      <c r="R91" s="177">
        <f t="shared" si="29"/>
        <v>0.48708521007327632</v>
      </c>
      <c r="S91" s="811">
        <f t="shared" si="30"/>
        <v>-2</v>
      </c>
      <c r="T91" s="176">
        <f t="shared" si="31"/>
        <v>4</v>
      </c>
      <c r="U91" s="251">
        <f t="shared" si="32"/>
        <v>-1.5129147899267237</v>
      </c>
      <c r="V91" s="383">
        <f t="shared" si="33"/>
        <v>45.619758164676703</v>
      </c>
      <c r="W91" s="402">
        <f t="shared" si="34"/>
        <v>14.323634937814361</v>
      </c>
      <c r="X91" s="157">
        <f t="shared" si="35"/>
        <v>46099</v>
      </c>
      <c r="Y91" s="385">
        <f t="shared" si="36"/>
        <v>13.761107344234331</v>
      </c>
      <c r="Z91" s="385">
        <f t="shared" si="37"/>
        <v>14.644286724877364</v>
      </c>
      <c r="AA91" s="386">
        <f t="shared" si="38"/>
        <v>15.766127200744277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7.1155107502491446E-2</v>
      </c>
      <c r="AD91" s="231">
        <f>(INDEX(Models!$BJ91:$BT91,,AH91)*(1-AF91)+INDEX(Models!$BJ91:$BT91,,AH91+1)*AF91-ERP_i)*AE91*Ramure*Pc/MaxiM</f>
        <v>2.698324615740083E-4</v>
      </c>
      <c r="AE91" s="305">
        <f t="shared" si="40"/>
        <v>0.5</v>
      </c>
      <c r="AF91" s="177">
        <f t="shared" si="41"/>
        <v>1.207277644725524E-2</v>
      </c>
      <c r="AG91" s="811">
        <f t="shared" si="49"/>
        <v>2</v>
      </c>
      <c r="AH91" s="176">
        <f t="shared" si="42"/>
        <v>8</v>
      </c>
      <c r="AI91" s="225">
        <f t="shared" si="43"/>
        <v>2.0120727764472552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29.068205395058545</v>
      </c>
      <c r="C92" s="841"/>
      <c r="D92" s="393">
        <f t="shared" si="25"/>
        <v>30.934462430348415</v>
      </c>
      <c r="E92" s="385">
        <f t="shared" si="47"/>
        <v>31.998946033009009</v>
      </c>
      <c r="F92" s="385">
        <f t="shared" si="26"/>
        <v>31.998955720373029</v>
      </c>
      <c r="G92" s="110">
        <f t="shared" si="48"/>
        <v>0.63272805094774787</v>
      </c>
      <c r="H92" s="414" t="b">
        <f>Wh_hp&gt;='2025'!Maxi_hp</f>
        <v>0</v>
      </c>
      <c r="I92" s="390">
        <f>IF(H92,Wh_hp,'2025'!Maxi_hp)</f>
        <v>46.110957889709681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6.0329383110888313E-2</v>
      </c>
      <c r="M92" s="845"/>
      <c r="N92" s="845"/>
      <c r="O92" s="48">
        <f>IF(t&lt;Tnet,'2025'!Resal+('2025'!Salim-'2025'!Resal)*(1-EXP(('2025'!Tnet-t)/('2025'!Tau_j))),Resal+(Salim-Resal)*(1-EXP((Tnet-t)/(Tau_j))))*Salcycl</f>
        <v>3.3266208254562821E-2</v>
      </c>
      <c r="P92" s="169">
        <f>(INDEX(Models!$BJ92:$BT92,,T92)*(1-R92)+INDEX(Models!$BJ92:$BT92,,T92+1)*R92-ERP_i)*Q92*Ramure*Pc/MaxiM</f>
        <v>6.3691013827385584E-7</v>
      </c>
      <c r="Q92" s="305">
        <f t="shared" si="28"/>
        <v>0.5</v>
      </c>
      <c r="R92" s="177">
        <f t="shared" si="29"/>
        <v>0.48770982568748278</v>
      </c>
      <c r="S92" s="811">
        <f t="shared" si="30"/>
        <v>-2</v>
      </c>
      <c r="T92" s="176">
        <f t="shared" si="31"/>
        <v>4</v>
      </c>
      <c r="U92" s="251">
        <f t="shared" si="32"/>
        <v>-1.5122901743125172</v>
      </c>
      <c r="V92" s="383">
        <f t="shared" si="33"/>
        <v>45.941057359143471</v>
      </c>
      <c r="W92" s="402">
        <f t="shared" si="34"/>
        <v>29.068205395058545</v>
      </c>
      <c r="X92" s="157">
        <f t="shared" si="35"/>
        <v>46100</v>
      </c>
      <c r="Y92" s="385">
        <f t="shared" si="36"/>
        <v>27.924578326119217</v>
      </c>
      <c r="Z92" s="385">
        <f t="shared" si="37"/>
        <v>29.717411425044624</v>
      </c>
      <c r="AA92" s="386">
        <f t="shared" si="38"/>
        <v>31.995253079522183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7.1193112578798096E-2</v>
      </c>
      <c r="AD92" s="231">
        <f>(INDEX(Models!$BJ92:$BT92,,AH92)*(1-AF92)+INDEX(Models!$BJ92:$BT92,,AH92+1)*AF92-ERP_i)*AE92*Ramure*Pc/MaxiM</f>
        <v>2.434356230995349E-4</v>
      </c>
      <c r="AE92" s="305">
        <f t="shared" si="40"/>
        <v>0.5</v>
      </c>
      <c r="AF92" s="177">
        <f t="shared" si="41"/>
        <v>1.2697392061461699E-2</v>
      </c>
      <c r="AG92" s="811">
        <f t="shared" si="49"/>
        <v>2</v>
      </c>
      <c r="AH92" s="176">
        <f t="shared" si="42"/>
        <v>8</v>
      </c>
      <c r="AI92" s="225">
        <f t="shared" si="43"/>
        <v>2.0126973920614617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30.022738568890741</v>
      </c>
      <c r="C93" s="841"/>
      <c r="D93" s="393">
        <f t="shared" si="25"/>
        <v>31.950979011896262</v>
      </c>
      <c r="E93" s="385">
        <f t="shared" si="47"/>
        <v>33.053019361763795</v>
      </c>
      <c r="F93" s="385">
        <f t="shared" si="26"/>
        <v>33.053027862337785</v>
      </c>
      <c r="G93" s="110">
        <f t="shared" si="48"/>
        <v>0.64895681543701367</v>
      </c>
      <c r="H93" s="414" t="b">
        <f>Wh_hp&gt;='2025'!Maxi_hp</f>
        <v>0</v>
      </c>
      <c r="I93" s="390">
        <f>IF(H93,Wh_hp,'2025'!Maxi_hp)</f>
        <v>51.145293953169229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6.0349964308999193E-2</v>
      </c>
      <c r="M93" s="845"/>
      <c r="N93" s="845"/>
      <c r="O93" s="48">
        <f>IF(t&lt;Tnet,'2025'!Resal+('2025'!Salim-'2025'!Resal)*(1-EXP(('2025'!Tnet-t)/('2025'!Tau_j))),Resal+(Salim-Resal)*(1-EXP((Tnet-t)/(Tau_j))))*Salcycl</f>
        <v>3.3341593934452719E-2</v>
      </c>
      <c r="P93" s="169">
        <f>(INDEX(Models!$BJ93:$BT93,,T93)*(1-R93)+INDEX(Models!$BJ93:$BT93,,T93+1)*R93-ERP_i)*Q93*Ramure*Pc/MaxiM</f>
        <v>5.1589717320242142E-7</v>
      </c>
      <c r="Q93" s="305">
        <f t="shared" si="28"/>
        <v>0.5</v>
      </c>
      <c r="R93" s="177">
        <f t="shared" si="29"/>
        <v>0.4883589376701043</v>
      </c>
      <c r="S93" s="811">
        <f t="shared" si="30"/>
        <v>-2</v>
      </c>
      <c r="T93" s="176">
        <f t="shared" si="31"/>
        <v>4</v>
      </c>
      <c r="U93" s="251">
        <f t="shared" si="32"/>
        <v>-1.5116410623298957</v>
      </c>
      <c r="V93" s="383">
        <f t="shared" si="33"/>
        <v>46.263064178268515</v>
      </c>
      <c r="W93" s="402">
        <f t="shared" si="34"/>
        <v>30.022738568890741</v>
      </c>
      <c r="X93" s="157">
        <f t="shared" si="35"/>
        <v>46101</v>
      </c>
      <c r="Y93" s="385">
        <f t="shared" si="36"/>
        <v>28.842830588683061</v>
      </c>
      <c r="Z93" s="385">
        <f t="shared" si="37"/>
        <v>30.695290260349527</v>
      </c>
      <c r="AA93" s="386">
        <f t="shared" si="38"/>
        <v>33.049449370089192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7.1231417001163491E-2</v>
      </c>
      <c r="AD93" s="231">
        <f>(INDEX(Models!$BJ93:$BT93,,AH93)*(1-AF93)+INDEX(Models!$BJ93:$BT93,,AH93+1)*AF93-ERP_i)*AE93*Ramure*Pc/MaxiM</f>
        <v>2.1717757388464763E-4</v>
      </c>
      <c r="AE93" s="305">
        <f t="shared" si="40"/>
        <v>0.5</v>
      </c>
      <c r="AF93" s="177">
        <f t="shared" si="41"/>
        <v>1.3346504044083218E-2</v>
      </c>
      <c r="AG93" s="811">
        <f t="shared" si="49"/>
        <v>2</v>
      </c>
      <c r="AH93" s="176">
        <f t="shared" si="42"/>
        <v>8</v>
      </c>
      <c r="AI93" s="225">
        <f t="shared" si="43"/>
        <v>2.0133465040440832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43.774427391831416</v>
      </c>
      <c r="C94" s="841"/>
      <c r="D94" s="393">
        <f t="shared" si="25"/>
        <v>46.586904190285964</v>
      </c>
      <c r="E94" s="385">
        <f t="shared" si="47"/>
        <v>48.197524700278855</v>
      </c>
      <c r="F94" s="385">
        <f t="shared" si="26"/>
        <v>48.197545621829782</v>
      </c>
      <c r="G94" s="110">
        <f t="shared" si="48"/>
        <v>0.93961411783546989</v>
      </c>
      <c r="H94" s="414" t="b">
        <f>Wh_hp&gt;='2025'!Maxi_hp</f>
        <v>0</v>
      </c>
      <c r="I94" s="390">
        <f>IF(H94,Wh_hp,'2025'!Maxi_hp)</f>
        <v>51.378117175877115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6.0370545056329106E-2</v>
      </c>
      <c r="M94" s="845"/>
      <c r="N94" s="845"/>
      <c r="O94" s="48">
        <f>IF(t&lt;Tnet,'2025'!Resal+('2025'!Salim-'2025'!Resal)*(1-EXP(('2025'!Tnet-t)/('2025'!Tau_j))),Resal+(Salim-Resal)*(1-EXP((Tnet-t)/(Tau_j))))*Salcycl</f>
        <v>3.341707940415399E-2</v>
      </c>
      <c r="P94" s="169">
        <f>(INDEX(Models!$BJ94:$BT94,,T94)*(1-R94)+INDEX(Models!$BJ94:$BT94,,T94+1)*R94-ERP_i)*Q94*Ramure*Pc/MaxiM</f>
        <v>4.750605045057748E-7</v>
      </c>
      <c r="Q94" s="305">
        <f t="shared" si="28"/>
        <v>0.5</v>
      </c>
      <c r="R94" s="177">
        <f t="shared" si="29"/>
        <v>0.48903343485980466</v>
      </c>
      <c r="S94" s="811">
        <f t="shared" si="30"/>
        <v>-2</v>
      </c>
      <c r="T94" s="176">
        <f t="shared" si="31"/>
        <v>4</v>
      </c>
      <c r="U94" s="251">
        <f t="shared" si="32"/>
        <v>-1.5109665651401953</v>
      </c>
      <c r="V94" s="383">
        <f t="shared" si="33"/>
        <v>46.587662708534957</v>
      </c>
      <c r="W94" s="402">
        <f t="shared" si="34"/>
        <v>43.774427391831416</v>
      </c>
      <c r="X94" s="157">
        <f t="shared" si="35"/>
        <v>46102</v>
      </c>
      <c r="Y94" s="385">
        <f t="shared" si="36"/>
        <v>42.052794083145699</v>
      </c>
      <c r="Z94" s="385">
        <f t="shared" si="37"/>
        <v>44.754657127757547</v>
      </c>
      <c r="AA94" s="386">
        <f t="shared" si="38"/>
        <v>48.189096335543617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7.1270047976659673E-2</v>
      </c>
      <c r="AD94" s="231">
        <f>(INDEX(Models!$BJ94:$BT94,,AH94)*(1-AF94)+INDEX(Models!$BJ94:$BT94,,AH94+1)*AF94-ERP_i)*AE94*Ramure*Pc/MaxiM</f>
        <v>1.9185586284817006E-4</v>
      </c>
      <c r="AE94" s="305">
        <f t="shared" si="40"/>
        <v>0.5</v>
      </c>
      <c r="AF94" s="177">
        <f t="shared" si="41"/>
        <v>1.4021001233783359E-2</v>
      </c>
      <c r="AG94" s="811">
        <f t="shared" si="49"/>
        <v>2</v>
      </c>
      <c r="AH94" s="176">
        <f t="shared" si="42"/>
        <v>8</v>
      </c>
      <c r="AI94" s="225">
        <f t="shared" si="43"/>
        <v>2.0140210012337834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41.190423874948713</v>
      </c>
      <c r="C95" s="841"/>
      <c r="D95" s="393">
        <f t="shared" si="25"/>
        <v>43.837840389085891</v>
      </c>
      <c r="E95" s="385">
        <f t="shared" si="47"/>
        <v>45.356966693597705</v>
      </c>
      <c r="F95" s="385">
        <f t="shared" si="26"/>
        <v>45.356982984599853</v>
      </c>
      <c r="G95" s="110">
        <f t="shared" si="48"/>
        <v>0.87800072644026228</v>
      </c>
      <c r="H95" s="414" t="b">
        <f>Wh_hp&gt;='2025'!Maxi_hp</f>
        <v>0</v>
      </c>
      <c r="I95" s="390">
        <f>IF(H95,Wh_hp,'2025'!Maxi_hp)</f>
        <v>50.23936086110939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6.039112535288782E-2</v>
      </c>
      <c r="M95" s="845"/>
      <c r="N95" s="845"/>
      <c r="O95" s="48">
        <f>IF(t&lt;Tnet,'2025'!Resal+('2025'!Salim-'2025'!Resal)*(1-EXP(('2025'!Tnet-t)/('2025'!Tau_j))),Resal+(Salim-Resal)*(1-EXP((Tnet-t)/(Tau_j))))*Salcycl</f>
        <v>3.3492678528836486E-2</v>
      </c>
      <c r="P95" s="169">
        <f>(INDEX(Models!$BJ95:$BT95,,T95)*(1-R95)+INDEX(Models!$BJ95:$BT95,,T95+1)*R95-ERP_i)*Q95*Ramure*Pc/MaxiM</f>
        <v>4.349839652000636E-7</v>
      </c>
      <c r="Q95" s="305">
        <f t="shared" si="28"/>
        <v>0.5</v>
      </c>
      <c r="R95" s="177">
        <f t="shared" si="29"/>
        <v>0.48973423242097924</v>
      </c>
      <c r="S95" s="811">
        <f t="shared" si="30"/>
        <v>-2</v>
      </c>
      <c r="T95" s="176">
        <f t="shared" si="31"/>
        <v>4</v>
      </c>
      <c r="U95" s="251">
        <f t="shared" si="32"/>
        <v>-1.5102657675790208</v>
      </c>
      <c r="V95" s="383">
        <f t="shared" si="33"/>
        <v>46.91388003659354</v>
      </c>
      <c r="W95" s="402">
        <f t="shared" si="34"/>
        <v>41.190423874948713</v>
      </c>
      <c r="X95" s="157">
        <f t="shared" si="35"/>
        <v>46103</v>
      </c>
      <c r="Y95" s="385">
        <f t="shared" si="36"/>
        <v>39.57327729357705</v>
      </c>
      <c r="Z95" s="385">
        <f t="shared" si="37"/>
        <v>42.116755557933125</v>
      </c>
      <c r="AA95" s="386">
        <f t="shared" si="38"/>
        <v>45.350667830097187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7.1309033072669781E-2</v>
      </c>
      <c r="AD95" s="231">
        <f>(INDEX(Models!$BJ95:$BT95,,AH95)*(1-AF95)+INDEX(Models!$BJ95:$BT95,,AH95+1)*AF95-ERP_i)*AE95*Ramure*Pc/MaxiM</f>
        <v>1.6862013284634934E-4</v>
      </c>
      <c r="AE95" s="305">
        <f t="shared" si="40"/>
        <v>0.5</v>
      </c>
      <c r="AF95" s="177">
        <f t="shared" si="41"/>
        <v>1.4721798794958385E-2</v>
      </c>
      <c r="AG95" s="811">
        <f t="shared" si="49"/>
        <v>2</v>
      </c>
      <c r="AH95" s="176">
        <f t="shared" si="42"/>
        <v>8</v>
      </c>
      <c r="AI95" s="225">
        <f t="shared" si="43"/>
        <v>2.0147217987949584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47.261787818524695</v>
      </c>
      <c r="C96" s="841"/>
      <c r="D96" s="393">
        <f t="shared" si="25"/>
        <v>50.300528518736677</v>
      </c>
      <c r="E96" s="385">
        <f t="shared" si="47"/>
        <v>52.047686353764291</v>
      </c>
      <c r="F96" s="385">
        <f t="shared" si="26"/>
        <v>52.047706946675838</v>
      </c>
      <c r="G96" s="110">
        <f t="shared" si="48"/>
        <v>1.0004455446389744</v>
      </c>
      <c r="H96" s="414" t="b">
        <f>Wh_hp&gt;='2025'!Maxi_hp</f>
        <v>1</v>
      </c>
      <c r="I96" s="390">
        <f>IF(H96,Wh_hp,'2025'!Maxi_hp)</f>
        <v>52.047706946675838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6.0411705198685217E-2</v>
      </c>
      <c r="M96" s="845"/>
      <c r="N96" s="845"/>
      <c r="O96" s="48">
        <f>IF(t&lt;Tnet,'2025'!Resal+('2025'!Salim-'2025'!Resal)*(1-EXP(('2025'!Tnet-t)/('2025'!Tau_j))),Resal+(Salim-Resal)*(1-EXP((Tnet-t)/(Tau_j))))*Salcycl</f>
        <v>3.3568405387941924E-2</v>
      </c>
      <c r="P96" s="169">
        <f>(INDEX(Models!$BJ96:$BT96,,T96)*(1-R96)+INDEX(Models!$BJ96:$BT96,,T96+1)*R96-ERP_i)*Q96*Ramure*Pc/MaxiM</f>
        <v>3.9565453993418795E-7</v>
      </c>
      <c r="Q96" s="305">
        <f t="shared" si="28"/>
        <v>0.5</v>
      </c>
      <c r="R96" s="177">
        <f t="shared" si="29"/>
        <v>0.49046227212327387</v>
      </c>
      <c r="S96" s="811">
        <f t="shared" si="30"/>
        <v>-2</v>
      </c>
      <c r="T96" s="176">
        <f t="shared" si="31"/>
        <v>4</v>
      </c>
      <c r="U96" s="251">
        <f t="shared" si="32"/>
        <v>-1.5095377278767261</v>
      </c>
      <c r="V96" s="383">
        <f t="shared" si="33"/>
        <v>47.240739960094302</v>
      </c>
      <c r="W96" s="402">
        <f t="shared" si="34"/>
        <v>47.261787818524695</v>
      </c>
      <c r="X96" s="157">
        <f t="shared" si="35"/>
        <v>46104</v>
      </c>
      <c r="Y96" s="385">
        <f t="shared" si="36"/>
        <v>45.407540284230215</v>
      </c>
      <c r="Z96" s="385">
        <f t="shared" si="37"/>
        <v>48.327060410892081</v>
      </c>
      <c r="AA96" s="386">
        <f t="shared" si="38"/>
        <v>52.040033547289099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7.134840013166055E-2</v>
      </c>
      <c r="AD96" s="231">
        <f>(INDEX(Models!$BJ96:$BT96,,AH96)*(1-AF96)+INDEX(Models!$BJ96:$BT96,,AH96+1)*AF96-ERP_i)*AE96*Ramure*Pc/MaxiM</f>
        <v>1.4743011434876314E-4</v>
      </c>
      <c r="AE96" s="305">
        <f t="shared" si="40"/>
        <v>0.5</v>
      </c>
      <c r="AF96" s="177">
        <f t="shared" si="41"/>
        <v>1.5449838497252788E-2</v>
      </c>
      <c r="AG96" s="811">
        <f t="shared" si="49"/>
        <v>2</v>
      </c>
      <c r="AH96" s="176">
        <f t="shared" si="42"/>
        <v>8</v>
      </c>
      <c r="AI96" s="225">
        <f t="shared" si="43"/>
        <v>2.0154498384972528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46.249601002595718</v>
      </c>
      <c r="C97" s="841"/>
      <c r="D97" s="393">
        <f t="shared" si="25"/>
        <v>49.224340347409026</v>
      </c>
      <c r="E97" s="385">
        <f t="shared" si="47"/>
        <v>50.938116301332364</v>
      </c>
      <c r="F97" s="385">
        <f t="shared" si="26"/>
        <v>50.938133769329468</v>
      </c>
      <c r="G97" s="110">
        <f t="shared" si="48"/>
        <v>0.97229888567702727</v>
      </c>
      <c r="H97" s="414" t="b">
        <f>Wh_hp&gt;='2025'!Maxi_hp</f>
        <v>0</v>
      </c>
      <c r="I97" s="390">
        <f>IF(H97,Wh_hp,'2025'!Maxi_hp)</f>
        <v>51.495753799818651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6.0432284593731178E-2</v>
      </c>
      <c r="M97" s="845"/>
      <c r="N97" s="845"/>
      <c r="O97" s="48">
        <f>IF(t&lt;Tnet,'2025'!Resal+('2025'!Salim-'2025'!Resal)*(1-EXP(('2025'!Tnet-t)/('2025'!Tau_j))),Resal+(Salim-Resal)*(1-EXP((Tnet-t)/(Tau_j))))*Salcycl</f>
        <v>3.3644274236315067E-2</v>
      </c>
      <c r="P97" s="169">
        <f>(INDEX(Models!$BJ97:$BT97,,T97)*(1-R97)+INDEX(Models!$BJ97:$BT97,,T97+1)*R97-ERP_i)*Q97*Ramure*Pc/MaxiM</f>
        <v>3.5705549519034213E-7</v>
      </c>
      <c r="Q97" s="305">
        <f t="shared" si="28"/>
        <v>0.5</v>
      </c>
      <c r="R97" s="177">
        <f t="shared" si="29"/>
        <v>0.49121852257583365</v>
      </c>
      <c r="S97" s="811">
        <f t="shared" si="30"/>
        <v>-2</v>
      </c>
      <c r="T97" s="176">
        <f t="shared" si="31"/>
        <v>4</v>
      </c>
      <c r="U97" s="251">
        <f t="shared" si="32"/>
        <v>-1.5087814774241664</v>
      </c>
      <c r="V97" s="383">
        <f t="shared" si="33"/>
        <v>47.567266640335106</v>
      </c>
      <c r="W97" s="402">
        <f t="shared" si="34"/>
        <v>46.249601002595718</v>
      </c>
      <c r="X97" s="157">
        <f t="shared" si="35"/>
        <v>46105</v>
      </c>
      <c r="Y97" s="385">
        <f t="shared" si="36"/>
        <v>44.437726171926975</v>
      </c>
      <c r="Z97" s="385">
        <f t="shared" si="37"/>
        <v>47.295927098465825</v>
      </c>
      <c r="AA97" s="386">
        <f t="shared" si="38"/>
        <v>50.931859724990879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7.1388177187274374E-2</v>
      </c>
      <c r="AD97" s="231">
        <f>(INDEX(Models!$BJ97:$BT97,,AH97)*(1-AF97)+INDEX(Models!$BJ97:$BT97,,AH97+1)*AF97-ERP_i)*AE97*Ramure*Pc/MaxiM</f>
        <v>1.2824492669766943E-4</v>
      </c>
      <c r="AE97" s="305">
        <f t="shared" si="40"/>
        <v>0.5</v>
      </c>
      <c r="AF97" s="177">
        <f t="shared" si="41"/>
        <v>1.6206088949812791E-2</v>
      </c>
      <c r="AG97" s="811">
        <f t="shared" si="49"/>
        <v>2</v>
      </c>
      <c r="AH97" s="176">
        <f t="shared" si="42"/>
        <v>8</v>
      </c>
      <c r="AI97" s="225">
        <f t="shared" si="43"/>
        <v>2.0162060889498128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40.512194746045935</v>
      </c>
      <c r="C98" s="841"/>
      <c r="D98" s="393">
        <f t="shared" si="25"/>
        <v>43.118852874803032</v>
      </c>
      <c r="E98" s="385">
        <f t="shared" si="47"/>
        <v>44.62357312376853</v>
      </c>
      <c r="F98" s="385">
        <f t="shared" si="26"/>
        <v>44.623584230750041</v>
      </c>
      <c r="G98" s="110">
        <f t="shared" si="48"/>
        <v>0.84589872995310678</v>
      </c>
      <c r="H98" s="414" t="b">
        <f>Wh_hp&gt;='2025'!Maxi_hp</f>
        <v>0</v>
      </c>
      <c r="I98" s="390">
        <f>IF(H98,Wh_hp,'2025'!Maxi_hp)</f>
        <v>48.049790210842104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6.0452863538035473E-2</v>
      </c>
      <c r="M98" s="845"/>
      <c r="N98" s="845"/>
      <c r="O98" s="48">
        <f>IF(t&lt;Tnet,'2025'!Resal+('2025'!Salim-'2025'!Resal)*(1-EXP(('2025'!Tnet-t)/('2025'!Tau_j))),Resal+(Salim-Resal)*(1-EXP((Tnet-t)/(Tau_j))))*Salcycl</f>
        <v>3.37202994657552E-2</v>
      </c>
      <c r="P98" s="169">
        <f>(INDEX(Models!$BJ98:$BT98,,T98)*(1-R98)+INDEX(Models!$BJ98:$BT98,,T98+1)*R98-ERP_i)*Q98*Ramure*Pc/MaxiM</f>
        <v>3.1916665158441583E-7</v>
      </c>
      <c r="Q98" s="305">
        <f t="shared" si="28"/>
        <v>0.5</v>
      </c>
      <c r="R98" s="177">
        <f t="shared" si="29"/>
        <v>0.49200397941108087</v>
      </c>
      <c r="S98" s="811">
        <f t="shared" si="30"/>
        <v>-2</v>
      </c>
      <c r="T98" s="176">
        <f t="shared" si="31"/>
        <v>4</v>
      </c>
      <c r="U98" s="251">
        <f t="shared" si="32"/>
        <v>-1.5079960205889191</v>
      </c>
      <c r="V98" s="383">
        <f t="shared" si="33"/>
        <v>47.892484602489461</v>
      </c>
      <c r="W98" s="402">
        <f t="shared" si="34"/>
        <v>40.512194746045935</v>
      </c>
      <c r="X98" s="157">
        <f t="shared" si="35"/>
        <v>46106</v>
      </c>
      <c r="Y98" s="385">
        <f t="shared" si="36"/>
        <v>38.927886045501914</v>
      </c>
      <c r="Z98" s="385">
        <f t="shared" si="37"/>
        <v>41.432605704160778</v>
      </c>
      <c r="AA98" s="386">
        <f t="shared" si="38"/>
        <v>44.619720616326688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7.1428392382172759E-2</v>
      </c>
      <c r="AD98" s="231">
        <f>(INDEX(Models!$BJ98:$BT98,,AH98)*(1-AF98)+INDEX(Models!$BJ98:$BT98,,AH98+1)*AF98-ERP_i)*AE98*Ramure*Pc/MaxiM</f>
        <v>1.1102358249567008E-4</v>
      </c>
      <c r="AE98" s="305">
        <f t="shared" si="40"/>
        <v>0.5</v>
      </c>
      <c r="AF98" s="177">
        <f t="shared" si="41"/>
        <v>1.6991545785059792E-2</v>
      </c>
      <c r="AG98" s="811">
        <f t="shared" si="49"/>
        <v>2</v>
      </c>
      <c r="AH98" s="176">
        <f t="shared" si="42"/>
        <v>8</v>
      </c>
      <c r="AI98" s="225">
        <f t="shared" si="43"/>
        <v>2.0169915457850598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45.594027176283603</v>
      </c>
      <c r="C99" s="841"/>
      <c r="D99" s="393">
        <f t="shared" si="25"/>
        <v>48.528726292607374</v>
      </c>
      <c r="E99" s="385">
        <f t="shared" si="47"/>
        <v>50.226195692691526</v>
      </c>
      <c r="F99" s="385">
        <f t="shared" si="26"/>
        <v>50.226208754756364</v>
      </c>
      <c r="G99" s="110">
        <f t="shared" si="48"/>
        <v>0.94563165411215944</v>
      </c>
      <c r="H99" s="414" t="b">
        <f>Wh_hp&gt;='2025'!Maxi_hp</f>
        <v>0</v>
      </c>
      <c r="I99" s="390">
        <f>IF(H99,Wh_hp,'2025'!Maxi_hp)</f>
        <v>54.932815887950575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6.0473442031608204E-2</v>
      </c>
      <c r="M99" s="845"/>
      <c r="N99" s="845"/>
      <c r="O99" s="48">
        <f>IF(t&lt;Tnet,'2025'!Resal+('2025'!Salim-'2025'!Resal)*(1-EXP(('2025'!Tnet-t)/('2025'!Tau_j))),Resal+(Salim-Resal)*(1-EXP((Tnet-t)/(Tau_j))))*Salcycl</f>
        <v>3.3796495567175823E-2</v>
      </c>
      <c r="P99" s="169">
        <f>(INDEX(Models!$BJ99:$BT99,,T99)*(1-R99)+INDEX(Models!$BJ99:$BT99,,T99+1)*R99-ERP_i)*Q99*Ramure*Pc/MaxiM</f>
        <v>2.819646401784229E-7</v>
      </c>
      <c r="Q99" s="305">
        <f t="shared" si="28"/>
        <v>0.5</v>
      </c>
      <c r="R99" s="177">
        <f t="shared" si="29"/>
        <v>0.49281966541248456</v>
      </c>
      <c r="S99" s="811">
        <f t="shared" si="30"/>
        <v>-2</v>
      </c>
      <c r="T99" s="176">
        <f t="shared" si="31"/>
        <v>4</v>
      </c>
      <c r="U99" s="251">
        <f t="shared" si="32"/>
        <v>-1.5071803345875154</v>
      </c>
      <c r="V99" s="383">
        <f t="shared" si="33"/>
        <v>48.215418741016357</v>
      </c>
      <c r="W99" s="402">
        <f t="shared" si="34"/>
        <v>45.594027176283603</v>
      </c>
      <c r="X99" s="157">
        <f t="shared" si="35"/>
        <v>46107</v>
      </c>
      <c r="Y99" s="385">
        <f t="shared" si="36"/>
        <v>43.812444554824829</v>
      </c>
      <c r="Z99" s="385">
        <f t="shared" si="37"/>
        <v>46.632470560027315</v>
      </c>
      <c r="AA99" s="386">
        <f t="shared" si="38"/>
        <v>50.22177425504789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7.1469073888002083E-2</v>
      </c>
      <c r="AD99" s="231">
        <f>(INDEX(Models!$BJ99:$BT99,,AH99)*(1-AF99)+INDEX(Models!$BJ99:$BT99,,AH99+1)*AF99-ERP_i)*AE99*Ramure*Pc/MaxiM</f>
        <v>9.572545614858201E-5</v>
      </c>
      <c r="AE99" s="305">
        <f t="shared" si="40"/>
        <v>0.5</v>
      </c>
      <c r="AF99" s="177">
        <f t="shared" si="41"/>
        <v>1.7807231786463706E-2</v>
      </c>
      <c r="AG99" s="811">
        <f t="shared" si="49"/>
        <v>2</v>
      </c>
      <c r="AH99" s="176">
        <f t="shared" si="42"/>
        <v>8</v>
      </c>
      <c r="AI99" s="225">
        <f t="shared" si="43"/>
        <v>2.0178072317864637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44.41068904189067</v>
      </c>
      <c r="C100" s="841"/>
      <c r="D100" s="393">
        <f t="shared" si="25"/>
        <v>47.270256912479013</v>
      </c>
      <c r="E100" s="385">
        <f t="shared" si="47"/>
        <v>48.927574634560081</v>
      </c>
      <c r="F100" s="385">
        <f t="shared" si="26"/>
        <v>48.927585306978941</v>
      </c>
      <c r="G100" s="110">
        <f t="shared" si="48"/>
        <v>0.91502218032522886</v>
      </c>
      <c r="H100" s="414" t="b">
        <f>Wh_hp&gt;='2025'!Maxi_hp</f>
        <v>0</v>
      </c>
      <c r="I100" s="390">
        <f>IF(H100,Wh_hp,'2025'!Maxi_hp)</f>
        <v>54.175577399192605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6.0494020074459032E-2</v>
      </c>
      <c r="M100" s="845"/>
      <c r="N100" s="845"/>
      <c r="O100" s="48">
        <f>IF(t&lt;Tnet,'2025'!Resal+('2025'!Salim-'2025'!Resal)*(1-EXP(('2025'!Tnet-t)/('2025'!Tau_j))),Resal+(Salim-Resal)*(1-EXP((Tnet-t)/(Tau_j))))*Salcycl</f>
        <v>3.3872877093532081E-2</v>
      </c>
      <c r="P100" s="169">
        <f>(INDEX(Models!$BJ100:$BT100,,T100)*(1-R100)+INDEX(Models!$BJ100:$BT100,,T100+1)*R100-ERP_i)*Q100*Ramure*Pc/MaxiM</f>
        <v>2.4826547045549315E-7</v>
      </c>
      <c r="Q100" s="305">
        <f t="shared" si="28"/>
        <v>0.5</v>
      </c>
      <c r="R100" s="177">
        <f t="shared" si="29"/>
        <v>0.49366663058044913</v>
      </c>
      <c r="S100" s="811">
        <f t="shared" si="30"/>
        <v>-2</v>
      </c>
      <c r="T100" s="176">
        <f t="shared" si="31"/>
        <v>4</v>
      </c>
      <c r="U100" s="251">
        <f t="shared" si="32"/>
        <v>-1.5063333694195509</v>
      </c>
      <c r="V100" s="383">
        <f t="shared" si="33"/>
        <v>48.535094184959945</v>
      </c>
      <c r="W100" s="402">
        <f t="shared" si="34"/>
        <v>44.41068904189067</v>
      </c>
      <c r="X100" s="157">
        <f t="shared" si="35"/>
        <v>46108</v>
      </c>
      <c r="Y100" s="385">
        <f t="shared" si="36"/>
        <v>42.677493378486574</v>
      </c>
      <c r="Z100" s="385">
        <f t="shared" si="37"/>
        <v>45.425462200750346</v>
      </c>
      <c r="AA100" s="386">
        <f t="shared" si="38"/>
        <v>48.924031947929436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7.1510249827787392E-2</v>
      </c>
      <c r="AD100" s="231">
        <f>(INDEX(Models!$BJ100:$BT100,,AH100)*(1-AF100)+INDEX(Models!$BJ100:$BT100,,AH100+1)*AF100-ERP_i)*AE100*Ramure*Pc/MaxiM</f>
        <v>8.265945779195694E-5</v>
      </c>
      <c r="AE100" s="305">
        <f t="shared" si="40"/>
        <v>0.5</v>
      </c>
      <c r="AF100" s="177">
        <f t="shared" si="41"/>
        <v>1.8654196954428048E-2</v>
      </c>
      <c r="AG100" s="811">
        <f t="shared" si="49"/>
        <v>2</v>
      </c>
      <c r="AH100" s="176">
        <f t="shared" si="42"/>
        <v>8</v>
      </c>
      <c r="AI100" s="225">
        <f t="shared" si="43"/>
        <v>2.018654196954428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34.771132315374416</v>
      </c>
      <c r="C101" s="841"/>
      <c r="D101" s="393">
        <f t="shared" si="25"/>
        <v>37.010827660561063</v>
      </c>
      <c r="E101" s="385">
        <f t="shared" si="47"/>
        <v>38.311481724166192</v>
      </c>
      <c r="F101" s="385">
        <f t="shared" si="26"/>
        <v>38.311486675081959</v>
      </c>
      <c r="G101" s="110">
        <f t="shared" si="48"/>
        <v>0.71178602460011753</v>
      </c>
      <c r="H101" s="414" t="b">
        <f>Wh_hp&gt;='2025'!Maxi_hp</f>
        <v>0</v>
      </c>
      <c r="I101" s="390">
        <f>IF(H101,Wh_hp,'2025'!Maxi_hp)</f>
        <v>52.923988977147388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6.0514597666597947E-2</v>
      </c>
      <c r="M101" s="845"/>
      <c r="N101" s="845"/>
      <c r="O101" s="48">
        <f>IF(t&lt;Tnet,'2025'!Resal+('2025'!Salim-'2025'!Resal)*(1-EXP(('2025'!Tnet-t)/('2025'!Tau_j))),Resal+(Salim-Resal)*(1-EXP((Tnet-t)/(Tau_j))))*Salcycl</f>
        <v>3.3949458623645519E-2</v>
      </c>
      <c r="P101" s="169">
        <f>(INDEX(Models!$BJ101:$BT101,,T101)*(1-R101)+INDEX(Models!$BJ101:$BT101,,T101+1)*R101-ERP_i)*Q101*Ramure*Pc/MaxiM</f>
        <v>2.1967614642874512E-7</v>
      </c>
      <c r="Q101" s="305">
        <f t="shared" si="28"/>
        <v>0.5</v>
      </c>
      <c r="R101" s="177">
        <f t="shared" si="29"/>
        <v>0.49454595213011343</v>
      </c>
      <c r="S101" s="811">
        <f t="shared" si="30"/>
        <v>-2</v>
      </c>
      <c r="T101" s="176">
        <f t="shared" si="31"/>
        <v>4</v>
      </c>
      <c r="U101" s="251">
        <f t="shared" si="32"/>
        <v>-1.5054540478698866</v>
      </c>
      <c r="V101" s="383">
        <f t="shared" si="33"/>
        <v>48.85053649363666</v>
      </c>
      <c r="W101" s="402">
        <f t="shared" si="34"/>
        <v>34.771132315374416</v>
      </c>
      <c r="X101" s="157">
        <f t="shared" si="35"/>
        <v>46109</v>
      </c>
      <c r="Y101" s="385">
        <f t="shared" si="36"/>
        <v>33.416314309252208</v>
      </c>
      <c r="Z101" s="385">
        <f t="shared" si="37"/>
        <v>35.56874244799976</v>
      </c>
      <c r="AA101" s="386">
        <f t="shared" si="38"/>
        <v>38.309889690737151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7.1551948200993296E-2</v>
      </c>
      <c r="AD101" s="231">
        <f>(INDEX(Models!$BJ101:$BT101,,AH101)*(1-AF101)+INDEX(Models!$BJ101:$BT101,,AH101+1)*AF101-ERP_i)*AE101*Ramure*Pc/MaxiM</f>
        <v>7.08594900560648E-5</v>
      </c>
      <c r="AE101" s="305">
        <f t="shared" si="40"/>
        <v>0.5</v>
      </c>
      <c r="AF101" s="177">
        <f t="shared" si="41"/>
        <v>1.9533518504092129E-2</v>
      </c>
      <c r="AG101" s="811">
        <f t="shared" si="49"/>
        <v>2</v>
      </c>
      <c r="AH101" s="176">
        <f t="shared" si="42"/>
        <v>8</v>
      </c>
      <c r="AI101" s="225">
        <f t="shared" si="43"/>
        <v>2.0195335185040921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27.385699533044114</v>
      </c>
      <c r="C102" s="841"/>
      <c r="D102" s="393">
        <f t="shared" si="25"/>
        <v>29.150319201624463</v>
      </c>
      <c r="E102" s="385">
        <f t="shared" si="47"/>
        <v>30.177134051802675</v>
      </c>
      <c r="F102" s="385">
        <f t="shared" si="26"/>
        <v>30.177136225268299</v>
      </c>
      <c r="G102" s="110">
        <f t="shared" si="48"/>
        <v>0.55706400030873138</v>
      </c>
      <c r="H102" s="414" t="b">
        <f>Wh_hp&gt;='2025'!Maxi_hp</f>
        <v>0</v>
      </c>
      <c r="I102" s="390">
        <f>IF(H102,Wh_hp,'2025'!Maxi_hp)</f>
        <v>54.418783965233558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6.053517480803472E-2</v>
      </c>
      <c r="M102" s="845"/>
      <c r="N102" s="845"/>
      <c r="O102" s="48">
        <f>IF(t&lt;Tnet,'2025'!Resal+('2025'!Salim-'2025'!Resal)*(1-EXP(('2025'!Tnet-t)/('2025'!Tau_j))),Resal+(Salim-Resal)*(1-EXP((Tnet-t)/(Tau_j))))*Salcycl</f>
        <v>3.4026254727024821E-2</v>
      </c>
      <c r="P102" s="169">
        <f>(INDEX(Models!$BJ102:$BT102,,T102)*(1-R102)+INDEX(Models!$BJ102:$BT102,,T102+1)*R102-ERP_i)*Q102*Ramure*Pc/MaxiM</f>
        <v>1.9612430319019217E-7</v>
      </c>
      <c r="Q102" s="305">
        <f t="shared" si="28"/>
        <v>0.5</v>
      </c>
      <c r="R102" s="177">
        <f t="shared" si="29"/>
        <v>0.49545873441449984</v>
      </c>
      <c r="S102" s="811">
        <f t="shared" si="30"/>
        <v>-2</v>
      </c>
      <c r="T102" s="176">
        <f t="shared" si="31"/>
        <v>4</v>
      </c>
      <c r="U102" s="251">
        <f t="shared" si="32"/>
        <v>-1.5045412655855002</v>
      </c>
      <c r="V102" s="383">
        <f t="shared" si="33"/>
        <v>49.160771687421011</v>
      </c>
      <c r="W102" s="402">
        <f t="shared" si="34"/>
        <v>27.385699533044114</v>
      </c>
      <c r="X102" s="157">
        <f t="shared" si="35"/>
        <v>46110</v>
      </c>
      <c r="Y102" s="385">
        <f t="shared" si="36"/>
        <v>26.320054032445892</v>
      </c>
      <c r="Z102" s="385">
        <f t="shared" si="37"/>
        <v>28.016007972483472</v>
      </c>
      <c r="AA102" s="386">
        <f t="shared" si="38"/>
        <v>30.176467958583945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7.1594196811423455E-2</v>
      </c>
      <c r="AD102" s="231">
        <f>(INDEX(Models!$BJ102:$BT102,,AH102)*(1-AF102)+INDEX(Models!$BJ102:$BT102,,AH102+1)*AF102-ERP_i)*AE102*Ramure*Pc/MaxiM</f>
        <v>6.0301546291092648E-5</v>
      </c>
      <c r="AE102" s="305">
        <f t="shared" si="40"/>
        <v>0.5</v>
      </c>
      <c r="AF102" s="177">
        <f t="shared" si="41"/>
        <v>2.0446300788478755E-2</v>
      </c>
      <c r="AG102" s="811">
        <f t="shared" si="49"/>
        <v>2</v>
      </c>
      <c r="AH102" s="176">
        <f t="shared" si="42"/>
        <v>8</v>
      </c>
      <c r="AI102" s="225">
        <f t="shared" si="43"/>
        <v>2.0204463007884788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7.7014444785622231</v>
      </c>
      <c r="C103" s="841"/>
      <c r="D103" s="393">
        <f t="shared" si="25"/>
        <v>8.197872828375953</v>
      </c>
      <c r="E103" s="385">
        <f t="shared" si="47"/>
        <v>8.4873182173967034</v>
      </c>
      <c r="F103" s="385">
        <f t="shared" si="26"/>
        <v>8.4873182173967034</v>
      </c>
      <c r="G103" s="110">
        <f t="shared" si="48"/>
        <v>0.1556953436836791</v>
      </c>
      <c r="H103" s="414" t="b">
        <f>Wh_hp&gt;='2025'!Maxi_hp</f>
        <v>0</v>
      </c>
      <c r="I103" s="390">
        <f>IF(H103,Wh_hp,'2025'!Maxi_hp)</f>
        <v>55.483183570295765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6.0555751498779342E-2</v>
      </c>
      <c r="M103" s="845"/>
      <c r="N103" s="845"/>
      <c r="O103" s="48">
        <f>IF(t&lt;Tnet,'2025'!Resal+('2025'!Salim-'2025'!Resal)*(1-EXP(('2025'!Tnet-t)/('2025'!Tau_j))),Resal+(Salim-Resal)*(1-EXP((Tnet-t)/(Tau_j))))*Salcycl</f>
        <v>3.4103279929750388E-2</v>
      </c>
      <c r="P103" s="169">
        <f>(INDEX(Models!$BJ103:$BT103,,T103)*(1-R103)+INDEX(Models!$BJ103:$BT103,,T103+1)*R103-ERP_i)*Q103*Ramure*Pc/MaxiM</f>
        <v>1.7754475733986462E-7</v>
      </c>
      <c r="Q103" s="305">
        <f t="shared" si="28"/>
        <v>0.5</v>
      </c>
      <c r="R103" s="177">
        <f t="shared" si="29"/>
        <v>0.49640610876611801</v>
      </c>
      <c r="S103" s="811">
        <f t="shared" si="30"/>
        <v>-2</v>
      </c>
      <c r="T103" s="176">
        <f t="shared" si="31"/>
        <v>4</v>
      </c>
      <c r="U103" s="251">
        <f t="shared" si="32"/>
        <v>-1.503593891233882</v>
      </c>
      <c r="V103" s="383">
        <f t="shared" si="33"/>
        <v>49.464826172694607</v>
      </c>
      <c r="W103" s="402">
        <f t="shared" si="34"/>
        <v>7.7014444785622231</v>
      </c>
      <c r="X103" s="157">
        <f t="shared" si="35"/>
        <v>46111</v>
      </c>
      <c r="Y103" s="385">
        <f t="shared" si="36"/>
        <v>7.402174345589323</v>
      </c>
      <c r="Z103" s="385">
        <f t="shared" si="37"/>
        <v>7.8793120053677193</v>
      </c>
      <c r="AA103" s="386">
        <f t="shared" si="38"/>
        <v>8.4873182173967034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7.1637023198062311E-2</v>
      </c>
      <c r="AD103" s="231">
        <f>(INDEX(Models!$BJ103:$BT103,,AH103)*(1-AF103)+INDEX(Models!$BJ103:$BT103,,AH103+1)*AF103-ERP_i)*AE103*Ramure*Pc/MaxiM</f>
        <v>5.0962767742405394E-5</v>
      </c>
      <c r="AE103" s="305">
        <f t="shared" si="40"/>
        <v>0.5</v>
      </c>
      <c r="AF103" s="177">
        <f t="shared" si="41"/>
        <v>2.1393675140096935E-2</v>
      </c>
      <c r="AG103" s="811">
        <f t="shared" si="49"/>
        <v>2</v>
      </c>
      <c r="AH103" s="176">
        <f t="shared" si="42"/>
        <v>8</v>
      </c>
      <c r="AI103" s="225">
        <f t="shared" si="43"/>
        <v>2.0213936751400969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28.065487157014605</v>
      </c>
      <c r="C104" s="841"/>
      <c r="D104" s="393">
        <f t="shared" si="25"/>
        <v>29.875218163772697</v>
      </c>
      <c r="E104" s="385">
        <f t="shared" si="47"/>
        <v>30.932508268483215</v>
      </c>
      <c r="F104" s="385">
        <f t="shared" si="26"/>
        <v>30.932510180291075</v>
      </c>
      <c r="G104" s="110">
        <f t="shared" si="48"/>
        <v>0.56399739578224362</v>
      </c>
      <c r="H104" s="414" t="b">
        <f>Wh_hp&gt;='2025'!Maxi_hp</f>
        <v>0</v>
      </c>
      <c r="I104" s="390">
        <f>IF(H104,Wh_hp,'2025'!Maxi_hp)</f>
        <v>49.250450204262727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6.0576327738841695E-2</v>
      </c>
      <c r="M104" s="845"/>
      <c r="N104" s="845"/>
      <c r="O104" s="48">
        <f>IF(t&lt;Tnet,'2025'!Resal+('2025'!Salim-'2025'!Resal)*(1-EXP(('2025'!Tnet-t)/('2025'!Tau_j))),Resal+(Salim-Resal)*(1-EXP((Tnet-t)/(Tau_j))))*Salcycl</f>
        <v>3.4180548681458811E-2</v>
      </c>
      <c r="P104" s="169">
        <f>(INDEX(Models!$BJ104:$BT104,,T104)*(1-R104)+INDEX(Models!$BJ104:$BT104,,T104+1)*R104-ERP_i)*Q104*Ramure*Pc/MaxiM</f>
        <v>1.6388053778373449E-7</v>
      </c>
      <c r="Q104" s="305">
        <f t="shared" si="28"/>
        <v>0.5</v>
      </c>
      <c r="R104" s="177">
        <f t="shared" si="29"/>
        <v>0.49738923324978246</v>
      </c>
      <c r="S104" s="811">
        <f t="shared" si="30"/>
        <v>-2</v>
      </c>
      <c r="T104" s="176">
        <f t="shared" si="31"/>
        <v>4</v>
      </c>
      <c r="U104" s="251">
        <f t="shared" si="32"/>
        <v>-1.5026107667502175</v>
      </c>
      <c r="V104" s="383">
        <f t="shared" si="33"/>
        <v>49.761726742214435</v>
      </c>
      <c r="W104" s="402">
        <f t="shared" si="34"/>
        <v>28.065487157014605</v>
      </c>
      <c r="X104" s="157">
        <f t="shared" si="35"/>
        <v>46112</v>
      </c>
      <c r="Y104" s="385">
        <f t="shared" si="36"/>
        <v>26.97535351302977</v>
      </c>
      <c r="Z104" s="385">
        <f t="shared" si="37"/>
        <v>28.714790045795933</v>
      </c>
      <c r="AA104" s="386">
        <f t="shared" si="38"/>
        <v>30.932010628367223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7.1680454568896199E-2</v>
      </c>
      <c r="AD104" s="231">
        <f>(INDEX(Models!$BJ104:$BT104,,AH104)*(1-AF104)+INDEX(Models!$BJ104:$BT104,,AH104+1)*AF104-ERP_i)*AE104*Ramure*Pc/MaxiM</f>
        <v>4.2821687110972092E-5</v>
      </c>
      <c r="AE104" s="305">
        <f t="shared" si="40"/>
        <v>0.5</v>
      </c>
      <c r="AF104" s="177">
        <f t="shared" si="41"/>
        <v>2.2376799623761379E-2</v>
      </c>
      <c r="AG104" s="811">
        <f t="shared" si="49"/>
        <v>2</v>
      </c>
      <c r="AH104" s="176">
        <f t="shared" si="42"/>
        <v>8</v>
      </c>
      <c r="AI104" s="225">
        <f t="shared" si="43"/>
        <v>2.0223767996237614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30.713218390067276</v>
      </c>
      <c r="C105" s="841"/>
      <c r="D105" s="393">
        <f t="shared" si="25"/>
        <v>32.694397650402344</v>
      </c>
      <c r="E105" s="385">
        <f t="shared" si="47"/>
        <v>33.854176581752824</v>
      </c>
      <c r="F105" s="385">
        <f t="shared" si="26"/>
        <v>33.854178934193484</v>
      </c>
      <c r="G105" s="110">
        <f t="shared" si="48"/>
        <v>0.61364452709144524</v>
      </c>
      <c r="H105" s="414" t="b">
        <f>Wh_hp&gt;='2025'!Maxi_hp</f>
        <v>0</v>
      </c>
      <c r="I105" s="390">
        <f>IF(H105,Wh_hp,'2025'!Maxi_hp)</f>
        <v>50.405835504746996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6.0596903528231438E-2</v>
      </c>
      <c r="M105" s="845"/>
      <c r="N105" s="845"/>
      <c r="O105" s="48">
        <f>IF(t&lt;Tnet,'2025'!Resal+('2025'!Salim-'2025'!Resal)*(1-EXP(('2025'!Tnet-t)/('2025'!Tau_j))),Resal+(Salim-Resal)*(1-EXP((Tnet-t)/(Tau_j))))*Salcycl</f>
        <v>3.4258075323432738E-2</v>
      </c>
      <c r="P105" s="169">
        <f>(INDEX(Models!$BJ105:$BT105,,T105)*(1-R105)+INDEX(Models!$BJ105:$BT105,,T105+1)*R105-ERP_i)*Q105*Ramure*Pc/MaxiM</f>
        <v>1.5508387535719804E-7</v>
      </c>
      <c r="Q105" s="305">
        <f t="shared" si="28"/>
        <v>0.5</v>
      </c>
      <c r="R105" s="177">
        <f t="shared" si="29"/>
        <v>0.49840929231906772</v>
      </c>
      <c r="S105" s="811">
        <f t="shared" si="30"/>
        <v>-2</v>
      </c>
      <c r="T105" s="176">
        <f t="shared" si="31"/>
        <v>4</v>
      </c>
      <c r="U105" s="251">
        <f t="shared" si="32"/>
        <v>-1.5015907076809323</v>
      </c>
      <c r="V105" s="383">
        <f t="shared" si="33"/>
        <v>50.050500583293875</v>
      </c>
      <c r="W105" s="402">
        <f t="shared" si="34"/>
        <v>30.713218390067276</v>
      </c>
      <c r="X105" s="157">
        <f t="shared" si="35"/>
        <v>46113</v>
      </c>
      <c r="Y105" s="385">
        <f t="shared" si="36"/>
        <v>29.521211406135752</v>
      </c>
      <c r="Z105" s="385">
        <f t="shared" si="37"/>
        <v>31.425499359127286</v>
      </c>
      <c r="AA105" s="386">
        <f t="shared" si="38"/>
        <v>33.853635003414865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7.1724517737686025E-2</v>
      </c>
      <c r="AD105" s="231">
        <f>(INDEX(Models!$BJ105:$BT105,,AH105)*(1-AF105)+INDEX(Models!$BJ105:$BT105,,AH105+1)*AF105-ERP_i)*AE105*Ramure*Pc/MaxiM</f>
        <v>3.5858457388102919E-5</v>
      </c>
      <c r="AE105" s="305">
        <f t="shared" si="40"/>
        <v>0.5</v>
      </c>
      <c r="AF105" s="177">
        <f t="shared" si="41"/>
        <v>2.3396858693046418E-2</v>
      </c>
      <c r="AG105" s="811">
        <f t="shared" si="49"/>
        <v>2</v>
      </c>
      <c r="AH105" s="176">
        <f t="shared" si="42"/>
        <v>8</v>
      </c>
      <c r="AI105" s="225">
        <f t="shared" si="43"/>
        <v>2.0233968586930464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20.938037576537088</v>
      </c>
      <c r="C106" s="841"/>
      <c r="D106" s="393">
        <f t="shared" si="25"/>
        <v>22.289149633402335</v>
      </c>
      <c r="E106" s="385">
        <f t="shared" si="47"/>
        <v>23.081679265711692</v>
      </c>
      <c r="F106" s="385">
        <f t="shared" si="26"/>
        <v>23.08167984379719</v>
      </c>
      <c r="G106" s="110">
        <f t="shared" si="48"/>
        <v>0.41601355087038766</v>
      </c>
      <c r="H106" s="414" t="b">
        <f>Wh_hp&gt;='2025'!Maxi_hp</f>
        <v>0</v>
      </c>
      <c r="I106" s="390">
        <f>IF(H106,Wh_hp,'2025'!Maxi_hp)</f>
        <v>45.758995612636852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6.0617478866958674E-2</v>
      </c>
      <c r="M106" s="845"/>
      <c r="N106" s="845"/>
      <c r="O106" s="48">
        <f>IF(t&lt;Tnet,'2025'!Resal+('2025'!Salim-'2025'!Resal)*(1-EXP(('2025'!Tnet-t)/('2025'!Tau_j))),Resal+(Salim-Resal)*(1-EXP((Tnet-t)/(Tau_j))))*Salcycl</f>
        <v>3.4335874057771706E-2</v>
      </c>
      <c r="P106" s="169">
        <f>(INDEX(Models!$BJ106:$BT106,,T106)*(1-R106)+INDEX(Models!$BJ106:$BT106,,T106+1)*R106-ERP_i)*Q106*Ramure*Pc/MaxiM</f>
        <v>1.5111716092327135E-7</v>
      </c>
      <c r="Q106" s="305">
        <f t="shared" si="28"/>
        <v>0.5</v>
      </c>
      <c r="R106" s="177">
        <f t="shared" si="29"/>
        <v>0.49946749636850707</v>
      </c>
      <c r="S106" s="811">
        <f t="shared" si="30"/>
        <v>-2</v>
      </c>
      <c r="T106" s="176">
        <f t="shared" si="31"/>
        <v>4</v>
      </c>
      <c r="U106" s="251">
        <f t="shared" si="32"/>
        <v>-1.5005325036314929</v>
      </c>
      <c r="V106" s="383">
        <f t="shared" si="33"/>
        <v>50.330175286432365</v>
      </c>
      <c r="W106" s="402">
        <f t="shared" si="34"/>
        <v>20.938037576537088</v>
      </c>
      <c r="X106" s="157">
        <f t="shared" si="35"/>
        <v>46114</v>
      </c>
      <c r="Y106" s="385">
        <f t="shared" si="36"/>
        <v>20.126287916010657</v>
      </c>
      <c r="Z106" s="385">
        <f t="shared" si="37"/>
        <v>21.425018523588481</v>
      </c>
      <c r="AA106" s="386">
        <f t="shared" si="38"/>
        <v>23.081564870760104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7.176923906360215E-2</v>
      </c>
      <c r="AD106" s="231">
        <f>(INDEX(Models!$BJ106:$BT106,,AH106)*(1-AF106)+INDEX(Models!$BJ106:$BT106,,AH106+1)*AF106-ERP_i)*AE106*Ramure*Pc/MaxiM</f>
        <v>3.0055068001780377E-5</v>
      </c>
      <c r="AE106" s="305">
        <f t="shared" si="40"/>
        <v>0.5</v>
      </c>
      <c r="AF106" s="177">
        <f t="shared" si="41"/>
        <v>2.4455062742485989E-2</v>
      </c>
      <c r="AG106" s="811">
        <f t="shared" si="49"/>
        <v>2</v>
      </c>
      <c r="AH106" s="176">
        <f t="shared" si="42"/>
        <v>8</v>
      </c>
      <c r="AI106" s="225">
        <f t="shared" si="43"/>
        <v>2.024455062742486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22.683645466280371</v>
      </c>
      <c r="C107" s="841"/>
      <c r="D107" s="393">
        <f t="shared" si="25"/>
        <v>24.147928875506022</v>
      </c>
      <c r="E107" s="385">
        <f t="shared" si="47"/>
        <v>25.008572875014348</v>
      </c>
      <c r="F107" s="385">
        <f t="shared" si="26"/>
        <v>25.008573679908668</v>
      </c>
      <c r="G107" s="110">
        <f t="shared" si="48"/>
        <v>0.44827185734100772</v>
      </c>
      <c r="H107" s="414" t="b">
        <f>Wh_hp&gt;='2025'!Maxi_hp</f>
        <v>0</v>
      </c>
      <c r="I107" s="390">
        <f>IF(H107,Wh_hp,'2025'!Maxi_hp)</f>
        <v>53.35954700357199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6.0638053755033172E-2</v>
      </c>
      <c r="M107" s="845"/>
      <c r="N107" s="845"/>
      <c r="O107" s="48">
        <f>IF(t&lt;Tnet,'2025'!Resal+('2025'!Salim-'2025'!Resal)*(1-EXP(('2025'!Tnet-t)/('2025'!Tau_j))),Resal+(Salim-Resal)*(1-EXP((Tnet-t)/(Tau_j))))*Salcycl</f>
        <v>3.4413958917591067E-2</v>
      </c>
      <c r="P107" s="169">
        <f>(INDEX(Models!$BJ107:$BT107,,T107)*(1-R107)+INDEX(Models!$BJ107:$BT107,,T107+1)*R107-ERP_i)*Q107*Ramure*Pc/MaxiM</f>
        <v>1.5194593791621618E-7</v>
      </c>
      <c r="Q107" s="305">
        <f t="shared" si="28"/>
        <v>0.5</v>
      </c>
      <c r="R107" s="177">
        <f t="shared" si="29"/>
        <v>0.50056508117332044</v>
      </c>
      <c r="S107" s="811">
        <f t="shared" si="30"/>
        <v>-2</v>
      </c>
      <c r="T107" s="176">
        <f t="shared" si="31"/>
        <v>4</v>
      </c>
      <c r="U107" s="251">
        <f t="shared" si="32"/>
        <v>-1.4994349188266796</v>
      </c>
      <c r="V107" s="383">
        <f t="shared" si="33"/>
        <v>50.602424350730097</v>
      </c>
      <c r="W107" s="402">
        <f t="shared" si="34"/>
        <v>22.683645466280371</v>
      </c>
      <c r="X107" s="157">
        <f t="shared" si="35"/>
        <v>46115</v>
      </c>
      <c r="Y107" s="385">
        <f t="shared" si="36"/>
        <v>21.804908173968752</v>
      </c>
      <c r="Z107" s="385">
        <f t="shared" si="37"/>
        <v>23.212466995424219</v>
      </c>
      <c r="AA107" s="386">
        <f t="shared" si="38"/>
        <v>25.008439160579577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7.1814644393574198E-2</v>
      </c>
      <c r="AD107" s="231">
        <f>(INDEX(Models!$BJ107:$BT107,,AH107)*(1-AF107)+INDEX(Models!$BJ107:$BT107,,AH107+1)*AF107-ERP_i)*AE107*Ramure*Pc/MaxiM</f>
        <v>2.5394222726230337E-5</v>
      </c>
      <c r="AE107" s="305">
        <f t="shared" si="40"/>
        <v>0.5</v>
      </c>
      <c r="AF107" s="177">
        <f t="shared" si="41"/>
        <v>2.5552647547299578E-2</v>
      </c>
      <c r="AG107" s="811">
        <f t="shared" si="49"/>
        <v>2</v>
      </c>
      <c r="AH107" s="176">
        <f t="shared" si="42"/>
        <v>8</v>
      </c>
      <c r="AI107" s="225">
        <f t="shared" si="43"/>
        <v>2.0255526475472996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47.704184101396194</v>
      </c>
      <c r="C108" s="841"/>
      <c r="D108" s="393">
        <f t="shared" si="25"/>
        <v>50.784715262355618</v>
      </c>
      <c r="E108" s="385">
        <f t="shared" si="47"/>
        <v>52.598977266508186</v>
      </c>
      <c r="F108" s="385">
        <f t="shared" si="26"/>
        <v>52.598985075307986</v>
      </c>
      <c r="G108" s="110">
        <f t="shared" si="48"/>
        <v>0.93777566413581803</v>
      </c>
      <c r="H108" s="414" t="b">
        <f>Wh_hp&gt;='2025'!Maxi_hp</f>
        <v>0</v>
      </c>
      <c r="I108" s="390">
        <f>IF(H108,Wh_hp,'2025'!Maxi_hp)</f>
        <v>56.536713073450201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6.0658628192464814E-2</v>
      </c>
      <c r="M108" s="845"/>
      <c r="N108" s="845"/>
      <c r="O108" s="48">
        <f>IF(t&lt;Tnet,'2025'!Resal+('2025'!Salim-'2025'!Resal)*(1-EXP(('2025'!Tnet-t)/('2025'!Tau_j))),Resal+(Salim-Resal)*(1-EXP((Tnet-t)/(Tau_j))))*Salcycl</f>
        <v>3.4492343738169513E-2</v>
      </c>
      <c r="P108" s="169">
        <f>(INDEX(Models!$BJ108:$BT108,,T108)*(1-R108)+INDEX(Models!$BJ108:$BT108,,T108+1)*R108-ERP_i)*Q108*Ramure*Pc/MaxiM</f>
        <v>1.629434890305244E-7</v>
      </c>
      <c r="Q108" s="305">
        <f t="shared" si="28"/>
        <v>0.5</v>
      </c>
      <c r="R108" s="177">
        <f t="shared" si="29"/>
        <v>0.50170330720817313</v>
      </c>
      <c r="S108" s="811">
        <f t="shared" si="30"/>
        <v>-2</v>
      </c>
      <c r="T108" s="176">
        <f t="shared" si="31"/>
        <v>4</v>
      </c>
      <c r="U108" s="251">
        <f t="shared" si="32"/>
        <v>-1.4982966927918269</v>
      </c>
      <c r="V108" s="383">
        <f t="shared" si="33"/>
        <v>50.869504546582881</v>
      </c>
      <c r="W108" s="402">
        <f t="shared" si="34"/>
        <v>47.704184101396194</v>
      </c>
      <c r="X108" s="157">
        <f t="shared" si="35"/>
        <v>46116</v>
      </c>
      <c r="Y108" s="385">
        <f t="shared" si="36"/>
        <v>45.856955527646711</v>
      </c>
      <c r="Z108" s="385">
        <f t="shared" si="37"/>
        <v>48.818200607310736</v>
      </c>
      <c r="AA108" s="386">
        <f t="shared" si="38"/>
        <v>52.597927607380484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7.1860759007154829E-2</v>
      </c>
      <c r="AD108" s="231">
        <f>(INDEX(Models!$BJ108:$BT108,,AH108)*(1-AF108)+INDEX(Models!$BJ108:$BT108,,AH108+1)*AF108-ERP_i)*AE108*Ramure*Pc/MaxiM</f>
        <v>2.2065812681426199E-5</v>
      </c>
      <c r="AE108" s="305">
        <f t="shared" si="40"/>
        <v>0.5</v>
      </c>
      <c r="AF108" s="177">
        <f t="shared" si="41"/>
        <v>2.6690873582152275E-2</v>
      </c>
      <c r="AG108" s="811">
        <f t="shared" si="49"/>
        <v>2</v>
      </c>
      <c r="AH108" s="176">
        <f t="shared" si="42"/>
        <v>8</v>
      </c>
      <c r="AI108" s="225">
        <f t="shared" si="43"/>
        <v>2.0266908735821523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50.705432070252826</v>
      </c>
      <c r="C109" s="841"/>
      <c r="D109" s="393">
        <f t="shared" si="25"/>
        <v>53.980953246102445</v>
      </c>
      <c r="E109" s="385">
        <f t="shared" si="47"/>
        <v>55.913957009472739</v>
      </c>
      <c r="F109" s="385">
        <f t="shared" si="26"/>
        <v>55.913967073482155</v>
      </c>
      <c r="G109" s="110">
        <f t="shared" si="48"/>
        <v>0.99167071653829386</v>
      </c>
      <c r="H109" s="414" t="b">
        <f>Wh_hp&gt;='2025'!Maxi_hp</f>
        <v>0</v>
      </c>
      <c r="I109" s="390">
        <f>IF(H109,Wh_hp,'2025'!Maxi_hp)</f>
        <v>58.623693621493487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6.0679202179263481E-2</v>
      </c>
      <c r="M109" s="845"/>
      <c r="N109" s="845"/>
      <c r="O109" s="48">
        <f>IF(t&lt;Tnet,'2025'!Resal+('2025'!Salim-'2025'!Resal)*(1-EXP(('2025'!Tnet-t)/('2025'!Tau_j))),Resal+(Salim-Resal)*(1-EXP((Tnet-t)/(Tau_j))))*Salcycl</f>
        <v>3.4571042128941257E-2</v>
      </c>
      <c r="P109" s="169">
        <f>(INDEX(Models!$BJ109:$BT109,,T109)*(1-R109)+INDEX(Models!$BJ109:$BT109,,T109+1)*R109-ERP_i)*Q109*Ramure*Pc/MaxiM</f>
        <v>1.8215847314855055E-7</v>
      </c>
      <c r="Q109" s="305">
        <f t="shared" si="28"/>
        <v>0.5</v>
      </c>
      <c r="R109" s="177">
        <f t="shared" si="29"/>
        <v>0.5028834588361919</v>
      </c>
      <c r="S109" s="811">
        <f t="shared" si="30"/>
        <v>-2</v>
      </c>
      <c r="T109" s="176">
        <f t="shared" si="31"/>
        <v>4</v>
      </c>
      <c r="U109" s="251">
        <f t="shared" si="32"/>
        <v>-1.4971165411638081</v>
      </c>
      <c r="V109" s="383">
        <f t="shared" si="33"/>
        <v>51.131319211835198</v>
      </c>
      <c r="W109" s="402">
        <f t="shared" si="34"/>
        <v>50.705432070252826</v>
      </c>
      <c r="X109" s="157">
        <f t="shared" si="35"/>
        <v>46117</v>
      </c>
      <c r="Y109" s="385">
        <f t="shared" si="36"/>
        <v>48.743552455327865</v>
      </c>
      <c r="Z109" s="385">
        <f t="shared" si="37"/>
        <v>51.89233813241966</v>
      </c>
      <c r="AA109" s="386">
        <f t="shared" si="38"/>
        <v>55.912901081104906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7.1907607563649514E-2</v>
      </c>
      <c r="AD109" s="231">
        <f>(INDEX(Models!$BJ109:$BT109,,AH109)*(1-AF109)+INDEX(Models!$BJ109:$BT109,,AH109+1)*AF109-ERP_i)*AE109*Ramure*Pc/MaxiM</f>
        <v>1.9294451730371552E-5</v>
      </c>
      <c r="AE109" s="305">
        <f t="shared" si="40"/>
        <v>0.5</v>
      </c>
      <c r="AF109" s="177">
        <f t="shared" si="41"/>
        <v>2.7871025210171041E-2</v>
      </c>
      <c r="AG109" s="811">
        <f t="shared" si="49"/>
        <v>2</v>
      </c>
      <c r="AH109" s="176">
        <f t="shared" si="42"/>
        <v>8</v>
      </c>
      <c r="AI109" s="225">
        <f t="shared" si="43"/>
        <v>2.027871025210171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11.108016913279799</v>
      </c>
      <c r="C110" s="841"/>
      <c r="D110" s="393">
        <f t="shared" si="25"/>
        <v>11.825842926568519</v>
      </c>
      <c r="E110" s="385">
        <f t="shared" si="47"/>
        <v>12.250317245357598</v>
      </c>
      <c r="F110" s="385">
        <f t="shared" si="26"/>
        <v>12.250317245357598</v>
      </c>
      <c r="G110" s="110">
        <f t="shared" si="48"/>
        <v>0.21616065908004981</v>
      </c>
      <c r="H110" s="414" t="b">
        <f>Wh_hp&gt;='2025'!Maxi_hp</f>
        <v>0</v>
      </c>
      <c r="I110" s="390">
        <f>IF(H110,Wh_hp,'2025'!Maxi_hp)</f>
        <v>59.354429100482541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6.0699775715439053E-2</v>
      </c>
      <c r="M110" s="845"/>
      <c r="N110" s="845"/>
      <c r="O110" s="48">
        <f>IF(t&lt;Tnet,'2025'!Resal+('2025'!Salim-'2025'!Resal)*(1-EXP(('2025'!Tnet-t)/('2025'!Tau_j))),Resal+(Salim-Resal)*(1-EXP((Tnet-t)/(Tau_j))))*Salcycl</f>
        <v>3.4650067446207355E-2</v>
      </c>
      <c r="P110" s="169">
        <f>(INDEX(Models!$BJ110:$BT110,,T110)*(1-R110)+INDEX(Models!$BJ110:$BT110,,T110+1)*R110-ERP_i)*Q110*Ramure*Pc/MaxiM</f>
        <v>2.0959357512539133E-7</v>
      </c>
      <c r="Q110" s="305">
        <f t="shared" si="28"/>
        <v>0.5</v>
      </c>
      <c r="R110" s="177">
        <f t="shared" si="29"/>
        <v>0.50410684335923217</v>
      </c>
      <c r="S110" s="811">
        <f t="shared" si="30"/>
        <v>-2</v>
      </c>
      <c r="T110" s="176">
        <f t="shared" si="31"/>
        <v>4</v>
      </c>
      <c r="U110" s="251">
        <f t="shared" si="32"/>
        <v>-1.4958931566407678</v>
      </c>
      <c r="V110" s="383">
        <f t="shared" si="33"/>
        <v>51.387771634232671</v>
      </c>
      <c r="W110" s="402">
        <f t="shared" si="34"/>
        <v>11.108016913279799</v>
      </c>
      <c r="X110" s="157">
        <f t="shared" si="35"/>
        <v>46118</v>
      </c>
      <c r="Y110" s="385">
        <f t="shared" si="36"/>
        <v>10.678756822750096</v>
      </c>
      <c r="Z110" s="385">
        <f t="shared" si="37"/>
        <v>11.368843045772516</v>
      </c>
      <c r="AA110" s="386">
        <f t="shared" si="38"/>
        <v>12.250317245357598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7.1955214051221933E-2</v>
      </c>
      <c r="AD110" s="231">
        <f>(INDEX(Models!$BJ110:$BT110,,AH110)*(1-AF110)+INDEX(Models!$BJ110:$BT110,,AH110+1)*AF110-ERP_i)*AE110*Ramure*Pc/MaxiM</f>
        <v>1.7075417706477471E-5</v>
      </c>
      <c r="AE110" s="305">
        <f t="shared" si="40"/>
        <v>0.5</v>
      </c>
      <c r="AF110" s="177">
        <f t="shared" si="41"/>
        <v>2.9094409733211091E-2</v>
      </c>
      <c r="AG110" s="811">
        <f t="shared" si="49"/>
        <v>2</v>
      </c>
      <c r="AH110" s="176">
        <f t="shared" si="42"/>
        <v>8</v>
      </c>
      <c r="AI110" s="225">
        <f t="shared" si="43"/>
        <v>2.0290944097332111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37.970867630156334</v>
      </c>
      <c r="C111" s="841"/>
      <c r="D111" s="393">
        <f t="shared" si="25"/>
        <v>40.425519260090638</v>
      </c>
      <c r="E111" s="385">
        <f t="shared" si="47"/>
        <v>41.879987469159396</v>
      </c>
      <c r="F111" s="385">
        <f t="shared" si="26"/>
        <v>41.879993857032794</v>
      </c>
      <c r="G111" s="110">
        <f t="shared" si="48"/>
        <v>0.73531704327664305</v>
      </c>
      <c r="H111" s="414" t="b">
        <f>Wh_hp&gt;='2025'!Maxi_hp</f>
        <v>0</v>
      </c>
      <c r="I111" s="390">
        <f>IF(H111,Wh_hp,'2025'!Maxi_hp)</f>
        <v>56.351753523847592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6.0720348801001411E-2</v>
      </c>
      <c r="M111" s="845"/>
      <c r="N111" s="845"/>
      <c r="O111" s="48">
        <f>IF(t&lt;Tnet,'2025'!Resal+('2025'!Salim-'2025'!Resal)*(1-EXP(('2025'!Tnet-t)/('2025'!Tau_j))),Resal+(Salim-Resal)*(1-EXP((Tnet-t)/(Tau_j))))*Salcycl</f>
        <v>3.4729432766421743E-2</v>
      </c>
      <c r="P111" s="169">
        <f>(INDEX(Models!$BJ111:$BT111,,T111)*(1-R111)+INDEX(Models!$BJ111:$BT111,,T111+1)*R111-ERP_i)*Q111*Ramure*Pc/MaxiM</f>
        <v>2.452686227857616E-7</v>
      </c>
      <c r="Q111" s="305">
        <f t="shared" si="28"/>
        <v>0.5</v>
      </c>
      <c r="R111" s="177">
        <f t="shared" si="29"/>
        <v>0.50537478992018126</v>
      </c>
      <c r="S111" s="811">
        <f t="shared" si="30"/>
        <v>-2</v>
      </c>
      <c r="T111" s="176">
        <f t="shared" si="31"/>
        <v>4</v>
      </c>
      <c r="U111" s="251">
        <f t="shared" si="32"/>
        <v>-1.4946252100798187</v>
      </c>
      <c r="V111" s="383">
        <f t="shared" si="33"/>
        <v>51.638765150218219</v>
      </c>
      <c r="W111" s="402">
        <f t="shared" si="34"/>
        <v>37.970867630156334</v>
      </c>
      <c r="X111" s="157">
        <f t="shared" si="35"/>
        <v>46119</v>
      </c>
      <c r="Y111" s="385">
        <f t="shared" si="36"/>
        <v>36.504268749387272</v>
      </c>
      <c r="Z111" s="385">
        <f t="shared" si="37"/>
        <v>38.864111133238389</v>
      </c>
      <c r="AA111" s="386">
        <f t="shared" si="38"/>
        <v>41.879592642827575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7.2003601737650302E-2</v>
      </c>
      <c r="AD111" s="231">
        <f>(INDEX(Models!$BJ111:$BT111,,AH111)*(1-AF111)+INDEX(Models!$BJ111:$BT111,,AH111+1)*AF111-ERP_i)*AE111*Ramure*Pc/MaxiM</f>
        <v>1.5405010299383202E-5</v>
      </c>
      <c r="AE111" s="305">
        <f t="shared" si="40"/>
        <v>0.5</v>
      </c>
      <c r="AF111" s="177">
        <f t="shared" si="41"/>
        <v>3.0362356294160175E-2</v>
      </c>
      <c r="AG111" s="811">
        <f t="shared" si="49"/>
        <v>2</v>
      </c>
      <c r="AH111" s="176">
        <f t="shared" si="42"/>
        <v>8</v>
      </c>
      <c r="AI111" s="225">
        <f t="shared" si="43"/>
        <v>2.0303623562941602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31.277341057208925</v>
      </c>
      <c r="C112" s="841"/>
      <c r="D112" s="393">
        <f t="shared" si="25"/>
        <v>33.300014629644494</v>
      </c>
      <c r="E112" s="385">
        <f t="shared" si="47"/>
        <v>34.500963886377093</v>
      </c>
      <c r="F112" s="385">
        <f t="shared" si="26"/>
        <v>34.500968203173251</v>
      </c>
      <c r="G112" s="110">
        <f t="shared" si="48"/>
        <v>0.60282964801356131</v>
      </c>
      <c r="H112" s="414" t="b">
        <f>Wh_hp&gt;='2025'!Maxi_hp</f>
        <v>0</v>
      </c>
      <c r="I112" s="390">
        <f>IF(H112,Wh_hp,'2025'!Maxi_hp)</f>
        <v>55.793489046232402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6.0740921435960327E-2</v>
      </c>
      <c r="M112" s="845"/>
      <c r="N112" s="845"/>
      <c r="O112" s="48">
        <f>IF(t&lt;Tnet,'2025'!Resal+('2025'!Salim-'2025'!Resal)*(1-EXP(('2025'!Tnet-t)/('2025'!Tau_j))),Resal+(Salim-Resal)*(1-EXP((Tnet-t)/(Tau_j))))*Salcycl</f>
        <v>3.4809150859892363E-2</v>
      </c>
      <c r="P112" s="169">
        <f>(INDEX(Models!$BJ112:$BT112,,T112)*(1-R112)+INDEX(Models!$BJ112:$BT112,,T112+1)*R112-ERP_i)*Q112*Ramure*Pc/MaxiM</f>
        <v>2.8922096121029042E-7</v>
      </c>
      <c r="Q112" s="305">
        <f t="shared" si="28"/>
        <v>0.5</v>
      </c>
      <c r="R112" s="177">
        <f t="shared" si="29"/>
        <v>0.5066886482479247</v>
      </c>
      <c r="S112" s="811">
        <f t="shared" si="30"/>
        <v>-2</v>
      </c>
      <c r="T112" s="176">
        <f t="shared" si="31"/>
        <v>4</v>
      </c>
      <c r="U112" s="251">
        <f t="shared" si="32"/>
        <v>-1.4933113517520753</v>
      </c>
      <c r="V112" s="383">
        <f t="shared" si="33"/>
        <v>51.884203153682122</v>
      </c>
      <c r="W112" s="402">
        <f t="shared" si="34"/>
        <v>31.277341057208925</v>
      </c>
      <c r="X112" s="157">
        <f t="shared" si="35"/>
        <v>46120</v>
      </c>
      <c r="Y112" s="385">
        <f t="shared" si="36"/>
        <v>30.070266022670449</v>
      </c>
      <c r="Z112" s="385">
        <f t="shared" si="37"/>
        <v>32.014879290432354</v>
      </c>
      <c r="AA112" s="386">
        <f t="shared" si="38"/>
        <v>34.500755057129687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7.2052793122381831E-2</v>
      </c>
      <c r="AD112" s="231">
        <f>(INDEX(Models!$BJ112:$BT112,,AH112)*(1-AF112)+INDEX(Models!$BJ112:$BT112,,AH112+1)*AF112-ERP_i)*AE112*Ramure*Pc/MaxiM</f>
        <v>1.4280568578237027E-5</v>
      </c>
      <c r="AE112" s="305">
        <f t="shared" si="40"/>
        <v>0.5</v>
      </c>
      <c r="AF112" s="177">
        <f t="shared" si="41"/>
        <v>3.1676214621903842E-2</v>
      </c>
      <c r="AG112" s="811">
        <f t="shared" si="49"/>
        <v>2</v>
      </c>
      <c r="AH112" s="176">
        <f t="shared" si="42"/>
        <v>8</v>
      </c>
      <c r="AI112" s="225">
        <f t="shared" si="43"/>
        <v>2.0316762146219038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34.825809402529487</v>
      </c>
      <c r="C113" s="841"/>
      <c r="D113" s="393">
        <f t="shared" si="25"/>
        <v>37.078770904279381</v>
      </c>
      <c r="E113" s="385">
        <f t="shared" si="47"/>
        <v>38.419186912901985</v>
      </c>
      <c r="F113" s="385">
        <f t="shared" si="26"/>
        <v>38.419193812984439</v>
      </c>
      <c r="G113" s="110">
        <f t="shared" si="48"/>
        <v>0.6681338932735823</v>
      </c>
      <c r="H113" s="414" t="b">
        <f>Wh_hp&gt;='2025'!Maxi_hp</f>
        <v>0</v>
      </c>
      <c r="I113" s="390">
        <f>IF(H113,Wh_hp,'2025'!Maxi_hp)</f>
        <v>41.648731192226585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6.076149362032579E-2</v>
      </c>
      <c r="M113" s="845"/>
      <c r="N113" s="845"/>
      <c r="O113" s="48">
        <f>IF(t&lt;Tnet,'2025'!Resal+('2025'!Salim-'2025'!Resal)*(1-EXP(('2025'!Tnet-t)/('2025'!Tau_j))),Resal+(Salim-Resal)*(1-EXP((Tnet-t)/(Tau_j))))*Salcycl</f>
        <v>3.488923416472578E-2</v>
      </c>
      <c r="P113" s="169">
        <f>(INDEX(Models!$BJ113:$BT113,,T113)*(1-R113)+INDEX(Models!$BJ113:$BT113,,T113+1)*R113-ERP_i)*Q113*Ramure*Pc/MaxiM</f>
        <v>3.4150584529311676E-7</v>
      </c>
      <c r="Q113" s="305">
        <f t="shared" si="28"/>
        <v>0.5</v>
      </c>
      <c r="R113" s="177">
        <f t="shared" si="29"/>
        <v>0.50804978723549077</v>
      </c>
      <c r="S113" s="811">
        <f t="shared" si="30"/>
        <v>-2</v>
      </c>
      <c r="T113" s="176">
        <f t="shared" si="31"/>
        <v>4</v>
      </c>
      <c r="U113" s="251">
        <f t="shared" si="32"/>
        <v>-1.4919502127645092</v>
      </c>
      <c r="V113" s="383">
        <f t="shared" si="33"/>
        <v>52.123989090554716</v>
      </c>
      <c r="W113" s="402">
        <f t="shared" si="34"/>
        <v>34.825809402529487</v>
      </c>
      <c r="X113" s="157">
        <f t="shared" si="35"/>
        <v>46121</v>
      </c>
      <c r="Y113" s="385">
        <f t="shared" si="36"/>
        <v>33.482730482623474</v>
      </c>
      <c r="Z113" s="385">
        <f t="shared" si="37"/>
        <v>35.648805127979436</v>
      </c>
      <c r="AA113" s="386">
        <f t="shared" si="38"/>
        <v>38.41891699632658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7.2102809889513772E-2</v>
      </c>
      <c r="AD113" s="231">
        <f>(INDEX(Models!$BJ113:$BT113,,AH113)*(1-AF113)+INDEX(Models!$BJ113:$BT113,,AH113+1)*AF113-ERP_i)*AE113*Ramure*Pc/MaxiM</f>
        <v>1.3700489433034485E-5</v>
      </c>
      <c r="AE113" s="305">
        <f t="shared" si="40"/>
        <v>0.5</v>
      </c>
      <c r="AF113" s="177">
        <f t="shared" si="41"/>
        <v>3.3037353609469911E-2</v>
      </c>
      <c r="AG113" s="811">
        <f t="shared" si="49"/>
        <v>2</v>
      </c>
      <c r="AH113" s="176">
        <f t="shared" si="42"/>
        <v>8</v>
      </c>
      <c r="AI113" s="225">
        <f t="shared" si="43"/>
        <v>2.0330373536094699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52.441364401190128</v>
      </c>
      <c r="C114" s="841"/>
      <c r="D114" s="393">
        <f t="shared" si="25"/>
        <v>55.835139499291799</v>
      </c>
      <c r="E114" s="385">
        <f t="shared" si="47"/>
        <v>57.858431176888395</v>
      </c>
      <c r="F114" s="385">
        <f t="shared" si="26"/>
        <v>57.858455433856136</v>
      </c>
      <c r="G114" s="110">
        <f t="shared" si="48"/>
        <v>1.0015917105821721</v>
      </c>
      <c r="H114" s="414" t="b">
        <f>Wh_hp&gt;='2025'!Maxi_hp</f>
        <v>0</v>
      </c>
      <c r="I114" s="390">
        <f>IF(H114,Wh_hp,'2025'!Maxi_hp)</f>
        <v>58.06042842516851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6.0782065354107573E-2</v>
      </c>
      <c r="M114" s="845"/>
      <c r="N114" s="845"/>
      <c r="O114" s="48">
        <f>IF(t&lt;Tnet,'2025'!Resal+('2025'!Salim-'2025'!Resal)*(1-EXP(('2025'!Tnet-t)/('2025'!Tau_j))),Resal+(Salim-Resal)*(1-EXP((Tnet-t)/(Tau_j))))*Salcycl</f>
        <v>3.4969694760835515E-2</v>
      </c>
      <c r="P114" s="169">
        <f>(INDEX(Models!$BJ114:$BT114,,T114)*(1-R114)+INDEX(Models!$BJ114:$BT114,,T114+1)*R114-ERP_i)*Q114*Ramure*Pc/MaxiM</f>
        <v>4.1924672129134504E-7</v>
      </c>
      <c r="Q114" s="305">
        <f t="shared" si="28"/>
        <v>0.5</v>
      </c>
      <c r="R114" s="177">
        <f t="shared" si="29"/>
        <v>0.50945959334183333</v>
      </c>
      <c r="S114" s="811">
        <f t="shared" si="30"/>
        <v>-2</v>
      </c>
      <c r="T114" s="176">
        <f t="shared" si="31"/>
        <v>4</v>
      </c>
      <c r="U114" s="251">
        <f t="shared" si="32"/>
        <v>-1.4905404066581667</v>
      </c>
      <c r="V114" s="383">
        <f t="shared" si="33"/>
        <v>52.358025577816278</v>
      </c>
      <c r="W114" s="402">
        <f t="shared" si="34"/>
        <v>52.441364401190128</v>
      </c>
      <c r="X114" s="157">
        <f t="shared" si="35"/>
        <v>46122</v>
      </c>
      <c r="Y114" s="385">
        <f t="shared" si="36"/>
        <v>50.420048989173537</v>
      </c>
      <c r="Z114" s="385">
        <f t="shared" si="37"/>
        <v>53.683013419226391</v>
      </c>
      <c r="AA114" s="386">
        <f t="shared" si="38"/>
        <v>57.857655787435668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7.215367286131634E-2</v>
      </c>
      <c r="AD114" s="231">
        <f>(INDEX(Models!$BJ114:$BT114,,AH114)*(1-AF114)+INDEX(Models!$BJ114:$BT114,,AH114+1)*AF114-ERP_i)*AE114*Ramure*Pc/MaxiM</f>
        <v>1.3820735698342224E-5</v>
      </c>
      <c r="AE114" s="305">
        <f t="shared" si="40"/>
        <v>0.5</v>
      </c>
      <c r="AF114" s="177">
        <f t="shared" si="41"/>
        <v>3.4447159715812248E-2</v>
      </c>
      <c r="AG114" s="811">
        <f t="shared" si="49"/>
        <v>2</v>
      </c>
      <c r="AH114" s="176">
        <f t="shared" si="42"/>
        <v>8</v>
      </c>
      <c r="AI114" s="225">
        <f t="shared" si="43"/>
        <v>2.0344471597158122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44.037071946230981</v>
      </c>
      <c r="C115" s="841"/>
      <c r="D115" s="393">
        <f t="shared" si="25"/>
        <v>46.887985064780722</v>
      </c>
      <c r="E115" s="385">
        <f t="shared" si="47"/>
        <v>48.591130644140009</v>
      </c>
      <c r="F115" s="385">
        <f t="shared" si="26"/>
        <v>48.591150036145486</v>
      </c>
      <c r="G115" s="110">
        <f t="shared" si="48"/>
        <v>0.83742603509078972</v>
      </c>
      <c r="H115" s="414" t="b">
        <f>Wh_hp&gt;='2025'!Maxi_hp</f>
        <v>0</v>
      </c>
      <c r="I115" s="390">
        <f>IF(H115,Wh_hp,'2025'!Maxi_hp)</f>
        <v>59.123099904366789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6.0802636637315555E-2</v>
      </c>
      <c r="M115" s="845"/>
      <c r="N115" s="845"/>
      <c r="O115" s="48">
        <f>IF(t&lt;Tnet,'2025'!Resal+('2025'!Salim-'2025'!Resal)*(1-EXP(('2025'!Tnet-t)/('2025'!Tau_j))),Resal+(Salim-Resal)*(1-EXP((Tnet-t)/(Tau_j))))*Salcycl</f>
        <v>3.5050544343830467E-2</v>
      </c>
      <c r="P115" s="169">
        <f>(INDEX(Models!$BJ115:$BT115,,T115)*(1-R115)+INDEX(Models!$BJ115:$BT115,,T115+1)*R115-ERP_i)*Q115*Ramure*Pc/MaxiM</f>
        <v>5.1981020805052632E-7</v>
      </c>
      <c r="Q115" s="305">
        <f t="shared" si="28"/>
        <v>0.5</v>
      </c>
      <c r="R115" s="177">
        <f t="shared" si="29"/>
        <v>0.51091946880773031</v>
      </c>
      <c r="S115" s="811">
        <f t="shared" si="30"/>
        <v>-2</v>
      </c>
      <c r="T115" s="176">
        <f t="shared" si="31"/>
        <v>4</v>
      </c>
      <c r="U115" s="251">
        <f t="shared" si="32"/>
        <v>-1.4890805311922697</v>
      </c>
      <c r="V115" s="383">
        <f t="shared" si="33"/>
        <v>52.586216315899065</v>
      </c>
      <c r="W115" s="402">
        <f t="shared" si="34"/>
        <v>44.037071946230981</v>
      </c>
      <c r="X115" s="157">
        <f t="shared" si="35"/>
        <v>46123</v>
      </c>
      <c r="Y115" s="385">
        <f t="shared" si="36"/>
        <v>42.341000307618685</v>
      </c>
      <c r="Z115" s="385">
        <f t="shared" si="37"/>
        <v>45.082111555362303</v>
      </c>
      <c r="AA115" s="386">
        <f t="shared" si="38"/>
        <v>48.590616554792241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7.220540195191065E-2</v>
      </c>
      <c r="AD115" s="231">
        <f>(INDEX(Models!$BJ115:$BT115,,AH115)*(1-AF115)+INDEX(Models!$BJ115:$BT115,,AH115+1)*AF115-ERP_i)*AE115*Ramure*Pc/MaxiM</f>
        <v>1.4300174036991136E-5</v>
      </c>
      <c r="AE115" s="305">
        <f t="shared" si="40"/>
        <v>0.5</v>
      </c>
      <c r="AF115" s="177">
        <f t="shared" si="41"/>
        <v>3.5907035181709457E-2</v>
      </c>
      <c r="AG115" s="811">
        <f t="shared" si="49"/>
        <v>2</v>
      </c>
      <c r="AH115" s="176">
        <f t="shared" si="42"/>
        <v>8</v>
      </c>
      <c r="AI115" s="225">
        <f t="shared" si="43"/>
        <v>2.0359070351817095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35.712712182391698</v>
      </c>
      <c r="C116" s="841"/>
      <c r="D116" s="393">
        <f t="shared" si="25"/>
        <v>38.025547976100995</v>
      </c>
      <c r="E116" s="385">
        <f t="shared" si="47"/>
        <v>39.410095334748583</v>
      </c>
      <c r="F116" s="385">
        <f t="shared" si="26"/>
        <v>39.410108964556919</v>
      </c>
      <c r="G116" s="110">
        <f t="shared" si="48"/>
        <v>0.6762685036541457</v>
      </c>
      <c r="H116" s="414" t="b">
        <f>Wh_hp&gt;='2025'!Maxi_hp</f>
        <v>0</v>
      </c>
      <c r="I116" s="390">
        <f>IF(H116,Wh_hp,'2025'!Maxi_hp)</f>
        <v>58.323508945597986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6.0823207469959728E-2</v>
      </c>
      <c r="M116" s="845"/>
      <c r="N116" s="845"/>
      <c r="O116" s="48">
        <f>IF(t&lt;Tnet,'2025'!Resal+('2025'!Salim-'2025'!Resal)*(1-EXP(('2025'!Tnet-t)/('2025'!Tau_j))),Resal+(Salim-Resal)*(1-EXP((Tnet-t)/(Tau_j))))*Salcycl</f>
        <v>3.5131794198599756E-2</v>
      </c>
      <c r="P116" s="169">
        <f>(INDEX(Models!$BJ116:$BT116,,T116)*(1-R116)+INDEX(Models!$BJ116:$BT116,,T116+1)*R116-ERP_i)*Q116*Ramure*Pc/MaxiM</f>
        <v>6.434014786207118E-7</v>
      </c>
      <c r="Q116" s="305">
        <f t="shared" si="28"/>
        <v>0.5</v>
      </c>
      <c r="R116" s="177">
        <f t="shared" si="29"/>
        <v>0.51243082967635867</v>
      </c>
      <c r="S116" s="811">
        <f t="shared" si="30"/>
        <v>-2</v>
      </c>
      <c r="T116" s="176">
        <f t="shared" si="31"/>
        <v>4</v>
      </c>
      <c r="U116" s="251">
        <f t="shared" si="32"/>
        <v>-1.4875691703236413</v>
      </c>
      <c r="V116" s="383">
        <f t="shared" si="33"/>
        <v>52.808464926115462</v>
      </c>
      <c r="W116" s="402">
        <f t="shared" si="34"/>
        <v>35.712712182391698</v>
      </c>
      <c r="X116" s="157">
        <f t="shared" si="35"/>
        <v>46124</v>
      </c>
      <c r="Y116" s="385">
        <f t="shared" si="36"/>
        <v>34.338290026975059</v>
      </c>
      <c r="Z116" s="385">
        <f t="shared" si="37"/>
        <v>36.562115141784368</v>
      </c>
      <c r="AA116" s="386">
        <f t="shared" si="38"/>
        <v>39.409788256970671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7.2258016120718818E-2</v>
      </c>
      <c r="AD116" s="231">
        <f>(INDEX(Models!$BJ116:$BT116,,AH116)*(1-AF116)+INDEX(Models!$BJ116:$BT116,,AH116+1)*AF116-ERP_i)*AE116*Ramure*Pc/MaxiM</f>
        <v>1.5139151636070012E-5</v>
      </c>
      <c r="AE116" s="305">
        <f t="shared" si="40"/>
        <v>0.5</v>
      </c>
      <c r="AF116" s="177">
        <f t="shared" si="41"/>
        <v>3.7418396050337588E-2</v>
      </c>
      <c r="AG116" s="811">
        <f t="shared" si="49"/>
        <v>2</v>
      </c>
      <c r="AH116" s="176">
        <f t="shared" si="42"/>
        <v>8</v>
      </c>
      <c r="AI116" s="225">
        <f t="shared" si="43"/>
        <v>2.0374183960503376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7.1610577439117051</v>
      </c>
      <c r="C117" s="841"/>
      <c r="D117" s="393">
        <f t="shared" si="25"/>
        <v>7.6249910025976346</v>
      </c>
      <c r="E117" s="385">
        <f t="shared" si="47"/>
        <v>7.9032932657246704</v>
      </c>
      <c r="F117" s="385">
        <f t="shared" si="26"/>
        <v>7.9032932657246704</v>
      </c>
      <c r="G117" s="110">
        <f t="shared" si="48"/>
        <v>0.13505131472703352</v>
      </c>
      <c r="H117" s="414" t="b">
        <f>Wh_hp&gt;='2025'!Maxi_hp</f>
        <v>0</v>
      </c>
      <c r="I117" s="390">
        <f>IF(H117,Wh_hp,'2025'!Maxi_hp)</f>
        <v>59.034851740298983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6.0843777852049863E-2</v>
      </c>
      <c r="M117" s="845"/>
      <c r="N117" s="845"/>
      <c r="O117" s="48">
        <f>IF(t&lt;Tnet,'2025'!Resal+('2025'!Salim-'2025'!Resal)*(1-EXP(('2025'!Tnet-t)/('2025'!Tau_j))),Resal+(Salim-Resal)*(1-EXP((Tnet-t)/(Tau_j))))*Salcycl</f>
        <v>3.5213455172413852E-2</v>
      </c>
      <c r="P117" s="169">
        <f>(INDEX(Models!$BJ117:$BT117,,T117)*(1-R117)+INDEX(Models!$BJ117:$BT117,,T117+1)*R117-ERP_i)*Q117*Ramure*Pc/MaxiM</f>
        <v>7.9027764050606457E-7</v>
      </c>
      <c r="Q117" s="305">
        <f t="shared" si="28"/>
        <v>0.5</v>
      </c>
      <c r="R117" s="177">
        <f t="shared" si="29"/>
        <v>0.51399510360928025</v>
      </c>
      <c r="S117" s="811">
        <f t="shared" si="30"/>
        <v>-2</v>
      </c>
      <c r="T117" s="176">
        <f t="shared" si="31"/>
        <v>4</v>
      </c>
      <c r="U117" s="251">
        <f t="shared" si="32"/>
        <v>-1.4860048963907198</v>
      </c>
      <c r="V117" s="383">
        <f t="shared" si="33"/>
        <v>53.02467509599478</v>
      </c>
      <c r="W117" s="402">
        <f t="shared" si="34"/>
        <v>7.1610577439117051</v>
      </c>
      <c r="X117" s="157">
        <f t="shared" si="35"/>
        <v>46125</v>
      </c>
      <c r="Y117" s="385">
        <f t="shared" si="36"/>
        <v>6.8856999652762605</v>
      </c>
      <c r="Z117" s="385">
        <f t="shared" si="37"/>
        <v>7.3317940113604658</v>
      </c>
      <c r="AA117" s="386">
        <f t="shared" si="38"/>
        <v>7.9032932657246704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7.2311533325317229E-2</v>
      </c>
      <c r="AD117" s="231">
        <f>(INDEX(Models!$BJ117:$BT117,,AH117)*(1-AF117)+INDEX(Models!$BJ117:$BT117,,AH117+1)*AF117-ERP_i)*AE117*Ramure*Pc/MaxiM</f>
        <v>1.6338709854507882E-5</v>
      </c>
      <c r="AE117" s="305">
        <f t="shared" si="40"/>
        <v>0.5</v>
      </c>
      <c r="AF117" s="177">
        <f t="shared" si="41"/>
        <v>3.8982669983259388E-2</v>
      </c>
      <c r="AG117" s="811">
        <f t="shared" si="49"/>
        <v>2</v>
      </c>
      <c r="AH117" s="176">
        <f t="shared" si="42"/>
        <v>8</v>
      </c>
      <c r="AI117" s="225">
        <f t="shared" si="43"/>
        <v>2.0389826699832594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38.709160000947641</v>
      </c>
      <c r="C118" s="841"/>
      <c r="D118" s="393">
        <f t="shared" si="25"/>
        <v>41.21785804808092</v>
      </c>
      <c r="E118" s="385">
        <f t="shared" si="47"/>
        <v>42.725891354915845</v>
      </c>
      <c r="F118" s="385">
        <f t="shared" si="26"/>
        <v>42.725916402991132</v>
      </c>
      <c r="G118" s="110">
        <f t="shared" si="48"/>
        <v>0.72714054411345674</v>
      </c>
      <c r="H118" s="414" t="b">
        <f>Wh_hp&gt;='2025'!Maxi_hp</f>
        <v>0</v>
      </c>
      <c r="I118" s="390">
        <f>IF(H118,Wh_hp,'2025'!Maxi_hp)</f>
        <v>57.514245582008527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6.0864347783595729E-2</v>
      </c>
      <c r="M118" s="845"/>
      <c r="N118" s="845"/>
      <c r="O118" s="48">
        <f>IF(t&lt;Tnet,'2025'!Resal+('2025'!Salim-'2025'!Resal)*(1-EXP(('2025'!Tnet-t)/('2025'!Tau_j))),Resal+(Salim-Resal)*(1-EXP((Tnet-t)/(Tau_j))))*Salcycl</f>
        <v>3.529553764737127E-2</v>
      </c>
      <c r="P118" s="169">
        <f>(INDEX(Models!$BJ118:$BT118,,T118)*(1-R118)+INDEX(Models!$BJ118:$BT118,,T118+1)*R118-ERP_i)*Q118*Ramure*Pc/MaxiM</f>
        <v>9.6074899786818732E-7</v>
      </c>
      <c r="Q118" s="305">
        <f t="shared" si="28"/>
        <v>0.5</v>
      </c>
      <c r="R118" s="177">
        <f t="shared" si="29"/>
        <v>0.51561372748884393</v>
      </c>
      <c r="S118" s="811">
        <f t="shared" si="30"/>
        <v>-2</v>
      </c>
      <c r="T118" s="176">
        <f t="shared" si="31"/>
        <v>4</v>
      </c>
      <c r="U118" s="251">
        <f t="shared" si="32"/>
        <v>-1.4843862725111561</v>
      </c>
      <c r="V118" s="383">
        <f t="shared" si="33"/>
        <v>53.234750582638156</v>
      </c>
      <c r="W118" s="402">
        <f t="shared" si="34"/>
        <v>38.709160000947641</v>
      </c>
      <c r="X118" s="157">
        <f t="shared" si="35"/>
        <v>46126</v>
      </c>
      <c r="Y118" s="385">
        <f t="shared" si="36"/>
        <v>37.221309014637683</v>
      </c>
      <c r="Z118" s="385">
        <f t="shared" si="37"/>
        <v>39.633581077231646</v>
      </c>
      <c r="AA118" s="386">
        <f t="shared" si="38"/>
        <v>42.725449709359552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7.2365970473345129E-2</v>
      </c>
      <c r="AD118" s="231">
        <f>(INDEX(Models!$BJ118:$BT118,,AH118)*(1-AF118)+INDEX(Models!$BJ118:$BT118,,AH118+1)*AF118-ERP_i)*AE118*Ramure*Pc/MaxiM</f>
        <v>1.7900594505570195E-5</v>
      </c>
      <c r="AE118" s="305">
        <f t="shared" si="40"/>
        <v>0.5</v>
      </c>
      <c r="AF118" s="177">
        <f t="shared" si="41"/>
        <v>4.0601293862822629E-2</v>
      </c>
      <c r="AG118" s="811">
        <f t="shared" si="49"/>
        <v>2</v>
      </c>
      <c r="AH118" s="176">
        <f t="shared" si="42"/>
        <v>8</v>
      </c>
      <c r="AI118" s="225">
        <f t="shared" si="43"/>
        <v>2.0406012938628226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44.360664778188656</v>
      </c>
      <c r="C119" s="841"/>
      <c r="D119" s="393">
        <f t="shared" si="25"/>
        <v>47.236665232739988</v>
      </c>
      <c r="E119" s="385">
        <f t="shared" si="47"/>
        <v>48.969096449425372</v>
      </c>
      <c r="F119" s="385">
        <f t="shared" si="26"/>
        <v>48.969139289652233</v>
      </c>
      <c r="G119" s="110">
        <f t="shared" si="48"/>
        <v>0.83012384891654045</v>
      </c>
      <c r="H119" s="414" t="b">
        <f>Wh_hp&gt;='2025'!Maxi_hp</f>
        <v>0</v>
      </c>
      <c r="I119" s="390">
        <f>IF(H119,Wh_hp,'2025'!Maxi_hp)</f>
        <v>58.00017289991299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6.088491726460743E-2</v>
      </c>
      <c r="M119" s="845"/>
      <c r="N119" s="845"/>
      <c r="O119" s="48">
        <f>IF(t&lt;Tnet,'2025'!Resal+('2025'!Salim-'2025'!Resal)*(1-EXP(('2025'!Tnet-t)/('2025'!Tau_j))),Resal+(Salim-Resal)*(1-EXP((Tnet-t)/(Tau_j))))*Salcycl</f>
        <v>3.5378051512030974E-2</v>
      </c>
      <c r="P119" s="169">
        <f>(INDEX(Models!$BJ119:$BT119,,T119)*(1-R119)+INDEX(Models!$BJ119:$BT119,,T119+1)*R119-ERP_i)*Q119*Ramure*Pc/MaxiM</f>
        <v>1.1551803644347876E-6</v>
      </c>
      <c r="Q119" s="305">
        <f t="shared" si="28"/>
        <v>0.5</v>
      </c>
      <c r="R119" s="177">
        <f t="shared" si="29"/>
        <v>0.51728814479837526</v>
      </c>
      <c r="S119" s="811">
        <f t="shared" si="30"/>
        <v>-2</v>
      </c>
      <c r="T119" s="176">
        <f t="shared" si="31"/>
        <v>4</v>
      </c>
      <c r="U119" s="251">
        <f t="shared" si="32"/>
        <v>-1.4827118552016247</v>
      </c>
      <c r="V119" s="383">
        <f t="shared" si="33"/>
        <v>53.438595216906876</v>
      </c>
      <c r="W119" s="402">
        <f t="shared" si="34"/>
        <v>44.360664778188656</v>
      </c>
      <c r="X119" s="157">
        <f t="shared" si="35"/>
        <v>46127</v>
      </c>
      <c r="Y119" s="385">
        <f t="shared" si="36"/>
        <v>42.656528853088908</v>
      </c>
      <c r="Z119" s="385">
        <f t="shared" si="37"/>
        <v>45.42204638950296</v>
      </c>
      <c r="AA119" s="386">
        <f t="shared" si="38"/>
        <v>48.968403989243093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7.2421343373150635E-2</v>
      </c>
      <c r="AD119" s="231">
        <f>(INDEX(Models!$BJ119:$BT119,,AH119)*(1-AF119)+INDEX(Models!$BJ119:$BT119,,AH119+1)*AF119-ERP_i)*AE119*Ramure*Pc/MaxiM</f>
        <v>1.9827266492627778E-5</v>
      </c>
      <c r="AE119" s="305">
        <f t="shared" si="40"/>
        <v>0.5</v>
      </c>
      <c r="AF119" s="177">
        <f t="shared" si="41"/>
        <v>4.2275711172354402E-2</v>
      </c>
      <c r="AG119" s="811">
        <f t="shared" si="49"/>
        <v>2</v>
      </c>
      <c r="AH119" s="176">
        <f t="shared" si="42"/>
        <v>8</v>
      </c>
      <c r="AI119" s="225">
        <f t="shared" si="43"/>
        <v>2.0422757111723544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42.805456638593029</v>
      </c>
      <c r="C120" s="841"/>
      <c r="D120" s="393">
        <f t="shared" si="25"/>
        <v>45.581627848849216</v>
      </c>
      <c r="E120" s="385">
        <f t="shared" si="47"/>
        <v>47.257423638272684</v>
      </c>
      <c r="F120" s="385">
        <f t="shared" si="26"/>
        <v>47.257469838968277</v>
      </c>
      <c r="G120" s="110">
        <f t="shared" si="48"/>
        <v>0.79807125000132983</v>
      </c>
      <c r="H120" s="414" t="b">
        <f>Wh_hp&gt;='2025'!Maxi_hp</f>
        <v>0</v>
      </c>
      <c r="I120" s="390">
        <f>IF(H120,Wh_hp,'2025'!Maxi_hp)</f>
        <v>52.848516926149152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6.0905486295094624E-2</v>
      </c>
      <c r="M120" s="845"/>
      <c r="N120" s="845"/>
      <c r="O120" s="48">
        <f>IF(t&lt;Tnet,'2025'!Resal+('2025'!Salim-'2025'!Resal)*(1-EXP(('2025'!Tnet-t)/('2025'!Tau_j))),Resal+(Salim-Resal)*(1-EXP((Tnet-t)/(Tau_j))))*Salcycl</f>
        <v>3.5461006132088031E-2</v>
      </c>
      <c r="P120" s="169">
        <f>(INDEX(Models!$BJ120:$BT120,,T120)*(1-R120)+INDEX(Models!$BJ120:$BT120,,T120+1)*R120-ERP_i)*Q120*Ramure*Pc/MaxiM</f>
        <v>1.3739924262656968E-6</v>
      </c>
      <c r="Q120" s="305">
        <f t="shared" si="28"/>
        <v>0.5</v>
      </c>
      <c r="R120" s="177">
        <f t="shared" si="29"/>
        <v>0.51901980277201765</v>
      </c>
      <c r="S120" s="811">
        <f t="shared" si="30"/>
        <v>-2</v>
      </c>
      <c r="T120" s="176">
        <f t="shared" si="31"/>
        <v>4</v>
      </c>
      <c r="U120" s="251">
        <f t="shared" si="32"/>
        <v>-1.4809801972279824</v>
      </c>
      <c r="V120" s="383">
        <f t="shared" si="33"/>
        <v>53.636112906423399</v>
      </c>
      <c r="W120" s="402">
        <f t="shared" si="34"/>
        <v>42.805456638593029</v>
      </c>
      <c r="X120" s="157">
        <f t="shared" si="35"/>
        <v>46128</v>
      </c>
      <c r="Y120" s="385">
        <f t="shared" si="36"/>
        <v>41.162079651400219</v>
      </c>
      <c r="Z120" s="385">
        <f t="shared" si="37"/>
        <v>43.831668751857613</v>
      </c>
      <c r="AA120" s="386">
        <f t="shared" si="38"/>
        <v>47.256725986426645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7.2477666682892752E-2</v>
      </c>
      <c r="AD120" s="231">
        <f>(INDEX(Models!$BJ120:$BT120,,AH120)*(1-AF120)+INDEX(Models!$BJ120:$BT120,,AH120+1)*AF120-ERP_i)*AE120*Ramure*Pc/MaxiM</f>
        <v>2.212191278595896E-5</v>
      </c>
      <c r="AE120" s="305">
        <f t="shared" si="40"/>
        <v>0.5</v>
      </c>
      <c r="AF120" s="177">
        <f t="shared" si="41"/>
        <v>4.4007369145996567E-2</v>
      </c>
      <c r="AG120" s="811">
        <f t="shared" si="49"/>
        <v>2</v>
      </c>
      <c r="AH120" s="176">
        <f t="shared" si="42"/>
        <v>8</v>
      </c>
      <c r="AI120" s="225">
        <f t="shared" si="43"/>
        <v>2.0440073691459966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52.284216230988221</v>
      </c>
      <c r="C121" s="841"/>
      <c r="D121" s="393">
        <f t="shared" si="25"/>
        <v>55.676357013645422</v>
      </c>
      <c r="E121" s="385">
        <f t="shared" si="47"/>
        <v>57.728274489151666</v>
      </c>
      <c r="F121" s="385">
        <f t="shared" si="26"/>
        <v>57.728364051579391</v>
      </c>
      <c r="G121" s="110">
        <f t="shared" si="48"/>
        <v>0.97134131349279274</v>
      </c>
      <c r="H121" s="414" t="b">
        <f>Wh_hp&gt;='2025'!Maxi_hp</f>
        <v>0</v>
      </c>
      <c r="I121" s="390">
        <f>IF(H121,Wh_hp,'2025'!Maxi_hp)</f>
        <v>57.728367700537426</v>
      </c>
      <c r="J121" s="85">
        <f>IF(H121,An,'2025'!An_max)</f>
        <v>2025</v>
      </c>
      <c r="K121" s="197">
        <f t="shared" si="27"/>
        <v>46129</v>
      </c>
      <c r="L121" s="147">
        <f>IF(t&lt;Tvie,1-EXP((T0-t)*PertePVj)+'2025'!Pspv,1-EXP((T0-t)*PertePVj)+Pspv)</f>
        <v>6.0926054875067304E-2</v>
      </c>
      <c r="M121" s="845"/>
      <c r="N121" s="845"/>
      <c r="O121" s="48">
        <f>IF(t&lt;Tnet,'2025'!Resal+('2025'!Salim-'2025'!Resal)*(1-EXP(('2025'!Tnet-t)/('2025'!Tau_j))),Resal+(Salim-Resal)*(1-EXP((Tnet-t)/(Tau_j))))*Salcycl</f>
        <v>3.554441031996973E-2</v>
      </c>
      <c r="P121" s="169">
        <f>(INDEX(Models!$BJ121:$BT121,,T121)*(1-R121)+INDEX(Models!$BJ121:$BT121,,T121+1)*R121-ERP_i)*Q121*Ramure*Pc/MaxiM</f>
        <v>1.6176748420798955E-6</v>
      </c>
      <c r="Q121" s="305">
        <f t="shared" si="28"/>
        <v>0.5</v>
      </c>
      <c r="R121" s="177">
        <f t="shared" si="29"/>
        <v>0.52081014930669456</v>
      </c>
      <c r="S121" s="811">
        <f t="shared" si="30"/>
        <v>-2</v>
      </c>
      <c r="T121" s="176">
        <f t="shared" si="31"/>
        <v>4</v>
      </c>
      <c r="U121" s="251">
        <f t="shared" si="32"/>
        <v>-1.4791898506933054</v>
      </c>
      <c r="V121" s="383">
        <f t="shared" si="33"/>
        <v>53.826818690788691</v>
      </c>
      <c r="W121" s="402">
        <f t="shared" si="34"/>
        <v>52.284216230988221</v>
      </c>
      <c r="X121" s="157">
        <f t="shared" si="35"/>
        <v>46129</v>
      </c>
      <c r="Y121" s="385">
        <f t="shared" si="36"/>
        <v>50.277800176954884</v>
      </c>
      <c r="Z121" s="385">
        <f t="shared" si="37"/>
        <v>53.53976695654783</v>
      </c>
      <c r="AA121" s="386">
        <f t="shared" si="38"/>
        <v>57.726991630844388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7.2534953857863321E-2</v>
      </c>
      <c r="AD121" s="231">
        <f>(INDEX(Models!$BJ121:$BT121,,AH121)*(1-AF121)+INDEX(Models!$BJ121:$BT121,,AH121+1)*AF121-ERP_i)*AE121*Ramure*Pc/MaxiM</f>
        <v>2.4788636842758955E-5</v>
      </c>
      <c r="AE121" s="305">
        <f t="shared" si="40"/>
        <v>0.5</v>
      </c>
      <c r="AF121" s="177">
        <f t="shared" si="41"/>
        <v>4.5797715680673257E-2</v>
      </c>
      <c r="AG121" s="811">
        <f t="shared" si="49"/>
        <v>2</v>
      </c>
      <c r="AH121" s="176">
        <f t="shared" si="42"/>
        <v>8</v>
      </c>
      <c r="AI121" s="225">
        <f t="shared" si="43"/>
        <v>2.0457977156806733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36.165719708383968</v>
      </c>
      <c r="C122" s="841"/>
      <c r="D122" s="393">
        <f t="shared" si="25"/>
        <v>38.512954209373589</v>
      </c>
      <c r="E122" s="385">
        <f t="shared" si="47"/>
        <v>39.935797683903317</v>
      </c>
      <c r="F122" s="385">
        <f t="shared" si="26"/>
        <v>39.935838079975987</v>
      </c>
      <c r="G122" s="110">
        <f t="shared" si="48"/>
        <v>0.6696049225966102</v>
      </c>
      <c r="H122" s="414" t="b">
        <f>Wh_hp&gt;='2025'!Maxi_hp</f>
        <v>0</v>
      </c>
      <c r="I122" s="390">
        <f>IF(H122,Wh_hp,'2025'!Maxi_hp)</f>
        <v>42.565319321773202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6.094662300453535E-2</v>
      </c>
      <c r="M122" s="845"/>
      <c r="N122" s="845"/>
      <c r="O122" s="48">
        <f>IF(t&lt;Tnet,'2025'!Resal+('2025'!Salim-'2025'!Resal)*(1-EXP(('2025'!Tnet-t)/('2025'!Tau_j))),Resal+(Salim-Resal)*(1-EXP((Tnet-t)/(Tau_j))))*Salcycl</f>
        <v>3.5628272303252891E-2</v>
      </c>
      <c r="P122" s="169">
        <f>(INDEX(Models!$BJ122:$BT122,,T122)*(1-R122)+INDEX(Models!$BJ122:$BT122,,T122+1)*R122-ERP_i)*Q122*Ramure*Pc/MaxiM</f>
        <v>1.9157371614725107E-6</v>
      </c>
      <c r="Q122" s="305">
        <f t="shared" si="28"/>
        <v>0.5</v>
      </c>
      <c r="R122" s="177">
        <f t="shared" si="29"/>
        <v>0.52266062962941739</v>
      </c>
      <c r="S122" s="811">
        <f t="shared" si="30"/>
        <v>-2</v>
      </c>
      <c r="T122" s="176">
        <f t="shared" si="31"/>
        <v>4</v>
      </c>
      <c r="U122" s="251">
        <f t="shared" si="32"/>
        <v>-1.4773393703705826</v>
      </c>
      <c r="V122" s="383">
        <f t="shared" si="33"/>
        <v>54.010485566025451</v>
      </c>
      <c r="W122" s="402">
        <f t="shared" si="34"/>
        <v>36.165719708383968</v>
      </c>
      <c r="X122" s="157">
        <f t="shared" si="35"/>
        <v>46130</v>
      </c>
      <c r="Y122" s="385">
        <f t="shared" si="36"/>
        <v>34.778986337436336</v>
      </c>
      <c r="Z122" s="385">
        <f t="shared" si="37"/>
        <v>37.036218802293185</v>
      </c>
      <c r="AA122" s="386">
        <f t="shared" si="38"/>
        <v>39.935246846389198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7.2593217095843057E-2</v>
      </c>
      <c r="AD122" s="231">
        <f>(INDEX(Models!$BJ122:$BT122,,AH122)*(1-AF122)+INDEX(Models!$BJ122:$BT122,,AH122+1)*AF122-ERP_i)*AE122*Ramure*Pc/MaxiM</f>
        <v>2.8038571042947979E-5</v>
      </c>
      <c r="AE122" s="305">
        <f t="shared" si="40"/>
        <v>0.5</v>
      </c>
      <c r="AF122" s="177">
        <f t="shared" si="41"/>
        <v>4.7648196003396315E-2</v>
      </c>
      <c r="AG122" s="811">
        <f t="shared" si="49"/>
        <v>2</v>
      </c>
      <c r="AH122" s="176">
        <f t="shared" si="42"/>
        <v>8</v>
      </c>
      <c r="AI122" s="225">
        <f t="shared" si="43"/>
        <v>2.0476481960033963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8.6455539396914673</v>
      </c>
      <c r="C123" s="841"/>
      <c r="D123" s="393">
        <f t="shared" si="25"/>
        <v>9.2068709995175162</v>
      </c>
      <c r="E123" s="385">
        <f t="shared" si="47"/>
        <v>9.5478495276150639</v>
      </c>
      <c r="F123" s="385">
        <f t="shared" si="26"/>
        <v>9.5478495276150639</v>
      </c>
      <c r="G123" s="110">
        <f t="shared" si="48"/>
        <v>0.15954877434894765</v>
      </c>
      <c r="H123" s="414" t="b">
        <f>Wh_hp&gt;='2025'!Maxi_hp</f>
        <v>0</v>
      </c>
      <c r="I123" s="390">
        <f>IF(H123,Wh_hp,'2025'!Maxi_hp)</f>
        <v>57.730407119667383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6.0967190683508532E-2</v>
      </c>
      <c r="M123" s="845"/>
      <c r="N123" s="845"/>
      <c r="O123" s="48">
        <f>IF(t&lt;Tnet,'2025'!Resal+('2025'!Salim-'2025'!Resal)*(1-EXP(('2025'!Tnet-t)/('2025'!Tau_j))),Resal+(Salim-Resal)*(1-EXP((Tnet-t)/(Tau_j))))*Salcycl</f>
        <v>3.5712599691830244E-2</v>
      </c>
      <c r="P123" s="169">
        <f>(INDEX(Models!$BJ123:$BT123,,T123)*(1-R123)+INDEX(Models!$BJ123:$BT123,,T123+1)*R123-ERP_i)*Q123*Ramure*Pc/MaxiM</f>
        <v>2.2636083631099874E-6</v>
      </c>
      <c r="Q123" s="305">
        <f t="shared" si="28"/>
        <v>0.5</v>
      </c>
      <c r="R123" s="177">
        <f t="shared" si="29"/>
        <v>0.52457268271405422</v>
      </c>
      <c r="S123" s="811">
        <f t="shared" si="30"/>
        <v>-2</v>
      </c>
      <c r="T123" s="176">
        <f t="shared" si="31"/>
        <v>4</v>
      </c>
      <c r="U123" s="251">
        <f t="shared" si="32"/>
        <v>-1.4754273172859458</v>
      </c>
      <c r="V123" s="383">
        <f t="shared" si="33"/>
        <v>54.187406984617112</v>
      </c>
      <c r="W123" s="402">
        <f t="shared" si="34"/>
        <v>8.6455539396914673</v>
      </c>
      <c r="X123" s="157">
        <f t="shared" si="35"/>
        <v>46131</v>
      </c>
      <c r="Y123" s="385">
        <f t="shared" si="36"/>
        <v>8.3143605447973119</v>
      </c>
      <c r="Z123" s="385">
        <f t="shared" si="37"/>
        <v>8.8541747022121786</v>
      </c>
      <c r="AA123" s="386">
        <f t="shared" si="38"/>
        <v>9.5478495276150639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7.2652467280363189E-2</v>
      </c>
      <c r="AD123" s="231">
        <f>(INDEX(Models!$BJ123:$BT123,,AH123)*(1-AF123)+INDEX(Models!$BJ123:$BT123,,AH123+1)*AF123-ERP_i)*AE123*Ramure*Pc/MaxiM</f>
        <v>3.1670319346958606E-5</v>
      </c>
      <c r="AE123" s="305">
        <f t="shared" si="40"/>
        <v>0.5</v>
      </c>
      <c r="AF123" s="177">
        <f t="shared" si="41"/>
        <v>4.9560249088033359E-2</v>
      </c>
      <c r="AG123" s="811">
        <f t="shared" si="49"/>
        <v>2</v>
      </c>
      <c r="AH123" s="176">
        <f t="shared" si="42"/>
        <v>8</v>
      </c>
      <c r="AI123" s="225">
        <f t="shared" si="43"/>
        <v>2.0495602490880334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9.893405361115482</v>
      </c>
      <c r="C124" s="841"/>
      <c r="D124" s="393">
        <f t="shared" si="25"/>
        <v>10.535970584490295</v>
      </c>
      <c r="E124" s="385">
        <f t="shared" si="47"/>
        <v>10.927133548916428</v>
      </c>
      <c r="F124" s="385">
        <f t="shared" si="26"/>
        <v>10.927133548916428</v>
      </c>
      <c r="G124" s="110">
        <f t="shared" si="48"/>
        <v>0.18200451794325115</v>
      </c>
      <c r="H124" s="414" t="b">
        <f>Wh_hp&gt;='2025'!Maxi_hp</f>
        <v>0</v>
      </c>
      <c r="I124" s="390">
        <f>IF(H124,Wh_hp,'2025'!Maxi_hp)</f>
        <v>54.953153725787914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6.0987757911996732E-2</v>
      </c>
      <c r="M124" s="845"/>
      <c r="N124" s="845"/>
      <c r="O124" s="48">
        <f>IF(t&lt;Tnet,'2025'!Resal+('2025'!Salim-'2025'!Resal)*(1-EXP(('2025'!Tnet-t)/('2025'!Tau_j))),Resal+(Salim-Resal)*(1-EXP((Tnet-t)/(Tau_j))))*Salcycl</f>
        <v>3.5797399443783927E-2</v>
      </c>
      <c r="P124" s="169">
        <f>(INDEX(Models!$BJ124:$BT124,,T124)*(1-R124)+INDEX(Models!$BJ124:$BT124,,T124+1)*R124-ERP_i)*Q124*Ramure*Pc/MaxiM</f>
        <v>2.6623064487044443E-6</v>
      </c>
      <c r="Q124" s="305">
        <f t="shared" si="28"/>
        <v>0.5</v>
      </c>
      <c r="R124" s="177">
        <f t="shared" si="29"/>
        <v>0.52654773744272343</v>
      </c>
      <c r="S124" s="811">
        <f t="shared" si="30"/>
        <v>-2</v>
      </c>
      <c r="T124" s="176">
        <f t="shared" si="31"/>
        <v>4</v>
      </c>
      <c r="U124" s="251">
        <f t="shared" si="32"/>
        <v>-1.4734522625572766</v>
      </c>
      <c r="V124" s="383">
        <f t="shared" si="33"/>
        <v>54.357876022194873</v>
      </c>
      <c r="W124" s="402">
        <f t="shared" si="34"/>
        <v>9.893405361115482</v>
      </c>
      <c r="X124" s="157">
        <f t="shared" si="35"/>
        <v>46132</v>
      </c>
      <c r="Y124" s="385">
        <f t="shared" si="36"/>
        <v>9.514627944467307</v>
      </c>
      <c r="Z124" s="385">
        <f t="shared" si="37"/>
        <v>10.13259201318869</v>
      </c>
      <c r="AA124" s="386">
        <f t="shared" si="38"/>
        <v>10.927133548916428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7.2712713921806768E-2</v>
      </c>
      <c r="AD124" s="231">
        <f>(INDEX(Models!$BJ124:$BT124,,AH124)*(1-AF124)+INDEX(Models!$BJ124:$BT124,,AH124+1)*AF124-ERP_i)*AE124*Ramure*Pc/MaxiM</f>
        <v>3.5688644423397892E-5</v>
      </c>
      <c r="AE124" s="305">
        <f t="shared" si="40"/>
        <v>0.5</v>
      </c>
      <c r="AF124" s="177">
        <f t="shared" si="41"/>
        <v>5.1535303816702349E-2</v>
      </c>
      <c r="AG124" s="811">
        <f t="shared" si="49"/>
        <v>2</v>
      </c>
      <c r="AH124" s="176">
        <f t="shared" si="42"/>
        <v>8</v>
      </c>
      <c r="AI124" s="225">
        <f t="shared" si="43"/>
        <v>2.0515353038167023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9.1449836971710887</v>
      </c>
      <c r="C125" s="841"/>
      <c r="D125" s="393">
        <f t="shared" si="25"/>
        <v>9.7391531124618833</v>
      </c>
      <c r="E125" s="385">
        <f t="shared" si="47"/>
        <v>10.101626522528306</v>
      </c>
      <c r="F125" s="385">
        <f t="shared" si="26"/>
        <v>10.101626522528306</v>
      </c>
      <c r="G125" s="110">
        <f t="shared" si="48"/>
        <v>0.16772906507899338</v>
      </c>
      <c r="H125" s="414" t="b">
        <f>Wh_hp&gt;='2025'!Maxi_hp</f>
        <v>0</v>
      </c>
      <c r="I125" s="390">
        <f>IF(H125,Wh_hp,'2025'!Maxi_hp)</f>
        <v>55.659407422413302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6.100832469000983E-2</v>
      </c>
      <c r="M125" s="845"/>
      <c r="N125" s="845"/>
      <c r="O125" s="48">
        <f>IF(t&lt;Tnet,'2025'!Resal+('2025'!Salim-'2025'!Resal)*(1-EXP(('2025'!Tnet-t)/('2025'!Tau_j))),Resal+(Salim-Resal)*(1-EXP((Tnet-t)/(Tau_j))))*Salcycl</f>
        <v>3.5882677829956154E-2</v>
      </c>
      <c r="P125" s="169">
        <f>(INDEX(Models!$BJ125:$BT125,,T125)*(1-R125)+INDEX(Models!$BJ125:$BT125,,T125+1)*R125-ERP_i)*Q125*Ramure*Pc/MaxiM</f>
        <v>3.1129684243984709E-6</v>
      </c>
      <c r="Q125" s="305">
        <f t="shared" si="28"/>
        <v>0.5</v>
      </c>
      <c r="R125" s="177">
        <f t="shared" si="29"/>
        <v>0.52858720850819663</v>
      </c>
      <c r="S125" s="811">
        <f t="shared" si="30"/>
        <v>-2</v>
      </c>
      <c r="T125" s="176">
        <f t="shared" si="31"/>
        <v>4</v>
      </c>
      <c r="U125" s="251">
        <f t="shared" si="32"/>
        <v>-1.4714127914918034</v>
      </c>
      <c r="V125" s="383">
        <f t="shared" si="33"/>
        <v>54.522185673775176</v>
      </c>
      <c r="W125" s="402">
        <f t="shared" si="34"/>
        <v>9.1449836971710887</v>
      </c>
      <c r="X125" s="157">
        <f t="shared" si="35"/>
        <v>46133</v>
      </c>
      <c r="Y125" s="385">
        <f t="shared" si="36"/>
        <v>8.7950571759262797</v>
      </c>
      <c r="Z125" s="385">
        <f t="shared" si="37"/>
        <v>9.3664911065614707</v>
      </c>
      <c r="AA125" s="386">
        <f t="shared" si="38"/>
        <v>10.101626522528306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7.2773965096349744E-2</v>
      </c>
      <c r="AD125" s="231">
        <f>(INDEX(Models!$BJ125:$BT125,,AH125)*(1-AF125)+INDEX(Models!$BJ125:$BT125,,AH125+1)*AF125-ERP_i)*AE125*Ramure*Pc/MaxiM</f>
        <v>4.0098990774499337E-5</v>
      </c>
      <c r="AE125" s="305">
        <f t="shared" si="40"/>
        <v>0.5</v>
      </c>
      <c r="AF125" s="177">
        <f t="shared" si="41"/>
        <v>5.3574774882175547E-2</v>
      </c>
      <c r="AG125" s="811">
        <f t="shared" si="49"/>
        <v>2</v>
      </c>
      <c r="AH125" s="176">
        <f t="shared" si="42"/>
        <v>8</v>
      </c>
      <c r="AI125" s="225">
        <f t="shared" si="43"/>
        <v>2.0535747748821755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26.763282571738277</v>
      </c>
      <c r="C126" s="841"/>
      <c r="D126" s="393">
        <f t="shared" si="25"/>
        <v>28.502775341769031</v>
      </c>
      <c r="E126" s="385">
        <f t="shared" si="47"/>
        <v>29.566226393577811</v>
      </c>
      <c r="F126" s="385">
        <f t="shared" si="26"/>
        <v>29.566255334787986</v>
      </c>
      <c r="G126" s="110">
        <f t="shared" si="48"/>
        <v>0.48944594329272434</v>
      </c>
      <c r="H126" s="414" t="b">
        <f>Wh_hp&gt;='2025'!Maxi_hp</f>
        <v>0</v>
      </c>
      <c r="I126" s="390">
        <f>IF(H126,Wh_hp,'2025'!Maxi_hp)</f>
        <v>61.619887493232405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6.1028891017557707E-2</v>
      </c>
      <c r="M126" s="845"/>
      <c r="N126" s="845"/>
      <c r="O126" s="48">
        <f>IF(t&lt;Tnet,'2025'!Resal+('2025'!Salim-'2025'!Resal)*(1-EXP(('2025'!Tnet-t)/('2025'!Tau_j))),Resal+(Salim-Resal)*(1-EXP((Tnet-t)/(Tau_j))))*Salcycl</f>
        <v>3.59684403972425E-2</v>
      </c>
      <c r="P126" s="169">
        <f>(INDEX(Models!$BJ126:$BT126,,T126)*(1-R126)+INDEX(Models!$BJ126:$BT126,,T126+1)*R126-ERP_i)*Q126*Ramure*Pc/MaxiM</f>
        <v>3.6168469711799099E-6</v>
      </c>
      <c r="Q126" s="305">
        <f t="shared" si="28"/>
        <v>0.5</v>
      </c>
      <c r="R126" s="177">
        <f t="shared" si="29"/>
        <v>0.53069249205507907</v>
      </c>
      <c r="S126" s="811">
        <f t="shared" si="30"/>
        <v>-2</v>
      </c>
      <c r="T126" s="176">
        <f t="shared" si="31"/>
        <v>4</v>
      </c>
      <c r="U126" s="251">
        <f t="shared" si="32"/>
        <v>-1.4693075079449209</v>
      </c>
      <c r="V126" s="383">
        <f t="shared" si="33"/>
        <v>54.680628856410692</v>
      </c>
      <c r="W126" s="402">
        <f t="shared" si="34"/>
        <v>26.763282571738277</v>
      </c>
      <c r="X126" s="157">
        <f t="shared" si="35"/>
        <v>46134</v>
      </c>
      <c r="Y126" s="385">
        <f t="shared" si="36"/>
        <v>25.739477611202094</v>
      </c>
      <c r="Z126" s="385">
        <f t="shared" si="37"/>
        <v>27.412427672131276</v>
      </c>
      <c r="AA126" s="386">
        <f t="shared" si="38"/>
        <v>29.565895995646809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7.2836227382813007E-2</v>
      </c>
      <c r="AD126" s="231">
        <f>(INDEX(Models!$BJ126:$BT126,,AH126)*(1-AF126)+INDEX(Models!$BJ126:$BT126,,AH126+1)*AF126-ERP_i)*AE126*Ramure*Pc/MaxiM</f>
        <v>4.4907406312725973E-5</v>
      </c>
      <c r="AE126" s="305">
        <f t="shared" si="40"/>
        <v>0.5</v>
      </c>
      <c r="AF126" s="177">
        <f t="shared" si="41"/>
        <v>5.5680058429057766E-2</v>
      </c>
      <c r="AG126" s="811">
        <f t="shared" si="49"/>
        <v>2</v>
      </c>
      <c r="AH126" s="176">
        <f t="shared" si="42"/>
        <v>8</v>
      </c>
      <c r="AI126" s="225">
        <f t="shared" si="43"/>
        <v>2.0556800584290578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9.2604587841508454</v>
      </c>
      <c r="C127" s="841"/>
      <c r="D127" s="393">
        <f t="shared" si="25"/>
        <v>9.8625628923160722</v>
      </c>
      <c r="E127" s="385">
        <f t="shared" si="47"/>
        <v>10.231454844745942</v>
      </c>
      <c r="F127" s="385">
        <f t="shared" si="26"/>
        <v>10.231454844745942</v>
      </c>
      <c r="G127" s="110">
        <f t="shared" si="48"/>
        <v>0.16888253327135666</v>
      </c>
      <c r="H127" s="414" t="b">
        <f>Wh_hp&gt;='2025'!Maxi_hp</f>
        <v>0</v>
      </c>
      <c r="I127" s="390">
        <f>IF(H127,Wh_hp,'2025'!Maxi_hp)</f>
        <v>61.960154457717145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6.1049456894650245E-2</v>
      </c>
      <c r="M127" s="845"/>
      <c r="N127" s="845"/>
      <c r="O127" s="48">
        <f>IF(t&lt;Tnet,'2025'!Resal+('2025'!Salim-'2025'!Resal)*(1-EXP(('2025'!Tnet-t)/('2025'!Tau_j))),Resal+(Salim-Resal)*(1-EXP((Tnet-t)/(Tau_j))))*Salcycl</f>
        <v>3.6054691930669513E-2</v>
      </c>
      <c r="P127" s="169">
        <f>(INDEX(Models!$BJ127:$BT127,,T127)*(1-R127)+INDEX(Models!$BJ127:$BT127,,T127+1)*R127-ERP_i)*Q127*Ramure*Pc/MaxiM</f>
        <v>4.1752996145597729E-6</v>
      </c>
      <c r="Q127" s="305">
        <f t="shared" si="28"/>
        <v>0.5</v>
      </c>
      <c r="R127" s="177">
        <f t="shared" si="29"/>
        <v>0.53286496105911252</v>
      </c>
      <c r="S127" s="811">
        <f t="shared" si="30"/>
        <v>-2</v>
      </c>
      <c r="T127" s="176">
        <f t="shared" si="31"/>
        <v>4</v>
      </c>
      <c r="U127" s="251">
        <f t="shared" si="32"/>
        <v>-1.4671350389408875</v>
      </c>
      <c r="V127" s="383">
        <f t="shared" si="33"/>
        <v>54.833498406146106</v>
      </c>
      <c r="W127" s="402">
        <f t="shared" si="34"/>
        <v>9.2604587841508454</v>
      </c>
      <c r="X127" s="157">
        <f t="shared" si="35"/>
        <v>46135</v>
      </c>
      <c r="Y127" s="385">
        <f t="shared" si="36"/>
        <v>8.9064969178832261</v>
      </c>
      <c r="Z127" s="385">
        <f t="shared" si="37"/>
        <v>9.4855868429738184</v>
      </c>
      <c r="AA127" s="386">
        <f t="shared" si="38"/>
        <v>10.231454844745942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7.2899505797569139E-2</v>
      </c>
      <c r="AD127" s="231">
        <f>(INDEX(Models!$BJ127:$BT127,,AH127)*(1-AF127)+INDEX(Models!$BJ127:$BT127,,AH127+1)*AF127-ERP_i)*AE127*Ramure*Pc/MaxiM</f>
        <v>5.0120388123986985E-5</v>
      </c>
      <c r="AE127" s="305">
        <f t="shared" si="40"/>
        <v>0.5</v>
      </c>
      <c r="AF127" s="177">
        <f t="shared" si="41"/>
        <v>5.7852527433091439E-2</v>
      </c>
      <c r="AG127" s="811">
        <f t="shared" si="49"/>
        <v>2</v>
      </c>
      <c r="AH127" s="176">
        <f t="shared" si="42"/>
        <v>8</v>
      </c>
      <c r="AI127" s="225">
        <f t="shared" si="43"/>
        <v>2.0578525274330914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29.383749844421274</v>
      </c>
      <c r="C128" s="841"/>
      <c r="D128" s="393">
        <f t="shared" si="25"/>
        <v>31.294932042819759</v>
      </c>
      <c r="E128" s="385">
        <f t="shared" si="47"/>
        <v>32.468386156574354</v>
      </c>
      <c r="F128" s="385">
        <f t="shared" si="26"/>
        <v>32.468438739246636</v>
      </c>
      <c r="G128" s="110">
        <f t="shared" si="48"/>
        <v>0.53443207920693858</v>
      </c>
      <c r="H128" s="414" t="b">
        <f>Wh_hp&gt;='2025'!Maxi_hp</f>
        <v>0</v>
      </c>
      <c r="I128" s="390">
        <f>IF(H128,Wh_hp,'2025'!Maxi_hp)</f>
        <v>59.446721075347604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6.1070022321297324E-2</v>
      </c>
      <c r="M128" s="845"/>
      <c r="N128" s="845"/>
      <c r="O128" s="48">
        <f>IF(t&lt;Tnet,'2025'!Resal+('2025'!Salim-'2025'!Resal)*(1-EXP(('2025'!Tnet-t)/('2025'!Tau_j))),Resal+(Salim-Resal)*(1-EXP((Tnet-t)/(Tau_j))))*Salcycl</f>
        <v>3.6141436414356222E-2</v>
      </c>
      <c r="P128" s="169">
        <f>(INDEX(Models!$BJ128:$BT128,,T128)*(1-R128)+INDEX(Models!$BJ128:$BT128,,T128+1)*R128-ERP_i)*Q128*Ramure*Pc/MaxiM</f>
        <v>4.8356968148982071E-6</v>
      </c>
      <c r="Q128" s="305">
        <f t="shared" si="28"/>
        <v>0.5</v>
      </c>
      <c r="R128" s="177">
        <f t="shared" si="29"/>
        <v>0.53510596044569403</v>
      </c>
      <c r="S128" s="811">
        <f t="shared" si="30"/>
        <v>-2</v>
      </c>
      <c r="T128" s="176">
        <f t="shared" si="31"/>
        <v>4</v>
      </c>
      <c r="U128" s="251">
        <f t="shared" si="32"/>
        <v>-1.464894039554306</v>
      </c>
      <c r="V128" s="383">
        <f t="shared" si="33"/>
        <v>54.981084563601222</v>
      </c>
      <c r="W128" s="402">
        <f t="shared" si="34"/>
        <v>29.383749844421274</v>
      </c>
      <c r="X128" s="157">
        <f t="shared" si="35"/>
        <v>46136</v>
      </c>
      <c r="Y128" s="385">
        <f t="shared" si="36"/>
        <v>28.260715601170379</v>
      </c>
      <c r="Z128" s="385">
        <f t="shared" si="37"/>
        <v>30.098853240407518</v>
      </c>
      <c r="AA128" s="386">
        <f t="shared" si="38"/>
        <v>32.467829585768662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7.2963803727721863E-2</v>
      </c>
      <c r="AD128" s="231">
        <f>(INDEX(Models!$BJ128:$BT128,,AH128)*(1-AF128)+INDEX(Models!$BJ128:$BT128,,AH128+1)*AF128-ERP_i)*AE128*Ramure*Pc/MaxiM</f>
        <v>5.6020004415056742E-5</v>
      </c>
      <c r="AE128" s="305">
        <f t="shared" si="40"/>
        <v>0.5</v>
      </c>
      <c r="AF128" s="177">
        <f t="shared" si="41"/>
        <v>6.0093526819672949E-2</v>
      </c>
      <c r="AG128" s="811">
        <f t="shared" si="49"/>
        <v>2</v>
      </c>
      <c r="AH128" s="176">
        <f t="shared" si="42"/>
        <v>8</v>
      </c>
      <c r="AI128" s="225">
        <f t="shared" si="43"/>
        <v>2.0600935268196729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45.217945444260188</v>
      </c>
      <c r="C129" s="841"/>
      <c r="D129" s="393">
        <f t="shared" si="25"/>
        <v>48.160072561321982</v>
      </c>
      <c r="E129" s="385">
        <f t="shared" si="47"/>
        <v>49.970435321716998</v>
      </c>
      <c r="F129" s="385">
        <f t="shared" si="26"/>
        <v>49.970642666645944</v>
      </c>
      <c r="G129" s="110">
        <f t="shared" si="48"/>
        <v>0.82029864243448469</v>
      </c>
      <c r="H129" s="414" t="b">
        <f>Wh_hp&gt;='2025'!Maxi_hp</f>
        <v>0</v>
      </c>
      <c r="I129" s="390">
        <f>IF(H129,Wh_hp,'2025'!Maxi_hp)</f>
        <v>54.184367462537033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6.1090587297508714E-2</v>
      </c>
      <c r="M129" s="845"/>
      <c r="N129" s="845"/>
      <c r="O129" s="48">
        <f>IF(t&lt;Tnet,'2025'!Resal+('2025'!Salim-'2025'!Resal)*(1-EXP(('2025'!Tnet-t)/('2025'!Tau_j))),Resal+(Salim-Resal)*(1-EXP((Tnet-t)/(Tau_j))))*Salcycl</f>
        <v>3.622867699149776E-2</v>
      </c>
      <c r="P129" s="169">
        <f>(INDEX(Models!$BJ129:$BT129,,T129)*(1-R129)+INDEX(Models!$BJ129:$BT129,,T129+1)*R129-ERP_i)*Q129*Ramure*Pc/MaxiM</f>
        <v>5.5824243877141281E-6</v>
      </c>
      <c r="Q129" s="305">
        <f t="shared" si="28"/>
        <v>0.5</v>
      </c>
      <c r="R129" s="177">
        <f t="shared" si="29"/>
        <v>0.53741680195065977</v>
      </c>
      <c r="S129" s="811">
        <f t="shared" si="30"/>
        <v>-2</v>
      </c>
      <c r="T129" s="176">
        <f t="shared" si="31"/>
        <v>4</v>
      </c>
      <c r="U129" s="251">
        <f t="shared" si="32"/>
        <v>-1.4625831980493402</v>
      </c>
      <c r="V129" s="383">
        <f t="shared" si="33"/>
        <v>55.123680941893163</v>
      </c>
      <c r="W129" s="402">
        <f t="shared" si="34"/>
        <v>45.217945444260188</v>
      </c>
      <c r="X129" s="157">
        <f t="shared" si="35"/>
        <v>46137</v>
      </c>
      <c r="Y129" s="385">
        <f t="shared" si="36"/>
        <v>43.489514209932651</v>
      </c>
      <c r="Z129" s="385">
        <f t="shared" si="37"/>
        <v>46.319180127032141</v>
      </c>
      <c r="AA129" s="386">
        <f t="shared" si="38"/>
        <v>49.968322920871088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7.3029122862851778E-2</v>
      </c>
      <c r="AD129" s="231">
        <f>(INDEX(Models!$BJ129:$BT129,,AH129)*(1-AF129)+INDEX(Models!$BJ129:$BT129,,AH129+1)*AF129-ERP_i)*AE129*Ramure*Pc/MaxiM</f>
        <v>6.2455375458747816E-5</v>
      </c>
      <c r="AE129" s="305">
        <f t="shared" si="40"/>
        <v>0.5</v>
      </c>
      <c r="AF129" s="177">
        <f t="shared" si="41"/>
        <v>6.2404368324638693E-2</v>
      </c>
      <c r="AG129" s="811">
        <f t="shared" si="49"/>
        <v>2</v>
      </c>
      <c r="AH129" s="176">
        <f t="shared" si="42"/>
        <v>8</v>
      </c>
      <c r="AI129" s="225">
        <f t="shared" si="43"/>
        <v>2.0624043683246387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52.640106457664935</v>
      </c>
      <c r="C130" s="841"/>
      <c r="D130" s="393">
        <f t="shared" si="25"/>
        <v>56.066388007366861</v>
      </c>
      <c r="E130" s="385">
        <f t="shared" si="47"/>
        <v>58.179249842777203</v>
      </c>
      <c r="F130" s="385">
        <f t="shared" si="26"/>
        <v>58.179597924873725</v>
      </c>
      <c r="G130" s="110">
        <f t="shared" si="48"/>
        <v>0.95256204145428758</v>
      </c>
      <c r="H130" s="414" t="b">
        <f>Wh_hp&gt;='2025'!Maxi_hp</f>
        <v>0</v>
      </c>
      <c r="I130" s="390">
        <f>IF(H130,Wh_hp,'2025'!Maxi_hp)</f>
        <v>58.179621239228936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6.1111151823294407E-2</v>
      </c>
      <c r="M130" s="845"/>
      <c r="N130" s="845"/>
      <c r="O130" s="48">
        <f>IF(t&lt;Tnet,'2025'!Resal+('2025'!Salim-'2025'!Resal)*(1-EXP(('2025'!Tnet-t)/('2025'!Tau_j))),Resal+(Salim-Resal)*(1-EXP((Tnet-t)/(Tau_j))))*Salcycl</f>
        <v>3.6316415923548534E-2</v>
      </c>
      <c r="P130" s="169">
        <f>(INDEX(Models!$BJ130:$BT130,,T130)*(1-R130)+INDEX(Models!$BJ130:$BT130,,T130+1)*R130-ERP_i)*Q130*Ramure*Pc/MaxiM</f>
        <v>6.4178110534736218E-6</v>
      </c>
      <c r="Q130" s="305">
        <f t="shared" si="28"/>
        <v>0.5</v>
      </c>
      <c r="R130" s="177">
        <f t="shared" si="29"/>
        <v>0.53979875872851868</v>
      </c>
      <c r="S130" s="811">
        <f t="shared" si="30"/>
        <v>-2</v>
      </c>
      <c r="T130" s="176">
        <f t="shared" si="31"/>
        <v>4</v>
      </c>
      <c r="U130" s="251">
        <f t="shared" si="32"/>
        <v>-1.4602012412714813</v>
      </c>
      <c r="V130" s="383">
        <f t="shared" si="33"/>
        <v>55.261580109613327</v>
      </c>
      <c r="W130" s="402">
        <f t="shared" si="34"/>
        <v>52.640106457664935</v>
      </c>
      <c r="X130" s="157">
        <f t="shared" si="35"/>
        <v>46138</v>
      </c>
      <c r="Y130" s="385">
        <f t="shared" si="36"/>
        <v>50.628118920319132</v>
      </c>
      <c r="Z130" s="385">
        <f t="shared" si="37"/>
        <v>53.92344260839549</v>
      </c>
      <c r="AA130" s="386">
        <f t="shared" si="38"/>
        <v>58.175831990460949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7.3095463125696619E-2</v>
      </c>
      <c r="AD130" s="231">
        <f>(INDEX(Models!$BJ130:$BT130,,AH130)*(1-AF130)+INDEX(Models!$BJ130:$BT130,,AH130+1)*AF130-ERP_i)*AE130*Ramure*Pc/MaxiM</f>
        <v>6.9434928547307986E-5</v>
      </c>
      <c r="AE130" s="305">
        <f t="shared" si="40"/>
        <v>0.5</v>
      </c>
      <c r="AF130" s="177">
        <f t="shared" si="41"/>
        <v>6.4786325102497599E-2</v>
      </c>
      <c r="AG130" s="811">
        <f t="shared" si="49"/>
        <v>2</v>
      </c>
      <c r="AH130" s="176">
        <f t="shared" si="42"/>
        <v>8</v>
      </c>
      <c r="AI130" s="225">
        <f t="shared" si="43"/>
        <v>2.0647863251024976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39.651892491127946</v>
      </c>
      <c r="C131" s="841"/>
      <c r="D131" s="393">
        <f t="shared" si="25"/>
        <v>42.233711759772426</v>
      </c>
      <c r="E131" s="385">
        <f t="shared" si="47"/>
        <v>43.829302371731089</v>
      </c>
      <c r="F131" s="385">
        <f t="shared" si="26"/>
        <v>43.829493580849316</v>
      </c>
      <c r="G131" s="110">
        <f t="shared" si="48"/>
        <v>0.7157996369233719</v>
      </c>
      <c r="H131" s="414" t="b">
        <f>Wh_hp&gt;='2025'!Maxi_hp</f>
        <v>0</v>
      </c>
      <c r="I131" s="390">
        <f>IF(H131,Wh_hp,'2025'!Maxi_hp)</f>
        <v>43.829613466532599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6.1131715898664174E-2</v>
      </c>
      <c r="M131" s="845"/>
      <c r="N131" s="845"/>
      <c r="O131" s="48">
        <f>IF(t&lt;Tnet,'2025'!Resal+('2025'!Salim-'2025'!Resal)*(1-EXP(('2025'!Tnet-t)/('2025'!Tau_j))),Resal+(Salim-Resal)*(1-EXP((Tnet-t)/(Tau_j))))*Salcycl</f>
        <v>3.6404654548820387E-2</v>
      </c>
      <c r="P131" s="169">
        <f>(INDEX(Models!$BJ131:$BT131,,T131)*(1-R131)+INDEX(Models!$BJ131:$BT131,,T131+1)*R131-ERP_i)*Q131*Ramure*Pc/MaxiM</f>
        <v>7.3443582129649687E-6</v>
      </c>
      <c r="Q131" s="305">
        <f t="shared" si="28"/>
        <v>0.5</v>
      </c>
      <c r="R131" s="177">
        <f t="shared" si="29"/>
        <v>0.54225305971565363</v>
      </c>
      <c r="S131" s="811">
        <f t="shared" si="30"/>
        <v>-2</v>
      </c>
      <c r="T131" s="176">
        <f t="shared" si="31"/>
        <v>4</v>
      </c>
      <c r="U131" s="251">
        <f t="shared" si="32"/>
        <v>-1.4577469402843464</v>
      </c>
      <c r="V131" s="383">
        <f t="shared" si="33"/>
        <v>55.395074559400406</v>
      </c>
      <c r="W131" s="402">
        <f t="shared" si="34"/>
        <v>39.651892491127946</v>
      </c>
      <c r="X131" s="157">
        <f t="shared" si="35"/>
        <v>46139</v>
      </c>
      <c r="Y131" s="385">
        <f t="shared" si="36"/>
        <v>38.137718700107428</v>
      </c>
      <c r="Z131" s="385">
        <f t="shared" si="37"/>
        <v>40.620946884590971</v>
      </c>
      <c r="AA131" s="386">
        <f t="shared" si="38"/>
        <v>43.827489741660081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7.3162822602206801E-2</v>
      </c>
      <c r="AD131" s="231">
        <f>(INDEX(Models!$BJ131:$BT131,,AH131)*(1-AF131)+INDEX(Models!$BJ131:$BT131,,AH131+1)*AF131-ERP_i)*AE131*Ramure*Pc/MaxiM</f>
        <v>7.6967630744955069E-5</v>
      </c>
      <c r="AE131" s="305">
        <f t="shared" si="40"/>
        <v>0.5</v>
      </c>
      <c r="AF131" s="177">
        <f t="shared" si="41"/>
        <v>6.7240626089632549E-2</v>
      </c>
      <c r="AG131" s="811">
        <f t="shared" si="49"/>
        <v>2</v>
      </c>
      <c r="AH131" s="176">
        <f t="shared" si="42"/>
        <v>8</v>
      </c>
      <c r="AI131" s="225">
        <f t="shared" si="43"/>
        <v>2.0672406260896325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19.736890238030096</v>
      </c>
      <c r="C132" s="841"/>
      <c r="D132" s="393">
        <f t="shared" si="25"/>
        <v>21.02246169167411</v>
      </c>
      <c r="E132" s="385">
        <f t="shared" si="47"/>
        <v>21.818700094214257</v>
      </c>
      <c r="F132" s="385">
        <f t="shared" si="26"/>
        <v>21.818714554832528</v>
      </c>
      <c r="G132" s="110">
        <f t="shared" si="48"/>
        <v>0.35546026731087099</v>
      </c>
      <c r="H132" s="414" t="b">
        <f>Wh_hp&gt;='2025'!Maxi_hp</f>
        <v>0</v>
      </c>
      <c r="I132" s="390">
        <f>IF(H132,Wh_hp,'2025'!Maxi_hp)</f>
        <v>46.870510731346037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6.1152279523627895E-2</v>
      </c>
      <c r="M132" s="845"/>
      <c r="N132" s="845"/>
      <c r="O132" s="48">
        <f>IF(t&lt;Tnet,'2025'!Resal+('2025'!Salim-'2025'!Resal)*(1-EXP(('2025'!Tnet-t)/('2025'!Tau_j))),Resal+(Salim-Resal)*(1-EXP((Tnet-t)/(Tau_j))))*Salcycl</f>
        <v>3.6493393240749822E-2</v>
      </c>
      <c r="P132" s="169">
        <f>(INDEX(Models!$BJ132:$BT132,,T132)*(1-R132)+INDEX(Models!$BJ132:$BT132,,T132+1)*R132-ERP_i)*Q132*Ramure*Pc/MaxiM</f>
        <v>8.3647380375601263E-6</v>
      </c>
      <c r="Q132" s="305">
        <f t="shared" si="28"/>
        <v>0.5</v>
      </c>
      <c r="R132" s="177">
        <f t="shared" si="29"/>
        <v>0.54478088375853106</v>
      </c>
      <c r="S132" s="811">
        <f t="shared" si="30"/>
        <v>-2</v>
      </c>
      <c r="T132" s="176">
        <f t="shared" si="31"/>
        <v>4</v>
      </c>
      <c r="U132" s="251">
        <f t="shared" si="32"/>
        <v>-1.4552191162414689</v>
      </c>
      <c r="V132" s="383">
        <f t="shared" si="33"/>
        <v>55.524456711263838</v>
      </c>
      <c r="W132" s="402">
        <f t="shared" si="34"/>
        <v>19.736890238030096</v>
      </c>
      <c r="X132" s="157">
        <f t="shared" si="35"/>
        <v>46140</v>
      </c>
      <c r="Y132" s="385">
        <f t="shared" si="36"/>
        <v>18.984221639111581</v>
      </c>
      <c r="Z132" s="385">
        <f t="shared" si="37"/>
        <v>20.220767676230786</v>
      </c>
      <c r="AA132" s="386">
        <f t="shared" si="38"/>
        <v>21.818567501476405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7.3231197471488568E-2</v>
      </c>
      <c r="AD132" s="231">
        <f>(INDEX(Models!$BJ132:$BT132,,AH132)*(1-AF132)+INDEX(Models!$BJ132:$BT132,,AH132+1)*AF132-ERP_i)*AE132*Ramure*Pc/MaxiM</f>
        <v>8.5062946720900737E-5</v>
      </c>
      <c r="AE132" s="305">
        <f t="shared" si="40"/>
        <v>0.5</v>
      </c>
      <c r="AF132" s="177">
        <f t="shared" si="41"/>
        <v>6.9768450132509763E-2</v>
      </c>
      <c r="AG132" s="811">
        <f t="shared" si="49"/>
        <v>2</v>
      </c>
      <c r="AH132" s="176">
        <f t="shared" si="42"/>
        <v>8</v>
      </c>
      <c r="AI132" s="225">
        <f t="shared" si="43"/>
        <v>2.0697684501325098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39.717443414912886</v>
      </c>
      <c r="C133" s="841"/>
      <c r="D133" s="393">
        <f t="shared" si="25"/>
        <v>42.305384016650187</v>
      </c>
      <c r="E133" s="385">
        <f t="shared" si="47"/>
        <v>43.91179295079467</v>
      </c>
      <c r="F133" s="385">
        <f t="shared" si="26"/>
        <v>43.912039022645494</v>
      </c>
      <c r="G133" s="110">
        <f t="shared" si="48"/>
        <v>0.71369767994785538</v>
      </c>
      <c r="H133" s="414" t="b">
        <f>Wh_hp&gt;='2025'!Maxi_hp</f>
        <v>0</v>
      </c>
      <c r="I133" s="390">
        <f>IF(H133,Wh_hp,'2025'!Maxi_hp)</f>
        <v>52.731591737433121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6.1172842698195562E-2</v>
      </c>
      <c r="M133" s="845"/>
      <c r="N133" s="845"/>
      <c r="O133" s="48">
        <f>IF(t&lt;Tnet,'2025'!Resal+('2025'!Salim-'2025'!Resal)*(1-EXP(('2025'!Tnet-t)/('2025'!Tau_j))),Resal+(Salim-Resal)*(1-EXP((Tnet-t)/(Tau_j))))*Salcycl</f>
        <v>3.6582631366124024E-2</v>
      </c>
      <c r="P133" s="169">
        <f>(INDEX(Models!$BJ133:$BT133,,T133)*(1-R133)+INDEX(Models!$BJ133:$BT133,,T133+1)*R133-ERP_i)*Q133*Ramure*Pc/MaxiM</f>
        <v>9.4817910641261031E-6</v>
      </c>
      <c r="Q133" s="305">
        <f t="shared" si="28"/>
        <v>0.5</v>
      </c>
      <c r="R133" s="177">
        <f t="shared" si="29"/>
        <v>0.54738335351966305</v>
      </c>
      <c r="S133" s="811">
        <f t="shared" si="30"/>
        <v>-2</v>
      </c>
      <c r="T133" s="176">
        <f t="shared" si="31"/>
        <v>4</v>
      </c>
      <c r="U133" s="251">
        <f t="shared" si="32"/>
        <v>-1.4526166464803369</v>
      </c>
      <c r="V133" s="383">
        <f t="shared" si="33"/>
        <v>55.650018913974826</v>
      </c>
      <c r="W133" s="402">
        <f t="shared" si="34"/>
        <v>39.717443414912886</v>
      </c>
      <c r="X133" s="157">
        <f t="shared" si="35"/>
        <v>46141</v>
      </c>
      <c r="Y133" s="385">
        <f t="shared" si="36"/>
        <v>38.201822248127321</v>
      </c>
      <c r="Z133" s="385">
        <f t="shared" si="37"/>
        <v>40.691006806747701</v>
      </c>
      <c r="AA133" s="386">
        <f t="shared" si="38"/>
        <v>43.909606517036615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7.3300581936212875E-2</v>
      </c>
      <c r="AD133" s="231">
        <f>(INDEX(Models!$BJ133:$BT133,,AH133)*(1-AF133)+INDEX(Models!$BJ133:$BT133,,AH133+1)*AF133-ERP_i)*AE133*Ramure*Pc/MaxiM</f>
        <v>9.373079394619885E-5</v>
      </c>
      <c r="AE133" s="305">
        <f t="shared" si="40"/>
        <v>0.5</v>
      </c>
      <c r="AF133" s="177">
        <f t="shared" si="41"/>
        <v>7.2370919893641972E-2</v>
      </c>
      <c r="AG133" s="811">
        <f t="shared" si="49"/>
        <v>2</v>
      </c>
      <c r="AH133" s="176">
        <f t="shared" si="42"/>
        <v>8</v>
      </c>
      <c r="AI133" s="225">
        <f t="shared" si="43"/>
        <v>2.072370919893642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42.218056001456191</v>
      </c>
      <c r="C134" s="841"/>
      <c r="D134" s="393">
        <f t="shared" si="25"/>
        <v>44.969918453172397</v>
      </c>
      <c r="E134" s="385">
        <f t="shared" si="47"/>
        <v>46.68185249134617</v>
      </c>
      <c r="F134" s="385">
        <f t="shared" si="26"/>
        <v>46.682178530268878</v>
      </c>
      <c r="G134" s="110">
        <f t="shared" si="48"/>
        <v>0.75697229314814629</v>
      </c>
      <c r="H134" s="414" t="b">
        <f>Wh_hp&gt;='2025'!Maxi_hp</f>
        <v>0</v>
      </c>
      <c r="I134" s="390">
        <f>IF(H134,Wh_hp,'2025'!Maxi_hp)</f>
        <v>62.081683557920357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6.1193405422376834E-2</v>
      </c>
      <c r="M134" s="845"/>
      <c r="N134" s="845"/>
      <c r="O134" s="48">
        <f>IF(t&lt;Tnet,'2025'!Resal+('2025'!Salim-'2025'!Resal)*(1-EXP(('2025'!Tnet-t)/('2025'!Tau_j))),Resal+(Salim-Resal)*(1-EXP((Tnet-t)/(Tau_j))))*Salcycl</f>
        <v>3.6672367243590624E-2</v>
      </c>
      <c r="P134" s="169">
        <f>(INDEX(Models!$BJ134:$BT134,,T134)*(1-R134)+INDEX(Models!$BJ134:$BT134,,T134+1)*R134-ERP_i)*Q134*Ramure*Pc/MaxiM</f>
        <v>1.0698523209874306E-5</v>
      </c>
      <c r="Q134" s="305">
        <f t="shared" si="28"/>
        <v>0.5</v>
      </c>
      <c r="R134" s="177">
        <f t="shared" si="29"/>
        <v>0.55006152917694218</v>
      </c>
      <c r="S134" s="811">
        <f t="shared" si="30"/>
        <v>-2</v>
      </c>
      <c r="T134" s="176">
        <f t="shared" si="31"/>
        <v>4</v>
      </c>
      <c r="U134" s="251">
        <f t="shared" si="32"/>
        <v>-1.4499384708230578</v>
      </c>
      <c r="V134" s="383">
        <f t="shared" si="33"/>
        <v>55.772053445191325</v>
      </c>
      <c r="W134" s="402">
        <f t="shared" si="34"/>
        <v>42.218056001456191</v>
      </c>
      <c r="X134" s="157">
        <f t="shared" si="35"/>
        <v>46142</v>
      </c>
      <c r="Y134" s="385">
        <f t="shared" si="36"/>
        <v>40.607284817877101</v>
      </c>
      <c r="Z134" s="385">
        <f t="shared" si="37"/>
        <v>43.25415378675163</v>
      </c>
      <c r="AA134" s="386">
        <f t="shared" si="38"/>
        <v>46.679040155463575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7.3370968154131438E-2</v>
      </c>
      <c r="AD134" s="231">
        <f>(INDEX(Models!$BJ134:$BT134,,AH134)*(1-AF134)+INDEX(Models!$BJ134:$BT134,,AH134+1)*AF134-ERP_i)*AE134*Ramure*Pc/MaxiM</f>
        <v>1.0298149502205364E-4</v>
      </c>
      <c r="AE134" s="305">
        <f t="shared" si="40"/>
        <v>0.5</v>
      </c>
      <c r="AF134" s="177">
        <f t="shared" si="41"/>
        <v>7.5049095550921319E-2</v>
      </c>
      <c r="AG134" s="811">
        <f t="shared" si="49"/>
        <v>2</v>
      </c>
      <c r="AH134" s="176">
        <f t="shared" si="42"/>
        <v>8</v>
      </c>
      <c r="AI134" s="225">
        <f t="shared" si="43"/>
        <v>2.0750490955509213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45.756823907387776</v>
      </c>
      <c r="C135" s="841"/>
      <c r="D135" s="393">
        <f t="shared" si="25"/>
        <v>48.740418298617747</v>
      </c>
      <c r="E135" s="385">
        <f t="shared" si="47"/>
        <v>50.600628881954378</v>
      </c>
      <c r="F135" s="385">
        <f t="shared" si="26"/>
        <v>50.601079509200183</v>
      </c>
      <c r="G135" s="110">
        <f t="shared" si="48"/>
        <v>0.81869300153249835</v>
      </c>
      <c r="H135" s="414" t="b">
        <f>Wh_hp&gt;='2025'!Maxi_hp</f>
        <v>0</v>
      </c>
      <c r="I135" s="390">
        <f>IF(H135,Wh_hp,'2025'!Maxi_hp)</f>
        <v>57.93362071879104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6.1213967696181704E-2</v>
      </c>
      <c r="M135" s="845"/>
      <c r="N135" s="845"/>
      <c r="O135" s="48">
        <f>IF(t&lt;Tnet,'2025'!Resal+('2025'!Salim-'2025'!Resal)*(1-EXP(('2025'!Tnet-t)/('2025'!Tau_j))),Resal+(Salim-Resal)*(1-EXP((Tnet-t)/(Tau_j))))*Salcycl</f>
        <v>3.6762598102808033E-2</v>
      </c>
      <c r="P135" s="169">
        <f>(INDEX(Models!$BJ135:$BT135,,T135)*(1-R135)+INDEX(Models!$BJ135:$BT135,,T135+1)*R135-ERP_i)*Q135*Ramure*Pc/MaxiM</f>
        <v>1.2018303920851323E-5</v>
      </c>
      <c r="Q135" s="305">
        <f t="shared" si="28"/>
        <v>0.5</v>
      </c>
      <c r="R135" s="177">
        <f t="shared" si="29"/>
        <v>0.55281640193500214</v>
      </c>
      <c r="S135" s="811">
        <f t="shared" si="30"/>
        <v>-2</v>
      </c>
      <c r="T135" s="176">
        <f t="shared" si="31"/>
        <v>4</v>
      </c>
      <c r="U135" s="251">
        <f t="shared" si="32"/>
        <v>-1.4471835980649979</v>
      </c>
      <c r="V135" s="383">
        <f t="shared" si="33"/>
        <v>55.889914031075669</v>
      </c>
      <c r="W135" s="402">
        <f t="shared" si="34"/>
        <v>45.756823907387776</v>
      </c>
      <c r="X135" s="157">
        <f t="shared" si="35"/>
        <v>46143</v>
      </c>
      <c r="Y135" s="385">
        <f t="shared" si="36"/>
        <v>44.011131968120793</v>
      </c>
      <c r="Z135" s="385">
        <f t="shared" si="37"/>
        <v>46.880897727159109</v>
      </c>
      <c r="AA135" s="386">
        <f t="shared" si="38"/>
        <v>50.596849028707375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7.3442346171397499E-2</v>
      </c>
      <c r="AD135" s="231">
        <f>(INDEX(Models!$BJ135:$BT135,,AH135)*(1-AF135)+INDEX(Models!$BJ135:$BT135,,AH135+1)*AF135-ERP_i)*AE135*Ramure*Pc/MaxiM</f>
        <v>1.1282762142579411E-4</v>
      </c>
      <c r="AE135" s="305">
        <f t="shared" si="40"/>
        <v>0.5</v>
      </c>
      <c r="AF135" s="177">
        <f t="shared" si="41"/>
        <v>7.7803968308981286E-2</v>
      </c>
      <c r="AG135" s="811">
        <f t="shared" si="49"/>
        <v>2</v>
      </c>
      <c r="AH135" s="176">
        <f t="shared" si="42"/>
        <v>8</v>
      </c>
      <c r="AI135" s="225">
        <f t="shared" si="43"/>
        <v>2.0778039683089813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29.414931440140144</v>
      </c>
      <c r="C136" s="841"/>
      <c r="D136" s="393">
        <f t="shared" si="25"/>
        <v>31.333631631218918</v>
      </c>
      <c r="E136" s="385">
        <f t="shared" si="47"/>
        <v>32.532564648066476</v>
      </c>
      <c r="F136" s="385">
        <f t="shared" si="26"/>
        <v>32.53270585962553</v>
      </c>
      <c r="G136" s="110">
        <f t="shared" si="48"/>
        <v>0.52523535128599697</v>
      </c>
      <c r="H136" s="414" t="b">
        <f>Wh_hp&gt;='2025'!Maxi_hp</f>
        <v>0</v>
      </c>
      <c r="I136" s="390">
        <f>IF(H136,Wh_hp,'2025'!Maxi_hp)</f>
        <v>50.847443819946974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6.123452951961994E-2</v>
      </c>
      <c r="M136" s="845"/>
      <c r="N136" s="845"/>
      <c r="O136" s="48">
        <f>IF(t&lt;Tnet,'2025'!Resal+('2025'!Salim-'2025'!Resal)*(1-EXP(('2025'!Tnet-t)/('2025'!Tau_j))),Resal+(Salim-Resal)*(1-EXP((Tnet-t)/(Tau_j))))*Salcycl</f>
        <v>3.6853320044622224E-2</v>
      </c>
      <c r="P136" s="169">
        <f>(INDEX(Models!$BJ136:$BT136,,T136)*(1-R136)+INDEX(Models!$BJ136:$BT136,,T136+1)*R136-ERP_i)*Q136*Ramure*Pc/MaxiM</f>
        <v>1.3489699656704503E-5</v>
      </c>
      <c r="Q136" s="305">
        <f t="shared" si="28"/>
        <v>0.5</v>
      </c>
      <c r="R136" s="177">
        <f t="shared" si="29"/>
        <v>0.55564888737043727</v>
      </c>
      <c r="S136" s="811">
        <f t="shared" si="30"/>
        <v>-2</v>
      </c>
      <c r="T136" s="176">
        <f t="shared" si="31"/>
        <v>4</v>
      </c>
      <c r="U136" s="251">
        <f t="shared" si="32"/>
        <v>-1.4443511126295627</v>
      </c>
      <c r="V136" s="383">
        <f t="shared" si="33"/>
        <v>56.002822823902079</v>
      </c>
      <c r="W136" s="402">
        <f t="shared" si="34"/>
        <v>29.414931440140144</v>
      </c>
      <c r="X136" s="157">
        <f t="shared" si="35"/>
        <v>46144</v>
      </c>
      <c r="Y136" s="385">
        <f t="shared" si="36"/>
        <v>28.294271340198701</v>
      </c>
      <c r="Z136" s="385">
        <f t="shared" si="37"/>
        <v>30.139872236374554</v>
      </c>
      <c r="AA136" s="386">
        <f t="shared" si="38"/>
        <v>32.531409145827787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7.3514703858438765E-2</v>
      </c>
      <c r="AD136" s="231">
        <f>(INDEX(Models!$BJ136:$BT136,,AH136)*(1-AF136)+INDEX(Models!$BJ136:$BT136,,AH136+1)*AF136-ERP_i)*AE136*Ramure*Pc/MaxiM</f>
        <v>1.2387285990972055E-4</v>
      </c>
      <c r="AE136" s="305">
        <f t="shared" si="40"/>
        <v>0.5</v>
      </c>
      <c r="AF136" s="177">
        <f t="shared" si="41"/>
        <v>8.0636453744416414E-2</v>
      </c>
      <c r="AG136" s="811">
        <f t="shared" si="49"/>
        <v>2</v>
      </c>
      <c r="AH136" s="176">
        <f t="shared" si="42"/>
        <v>8</v>
      </c>
      <c r="AI136" s="225">
        <f t="shared" si="43"/>
        <v>2.0806364537444164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35.048149176780456</v>
      </c>
      <c r="C137" s="841"/>
      <c r="D137" s="393">
        <f t="shared" si="25"/>
        <v>37.335115042178572</v>
      </c>
      <c r="E137" s="385">
        <f t="shared" si="47"/>
        <v>38.767356738805326</v>
      </c>
      <c r="F137" s="385">
        <f t="shared" si="26"/>
        <v>38.767627952439199</v>
      </c>
      <c r="G137" s="110">
        <f t="shared" si="48"/>
        <v>0.6246179978733889</v>
      </c>
      <c r="H137" s="414" t="b">
        <f>Wh_hp&gt;='2025'!Maxi_hp</f>
        <v>0</v>
      </c>
      <c r="I137" s="390">
        <f>IF(H137,Wh_hp,'2025'!Maxi_hp)</f>
        <v>60.514631083164147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6.1255090892701536E-2</v>
      </c>
      <c r="M137" s="845"/>
      <c r="N137" s="845"/>
      <c r="O137" s="48">
        <f>IF(t&lt;Tnet,'2025'!Resal+('2025'!Salim-'2025'!Resal)*(1-EXP(('2025'!Tnet-t)/('2025'!Tau_j))),Resal+(Salim-Resal)*(1-EXP((Tnet-t)/(Tau_j))))*Salcycl</f>
        <v>3.6944528002681901E-2</v>
      </c>
      <c r="P137" s="169">
        <f>(INDEX(Models!$BJ137:$BT137,,T137)*(1-R137)+INDEX(Models!$BJ137:$BT137,,T137+1)*R137-ERP_i)*Q137*Ramure*Pc/MaxiM</f>
        <v>1.5085543922996415E-5</v>
      </c>
      <c r="Q137" s="305">
        <f t="shared" si="28"/>
        <v>0.5</v>
      </c>
      <c r="R137" s="177">
        <f t="shared" si="29"/>
        <v>0.55855981863600102</v>
      </c>
      <c r="S137" s="811">
        <f t="shared" si="30"/>
        <v>-2</v>
      </c>
      <c r="T137" s="176">
        <f t="shared" si="31"/>
        <v>4</v>
      </c>
      <c r="U137" s="251">
        <f t="shared" si="32"/>
        <v>-1.441440181363999</v>
      </c>
      <c r="V137" s="383">
        <f t="shared" si="33"/>
        <v>56.110880196119169</v>
      </c>
      <c r="W137" s="402">
        <f t="shared" si="34"/>
        <v>35.048149176780456</v>
      </c>
      <c r="X137" s="157">
        <f t="shared" si="35"/>
        <v>46145</v>
      </c>
      <c r="Y137" s="385">
        <f t="shared" si="36"/>
        <v>33.71270553190601</v>
      </c>
      <c r="Z137" s="385">
        <f t="shared" si="37"/>
        <v>35.912530874830715</v>
      </c>
      <c r="AA137" s="386">
        <f t="shared" si="38"/>
        <v>38.76518429774643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7.3588026849173357E-2</v>
      </c>
      <c r="AD137" s="231">
        <f>(INDEX(Models!$BJ137:$BT137,,AH137)*(1-AF137)+INDEX(Models!$BJ137:$BT137,,AH137+1)*AF137-ERP_i)*AE137*Ramure*Pc/MaxiM</f>
        <v>1.3592185493841957E-4</v>
      </c>
      <c r="AE137" s="305">
        <f t="shared" si="40"/>
        <v>0.5</v>
      </c>
      <c r="AF137" s="177">
        <f t="shared" si="41"/>
        <v>8.3547385009980157E-2</v>
      </c>
      <c r="AG137" s="811">
        <f t="shared" si="49"/>
        <v>2</v>
      </c>
      <c r="AH137" s="176">
        <f t="shared" si="42"/>
        <v>8</v>
      </c>
      <c r="AI137" s="225">
        <f t="shared" si="43"/>
        <v>2.0835473850099802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19.441544481558971</v>
      </c>
      <c r="C138" s="841"/>
      <c r="D138" s="393">
        <f t="shared" si="25"/>
        <v>20.71059999578976</v>
      </c>
      <c r="E138" s="385">
        <f t="shared" si="47"/>
        <v>21.507143190222582</v>
      </c>
      <c r="F138" s="385">
        <f t="shared" si="26"/>
        <v>21.50716686981351</v>
      </c>
      <c r="G138" s="110">
        <f t="shared" si="48"/>
        <v>0.34584223070707787</v>
      </c>
      <c r="H138" s="414" t="b">
        <f>Wh_hp&gt;='2025'!Maxi_hp</f>
        <v>0</v>
      </c>
      <c r="I138" s="390">
        <f>IF(H138,Wh_hp,'2025'!Maxi_hp)</f>
        <v>57.253924122877009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6.1275651815436261E-2</v>
      </c>
      <c r="M138" s="845"/>
      <c r="N138" s="845"/>
      <c r="O138" s="48">
        <f>IF(t&lt;Tnet,'2025'!Resal+('2025'!Salim-'2025'!Resal)*(1-EXP(('2025'!Tnet-t)/('2025'!Tau_j))),Resal+(Salim-Resal)*(1-EXP((Tnet-t)/(Tau_j))))*Salcycl</f>
        <v>3.7036215706925731E-2</v>
      </c>
      <c r="P138" s="169">
        <f>(INDEX(Models!$BJ138:$BT138,,T138)*(1-R138)+INDEX(Models!$BJ138:$BT138,,T138+1)*R138-ERP_i)*Q138*Ramure*Pc/MaxiM</f>
        <v>1.6810158995668987E-5</v>
      </c>
      <c r="Q138" s="305">
        <f t="shared" si="28"/>
        <v>0.5</v>
      </c>
      <c r="R138" s="177">
        <f t="shared" si="29"/>
        <v>0.56154993955229138</v>
      </c>
      <c r="S138" s="811">
        <f t="shared" si="30"/>
        <v>-2</v>
      </c>
      <c r="T138" s="176">
        <f t="shared" si="31"/>
        <v>4</v>
      </c>
      <c r="U138" s="251">
        <f t="shared" si="32"/>
        <v>-1.4384500604477086</v>
      </c>
      <c r="V138" s="383">
        <f t="shared" si="33"/>
        <v>56.214184807166262</v>
      </c>
      <c r="W138" s="402">
        <f t="shared" si="34"/>
        <v>19.441544481558971</v>
      </c>
      <c r="X138" s="157">
        <f t="shared" si="35"/>
        <v>46146</v>
      </c>
      <c r="Y138" s="385">
        <f t="shared" si="36"/>
        <v>18.701928364176059</v>
      </c>
      <c r="Z138" s="385">
        <f t="shared" si="37"/>
        <v>19.922705105438524</v>
      </c>
      <c r="AA138" s="386">
        <f t="shared" si="38"/>
        <v>21.50695699078473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7.3662298484393707E-2</v>
      </c>
      <c r="AD138" s="231">
        <f>(INDEX(Models!$BJ138:$BT138,,AH138)*(1-AF138)+INDEX(Models!$BJ138:$BT138,,AH138+1)*AF138-ERP_i)*AE138*Ramure*Pc/MaxiM</f>
        <v>1.4899327670913091E-4</v>
      </c>
      <c r="AE138" s="305">
        <f t="shared" si="40"/>
        <v>0.5</v>
      </c>
      <c r="AF138" s="177">
        <f t="shared" si="41"/>
        <v>8.6537505926270519E-2</v>
      </c>
      <c r="AG138" s="811">
        <f t="shared" si="49"/>
        <v>2</v>
      </c>
      <c r="AH138" s="176">
        <f t="shared" si="42"/>
        <v>8</v>
      </c>
      <c r="AI138" s="225">
        <f t="shared" si="43"/>
        <v>2.0865375059262705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40.750317218303444</v>
      </c>
      <c r="C139" s="841"/>
      <c r="D139" s="393">
        <f t="shared" si="25"/>
        <v>43.411263224601676</v>
      </c>
      <c r="E139" s="385">
        <f t="shared" si="47"/>
        <v>45.08520360009539</v>
      </c>
      <c r="F139" s="385">
        <f t="shared" si="26"/>
        <v>45.085712977259988</v>
      </c>
      <c r="G139" s="110">
        <f t="shared" si="48"/>
        <v>0.72363638996276503</v>
      </c>
      <c r="H139" s="414" t="b">
        <f>Wh_hp&gt;='2025'!Maxi_hp</f>
        <v>0</v>
      </c>
      <c r="I139" s="390">
        <f>IF(H139,Wh_hp,'2025'!Maxi_hp)</f>
        <v>60.369568048217943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6.1296212287834106E-2</v>
      </c>
      <c r="M139" s="845"/>
      <c r="N139" s="845"/>
      <c r="O139" s="48">
        <f>IF(t&lt;Tnet,'2025'!Resal+('2025'!Salim-'2025'!Resal)*(1-EXP(('2025'!Tnet-t)/('2025'!Tau_j))),Resal+(Salim-Resal)*(1-EXP((Tnet-t)/(Tau_j))))*Salcycl</f>
        <v>3.7128375649393135E-2</v>
      </c>
      <c r="P139" s="169">
        <f>(INDEX(Models!$BJ139:$BT139,,T139)*(1-R139)+INDEX(Models!$BJ139:$BT139,,T139+1)*R139-ERP_i)*Q139*Ramure*Pc/MaxiM</f>
        <v>1.8668088181125055E-5</v>
      </c>
      <c r="Q139" s="305">
        <f t="shared" si="28"/>
        <v>0.5</v>
      </c>
      <c r="R139" s="177">
        <f t="shared" si="29"/>
        <v>0.56461989761886788</v>
      </c>
      <c r="S139" s="811">
        <f t="shared" si="30"/>
        <v>-2</v>
      </c>
      <c r="T139" s="176">
        <f t="shared" si="31"/>
        <v>4</v>
      </c>
      <c r="U139" s="251">
        <f t="shared" si="32"/>
        <v>-1.4353801023811321</v>
      </c>
      <c r="V139" s="383">
        <f t="shared" si="33"/>
        <v>56.312835348803411</v>
      </c>
      <c r="W139" s="402">
        <f t="shared" si="34"/>
        <v>40.750317218303444</v>
      </c>
      <c r="X139" s="157">
        <f t="shared" si="35"/>
        <v>46147</v>
      </c>
      <c r="Y139" s="385">
        <f t="shared" si="36"/>
        <v>39.197531855478942</v>
      </c>
      <c r="Z139" s="385">
        <f t="shared" si="37"/>
        <v>41.757082871703567</v>
      </c>
      <c r="AA139" s="386">
        <f t="shared" si="38"/>
        <v>45.081262450862113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7.3737499760168801E-2</v>
      </c>
      <c r="AD139" s="231">
        <f>(INDEX(Models!$BJ139:$BT139,,AH139)*(1-AF139)+INDEX(Models!$BJ139:$BT139,,AH139+1)*AF139-ERP_i)*AE139*Ramure*Pc/MaxiM</f>
        <v>1.6310668208718902E-4</v>
      </c>
      <c r="AE139" s="305">
        <f t="shared" si="40"/>
        <v>0.5</v>
      </c>
      <c r="AF139" s="177">
        <f t="shared" si="41"/>
        <v>8.9607463992846803E-2</v>
      </c>
      <c r="AG139" s="811">
        <f t="shared" si="49"/>
        <v>2</v>
      </c>
      <c r="AH139" s="176">
        <f t="shared" si="42"/>
        <v>8</v>
      </c>
      <c r="AI139" s="225">
        <f t="shared" si="43"/>
        <v>2.0896074639928468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37.278832212592604</v>
      </c>
      <c r="C140" s="841"/>
      <c r="D140" s="393">
        <f t="shared" si="25"/>
        <v>39.713964320347003</v>
      </c>
      <c r="E140" s="385">
        <f t="shared" si="47"/>
        <v>41.249304649640877</v>
      </c>
      <c r="F140" s="385">
        <f t="shared" si="26"/>
        <v>41.249744105850006</v>
      </c>
      <c r="G140" s="110">
        <f t="shared" si="48"/>
        <v>0.66088437475121564</v>
      </c>
      <c r="H140" s="414" t="b">
        <f>Wh_hp&gt;='2025'!Maxi_hp</f>
        <v>0</v>
      </c>
      <c r="I140" s="390">
        <f>IF(H140,Wh_hp,'2025'!Maxi_hp)</f>
        <v>64.189889106761925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6.1316772309904732E-2</v>
      </c>
      <c r="M140" s="845"/>
      <c r="N140" s="845"/>
      <c r="O140" s="48">
        <f>IF(t&lt;Tnet,'2025'!Resal+('2025'!Salim-'2025'!Resal)*(1-EXP(('2025'!Tnet-t)/('2025'!Tau_j))),Resal+(Salim-Resal)*(1-EXP((Tnet-t)/(Tau_j))))*Salcycl</f>
        <v>3.7220999052822612E-2</v>
      </c>
      <c r="P140" s="169">
        <f>(INDEX(Models!$BJ140:$BT140,,T140)*(1-R140)+INDEX(Models!$BJ140:$BT140,,T140+1)*R140-ERP_i)*Q140*Ramure*Pc/MaxiM</f>
        <v>2.0664092911827267E-5</v>
      </c>
      <c r="Q140" s="305">
        <f t="shared" si="28"/>
        <v>0.5</v>
      </c>
      <c r="R140" s="177">
        <f t="shared" si="29"/>
        <v>0.56777023698020912</v>
      </c>
      <c r="S140" s="811">
        <f t="shared" si="30"/>
        <v>-2</v>
      </c>
      <c r="T140" s="176">
        <f t="shared" si="31"/>
        <v>4</v>
      </c>
      <c r="U140" s="251">
        <f t="shared" si="32"/>
        <v>-1.4322297630197909</v>
      </c>
      <c r="V140" s="383">
        <f t="shared" si="33"/>
        <v>56.406930548628075</v>
      </c>
      <c r="W140" s="402">
        <f t="shared" si="34"/>
        <v>37.278832212592604</v>
      </c>
      <c r="X140" s="157">
        <f t="shared" si="35"/>
        <v>46148</v>
      </c>
      <c r="Y140" s="385">
        <f t="shared" si="36"/>
        <v>35.859051003174756</v>
      </c>
      <c r="Z140" s="385">
        <f t="shared" si="37"/>
        <v>38.201440001667486</v>
      </c>
      <c r="AA140" s="386">
        <f t="shared" si="38"/>
        <v>41.245952633851935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7.3813609282131584E-2</v>
      </c>
      <c r="AD140" s="231">
        <f>(INDEX(Models!$BJ140:$BT140,,AH140)*(1-AF140)+INDEX(Models!$BJ140:$BT140,,AH140+1)*AF140-ERP_i)*AE140*Ramure*Pc/MaxiM</f>
        <v>1.7828245002117024E-4</v>
      </c>
      <c r="AE140" s="305">
        <f t="shared" si="40"/>
        <v>0.5</v>
      </c>
      <c r="AF140" s="177">
        <f t="shared" si="41"/>
        <v>9.2757803354188262E-2</v>
      </c>
      <c r="AG140" s="811">
        <f t="shared" si="49"/>
        <v>2</v>
      </c>
      <c r="AH140" s="176">
        <f t="shared" si="42"/>
        <v>8</v>
      </c>
      <c r="AI140" s="225">
        <f t="shared" si="43"/>
        <v>2.0927578033541883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50.689989282913359</v>
      </c>
      <c r="C141" s="841"/>
      <c r="D141" s="393">
        <f t="shared" si="25"/>
        <v>54.002349304598766</v>
      </c>
      <c r="E141" s="385">
        <f t="shared" si="47"/>
        <v>56.095501086566522</v>
      </c>
      <c r="F141" s="385">
        <f t="shared" si="26"/>
        <v>56.096592449945931</v>
      </c>
      <c r="G141" s="110">
        <f t="shared" si="48"/>
        <v>0.89721942964740586</v>
      </c>
      <c r="H141" s="414" t="b">
        <f>Wh_hp&gt;='2025'!Maxi_hp</f>
        <v>0</v>
      </c>
      <c r="I141" s="390">
        <f>IF(H141,Wh_hp,'2025'!Maxi_hp)</f>
        <v>60.114108347336412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6.133733188165813E-2</v>
      </c>
      <c r="M141" s="845"/>
      <c r="N141" s="845"/>
      <c r="O141" s="48">
        <f>IF(t&lt;Tnet,'2025'!Resal+('2025'!Salim-'2025'!Resal)*(1-EXP(('2025'!Tnet-t)/('2025'!Tau_j))),Resal+(Salim-Resal)*(1-EXP((Tnet-t)/(Tau_j))))*Salcycl</f>
        <v>3.7314075842510251E-2</v>
      </c>
      <c r="P141" s="169">
        <f>(INDEX(Models!$BJ141:$BT141,,T141)*(1-R141)+INDEX(Models!$BJ141:$BT141,,T141+1)*R141-ERP_i)*Q141*Ramure*Pc/MaxiM</f>
        <v>2.280314889143974E-5</v>
      </c>
      <c r="Q141" s="305">
        <f t="shared" si="28"/>
        <v>0.5</v>
      </c>
      <c r="R141" s="177">
        <f t="shared" si="29"/>
        <v>0.57100139138536155</v>
      </c>
      <c r="S141" s="811">
        <f t="shared" si="30"/>
        <v>-2</v>
      </c>
      <c r="T141" s="176">
        <f t="shared" si="31"/>
        <v>4</v>
      </c>
      <c r="U141" s="251">
        <f t="shared" si="32"/>
        <v>-1.4289986086146385</v>
      </c>
      <c r="V141" s="383">
        <f t="shared" si="33"/>
        <v>56.4965691677804</v>
      </c>
      <c r="W141" s="402">
        <f t="shared" si="34"/>
        <v>50.689989282913359</v>
      </c>
      <c r="X141" s="157">
        <f t="shared" si="35"/>
        <v>46149</v>
      </c>
      <c r="Y141" s="385">
        <f t="shared" si="36"/>
        <v>48.756916081022958</v>
      </c>
      <c r="Z141" s="385">
        <f t="shared" si="37"/>
        <v>51.942958569729683</v>
      </c>
      <c r="AA141" s="386">
        <f t="shared" si="38"/>
        <v>56.087281643720139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7.3890603226524548E-2</v>
      </c>
      <c r="AD141" s="231">
        <f>(INDEX(Models!$BJ141:$BT141,,AH141)*(1-AF141)+INDEX(Models!$BJ141:$BT141,,AH141+1)*AF141-ERP_i)*AE141*Ramure*Pc/MaxiM</f>
        <v>1.9454171238642362E-4</v>
      </c>
      <c r="AE141" s="305">
        <f t="shared" si="40"/>
        <v>0.5</v>
      </c>
      <c r="AF141" s="177">
        <f t="shared" si="41"/>
        <v>9.5988957759340465E-2</v>
      </c>
      <c r="AG141" s="811">
        <f t="shared" si="49"/>
        <v>2</v>
      </c>
      <c r="AH141" s="176">
        <f t="shared" si="42"/>
        <v>8</v>
      </c>
      <c r="AI141" s="225">
        <f t="shared" si="43"/>
        <v>2.0959889577593405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48.240352396595767</v>
      </c>
      <c r="C142" s="841"/>
      <c r="D142" s="393">
        <f t="shared" si="25"/>
        <v>51.39376545566347</v>
      </c>
      <c r="E142" s="385">
        <f t="shared" si="47"/>
        <v>53.390994120171257</v>
      </c>
      <c r="F142" s="385">
        <f t="shared" si="26"/>
        <v>53.392045534951556</v>
      </c>
      <c r="G142" s="110">
        <f t="shared" si="48"/>
        <v>0.85257184027963839</v>
      </c>
      <c r="H142" s="414" t="b">
        <f>Wh_hp&gt;='2025'!Maxi_hp</f>
        <v>0</v>
      </c>
      <c r="I142" s="390">
        <f>IF(H142,Wh_hp,'2025'!Maxi_hp)</f>
        <v>60.745186891784464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6.1357891003104181E-2</v>
      </c>
      <c r="M142" s="845"/>
      <c r="N142" s="845"/>
      <c r="O142" s="48">
        <f>IF(t&lt;Tnet,'2025'!Resal+('2025'!Salim-'2025'!Resal)*(1-EXP(('2025'!Tnet-t)/('2025'!Tau_j))),Resal+(Salim-Resal)*(1-EXP((Tnet-t)/(Tau_j))))*Salcycl</f>
        <v>3.7407594621903281E-2</v>
      </c>
      <c r="P142" s="169">
        <f>(INDEX(Models!$BJ142:$BT142,,T142)*(1-R142)+INDEX(Models!$BJ142:$BT142,,T142+1)*R142-ERP_i)*Q142*Ramure*Pc/MaxiM</f>
        <v>2.4946136170258962E-5</v>
      </c>
      <c r="Q142" s="305">
        <f t="shared" si="28"/>
        <v>0.5</v>
      </c>
      <c r="R142" s="177">
        <f t="shared" si="29"/>
        <v>0.57431367718349446</v>
      </c>
      <c r="S142" s="811">
        <f t="shared" si="30"/>
        <v>-2</v>
      </c>
      <c r="T142" s="176">
        <f t="shared" si="31"/>
        <v>4</v>
      </c>
      <c r="U142" s="251">
        <f t="shared" si="32"/>
        <v>-1.4256863228165055</v>
      </c>
      <c r="V142" s="383">
        <f t="shared" si="33"/>
        <v>56.581858170714341</v>
      </c>
      <c r="W142" s="402">
        <f t="shared" si="34"/>
        <v>48.240352396595767</v>
      </c>
      <c r="X142" s="157">
        <f t="shared" si="35"/>
        <v>46150</v>
      </c>
      <c r="Y142" s="385">
        <f t="shared" si="36"/>
        <v>46.401259695307964</v>
      </c>
      <c r="Z142" s="385">
        <f t="shared" si="37"/>
        <v>49.434453505283152</v>
      </c>
      <c r="AA142" s="386">
        <f t="shared" si="38"/>
        <v>53.383120465698291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7.3968455308872055E-2</v>
      </c>
      <c r="AD142" s="231">
        <f>(INDEX(Models!$BJ142:$BT142,,AH142)*(1-AF142)+INDEX(Models!$BJ142:$BT142,,AH142+1)*AF142-ERP_i)*AE142*Ramure*Pc/MaxiM</f>
        <v>2.1175847733363783E-4</v>
      </c>
      <c r="AE142" s="305">
        <f t="shared" si="40"/>
        <v>0.5</v>
      </c>
      <c r="AF142" s="177">
        <f t="shared" si="41"/>
        <v>9.9301243557473384E-2</v>
      </c>
      <c r="AG142" s="811">
        <f t="shared" si="49"/>
        <v>2</v>
      </c>
      <c r="AH142" s="176">
        <f t="shared" si="42"/>
        <v>8</v>
      </c>
      <c r="AI142" s="225">
        <f t="shared" si="43"/>
        <v>2.0993012435574734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50.480538430285385</v>
      </c>
      <c r="C143" s="841"/>
      <c r="D143" s="393">
        <f t="shared" ref="D143:D206" si="50">Wh/(1-Ppv)</f>
        <v>53.781567675242684</v>
      </c>
      <c r="E143" s="385">
        <f t="shared" si="47"/>
        <v>55.877042986075011</v>
      </c>
      <c r="F143" s="385">
        <f t="shared" ref="F143:F206" si="51">Wh_sa/(1-Pvg*MEDIAN((-Sdif+Wh/Env_an)/Csdif,0,1))</f>
        <v>55.878318490566031</v>
      </c>
      <c r="G143" s="110">
        <f t="shared" si="48"/>
        <v>0.89088849939224213</v>
      </c>
      <c r="H143" s="414" t="b">
        <f>Wh_hp&gt;='2025'!Maxi_hp</f>
        <v>0</v>
      </c>
      <c r="I143" s="390">
        <f>IF(H143,Wh_hp,'2025'!Maxi_hp)</f>
        <v>55.878521599636208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6.1378449674252655E-2</v>
      </c>
      <c r="M143" s="845"/>
      <c r="N143" s="845"/>
      <c r="O143" s="48">
        <f>IF(t&lt;Tnet,'2025'!Resal+('2025'!Salim-'2025'!Resal)*(1-EXP(('2025'!Tnet-t)/('2025'!Tau_j))),Resal+(Salim-Resal)*(1-EXP((Tnet-t)/(Tau_j))))*Salcycl</f>
        <v>3.7501542652400764E-2</v>
      </c>
      <c r="P143" s="169">
        <f>(INDEX(Models!$BJ143:$BT143,,T143)*(1-R143)+INDEX(Models!$BJ143:$BT143,,T143+1)*R143-ERP_i)*Q143*Ramure*Pc/MaxiM</f>
        <v>2.704135229496225E-5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0.5777072864008399</v>
      </c>
      <c r="S143" s="81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-1.4222927135991601</v>
      </c>
      <c r="V143" s="383">
        <f t="shared" ref="V143:V206" si="58">MaxiM*(1-Ppv)*(1-Pvg)*(1-Psa)</f>
        <v>56.662899667123938</v>
      </c>
      <c r="W143" s="402">
        <f t="shared" ref="W143:W206" si="59">Wh*(A143&gt;Tmaj)</f>
        <v>50.480538430285385</v>
      </c>
      <c r="X143" s="157">
        <f t="shared" ref="X143:X206" si="60">t</f>
        <v>46151</v>
      </c>
      <c r="Y143" s="385">
        <f t="shared" ref="Y143:Y206" si="61">Wh_pvt_s*(1-Ppv)</f>
        <v>48.555510516623052</v>
      </c>
      <c r="Z143" s="385">
        <f t="shared" ref="Z143:Z206" si="62">Wh_sa_s*(1-Psa_s)</f>
        <v>51.730658112177295</v>
      </c>
      <c r="AA143" s="386">
        <f t="shared" ref="AA143:AA206" si="63">Wh_hp*(1-Pvg_s*MEDIAN((-Sdif+Wh/Env_an)/Csdif,0,1))</f>
        <v>55.867485447617625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7.404713676113267E-2</v>
      </c>
      <c r="AD143" s="231">
        <f>(INDEX(Models!$BJ143:$BT143,,AH143)*(1-AF143)+INDEX(Models!$BJ143:$BT143,,AH143+1)*AF143-ERP_i)*AE143*Ramure*Pc/MaxiM</f>
        <v>2.2966609122621669E-4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0.10269485277481882</v>
      </c>
      <c r="AG143" s="81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2.1026948527748188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50.157600101545569</v>
      </c>
      <c r="C144" s="841"/>
      <c r="D144" s="393">
        <f t="shared" si="50"/>
        <v>53.438682170006246</v>
      </c>
      <c r="E144" s="385">
        <f t="shared" ref="E144:E169" si="72">Wh_pvt/(1-Psa)</f>
        <v>55.526241517631483</v>
      </c>
      <c r="F144" s="385">
        <f t="shared" si="51"/>
        <v>55.527589010912706</v>
      </c>
      <c r="G144" s="110">
        <f t="shared" ref="G144:G169" si="73">+Wh_hp/MaxiM</f>
        <v>0.88398909633686584</v>
      </c>
      <c r="H144" s="414" t="b">
        <f>Wh_hp&gt;='2025'!Maxi_hp</f>
        <v>0</v>
      </c>
      <c r="I144" s="390">
        <f>IF(H144,Wh_hp,'2025'!Maxi_hp)</f>
        <v>55.527818496822988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6.1399007895113544E-2</v>
      </c>
      <c r="M144" s="845"/>
      <c r="N144" s="845"/>
      <c r="O144" s="48">
        <f>IF(t&lt;Tnet,'2025'!Resal+('2025'!Salim-'2025'!Resal)*(1-EXP(('2025'!Tnet-t)/('2025'!Tau_j))),Resal+(Salim-Resal)*(1-EXP((Tnet-t)/(Tau_j))))*Salcycl</f>
        <v>3.7595905837825683E-2</v>
      </c>
      <c r="P144" s="169">
        <f>(INDEX(Models!$BJ144:$BT144,,T144)*(1-R144)+INDEX(Models!$BJ144:$BT144,,T144+1)*R144-ERP_i)*Q144*Ramure*Pc/MaxiM</f>
        <v>2.9087602316148137E-5</v>
      </c>
      <c r="Q144" s="305">
        <f t="shared" si="53"/>
        <v>0.5</v>
      </c>
      <c r="R144" s="177">
        <f t="shared" si="54"/>
        <v>0.58118227994755811</v>
      </c>
      <c r="S144" s="811">
        <f t="shared" si="55"/>
        <v>-2</v>
      </c>
      <c r="T144" s="176">
        <f t="shared" si="56"/>
        <v>4</v>
      </c>
      <c r="U144" s="251">
        <f t="shared" si="57"/>
        <v>-1.4188177200524419</v>
      </c>
      <c r="V144" s="383">
        <f t="shared" si="58"/>
        <v>56.739792966280305</v>
      </c>
      <c r="W144" s="402">
        <f t="shared" si="59"/>
        <v>50.157600101545569</v>
      </c>
      <c r="X144" s="157">
        <f t="shared" si="60"/>
        <v>46152</v>
      </c>
      <c r="Y144" s="385">
        <f t="shared" si="61"/>
        <v>48.24490514997445</v>
      </c>
      <c r="Z144" s="385">
        <f t="shared" si="62"/>
        <v>51.400867414151634</v>
      </c>
      <c r="AA144" s="386">
        <f t="shared" si="63"/>
        <v>55.516087102266951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7.4126616318160463E-2</v>
      </c>
      <c r="AD144" s="231">
        <f>(INDEX(Models!$BJ144:$BT144,,AH144)*(1-AF144)+INDEX(Models!$BJ144:$BT144,,AH144+1)*AF144-ERP_i)*AE144*Ramure*Pc/MaxiM</f>
        <v>2.4828542689245883E-4</v>
      </c>
      <c r="AE144" s="305">
        <f t="shared" si="65"/>
        <v>0.5</v>
      </c>
      <c r="AF144" s="177">
        <f t="shared" si="66"/>
        <v>0.10616984632153725</v>
      </c>
      <c r="AG144" s="811">
        <f t="shared" ref="AG144:AG207" si="74">INDEX(Echel_vg,AH144)</f>
        <v>2</v>
      </c>
      <c r="AH144" s="176">
        <f t="shared" si="67"/>
        <v>8</v>
      </c>
      <c r="AI144" s="225">
        <f t="shared" si="68"/>
        <v>2.1061698463215373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54.142593891503083</v>
      </c>
      <c r="C145" s="841"/>
      <c r="D145" s="393">
        <f t="shared" si="50"/>
        <v>57.685619592000343</v>
      </c>
      <c r="E145" s="385">
        <f t="shared" si="72"/>
        <v>59.944986208241545</v>
      </c>
      <c r="F145" s="385">
        <f t="shared" si="51"/>
        <v>59.946724455597156</v>
      </c>
      <c r="G145" s="110">
        <f t="shared" si="73"/>
        <v>0.95300065869547024</v>
      </c>
      <c r="H145" s="414" t="b">
        <f>Wh_hp&gt;='2025'!Maxi_hp</f>
        <v>0</v>
      </c>
      <c r="I145" s="390">
        <f>IF(H145,Wh_hp,'2025'!Maxi_hp)</f>
        <v>59.946831074462033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6.1419565665696618E-2</v>
      </c>
      <c r="M145" s="845"/>
      <c r="N145" s="845"/>
      <c r="O145" s="48">
        <f>IF(t&lt;Tnet,'2025'!Resal+('2025'!Salim-'2025'!Resal)*(1-EXP(('2025'!Tnet-t)/('2025'!Tau_j))),Resal+(Salim-Resal)*(1-EXP((Tnet-t)/(Tau_j))))*Salcycl</f>
        <v>3.7690668714017862E-2</v>
      </c>
      <c r="P145" s="169">
        <f>(INDEX(Models!$BJ145:$BT145,,T145)*(1-R145)+INDEX(Models!$BJ145:$BT145,,T145+1)*R145-ERP_i)*Q145*Ramure*Pc/MaxiM</f>
        <v>3.1083450115643665E-5</v>
      </c>
      <c r="Q145" s="305">
        <f t="shared" si="53"/>
        <v>0.5</v>
      </c>
      <c r="R145" s="177">
        <f t="shared" si="54"/>
        <v>0.58473858100592246</v>
      </c>
      <c r="S145" s="811">
        <f t="shared" si="55"/>
        <v>-2</v>
      </c>
      <c r="T145" s="176">
        <f t="shared" si="56"/>
        <v>4</v>
      </c>
      <c r="U145" s="251">
        <f t="shared" si="57"/>
        <v>-1.4152614189940775</v>
      </c>
      <c r="V145" s="383">
        <f t="shared" si="58"/>
        <v>56.812637434478425</v>
      </c>
      <c r="W145" s="402">
        <f t="shared" si="59"/>
        <v>54.142593891503083</v>
      </c>
      <c r="X145" s="157">
        <f t="shared" si="60"/>
        <v>46153</v>
      </c>
      <c r="Y145" s="385">
        <f t="shared" si="61"/>
        <v>52.076581703253986</v>
      </c>
      <c r="Z145" s="385">
        <f t="shared" si="62"/>
        <v>55.484410071034318</v>
      </c>
      <c r="AA145" s="386">
        <f t="shared" si="63"/>
        <v>59.931757632029566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7.420686021426541E-2</v>
      </c>
      <c r="AD145" s="231">
        <f>(INDEX(Models!$BJ145:$BT145,,AH145)*(1-AF145)+INDEX(Models!$BJ145:$BT145,,AH145+1)*AF145-ERP_i)*AE145*Ramure*Pc/MaxiM</f>
        <v>2.6763769393924974E-4</v>
      </c>
      <c r="AE145" s="305">
        <f t="shared" si="65"/>
        <v>0.5</v>
      </c>
      <c r="AF145" s="177">
        <f t="shared" si="66"/>
        <v>0.10972614737990138</v>
      </c>
      <c r="AG145" s="811">
        <f t="shared" si="74"/>
        <v>2</v>
      </c>
      <c r="AH145" s="176">
        <f t="shared" si="67"/>
        <v>8</v>
      </c>
      <c r="AI145" s="225">
        <f t="shared" si="68"/>
        <v>2.1097261473799014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39.47792250555068</v>
      </c>
      <c r="C146" s="841"/>
      <c r="D146" s="393">
        <f t="shared" si="50"/>
        <v>42.062231161158294</v>
      </c>
      <c r="E146" s="385">
        <f t="shared" si="72"/>
        <v>43.714000263727506</v>
      </c>
      <c r="F146" s="385">
        <f t="shared" si="51"/>
        <v>43.714812982330386</v>
      </c>
      <c r="G146" s="110">
        <f t="shared" si="73"/>
        <v>0.69402758433180933</v>
      </c>
      <c r="H146" s="414" t="b">
        <f>Wh_hp&gt;='2025'!Maxi_hp</f>
        <v>0</v>
      </c>
      <c r="I146" s="390">
        <f>IF(H146,Wh_hp,'2025'!Maxi_hp)</f>
        <v>59.238727729135654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6.1440122986011647E-2</v>
      </c>
      <c r="M146" s="845"/>
      <c r="N146" s="845"/>
      <c r="O146" s="48">
        <f>IF(t&lt;Tnet,'2025'!Resal+('2025'!Salim-'2025'!Resal)*(1-EXP(('2025'!Tnet-t)/('2025'!Tau_j))),Resal+(Salim-Resal)*(1-EXP((Tnet-t)/(Tau_j))))*Salcycl</f>
        <v>3.7785814443978029E-2</v>
      </c>
      <c r="P146" s="169">
        <f>(INDEX(Models!$BJ146:$BT146,,T146)*(1-R146)+INDEX(Models!$BJ146:$BT146,,T146+1)*R146-ERP_i)*Q146*Ramure*Pc/MaxiM</f>
        <v>3.3027214488289835E-5</v>
      </c>
      <c r="Q146" s="305">
        <f t="shared" si="53"/>
        <v>0.5</v>
      </c>
      <c r="R146" s="177">
        <f t="shared" si="54"/>
        <v>0.58837596865375108</v>
      </c>
      <c r="S146" s="811">
        <f t="shared" si="55"/>
        <v>-2</v>
      </c>
      <c r="T146" s="176">
        <f t="shared" si="56"/>
        <v>4</v>
      </c>
      <c r="U146" s="251">
        <f t="shared" si="57"/>
        <v>-1.4116240313462489</v>
      </c>
      <c r="V146" s="383">
        <f t="shared" si="58"/>
        <v>56.881532505830123</v>
      </c>
      <c r="W146" s="402">
        <f t="shared" si="59"/>
        <v>39.47792250555068</v>
      </c>
      <c r="X146" s="157">
        <f t="shared" si="60"/>
        <v>46154</v>
      </c>
      <c r="Y146" s="385">
        <f t="shared" si="61"/>
        <v>37.974864341549925</v>
      </c>
      <c r="Z146" s="385">
        <f t="shared" si="62"/>
        <v>40.460779617349807</v>
      </c>
      <c r="AA146" s="386">
        <f t="shared" si="63"/>
        <v>43.707732299875417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7.4287832190618186E-2</v>
      </c>
      <c r="AD146" s="231">
        <f>(INDEX(Models!$BJ146:$BT146,,AH146)*(1-AF146)+INDEX(Models!$BJ146:$BT146,,AH146+1)*AF146-ERP_i)*AE146*Ramure*Pc/MaxiM</f>
        <v>2.8774438942984855E-4</v>
      </c>
      <c r="AE146" s="305">
        <f t="shared" si="65"/>
        <v>0.5</v>
      </c>
      <c r="AF146" s="177">
        <f t="shared" si="66"/>
        <v>0.11336353502773022</v>
      </c>
      <c r="AG146" s="811">
        <f t="shared" si="74"/>
        <v>2</v>
      </c>
      <c r="AH146" s="176">
        <f t="shared" si="67"/>
        <v>8</v>
      </c>
      <c r="AI146" s="225">
        <f t="shared" si="68"/>
        <v>2.1133635350277302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40.156246417265891</v>
      </c>
      <c r="C147" s="841"/>
      <c r="D147" s="393">
        <f t="shared" si="50"/>
        <v>42.785896717792987</v>
      </c>
      <c r="E147" s="385">
        <f t="shared" si="72"/>
        <v>44.470498101226823</v>
      </c>
      <c r="F147" s="385">
        <f t="shared" si="51"/>
        <v>44.471396857598542</v>
      </c>
      <c r="G147" s="110">
        <f t="shared" si="73"/>
        <v>0.70514607656700901</v>
      </c>
      <c r="H147" s="414" t="b">
        <f>Wh_hp&gt;='2025'!Maxi_hp</f>
        <v>0</v>
      </c>
      <c r="I147" s="390">
        <f>IF(H147,Wh_hp,'2025'!Maxi_hp)</f>
        <v>65.408960512497771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6.1460679856068734E-2</v>
      </c>
      <c r="M147" s="845"/>
      <c r="N147" s="845"/>
      <c r="O147" s="48">
        <f>IF(t&lt;Tnet,'2025'!Resal+('2025'!Salim-'2025'!Resal)*(1-EXP(('2025'!Tnet-t)/('2025'!Tau_j))),Resal+(Salim-Resal)*(1-EXP((Tnet-t)/(Tau_j))))*Salcycl</f>
        <v>3.7881324818967117E-2</v>
      </c>
      <c r="P147" s="169">
        <f>(INDEX(Models!$BJ147:$BT147,,T147)*(1-R147)+INDEX(Models!$BJ147:$BT147,,T147+1)*R147-ERP_i)*Q147*Ramure*Pc/MaxiM</f>
        <v>3.491696573485196E-5</v>
      </c>
      <c r="Q147" s="305">
        <f t="shared" si="53"/>
        <v>0.5</v>
      </c>
      <c r="R147" s="177">
        <f t="shared" si="54"/>
        <v>0.59209407177920315</v>
      </c>
      <c r="S147" s="811">
        <f t="shared" si="55"/>
        <v>-2</v>
      </c>
      <c r="T147" s="176">
        <f t="shared" si="56"/>
        <v>4</v>
      </c>
      <c r="U147" s="251">
        <f t="shared" si="57"/>
        <v>-1.4079059282207969</v>
      </c>
      <c r="V147" s="383">
        <f t="shared" si="58"/>
        <v>56.946577671895739</v>
      </c>
      <c r="W147" s="402">
        <f t="shared" si="59"/>
        <v>40.156246417265891</v>
      </c>
      <c r="X147" s="157">
        <f t="shared" si="60"/>
        <v>46155</v>
      </c>
      <c r="Y147" s="385">
        <f t="shared" si="61"/>
        <v>38.627207873134665</v>
      </c>
      <c r="Z147" s="385">
        <f t="shared" si="62"/>
        <v>41.1567283800224</v>
      </c>
      <c r="AA147" s="386">
        <f t="shared" si="63"/>
        <v>44.463452848237679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7.4369493514184856E-2</v>
      </c>
      <c r="AD147" s="231">
        <f>(INDEX(Models!$BJ147:$BT147,,AH147)*(1-AF147)+INDEX(Models!$BJ147:$BT147,,AH147+1)*AF147-ERP_i)*AE147*Ramure*Pc/MaxiM</f>
        <v>3.0862724469069767E-4</v>
      </c>
      <c r="AE147" s="305">
        <f t="shared" si="65"/>
        <v>0.5</v>
      </c>
      <c r="AF147" s="177">
        <f t="shared" si="66"/>
        <v>0.11708163815318207</v>
      </c>
      <c r="AG147" s="811">
        <f t="shared" si="74"/>
        <v>2</v>
      </c>
      <c r="AH147" s="176">
        <f t="shared" si="67"/>
        <v>8</v>
      </c>
      <c r="AI147" s="225">
        <f t="shared" si="68"/>
        <v>2.1170816381531821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48.584048220398635</v>
      </c>
      <c r="C148" s="841"/>
      <c r="D148" s="393">
        <f t="shared" si="50"/>
        <v>51.766730829773707</v>
      </c>
      <c r="E148" s="385">
        <f t="shared" si="72"/>
        <v>53.810294067747506</v>
      </c>
      <c r="F148" s="385">
        <f t="shared" si="51"/>
        <v>53.811854218607863</v>
      </c>
      <c r="G148" s="110">
        <f t="shared" si="73"/>
        <v>0.85222740618938997</v>
      </c>
      <c r="H148" s="414" t="b">
        <f>Wh_hp&gt;='2025'!Maxi_hp</f>
        <v>0</v>
      </c>
      <c r="I148" s="390">
        <f>IF(H148,Wh_hp,'2025'!Maxi_hp)</f>
        <v>63.832836981428784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6.1481236275877538E-2</v>
      </c>
      <c r="M148" s="845"/>
      <c r="N148" s="845"/>
      <c r="O148" s="48">
        <f>IF(t&lt;Tnet,'2025'!Resal+('2025'!Salim-'2025'!Resal)*(1-EXP(('2025'!Tnet-t)/('2025'!Tau_j))),Resal+(Salim-Resal)*(1-EXP((Tnet-t)/(Tau_j))))*Salcycl</f>
        <v>3.7977180265934649E-2</v>
      </c>
      <c r="P148" s="169">
        <f>(INDEX(Models!$BJ148:$BT148,,T148)*(1-R148)+INDEX(Models!$BJ148:$BT148,,T148+1)*R148-ERP_i)*Q148*Ramure*Pc/MaxiM</f>
        <v>3.6750522843518621E-5</v>
      </c>
      <c r="Q148" s="305">
        <f t="shared" si="53"/>
        <v>0.5</v>
      </c>
      <c r="R148" s="177">
        <f t="shared" si="54"/>
        <v>0.59589236334480566</v>
      </c>
      <c r="S148" s="811">
        <f t="shared" si="55"/>
        <v>-2</v>
      </c>
      <c r="T148" s="176">
        <f t="shared" si="56"/>
        <v>4</v>
      </c>
      <c r="U148" s="251">
        <f t="shared" si="57"/>
        <v>-1.4041076366551943</v>
      </c>
      <c r="V148" s="383">
        <f t="shared" si="58"/>
        <v>57.007872488153474</v>
      </c>
      <c r="W148" s="402">
        <f t="shared" si="59"/>
        <v>48.584048220398635</v>
      </c>
      <c r="X148" s="157">
        <f t="shared" si="60"/>
        <v>46156</v>
      </c>
      <c r="Y148" s="385">
        <f t="shared" si="61"/>
        <v>46.731182629385202</v>
      </c>
      <c r="Z148" s="385">
        <f t="shared" si="62"/>
        <v>49.792486240713913</v>
      </c>
      <c r="AA148" s="386">
        <f t="shared" si="63"/>
        <v>53.797831817490838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7.4451803008810172E-2</v>
      </c>
      <c r="AD148" s="231">
        <f>(INDEX(Models!$BJ148:$BT148,,AH148)*(1-AF148)+INDEX(Models!$BJ148:$BT148,,AH148+1)*AF148-ERP_i)*AE148*Ramure*Pc/MaxiM</f>
        <v>3.3030816805458725E-4</v>
      </c>
      <c r="AE148" s="305">
        <f t="shared" si="65"/>
        <v>0.5</v>
      </c>
      <c r="AF148" s="177">
        <f t="shared" si="66"/>
        <v>0.12087992971878458</v>
      </c>
      <c r="AG148" s="811">
        <f t="shared" si="74"/>
        <v>2</v>
      </c>
      <c r="AH148" s="176">
        <f t="shared" si="67"/>
        <v>8</v>
      </c>
      <c r="AI148" s="225">
        <f t="shared" si="68"/>
        <v>2.1208799297187846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51.400344193907152</v>
      </c>
      <c r="C149" s="841"/>
      <c r="D149" s="393">
        <f t="shared" si="50"/>
        <v>54.768718543307038</v>
      </c>
      <c r="E149" s="385">
        <f t="shared" si="72"/>
        <v>56.936481700338121</v>
      </c>
      <c r="F149" s="385">
        <f t="shared" si="51"/>
        <v>56.938364235392839</v>
      </c>
      <c r="G149" s="110">
        <f t="shared" si="73"/>
        <v>0.90073065178214784</v>
      </c>
      <c r="H149" s="414" t="b">
        <f>Wh_hp&gt;='2025'!Maxi_hp</f>
        <v>0</v>
      </c>
      <c r="I149" s="390">
        <f>IF(H149,Wh_hp,'2025'!Maxi_hp)</f>
        <v>64.337487236928794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6.150179224544805E-2</v>
      </c>
      <c r="M149" s="845"/>
      <c r="N149" s="845"/>
      <c r="O149" s="48">
        <f>IF(t&lt;Tnet,'2025'!Resal+('2025'!Salim-'2025'!Resal)*(1-EXP(('2025'!Tnet-t)/('2025'!Tau_j))),Resal+(Salim-Resal)*(1-EXP((Tnet-t)/(Tau_j))))*Salcycl</f>
        <v>3.8073359861612407E-2</v>
      </c>
      <c r="P149" s="169">
        <f>(INDEX(Models!$BJ149:$BT149,,T149)*(1-R149)+INDEX(Models!$BJ149:$BT149,,T149+1)*R149-ERP_i)*Q149*Ramure*Pc/MaxiM</f>
        <v>3.8525898491295058E-5</v>
      </c>
      <c r="Q149" s="305">
        <f t="shared" si="53"/>
        <v>0.5</v>
      </c>
      <c r="R149" s="177">
        <f t="shared" si="54"/>
        <v>0.59977015505984532</v>
      </c>
      <c r="S149" s="811">
        <f t="shared" si="55"/>
        <v>-2</v>
      </c>
      <c r="T149" s="176">
        <f t="shared" si="56"/>
        <v>4</v>
      </c>
      <c r="U149" s="251">
        <f t="shared" si="57"/>
        <v>-1.4002298449401547</v>
      </c>
      <c r="V149" s="383">
        <f t="shared" si="58"/>
        <v>57.064854262190856</v>
      </c>
      <c r="W149" s="402">
        <f t="shared" si="59"/>
        <v>51.400344193907152</v>
      </c>
      <c r="X149" s="157">
        <f t="shared" si="60"/>
        <v>46157</v>
      </c>
      <c r="Y149" s="385">
        <f t="shared" si="61"/>
        <v>49.438700754047666</v>
      </c>
      <c r="Z149" s="385">
        <f t="shared" si="62"/>
        <v>52.678524418639604</v>
      </c>
      <c r="AA149" s="386">
        <f t="shared" si="63"/>
        <v>56.921124316528498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7.4534717098990011E-2</v>
      </c>
      <c r="AD149" s="231">
        <f>(INDEX(Models!$BJ149:$BT149,,AH149)*(1-AF149)+INDEX(Models!$BJ149:$BT149,,AH149+1)*AF149-ERP_i)*AE149*Ramure*Pc/MaxiM</f>
        <v>3.5281327829748087E-4</v>
      </c>
      <c r="AE149" s="305">
        <f t="shared" si="65"/>
        <v>0.5</v>
      </c>
      <c r="AF149" s="177">
        <f t="shared" si="66"/>
        <v>0.12475772143382402</v>
      </c>
      <c r="AG149" s="811">
        <f t="shared" si="74"/>
        <v>2</v>
      </c>
      <c r="AH149" s="176">
        <f t="shared" si="67"/>
        <v>8</v>
      </c>
      <c r="AI149" s="225">
        <f t="shared" si="68"/>
        <v>2.124757721433824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48.995674276746257</v>
      </c>
      <c r="C150" s="841"/>
      <c r="D150" s="393">
        <f t="shared" si="50"/>
        <v>52.207608950571476</v>
      </c>
      <c r="E150" s="385">
        <f t="shared" si="72"/>
        <v>54.279446824626973</v>
      </c>
      <c r="F150" s="385">
        <f t="shared" si="51"/>
        <v>54.281178263249387</v>
      </c>
      <c r="G150" s="110">
        <f t="shared" si="73"/>
        <v>0.85780492285849541</v>
      </c>
      <c r="H150" s="414" t="b">
        <f>Wh_hp&gt;='2025'!Maxi_hp</f>
        <v>0</v>
      </c>
      <c r="I150" s="390">
        <f>IF(H150,Wh_hp,'2025'!Maxi_hp)</f>
        <v>55.759884023555387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6.1522347764789931E-2</v>
      </c>
      <c r="M150" s="845"/>
      <c r="N150" s="845"/>
      <c r="O150" s="48">
        <f>IF(t&lt;Tnet,'2025'!Resal+('2025'!Salim-'2025'!Resal)*(1-EXP(('2025'!Tnet-t)/('2025'!Tau_j))),Resal+(Salim-Resal)*(1-EXP((Tnet-t)/(Tau_j))))*Salcycl</f>
        <v>3.8169841353569059E-2</v>
      </c>
      <c r="P150" s="169">
        <f>(INDEX(Models!$BJ150:$BT150,,T150)*(1-R150)+INDEX(Models!$BJ150:$BT150,,T150+1)*R150-ERP_i)*Q150*Ramure*Pc/MaxiM</f>
        <v>4.002838806258815E-5</v>
      </c>
      <c r="Q150" s="305">
        <f t="shared" si="53"/>
        <v>0.5</v>
      </c>
      <c r="R150" s="177">
        <f t="shared" si="54"/>
        <v>0.60372659252097138</v>
      </c>
      <c r="S150" s="811">
        <f t="shared" si="55"/>
        <v>-2</v>
      </c>
      <c r="T150" s="176">
        <f t="shared" si="56"/>
        <v>4</v>
      </c>
      <c r="U150" s="251">
        <f t="shared" si="57"/>
        <v>-1.3962734074790286</v>
      </c>
      <c r="V150" s="383">
        <f t="shared" si="58"/>
        <v>57.117037433993893</v>
      </c>
      <c r="W150" s="402">
        <f t="shared" si="59"/>
        <v>48.995674276746257</v>
      </c>
      <c r="X150" s="157">
        <f t="shared" si="60"/>
        <v>46158</v>
      </c>
      <c r="Y150" s="385">
        <f t="shared" si="61"/>
        <v>47.126440242824053</v>
      </c>
      <c r="Z150" s="385">
        <f t="shared" si="62"/>
        <v>50.215836392673936</v>
      </c>
      <c r="AA150" s="386">
        <f t="shared" si="63"/>
        <v>54.264991858274293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7.461818986678688E-2</v>
      </c>
      <c r="AD150" s="231">
        <f>(INDEX(Models!$BJ150:$BT150,,AH150)*(1-AF150)+INDEX(Models!$BJ150:$BT150,,AH150+1)*AF150-ERP_i)*AE150*Ramure*Pc/MaxiM</f>
        <v>3.7420656516116404E-4</v>
      </c>
      <c r="AE150" s="305">
        <f t="shared" si="65"/>
        <v>0.5</v>
      </c>
      <c r="AF150" s="177">
        <f t="shared" si="66"/>
        <v>0.12871415889495008</v>
      </c>
      <c r="AG150" s="811">
        <f t="shared" si="74"/>
        <v>2</v>
      </c>
      <c r="AH150" s="176">
        <f t="shared" si="67"/>
        <v>8</v>
      </c>
      <c r="AI150" s="225">
        <f t="shared" si="68"/>
        <v>2.1287141588949501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52.174934808045826</v>
      </c>
      <c r="C151" s="841"/>
      <c r="D151" s="393">
        <f t="shared" si="50"/>
        <v>55.596505120587295</v>
      </c>
      <c r="E151" s="385">
        <f t="shared" si="72"/>
        <v>57.808645503308242</v>
      </c>
      <c r="F151" s="385">
        <f t="shared" si="51"/>
        <v>57.810730007543135</v>
      </c>
      <c r="G151" s="110">
        <f t="shared" si="73"/>
        <v>0.91270902195662063</v>
      </c>
      <c r="H151" s="414" t="b">
        <f>Wh_hp&gt;='2025'!Maxi_hp</f>
        <v>0</v>
      </c>
      <c r="I151" s="390">
        <f>IF(H151,Wh_hp,'2025'!Maxi_hp)</f>
        <v>59.143869986274652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6.1542902833913393E-2</v>
      </c>
      <c r="M151" s="845"/>
      <c r="N151" s="845"/>
      <c r="O151" s="48">
        <f>IF(t&lt;Tnet,'2025'!Resal+('2025'!Salim-'2025'!Resal)*(1-EXP(('2025'!Tnet-t)/('2025'!Tau_j))),Resal+(Salim-Resal)*(1-EXP((Tnet-t)/(Tau_j))))*Salcycl</f>
        <v>3.8266601188473685E-2</v>
      </c>
      <c r="P151" s="169">
        <f>(INDEX(Models!$BJ151:$BT151,,T151)*(1-R151)+INDEX(Models!$BJ151:$BT151,,T151+1)*R151-ERP_i)*Q151*Ramure*Pc/MaxiM</f>
        <v>4.1194076373446283E-5</v>
      </c>
      <c r="Q151" s="305">
        <f t="shared" si="53"/>
        <v>0.5</v>
      </c>
      <c r="R151" s="177">
        <f t="shared" si="54"/>
        <v>0.60776065088094522</v>
      </c>
      <c r="S151" s="811">
        <f t="shared" si="55"/>
        <v>-2</v>
      </c>
      <c r="T151" s="176">
        <f t="shared" si="56"/>
        <v>4</v>
      </c>
      <c r="U151" s="251">
        <f t="shared" si="57"/>
        <v>-1.3922393491190548</v>
      </c>
      <c r="V151" s="383">
        <f t="shared" si="58"/>
        <v>57.16462260933212</v>
      </c>
      <c r="W151" s="402">
        <f t="shared" si="59"/>
        <v>52.174934808045826</v>
      </c>
      <c r="X151" s="157">
        <f t="shared" si="60"/>
        <v>46159</v>
      </c>
      <c r="Y151" s="385">
        <f t="shared" si="61"/>
        <v>50.18277594319315</v>
      </c>
      <c r="Z151" s="385">
        <f t="shared" si="62"/>
        <v>53.473702841326464</v>
      </c>
      <c r="AA151" s="386">
        <f t="shared" si="63"/>
        <v>57.7908012836944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7.4702173122247403E-2</v>
      </c>
      <c r="AD151" s="231">
        <f>(INDEX(Models!$BJ151:$BT151,,AH151)*(1-AF151)+INDEX(Models!$BJ151:$BT151,,AH151+1)*AF151-ERP_i)*AE151*Ramure*Pc/MaxiM</f>
        <v>3.9383243195689093E-4</v>
      </c>
      <c r="AE151" s="305">
        <f t="shared" si="65"/>
        <v>0.5</v>
      </c>
      <c r="AF151" s="177">
        <f t="shared" si="66"/>
        <v>0.13274821725492414</v>
      </c>
      <c r="AG151" s="811">
        <f t="shared" si="74"/>
        <v>2</v>
      </c>
      <c r="AH151" s="176">
        <f t="shared" si="67"/>
        <v>8</v>
      </c>
      <c r="AI151" s="225">
        <f t="shared" si="68"/>
        <v>2.1327482172549241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50.191064808832941</v>
      </c>
      <c r="C152" s="841"/>
      <c r="D152" s="393">
        <f t="shared" si="50"/>
        <v>53.483706711378417</v>
      </c>
      <c r="E152" s="385">
        <f t="shared" si="72"/>
        <v>55.61739085634364</v>
      </c>
      <c r="F152" s="385">
        <f t="shared" si="51"/>
        <v>55.619317980382377</v>
      </c>
      <c r="G152" s="110">
        <f t="shared" si="73"/>
        <v>0.87733995635310202</v>
      </c>
      <c r="H152" s="414" t="b">
        <f>Wh_hp&gt;='2025'!Maxi_hp</f>
        <v>0</v>
      </c>
      <c r="I152" s="390">
        <f>IF(H152,Wh_hp,'2025'!Maxi_hp)</f>
        <v>63.972000087795209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6.1563457452827985E-2</v>
      </c>
      <c r="M152" s="845"/>
      <c r="N152" s="845"/>
      <c r="O152" s="48">
        <f>IF(t&lt;Tnet,'2025'!Resal+('2025'!Salim-'2025'!Resal)*(1-EXP(('2025'!Tnet-t)/('2025'!Tau_j))),Resal+(Salim-Resal)*(1-EXP((Tnet-t)/(Tau_j))))*Salcycl</f>
        <v>3.8363614547766114E-2</v>
      </c>
      <c r="P152" s="169">
        <f>(INDEX(Models!$BJ152:$BT152,,T152)*(1-R152)+INDEX(Models!$BJ152:$BT152,,T152+1)*R152-ERP_i)*Q152*Ramure*Pc/MaxiM</f>
        <v>4.2009312729236276E-5</v>
      </c>
      <c r="Q152" s="305">
        <f t="shared" si="53"/>
        <v>0.5</v>
      </c>
      <c r="R152" s="177">
        <f t="shared" si="54"/>
        <v>0.61187113110490232</v>
      </c>
      <c r="S152" s="811">
        <f t="shared" si="55"/>
        <v>-2</v>
      </c>
      <c r="T152" s="176">
        <f t="shared" si="56"/>
        <v>4</v>
      </c>
      <c r="U152" s="251">
        <f t="shared" si="57"/>
        <v>-1.3881288688950977</v>
      </c>
      <c r="V152" s="383">
        <f t="shared" si="58"/>
        <v>57.207807513884489</v>
      </c>
      <c r="W152" s="402">
        <f t="shared" si="59"/>
        <v>50.191064808832941</v>
      </c>
      <c r="X152" s="157">
        <f t="shared" si="60"/>
        <v>46160</v>
      </c>
      <c r="Y152" s="385">
        <f t="shared" si="61"/>
        <v>48.275301523957282</v>
      </c>
      <c r="Z152" s="385">
        <f t="shared" si="62"/>
        <v>51.442265230768811</v>
      </c>
      <c r="AA152" s="386">
        <f t="shared" si="63"/>
        <v>55.600433529697341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7.4786616487577687E-2</v>
      </c>
      <c r="AD152" s="231">
        <f>(INDEX(Models!$BJ152:$BT152,,AH152)*(1-AF152)+INDEX(Models!$BJ152:$BT152,,AH152+1)*AF152-ERP_i)*AE152*Ramure*Pc/MaxiM</f>
        <v>4.1166151145470125E-4</v>
      </c>
      <c r="AE152" s="305">
        <f t="shared" si="65"/>
        <v>0.5</v>
      </c>
      <c r="AF152" s="177">
        <f t="shared" si="66"/>
        <v>0.13685869747888102</v>
      </c>
      <c r="AG152" s="811">
        <f t="shared" si="74"/>
        <v>2</v>
      </c>
      <c r="AH152" s="176">
        <f t="shared" si="67"/>
        <v>8</v>
      </c>
      <c r="AI152" s="225">
        <f t="shared" si="68"/>
        <v>2.136858697478881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52.974536822154313</v>
      </c>
      <c r="C153" s="841"/>
      <c r="D153" s="393">
        <f t="shared" si="50"/>
        <v>56.451016903166895</v>
      </c>
      <c r="E153" s="385">
        <f t="shared" si="72"/>
        <v>58.709015872790935</v>
      </c>
      <c r="F153" s="385">
        <f t="shared" si="51"/>
        <v>58.711242963579984</v>
      </c>
      <c r="G153" s="110">
        <f t="shared" si="73"/>
        <v>0.92536711842787511</v>
      </c>
      <c r="H153" s="414" t="b">
        <f>Wh_hp&gt;='2025'!Maxi_hp</f>
        <v>0</v>
      </c>
      <c r="I153" s="390">
        <f>IF(H153,Wh_hp,'2025'!Maxi_hp)</f>
        <v>63.050548226982031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6.1584011621543588E-2</v>
      </c>
      <c r="M153" s="845"/>
      <c r="N153" s="845"/>
      <c r="O153" s="48">
        <f>IF(t&lt;Tnet,'2025'!Resal+('2025'!Salim-'2025'!Resal)*(1-EXP(('2025'!Tnet-t)/('2025'!Tau_j))),Resal+(Salim-Resal)*(1-EXP((Tnet-t)/(Tau_j))))*Salcycl</f>
        <v>3.8460855390875771E-2</v>
      </c>
      <c r="P153" s="169">
        <f>(INDEX(Models!$BJ153:$BT153,,T153)*(1-R153)+INDEX(Models!$BJ153:$BT153,,T153+1)*R153-ERP_i)*Q153*Ramure*Pc/MaxiM</f>
        <v>4.2459681814519605E-5</v>
      </c>
      <c r="Q153" s="305">
        <f t="shared" si="53"/>
        <v>0.5</v>
      </c>
      <c r="R153" s="177">
        <f t="shared" si="54"/>
        <v>0.61605665687219879</v>
      </c>
      <c r="S153" s="811">
        <f t="shared" si="55"/>
        <v>-2</v>
      </c>
      <c r="T153" s="176">
        <f t="shared" si="56"/>
        <v>4</v>
      </c>
      <c r="U153" s="251">
        <f t="shared" si="57"/>
        <v>-1.3839433431278012</v>
      </c>
      <c r="V153" s="383">
        <f t="shared" si="58"/>
        <v>57.246789902872905</v>
      </c>
      <c r="W153" s="402">
        <f t="shared" si="59"/>
        <v>52.974536822154313</v>
      </c>
      <c r="X153" s="157">
        <f t="shared" si="60"/>
        <v>46161</v>
      </c>
      <c r="Y153" s="385">
        <f t="shared" si="61"/>
        <v>50.951008780657212</v>
      </c>
      <c r="Z153" s="385">
        <f t="shared" si="62"/>
        <v>54.294693836896819</v>
      </c>
      <c r="AA153" s="386">
        <f t="shared" si="63"/>
        <v>58.688811261603263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7.4871467495223637E-2</v>
      </c>
      <c r="AD153" s="231">
        <f>(INDEX(Models!$BJ153:$BT153,,AH153)*(1-AF153)+INDEX(Models!$BJ153:$BT153,,AH153+1)*AF153-ERP_i)*AE153*Ramure*Pc/MaxiM</f>
        <v>4.2766237154479714E-4</v>
      </c>
      <c r="AE153" s="305">
        <f t="shared" si="65"/>
        <v>0.5</v>
      </c>
      <c r="AF153" s="177">
        <f t="shared" si="66"/>
        <v>0.14104422324617749</v>
      </c>
      <c r="AG153" s="811">
        <f t="shared" si="74"/>
        <v>2</v>
      </c>
      <c r="AH153" s="176">
        <f t="shared" si="67"/>
        <v>8</v>
      </c>
      <c r="AI153" s="225">
        <f t="shared" si="68"/>
        <v>2.1410442232461775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47.993101988273686</v>
      </c>
      <c r="C154" s="841"/>
      <c r="D154" s="393">
        <f t="shared" si="50"/>
        <v>51.143793134145163</v>
      </c>
      <c r="E154" s="385">
        <f t="shared" si="72"/>
        <v>53.194897775170418</v>
      </c>
      <c r="F154" s="385">
        <f t="shared" si="51"/>
        <v>53.196636124271059</v>
      </c>
      <c r="G154" s="110">
        <f t="shared" si="73"/>
        <v>0.83783429156967748</v>
      </c>
      <c r="H154" s="414" t="b">
        <f>Wh_hp&gt;='2025'!Maxi_hp</f>
        <v>0</v>
      </c>
      <c r="I154" s="390">
        <f>IF(H154,Wh_hp,'2025'!Maxi_hp)</f>
        <v>62.803447200223168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6.1604565340070194E-2</v>
      </c>
      <c r="M154" s="845"/>
      <c r="N154" s="845"/>
      <c r="O154" s="48">
        <f>IF(t&lt;Tnet,'2025'!Resal+('2025'!Salim-'2025'!Resal)*(1-EXP(('2025'!Tnet-t)/('2025'!Tau_j))),Resal+(Salim-Resal)*(1-EXP((Tnet-t)/(Tau_j))))*Salcycl</f>
        <v>3.8558296506072821E-2</v>
      </c>
      <c r="P154" s="169">
        <f>(INDEX(Models!$BJ154:$BT154,,T154)*(1-R154)+INDEX(Models!$BJ154:$BT154,,T154+1)*R154-ERP_i)*Q154*Ramure*Pc/MaxiM</f>
        <v>4.2530032259404919E-5</v>
      </c>
      <c r="Q154" s="305">
        <f t="shared" si="53"/>
        <v>0.5</v>
      </c>
      <c r="R154" s="177">
        <f t="shared" si="54"/>
        <v>0.6203156721798595</v>
      </c>
      <c r="S154" s="811">
        <f t="shared" si="55"/>
        <v>-2</v>
      </c>
      <c r="T154" s="176">
        <f t="shared" si="56"/>
        <v>4</v>
      </c>
      <c r="U154" s="251">
        <f t="shared" si="57"/>
        <v>-1.3796843278201405</v>
      </c>
      <c r="V154" s="383">
        <f t="shared" si="58"/>
        <v>57.281767548304408</v>
      </c>
      <c r="W154" s="402">
        <f t="shared" si="59"/>
        <v>47.993101988273686</v>
      </c>
      <c r="X154" s="157">
        <f t="shared" si="60"/>
        <v>46162</v>
      </c>
      <c r="Y154" s="385">
        <f t="shared" si="61"/>
        <v>46.162007040844529</v>
      </c>
      <c r="Z154" s="385">
        <f t="shared" si="62"/>
        <v>49.192488939988749</v>
      </c>
      <c r="AA154" s="386">
        <f t="shared" si="63"/>
        <v>53.178578164967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7.4956671699887789E-2</v>
      </c>
      <c r="AD154" s="231">
        <f>(INDEX(Models!$BJ154:$BT154,,AH154)*(1-AF154)+INDEX(Models!$BJ154:$BT154,,AH154+1)*AF154-ERP_i)*AE154*Ramure*Pc/MaxiM</f>
        <v>4.4180170223480901E-4</v>
      </c>
      <c r="AE154" s="305">
        <f t="shared" si="65"/>
        <v>0.5</v>
      </c>
      <c r="AF154" s="177">
        <f t="shared" si="66"/>
        <v>0.1453032385538382</v>
      </c>
      <c r="AG154" s="811">
        <f t="shared" si="74"/>
        <v>2</v>
      </c>
      <c r="AH154" s="176">
        <f t="shared" si="67"/>
        <v>8</v>
      </c>
      <c r="AI154" s="225">
        <f t="shared" si="68"/>
        <v>2.1453032385538382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47.912646103050498</v>
      </c>
      <c r="C155" s="841"/>
      <c r="D155" s="393">
        <f t="shared" si="50"/>
        <v>51.059173740880034</v>
      </c>
      <c r="E155" s="385">
        <f t="shared" si="72"/>
        <v>53.112277122322766</v>
      </c>
      <c r="F155" s="385">
        <f t="shared" si="51"/>
        <v>53.113993531591717</v>
      </c>
      <c r="G155" s="110">
        <f t="shared" si="73"/>
        <v>0.83597480352005415</v>
      </c>
      <c r="H155" s="414" t="b">
        <f>Wh_hp&gt;='2025'!Maxi_hp</f>
        <v>0</v>
      </c>
      <c r="I155" s="390">
        <f>IF(H155,Wh_hp,'2025'!Maxi_hp)</f>
        <v>61.178268574854386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6.1625118608417684E-2</v>
      </c>
      <c r="M155" s="845"/>
      <c r="N155" s="845"/>
      <c r="O155" s="48">
        <f>IF(t&lt;Tnet,'2025'!Resal+('2025'!Salim-'2025'!Resal)*(1-EXP(('2025'!Tnet-t)/('2025'!Tau_j))),Resal+(Salim-Resal)*(1-EXP((Tnet-t)/(Tau_j))))*Salcycl</f>
        <v>3.8655909568972843E-2</v>
      </c>
      <c r="P155" s="169">
        <f>(INDEX(Models!$BJ155:$BT155,,T155)*(1-R155)+INDEX(Models!$BJ155:$BT155,,T155+1)*R155-ERP_i)*Q155*Ramure*Pc/MaxiM</f>
        <v>4.2204509983991958E-5</v>
      </c>
      <c r="Q155" s="305">
        <f t="shared" si="53"/>
        <v>0.5</v>
      </c>
      <c r="R155" s="177">
        <f t="shared" si="54"/>
        <v>0.62464643970080225</v>
      </c>
      <c r="S155" s="811">
        <f t="shared" si="55"/>
        <v>-2</v>
      </c>
      <c r="T155" s="176">
        <f t="shared" si="56"/>
        <v>4</v>
      </c>
      <c r="U155" s="251">
        <f t="shared" si="57"/>
        <v>-1.3753535602991978</v>
      </c>
      <c r="V155" s="383">
        <f t="shared" si="58"/>
        <v>57.312938238062429</v>
      </c>
      <c r="W155" s="402">
        <f t="shared" si="59"/>
        <v>47.912646103050498</v>
      </c>
      <c r="X155" s="157">
        <f t="shared" si="60"/>
        <v>46163</v>
      </c>
      <c r="Y155" s="385">
        <f t="shared" si="61"/>
        <v>46.08464540962099</v>
      </c>
      <c r="Z155" s="385">
        <f t="shared" si="62"/>
        <v>49.111124267604879</v>
      </c>
      <c r="AA155" s="386">
        <f t="shared" si="63"/>
        <v>53.095528059377301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7.504217280439554E-2</v>
      </c>
      <c r="AD155" s="231">
        <f>(INDEX(Models!$BJ155:$BT155,,AH155)*(1-AF155)+INDEX(Models!$BJ155:$BT155,,AH155+1)*AF155-ERP_i)*AE155*Ramure*Pc/MaxiM</f>
        <v>4.5404451055473344E-4</v>
      </c>
      <c r="AE155" s="305">
        <f t="shared" si="65"/>
        <v>0.5</v>
      </c>
      <c r="AF155" s="177">
        <f t="shared" si="66"/>
        <v>0.14963400607478139</v>
      </c>
      <c r="AG155" s="811">
        <f t="shared" si="74"/>
        <v>2</v>
      </c>
      <c r="AH155" s="176">
        <f t="shared" si="67"/>
        <v>8</v>
      </c>
      <c r="AI155" s="225">
        <f t="shared" si="68"/>
        <v>2.1496340060747814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36.262219088807029</v>
      </c>
      <c r="C156" s="841"/>
      <c r="D156" s="393">
        <f t="shared" si="50"/>
        <v>38.644484268471473</v>
      </c>
      <c r="E156" s="385">
        <f t="shared" si="72"/>
        <v>40.202477626986024</v>
      </c>
      <c r="F156" s="385">
        <f t="shared" si="51"/>
        <v>40.203270670222324</v>
      </c>
      <c r="G156" s="110">
        <f t="shared" si="73"/>
        <v>0.6323877687345244</v>
      </c>
      <c r="H156" s="414" t="b">
        <f>Wh_hp&gt;='2025'!Maxi_hp</f>
        <v>0</v>
      </c>
      <c r="I156" s="390">
        <f>IF(H156,Wh_hp,'2025'!Maxi_hp)</f>
        <v>62.875998222350205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6.1645671426595827E-2</v>
      </c>
      <c r="M156" s="845"/>
      <c r="N156" s="845"/>
      <c r="O156" s="48">
        <f>IF(t&lt;Tnet,'2025'!Resal+('2025'!Salim-'2025'!Resal)*(1-EXP(('2025'!Tnet-t)/('2025'!Tau_j))),Resal+(Salim-Resal)*(1-EXP((Tnet-t)/(Tau_j))))*Salcycl</f>
        <v>3.875366520865229E-2</v>
      </c>
      <c r="P156" s="169">
        <f>(INDEX(Models!$BJ156:$BT156,,T156)*(1-R156)+INDEX(Models!$BJ156:$BT156,,T156+1)*R156-ERP_i)*Q156*Ramure*Pc/MaxiM</f>
        <v>4.1540379556986032E-5</v>
      </c>
      <c r="Q156" s="305">
        <f t="shared" si="53"/>
        <v>0.5</v>
      </c>
      <c r="R156" s="177">
        <f t="shared" si="54"/>
        <v>0.62904703994635791</v>
      </c>
      <c r="S156" s="811">
        <f t="shared" si="55"/>
        <v>-2</v>
      </c>
      <c r="T156" s="176">
        <f t="shared" si="56"/>
        <v>4</v>
      </c>
      <c r="U156" s="251">
        <f t="shared" si="57"/>
        <v>-1.3709529600536421</v>
      </c>
      <c r="V156" s="383">
        <f t="shared" si="58"/>
        <v>57.340495535056455</v>
      </c>
      <c r="W156" s="402">
        <f t="shared" si="59"/>
        <v>36.262219088807029</v>
      </c>
      <c r="X156" s="157">
        <f t="shared" si="60"/>
        <v>46164</v>
      </c>
      <c r="Y156" s="385">
        <f t="shared" si="61"/>
        <v>34.883046806751118</v>
      </c>
      <c r="Z156" s="385">
        <f t="shared" si="62"/>
        <v>37.174706552251322</v>
      </c>
      <c r="AA156" s="386">
        <f t="shared" si="63"/>
        <v>40.194430199276042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7.5127912799199476E-2</v>
      </c>
      <c r="AD156" s="231">
        <f>(INDEX(Models!$BJ156:$BT156,,AH156)*(1-AF156)+INDEX(Models!$BJ156:$BT156,,AH156+1)*AF156-ERP_i)*AE156*Ramure*Pc/MaxiM</f>
        <v>4.630725057105015E-4</v>
      </c>
      <c r="AE156" s="305">
        <f t="shared" si="65"/>
        <v>0.5</v>
      </c>
      <c r="AF156" s="177">
        <f t="shared" si="66"/>
        <v>0.15403460632033683</v>
      </c>
      <c r="AG156" s="811">
        <f t="shared" si="74"/>
        <v>2</v>
      </c>
      <c r="AH156" s="176">
        <f t="shared" si="67"/>
        <v>8</v>
      </c>
      <c r="AI156" s="225">
        <f t="shared" si="68"/>
        <v>2.1540346063203368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18.905705121277816</v>
      </c>
      <c r="C157" s="841"/>
      <c r="D157" s="393">
        <f t="shared" si="50"/>
        <v>20.148166463464996</v>
      </c>
      <c r="E157" s="385">
        <f t="shared" si="72"/>
        <v>20.962595433415526</v>
      </c>
      <c r="F157" s="385">
        <f t="shared" si="51"/>
        <v>20.962631471992836</v>
      </c>
      <c r="G157" s="110">
        <f t="shared" si="73"/>
        <v>0.32955793791767568</v>
      </c>
      <c r="H157" s="414" t="b">
        <f>Wh_hp&gt;='2025'!Maxi_hp</f>
        <v>0</v>
      </c>
      <c r="I157" s="390">
        <f>IF(H157,Wh_hp,'2025'!Maxi_hp)</f>
        <v>58.76828057791041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6.1666223794614505E-2</v>
      </c>
      <c r="M157" s="845"/>
      <c r="N157" s="845"/>
      <c r="O157" s="48">
        <f>IF(t&lt;Tnet,'2025'!Resal+('2025'!Salim-'2025'!Resal)*(1-EXP(('2025'!Tnet-t)/('2025'!Tau_j))),Resal+(Salim-Resal)*(1-EXP((Tnet-t)/(Tau_j))))*Salcycl</f>
        <v>3.8851533081265634E-2</v>
      </c>
      <c r="P157" s="169">
        <f>(INDEX(Models!$BJ157:$BT157,,T157)*(1-R157)+INDEX(Models!$BJ157:$BT157,,T157+1)*R157-ERP_i)*Q157*Ramure*Pc/MaxiM</f>
        <v>4.0696498435996271E-5</v>
      </c>
      <c r="Q157" s="305">
        <f t="shared" si="53"/>
        <v>0.5</v>
      </c>
      <c r="R157" s="177">
        <f t="shared" si="54"/>
        <v>0.63351537127813029</v>
      </c>
      <c r="S157" s="811">
        <f t="shared" si="55"/>
        <v>-2</v>
      </c>
      <c r="T157" s="176">
        <f t="shared" si="56"/>
        <v>4</v>
      </c>
      <c r="U157" s="251">
        <f t="shared" si="57"/>
        <v>-1.3664846287218697</v>
      </c>
      <c r="V157" s="383">
        <f t="shared" si="58"/>
        <v>57.364627129938086</v>
      </c>
      <c r="W157" s="402">
        <f t="shared" si="59"/>
        <v>18.905705121277816</v>
      </c>
      <c r="X157" s="157">
        <f t="shared" si="60"/>
        <v>46165</v>
      </c>
      <c r="Y157" s="385">
        <f t="shared" si="61"/>
        <v>18.190132847095313</v>
      </c>
      <c r="Z157" s="385">
        <f t="shared" si="62"/>
        <v>19.385567596912125</v>
      </c>
      <c r="AA157" s="386">
        <f t="shared" si="63"/>
        <v>20.962216207505719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7.521383211518741E-2</v>
      </c>
      <c r="AD157" s="231">
        <f>(INDEX(Models!$BJ157:$BT157,,AH157)*(1-AF157)+INDEX(Models!$BJ157:$BT157,,AH157+1)*AF157-ERP_i)*AE157*Ramure*Pc/MaxiM</f>
        <v>4.6893667320129943E-4</v>
      </c>
      <c r="AE157" s="305">
        <f t="shared" si="65"/>
        <v>0.5</v>
      </c>
      <c r="AF157" s="177">
        <f t="shared" si="66"/>
        <v>0.15850293765210921</v>
      </c>
      <c r="AG157" s="811">
        <f t="shared" si="74"/>
        <v>2</v>
      </c>
      <c r="AH157" s="176">
        <f t="shared" si="67"/>
        <v>8</v>
      </c>
      <c r="AI157" s="225">
        <f t="shared" si="68"/>
        <v>2.1585029376521092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16.392354735781652</v>
      </c>
      <c r="C158" s="841"/>
      <c r="D158" s="393">
        <f t="shared" si="50"/>
        <v>17.470024200318349</v>
      </c>
      <c r="E158" s="385">
        <f t="shared" si="72"/>
        <v>18.178049823835998</v>
      </c>
      <c r="F158" s="385">
        <f t="shared" si="51"/>
        <v>18.178049823835998</v>
      </c>
      <c r="G158" s="110">
        <f t="shared" si="73"/>
        <v>0.28564177186136069</v>
      </c>
      <c r="H158" s="414" t="b">
        <f>Wh_hp&gt;='2025'!Maxi_hp</f>
        <v>0</v>
      </c>
      <c r="I158" s="390">
        <f>IF(H158,Wh_hp,'2025'!Maxi_hp)</f>
        <v>30.554357090064354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6.1686775712483488E-2</v>
      </c>
      <c r="M158" s="845"/>
      <c r="N158" s="845"/>
      <c r="O158" s="48">
        <f>IF(t&lt;Tnet,'2025'!Resal+('2025'!Salim-'2025'!Resal)*(1-EXP(('2025'!Tnet-t)/('2025'!Tau_j))),Resal+(Salim-Resal)*(1-EXP((Tnet-t)/(Tau_j))))*Salcycl</f>
        <v>3.8949481950987373E-2</v>
      </c>
      <c r="P158" s="169">
        <f>(INDEX(Models!$BJ158:$BT158,,T158)*(1-R158)+INDEX(Models!$BJ158:$BT158,,T158+1)*R158-ERP_i)*Q158*Ramure*Pc/MaxiM</f>
        <v>3.9664982056321645E-5</v>
      </c>
      <c r="Q158" s="305">
        <f t="shared" si="53"/>
        <v>0.5</v>
      </c>
      <c r="R158" s="177">
        <f t="shared" si="54"/>
        <v>0.63804915080895963</v>
      </c>
      <c r="S158" s="811">
        <f t="shared" si="55"/>
        <v>-2</v>
      </c>
      <c r="T158" s="176">
        <f t="shared" si="56"/>
        <v>4</v>
      </c>
      <c r="U158" s="251">
        <f t="shared" si="57"/>
        <v>-1.3619508491910404</v>
      </c>
      <c r="V158" s="383">
        <f t="shared" si="58"/>
        <v>57.385530227284427</v>
      </c>
      <c r="W158" s="402">
        <f t="shared" si="59"/>
        <v>16.392354735781652</v>
      </c>
      <c r="X158" s="157">
        <f t="shared" si="60"/>
        <v>46166</v>
      </c>
      <c r="Y158" s="385">
        <f t="shared" si="61"/>
        <v>15.772336910455433</v>
      </c>
      <c r="Z158" s="385">
        <f t="shared" si="62"/>
        <v>16.809245039077162</v>
      </c>
      <c r="AA158" s="386">
        <f t="shared" si="63"/>
        <v>18.178049823835998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7.5299869789331786E-2</v>
      </c>
      <c r="AD158" s="231">
        <f>(INDEX(Models!$BJ158:$BT158,,AH158)*(1-AF158)+INDEX(Models!$BJ158:$BT158,,AH158+1)*AF158-ERP_i)*AE158*Ramure*Pc/MaxiM</f>
        <v>4.7154993512218214E-4</v>
      </c>
      <c r="AE158" s="305">
        <f t="shared" si="65"/>
        <v>0.5</v>
      </c>
      <c r="AF158" s="177">
        <f t="shared" si="66"/>
        <v>0.16303671718293877</v>
      </c>
      <c r="AG158" s="811">
        <f t="shared" si="74"/>
        <v>2</v>
      </c>
      <c r="AH158" s="176">
        <f t="shared" si="67"/>
        <v>8</v>
      </c>
      <c r="AI158" s="225">
        <f t="shared" si="68"/>
        <v>2.1630367171829388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38.447477747361965</v>
      </c>
      <c r="C159" s="841"/>
      <c r="D159" s="393">
        <f t="shared" si="50"/>
        <v>40.975997000827448</v>
      </c>
      <c r="E159" s="385">
        <f t="shared" si="72"/>
        <v>42.641021422538756</v>
      </c>
      <c r="F159" s="385">
        <f t="shared" si="51"/>
        <v>42.641887265722858</v>
      </c>
      <c r="G159" s="110">
        <f t="shared" si="73"/>
        <v>0.66976484384271595</v>
      </c>
      <c r="H159" s="414" t="b">
        <f>Wh_hp&gt;='2025'!Maxi_hp</f>
        <v>0</v>
      </c>
      <c r="I159" s="390">
        <f>IF(H159,Wh_hp,'2025'!Maxi_hp)</f>
        <v>59.691953884707942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6.1707327180212879E-2</v>
      </c>
      <c r="M159" s="845"/>
      <c r="N159" s="845"/>
      <c r="O159" s="48">
        <f>IF(t&lt;Tnet,'2025'!Resal+('2025'!Salim-'2025'!Resal)*(1-EXP(('2025'!Tnet-t)/('2025'!Tau_j))),Resal+(Salim-Resal)*(1-EXP((Tnet-t)/(Tau_j))))*Salcycl</f>
        <v>3.90474797780343E-2</v>
      </c>
      <c r="P159" s="169">
        <f>(INDEX(Models!$BJ159:$BT159,,T159)*(1-R159)+INDEX(Models!$BJ159:$BT159,,T159+1)*R159-ERP_i)*Q159*Ramure*Pc/MaxiM</f>
        <v>3.843801774279298E-5</v>
      </c>
      <c r="Q159" s="305">
        <f t="shared" si="53"/>
        <v>0.5</v>
      </c>
      <c r="R159" s="177">
        <f t="shared" si="54"/>
        <v>0.64264591622667688</v>
      </c>
      <c r="S159" s="811">
        <f t="shared" si="55"/>
        <v>-2</v>
      </c>
      <c r="T159" s="176">
        <f t="shared" si="56"/>
        <v>4</v>
      </c>
      <c r="U159" s="251">
        <f t="shared" si="57"/>
        <v>-1.3573540837733231</v>
      </c>
      <c r="V159" s="383">
        <f t="shared" si="58"/>
        <v>57.403401981389237</v>
      </c>
      <c r="W159" s="402">
        <f t="shared" si="59"/>
        <v>38.447477747361965</v>
      </c>
      <c r="X159" s="157">
        <f t="shared" si="60"/>
        <v>46167</v>
      </c>
      <c r="Y159" s="385">
        <f t="shared" si="61"/>
        <v>36.985133922451602</v>
      </c>
      <c r="Z159" s="385">
        <f t="shared" si="62"/>
        <v>39.417481340126741</v>
      </c>
      <c r="AA159" s="386">
        <f t="shared" si="63"/>
        <v>42.631281583627263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7.5385963642594325E-2</v>
      </c>
      <c r="AD159" s="231">
        <f>(INDEX(Models!$BJ159:$BT159,,AH159)*(1-AF159)+INDEX(Models!$BJ159:$BT159,,AH159+1)*AF159-ERP_i)*AE159*Ramure*Pc/MaxiM</f>
        <v>4.7082590017450597E-4</v>
      </c>
      <c r="AE159" s="305">
        <f t="shared" si="65"/>
        <v>0.5</v>
      </c>
      <c r="AF159" s="177">
        <f t="shared" si="66"/>
        <v>0.1676334826006558</v>
      </c>
      <c r="AG159" s="811">
        <f t="shared" si="74"/>
        <v>2</v>
      </c>
      <c r="AH159" s="176">
        <f t="shared" si="67"/>
        <v>8</v>
      </c>
      <c r="AI159" s="225">
        <f t="shared" si="68"/>
        <v>2.1676334826006558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23.312525100698203</v>
      </c>
      <c r="C160" s="841"/>
      <c r="D160" s="393">
        <f t="shared" si="50"/>
        <v>24.846230170326951</v>
      </c>
      <c r="E160" s="385">
        <f t="shared" si="72"/>
        <v>25.858472859680994</v>
      </c>
      <c r="F160" s="385">
        <f t="shared" si="51"/>
        <v>25.858617786923503</v>
      </c>
      <c r="G160" s="110">
        <f t="shared" si="73"/>
        <v>0.40599837288039697</v>
      </c>
      <c r="H160" s="414" t="b">
        <f>Wh_hp&gt;='2025'!Maxi_hp</f>
        <v>0</v>
      </c>
      <c r="I160" s="390">
        <f>IF(H160,Wh_hp,'2025'!Maxi_hp)</f>
        <v>61.991403277896538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6.1727878197812225E-2</v>
      </c>
      <c r="M160" s="845"/>
      <c r="N160" s="845"/>
      <c r="O160" s="48">
        <f>IF(t&lt;Tnet,'2025'!Resal+('2025'!Salim-'2025'!Resal)*(1-EXP(('2025'!Tnet-t)/('2025'!Tau_j))),Resal+(Salim-Resal)*(1-EXP((Tnet-t)/(Tau_j))))*Salcycl</f>
        <v>3.9145493813455244E-2</v>
      </c>
      <c r="P160" s="169">
        <f>(INDEX(Models!$BJ160:$BT160,,T160)*(1-R160)+INDEX(Models!$BJ160:$BT160,,T160+1)*R160-ERP_i)*Q160*Ramure*Pc/MaxiM</f>
        <v>3.7007634594172919E-5</v>
      </c>
      <c r="Q160" s="305">
        <f t="shared" si="53"/>
        <v>0.5</v>
      </c>
      <c r="R160" s="177">
        <f t="shared" si="54"/>
        <v>0.64730302856750921</v>
      </c>
      <c r="S160" s="811">
        <f t="shared" si="55"/>
        <v>-2</v>
      </c>
      <c r="T160" s="176">
        <f t="shared" si="56"/>
        <v>4</v>
      </c>
      <c r="U160" s="251">
        <f t="shared" si="57"/>
        <v>-1.3526969714324908</v>
      </c>
      <c r="V160" s="383">
        <f t="shared" si="58"/>
        <v>57.418439505569964</v>
      </c>
      <c r="W160" s="402">
        <f t="shared" si="59"/>
        <v>23.312525100698203</v>
      </c>
      <c r="X160" s="157">
        <f t="shared" si="60"/>
        <v>46168</v>
      </c>
      <c r="Y160" s="385">
        <f t="shared" si="61"/>
        <v>22.429700233805907</v>
      </c>
      <c r="Z160" s="385">
        <f t="shared" si="62"/>
        <v>23.905325238401012</v>
      </c>
      <c r="AA160" s="386">
        <f t="shared" si="63"/>
        <v>25.856790214441371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7.5472050469374996E-2</v>
      </c>
      <c r="AD160" s="231">
        <f>(INDEX(Models!$BJ160:$BT160,,AH160)*(1-AF160)+INDEX(Models!$BJ160:$BT160,,AH160+1)*AF160-ERP_i)*AE160*Ramure*Pc/MaxiM</f>
        <v>4.666764746332315E-4</v>
      </c>
      <c r="AE160" s="305">
        <f t="shared" si="65"/>
        <v>0.5</v>
      </c>
      <c r="AF160" s="177">
        <f t="shared" si="66"/>
        <v>0.17229059494148791</v>
      </c>
      <c r="AG160" s="811">
        <f t="shared" si="74"/>
        <v>2</v>
      </c>
      <c r="AH160" s="176">
        <f t="shared" si="67"/>
        <v>8</v>
      </c>
      <c r="AI160" s="225">
        <f t="shared" si="68"/>
        <v>2.1722905949414879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43.363692945682409</v>
      </c>
      <c r="C161" s="841"/>
      <c r="D161" s="393">
        <f t="shared" si="50"/>
        <v>46.217554305416414</v>
      </c>
      <c r="E161" s="385">
        <f t="shared" si="72"/>
        <v>48.105377229351298</v>
      </c>
      <c r="F161" s="385">
        <f t="shared" si="51"/>
        <v>48.106483232180167</v>
      </c>
      <c r="G161" s="110">
        <f t="shared" si="73"/>
        <v>0.75505001165751129</v>
      </c>
      <c r="H161" s="414" t="b">
        <f>Wh_hp&gt;='2025'!Maxi_hp</f>
        <v>0</v>
      </c>
      <c r="I161" s="390">
        <f>IF(H161,Wh_hp,'2025'!Maxi_hp)</f>
        <v>62.096546618278133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6.174842876529163E-2</v>
      </c>
      <c r="M161" s="845"/>
      <c r="N161" s="845"/>
      <c r="O161" s="48">
        <f>IF(t&lt;Tnet,'2025'!Resal+('2025'!Salim-'2025'!Resal)*(1-EXP(('2025'!Tnet-t)/('2025'!Tau_j))),Resal+(Salim-Resal)*(1-EXP((Tnet-t)/(Tau_j))))*Salcycl</f>
        <v>3.9243490700308581E-2</v>
      </c>
      <c r="P161" s="169">
        <f>(INDEX(Models!$BJ161:$BT161,,T161)*(1-R161)+INDEX(Models!$BJ161:$BT161,,T161+1)*R161-ERP_i)*Q161*Ramure*Pc/MaxiM</f>
        <v>3.5365729488727059E-5</v>
      </c>
      <c r="Q161" s="305">
        <f t="shared" si="53"/>
        <v>0.5</v>
      </c>
      <c r="R161" s="177">
        <f t="shared" si="54"/>
        <v>0.65201767595848503</v>
      </c>
      <c r="S161" s="811">
        <f t="shared" si="55"/>
        <v>-2</v>
      </c>
      <c r="T161" s="176">
        <f t="shared" si="56"/>
        <v>4</v>
      </c>
      <c r="U161" s="251">
        <f t="shared" si="57"/>
        <v>-1.347982324041515</v>
      </c>
      <c r="V161" s="383">
        <f t="shared" si="58"/>
        <v>57.430839862076688</v>
      </c>
      <c r="W161" s="402">
        <f t="shared" si="59"/>
        <v>43.363692945682409</v>
      </c>
      <c r="X161" s="157">
        <f t="shared" si="60"/>
        <v>46169</v>
      </c>
      <c r="Y161" s="385">
        <f t="shared" si="61"/>
        <v>41.713145062677739</v>
      </c>
      <c r="Z161" s="385">
        <f t="shared" si="62"/>
        <v>44.458380184521943</v>
      </c>
      <c r="AA161" s="386">
        <f t="shared" si="63"/>
        <v>48.09212840830758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7.5558066237674207E-2</v>
      </c>
      <c r="AD161" s="231">
        <f>(INDEX(Models!$BJ161:$BT161,,AH161)*(1-AF161)+INDEX(Models!$BJ161:$BT161,,AH161+1)*AF161-ERP_i)*AE161*Ramure*Pc/MaxiM</f>
        <v>4.5901222373588617E-4</v>
      </c>
      <c r="AE161" s="305">
        <f t="shared" si="65"/>
        <v>0.5</v>
      </c>
      <c r="AF161" s="177">
        <f t="shared" si="66"/>
        <v>0.17700524233246373</v>
      </c>
      <c r="AG161" s="811">
        <f t="shared" si="74"/>
        <v>2</v>
      </c>
      <c r="AH161" s="176">
        <f t="shared" si="67"/>
        <v>8</v>
      </c>
      <c r="AI161" s="225">
        <f t="shared" si="68"/>
        <v>2.1770052423324637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52.249039852992517</v>
      </c>
      <c r="C162" s="841"/>
      <c r="D162" s="393">
        <f t="shared" si="50"/>
        <v>55.68888544184901</v>
      </c>
      <c r="E162" s="385">
        <f t="shared" si="72"/>
        <v>57.969488393085967</v>
      </c>
      <c r="F162" s="385">
        <f t="shared" si="51"/>
        <v>57.971179877360498</v>
      </c>
      <c r="G162" s="110">
        <f t="shared" si="73"/>
        <v>0.90961152638656384</v>
      </c>
      <c r="H162" s="414" t="b">
        <f>Wh_hp&gt;='2025'!Maxi_hp</f>
        <v>0</v>
      </c>
      <c r="I162" s="390">
        <f>IF(H162,Wh_hp,'2025'!Maxi_hp)</f>
        <v>61.293375317013549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6.1768978882660863E-2</v>
      </c>
      <c r="M162" s="845"/>
      <c r="N162" s="845"/>
      <c r="O162" s="48">
        <f>IF(t&lt;Tnet,'2025'!Resal+('2025'!Salim-'2025'!Resal)*(1-EXP(('2025'!Tnet-t)/('2025'!Tau_j))),Resal+(Salim-Resal)*(1-EXP((Tnet-t)/(Tau_j))))*Salcycl</f>
        <v>3.934143658078184E-2</v>
      </c>
      <c r="P162" s="169">
        <f>(INDEX(Models!$BJ162:$BT162,,T162)*(1-R162)+INDEX(Models!$BJ162:$BT162,,T162+1)*R162-ERP_i)*Q162*Ramure*Pc/MaxiM</f>
        <v>3.3504095013340074E-5</v>
      </c>
      <c r="Q162" s="305">
        <f t="shared" si="53"/>
        <v>0.5</v>
      </c>
      <c r="R162" s="177">
        <f t="shared" si="54"/>
        <v>0.65678687834002725</v>
      </c>
      <c r="S162" s="811">
        <f t="shared" si="55"/>
        <v>-2</v>
      </c>
      <c r="T162" s="176">
        <f t="shared" si="56"/>
        <v>4</v>
      </c>
      <c r="U162" s="251">
        <f t="shared" si="57"/>
        <v>-1.3432131216599728</v>
      </c>
      <c r="V162" s="383">
        <f t="shared" si="58"/>
        <v>57.440800053090605</v>
      </c>
      <c r="W162" s="402">
        <f t="shared" si="59"/>
        <v>52.249039852992517</v>
      </c>
      <c r="X162" s="157">
        <f t="shared" si="60"/>
        <v>46170</v>
      </c>
      <c r="Y162" s="385">
        <f t="shared" si="61"/>
        <v>50.256453738047611</v>
      </c>
      <c r="Z162" s="385">
        <f t="shared" si="62"/>
        <v>53.565116274025144</v>
      </c>
      <c r="AA162" s="386">
        <f t="shared" si="63"/>
        <v>57.948575183295077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7.5643946299020562E-2</v>
      </c>
      <c r="AD162" s="231">
        <f>(INDEX(Models!$BJ162:$BT162,,AH162)*(1-AF162)+INDEX(Models!$BJ162:$BT162,,AH162+1)*AF162-ERP_i)*AE162*Ramure*Pc/MaxiM</f>
        <v>4.4774274825900385E-4</v>
      </c>
      <c r="AE162" s="305">
        <f t="shared" si="65"/>
        <v>0.5</v>
      </c>
      <c r="AF162" s="177">
        <f t="shared" si="66"/>
        <v>0.18177444471400639</v>
      </c>
      <c r="AG162" s="811">
        <f t="shared" si="74"/>
        <v>2</v>
      </c>
      <c r="AH162" s="176">
        <f t="shared" si="67"/>
        <v>8</v>
      </c>
      <c r="AI162" s="225">
        <f t="shared" si="68"/>
        <v>2.1817744447140064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56.314099397816115</v>
      </c>
      <c r="C163" s="841"/>
      <c r="D163" s="393">
        <f t="shared" si="50"/>
        <v>60.022885174985007</v>
      </c>
      <c r="E163" s="385">
        <f t="shared" si="72"/>
        <v>62.48734202905333</v>
      </c>
      <c r="F163" s="385">
        <f t="shared" si="51"/>
        <v>62.489249739453903</v>
      </c>
      <c r="G163" s="110">
        <f t="shared" si="73"/>
        <v>0.98025712685525301</v>
      </c>
      <c r="H163" s="414" t="b">
        <f>Wh_hp&gt;='2025'!Maxi_hp</f>
        <v>0</v>
      </c>
      <c r="I163" s="390">
        <f>IF(H163,Wh_hp,'2025'!Maxi_hp)</f>
        <v>62.489291504318835</v>
      </c>
      <c r="J163" s="85">
        <f>IF(H163,An,'2025'!An_max)</f>
        <v>2025</v>
      </c>
      <c r="K163" s="197">
        <f t="shared" si="52"/>
        <v>46171</v>
      </c>
      <c r="L163" s="147">
        <f>IF(t&lt;Tvie,1-EXP((T0-t)*PertePVj)+'2025'!Pspv,1-EXP((T0-t)*PertePVj)+Pspv)</f>
        <v>6.1789528549929806E-2</v>
      </c>
      <c r="M163" s="845"/>
      <c r="N163" s="845"/>
      <c r="O163" s="48">
        <f>IF(t&lt;Tnet,'2025'!Resal+('2025'!Salim-'2025'!Resal)*(1-EXP(('2025'!Tnet-t)/('2025'!Tau_j))),Resal+(Salim-Resal)*(1-EXP((Tnet-t)/(Tau_j))))*Salcycl</f>
        <v>3.9439297208744818E-2</v>
      </c>
      <c r="P163" s="169">
        <f>(INDEX(Models!$BJ163:$BT163,,T163)*(1-R163)+INDEX(Models!$BJ163:$BT163,,T163+1)*R163-ERP_i)*Q163*Ramure*Pc/MaxiM</f>
        <v>3.1414599117511672E-5</v>
      </c>
      <c r="Q163" s="305">
        <f t="shared" si="53"/>
        <v>0.5</v>
      </c>
      <c r="R163" s="177">
        <f t="shared" si="54"/>
        <v>0.66160749317124923</v>
      </c>
      <c r="S163" s="811">
        <f t="shared" si="55"/>
        <v>-2</v>
      </c>
      <c r="T163" s="176">
        <f t="shared" si="56"/>
        <v>4</v>
      </c>
      <c r="U163" s="251">
        <f t="shared" si="57"/>
        <v>-1.3383925068287508</v>
      </c>
      <c r="V163" s="383">
        <f t="shared" si="58"/>
        <v>57.448242874493431</v>
      </c>
      <c r="W163" s="402">
        <f t="shared" si="59"/>
        <v>56.314099397816115</v>
      </c>
      <c r="X163" s="157">
        <f t="shared" si="60"/>
        <v>46171</v>
      </c>
      <c r="Y163" s="385">
        <f t="shared" si="61"/>
        <v>54.165396667245616</v>
      </c>
      <c r="Z163" s="385">
        <f t="shared" si="62"/>
        <v>57.732671202794393</v>
      </c>
      <c r="AA163" s="386">
        <f t="shared" si="63"/>
        <v>62.462968415184825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7.5729625607105902E-2</v>
      </c>
      <c r="AD163" s="231">
        <f>(INDEX(Models!$BJ163:$BT163,,AH163)*(1-AF163)+INDEX(Models!$BJ163:$BT163,,AH163+1)*AF163-ERP_i)*AE163*Ramure*Pc/MaxiM</f>
        <v>4.3277913982131208E-4</v>
      </c>
      <c r="AE163" s="305">
        <f t="shared" si="65"/>
        <v>0.5</v>
      </c>
      <c r="AF163" s="177">
        <f t="shared" si="66"/>
        <v>0.18659505954522837</v>
      </c>
      <c r="AG163" s="811">
        <f t="shared" si="74"/>
        <v>2</v>
      </c>
      <c r="AH163" s="176">
        <f t="shared" si="67"/>
        <v>8</v>
      </c>
      <c r="AI163" s="225">
        <f t="shared" si="68"/>
        <v>2.1865950595452284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47.955296611825446</v>
      </c>
      <c r="C164" s="841"/>
      <c r="D164" s="393">
        <f t="shared" si="50"/>
        <v>51.114700206640308</v>
      </c>
      <c r="E164" s="385">
        <f t="shared" si="72"/>
        <v>53.218814501474611</v>
      </c>
      <c r="F164" s="385">
        <f t="shared" si="51"/>
        <v>53.220002628795982</v>
      </c>
      <c r="G164" s="110">
        <f t="shared" si="73"/>
        <v>0.83468326484115618</v>
      </c>
      <c r="H164" s="414" t="b">
        <f>Wh_hp&gt;='2025'!Maxi_hp</f>
        <v>0</v>
      </c>
      <c r="I164" s="390">
        <f>IF(H164,Wh_hp,'2025'!Maxi_hp)</f>
        <v>57.223999787813696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6.1810077767108229E-2</v>
      </c>
      <c r="M164" s="845"/>
      <c r="N164" s="845"/>
      <c r="O164" s="48">
        <f>IF(t&lt;Tnet,'2025'!Resal+('2025'!Salim-'2025'!Resal)*(1-EXP(('2025'!Tnet-t)/('2025'!Tau_j))),Resal+(Salim-Resal)*(1-EXP((Tnet-t)/(Tau_j))))*Salcycl</f>
        <v>3.9537038067166991E-2</v>
      </c>
      <c r="P164" s="169">
        <f>(INDEX(Models!$BJ164:$BT164,,T164)*(1-R164)+INDEX(Models!$BJ164:$BT164,,T164+1)*R164-ERP_i)*Q164*Ramure*Pc/MaxiM</f>
        <v>2.9227041770193132E-5</v>
      </c>
      <c r="Q164" s="305">
        <f t="shared" si="53"/>
        <v>0.5</v>
      </c>
      <c r="R164" s="177">
        <f t="shared" si="54"/>
        <v>0.66647622211133695</v>
      </c>
      <c r="S164" s="811">
        <f t="shared" si="55"/>
        <v>-2</v>
      </c>
      <c r="T164" s="176">
        <f t="shared" si="56"/>
        <v>4</v>
      </c>
      <c r="U164" s="251">
        <f t="shared" si="57"/>
        <v>-1.3335237778886631</v>
      </c>
      <c r="V164" s="383">
        <f t="shared" si="58"/>
        <v>57.452889768645363</v>
      </c>
      <c r="W164" s="402">
        <f t="shared" si="59"/>
        <v>47.955296611825446</v>
      </c>
      <c r="X164" s="157">
        <f t="shared" si="60"/>
        <v>46172</v>
      </c>
      <c r="Y164" s="385">
        <f t="shared" si="61"/>
        <v>46.130360928957629</v>
      </c>
      <c r="Z164" s="385">
        <f t="shared" si="62"/>
        <v>49.169533626163222</v>
      </c>
      <c r="AA164" s="386">
        <f t="shared" si="63"/>
        <v>53.203131081010973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7.5815038943965601E-2</v>
      </c>
      <c r="AD164" s="231">
        <f>(INDEX(Models!$BJ164:$BT164,,AH164)*(1-AF164)+INDEX(Models!$BJ164:$BT164,,AH164+1)*AF164-ERP_i)*AE164*Ramure*Pc/MaxiM</f>
        <v>4.1502743264208605E-4</v>
      </c>
      <c r="AE164" s="305">
        <f t="shared" si="65"/>
        <v>0.5</v>
      </c>
      <c r="AF164" s="177">
        <f t="shared" si="66"/>
        <v>0.19146378848531587</v>
      </c>
      <c r="AG164" s="811">
        <f t="shared" si="74"/>
        <v>2</v>
      </c>
      <c r="AH164" s="176">
        <f t="shared" si="67"/>
        <v>8</v>
      </c>
      <c r="AI164" s="225">
        <f t="shared" si="68"/>
        <v>2.1914637884853159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50.927541764116626</v>
      </c>
      <c r="C165" s="841"/>
      <c r="D165" s="393">
        <f t="shared" si="50"/>
        <v>54.283952561763591</v>
      </c>
      <c r="E165" s="385">
        <f t="shared" si="72"/>
        <v>56.524270809871069</v>
      </c>
      <c r="F165" s="385">
        <f t="shared" si="51"/>
        <v>56.525558655742614</v>
      </c>
      <c r="G165" s="110">
        <f t="shared" si="73"/>
        <v>0.88639183365543095</v>
      </c>
      <c r="H165" s="414" t="b">
        <f>Wh_hp&gt;='2025'!Maxi_hp</f>
        <v>0</v>
      </c>
      <c r="I165" s="390">
        <f>IF(H165,Wh_hp,'2025'!Maxi_hp)</f>
        <v>63.126585406149495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6.1830626534206123E-2</v>
      </c>
      <c r="M165" s="845"/>
      <c r="N165" s="845"/>
      <c r="O165" s="48">
        <f>IF(t&lt;Tnet,'2025'!Resal+('2025'!Salim-'2025'!Resal)*(1-EXP(('2025'!Tnet-t)/('2025'!Tau_j))),Resal+(Salim-Resal)*(1-EXP((Tnet-t)/(Tau_j))))*Salcycl</f>
        <v>3.9634624489773111E-2</v>
      </c>
      <c r="P165" s="169">
        <f>(INDEX(Models!$BJ165:$BT165,,T165)*(1-R165)+INDEX(Models!$BJ165:$BT165,,T165+1)*R165-ERP_i)*Q165*Ramure*Pc/MaxiM</f>
        <v>2.7197329046971142E-5</v>
      </c>
      <c r="Q165" s="305">
        <f t="shared" si="53"/>
        <v>0.5</v>
      </c>
      <c r="R165" s="177">
        <f t="shared" si="54"/>
        <v>0.67138961866096358</v>
      </c>
      <c r="S165" s="811">
        <f t="shared" si="55"/>
        <v>-2</v>
      </c>
      <c r="T165" s="176">
        <f t="shared" si="56"/>
        <v>4</v>
      </c>
      <c r="U165" s="251">
        <f t="shared" si="57"/>
        <v>-1.3286103813390364</v>
      </c>
      <c r="V165" s="383">
        <f t="shared" si="58"/>
        <v>57.45463240532321</v>
      </c>
      <c r="W165" s="402">
        <f t="shared" si="59"/>
        <v>50.927541764116626</v>
      </c>
      <c r="X165" s="157">
        <f t="shared" si="60"/>
        <v>46173</v>
      </c>
      <c r="Y165" s="385">
        <f t="shared" si="61"/>
        <v>48.989242128319468</v>
      </c>
      <c r="Z165" s="385">
        <f t="shared" si="62"/>
        <v>52.217908102609407</v>
      </c>
      <c r="AA165" s="386">
        <f t="shared" si="63"/>
        <v>56.506779513628359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7.5900121152446154E-2</v>
      </c>
      <c r="AD165" s="231">
        <f>(INDEX(Models!$BJ165:$BT165,,AH165)*(1-AF165)+INDEX(Models!$BJ165:$BT165,,AH165+1)*AF165-ERP_i)*AE165*Ramure*Pc/MaxiM</f>
        <v>3.9658667126553577E-4</v>
      </c>
      <c r="AE165" s="305">
        <f t="shared" si="65"/>
        <v>0.5</v>
      </c>
      <c r="AF165" s="177">
        <f t="shared" si="66"/>
        <v>0.1963771850349425</v>
      </c>
      <c r="AG165" s="811">
        <f t="shared" si="74"/>
        <v>2</v>
      </c>
      <c r="AH165" s="176">
        <f t="shared" si="67"/>
        <v>8</v>
      </c>
      <c r="AI165" s="225">
        <f t="shared" si="68"/>
        <v>2.1963771850349425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53.204854130800037</v>
      </c>
      <c r="C166" s="841"/>
      <c r="D166" s="393">
        <f t="shared" si="50"/>
        <v>56.712594744616439</v>
      </c>
      <c r="E166" s="385">
        <f t="shared" si="72"/>
        <v>59.059133524488992</v>
      </c>
      <c r="F166" s="385">
        <f t="shared" si="51"/>
        <v>59.060471650225324</v>
      </c>
      <c r="G166" s="110">
        <f t="shared" si="73"/>
        <v>0.92605021210736327</v>
      </c>
      <c r="H166" s="414" t="b">
        <f>Wh_hp&gt;='2025'!Maxi_hp</f>
        <v>0</v>
      </c>
      <c r="I166" s="390">
        <f>IF(H166,Wh_hp,'2025'!Maxi_hp)</f>
        <v>64.729267905613341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6.1851174851233259E-2</v>
      </c>
      <c r="M166" s="845"/>
      <c r="N166" s="845"/>
      <c r="O166" s="48">
        <f>IF(t&lt;Tnet,'2025'!Resal+('2025'!Salim-'2025'!Resal)*(1-EXP(('2025'!Tnet-t)/('2025'!Tau_j))),Resal+(Salim-Resal)*(1-EXP((Tnet-t)/(Tau_j))))*Salcycl</f>
        <v>3.9732021786258565E-2</v>
      </c>
      <c r="P166" s="169">
        <f>(INDEX(Models!$BJ166:$BT166,,T166)*(1-R166)+INDEX(Models!$BJ166:$BT166,,T166+1)*R166-ERP_i)*Q166*Ramure*Pc/MaxiM</f>
        <v>2.533303169717945E-5</v>
      </c>
      <c r="Q166" s="305">
        <f t="shared" si="53"/>
        <v>0.5</v>
      </c>
      <c r="R166" s="177">
        <f t="shared" si="54"/>
        <v>0.67634409673804585</v>
      </c>
      <c r="S166" s="811">
        <f t="shared" si="55"/>
        <v>-2</v>
      </c>
      <c r="T166" s="176">
        <f t="shared" si="56"/>
        <v>4</v>
      </c>
      <c r="U166" s="251">
        <f t="shared" si="57"/>
        <v>-1.3236559032619541</v>
      </c>
      <c r="V166" s="383">
        <f t="shared" si="58"/>
        <v>57.453376768829401</v>
      </c>
      <c r="W166" s="402">
        <f t="shared" si="59"/>
        <v>53.204854130800037</v>
      </c>
      <c r="X166" s="157">
        <f t="shared" si="60"/>
        <v>46174</v>
      </c>
      <c r="Y166" s="385">
        <f t="shared" si="61"/>
        <v>51.180100929848351</v>
      </c>
      <c r="Z166" s="385">
        <f t="shared" si="62"/>
        <v>54.554351674141337</v>
      </c>
      <c r="AA166" s="386">
        <f t="shared" si="63"/>
        <v>59.040535382408819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7.5984807373615779E-2</v>
      </c>
      <c r="AD166" s="231">
        <f>(INDEX(Models!$BJ166:$BT166,,AH166)*(1-AF166)+INDEX(Models!$BJ166:$BT166,,AH166+1)*AF166-ERP_i)*AE166*Ramure*Pc/MaxiM</f>
        <v>3.7742798812298004E-4</v>
      </c>
      <c r="AE166" s="305">
        <f t="shared" si="65"/>
        <v>0.5</v>
      </c>
      <c r="AF166" s="177">
        <f t="shared" si="66"/>
        <v>0.20133166311202499</v>
      </c>
      <c r="AG166" s="811">
        <f t="shared" si="74"/>
        <v>2</v>
      </c>
      <c r="AH166" s="176">
        <f t="shared" si="67"/>
        <v>8</v>
      </c>
      <c r="AI166" s="225">
        <f t="shared" si="68"/>
        <v>2.201331663112025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42.740375992917087</v>
      </c>
      <c r="C167" s="841"/>
      <c r="D167" s="393">
        <f t="shared" si="50"/>
        <v>45.559202326526268</v>
      </c>
      <c r="E167" s="385">
        <f t="shared" si="72"/>
        <v>47.449060216008625</v>
      </c>
      <c r="F167" s="385">
        <f t="shared" si="51"/>
        <v>47.449771714039322</v>
      </c>
      <c r="G167" s="110">
        <f t="shared" si="73"/>
        <v>0.74396394930845489</v>
      </c>
      <c r="H167" s="414" t="b">
        <f>Wh_hp&gt;='2025'!Maxi_hp</f>
        <v>0</v>
      </c>
      <c r="I167" s="390">
        <f>IF(H167,Wh_hp,'2025'!Maxi_hp)</f>
        <v>63.739845271535835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6.1871722718199518E-2</v>
      </c>
      <c r="M167" s="845"/>
      <c r="N167" s="845"/>
      <c r="O167" s="48">
        <f>IF(t&lt;Tnet,'2025'!Resal+('2025'!Salim-'2025'!Resal)*(1-EXP(('2025'!Tnet-t)/('2025'!Tau_j))),Resal+(Salim-Resal)*(1-EXP((Tnet-t)/(Tau_j))))*Salcycl</f>
        <v>3.9829195370338362E-2</v>
      </c>
      <c r="P167" s="169">
        <f>(INDEX(Models!$BJ167:$BT167,,T167)*(1-R167)+INDEX(Models!$BJ167:$BT167,,T167+1)*R167-ERP_i)*Q167*Ramure*Pc/MaxiM</f>
        <v>2.3641967491212127E-5</v>
      </c>
      <c r="Q167" s="305">
        <f t="shared" si="53"/>
        <v>0.5</v>
      </c>
      <c r="R167" s="177">
        <f t="shared" si="54"/>
        <v>0.68133594015245835</v>
      </c>
      <c r="S167" s="811">
        <f t="shared" si="55"/>
        <v>-2</v>
      </c>
      <c r="T167" s="176">
        <f t="shared" si="56"/>
        <v>4</v>
      </c>
      <c r="U167" s="251">
        <f t="shared" si="57"/>
        <v>-1.3186640598475416</v>
      </c>
      <c r="V167" s="383">
        <f t="shared" si="58"/>
        <v>57.449028870669039</v>
      </c>
      <c r="W167" s="402">
        <f t="shared" si="59"/>
        <v>42.740375992917087</v>
      </c>
      <c r="X167" s="157">
        <f t="shared" si="60"/>
        <v>46175</v>
      </c>
      <c r="Y167" s="385">
        <f t="shared" si="61"/>
        <v>41.118511742378331</v>
      </c>
      <c r="Z167" s="385">
        <f t="shared" si="62"/>
        <v>43.830372389496702</v>
      </c>
      <c r="AA167" s="386">
        <f t="shared" si="63"/>
        <v>47.43901218665917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7.6069033287697499E-2</v>
      </c>
      <c r="AD167" s="231">
        <f>(INDEX(Models!$BJ167:$BT167,,AH167)*(1-AF167)+INDEX(Models!$BJ167:$BT167,,AH167+1)*AF167-ERP_i)*AE167*Ramure*Pc/MaxiM</f>
        <v>3.5752227773976715E-4</v>
      </c>
      <c r="AE167" s="305">
        <f t="shared" si="65"/>
        <v>0.5</v>
      </c>
      <c r="AF167" s="177">
        <f t="shared" si="66"/>
        <v>0.20632350652643749</v>
      </c>
      <c r="AG167" s="811">
        <f t="shared" si="74"/>
        <v>2</v>
      </c>
      <c r="AH167" s="176">
        <f t="shared" si="67"/>
        <v>8</v>
      </c>
      <c r="AI167" s="225">
        <f t="shared" si="68"/>
        <v>2.2063235065264375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52.087119511077496</v>
      </c>
      <c r="C168" s="841"/>
      <c r="D168" s="393">
        <f t="shared" si="50"/>
        <v>55.52360123775928</v>
      </c>
      <c r="E168" s="385">
        <f t="shared" si="72"/>
        <v>57.832633370773479</v>
      </c>
      <c r="F168" s="385">
        <f t="shared" si="51"/>
        <v>57.833742910355213</v>
      </c>
      <c r="G168" s="110">
        <f t="shared" si="73"/>
        <v>0.90678291420436097</v>
      </c>
      <c r="H168" s="414" t="b">
        <f>Wh_hp&gt;='2025'!Maxi_hp</f>
        <v>0</v>
      </c>
      <c r="I168" s="390">
        <f>IF(H168,Wh_hp,'2025'!Maxi_hp)</f>
        <v>57.833866819527671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6.1892270135114669E-2</v>
      </c>
      <c r="M168" s="845"/>
      <c r="N168" s="845"/>
      <c r="O168" s="48">
        <f>IF(t&lt;Tnet,'2025'!Resal+('2025'!Salim-'2025'!Resal)*(1-EXP(('2025'!Tnet-t)/('2025'!Tau_j))),Resal+(Salim-Resal)*(1-EXP((Tnet-t)/(Tau_j))))*Salcycl</f>
        <v>3.9926110889861269E-2</v>
      </c>
      <c r="P168" s="169">
        <f>(INDEX(Models!$BJ168:$BT168,,T168)*(1-R168)+INDEX(Models!$BJ168:$BT168,,T168+1)*R168-ERP_i)*Q168*Ramure*Pc/MaxiM</f>
        <v>2.2132184582371615E-5</v>
      </c>
      <c r="Q168" s="305">
        <f t="shared" si="53"/>
        <v>0.5</v>
      </c>
      <c r="R168" s="177">
        <f t="shared" si="54"/>
        <v>0.68636131293473035</v>
      </c>
      <c r="S168" s="811">
        <f t="shared" si="55"/>
        <v>-2</v>
      </c>
      <c r="T168" s="176">
        <f t="shared" si="56"/>
        <v>4</v>
      </c>
      <c r="U168" s="251">
        <f t="shared" si="57"/>
        <v>-1.3136386870652697</v>
      </c>
      <c r="V168" s="383">
        <f t="shared" si="58"/>
        <v>57.441494740536179</v>
      </c>
      <c r="W168" s="402">
        <f t="shared" si="59"/>
        <v>52.087119511077496</v>
      </c>
      <c r="X168" s="157">
        <f t="shared" si="60"/>
        <v>46176</v>
      </c>
      <c r="Y168" s="385">
        <f t="shared" si="61"/>
        <v>50.108034257487432</v>
      </c>
      <c r="Z168" s="385">
        <f t="shared" si="62"/>
        <v>53.413944542067078</v>
      </c>
      <c r="AA168" s="386">
        <f t="shared" si="63"/>
        <v>57.816856298979168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7.6152735357038592E-2</v>
      </c>
      <c r="AD168" s="231">
        <f>(INDEX(Models!$BJ168:$BT168,,AH168)*(1-AF168)+INDEX(Models!$BJ168:$BT168,,AH168+1)*AF168-ERP_i)*AE168*Ramure*Pc/MaxiM</f>
        <v>3.3684025887842925E-4</v>
      </c>
      <c r="AE168" s="305">
        <f t="shared" si="65"/>
        <v>0.5</v>
      </c>
      <c r="AF168" s="177">
        <f t="shared" si="66"/>
        <v>0.21134887930870949</v>
      </c>
      <c r="AG168" s="811">
        <f t="shared" si="74"/>
        <v>2</v>
      </c>
      <c r="AH168" s="176">
        <f t="shared" si="67"/>
        <v>8</v>
      </c>
      <c r="AI168" s="225">
        <f t="shared" si="68"/>
        <v>2.2113488793087095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23.521204985018471</v>
      </c>
      <c r="C169" s="841"/>
      <c r="D169" s="393">
        <f t="shared" si="50"/>
        <v>25.073581020854537</v>
      </c>
      <c r="E169" s="385">
        <f t="shared" si="72"/>
        <v>26.118932102096196</v>
      </c>
      <c r="F169" s="385">
        <f t="shared" si="51"/>
        <v>26.119017179894595</v>
      </c>
      <c r="G169" s="110">
        <f t="shared" si="73"/>
        <v>0.40955099095367531</v>
      </c>
      <c r="H169" s="414" t="b">
        <f>Wh_hp&gt;='2025'!Maxi_hp</f>
        <v>0</v>
      </c>
      <c r="I169" s="390">
        <f>IF(H169,Wh_hp,'2025'!Maxi_hp)</f>
        <v>59.953702782585943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6.1912817101988815E-2</v>
      </c>
      <c r="M169" s="845"/>
      <c r="N169" s="845"/>
      <c r="O169" s="48">
        <f>IF(t&lt;Tnet,'2025'!Resal+('2025'!Salim-'2025'!Resal)*(1-EXP(('2025'!Tnet-t)/('2025'!Tau_j))),Resal+(Salim-Resal)*(1-EXP((Tnet-t)/(Tau_j))))*Salcycl</f>
        <v>4.0022734358184736E-2</v>
      </c>
      <c r="P169" s="169">
        <f>(INDEX(Models!$BJ169:$BT169,,T169)*(1-R169)+INDEX(Models!$BJ169:$BT169,,T169+1)*R169-ERP_i)*Q169*Ramure*Pc/MaxiM</f>
        <v>2.0811943602795141E-5</v>
      </c>
      <c r="Q169" s="305">
        <f t="shared" si="53"/>
        <v>0.5</v>
      </c>
      <c r="R169" s="177">
        <f t="shared" si="54"/>
        <v>0.69141627046439025</v>
      </c>
      <c r="S169" s="811">
        <f t="shared" si="55"/>
        <v>-2</v>
      </c>
      <c r="T169" s="176">
        <f t="shared" si="56"/>
        <v>4</v>
      </c>
      <c r="U169" s="251">
        <f t="shared" si="57"/>
        <v>-1.3085837295356098</v>
      </c>
      <c r="V169" s="383">
        <f t="shared" si="58"/>
        <v>57.430680421073333</v>
      </c>
      <c r="W169" s="402">
        <f t="shared" si="59"/>
        <v>23.521204985018471</v>
      </c>
      <c r="X169" s="157">
        <f t="shared" si="60"/>
        <v>46177</v>
      </c>
      <c r="Y169" s="385">
        <f t="shared" si="61"/>
        <v>22.632873753366894</v>
      </c>
      <c r="Z169" s="385">
        <f t="shared" si="62"/>
        <v>24.126620815186577</v>
      </c>
      <c r="AA169" s="386">
        <f t="shared" si="63"/>
        <v>26.117728040346154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7.6235851069578323E-2</v>
      </c>
      <c r="AD169" s="231">
        <f>(INDEX(Models!$BJ169:$BT169,,AH169)*(1-AF169)+INDEX(Models!$BJ169:$BT169,,AH169+1)*AF169-ERP_i)*AE169*Ramure*Pc/MaxiM</f>
        <v>3.1535253713287781E-4</v>
      </c>
      <c r="AE169" s="305">
        <f t="shared" si="65"/>
        <v>0.5</v>
      </c>
      <c r="AF169" s="177">
        <f t="shared" si="66"/>
        <v>0.21640383683836895</v>
      </c>
      <c r="AG169" s="811">
        <f t="shared" si="74"/>
        <v>2</v>
      </c>
      <c r="AH169" s="176">
        <f t="shared" si="67"/>
        <v>8</v>
      </c>
      <c r="AI169" s="225">
        <f t="shared" si="68"/>
        <v>2.2164038368383689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32.44687682216076</v>
      </c>
      <c r="C170" s="841"/>
      <c r="D170" s="393">
        <f t="shared" si="50"/>
        <v>34.589095874183172</v>
      </c>
      <c r="E170" s="385">
        <f t="shared" ref="E170:E232" si="75">Wh_pvt/(1-Psa)</f>
        <v>36.034776224970699</v>
      </c>
      <c r="F170" s="385">
        <f t="shared" si="51"/>
        <v>36.035045175331838</v>
      </c>
      <c r="G170" s="110">
        <f t="shared" ref="G170:G232" si="76">+Wh_hp/MaxiM</f>
        <v>0.56510732394388608</v>
      </c>
      <c r="H170" s="414" t="b">
        <f>Wh_hp&gt;='2025'!Maxi_hp</f>
        <v>0</v>
      </c>
      <c r="I170" s="390">
        <f>IF(H170,Wh_hp,'2025'!Maxi_hp)</f>
        <v>43.180770881481472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6.1933363618831505E-2</v>
      </c>
      <c r="M170" s="845"/>
      <c r="N170" s="845"/>
      <c r="O170" s="48">
        <f>IF(t&lt;Tnet,'2025'!Resal+('2025'!Salim-'2025'!Resal)*(1-EXP(('2025'!Tnet-t)/('2025'!Tau_j))),Resal+(Salim-Resal)*(1-EXP((Tnet-t)/(Tau_j))))*Salcycl</f>
        <v>4.0119032285976179E-2</v>
      </c>
      <c r="P170" s="169">
        <f>(INDEX(Models!$BJ170:$BT170,,T170)*(1-R170)+INDEX(Models!$BJ170:$BT170,,T170+1)*R170-ERP_i)*Q170*Ramure*Pc/MaxiM</f>
        <v>1.9706615407327607E-5</v>
      </c>
      <c r="Q170" s="305">
        <f t="shared" si="53"/>
        <v>0.5</v>
      </c>
      <c r="R170" s="177">
        <f t="shared" si="54"/>
        <v>0.69649677133466215</v>
      </c>
      <c r="S170" s="811">
        <f t="shared" si="55"/>
        <v>-2</v>
      </c>
      <c r="T170" s="176">
        <f t="shared" si="56"/>
        <v>4</v>
      </c>
      <c r="U170" s="251">
        <f t="shared" si="57"/>
        <v>-1.3035032286653379</v>
      </c>
      <c r="V170" s="383">
        <f t="shared" si="58"/>
        <v>57.416490985140186</v>
      </c>
      <c r="W170" s="402">
        <f t="shared" si="59"/>
        <v>32.44687682216076</v>
      </c>
      <c r="X170" s="157">
        <f t="shared" si="60"/>
        <v>46178</v>
      </c>
      <c r="Y170" s="385">
        <f t="shared" si="61"/>
        <v>31.21998761232808</v>
      </c>
      <c r="Z170" s="385">
        <f t="shared" si="62"/>
        <v>33.28120455575219</v>
      </c>
      <c r="AA170" s="386">
        <f t="shared" si="63"/>
        <v>36.031032385801147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7.6318319181234093E-2</v>
      </c>
      <c r="AD170" s="231">
        <f>(INDEX(Models!$BJ170:$BT170,,AH170)*(1-AF170)+INDEX(Models!$BJ170:$BT170,,AH170+1)*AF170-ERP_i)*AE170*Ramure*Pc/MaxiM</f>
        <v>2.9402637593491917E-4</v>
      </c>
      <c r="AE170" s="305">
        <f t="shared" si="65"/>
        <v>0.5</v>
      </c>
      <c r="AF170" s="177">
        <f t="shared" si="66"/>
        <v>0.22148433770864084</v>
      </c>
      <c r="AG170" s="811">
        <f t="shared" si="74"/>
        <v>2</v>
      </c>
      <c r="AH170" s="176">
        <f t="shared" si="67"/>
        <v>8</v>
      </c>
      <c r="AI170" s="225">
        <f t="shared" si="68"/>
        <v>2.2214843377086408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45.697111964657907</v>
      </c>
      <c r="C171" s="841"/>
      <c r="D171" s="393">
        <f t="shared" si="50"/>
        <v>48.715209664531962</v>
      </c>
      <c r="E171" s="385">
        <f t="shared" si="75"/>
        <v>50.756375890267989</v>
      </c>
      <c r="F171" s="385">
        <f t="shared" si="51"/>
        <v>50.757049897127779</v>
      </c>
      <c r="G171" s="110">
        <f t="shared" si="76"/>
        <v>0.79612871145434883</v>
      </c>
      <c r="H171" s="414" t="b">
        <f>Wh_hp&gt;='2025'!Maxi_hp</f>
        <v>0</v>
      </c>
      <c r="I171" s="390">
        <f>IF(H171,Wh_hp,'2025'!Maxi_hp)</f>
        <v>62.343880742671914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6.1953909685652842E-2</v>
      </c>
      <c r="M171" s="845"/>
      <c r="N171" s="845"/>
      <c r="O171" s="48">
        <f>IF(t&lt;Tnet,'2025'!Resal+('2025'!Salim-'2025'!Resal)*(1-EXP(('2025'!Tnet-t)/('2025'!Tau_j))),Resal+(Salim-Resal)*(1-EXP((Tnet-t)/(Tau_j))))*Salcycl</f>
        <v>4.0214971812583634E-2</v>
      </c>
      <c r="P171" s="169">
        <f>(INDEX(Models!$BJ171:$BT171,,T171)*(1-R171)+INDEX(Models!$BJ171:$BT171,,T171+1)*R171-ERP_i)*Q171*Ramure*Pc/MaxiM</f>
        <v>1.8735609287204334E-5</v>
      </c>
      <c r="Q171" s="305">
        <f t="shared" si="53"/>
        <v>0.5</v>
      </c>
      <c r="R171" s="177">
        <f t="shared" si="54"/>
        <v>0.70159868988180207</v>
      </c>
      <c r="S171" s="811">
        <f t="shared" si="55"/>
        <v>-2</v>
      </c>
      <c r="T171" s="176">
        <f t="shared" si="56"/>
        <v>4</v>
      </c>
      <c r="U171" s="251">
        <f t="shared" si="57"/>
        <v>-1.2984013101181979</v>
      </c>
      <c r="V171" s="383">
        <f t="shared" si="58"/>
        <v>57.398837595216612</v>
      </c>
      <c r="W171" s="402">
        <f t="shared" si="59"/>
        <v>45.697111964657907</v>
      </c>
      <c r="X171" s="157">
        <f t="shared" si="60"/>
        <v>46179</v>
      </c>
      <c r="Y171" s="385">
        <f t="shared" si="61"/>
        <v>43.966305917667292</v>
      </c>
      <c r="Z171" s="385">
        <f t="shared" si="62"/>
        <v>46.87009132241446</v>
      </c>
      <c r="AA171" s="386">
        <f t="shared" si="63"/>
        <v>50.747179926305478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7.640007995560115E-2</v>
      </c>
      <c r="AD171" s="231">
        <f>(INDEX(Models!$BJ171:$BT171,,AH171)*(1-AF171)+INDEX(Models!$BJ171:$BT171,,AH171+1)*AF171-ERP_i)*AE171*Ramure*Pc/MaxiM</f>
        <v>2.7435910230923997E-4</v>
      </c>
      <c r="AE171" s="305">
        <f t="shared" si="65"/>
        <v>0.5</v>
      </c>
      <c r="AF171" s="177">
        <f t="shared" si="66"/>
        <v>0.22658625625578122</v>
      </c>
      <c r="AG171" s="811">
        <f t="shared" si="74"/>
        <v>2</v>
      </c>
      <c r="AH171" s="176">
        <f t="shared" si="67"/>
        <v>8</v>
      </c>
      <c r="AI171" s="225">
        <f t="shared" si="68"/>
        <v>2.2265862562557812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23.823241599761648</v>
      </c>
      <c r="C172" s="841"/>
      <c r="D172" s="393">
        <f t="shared" si="50"/>
        <v>25.397220506871545</v>
      </c>
      <c r="E172" s="385">
        <f t="shared" si="75"/>
        <v>26.463998051742912</v>
      </c>
      <c r="F172" s="385">
        <f t="shared" si="51"/>
        <v>26.464076032418859</v>
      </c>
      <c r="G172" s="110">
        <f t="shared" si="76"/>
        <v>0.41519467994899778</v>
      </c>
      <c r="H172" s="414" t="b">
        <f>Wh_hp&gt;='2025'!Maxi_hp</f>
        <v>0</v>
      </c>
      <c r="I172" s="390">
        <f>IF(H172,Wh_hp,'2025'!Maxi_hp)</f>
        <v>54.813719171232592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6.1974455302462594E-2</v>
      </c>
      <c r="M172" s="845"/>
      <c r="N172" s="845"/>
      <c r="O172" s="48">
        <f>IF(t&lt;Tnet,'2025'!Resal+('2025'!Salim-'2025'!Resal)*(1-EXP(('2025'!Tnet-t)/('2025'!Tau_j))),Resal+(Salim-Resal)*(1-EXP((Tnet-t)/(Tau_j))))*Salcycl</f>
        <v>4.0310520836102905E-2</v>
      </c>
      <c r="P172" s="169">
        <f>(INDEX(Models!$BJ172:$BT172,,T172)*(1-R172)+INDEX(Models!$BJ172:$BT172,,T172+1)*R172-ERP_i)*Q172*Ramure*Pc/MaxiM</f>
        <v>1.7904923220986388E-5</v>
      </c>
      <c r="Q172" s="305">
        <f t="shared" si="53"/>
        <v>0.5</v>
      </c>
      <c r="R172" s="177">
        <f t="shared" si="54"/>
        <v>0.70671782929962812</v>
      </c>
      <c r="S172" s="811">
        <f t="shared" si="55"/>
        <v>-2</v>
      </c>
      <c r="T172" s="176">
        <f t="shared" si="56"/>
        <v>4</v>
      </c>
      <c r="U172" s="251">
        <f t="shared" si="57"/>
        <v>-1.2932821707003719</v>
      </c>
      <c r="V172" s="383">
        <f t="shared" si="58"/>
        <v>57.377626436246381</v>
      </c>
      <c r="W172" s="402">
        <f t="shared" si="59"/>
        <v>23.823241599761648</v>
      </c>
      <c r="X172" s="157">
        <f t="shared" si="60"/>
        <v>46180</v>
      </c>
      <c r="Y172" s="385">
        <f t="shared" si="61"/>
        <v>22.924447351010716</v>
      </c>
      <c r="Z172" s="385">
        <f t="shared" si="62"/>
        <v>24.439043777216764</v>
      </c>
      <c r="AA172" s="386">
        <f t="shared" si="63"/>
        <v>26.462959367924864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7.6481075399346288E-2</v>
      </c>
      <c r="AD172" s="231">
        <f>(INDEX(Models!$BJ172:$BT172,,AH172)*(1-AF172)+INDEX(Models!$BJ172:$BT172,,AH172+1)*AF172-ERP_i)*AE172*Ramure*Pc/MaxiM</f>
        <v>2.5639418722349686E-4</v>
      </c>
      <c r="AE172" s="305">
        <f t="shared" si="65"/>
        <v>0.5</v>
      </c>
      <c r="AF172" s="177">
        <f t="shared" si="66"/>
        <v>0.23170539567360704</v>
      </c>
      <c r="AG172" s="811">
        <f t="shared" si="74"/>
        <v>2</v>
      </c>
      <c r="AH172" s="176">
        <f t="shared" si="67"/>
        <v>8</v>
      </c>
      <c r="AI172" s="225">
        <f t="shared" si="68"/>
        <v>2.231705395673607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19.476889938009247</v>
      </c>
      <c r="C173" s="841"/>
      <c r="D173" s="393">
        <f t="shared" si="50"/>
        <v>20.764164314426104</v>
      </c>
      <c r="E173" s="385">
        <f t="shared" si="75"/>
        <v>21.638481170929992</v>
      </c>
      <c r="F173" s="385">
        <f t="shared" si="51"/>
        <v>21.638502250096408</v>
      </c>
      <c r="G173" s="110">
        <f t="shared" si="76"/>
        <v>0.33959258907173945</v>
      </c>
      <c r="H173" s="414" t="b">
        <f>Wh_hp&gt;='2025'!Maxi_hp</f>
        <v>0</v>
      </c>
      <c r="I173" s="390">
        <f>IF(H173,Wh_hp,'2025'!Maxi_hp)</f>
        <v>64.469263284236831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6.1995000469270534E-2</v>
      </c>
      <c r="M173" s="845"/>
      <c r="N173" s="845"/>
      <c r="O173" s="48">
        <f>IF(t&lt;Tnet,'2025'!Resal+('2025'!Salim-'2025'!Resal)*(1-EXP(('2025'!Tnet-t)/('2025'!Tau_j))),Resal+(Salim-Resal)*(1-EXP((Tnet-t)/(Tau_j))))*Salcycl</f>
        <v>4.0405648141260492E-2</v>
      </c>
      <c r="P173" s="169">
        <f>(INDEX(Models!$BJ173:$BT173,,T173)*(1-R173)+INDEX(Models!$BJ173:$BT173,,T173+1)*R173-ERP_i)*Q173*Ramure*Pc/MaxiM</f>
        <v>1.7220662597957222E-5</v>
      </c>
      <c r="Q173" s="305">
        <f t="shared" si="53"/>
        <v>0.5</v>
      </c>
      <c r="R173" s="177">
        <f t="shared" si="54"/>
        <v>0.71184993525289464</v>
      </c>
      <c r="S173" s="811">
        <f t="shared" si="55"/>
        <v>-2</v>
      </c>
      <c r="T173" s="176">
        <f t="shared" si="56"/>
        <v>4</v>
      </c>
      <c r="U173" s="251">
        <f t="shared" si="57"/>
        <v>-1.2881500647471054</v>
      </c>
      <c r="V173" s="383">
        <f t="shared" si="58"/>
        <v>57.352763673138639</v>
      </c>
      <c r="W173" s="402">
        <f t="shared" si="59"/>
        <v>19.476889938009247</v>
      </c>
      <c r="X173" s="157">
        <f t="shared" si="60"/>
        <v>46181</v>
      </c>
      <c r="Y173" s="385">
        <f t="shared" si="61"/>
        <v>18.742803177690153</v>
      </c>
      <c r="Z173" s="385">
        <f t="shared" si="62"/>
        <v>19.981559999218458</v>
      </c>
      <c r="AA173" s="386">
        <f t="shared" si="63"/>
        <v>21.638208260395498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7.6561249491678585E-2</v>
      </c>
      <c r="AD173" s="231">
        <f>(INDEX(Models!$BJ173:$BT173,,AH173)*(1-AF173)+INDEX(Models!$BJ173:$BT173,,AH173+1)*AF173-ERP_i)*AE173*Ramure*Pc/MaxiM</f>
        <v>2.4017541048454189E-4</v>
      </c>
      <c r="AE173" s="305">
        <f t="shared" si="65"/>
        <v>0.5</v>
      </c>
      <c r="AF173" s="177">
        <f t="shared" si="66"/>
        <v>0.23683750162687334</v>
      </c>
      <c r="AG173" s="811">
        <f t="shared" si="74"/>
        <v>2</v>
      </c>
      <c r="AH173" s="176">
        <f t="shared" si="67"/>
        <v>8</v>
      </c>
      <c r="AI173" s="225">
        <f t="shared" si="68"/>
        <v>2.2368375016268733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44.508349172081353</v>
      </c>
      <c r="C174" s="841"/>
      <c r="D174" s="393">
        <f t="shared" si="50"/>
        <v>47.451052033598316</v>
      </c>
      <c r="E174" s="385">
        <f t="shared" si="75"/>
        <v>49.453953135122951</v>
      </c>
      <c r="F174" s="385">
        <f t="shared" si="51"/>
        <v>49.454514881723838</v>
      </c>
      <c r="G174" s="110">
        <f t="shared" si="76"/>
        <v>0.77642856817879702</v>
      </c>
      <c r="H174" s="414" t="b">
        <f>Wh_hp&gt;='2025'!Maxi_hp</f>
        <v>0</v>
      </c>
      <c r="I174" s="390">
        <f>IF(H174,Wh_hp,'2025'!Maxi_hp)</f>
        <v>60.601331416290115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6.2015545186086651E-2</v>
      </c>
      <c r="M174" s="845"/>
      <c r="N174" s="845"/>
      <c r="O174" s="48">
        <f>IF(t&lt;Tnet,'2025'!Resal+('2025'!Salim-'2025'!Resal)*(1-EXP(('2025'!Tnet-t)/('2025'!Tau_j))),Resal+(Salim-Resal)*(1-EXP((Tnet-t)/(Tau_j))))*Salcycl</f>
        <v>4.0500323524230886E-2</v>
      </c>
      <c r="P174" s="169">
        <f>(INDEX(Models!$BJ174:$BT174,,T174)*(1-R174)+INDEX(Models!$BJ174:$BT174,,T174+1)*R174-ERP_i)*Q174*Ramure*Pc/MaxiM</f>
        <v>1.668902554184879E-5</v>
      </c>
      <c r="Q174" s="305">
        <f t="shared" si="53"/>
        <v>0.5</v>
      </c>
      <c r="R174" s="177">
        <f t="shared" si="54"/>
        <v>0.71699070989720037</v>
      </c>
      <c r="S174" s="811">
        <f t="shared" si="55"/>
        <v>-2</v>
      </c>
      <c r="T174" s="176">
        <f t="shared" si="56"/>
        <v>4</v>
      </c>
      <c r="U174" s="251">
        <f t="shared" si="57"/>
        <v>-1.2830092901027996</v>
      </c>
      <c r="V174" s="383">
        <f t="shared" si="58"/>
        <v>57.324155442447719</v>
      </c>
      <c r="W174" s="402">
        <f t="shared" si="59"/>
        <v>44.508349172081353</v>
      </c>
      <c r="X174" s="157">
        <f t="shared" si="60"/>
        <v>46182</v>
      </c>
      <c r="Y174" s="385">
        <f t="shared" si="61"/>
        <v>42.825816584084329</v>
      </c>
      <c r="Z174" s="385">
        <f t="shared" si="62"/>
        <v>45.657277542601214</v>
      </c>
      <c r="AA174" s="386">
        <f t="shared" si="63"/>
        <v>49.446916326894609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7.6640548406295167E-2</v>
      </c>
      <c r="AD174" s="231">
        <f>(INDEX(Models!$BJ174:$BT174,,AH174)*(1-AF174)+INDEX(Models!$BJ174:$BT174,,AH174+1)*AF174-ERP_i)*AE174*Ramure*Pc/MaxiM</f>
        <v>2.2574676095113869E-4</v>
      </c>
      <c r="AE174" s="305">
        <f t="shared" si="65"/>
        <v>0.5</v>
      </c>
      <c r="AF174" s="177">
        <f t="shared" si="66"/>
        <v>0.24197827627117929</v>
      </c>
      <c r="AG174" s="811">
        <f t="shared" si="74"/>
        <v>2</v>
      </c>
      <c r="AH174" s="176">
        <f t="shared" si="67"/>
        <v>8</v>
      </c>
      <c r="AI174" s="225">
        <f t="shared" si="68"/>
        <v>2.2419782762711793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54.317001625695873</v>
      </c>
      <c r="C175" s="841"/>
      <c r="D175" s="393">
        <f t="shared" si="50"/>
        <v>57.909479261323391</v>
      </c>
      <c r="E175" s="385">
        <f t="shared" si="75"/>
        <v>60.359754392255127</v>
      </c>
      <c r="F175" s="385">
        <f t="shared" si="51"/>
        <v>60.360666202688655</v>
      </c>
      <c r="G175" s="110">
        <f t="shared" si="76"/>
        <v>0.94807674496875294</v>
      </c>
      <c r="H175" s="414" t="b">
        <f>Wh_hp&gt;='2025'!Maxi_hp</f>
        <v>0</v>
      </c>
      <c r="I175" s="390">
        <f>IF(H175,Wh_hp,'2025'!Maxi_hp)</f>
        <v>61.199848181326935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6.2036089452920717E-2</v>
      </c>
      <c r="M175" s="845"/>
      <c r="N175" s="845"/>
      <c r="O175" s="48">
        <f>IF(t&lt;Tnet,'2025'!Resal+('2025'!Salim-'2025'!Resal)*(1-EXP(('2025'!Tnet-t)/('2025'!Tau_j))),Resal+(Salim-Resal)*(1-EXP((Tnet-t)/(Tau_j))))*Salcycl</f>
        <v>4.0594517913514587E-2</v>
      </c>
      <c r="P175" s="169">
        <f>(INDEX(Models!$BJ175:$BT175,,T175)*(1-R175)+INDEX(Models!$BJ175:$BT175,,T175+1)*R175-ERP_i)*Q175*Ramure*Pc/MaxiM</f>
        <v>1.6316288137307255E-5</v>
      </c>
      <c r="Q175" s="305">
        <f t="shared" si="53"/>
        <v>0.5</v>
      </c>
      <c r="R175" s="177">
        <f t="shared" si="54"/>
        <v>0.72213582620821204</v>
      </c>
      <c r="S175" s="811">
        <f t="shared" si="55"/>
        <v>-2</v>
      </c>
      <c r="T175" s="176">
        <f t="shared" si="56"/>
        <v>4</v>
      </c>
      <c r="U175" s="251">
        <f t="shared" si="57"/>
        <v>-1.277864173791788</v>
      </c>
      <c r="V175" s="383">
        <f t="shared" si="58"/>
        <v>57.291707845084751</v>
      </c>
      <c r="W175" s="402">
        <f t="shared" si="59"/>
        <v>54.317001625695873</v>
      </c>
      <c r="X175" s="157">
        <f t="shared" si="60"/>
        <v>46183</v>
      </c>
      <c r="Y175" s="385">
        <f t="shared" si="61"/>
        <v>52.262282819758212</v>
      </c>
      <c r="Z175" s="385">
        <f t="shared" si="62"/>
        <v>55.718863201544266</v>
      </c>
      <c r="AA175" s="386">
        <f t="shared" si="63"/>
        <v>60.348754514985508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7.671892072423081E-2</v>
      </c>
      <c r="AD175" s="231">
        <f>(INDEX(Models!$BJ175:$BT175,,AH175)*(1-AF175)+INDEX(Models!$BJ175:$BT175,,AH175+1)*AF175-ERP_i)*AE175*Ramure*Pc/MaxiM</f>
        <v>2.131523413408527E-4</v>
      </c>
      <c r="AE175" s="305">
        <f t="shared" si="65"/>
        <v>0.5</v>
      </c>
      <c r="AF175" s="177">
        <f t="shared" si="66"/>
        <v>0.24712339258219096</v>
      </c>
      <c r="AG175" s="811">
        <f t="shared" si="74"/>
        <v>2</v>
      </c>
      <c r="AH175" s="176">
        <f t="shared" si="67"/>
        <v>8</v>
      </c>
      <c r="AI175" s="225">
        <f t="shared" si="68"/>
        <v>2.247123392582191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53.109644135331898</v>
      </c>
      <c r="C176" s="841"/>
      <c r="D176" s="393">
        <f t="shared" si="50"/>
        <v>56.623508432581019</v>
      </c>
      <c r="E176" s="385">
        <f t="shared" si="75"/>
        <v>59.025135142029654</v>
      </c>
      <c r="F176" s="385">
        <f t="shared" si="51"/>
        <v>59.025987626096125</v>
      </c>
      <c r="G176" s="110">
        <f t="shared" si="76"/>
        <v>0.9275915180946106</v>
      </c>
      <c r="H176" s="414" t="b">
        <f>Wh_hp&gt;='2025'!Maxi_hp</f>
        <v>0</v>
      </c>
      <c r="I176" s="390">
        <f>IF(H176,Wh_hp,'2025'!Maxi_hp)</f>
        <v>59.026055065675486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6.2056633269782613E-2</v>
      </c>
      <c r="M176" s="845"/>
      <c r="N176" s="845"/>
      <c r="O176" s="48">
        <f>IF(t&lt;Tnet,'2025'!Resal+('2025'!Salim-'2025'!Resal)*(1-EXP(('2025'!Tnet-t)/('2025'!Tau_j))),Resal+(Salim-Resal)*(1-EXP((Tnet-t)/(Tau_j))))*Salcycl</f>
        <v>4.0688203486018266E-2</v>
      </c>
      <c r="P176" s="169">
        <f>(INDEX(Models!$BJ176:$BT176,,T176)*(1-R176)+INDEX(Models!$BJ176:$BT176,,T176+1)*R176-ERP_i)*Q176*Ramure*Pc/MaxiM</f>
        <v>1.6108789742445013E-5</v>
      </c>
      <c r="Q176" s="305">
        <f t="shared" si="53"/>
        <v>0.5</v>
      </c>
      <c r="R176" s="177">
        <f t="shared" si="54"/>
        <v>0.72728094251922348</v>
      </c>
      <c r="S176" s="811">
        <f t="shared" si="55"/>
        <v>-2</v>
      </c>
      <c r="T176" s="176">
        <f t="shared" si="56"/>
        <v>4</v>
      </c>
      <c r="U176" s="251">
        <f t="shared" si="57"/>
        <v>-1.2727190574807765</v>
      </c>
      <c r="V176" s="383">
        <f t="shared" si="58"/>
        <v>57.255326944136044</v>
      </c>
      <c r="W176" s="402">
        <f t="shared" si="59"/>
        <v>53.109644135331898</v>
      </c>
      <c r="X176" s="157">
        <f t="shared" si="60"/>
        <v>46184</v>
      </c>
      <c r="Y176" s="385">
        <f t="shared" si="61"/>
        <v>51.10207991184965</v>
      </c>
      <c r="Z176" s="385">
        <f t="shared" si="62"/>
        <v>54.483118836905476</v>
      </c>
      <c r="AA176" s="386">
        <f t="shared" si="63"/>
        <v>59.015274611338576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7.6796317636084327E-2</v>
      </c>
      <c r="AD176" s="231">
        <f>(INDEX(Models!$BJ176:$BT176,,AH176)*(1-AF176)+INDEX(Models!$BJ176:$BT176,,AH176+1)*AF176-ERP_i)*AE176*Ramure*Pc/MaxiM</f>
        <v>2.0243627889878215E-4</v>
      </c>
      <c r="AE176" s="305">
        <f t="shared" si="65"/>
        <v>0.5</v>
      </c>
      <c r="AF176" s="177">
        <f t="shared" si="66"/>
        <v>0.25226850889320218</v>
      </c>
      <c r="AG176" s="811">
        <f t="shared" si="74"/>
        <v>2</v>
      </c>
      <c r="AH176" s="176">
        <f t="shared" si="67"/>
        <v>8</v>
      </c>
      <c r="AI176" s="225">
        <f t="shared" si="68"/>
        <v>2.2522685088932022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40.63790206975542</v>
      </c>
      <c r="C177" s="841"/>
      <c r="D177" s="393">
        <f t="shared" si="50"/>
        <v>43.327554312018002</v>
      </c>
      <c r="E177" s="385">
        <f t="shared" si="75"/>
        <v>45.169633099446493</v>
      </c>
      <c r="F177" s="385">
        <f t="shared" si="51"/>
        <v>45.170058626239957</v>
      </c>
      <c r="G177" s="110">
        <f t="shared" si="76"/>
        <v>0.71027025251582776</v>
      </c>
      <c r="H177" s="414" t="b">
        <f>Wh_hp&gt;='2025'!Maxi_hp</f>
        <v>0</v>
      </c>
      <c r="I177" s="390">
        <f>IF(H177,Wh_hp,'2025'!Maxi_hp)</f>
        <v>58.244062693126686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6.2077176636682219E-2</v>
      </c>
      <c r="M177" s="845"/>
      <c r="N177" s="845"/>
      <c r="O177" s="48">
        <f>IF(t&lt;Tnet,'2025'!Resal+('2025'!Salim-'2025'!Resal)*(1-EXP(('2025'!Tnet-t)/('2025'!Tau_j))),Resal+(Salim-Resal)*(1-EXP((Tnet-t)/(Tau_j))))*Salcycl</f>
        <v>4.0781353777501889E-2</v>
      </c>
      <c r="P177" s="169">
        <f>(INDEX(Models!$BJ177:$BT177,,T177)*(1-R177)+INDEX(Models!$BJ177:$BT177,,T177+1)*R177-ERP_i)*Q177*Ramure*Pc/MaxiM</f>
        <v>1.6073085911849656E-5</v>
      </c>
      <c r="Q177" s="305">
        <f t="shared" si="53"/>
        <v>0.5</v>
      </c>
      <c r="R177" s="177">
        <f t="shared" si="54"/>
        <v>0.73242171716352944</v>
      </c>
      <c r="S177" s="811">
        <f t="shared" si="55"/>
        <v>-2</v>
      </c>
      <c r="T177" s="176">
        <f t="shared" si="56"/>
        <v>4</v>
      </c>
      <c r="U177" s="251">
        <f t="shared" si="57"/>
        <v>-1.2675782828364706</v>
      </c>
      <c r="V177" s="383">
        <f t="shared" si="58"/>
        <v>57.214323108932433</v>
      </c>
      <c r="W177" s="402">
        <f t="shared" si="59"/>
        <v>40.63790206975542</v>
      </c>
      <c r="X177" s="157">
        <f t="shared" si="60"/>
        <v>46185</v>
      </c>
      <c r="Y177" s="385">
        <f t="shared" si="61"/>
        <v>39.104799415841342</v>
      </c>
      <c r="Z177" s="385">
        <f t="shared" si="62"/>
        <v>41.692982025551522</v>
      </c>
      <c r="AA177" s="386">
        <f t="shared" si="63"/>
        <v>45.164931982149945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7.6872693132154016E-2</v>
      </c>
      <c r="AD177" s="231">
        <f>(INDEX(Models!$BJ177:$BT177,,AH177)*(1-AF177)+INDEX(Models!$BJ177:$BT177,,AH177+1)*AF177-ERP_i)*AE177*Ramure*Pc/MaxiM</f>
        <v>1.9364465919487913E-4</v>
      </c>
      <c r="AE177" s="305">
        <f t="shared" si="65"/>
        <v>0.5</v>
      </c>
      <c r="AF177" s="177">
        <f t="shared" si="66"/>
        <v>0.25740928353750814</v>
      </c>
      <c r="AG177" s="811">
        <f t="shared" si="74"/>
        <v>2</v>
      </c>
      <c r="AH177" s="176">
        <f t="shared" si="67"/>
        <v>8</v>
      </c>
      <c r="AI177" s="225">
        <f t="shared" si="68"/>
        <v>2.2574092835375081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51.454895808538808</v>
      </c>
      <c r="C178" s="841"/>
      <c r="D178" s="393">
        <f t="shared" si="50"/>
        <v>54.861681095444361</v>
      </c>
      <c r="E178" s="385">
        <f t="shared" si="75"/>
        <v>57.199656645796829</v>
      </c>
      <c r="F178" s="385">
        <f t="shared" si="51"/>
        <v>57.200451564566976</v>
      </c>
      <c r="G178" s="110">
        <f t="shared" si="76"/>
        <v>0.90005738357992315</v>
      </c>
      <c r="H178" s="414" t="b">
        <f>Wh_hp&gt;='2025'!Maxi_hp</f>
        <v>0</v>
      </c>
      <c r="I178" s="390">
        <f>IF(H178,Wh_hp,'2025'!Maxi_hp)</f>
        <v>66.115436428019962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6.2097719553629305E-2</v>
      </c>
      <c r="M178" s="845"/>
      <c r="N178" s="845"/>
      <c r="O178" s="48">
        <f>IF(t&lt;Tnet,'2025'!Resal+('2025'!Salim-'2025'!Resal)*(1-EXP(('2025'!Tnet-t)/('2025'!Tau_j))),Resal+(Salim-Resal)*(1-EXP((Tnet-t)/(Tau_j))))*Salcycl</f>
        <v>4.0873943786588582E-2</v>
      </c>
      <c r="P178" s="169">
        <f>(INDEX(Models!$BJ178:$BT178,,T178)*(1-R178)+INDEX(Models!$BJ178:$BT178,,T178+1)*R178-ERP_i)*Q178*Ramure*Pc/MaxiM</f>
        <v>1.6211643424444822E-5</v>
      </c>
      <c r="Q178" s="305">
        <f t="shared" si="53"/>
        <v>0.5</v>
      </c>
      <c r="R178" s="177">
        <f t="shared" si="54"/>
        <v>0.73755382311679596</v>
      </c>
      <c r="S178" s="811">
        <f t="shared" si="55"/>
        <v>-2</v>
      </c>
      <c r="T178" s="176">
        <f t="shared" si="56"/>
        <v>4</v>
      </c>
      <c r="U178" s="251">
        <f t="shared" si="57"/>
        <v>-1.262446176883204</v>
      </c>
      <c r="V178" s="383">
        <f t="shared" si="58"/>
        <v>57.16832909716566</v>
      </c>
      <c r="W178" s="402">
        <f t="shared" si="59"/>
        <v>51.454895808538808</v>
      </c>
      <c r="X178" s="157">
        <f t="shared" si="60"/>
        <v>46186</v>
      </c>
      <c r="Y178" s="385">
        <f t="shared" si="61"/>
        <v>49.512357906997934</v>
      </c>
      <c r="Z178" s="385">
        <f t="shared" si="62"/>
        <v>52.790529396552685</v>
      </c>
      <c r="AA178" s="386">
        <f t="shared" si="63"/>
        <v>57.191284603207642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7.6948004179086663E-2</v>
      </c>
      <c r="AD178" s="231">
        <f>(INDEX(Models!$BJ178:$BT178,,AH178)*(1-AF178)+INDEX(Models!$BJ178:$BT178,,AH178+1)*AF178-ERP_i)*AE178*Ramure*Pc/MaxiM</f>
        <v>1.8695181749945735E-4</v>
      </c>
      <c r="AE178" s="305">
        <f t="shared" si="65"/>
        <v>0.5</v>
      </c>
      <c r="AF178" s="177">
        <f t="shared" si="66"/>
        <v>0.26254138949077488</v>
      </c>
      <c r="AG178" s="811">
        <f t="shared" si="74"/>
        <v>2</v>
      </c>
      <c r="AH178" s="176">
        <f t="shared" si="67"/>
        <v>8</v>
      </c>
      <c r="AI178" s="225">
        <f t="shared" si="68"/>
        <v>2.2625413894907749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46.929538823569494</v>
      </c>
      <c r="C179" s="841"/>
      <c r="D179" s="393">
        <f t="shared" si="50"/>
        <v>50.037799994568154</v>
      </c>
      <c r="E179" s="385">
        <f t="shared" si="75"/>
        <v>52.175206916065612</v>
      </c>
      <c r="F179" s="385">
        <f t="shared" si="51"/>
        <v>52.175843152557292</v>
      </c>
      <c r="G179" s="110">
        <f t="shared" si="76"/>
        <v>0.82162459988970404</v>
      </c>
      <c r="H179" s="414" t="b">
        <f>Wh_hp&gt;='2025'!Maxi_hp</f>
        <v>0</v>
      </c>
      <c r="I179" s="390">
        <f>IF(H179,Wh_hp,'2025'!Maxi_hp)</f>
        <v>57.514759839675243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6.2118262020633863E-2</v>
      </c>
      <c r="M179" s="845"/>
      <c r="N179" s="845"/>
      <c r="O179" s="48">
        <f>IF(t&lt;Tnet,'2025'!Resal+('2025'!Salim-'2025'!Resal)*(1-EXP(('2025'!Tnet-t)/('2025'!Tau_j))),Resal+(Salim-Resal)*(1-EXP((Tnet-t)/(Tau_j))))*Salcycl</f>
        <v>4.0965950071571597E-2</v>
      </c>
      <c r="P179" s="169">
        <f>(INDEX(Models!$BJ179:$BT179,,T179)*(1-R179)+INDEX(Models!$BJ179:$BT179,,T179+1)*R179-ERP_i)*Q179*Ramure*Pc/MaxiM</f>
        <v>1.6363877575425505E-5</v>
      </c>
      <c r="Q179" s="305">
        <f t="shared" si="53"/>
        <v>0.5</v>
      </c>
      <c r="R179" s="177">
        <f t="shared" si="54"/>
        <v>0.74267296253462178</v>
      </c>
      <c r="S179" s="811">
        <f t="shared" si="55"/>
        <v>-2</v>
      </c>
      <c r="T179" s="176">
        <f t="shared" si="56"/>
        <v>4</v>
      </c>
      <c r="U179" s="251">
        <f t="shared" si="57"/>
        <v>-1.2573270374653782</v>
      </c>
      <c r="V179" s="383">
        <f t="shared" si="58"/>
        <v>57.117743481491964</v>
      </c>
      <c r="W179" s="402">
        <f t="shared" si="59"/>
        <v>46.929538823569494</v>
      </c>
      <c r="X179" s="157">
        <f t="shared" si="60"/>
        <v>46187</v>
      </c>
      <c r="Y179" s="385">
        <f t="shared" si="61"/>
        <v>45.159603574475298</v>
      </c>
      <c r="Z179" s="385">
        <f t="shared" si="62"/>
        <v>48.15063749057542</v>
      </c>
      <c r="AA179" s="386">
        <f t="shared" si="63"/>
        <v>52.168793288703377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7.702221088173121E-2</v>
      </c>
      <c r="AD179" s="231">
        <f>(INDEX(Models!$BJ179:$BT179,,AH179)*(1-AF179)+INDEX(Models!$BJ179:$BT179,,AH179+1)*AF179-ERP_i)*AE179*Ramure*Pc/MaxiM</f>
        <v>1.8132111335579022E-4</v>
      </c>
      <c r="AE179" s="305">
        <f t="shared" si="65"/>
        <v>0.5</v>
      </c>
      <c r="AF179" s="177">
        <f t="shared" si="66"/>
        <v>0.2676605289086007</v>
      </c>
      <c r="AG179" s="811">
        <f t="shared" si="74"/>
        <v>2</v>
      </c>
      <c r="AH179" s="176">
        <f t="shared" si="67"/>
        <v>8</v>
      </c>
      <c r="AI179" s="225">
        <f t="shared" si="68"/>
        <v>2.2676605289086007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51.192334864472791</v>
      </c>
      <c r="C180" s="841"/>
      <c r="D180" s="393">
        <f t="shared" si="50"/>
        <v>54.584127251311202</v>
      </c>
      <c r="E180" s="385">
        <f t="shared" si="75"/>
        <v>56.921159257109935</v>
      </c>
      <c r="F180" s="385">
        <f t="shared" si="51"/>
        <v>56.921961892442752</v>
      </c>
      <c r="G180" s="110">
        <f t="shared" si="76"/>
        <v>0.89711810766016675</v>
      </c>
      <c r="H180" s="414" t="b">
        <f>Wh_hp&gt;='2025'!Maxi_hp</f>
        <v>0</v>
      </c>
      <c r="I180" s="390">
        <f>IF(H180,Wh_hp,'2025'!Maxi_hp)</f>
        <v>56.922054125427849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6.2138804037705553E-2</v>
      </c>
      <c r="M180" s="845"/>
      <c r="N180" s="845"/>
      <c r="O180" s="48">
        <f>IF(t&lt;Tnet,'2025'!Resal+('2025'!Salim-'2025'!Resal)*(1-EXP(('2025'!Tnet-t)/('2025'!Tau_j))),Resal+(Salim-Resal)*(1-EXP((Tnet-t)/(Tau_j))))*Salcycl</f>
        <v>4.1057350839298339E-2</v>
      </c>
      <c r="P180" s="169">
        <f>(INDEX(Models!$BJ180:$BT180,,T180)*(1-R180)+INDEX(Models!$BJ180:$BT180,,T180+1)*R180-ERP_i)*Q180*Ramure*Pc/MaxiM</f>
        <v>1.6530067503256144E-5</v>
      </c>
      <c r="Q180" s="305">
        <f t="shared" si="53"/>
        <v>0.5</v>
      </c>
      <c r="R180" s="177">
        <f t="shared" si="54"/>
        <v>0.74777488108176193</v>
      </c>
      <c r="S180" s="811">
        <f t="shared" si="55"/>
        <v>-2</v>
      </c>
      <c r="T180" s="176">
        <f t="shared" si="56"/>
        <v>4</v>
      </c>
      <c r="U180" s="251">
        <f t="shared" si="57"/>
        <v>-1.2522251189182381</v>
      </c>
      <c r="V180" s="383">
        <f t="shared" si="58"/>
        <v>57.062955319770758</v>
      </c>
      <c r="W180" s="402">
        <f t="shared" si="59"/>
        <v>51.192334864472791</v>
      </c>
      <c r="X180" s="157">
        <f t="shared" si="60"/>
        <v>46188</v>
      </c>
      <c r="Y180" s="385">
        <f t="shared" si="61"/>
        <v>49.261745895520548</v>
      </c>
      <c r="Z180" s="385">
        <f t="shared" si="62"/>
        <v>52.525625441806909</v>
      </c>
      <c r="AA180" s="386">
        <f t="shared" si="63"/>
        <v>56.913378067836845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7.7095276628985798E-2</v>
      </c>
      <c r="AD180" s="231">
        <f>(INDEX(Models!$BJ180:$BT180,,AH180)*(1-AF180)+INDEX(Models!$BJ180:$BT180,,AH180+1)*AF180-ERP_i)*AE180*Ramure*Pc/MaxiM</f>
        <v>1.7678165210306069E-4</v>
      </c>
      <c r="AE180" s="305">
        <f t="shared" si="65"/>
        <v>0.5</v>
      </c>
      <c r="AF180" s="177">
        <f t="shared" si="66"/>
        <v>0.27276244745574063</v>
      </c>
      <c r="AG180" s="811">
        <f t="shared" si="74"/>
        <v>2</v>
      </c>
      <c r="AH180" s="176">
        <f t="shared" si="67"/>
        <v>8</v>
      </c>
      <c r="AI180" s="225">
        <f t="shared" si="68"/>
        <v>2.2727624474557406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49.198697523311871</v>
      </c>
      <c r="C181" s="841"/>
      <c r="D181" s="393">
        <f t="shared" si="50"/>
        <v>52.45954874396255</v>
      </c>
      <c r="E181" s="385">
        <f t="shared" si="75"/>
        <v>54.710795450096555</v>
      </c>
      <c r="F181" s="385">
        <f t="shared" si="51"/>
        <v>54.711530863998121</v>
      </c>
      <c r="G181" s="110">
        <f t="shared" si="76"/>
        <v>0.86306630623582481</v>
      </c>
      <c r="H181" s="414" t="b">
        <f>Wh_hp&gt;='2025'!Maxi_hp</f>
        <v>0</v>
      </c>
      <c r="I181" s="390">
        <f>IF(H181,Wh_hp,'2025'!Maxi_hp)</f>
        <v>64.761857489550721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6.2159345604854477E-2</v>
      </c>
      <c r="M181" s="845"/>
      <c r="N181" s="845"/>
      <c r="O181" s="48">
        <f>IF(t&lt;Tnet,'2025'!Resal+('2025'!Salim-'2025'!Resal)*(1-EXP(('2025'!Tnet-t)/('2025'!Tau_j))),Resal+(Salim-Resal)*(1-EXP((Tnet-t)/(Tau_j))))*Salcycl</f>
        <v>4.1148126025464887E-2</v>
      </c>
      <c r="P181" s="169">
        <f>(INDEX(Models!$BJ181:$BT181,,T181)*(1-R181)+INDEX(Models!$BJ181:$BT181,,T181+1)*R181-ERP_i)*Q181*Ramure*Pc/MaxiM</f>
        <v>1.6710494132311756E-5</v>
      </c>
      <c r="Q181" s="305">
        <f t="shared" si="53"/>
        <v>0.5</v>
      </c>
      <c r="R181" s="177">
        <f t="shared" si="54"/>
        <v>0.75285538195203383</v>
      </c>
      <c r="S181" s="811">
        <f t="shared" si="55"/>
        <v>-2</v>
      </c>
      <c r="T181" s="176">
        <f t="shared" si="56"/>
        <v>4</v>
      </c>
      <c r="U181" s="251">
        <f t="shared" si="57"/>
        <v>-1.2471446180479662</v>
      </c>
      <c r="V181" s="383">
        <f t="shared" si="58"/>
        <v>57.004353365893451</v>
      </c>
      <c r="W181" s="402">
        <f t="shared" si="59"/>
        <v>49.198697523311871</v>
      </c>
      <c r="X181" s="157">
        <f t="shared" si="60"/>
        <v>46189</v>
      </c>
      <c r="Y181" s="385">
        <f t="shared" si="61"/>
        <v>47.344593515093393</v>
      </c>
      <c r="Z181" s="385">
        <f t="shared" si="62"/>
        <v>50.482556171152545</v>
      </c>
      <c r="AA181" s="386">
        <f t="shared" si="63"/>
        <v>54.703901327305893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7.716716822253826E-2</v>
      </c>
      <c r="AD181" s="231">
        <f>(INDEX(Models!$BJ181:$BT181,,AH181)*(1-AF181)+INDEX(Models!$BJ181:$BT181,,AH181+1)*AF181-ERP_i)*AE181*Ramure*Pc/MaxiM</f>
        <v>1.7336268441059415E-4</v>
      </c>
      <c r="AE181" s="305">
        <f t="shared" si="65"/>
        <v>0.5</v>
      </c>
      <c r="AF181" s="177">
        <f t="shared" si="66"/>
        <v>0.27784294832601253</v>
      </c>
      <c r="AG181" s="811">
        <f t="shared" si="74"/>
        <v>2</v>
      </c>
      <c r="AH181" s="176">
        <f t="shared" si="67"/>
        <v>8</v>
      </c>
      <c r="AI181" s="225">
        <f t="shared" si="68"/>
        <v>2.2778429483260125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49.26635243668958</v>
      </c>
      <c r="C182" s="841"/>
      <c r="D182" s="393">
        <f t="shared" si="50"/>
        <v>52.532838376105708</v>
      </c>
      <c r="E182" s="385">
        <f t="shared" si="75"/>
        <v>54.792380671935092</v>
      </c>
      <c r="F182" s="385">
        <f t="shared" si="51"/>
        <v>54.793128591091978</v>
      </c>
      <c r="G182" s="110">
        <f t="shared" si="76"/>
        <v>0.86519458279008044</v>
      </c>
      <c r="H182" s="414" t="b">
        <f>Wh_hp&gt;='2025'!Maxi_hp</f>
        <v>0</v>
      </c>
      <c r="I182" s="390">
        <f>IF(H182,Wh_hp,'2025'!Maxi_hp)</f>
        <v>62.682408537874828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6.2179886722090294E-2</v>
      </c>
      <c r="M182" s="845"/>
      <c r="N182" s="845"/>
      <c r="O182" s="48">
        <f>IF(t&lt;Tnet,'2025'!Resal+('2025'!Salim-'2025'!Resal)*(1-EXP(('2025'!Tnet-t)/('2025'!Tau_j))),Resal+(Salim-Resal)*(1-EXP((Tnet-t)/(Tau_j))))*Salcycl</f>
        <v>4.1238257365713064E-2</v>
      </c>
      <c r="P182" s="169">
        <f>(INDEX(Models!$BJ182:$BT182,,T182)*(1-R182)+INDEX(Models!$BJ182:$BT182,,T182+1)*R182-ERP_i)*Q182*Ramure*Pc/MaxiM</f>
        <v>1.6905438635175936E-5</v>
      </c>
      <c r="Q182" s="305">
        <f t="shared" si="53"/>
        <v>0.5</v>
      </c>
      <c r="R182" s="177">
        <f t="shared" si="54"/>
        <v>0.75791033948169351</v>
      </c>
      <c r="S182" s="811">
        <f t="shared" si="55"/>
        <v>-2</v>
      </c>
      <c r="T182" s="176">
        <f t="shared" si="56"/>
        <v>4</v>
      </c>
      <c r="U182" s="251">
        <f t="shared" si="57"/>
        <v>-1.2420896605183065</v>
      </c>
      <c r="V182" s="383">
        <f t="shared" si="58"/>
        <v>56.942326066931678</v>
      </c>
      <c r="W182" s="402">
        <f t="shared" si="59"/>
        <v>49.26635243668958</v>
      </c>
      <c r="X182" s="157">
        <f t="shared" si="60"/>
        <v>46190</v>
      </c>
      <c r="Y182" s="385">
        <f t="shared" si="61"/>
        <v>47.410595573022277</v>
      </c>
      <c r="Z182" s="385">
        <f t="shared" si="62"/>
        <v>50.554040057117881</v>
      </c>
      <c r="AA182" s="386">
        <f t="shared" si="63"/>
        <v>54.78555918786607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7.7237855987520684E-2</v>
      </c>
      <c r="AD182" s="231">
        <f>(INDEX(Models!$BJ182:$BT182,,AH182)*(1-AF182)+INDEX(Models!$BJ182:$BT182,,AH182+1)*AF182-ERP_i)*AE182*Ramure*Pc/MaxiM</f>
        <v>1.7109346720474024E-4</v>
      </c>
      <c r="AE182" s="305">
        <f t="shared" si="65"/>
        <v>0.5</v>
      </c>
      <c r="AF182" s="177">
        <f t="shared" si="66"/>
        <v>0.28289790585567243</v>
      </c>
      <c r="AG182" s="811">
        <f t="shared" si="74"/>
        <v>2</v>
      </c>
      <c r="AH182" s="176">
        <f t="shared" si="67"/>
        <v>8</v>
      </c>
      <c r="AI182" s="225">
        <f t="shared" si="68"/>
        <v>2.2828979058556724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52.494364124241429</v>
      </c>
      <c r="C183" s="841"/>
      <c r="D183" s="393">
        <f t="shared" si="50"/>
        <v>55.976101565189992</v>
      </c>
      <c r="E183" s="385">
        <f t="shared" si="75"/>
        <v>58.389194333424044</v>
      </c>
      <c r="F183" s="385">
        <f t="shared" si="51"/>
        <v>58.390083676971663</v>
      </c>
      <c r="G183" s="110">
        <f t="shared" si="76"/>
        <v>0.92293939221027443</v>
      </c>
      <c r="H183" s="414" t="b">
        <f>Wh_hp&gt;='2025'!Maxi_hp</f>
        <v>0</v>
      </c>
      <c r="I183" s="390">
        <f>IF(H183,Wh_hp,'2025'!Maxi_hp)</f>
        <v>60.904385564297691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6.2200427389422996E-2</v>
      </c>
      <c r="M183" s="845"/>
      <c r="N183" s="845"/>
      <c r="O183" s="48">
        <f>IF(t&lt;Tnet,'2025'!Resal+('2025'!Salim-'2025'!Resal)*(1-EXP(('2025'!Tnet-t)/('2025'!Tau_j))),Resal+(Salim-Resal)*(1-EXP((Tnet-t)/(Tau_j))))*Salcycl</f>
        <v>4.1327728456987969E-2</v>
      </c>
      <c r="P183" s="169">
        <f>(INDEX(Models!$BJ183:$BT183,,T183)*(1-R183)+INDEX(Models!$BJ183:$BT183,,T183+1)*R183-ERP_i)*Q183*Ramure*Pc/MaxiM</f>
        <v>1.7115180898336849E-5</v>
      </c>
      <c r="Q183" s="305">
        <f t="shared" si="53"/>
        <v>0.5</v>
      </c>
      <c r="R183" s="177">
        <f t="shared" si="54"/>
        <v>0.7629357122639655</v>
      </c>
      <c r="S183" s="811">
        <f t="shared" si="55"/>
        <v>-2</v>
      </c>
      <c r="T183" s="176">
        <f t="shared" si="56"/>
        <v>4</v>
      </c>
      <c r="U183" s="251">
        <f t="shared" si="57"/>
        <v>-1.2370642877360345</v>
      </c>
      <c r="V183" s="383">
        <f t="shared" si="58"/>
        <v>56.877261563084033</v>
      </c>
      <c r="W183" s="402">
        <f t="shared" si="59"/>
        <v>52.494364124241429</v>
      </c>
      <c r="X183" s="157">
        <f t="shared" si="60"/>
        <v>46191</v>
      </c>
      <c r="Y183" s="385">
        <f t="shared" si="61"/>
        <v>50.517342660800928</v>
      </c>
      <c r="Z183" s="385">
        <f t="shared" si="62"/>
        <v>53.867952317545303</v>
      </c>
      <c r="AA183" s="386">
        <f t="shared" si="63"/>
        <v>58.381249929642216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7.7307313864230232E-2</v>
      </c>
      <c r="AD183" s="231">
        <f>(INDEX(Models!$BJ183:$BT183,,AH183)*(1-AF183)+INDEX(Models!$BJ183:$BT183,,AH183+1)*AF183-ERP_i)*AE183*Ramure*Pc/MaxiM</f>
        <v>1.700031264172446E-4</v>
      </c>
      <c r="AE183" s="305">
        <f t="shared" si="65"/>
        <v>0.5</v>
      </c>
      <c r="AF183" s="177">
        <f t="shared" si="66"/>
        <v>0.28792327863794442</v>
      </c>
      <c r="AG183" s="811">
        <f t="shared" si="74"/>
        <v>2</v>
      </c>
      <c r="AH183" s="176">
        <f t="shared" si="67"/>
        <v>8</v>
      </c>
      <c r="AI183" s="225">
        <f t="shared" si="68"/>
        <v>2.2879232786379444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53.566172712556011</v>
      </c>
      <c r="C184" s="841"/>
      <c r="D184" s="393">
        <f t="shared" si="50"/>
        <v>57.120249933355183</v>
      </c>
      <c r="E184" s="385">
        <f t="shared" si="75"/>
        <v>59.588185496265787</v>
      </c>
      <c r="F184" s="385">
        <f t="shared" si="51"/>
        <v>59.589134260784711</v>
      </c>
      <c r="G184" s="110">
        <f t="shared" si="76"/>
        <v>0.94290658745716949</v>
      </c>
      <c r="H184" s="414" t="b">
        <f>Wh_hp&gt;='2025'!Maxi_hp</f>
        <v>0</v>
      </c>
      <c r="I184" s="390">
        <f>IF(H184,Wh_hp,'2025'!Maxi_hp)</f>
        <v>59.589188986618893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6.2220967606862354E-2</v>
      </c>
      <c r="M184" s="845"/>
      <c r="N184" s="845"/>
      <c r="O184" s="48">
        <f>IF(t&lt;Tnet,'2025'!Resal+('2025'!Salim-'2025'!Resal)*(1-EXP(('2025'!Tnet-t)/('2025'!Tau_j))),Resal+(Salim-Resal)*(1-EXP((Tnet-t)/(Tau_j))))*Salcycl</f>
        <v>4.1416524808684858E-2</v>
      </c>
      <c r="P184" s="169">
        <f>(INDEX(Models!$BJ184:$BT184,,T184)*(1-R184)+INDEX(Models!$BJ184:$BT184,,T184+1)*R184-ERP_i)*Q184*Ramure*Pc/MaxiM</f>
        <v>1.7335669664851484E-5</v>
      </c>
      <c r="Q184" s="305">
        <f t="shared" si="53"/>
        <v>0.5</v>
      </c>
      <c r="R184" s="177">
        <f t="shared" si="54"/>
        <v>0.767927555678378</v>
      </c>
      <c r="S184" s="811">
        <f t="shared" si="55"/>
        <v>-2</v>
      </c>
      <c r="T184" s="176">
        <f t="shared" si="56"/>
        <v>4</v>
      </c>
      <c r="U184" s="251">
        <f t="shared" si="57"/>
        <v>-1.232072444321622</v>
      </c>
      <c r="V184" s="383">
        <f t="shared" si="58"/>
        <v>56.809547930553066</v>
      </c>
      <c r="W184" s="402">
        <f t="shared" si="59"/>
        <v>53.566172712556011</v>
      </c>
      <c r="X184" s="157">
        <f t="shared" si="60"/>
        <v>46192</v>
      </c>
      <c r="Y184" s="385">
        <f t="shared" si="61"/>
        <v>51.5495230339328</v>
      </c>
      <c r="Z184" s="385">
        <f t="shared" si="62"/>
        <v>54.96979699192304</v>
      </c>
      <c r="AA184" s="386">
        <f t="shared" si="63"/>
        <v>59.579816222688912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7.7375519480207988E-2</v>
      </c>
      <c r="AD184" s="231">
        <f>(INDEX(Models!$BJ184:$BT184,,AH184)*(1-AF184)+INDEX(Models!$BJ184:$BT184,,AH184+1)*AF184-ERP_i)*AE184*Ramure*Pc/MaxiM</f>
        <v>1.7025766365816089E-4</v>
      </c>
      <c r="AE184" s="305">
        <f t="shared" si="65"/>
        <v>0.5</v>
      </c>
      <c r="AF184" s="177">
        <f t="shared" si="66"/>
        <v>0.29291512205235692</v>
      </c>
      <c r="AG184" s="811">
        <f t="shared" si="74"/>
        <v>2</v>
      </c>
      <c r="AH184" s="176">
        <f t="shared" si="67"/>
        <v>8</v>
      </c>
      <c r="AI184" s="225">
        <f t="shared" si="68"/>
        <v>2.2929151220523569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29.831691429727243</v>
      </c>
      <c r="C185" s="841"/>
      <c r="D185" s="393">
        <f t="shared" si="50"/>
        <v>31.811699562648609</v>
      </c>
      <c r="E185" s="385">
        <f t="shared" si="75"/>
        <v>33.189205380854979</v>
      </c>
      <c r="F185" s="385">
        <f t="shared" si="51"/>
        <v>33.189393206977947</v>
      </c>
      <c r="G185" s="110">
        <f t="shared" si="76"/>
        <v>0.52575891531916841</v>
      </c>
      <c r="H185" s="414" t="b">
        <f>Wh_hp&gt;='2025'!Maxi_hp</f>
        <v>0</v>
      </c>
      <c r="I185" s="390">
        <f>IF(H185,Wh_hp,'2025'!Maxi_hp)</f>
        <v>58.208712843769881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6.2241507374418137E-2</v>
      </c>
      <c r="M185" s="845"/>
      <c r="N185" s="845"/>
      <c r="O185" s="48">
        <f>IF(t&lt;Tnet,'2025'!Resal+('2025'!Salim-'2025'!Resal)*(1-EXP(('2025'!Tnet-t)/('2025'!Tau_j))),Resal+(Salim-Resal)*(1-EXP((Tnet-t)/(Tau_j))))*Salcycl</f>
        <v>4.1504633883189528E-2</v>
      </c>
      <c r="P185" s="169">
        <f>(INDEX(Models!$BJ185:$BT185,,T185)*(1-R185)+INDEX(Models!$BJ185:$BT185,,T185+1)*R185-ERP_i)*Q185*Ramure*Pc/MaxiM</f>
        <v>1.7546794451821248E-5</v>
      </c>
      <c r="Q185" s="305">
        <f t="shared" si="53"/>
        <v>0.5</v>
      </c>
      <c r="R185" s="177">
        <f t="shared" si="54"/>
        <v>0.77288203375546027</v>
      </c>
      <c r="S185" s="811">
        <f t="shared" si="55"/>
        <v>-2</v>
      </c>
      <c r="T185" s="176">
        <f t="shared" si="56"/>
        <v>4</v>
      </c>
      <c r="U185" s="251">
        <f t="shared" si="57"/>
        <v>-1.2271179662445397</v>
      </c>
      <c r="V185" s="383">
        <f t="shared" si="58"/>
        <v>56.739573846690774</v>
      </c>
      <c r="W185" s="402">
        <f t="shared" si="59"/>
        <v>29.831691429727243</v>
      </c>
      <c r="X185" s="157">
        <f t="shared" si="60"/>
        <v>46193</v>
      </c>
      <c r="Y185" s="385">
        <f t="shared" si="61"/>
        <v>28.711763302559042</v>
      </c>
      <c r="Z185" s="385">
        <f t="shared" si="62"/>
        <v>30.617438848429355</v>
      </c>
      <c r="AA185" s="386">
        <f t="shared" si="63"/>
        <v>33.187565358808577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7.7442454202114666E-2</v>
      </c>
      <c r="AD185" s="231">
        <f>(INDEX(Models!$BJ185:$BT185,,AH185)*(1-AF185)+INDEX(Models!$BJ185:$BT185,,AH185+1)*AF185-ERP_i)*AE185*Ramure*Pc/MaxiM</f>
        <v>1.7075833547662819E-4</v>
      </c>
      <c r="AE185" s="305">
        <f t="shared" si="65"/>
        <v>0.5</v>
      </c>
      <c r="AF185" s="177">
        <f t="shared" si="66"/>
        <v>0.29786960012943942</v>
      </c>
      <c r="AG185" s="811">
        <f t="shared" si="74"/>
        <v>2</v>
      </c>
      <c r="AH185" s="176">
        <f t="shared" si="67"/>
        <v>8</v>
      </c>
      <c r="AI185" s="225">
        <f t="shared" si="68"/>
        <v>2.2978696001294394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22.278537032080866</v>
      </c>
      <c r="C186" s="841"/>
      <c r="D186" s="393">
        <f t="shared" si="50"/>
        <v>23.757742718520287</v>
      </c>
      <c r="E186" s="385">
        <f t="shared" si="75"/>
        <v>24.788757853779718</v>
      </c>
      <c r="F186" s="385">
        <f t="shared" si="51"/>
        <v>24.788816394698863</v>
      </c>
      <c r="G186" s="110">
        <f t="shared" si="76"/>
        <v>0.39313725100717978</v>
      </c>
      <c r="H186" s="414" t="b">
        <f>Wh_hp&gt;='2025'!Maxi_hp</f>
        <v>0</v>
      </c>
      <c r="I186" s="390">
        <f>IF(H186,Wh_hp,'2025'!Maxi_hp)</f>
        <v>54.428674381419142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6.2262046692100448E-2</v>
      </c>
      <c r="M186" s="845"/>
      <c r="N186" s="845"/>
      <c r="O186" s="48">
        <f>IF(t&lt;Tnet,'2025'!Resal+('2025'!Salim-'2025'!Resal)*(1-EXP(('2025'!Tnet-t)/('2025'!Tau_j))),Resal+(Salim-Resal)*(1-EXP((Tnet-t)/(Tau_j))))*Salcycl</f>
        <v>4.1592045125497225E-2</v>
      </c>
      <c r="P186" s="169">
        <f>(INDEX(Models!$BJ186:$BT186,,T186)*(1-R186)+INDEX(Models!$BJ186:$BT186,,T186+1)*R186-ERP_i)*Q186*Ramure*Pc/MaxiM</f>
        <v>1.7748030449087886E-5</v>
      </c>
      <c r="Q186" s="305">
        <f t="shared" si="53"/>
        <v>0.5</v>
      </c>
      <c r="R186" s="177">
        <f t="shared" si="54"/>
        <v>0.77779543030508691</v>
      </c>
      <c r="S186" s="811">
        <f t="shared" si="55"/>
        <v>-2</v>
      </c>
      <c r="T186" s="176">
        <f t="shared" si="56"/>
        <v>4</v>
      </c>
      <c r="U186" s="251">
        <f t="shared" si="57"/>
        <v>-1.2222045696949131</v>
      </c>
      <c r="V186" s="383">
        <f t="shared" si="58"/>
        <v>56.667726568067422</v>
      </c>
      <c r="W186" s="402">
        <f t="shared" si="59"/>
        <v>22.278537032080866</v>
      </c>
      <c r="X186" s="157">
        <f t="shared" si="60"/>
        <v>46194</v>
      </c>
      <c r="Y186" s="385">
        <f t="shared" si="61"/>
        <v>21.443216629097577</v>
      </c>
      <c r="Z186" s="385">
        <f t="shared" si="62"/>
        <v>22.866960384248038</v>
      </c>
      <c r="AA186" s="386">
        <f t="shared" si="63"/>
        <v>24.788250674886505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7.7508103166996162E-2</v>
      </c>
      <c r="AD186" s="231">
        <f>(INDEX(Models!$BJ186:$BT186,,AH186)*(1-AF186)+INDEX(Models!$BJ186:$BT186,,AH186+1)*AF186-ERP_i)*AE186*Ramure*Pc/MaxiM</f>
        <v>1.7151101489639169E-4</v>
      </c>
      <c r="AE186" s="305">
        <f t="shared" si="65"/>
        <v>0.5</v>
      </c>
      <c r="AF186" s="177">
        <f t="shared" si="66"/>
        <v>0.30278299667906605</v>
      </c>
      <c r="AG186" s="811">
        <f t="shared" si="74"/>
        <v>2</v>
      </c>
      <c r="AH186" s="176">
        <f t="shared" si="67"/>
        <v>8</v>
      </c>
      <c r="AI186" s="225">
        <f t="shared" si="68"/>
        <v>2.3027829966790661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37.264519235863247</v>
      </c>
      <c r="C187" s="841"/>
      <c r="D187" s="393">
        <f t="shared" si="50"/>
        <v>39.739604556788784</v>
      </c>
      <c r="E187" s="385">
        <f t="shared" si="75"/>
        <v>41.467936306357586</v>
      </c>
      <c r="F187" s="385">
        <f t="shared" si="51"/>
        <v>41.468317232299341</v>
      </c>
      <c r="G187" s="110">
        <f t="shared" si="76"/>
        <v>0.65844319648860505</v>
      </c>
      <c r="H187" s="414" t="b">
        <f>Wh_hp&gt;='2025'!Maxi_hp</f>
        <v>0</v>
      </c>
      <c r="I187" s="390">
        <f>IF(H187,Wh_hp,'2025'!Maxi_hp)</f>
        <v>63.004166310746122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6.2282585559918835E-2</v>
      </c>
      <c r="M187" s="845"/>
      <c r="N187" s="845"/>
      <c r="O187" s="48">
        <f>IF(t&lt;Tnet,'2025'!Resal+('2025'!Salim-'2025'!Resal)*(1-EXP(('2025'!Tnet-t)/('2025'!Tau_j))),Resal+(Salim-Resal)*(1-EXP((Tnet-t)/(Tau_j))))*Salcycl</f>
        <v>4.1678749981677372E-2</v>
      </c>
      <c r="P187" s="169">
        <f>(INDEX(Models!$BJ187:$BT187,,T187)*(1-R187)+INDEX(Models!$BJ187:$BT187,,T187+1)*R187-ERP_i)*Q187*Ramure*Pc/MaxiM</f>
        <v>1.7938860522928562E-5</v>
      </c>
      <c r="Q187" s="305">
        <f t="shared" si="53"/>
        <v>0.5</v>
      </c>
      <c r="R187" s="177">
        <f t="shared" si="54"/>
        <v>0.78266415924517463</v>
      </c>
      <c r="S187" s="811">
        <f t="shared" si="55"/>
        <v>-2</v>
      </c>
      <c r="T187" s="176">
        <f t="shared" si="56"/>
        <v>4</v>
      </c>
      <c r="U187" s="251">
        <f t="shared" si="57"/>
        <v>-1.2173358407548254</v>
      </c>
      <c r="V187" s="383">
        <f t="shared" si="58"/>
        <v>56.594393045045379</v>
      </c>
      <c r="W187" s="402">
        <f t="shared" si="59"/>
        <v>37.264519235863247</v>
      </c>
      <c r="X187" s="157">
        <f t="shared" si="60"/>
        <v>46195</v>
      </c>
      <c r="Y187" s="385">
        <f t="shared" si="61"/>
        <v>35.865945814287215</v>
      </c>
      <c r="Z187" s="385">
        <f t="shared" si="62"/>
        <v>38.248138791048333</v>
      </c>
      <c r="AA187" s="386">
        <f t="shared" si="63"/>
        <v>41.464653793685841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7.7572455292688608E-2</v>
      </c>
      <c r="AD187" s="231">
        <f>(INDEX(Models!$BJ187:$BT187,,AH187)*(1-AF187)+INDEX(Models!$BJ187:$BT187,,AH187+1)*AF187-ERP_i)*AE187*Ramure*Pc/MaxiM</f>
        <v>1.7252149858467493E-4</v>
      </c>
      <c r="AE187" s="305">
        <f t="shared" si="65"/>
        <v>0.5</v>
      </c>
      <c r="AF187" s="177">
        <f t="shared" si="66"/>
        <v>0.30765172561915355</v>
      </c>
      <c r="AG187" s="811">
        <f t="shared" si="74"/>
        <v>2</v>
      </c>
      <c r="AH187" s="176">
        <f t="shared" si="67"/>
        <v>8</v>
      </c>
      <c r="AI187" s="225">
        <f t="shared" si="68"/>
        <v>2.3076517256191535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39.801216582376853</v>
      </c>
      <c r="C188" s="841"/>
      <c r="D188" s="393">
        <f t="shared" si="50"/>
        <v>42.445717374276605</v>
      </c>
      <c r="E188" s="385">
        <f t="shared" si="75"/>
        <v>44.295716543248432</v>
      </c>
      <c r="F188" s="385">
        <f t="shared" si="51"/>
        <v>44.296179975587059</v>
      </c>
      <c r="G188" s="110">
        <f t="shared" si="76"/>
        <v>0.7041921453824298</v>
      </c>
      <c r="H188" s="414" t="b">
        <f>Wh_hp&gt;='2025'!Maxi_hp</f>
        <v>0</v>
      </c>
      <c r="I188" s="390">
        <f>IF(H188,Wh_hp,'2025'!Maxi_hp)</f>
        <v>55.386626209177535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6.2303123977883401E-2</v>
      </c>
      <c r="M188" s="845"/>
      <c r="N188" s="845"/>
      <c r="O188" s="48">
        <f>IF(t&lt;Tnet,'2025'!Resal+('2025'!Salim-'2025'!Resal)*(1-EXP(('2025'!Tnet-t)/('2025'!Tau_j))),Resal+(Salim-Resal)*(1-EXP((Tnet-t)/(Tau_j))))*Salcycl</f>
        <v>4.1764741906038801E-2</v>
      </c>
      <c r="P188" s="169">
        <f>(INDEX(Models!$BJ188:$BT188,,T188)*(1-R188)+INDEX(Models!$BJ188:$BT188,,T188+1)*R188-ERP_i)*Q188*Ramure*Pc/MaxiM</f>
        <v>1.8118591683855223E-5</v>
      </c>
      <c r="Q188" s="305">
        <f t="shared" si="53"/>
        <v>0.5</v>
      </c>
      <c r="R188" s="177">
        <f t="shared" si="54"/>
        <v>0.78748477407639661</v>
      </c>
      <c r="S188" s="811">
        <f t="shared" si="55"/>
        <v>-2</v>
      </c>
      <c r="T188" s="176">
        <f t="shared" si="56"/>
        <v>4</v>
      </c>
      <c r="U188" s="251">
        <f t="shared" si="57"/>
        <v>-1.2125152259236034</v>
      </c>
      <c r="V188" s="383">
        <f t="shared" si="58"/>
        <v>56.519959933712052</v>
      </c>
      <c r="W188" s="402">
        <f t="shared" si="59"/>
        <v>39.801216582376853</v>
      </c>
      <c r="X188" s="157">
        <f t="shared" si="60"/>
        <v>46196</v>
      </c>
      <c r="Y188" s="385">
        <f t="shared" si="61"/>
        <v>38.307846386756118</v>
      </c>
      <c r="Z188" s="385">
        <f t="shared" si="62"/>
        <v>40.853123612040896</v>
      </c>
      <c r="AA188" s="386">
        <f t="shared" si="63"/>
        <v>44.291734728249182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7.7635503267275391E-2</v>
      </c>
      <c r="AD188" s="231">
        <f>(INDEX(Models!$BJ188:$BT188,,AH188)*(1-AF188)+INDEX(Models!$BJ188:$BT188,,AH188+1)*AF188-ERP_i)*AE188*Ramure*Pc/MaxiM</f>
        <v>1.737937013347412E-4</v>
      </c>
      <c r="AE188" s="305">
        <f t="shared" si="65"/>
        <v>0.5</v>
      </c>
      <c r="AF188" s="177">
        <f t="shared" si="66"/>
        <v>0.31247234045037553</v>
      </c>
      <c r="AG188" s="811">
        <f t="shared" si="74"/>
        <v>2</v>
      </c>
      <c r="AH188" s="176">
        <f t="shared" si="67"/>
        <v>8</v>
      </c>
      <c r="AI188" s="225">
        <f t="shared" si="68"/>
        <v>2.3124723404503755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38.0395153408654</v>
      </c>
      <c r="C189" s="841"/>
      <c r="D189" s="393">
        <f t="shared" si="50"/>
        <v>40.567852463687629</v>
      </c>
      <c r="E189" s="385">
        <f t="shared" si="75"/>
        <v>42.339772641273946</v>
      </c>
      <c r="F189" s="385">
        <f t="shared" si="51"/>
        <v>42.340186230551595</v>
      </c>
      <c r="G189" s="110">
        <f t="shared" si="76"/>
        <v>0.67391827316490016</v>
      </c>
      <c r="H189" s="414" t="b">
        <f>Wh_hp&gt;='2025'!Maxi_hp</f>
        <v>0</v>
      </c>
      <c r="I189" s="390">
        <f>IF(H189,Wh_hp,'2025'!Maxi_hp)</f>
        <v>62.031075143124923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6.2323661946003917E-2</v>
      </c>
      <c r="M189" s="845"/>
      <c r="N189" s="845"/>
      <c r="O189" s="48">
        <f>IF(t&lt;Tnet,'2025'!Resal+('2025'!Salim-'2025'!Resal)*(1-EXP(('2025'!Tnet-t)/('2025'!Tau_j))),Resal+(Salim-Resal)*(1-EXP((Tnet-t)/(Tau_j))))*Salcycl</f>
        <v>4.1850016356937213E-2</v>
      </c>
      <c r="P189" s="169">
        <f>(INDEX(Models!$BJ189:$BT189,,T189)*(1-R189)+INDEX(Models!$BJ189:$BT189,,T189+1)*R189-ERP_i)*Q189*Ramure*Pc/MaxiM</f>
        <v>1.8286525258168107E-5</v>
      </c>
      <c r="Q189" s="305">
        <f t="shared" si="53"/>
        <v>0.5</v>
      </c>
      <c r="R189" s="177">
        <f t="shared" si="54"/>
        <v>0.79225397645793905</v>
      </c>
      <c r="S189" s="811">
        <f t="shared" si="55"/>
        <v>-2</v>
      </c>
      <c r="T189" s="176">
        <f t="shared" si="56"/>
        <v>4</v>
      </c>
      <c r="U189" s="251">
        <f t="shared" si="57"/>
        <v>-1.207746023542061</v>
      </c>
      <c r="V189" s="383">
        <f t="shared" si="58"/>
        <v>56.444813594049215</v>
      </c>
      <c r="W189" s="402">
        <f t="shared" si="59"/>
        <v>38.0395153408654</v>
      </c>
      <c r="X189" s="157">
        <f t="shared" si="60"/>
        <v>46197</v>
      </c>
      <c r="Y189" s="385">
        <f t="shared" si="61"/>
        <v>36.613272704779021</v>
      </c>
      <c r="Z189" s="385">
        <f t="shared" si="62"/>
        <v>39.04681308346148</v>
      </c>
      <c r="AA189" s="386">
        <f t="shared" si="63"/>
        <v>42.33622073557099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7.7697243517670517E-2</v>
      </c>
      <c r="AD189" s="231">
        <f>(INDEX(Models!$BJ189:$BT189,,AH189)*(1-AF189)+INDEX(Models!$BJ189:$BT189,,AH189+1)*AF189-ERP_i)*AE189*Ramure*Pc/MaxiM</f>
        <v>1.753312477924094E-4</v>
      </c>
      <c r="AE189" s="305">
        <f t="shared" si="65"/>
        <v>0.5</v>
      </c>
      <c r="AF189" s="177">
        <f t="shared" si="66"/>
        <v>0.31724154283191774</v>
      </c>
      <c r="AG189" s="811">
        <f t="shared" si="74"/>
        <v>2</v>
      </c>
      <c r="AH189" s="176">
        <f t="shared" si="67"/>
        <v>8</v>
      </c>
      <c r="AI189" s="225">
        <f t="shared" si="68"/>
        <v>2.3172415428319177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33.476280788031779</v>
      </c>
      <c r="C190" s="841"/>
      <c r="D190" s="393">
        <f t="shared" si="50"/>
        <v>35.702099607239475</v>
      </c>
      <c r="E190" s="385">
        <f t="shared" si="75"/>
        <v>37.264782256419394</v>
      </c>
      <c r="F190" s="385">
        <f t="shared" si="51"/>
        <v>37.265070776848965</v>
      </c>
      <c r="G190" s="110">
        <f t="shared" si="76"/>
        <v>0.59386756255939732</v>
      </c>
      <c r="H190" s="414" t="b">
        <f>Wh_hp&gt;='2025'!Maxi_hp</f>
        <v>0</v>
      </c>
      <c r="I190" s="390">
        <f>IF(H190,Wh_hp,'2025'!Maxi_hp)</f>
        <v>59.517932616441065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6.2344199464290151E-2</v>
      </c>
      <c r="M190" s="845"/>
      <c r="N190" s="845"/>
      <c r="O190" s="48">
        <f>IF(t&lt;Tnet,'2025'!Resal+('2025'!Salim-'2025'!Resal)*(1-EXP(('2025'!Tnet-t)/('2025'!Tau_j))),Resal+(Salim-Resal)*(1-EXP((Tnet-t)/(Tau_j))))*Salcycl</f>
        <v>4.1934570781256328E-2</v>
      </c>
      <c r="P190" s="169">
        <f>(INDEX(Models!$BJ190:$BT190,,T190)*(1-R190)+INDEX(Models!$BJ190:$BT190,,T190+1)*R190-ERP_i)*Q190*Ramure*Pc/MaxiM</f>
        <v>1.8442152893518647E-5</v>
      </c>
      <c r="Q190" s="305">
        <f t="shared" si="53"/>
        <v>0.5</v>
      </c>
      <c r="R190" s="177">
        <f t="shared" si="54"/>
        <v>0.79696862384891487</v>
      </c>
      <c r="S190" s="811">
        <f t="shared" si="55"/>
        <v>-2</v>
      </c>
      <c r="T190" s="176">
        <f t="shared" si="56"/>
        <v>4</v>
      </c>
      <c r="U190" s="251">
        <f t="shared" si="57"/>
        <v>-1.2030313761510851</v>
      </c>
      <c r="V190" s="383">
        <f t="shared" si="58"/>
        <v>56.369340080584443</v>
      </c>
      <c r="W190" s="402">
        <f t="shared" si="59"/>
        <v>33.476280788031779</v>
      </c>
      <c r="X190" s="157">
        <f t="shared" si="60"/>
        <v>46198</v>
      </c>
      <c r="Y190" s="385">
        <f t="shared" si="61"/>
        <v>32.222419393115509</v>
      </c>
      <c r="Z190" s="385">
        <f t="shared" si="62"/>
        <v>34.364869683209882</v>
      </c>
      <c r="AA190" s="386">
        <f t="shared" si="63"/>
        <v>37.262299500669144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7.7757676157565972E-2</v>
      </c>
      <c r="AD190" s="231">
        <f>(INDEX(Models!$BJ190:$BT190,,AH190)*(1-AF190)+INDEX(Models!$BJ190:$BT190,,AH190+1)*AF190-ERP_i)*AE190*Ramure*Pc/MaxiM</f>
        <v>1.7713927257863714E-4</v>
      </c>
      <c r="AE190" s="305">
        <f t="shared" si="65"/>
        <v>0.5</v>
      </c>
      <c r="AF190" s="177">
        <f t="shared" si="66"/>
        <v>0.32195619022289357</v>
      </c>
      <c r="AG190" s="811">
        <f t="shared" si="74"/>
        <v>2</v>
      </c>
      <c r="AH190" s="176">
        <f t="shared" si="67"/>
        <v>8</v>
      </c>
      <c r="AI190" s="225">
        <f t="shared" si="68"/>
        <v>2.3219561902228936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11.232226640897485</v>
      </c>
      <c r="C191" s="841"/>
      <c r="D191" s="393">
        <f t="shared" si="50"/>
        <v>11.979313362599266</v>
      </c>
      <c r="E191" s="385">
        <f t="shared" si="75"/>
        <v>12.504742700660499</v>
      </c>
      <c r="F191" s="385">
        <f t="shared" si="51"/>
        <v>12.504742700660499</v>
      </c>
      <c r="G191" s="110">
        <f t="shared" si="76"/>
        <v>0.19952792902458552</v>
      </c>
      <c r="H191" s="414" t="b">
        <f>Wh_hp&gt;='2025'!Maxi_hp</f>
        <v>0</v>
      </c>
      <c r="I191" s="390">
        <f>IF(H191,Wh_hp,'2025'!Maxi_hp)</f>
        <v>61.557220620707511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6.2364736532752096E-2</v>
      </c>
      <c r="M191" s="845"/>
      <c r="N191" s="845"/>
      <c r="O191" s="48">
        <f>IF(t&lt;Tnet,'2025'!Resal+('2025'!Salim-'2025'!Resal)*(1-EXP(('2025'!Tnet-t)/('2025'!Tau_j))),Resal+(Salim-Resal)*(1-EXP((Tnet-t)/(Tau_j))))*Salcycl</f>
        <v>4.2018404587683356E-2</v>
      </c>
      <c r="P191" s="169">
        <f>(INDEX(Models!$BJ191:$BT191,,T191)*(1-R191)+INDEX(Models!$BJ191:$BT191,,T191+1)*R191-ERP_i)*Q191*Ramure*Pc/MaxiM</f>
        <v>1.858529996055251E-5</v>
      </c>
      <c r="Q191" s="305">
        <f t="shared" si="53"/>
        <v>0.5</v>
      </c>
      <c r="R191" s="177">
        <f t="shared" si="54"/>
        <v>0.80162573618974697</v>
      </c>
      <c r="S191" s="811">
        <f t="shared" si="55"/>
        <v>-2</v>
      </c>
      <c r="T191" s="176">
        <f t="shared" si="56"/>
        <v>4</v>
      </c>
      <c r="U191" s="251">
        <f t="shared" si="57"/>
        <v>-1.198374263810253</v>
      </c>
      <c r="V191" s="383">
        <f t="shared" si="58"/>
        <v>56.292960797544026</v>
      </c>
      <c r="W191" s="402">
        <f t="shared" si="59"/>
        <v>11.232226640897485</v>
      </c>
      <c r="X191" s="157">
        <f t="shared" si="60"/>
        <v>46199</v>
      </c>
      <c r="Y191" s="385">
        <f t="shared" si="61"/>
        <v>10.812494416619684</v>
      </c>
      <c r="Z191" s="385">
        <f t="shared" si="62"/>
        <v>11.531663577409137</v>
      </c>
      <c r="AA191" s="386">
        <f t="shared" si="63"/>
        <v>12.504742700660499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7.7816804915143395E-2</v>
      </c>
      <c r="AD191" s="231">
        <f>(INDEX(Models!$BJ191:$BT191,,AH191)*(1-AF191)+INDEX(Models!$BJ191:$BT191,,AH191+1)*AF191-ERP_i)*AE191*Ramure*Pc/MaxiM</f>
        <v>1.7922575423509181E-4</v>
      </c>
      <c r="AE191" s="305">
        <f t="shared" si="65"/>
        <v>0.5</v>
      </c>
      <c r="AF191" s="177">
        <f t="shared" si="66"/>
        <v>0.32661330256372612</v>
      </c>
      <c r="AG191" s="811">
        <f t="shared" si="74"/>
        <v>2</v>
      </c>
      <c r="AH191" s="176">
        <f t="shared" si="67"/>
        <v>8</v>
      </c>
      <c r="AI191" s="225">
        <f t="shared" si="68"/>
        <v>2.3266133025637261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12.260857382360625</v>
      </c>
      <c r="C192" s="841"/>
      <c r="D192" s="393">
        <f t="shared" si="50"/>
        <v>13.076647615775366</v>
      </c>
      <c r="E192" s="385">
        <f t="shared" si="75"/>
        <v>13.651391955034541</v>
      </c>
      <c r="F192" s="385">
        <f t="shared" si="51"/>
        <v>13.651391955034541</v>
      </c>
      <c r="G192" s="110">
        <f t="shared" si="76"/>
        <v>0.21810304676054806</v>
      </c>
      <c r="H192" s="414" t="b">
        <f>Wh_hp&gt;='2025'!Maxi_hp</f>
        <v>0</v>
      </c>
      <c r="I192" s="390">
        <f>IF(H192,Wh_hp,'2025'!Maxi_hp)</f>
        <v>61.321800192772599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6.2385273151399412E-2</v>
      </c>
      <c r="M192" s="845"/>
      <c r="N192" s="845"/>
      <c r="O192" s="48">
        <f>IF(t&lt;Tnet,'2025'!Resal+('2025'!Salim-'2025'!Resal)*(1-EXP(('2025'!Tnet-t)/('2025'!Tau_j))),Resal+(Salim-Resal)*(1-EXP((Tnet-t)/(Tau_j))))*Salcycl</f>
        <v>4.210151910898819E-2</v>
      </c>
      <c r="P192" s="169">
        <f>(INDEX(Models!$BJ192:$BT192,,T192)*(1-R192)+INDEX(Models!$BJ192:$BT192,,T192+1)*R192-ERP_i)*Q192*Ramure*Pc/MaxiM</f>
        <v>1.8737610471459994E-5</v>
      </c>
      <c r="Q192" s="305">
        <f t="shared" si="53"/>
        <v>0.5</v>
      </c>
      <c r="R192" s="177">
        <f t="shared" si="54"/>
        <v>0.80622250160746423</v>
      </c>
      <c r="S192" s="811">
        <f t="shared" si="55"/>
        <v>-2</v>
      </c>
      <c r="T192" s="176">
        <f t="shared" si="56"/>
        <v>4</v>
      </c>
      <c r="U192" s="251">
        <f t="shared" si="57"/>
        <v>-1.1937774983925358</v>
      </c>
      <c r="V192" s="383">
        <f t="shared" si="58"/>
        <v>56.214838927269547</v>
      </c>
      <c r="W192" s="402">
        <f t="shared" si="59"/>
        <v>12.260857382360625</v>
      </c>
      <c r="X192" s="157">
        <f t="shared" si="60"/>
        <v>46200</v>
      </c>
      <c r="Y192" s="385">
        <f t="shared" si="61"/>
        <v>11.80297055422816</v>
      </c>
      <c r="Z192" s="385">
        <f t="shared" si="62"/>
        <v>12.588294761430321</v>
      </c>
      <c r="AA192" s="386">
        <f t="shared" si="63"/>
        <v>13.651391955034541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7.7874637041108183E-2</v>
      </c>
      <c r="AD192" s="231">
        <f>(INDEX(Models!$BJ192:$BT192,,AH192)*(1-AF192)+INDEX(Models!$BJ192:$BT192,,AH192+1)*AF192-ERP_i)*AE192*Ramure*Pc/MaxiM</f>
        <v>1.8278714595132124E-4</v>
      </c>
      <c r="AE192" s="305">
        <f t="shared" si="65"/>
        <v>0.5</v>
      </c>
      <c r="AF192" s="177">
        <f t="shared" si="66"/>
        <v>0.33121006798144315</v>
      </c>
      <c r="AG192" s="811">
        <f t="shared" si="74"/>
        <v>2</v>
      </c>
      <c r="AH192" s="176">
        <f t="shared" si="67"/>
        <v>8</v>
      </c>
      <c r="AI192" s="225">
        <f t="shared" si="68"/>
        <v>2.3312100679814431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55.660476887122499</v>
      </c>
      <c r="C193" s="841"/>
      <c r="D193" s="393">
        <f t="shared" si="50"/>
        <v>59.365210920055439</v>
      </c>
      <c r="E193" s="385">
        <f t="shared" si="75"/>
        <v>61.979760006146826</v>
      </c>
      <c r="F193" s="385">
        <f t="shared" si="51"/>
        <v>61.980917550936255</v>
      </c>
      <c r="G193" s="110">
        <f t="shared" si="76"/>
        <v>0.99154697673706049</v>
      </c>
      <c r="H193" s="414" t="b">
        <f>Wh_hp&gt;='2025'!Maxi_hp</f>
        <v>0</v>
      </c>
      <c r="I193" s="390">
        <f>IF(H193,Wh_hp,'2025'!Maxi_hp)</f>
        <v>61.980926256380272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6.24058093202422E-2</v>
      </c>
      <c r="M193" s="845"/>
      <c r="N193" s="845"/>
      <c r="O193" s="48">
        <f>IF(t&lt;Tnet,'2025'!Resal+('2025'!Salim-'2025'!Resal)*(1-EXP(('2025'!Tnet-t)/('2025'!Tau_j))),Resal+(Salim-Resal)*(1-EXP((Tnet-t)/(Tau_j))))*Salcycl</f>
        <v>4.2183917553602873E-2</v>
      </c>
      <c r="P193" s="169">
        <f>(INDEX(Models!$BJ193:$BT193,,T193)*(1-R193)+INDEX(Models!$BJ193:$BT193,,T193+1)*R193-ERP_i)*Q193*Ramure*Pc/MaxiM</f>
        <v>1.8904100351412629E-5</v>
      </c>
      <c r="Q193" s="305">
        <f t="shared" si="53"/>
        <v>0.5</v>
      </c>
      <c r="R193" s="177">
        <f t="shared" si="54"/>
        <v>0.81075628113829379</v>
      </c>
      <c r="S193" s="811">
        <f t="shared" si="55"/>
        <v>-2</v>
      </c>
      <c r="T193" s="176">
        <f t="shared" si="56"/>
        <v>4</v>
      </c>
      <c r="U193" s="251">
        <f t="shared" si="57"/>
        <v>-1.1892437188617062</v>
      </c>
      <c r="V193" s="383">
        <f t="shared" si="58"/>
        <v>56.13497442567288</v>
      </c>
      <c r="W193" s="402">
        <f t="shared" si="59"/>
        <v>55.660476887122499</v>
      </c>
      <c r="X193" s="157">
        <f t="shared" si="60"/>
        <v>46201</v>
      </c>
      <c r="Y193" s="385">
        <f t="shared" si="61"/>
        <v>53.574200880203989</v>
      </c>
      <c r="Z193" s="385">
        <f t="shared" si="62"/>
        <v>57.14007340570506</v>
      </c>
      <c r="AA193" s="386">
        <f t="shared" si="63"/>
        <v>61.969423935046791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7.7931183197759199E-2</v>
      </c>
      <c r="AD193" s="231">
        <f>(INDEX(Models!$BJ193:$BT193,,AH193)*(1-AF193)+INDEX(Models!$BJ193:$BT193,,AH193+1)*AF193-ERP_i)*AE193*Ramure*Pc/MaxiM</f>
        <v>1.8770458833065461E-4</v>
      </c>
      <c r="AE193" s="305">
        <f t="shared" si="65"/>
        <v>0.5</v>
      </c>
      <c r="AF193" s="177">
        <f t="shared" si="66"/>
        <v>0.33574384751227271</v>
      </c>
      <c r="AG193" s="811">
        <f t="shared" si="74"/>
        <v>2</v>
      </c>
      <c r="AH193" s="176">
        <f t="shared" si="67"/>
        <v>8</v>
      </c>
      <c r="AI193" s="225">
        <f t="shared" si="68"/>
        <v>2.3357438475122727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52.844288203992768</v>
      </c>
      <c r="C194" s="841"/>
      <c r="D194" s="393">
        <f t="shared" si="50"/>
        <v>56.362812590129003</v>
      </c>
      <c r="E194" s="385">
        <f t="shared" si="75"/>
        <v>58.850149771433315</v>
      </c>
      <c r="F194" s="385">
        <f t="shared" si="51"/>
        <v>58.851181095465229</v>
      </c>
      <c r="G194" s="110">
        <f t="shared" si="76"/>
        <v>0.94274810195997194</v>
      </c>
      <c r="H194" s="414" t="b">
        <f>Wh_hp&gt;='2025'!Maxi_hp</f>
        <v>0</v>
      </c>
      <c r="I194" s="390">
        <f>IF(H194,Wh_hp,'2025'!Maxi_hp)</f>
        <v>58.851237306209754</v>
      </c>
      <c r="J194" s="85">
        <f>IF(H194,An,'2025'!An_max)</f>
        <v>2025</v>
      </c>
      <c r="K194" s="197">
        <f t="shared" si="52"/>
        <v>46202</v>
      </c>
      <c r="L194" s="147">
        <f>IF(t&lt;Tvie,1-EXP((T0-t)*PertePVj)+'2025'!Pspv,1-EXP((T0-t)*PertePVj)+Pspv)</f>
        <v>6.2426345039290121E-2</v>
      </c>
      <c r="M194" s="845"/>
      <c r="N194" s="845"/>
      <c r="O194" s="48">
        <f>IF(t&lt;Tnet,'2025'!Resal+('2025'!Salim-'2025'!Resal)*(1-EXP(('2025'!Tnet-t)/('2025'!Tau_j))),Resal+(Salim-Resal)*(1-EXP((Tnet-t)/(Tau_j))))*Salcycl</f>
        <v>4.2265604946883237E-2</v>
      </c>
      <c r="P194" s="169">
        <f>(INDEX(Models!$BJ194:$BT194,,T194)*(1-R194)+INDEX(Models!$BJ194:$BT194,,T194+1)*R194-ERP_i)*Q194*Ramure*Pc/MaxiM</f>
        <v>1.9085177237605032E-5</v>
      </c>
      <c r="Q194" s="305">
        <f t="shared" si="53"/>
        <v>0.5</v>
      </c>
      <c r="R194" s="177">
        <f t="shared" si="54"/>
        <v>0.81522461247006595</v>
      </c>
      <c r="S194" s="811">
        <f t="shared" si="55"/>
        <v>-2</v>
      </c>
      <c r="T194" s="176">
        <f t="shared" si="56"/>
        <v>4</v>
      </c>
      <c r="U194" s="251">
        <f t="shared" si="57"/>
        <v>-1.1847753875299341</v>
      </c>
      <c r="V194" s="383">
        <f t="shared" si="58"/>
        <v>56.053367392299521</v>
      </c>
      <c r="W194" s="402">
        <f t="shared" si="59"/>
        <v>52.844288203992768</v>
      </c>
      <c r="X194" s="157">
        <f t="shared" si="60"/>
        <v>46202</v>
      </c>
      <c r="Y194" s="385">
        <f t="shared" si="61"/>
        <v>50.865170963923553</v>
      </c>
      <c r="Z194" s="385">
        <f t="shared" si="62"/>
        <v>54.251920043609928</v>
      </c>
      <c r="AA194" s="386">
        <f t="shared" si="63"/>
        <v>58.840697595940576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7.7986457329955725E-2</v>
      </c>
      <c r="AD194" s="231">
        <f>(INDEX(Models!$BJ194:$BT194,,AH194)*(1-AF194)+INDEX(Models!$BJ194:$BT194,,AH194+1)*AF194-ERP_i)*AE194*Ramure*Pc/MaxiM</f>
        <v>1.9400250581505762E-4</v>
      </c>
      <c r="AE194" s="305">
        <f t="shared" si="65"/>
        <v>0.5</v>
      </c>
      <c r="AF194" s="177">
        <f t="shared" si="66"/>
        <v>0.34021217884404509</v>
      </c>
      <c r="AG194" s="811">
        <f t="shared" si="74"/>
        <v>2</v>
      </c>
      <c r="AH194" s="176">
        <f t="shared" si="67"/>
        <v>8</v>
      </c>
      <c r="AI194" s="225">
        <f t="shared" si="68"/>
        <v>2.3402121788440451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13.13891253168714</v>
      </c>
      <c r="C195" s="841"/>
      <c r="D195" s="393">
        <f t="shared" si="50"/>
        <v>14.014045983881125</v>
      </c>
      <c r="E195" s="385">
        <f t="shared" si="75"/>
        <v>14.633734719880019</v>
      </c>
      <c r="F195" s="385">
        <f t="shared" si="51"/>
        <v>14.633734719880019</v>
      </c>
      <c r="G195" s="110">
        <f t="shared" si="76"/>
        <v>0.23474459556935601</v>
      </c>
      <c r="H195" s="414" t="b">
        <f>Wh_hp&gt;='2025'!Maxi_hp</f>
        <v>0</v>
      </c>
      <c r="I195" s="390">
        <f>IF(H195,Wh_hp,'2025'!Maxi_hp)</f>
        <v>52.467807817786799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6.2446880308553165E-2</v>
      </c>
      <c r="M195" s="845"/>
      <c r="N195" s="845"/>
      <c r="O195" s="48">
        <f>IF(t&lt;Tnet,'2025'!Resal+('2025'!Salim-'2025'!Resal)*(1-EXP(('2025'!Tnet-t)/('2025'!Tau_j))),Resal+(Salim-Resal)*(1-EXP((Tnet-t)/(Tau_j))))*Salcycl</f>
        <v>4.234658806251583E-2</v>
      </c>
      <c r="P195" s="169">
        <f>(INDEX(Models!$BJ195:$BT195,,T195)*(1-R195)+INDEX(Models!$BJ195:$BT195,,T195+1)*R195-ERP_i)*Q195*Ramure*Pc/MaxiM</f>
        <v>1.928124604066987E-5</v>
      </c>
      <c r="Q195" s="305">
        <f t="shared" si="53"/>
        <v>0.5</v>
      </c>
      <c r="R195" s="177">
        <f t="shared" si="54"/>
        <v>0.81962521271562161</v>
      </c>
      <c r="S195" s="811">
        <f t="shared" si="55"/>
        <v>-2</v>
      </c>
      <c r="T195" s="176">
        <f t="shared" si="56"/>
        <v>4</v>
      </c>
      <c r="U195" s="251">
        <f t="shared" si="57"/>
        <v>-1.1803747872843784</v>
      </c>
      <c r="V195" s="383">
        <f t="shared" si="58"/>
        <v>55.970017819643701</v>
      </c>
      <c r="W195" s="402">
        <f t="shared" si="59"/>
        <v>13.13891253168714</v>
      </c>
      <c r="X195" s="157">
        <f t="shared" si="60"/>
        <v>46203</v>
      </c>
      <c r="Y195" s="385">
        <f t="shared" si="61"/>
        <v>12.649195821550304</v>
      </c>
      <c r="Z195" s="385">
        <f t="shared" si="62"/>
        <v>13.491711089088172</v>
      </c>
      <c r="AA195" s="386">
        <f t="shared" si="63"/>
        <v>14.633734719880019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7.8040476518984617E-2</v>
      </c>
      <c r="AD195" s="231">
        <f>(INDEX(Models!$BJ195:$BT195,,AH195)*(1-AF195)+INDEX(Models!$BJ195:$BT195,,AH195+1)*AF195-ERP_i)*AE195*Ramure*Pc/MaxiM</f>
        <v>2.0170442767718732E-4</v>
      </c>
      <c r="AE195" s="305">
        <f t="shared" si="65"/>
        <v>0.5</v>
      </c>
      <c r="AF195" s="177">
        <f t="shared" si="66"/>
        <v>0.34461277908960053</v>
      </c>
      <c r="AG195" s="811">
        <f t="shared" si="74"/>
        <v>2</v>
      </c>
      <c r="AH195" s="176">
        <f t="shared" si="67"/>
        <v>8</v>
      </c>
      <c r="AI195" s="225">
        <f t="shared" si="68"/>
        <v>2.3446127790896005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47.298788338110434</v>
      </c>
      <c r="C196" s="841"/>
      <c r="D196" s="393">
        <f t="shared" si="50"/>
        <v>50.450287383419465</v>
      </c>
      <c r="E196" s="385">
        <f t="shared" si="75"/>
        <v>52.685571560475374</v>
      </c>
      <c r="F196" s="385">
        <f t="shared" si="51"/>
        <v>52.686373149333377</v>
      </c>
      <c r="G196" s="110">
        <f t="shared" si="76"/>
        <v>0.84635678525200331</v>
      </c>
      <c r="H196" s="414" t="b">
        <f>Wh_hp&gt;='2025'!Maxi_hp</f>
        <v>0</v>
      </c>
      <c r="I196" s="390">
        <f>IF(H196,Wh_hp,'2025'!Maxi_hp)</f>
        <v>60.470455322225597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6.2467415128040993E-2</v>
      </c>
      <c r="M196" s="845"/>
      <c r="N196" s="845"/>
      <c r="O196" s="48">
        <f>IF(t&lt;Tnet,'2025'!Resal+('2025'!Salim-'2025'!Resal)*(1-EXP(('2025'!Tnet-t)/('2025'!Tau_j))),Resal+(Salim-Resal)*(1-EXP((Tnet-t)/(Tau_j))))*Salcycl</f>
        <v>4.2426875344611759E-2</v>
      </c>
      <c r="P196" s="169">
        <f>(INDEX(Models!$BJ196:$BT196,,T196)*(1-R196)+INDEX(Models!$BJ196:$BT196,,T196+1)*R196-ERP_i)*Q196*Ramure*Pc/MaxiM</f>
        <v>1.9492708540186764E-5</v>
      </c>
      <c r="Q196" s="305">
        <f t="shared" si="53"/>
        <v>0.5</v>
      </c>
      <c r="R196" s="177">
        <f t="shared" si="54"/>
        <v>0.82395598023656458</v>
      </c>
      <c r="S196" s="811">
        <f t="shared" si="55"/>
        <v>-2</v>
      </c>
      <c r="T196" s="176">
        <f t="shared" si="56"/>
        <v>4</v>
      </c>
      <c r="U196" s="251">
        <f t="shared" si="57"/>
        <v>-1.1760440197634354</v>
      </c>
      <c r="V196" s="383">
        <f t="shared" si="58"/>
        <v>55.884925598743237</v>
      </c>
      <c r="W196" s="402">
        <f t="shared" si="59"/>
        <v>47.298788338110434</v>
      </c>
      <c r="X196" s="157">
        <f t="shared" si="60"/>
        <v>46204</v>
      </c>
      <c r="Y196" s="385">
        <f t="shared" si="61"/>
        <v>45.530266408914372</v>
      </c>
      <c r="Z196" s="385">
        <f t="shared" si="62"/>
        <v>48.56392955678713</v>
      </c>
      <c r="AA196" s="386">
        <f t="shared" si="63"/>
        <v>52.677703169853395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7.8093260820462557E-2</v>
      </c>
      <c r="AD196" s="231">
        <f>(INDEX(Models!$BJ196:$BT196,,AH196)*(1-AF196)+INDEX(Models!$BJ196:$BT196,,AH196+1)*AF196-ERP_i)*AE196*Ramure*Pc/MaxiM</f>
        <v>2.1083299919307194E-4</v>
      </c>
      <c r="AE196" s="305">
        <f t="shared" si="65"/>
        <v>0.5</v>
      </c>
      <c r="AF196" s="177">
        <f t="shared" si="66"/>
        <v>0.34894354661054328</v>
      </c>
      <c r="AG196" s="811">
        <f t="shared" si="74"/>
        <v>2</v>
      </c>
      <c r="AH196" s="176">
        <f t="shared" si="67"/>
        <v>8</v>
      </c>
      <c r="AI196" s="225">
        <f t="shared" si="68"/>
        <v>2.3489435466105433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52.690189207250334</v>
      </c>
      <c r="C197" s="841"/>
      <c r="D197" s="393">
        <f t="shared" si="50"/>
        <v>56.202146072707627</v>
      </c>
      <c r="E197" s="385">
        <f t="shared" si="75"/>
        <v>58.697155345881953</v>
      </c>
      <c r="F197" s="385">
        <f t="shared" si="51"/>
        <v>58.698220768121494</v>
      </c>
      <c r="G197" s="110">
        <f t="shared" si="76"/>
        <v>0.94429945605518295</v>
      </c>
      <c r="H197" s="414" t="b">
        <f>Wh_hp&gt;='2025'!Maxi_hp</f>
        <v>0</v>
      </c>
      <c r="I197" s="390">
        <f>IF(H197,Wh_hp,'2025'!Maxi_hp)</f>
        <v>58.698276244050234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6.2487949497763706E-2</v>
      </c>
      <c r="M197" s="845"/>
      <c r="N197" s="845"/>
      <c r="O197" s="48">
        <f>IF(t&lt;Tnet,'2025'!Resal+('2025'!Salim-'2025'!Resal)*(1-EXP(('2025'!Tnet-t)/('2025'!Tau_j))),Resal+(Salim-Resal)*(1-EXP((Tnet-t)/(Tau_j))))*Salcycl</f>
        <v>4.2506476821101584E-2</v>
      </c>
      <c r="P197" s="169">
        <f>(INDEX(Models!$BJ197:$BT197,,T197)*(1-R197)+INDEX(Models!$BJ197:$BT197,,T197+1)*R197-ERP_i)*Q197*Ramure*Pc/MaxiM</f>
        <v>1.9719963065038967E-5</v>
      </c>
      <c r="Q197" s="305">
        <f t="shared" si="53"/>
        <v>0.5</v>
      </c>
      <c r="R197" s="177">
        <f t="shared" si="54"/>
        <v>0.82821499554422529</v>
      </c>
      <c r="S197" s="811">
        <f t="shared" si="55"/>
        <v>-2</v>
      </c>
      <c r="T197" s="176">
        <f t="shared" si="56"/>
        <v>4</v>
      </c>
      <c r="U197" s="251">
        <f t="shared" si="57"/>
        <v>-1.1717850044557747</v>
      </c>
      <c r="V197" s="383">
        <f t="shared" si="58"/>
        <v>55.798090521702377</v>
      </c>
      <c r="W197" s="402">
        <f t="shared" si="59"/>
        <v>52.690189207250334</v>
      </c>
      <c r="X197" s="157">
        <f t="shared" si="60"/>
        <v>46205</v>
      </c>
      <c r="Y197" s="385">
        <f t="shared" si="61"/>
        <v>50.719618161023035</v>
      </c>
      <c r="Z197" s="385">
        <f t="shared" si="62"/>
        <v>54.100230641144222</v>
      </c>
      <c r="AA197" s="386">
        <f t="shared" si="63"/>
        <v>58.686258517528174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7.8144833087531243E-2</v>
      </c>
      <c r="AD197" s="231">
        <f>(INDEX(Models!$BJ197:$BT197,,AH197)*(1-AF197)+INDEX(Models!$BJ197:$BT197,,AH197+1)*AF197-ERP_i)*AE197*Ramure*Pc/MaxiM</f>
        <v>2.2141000170700762E-4</v>
      </c>
      <c r="AE197" s="305">
        <f t="shared" si="65"/>
        <v>0.5</v>
      </c>
      <c r="AF197" s="177">
        <f t="shared" si="66"/>
        <v>0.35320256191820398</v>
      </c>
      <c r="AG197" s="811">
        <f t="shared" si="74"/>
        <v>2</v>
      </c>
      <c r="AH197" s="176">
        <f t="shared" si="67"/>
        <v>8</v>
      </c>
      <c r="AI197" s="225">
        <f t="shared" si="68"/>
        <v>2.353202561918204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43.905904876436601</v>
      </c>
      <c r="C198" s="841"/>
      <c r="D198" s="393">
        <f t="shared" si="50"/>
        <v>46.833388995881826</v>
      </c>
      <c r="E198" s="385">
        <f t="shared" si="75"/>
        <v>48.916518707771658</v>
      </c>
      <c r="F198" s="385">
        <f t="shared" si="51"/>
        <v>48.917206546708442</v>
      </c>
      <c r="G198" s="110">
        <f t="shared" si="76"/>
        <v>0.7881175750675915</v>
      </c>
      <c r="H198" s="414" t="b">
        <f>Wh_hp&gt;='2025'!Maxi_hp</f>
        <v>0</v>
      </c>
      <c r="I198" s="390">
        <f>IF(H198,Wh_hp,'2025'!Maxi_hp)</f>
        <v>53.763656051916264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6.2508483417730965E-2</v>
      </c>
      <c r="M198" s="845"/>
      <c r="N198" s="845"/>
      <c r="O198" s="48">
        <f>IF(t&lt;Tnet,'2025'!Resal+('2025'!Salim-'2025'!Resal)*(1-EXP(('2025'!Tnet-t)/('2025'!Tau_j))),Resal+(Salim-Resal)*(1-EXP((Tnet-t)/(Tau_j))))*Salcycl</f>
        <v>4.2585404009113766E-2</v>
      </c>
      <c r="P198" s="169">
        <f>(INDEX(Models!$BJ198:$BT198,,T198)*(1-R198)+INDEX(Models!$BJ198:$BT198,,T198+1)*R198-ERP_i)*Q198*Ramure*Pc/MaxiM</f>
        <v>2.0164823410101088E-5</v>
      </c>
      <c r="Q198" s="305">
        <f t="shared" si="53"/>
        <v>0.5</v>
      </c>
      <c r="R198" s="177">
        <f t="shared" si="54"/>
        <v>0.83240052131152176</v>
      </c>
      <c r="S198" s="811">
        <f t="shared" si="55"/>
        <v>-2</v>
      </c>
      <c r="T198" s="176">
        <f t="shared" si="56"/>
        <v>4</v>
      </c>
      <c r="U198" s="251">
        <f t="shared" si="57"/>
        <v>-1.1675994786884782</v>
      </c>
      <c r="V198" s="383">
        <f t="shared" si="58"/>
        <v>55.709501069893527</v>
      </c>
      <c r="W198" s="402">
        <f t="shared" si="59"/>
        <v>43.905904876436601</v>
      </c>
      <c r="X198" s="157">
        <f t="shared" si="60"/>
        <v>46206</v>
      </c>
      <c r="Y198" s="385">
        <f t="shared" si="61"/>
        <v>42.266558800461183</v>
      </c>
      <c r="Z198" s="385">
        <f t="shared" si="62"/>
        <v>45.084737357996246</v>
      </c>
      <c r="AA198" s="386">
        <f t="shared" si="63"/>
        <v>48.909203202832124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7.8195218780714476E-2</v>
      </c>
      <c r="AD198" s="231">
        <f>(INDEX(Models!$BJ198:$BT198,,AH198)*(1-AF198)+INDEX(Models!$BJ198:$BT198,,AH198+1)*AF198-ERP_i)*AE198*Ramure*Pc/MaxiM</f>
        <v>2.3462762476308843E-4</v>
      </c>
      <c r="AE198" s="305">
        <f t="shared" si="65"/>
        <v>0.5</v>
      </c>
      <c r="AF198" s="177">
        <f t="shared" si="66"/>
        <v>0.35738808768550046</v>
      </c>
      <c r="AG198" s="811">
        <f t="shared" si="74"/>
        <v>2</v>
      </c>
      <c r="AH198" s="176">
        <f t="shared" si="67"/>
        <v>8</v>
      </c>
      <c r="AI198" s="225">
        <f t="shared" si="68"/>
        <v>2.3573880876855005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41.666555324353595</v>
      </c>
      <c r="C199" s="841"/>
      <c r="D199" s="393">
        <f t="shared" si="50"/>
        <v>44.445701333641779</v>
      </c>
      <c r="E199" s="385">
        <f t="shared" si="75"/>
        <v>46.426422911333326</v>
      </c>
      <c r="F199" s="385">
        <f t="shared" si="51"/>
        <v>46.427043634613554</v>
      </c>
      <c r="G199" s="110">
        <f t="shared" si="76"/>
        <v>0.74913477457193189</v>
      </c>
      <c r="H199" s="414" t="b">
        <f>Wh_hp&gt;='2025'!Maxi_hp</f>
        <v>0</v>
      </c>
      <c r="I199" s="390">
        <f>IF(H199,Wh_hp,'2025'!Maxi_hp)</f>
        <v>58.995697367701958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6.2529016887952649E-2</v>
      </c>
      <c r="M199" s="845"/>
      <c r="N199" s="845"/>
      <c r="O199" s="48">
        <f>IF(t&lt;Tnet,'2025'!Resal+('2025'!Salim-'2025'!Resal)*(1-EXP(('2025'!Tnet-t)/('2025'!Tau_j))),Resal+(Salim-Resal)*(1-EXP((Tnet-t)/(Tau_j))))*Salcycl</f>
        <v>4.2663669813080264E-2</v>
      </c>
      <c r="P199" s="169">
        <f>(INDEX(Models!$BJ199:$BT199,,T199)*(1-R199)+INDEX(Models!$BJ199:$BT199,,T199+1)*R199-ERP_i)*Q199*Ramure*Pc/MaxiM</f>
        <v>2.0837372376683237E-5</v>
      </c>
      <c r="Q199" s="305">
        <f t="shared" si="53"/>
        <v>0.5</v>
      </c>
      <c r="R199" s="177">
        <f t="shared" si="54"/>
        <v>0.83651100153547864</v>
      </c>
      <c r="S199" s="811">
        <f t="shared" si="55"/>
        <v>-2</v>
      </c>
      <c r="T199" s="176">
        <f t="shared" si="56"/>
        <v>4</v>
      </c>
      <c r="U199" s="251">
        <f t="shared" si="57"/>
        <v>-1.1634889984645214</v>
      </c>
      <c r="V199" s="383">
        <f t="shared" si="58"/>
        <v>55.619156377662762</v>
      </c>
      <c r="W199" s="402">
        <f t="shared" si="59"/>
        <v>41.666555324353595</v>
      </c>
      <c r="X199" s="157">
        <f t="shared" si="60"/>
        <v>46207</v>
      </c>
      <c r="Y199" s="385">
        <f t="shared" si="61"/>
        <v>40.112049845787425</v>
      </c>
      <c r="Z199" s="385">
        <f t="shared" si="62"/>
        <v>42.787510833274716</v>
      </c>
      <c r="AA199" s="386">
        <f t="shared" si="63"/>
        <v>46.41958557963634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7.8244445765904655E-2</v>
      </c>
      <c r="AD199" s="231">
        <f>(INDEX(Models!$BJ199:$BT199,,AH199)*(1-AF199)+INDEX(Models!$BJ199:$BT199,,AH199+1)*AF199-ERP_i)*AE199*Ramure*Pc/MaxiM</f>
        <v>2.503632032434077E-4</v>
      </c>
      <c r="AE199" s="305">
        <f t="shared" si="65"/>
        <v>0.5</v>
      </c>
      <c r="AF199" s="177">
        <f t="shared" si="66"/>
        <v>0.36149856790945778</v>
      </c>
      <c r="AG199" s="811">
        <f t="shared" si="74"/>
        <v>2</v>
      </c>
      <c r="AH199" s="176">
        <f t="shared" si="67"/>
        <v>8</v>
      </c>
      <c r="AI199" s="225">
        <f t="shared" si="68"/>
        <v>2.3614985679094578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52.206002577231814</v>
      </c>
      <c r="C200" s="841"/>
      <c r="D200" s="393">
        <f t="shared" si="50"/>
        <v>55.689346111181472</v>
      </c>
      <c r="E200" s="385">
        <f t="shared" si="75"/>
        <v>58.175857202753804</v>
      </c>
      <c r="F200" s="385">
        <f t="shared" si="51"/>
        <v>58.177014047495341</v>
      </c>
      <c r="G200" s="110">
        <f t="shared" si="76"/>
        <v>0.94018861344435201</v>
      </c>
      <c r="H200" s="414" t="b">
        <f>Wh_hp&gt;='2025'!Maxi_hp</f>
        <v>0</v>
      </c>
      <c r="I200" s="390">
        <f>IF(H200,Wh_hp,'2025'!Maxi_hp)</f>
        <v>61.322232788721351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6.254954990843864E-2</v>
      </c>
      <c r="M200" s="845"/>
      <c r="N200" s="845"/>
      <c r="O200" s="48">
        <f>IF(t&lt;Tnet,'2025'!Resal+('2025'!Salim-'2025'!Resal)*(1-EXP(('2025'!Tnet-t)/('2025'!Tau_j))),Resal+(Salim-Resal)*(1-EXP((Tnet-t)/(Tau_j))))*Salcycl</f>
        <v>4.2741288416367797E-2</v>
      </c>
      <c r="P200" s="169">
        <f>(INDEX(Models!$BJ200:$BT200,,T200)*(1-R200)+INDEX(Models!$BJ200:$BT200,,T200+1)*R200-ERP_i)*Q200*Ramure*Pc/MaxiM</f>
        <v>2.1742654226963629E-5</v>
      </c>
      <c r="Q200" s="305">
        <f t="shared" si="53"/>
        <v>0.5</v>
      </c>
      <c r="R200" s="177">
        <f t="shared" si="54"/>
        <v>0.8405450598954527</v>
      </c>
      <c r="S200" s="811">
        <f t="shared" si="55"/>
        <v>-2</v>
      </c>
      <c r="T200" s="176">
        <f t="shared" si="56"/>
        <v>4</v>
      </c>
      <c r="U200" s="251">
        <f t="shared" si="57"/>
        <v>-1.1594549401045473</v>
      </c>
      <c r="V200" s="383">
        <f t="shared" si="58"/>
        <v>55.527055787983102</v>
      </c>
      <c r="W200" s="402">
        <f t="shared" si="59"/>
        <v>52.206002577231814</v>
      </c>
      <c r="X200" s="157">
        <f t="shared" si="60"/>
        <v>46208</v>
      </c>
      <c r="Y200" s="385">
        <f t="shared" si="61"/>
        <v>50.255793533880599</v>
      </c>
      <c r="Z200" s="385">
        <f t="shared" si="62"/>
        <v>53.609013179280126</v>
      </c>
      <c r="AA200" s="386">
        <f t="shared" si="63"/>
        <v>58.162720542443559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7.8292544102032166E-2</v>
      </c>
      <c r="AD200" s="231">
        <f>(INDEX(Models!$BJ200:$BT200,,AH200)*(1-AF200)+INDEX(Models!$BJ200:$BT200,,AH200+1)*AF200-ERP_i)*AE200*Ramure*Pc/MaxiM</f>
        <v>2.686434288657779E-4</v>
      </c>
      <c r="AE200" s="305">
        <f t="shared" si="65"/>
        <v>0.5</v>
      </c>
      <c r="AF200" s="177">
        <f t="shared" si="66"/>
        <v>0.36553262626943139</v>
      </c>
      <c r="AG200" s="811">
        <f t="shared" si="74"/>
        <v>2</v>
      </c>
      <c r="AH200" s="176">
        <f t="shared" si="67"/>
        <v>8</v>
      </c>
      <c r="AI200" s="225">
        <f t="shared" si="68"/>
        <v>2.3655326262694314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44.833442355468762</v>
      </c>
      <c r="C201" s="841"/>
      <c r="D201" s="393">
        <f t="shared" si="50"/>
        <v>47.825913721677146</v>
      </c>
      <c r="E201" s="385">
        <f t="shared" si="75"/>
        <v>49.965343550656925</v>
      </c>
      <c r="F201" s="385">
        <f t="shared" si="51"/>
        <v>49.966174686453272</v>
      </c>
      <c r="G201" s="110">
        <f t="shared" si="76"/>
        <v>0.80877819092200876</v>
      </c>
      <c r="H201" s="414" t="b">
        <f>Wh_hp&gt;='2025'!Maxi_hp</f>
        <v>0</v>
      </c>
      <c r="I201" s="390">
        <f>IF(H201,Wh_hp,'2025'!Maxi_hp)</f>
        <v>60.73746121896113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6.2570082479198819E-2</v>
      </c>
      <c r="M201" s="845"/>
      <c r="N201" s="845"/>
      <c r="O201" s="48">
        <f>IF(t&lt;Tnet,'2025'!Resal+('2025'!Salim-'2025'!Resal)*(1-EXP(('2025'!Tnet-t)/('2025'!Tau_j))),Resal+(Salim-Resal)*(1-EXP((Tnet-t)/(Tau_j))))*Salcycl</f>
        <v>4.2818275167281379E-2</v>
      </c>
      <c r="P201" s="169">
        <f>(INDEX(Models!$BJ201:$BT201,,T201)*(1-R201)+INDEX(Models!$BJ201:$BT201,,T201+1)*R201-ERP_i)*Q201*Ramure*Pc/MaxiM</f>
        <v>2.288553780540051E-5</v>
      </c>
      <c r="Q201" s="305">
        <f t="shared" si="53"/>
        <v>0.5</v>
      </c>
      <c r="R201" s="177">
        <f t="shared" si="54"/>
        <v>0.84450149735657876</v>
      </c>
      <c r="S201" s="811">
        <f t="shared" si="55"/>
        <v>-2</v>
      </c>
      <c r="T201" s="176">
        <f t="shared" si="56"/>
        <v>4</v>
      </c>
      <c r="U201" s="251">
        <f t="shared" si="57"/>
        <v>-1.1554985026434212</v>
      </c>
      <c r="V201" s="383">
        <f t="shared" si="58"/>
        <v>55.433198588531404</v>
      </c>
      <c r="W201" s="402">
        <f t="shared" si="59"/>
        <v>44.833442355468762</v>
      </c>
      <c r="X201" s="157">
        <f t="shared" si="60"/>
        <v>46209</v>
      </c>
      <c r="Y201" s="385">
        <f t="shared" si="61"/>
        <v>43.161295731366494</v>
      </c>
      <c r="Z201" s="385">
        <f t="shared" si="62"/>
        <v>46.042157311891813</v>
      </c>
      <c r="AA201" s="386">
        <f t="shared" si="63"/>
        <v>49.95566111476225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7.8339545820042641E-2</v>
      </c>
      <c r="AD201" s="231">
        <f>(INDEX(Models!$BJ201:$BT201,,AH201)*(1-AF201)+INDEX(Models!$BJ201:$BT201,,AH201+1)*AF201-ERP_i)*AE201*Ramure*Pc/MaxiM</f>
        <v>2.8949389914607334E-4</v>
      </c>
      <c r="AE201" s="305">
        <f t="shared" si="65"/>
        <v>0.5</v>
      </c>
      <c r="AF201" s="177">
        <f t="shared" si="66"/>
        <v>0.36948906373055745</v>
      </c>
      <c r="AG201" s="811">
        <f t="shared" si="74"/>
        <v>2</v>
      </c>
      <c r="AH201" s="176">
        <f t="shared" si="67"/>
        <v>8</v>
      </c>
      <c r="AI201" s="225">
        <f t="shared" si="68"/>
        <v>2.3694890637305575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51.493324027150251</v>
      </c>
      <c r="C202" s="841"/>
      <c r="D202" s="393">
        <f t="shared" si="50"/>
        <v>54.931521733368385</v>
      </c>
      <c r="E202" s="385">
        <f t="shared" si="75"/>
        <v>57.393390947208147</v>
      </c>
      <c r="F202" s="385">
        <f t="shared" si="51"/>
        <v>57.39464571188828</v>
      </c>
      <c r="G202" s="110">
        <f t="shared" si="76"/>
        <v>0.93052851707470063</v>
      </c>
      <c r="H202" s="414" t="b">
        <f>Wh_hp&gt;='2025'!Maxi_hp</f>
        <v>0</v>
      </c>
      <c r="I202" s="390">
        <f>IF(H202,Wh_hp,'2025'!Maxi_hp)</f>
        <v>57.394727023568748</v>
      </c>
      <c r="J202" s="85">
        <f>IF(H202,An,'2025'!An_max)</f>
        <v>2025</v>
      </c>
      <c r="K202" s="197">
        <f t="shared" si="52"/>
        <v>46210</v>
      </c>
      <c r="L202" s="147">
        <f>IF(t&lt;Tvie,1-EXP((T0-t)*PertePVj)+'2025'!Pspv,1-EXP((T0-t)*PertePVj)+Pspv)</f>
        <v>6.2590614600242955E-2</v>
      </c>
      <c r="M202" s="845"/>
      <c r="N202" s="845"/>
      <c r="O202" s="48">
        <f>IF(t&lt;Tnet,'2025'!Resal+('2025'!Salim-'2025'!Resal)*(1-EXP(('2025'!Tnet-t)/('2025'!Tau_j))),Resal+(Salim-Resal)*(1-EXP((Tnet-t)/(Tau_j))))*Salcycl</f>
        <v>4.2894646460325946E-2</v>
      </c>
      <c r="P202" s="169">
        <f>(INDEX(Models!$BJ202:$BT202,,T202)*(1-R202)+INDEX(Models!$BJ202:$BT202,,T202+1)*R202-ERP_i)*Q202*Ramure*Pc/MaxiM</f>
        <v>2.4270720496401818E-5</v>
      </c>
      <c r="Q202" s="305">
        <f t="shared" si="53"/>
        <v>0.5</v>
      </c>
      <c r="R202" s="177">
        <f t="shared" si="54"/>
        <v>0.84837928907161819</v>
      </c>
      <c r="S202" s="811">
        <f t="shared" si="55"/>
        <v>-2</v>
      </c>
      <c r="T202" s="176">
        <f t="shared" si="56"/>
        <v>4</v>
      </c>
      <c r="U202" s="251">
        <f t="shared" si="57"/>
        <v>-1.1516207109283818</v>
      </c>
      <c r="V202" s="383">
        <f t="shared" si="58"/>
        <v>55.337584017227506</v>
      </c>
      <c r="W202" s="402">
        <f t="shared" si="59"/>
        <v>51.493324027150251</v>
      </c>
      <c r="X202" s="157">
        <f t="shared" si="60"/>
        <v>46210</v>
      </c>
      <c r="Y202" s="385">
        <f t="shared" si="61"/>
        <v>49.570984663917919</v>
      </c>
      <c r="Z202" s="385">
        <f t="shared" si="62"/>
        <v>52.880828201627658</v>
      </c>
      <c r="AA202" s="386">
        <f t="shared" si="63"/>
        <v>57.37846716109869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7.838548469486363E-2</v>
      </c>
      <c r="AD202" s="231">
        <f>(INDEX(Models!$BJ202:$BT202,,AH202)*(1-AF202)+INDEX(Models!$BJ202:$BT202,,AH202+1)*AF202-ERP_i)*AE202*Ramure*Pc/MaxiM</f>
        <v>3.1293922316142102E-4</v>
      </c>
      <c r="AE202" s="305">
        <f t="shared" si="65"/>
        <v>0.5</v>
      </c>
      <c r="AF202" s="177">
        <f t="shared" si="66"/>
        <v>0.37336685544559733</v>
      </c>
      <c r="AG202" s="811">
        <f t="shared" si="74"/>
        <v>2</v>
      </c>
      <c r="AH202" s="176">
        <f t="shared" si="67"/>
        <v>8</v>
      </c>
      <c r="AI202" s="225">
        <f t="shared" si="68"/>
        <v>2.3733668554455973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54.155154210151387</v>
      </c>
      <c r="C203" s="841"/>
      <c r="D203" s="393">
        <f t="shared" si="50"/>
        <v>57.772347083872262</v>
      </c>
      <c r="E203" s="385">
        <f t="shared" si="75"/>
        <v>60.366312878802937</v>
      </c>
      <c r="F203" s="385">
        <f t="shared" si="51"/>
        <v>60.367832692338233</v>
      </c>
      <c r="G203" s="110">
        <f t="shared" si="76"/>
        <v>0.98035676543460293</v>
      </c>
      <c r="H203" s="414" t="b">
        <f>Wh_hp&gt;='2025'!Maxi_hp</f>
        <v>0</v>
      </c>
      <c r="I203" s="390">
        <f>IF(H203,Wh_hp,'2025'!Maxi_hp)</f>
        <v>63.132463716134929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6.2611146271581042E-2</v>
      </c>
      <c r="M203" s="845"/>
      <c r="N203" s="845"/>
      <c r="O203" s="48">
        <f>IF(t&lt;Tnet,'2025'!Resal+('2025'!Salim-'2025'!Resal)*(1-EXP(('2025'!Tnet-t)/('2025'!Tau_j))),Resal+(Salim-Resal)*(1-EXP((Tnet-t)/(Tau_j))))*Salcycl</f>
        <v>4.2970419613643888E-2</v>
      </c>
      <c r="P203" s="169">
        <f>(INDEX(Models!$BJ203:$BT203,,T203)*(1-R203)+INDEX(Models!$BJ203:$BT203,,T203+1)*R203-ERP_i)*Q203*Ramure*Pc/MaxiM</f>
        <v>2.5902733726972243E-5</v>
      </c>
      <c r="Q203" s="305">
        <f t="shared" si="53"/>
        <v>0.5</v>
      </c>
      <c r="R203" s="177">
        <f t="shared" si="54"/>
        <v>0.85217758063722071</v>
      </c>
      <c r="S203" s="811">
        <f t="shared" si="55"/>
        <v>-2</v>
      </c>
      <c r="T203" s="176">
        <f t="shared" si="56"/>
        <v>4</v>
      </c>
      <c r="U203" s="251">
        <f t="shared" si="57"/>
        <v>-1.1478224193627793</v>
      </c>
      <c r="V203" s="383">
        <f t="shared" si="58"/>
        <v>55.240211273982183</v>
      </c>
      <c r="W203" s="402">
        <f t="shared" si="59"/>
        <v>54.155154210151387</v>
      </c>
      <c r="X203" s="157">
        <f t="shared" si="60"/>
        <v>46211</v>
      </c>
      <c r="Y203" s="385">
        <f t="shared" si="61"/>
        <v>52.132720874913467</v>
      </c>
      <c r="Z203" s="385">
        <f t="shared" si="62"/>
        <v>55.6148290728635</v>
      </c>
      <c r="AA203" s="386">
        <f t="shared" si="63"/>
        <v>60.347942067751518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7.8430396012083389E-2</v>
      </c>
      <c r="AD203" s="231">
        <f>(INDEX(Models!$BJ203:$BT203,,AH203)*(1-AF203)+INDEX(Models!$BJ203:$BT203,,AH203+1)*AF203-ERP_i)*AE203*Ramure*Pc/MaxiM</f>
        <v>3.3900313450816729E-4</v>
      </c>
      <c r="AE203" s="305">
        <f t="shared" si="65"/>
        <v>0.5</v>
      </c>
      <c r="AF203" s="177">
        <f t="shared" si="66"/>
        <v>0.37716514701119941</v>
      </c>
      <c r="AG203" s="811">
        <f t="shared" si="74"/>
        <v>2</v>
      </c>
      <c r="AH203" s="176">
        <f t="shared" si="67"/>
        <v>8</v>
      </c>
      <c r="AI203" s="225">
        <f t="shared" si="68"/>
        <v>2.3771651470111994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53.457969604748889</v>
      </c>
      <c r="C204" s="841"/>
      <c r="D204" s="393">
        <f t="shared" si="50"/>
        <v>57.029844428482257</v>
      </c>
      <c r="E204" s="385">
        <f t="shared" si="75"/>
        <v>59.595154364656509</v>
      </c>
      <c r="F204" s="385">
        <f t="shared" si="51"/>
        <v>59.596738108369777</v>
      </c>
      <c r="G204" s="110">
        <f t="shared" si="76"/>
        <v>0.96947512263320945</v>
      </c>
      <c r="H204" s="414" t="b">
        <f>Wh_hp&gt;='2025'!Maxi_hp</f>
        <v>0</v>
      </c>
      <c r="I204" s="390">
        <f>IF(H204,Wh_hp,'2025'!Maxi_hp)</f>
        <v>60.536567302517156</v>
      </c>
      <c r="J204" s="85">
        <f>IF(H204,An,'2025'!An_max)</f>
        <v>2020</v>
      </c>
      <c r="K204" s="197">
        <f t="shared" si="52"/>
        <v>46212</v>
      </c>
      <c r="L204" s="147">
        <f>IF(t&lt;Tvie,1-EXP((T0-t)*PertePVj)+'2025'!Pspv,1-EXP((T0-t)*PertePVj)+Pspv)</f>
        <v>6.2631677493222737E-2</v>
      </c>
      <c r="M204" s="845"/>
      <c r="N204" s="845"/>
      <c r="O204" s="48">
        <f>IF(t&lt;Tnet,'2025'!Resal+('2025'!Salim-'2025'!Resal)*(1-EXP(('2025'!Tnet-t)/('2025'!Tau_j))),Resal+(Salim-Resal)*(1-EXP((Tnet-t)/(Tau_j))))*Salcycl</f>
        <v>4.3045612743569592E-2</v>
      </c>
      <c r="P204" s="169">
        <f>(INDEX(Models!$BJ204:$BT204,,T204)*(1-R204)+INDEX(Models!$BJ204:$BT204,,T204+1)*R204-ERP_i)*Q204*Ramure*Pc/MaxiM</f>
        <v>2.7785949892536996E-5</v>
      </c>
      <c r="Q204" s="305">
        <f t="shared" si="53"/>
        <v>0.5</v>
      </c>
      <c r="R204" s="177">
        <f t="shared" si="54"/>
        <v>0.85589568376267278</v>
      </c>
      <c r="S204" s="811">
        <f t="shared" si="55"/>
        <v>-2</v>
      </c>
      <c r="T204" s="176">
        <f t="shared" si="56"/>
        <v>4</v>
      </c>
      <c r="U204" s="251">
        <f t="shared" si="57"/>
        <v>-1.1441043162373272</v>
      </c>
      <c r="V204" s="383">
        <f t="shared" si="58"/>
        <v>55.141079522891005</v>
      </c>
      <c r="W204" s="402">
        <f t="shared" si="59"/>
        <v>53.457969604748889</v>
      </c>
      <c r="X204" s="157">
        <f t="shared" si="60"/>
        <v>46212</v>
      </c>
      <c r="Y204" s="385">
        <f t="shared" si="61"/>
        <v>51.462093533446712</v>
      </c>
      <c r="Z204" s="385">
        <f t="shared" si="62"/>
        <v>54.900610888815947</v>
      </c>
      <c r="AA204" s="386">
        <f t="shared" si="63"/>
        <v>59.575779451135666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7.8474316331090754E-2</v>
      </c>
      <c r="AD204" s="231">
        <f>(INDEX(Models!$BJ204:$BT204,,AH204)*(1-AF204)+INDEX(Models!$BJ204:$BT204,,AH204+1)*AF204-ERP_i)*AE204*Ramure*Pc/MaxiM</f>
        <v>3.6770861020044644E-4</v>
      </c>
      <c r="AE204" s="305">
        <f t="shared" si="65"/>
        <v>0.5</v>
      </c>
      <c r="AF204" s="177">
        <f t="shared" si="66"/>
        <v>0.3808832501366517</v>
      </c>
      <c r="AG204" s="811">
        <f t="shared" si="74"/>
        <v>2</v>
      </c>
      <c r="AH204" s="176">
        <f t="shared" si="67"/>
        <v>8</v>
      </c>
      <c r="AI204" s="225">
        <f t="shared" si="68"/>
        <v>2.3808832501366517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52.778223002156025</v>
      </c>
      <c r="C205" s="841"/>
      <c r="D205" s="393">
        <f t="shared" si="50"/>
        <v>56.30591277595618</v>
      </c>
      <c r="E205" s="385">
        <f t="shared" si="75"/>
        <v>58.84324802609202</v>
      </c>
      <c r="F205" s="385">
        <f t="shared" si="51"/>
        <v>58.844905569207647</v>
      </c>
      <c r="G205" s="110">
        <f t="shared" si="76"/>
        <v>0.95890534460290011</v>
      </c>
      <c r="H205" s="414" t="b">
        <f>Wh_hp&gt;='2025'!Maxi_hp</f>
        <v>0</v>
      </c>
      <c r="I205" s="390">
        <f>IF(H205,Wh_hp,'2025'!Maxi_hp)</f>
        <v>59.982897259607313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6.2652208265178033E-2</v>
      </c>
      <c r="M205" s="845"/>
      <c r="N205" s="845"/>
      <c r="O205" s="48">
        <f>IF(t&lt;Tnet,'2025'!Resal+('2025'!Salim-'2025'!Resal)*(1-EXP(('2025'!Tnet-t)/('2025'!Tau_j))),Resal+(Salim-Resal)*(1-EXP((Tnet-t)/(Tau_j))))*Salcycl</f>
        <v>4.3120244637256409E-2</v>
      </c>
      <c r="P205" s="169">
        <f>(INDEX(Models!$BJ205:$BT205,,T205)*(1-R205)+INDEX(Models!$BJ205:$BT205,,T205+1)*R205-ERP_i)*Q205*Ramure*Pc/MaxiM</f>
        <v>2.9924703991668749E-5</v>
      </c>
      <c r="Q205" s="305">
        <f t="shared" si="53"/>
        <v>0.5</v>
      </c>
      <c r="R205" s="177">
        <f t="shared" si="54"/>
        <v>0.85953307141050139</v>
      </c>
      <c r="S205" s="811">
        <f t="shared" si="55"/>
        <v>-2</v>
      </c>
      <c r="T205" s="176">
        <f t="shared" si="56"/>
        <v>4</v>
      </c>
      <c r="U205" s="251">
        <f t="shared" si="57"/>
        <v>-1.1404669285894986</v>
      </c>
      <c r="V205" s="383">
        <f t="shared" si="58"/>
        <v>55.039979264606401</v>
      </c>
      <c r="W205" s="402">
        <f t="shared" si="59"/>
        <v>52.778223002156025</v>
      </c>
      <c r="X205" s="157">
        <f t="shared" si="60"/>
        <v>46213</v>
      </c>
      <c r="Y205" s="385">
        <f t="shared" si="61"/>
        <v>50.808181448987085</v>
      </c>
      <c r="Z205" s="385">
        <f t="shared" si="62"/>
        <v>54.204193893658683</v>
      </c>
      <c r="AA205" s="386">
        <f t="shared" si="63"/>
        <v>58.822800371799708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7.85172832464337E-2</v>
      </c>
      <c r="AD205" s="231">
        <f>(INDEX(Models!$BJ205:$BT205,,AH205)*(1-AF205)+INDEX(Models!$BJ205:$BT205,,AH205+1)*AF205-ERP_i)*AE205*Ramure*Pc/MaxiM</f>
        <v>3.9907950681483017E-4</v>
      </c>
      <c r="AE205" s="305">
        <f t="shared" si="65"/>
        <v>0.5</v>
      </c>
      <c r="AF205" s="177">
        <f t="shared" si="66"/>
        <v>0.38452063778448053</v>
      </c>
      <c r="AG205" s="811">
        <f t="shared" si="74"/>
        <v>2</v>
      </c>
      <c r="AH205" s="176">
        <f t="shared" si="67"/>
        <v>8</v>
      </c>
      <c r="AI205" s="225">
        <f t="shared" si="68"/>
        <v>2.3845206377844805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51.382641184468284</v>
      </c>
      <c r="C206" s="841"/>
      <c r="D206" s="393">
        <f t="shared" si="50"/>
        <v>54.818251105846564</v>
      </c>
      <c r="E206" s="385">
        <f t="shared" si="75"/>
        <v>57.292983402563486</v>
      </c>
      <c r="F206" s="385">
        <f t="shared" si="51"/>
        <v>57.29467077944016</v>
      </c>
      <c r="G206" s="110">
        <f t="shared" si="76"/>
        <v>0.93530249469184601</v>
      </c>
      <c r="H206" s="414" t="b">
        <f>Wh_hp&gt;='2025'!Maxi_hp</f>
        <v>0</v>
      </c>
      <c r="I206" s="390">
        <f>IF(H206,Wh_hp,'2025'!Maxi_hp)</f>
        <v>61.452728703103304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6.26727385874567E-2</v>
      </c>
      <c r="M206" s="845"/>
      <c r="N206" s="845"/>
      <c r="O206" s="48">
        <f>IF(t&lt;Tnet,'2025'!Resal+('2025'!Salim-'2025'!Resal)*(1-EXP(('2025'!Tnet-t)/('2025'!Tau_j))),Resal+(Salim-Resal)*(1-EXP((Tnet-t)/(Tau_j))))*Salcycl</f>
        <v>4.3194334624337201E-2</v>
      </c>
      <c r="P206" s="169">
        <f>(INDEX(Models!$BJ206:$BT206,,T206)*(1-R206)+INDEX(Models!$BJ206:$BT206,,T206+1)*R206-ERP_i)*Q206*Ramure*Pc/MaxiM</f>
        <v>3.2449904784194168E-5</v>
      </c>
      <c r="Q206" s="305">
        <f t="shared" si="53"/>
        <v>0.5</v>
      </c>
      <c r="R206" s="177">
        <f t="shared" si="54"/>
        <v>0.86308937246886575</v>
      </c>
      <c r="S206" s="811">
        <f t="shared" si="55"/>
        <v>-2</v>
      </c>
      <c r="T206" s="176">
        <f t="shared" si="56"/>
        <v>4</v>
      </c>
      <c r="U206" s="251">
        <f t="shared" si="57"/>
        <v>-1.1369106275311343</v>
      </c>
      <c r="V206" s="383">
        <f t="shared" si="58"/>
        <v>54.93675829188512</v>
      </c>
      <c r="W206" s="402">
        <f t="shared" si="59"/>
        <v>51.382641184468284</v>
      </c>
      <c r="X206" s="157">
        <f t="shared" si="60"/>
        <v>46214</v>
      </c>
      <c r="Y206" s="385">
        <f t="shared" si="61"/>
        <v>49.465553267427445</v>
      </c>
      <c r="Z206" s="385">
        <f t="shared" si="62"/>
        <v>52.772980477366382</v>
      </c>
      <c r="AA206" s="386">
        <f t="shared" si="63"/>
        <v>57.272250390543014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7.8559335149148674E-2</v>
      </c>
      <c r="AD206" s="231">
        <f>(INDEX(Models!$BJ206:$BT206,,AH206)*(1-AF206)+INDEX(Models!$BJ206:$BT206,,AH206+1)*AF206-ERP_i)*AE206*Ramure*Pc/MaxiM</f>
        <v>4.3116596830978854E-4</v>
      </c>
      <c r="AE206" s="305">
        <f t="shared" si="65"/>
        <v>0.5</v>
      </c>
      <c r="AF206" s="177">
        <f t="shared" si="66"/>
        <v>0.38807693884284467</v>
      </c>
      <c r="AG206" s="811">
        <f t="shared" si="74"/>
        <v>2</v>
      </c>
      <c r="AH206" s="176">
        <f t="shared" si="67"/>
        <v>8</v>
      </c>
      <c r="AI206" s="225">
        <f t="shared" si="68"/>
        <v>2.3880769388428447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51.476860769536806</v>
      </c>
      <c r="C207" s="841"/>
      <c r="D207" s="393">
        <f t="shared" ref="D207:D270" si="77">Wh/(1-Ppv)</f>
        <v>54.919973406105612</v>
      </c>
      <c r="E207" s="385">
        <f t="shared" si="75"/>
        <v>57.403711599791599</v>
      </c>
      <c r="F207" s="385">
        <f t="shared" ref="F207:F270" si="78">Wh_sa/(1-Pvg*MEDIAN((-Sdif+Wh/Env_an)/Csdif,0,1))</f>
        <v>57.405563187246862</v>
      </c>
      <c r="G207" s="110">
        <f t="shared" si="76"/>
        <v>0.93881599489780476</v>
      </c>
      <c r="H207" s="414" t="b">
        <f>Wh_hp&gt;='2025'!Maxi_hp</f>
        <v>0</v>
      </c>
      <c r="I207" s="390">
        <f>IF(H207,Wh_hp,'2025'!Maxi_hp)</f>
        <v>61.87528776158792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6.2693268460068619E-2</v>
      </c>
      <c r="M207" s="845"/>
      <c r="N207" s="845"/>
      <c r="O207" s="48">
        <f>IF(t&lt;Tnet,'2025'!Resal+('2025'!Salim-'2025'!Resal)*(1-EXP(('2025'!Tnet-t)/('2025'!Tau_j))),Resal+(Salim-Resal)*(1-EXP((Tnet-t)/(Tau_j))))*Salcycl</f>
        <v>4.3267902448576277E-2</v>
      </c>
      <c r="P207" s="169">
        <f>(INDEX(Models!$BJ207:$BT207,,T207)*(1-R207)+INDEX(Models!$BJ207:$BT207,,T207+1)*R207-ERP_i)*Q207*Ramure*Pc/MaxiM</f>
        <v>3.534357973488832E-5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0.86656436601558395</v>
      </c>
      <c r="S207" s="81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-1.133435633984416</v>
      </c>
      <c r="V207" s="383">
        <f t="shared" ref="V207:V270" si="85">MaxiM*(1-Ppv)*(1-Pvg)*(1-Psa)</f>
        <v>54.831513339981356</v>
      </c>
      <c r="W207" s="402">
        <f t="shared" ref="W207:W270" si="86">Wh*(A207&gt;Tmaj)</f>
        <v>51.476860769536806</v>
      </c>
      <c r="X207" s="157">
        <f t="shared" ref="X207:X270" si="87">t</f>
        <v>46215</v>
      </c>
      <c r="Y207" s="385">
        <f t="shared" ref="Y207:Y270" si="88">Wh_pvt_s*(1-Ppv)</f>
        <v>49.556459634545959</v>
      </c>
      <c r="Z207" s="385">
        <f t="shared" ref="Z207:Z270" si="89">Wh_sa_s*(1-Psa_s)</f>
        <v>52.871123152106307</v>
      </c>
      <c r="AA207" s="386">
        <f t="shared" ref="AA207:AA270" si="90">Wh_hp*(1-Pvg_s*MEDIAN((-Sdif+Wh/Env_an)/Csdif,0,1))</f>
        <v>57.381324585822938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7.8600510989789152E-2</v>
      </c>
      <c r="AD207" s="231">
        <f>(INDEX(Models!$BJ207:$BT207,,AH207)*(1-AF207)+INDEX(Models!$BJ207:$BT207,,AH207+1)*AF207-ERP_i)*AE207*Ramure*Pc/MaxiM</f>
        <v>4.6267268643063902E-4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0.3915519323895631</v>
      </c>
      <c r="AG207" s="81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2.3915519323895631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50.870739551182396</v>
      </c>
      <c r="C208" s="841"/>
      <c r="D208" s="393">
        <f t="shared" si="77"/>
        <v>54.274499545906643</v>
      </c>
      <c r="E208" s="385">
        <f t="shared" si="75"/>
        <v>56.733379122976096</v>
      </c>
      <c r="F208" s="385">
        <f t="shared" si="78"/>
        <v>56.735349382975087</v>
      </c>
      <c r="G208" s="110">
        <f t="shared" si="76"/>
        <v>0.9295779930077952</v>
      </c>
      <c r="H208" s="414" t="b">
        <f>Wh_hp&gt;='2025'!Maxi_hp</f>
        <v>0</v>
      </c>
      <c r="I208" s="390">
        <f>IF(H208,Wh_hp,'2025'!Maxi_hp)</f>
        <v>56.735475852287991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6.271379788302367E-2</v>
      </c>
      <c r="M208" s="845"/>
      <c r="N208" s="845"/>
      <c r="O208" s="48">
        <f>IF(t&lt;Tnet,'2025'!Resal+('2025'!Salim-'2025'!Resal)*(1-EXP(('2025'!Tnet-t)/('2025'!Tau_j))),Resal+(Salim-Resal)*(1-EXP((Tnet-t)/(Tau_j))))*Salcycl</f>
        <v>4.3340968140458451E-2</v>
      </c>
      <c r="P208" s="169">
        <f>(INDEX(Models!$BJ208:$BT208,,T208)*(1-R208)+INDEX(Models!$BJ208:$BT208,,T208+1)*R208-ERP_i)*Q208*Ramure*Pc/MaxiM</f>
        <v>3.8611423836959039E-5</v>
      </c>
      <c r="Q208" s="305">
        <f t="shared" si="80"/>
        <v>0.5</v>
      </c>
      <c r="R208" s="177">
        <f t="shared" si="81"/>
        <v>0.86995797523292939</v>
      </c>
      <c r="S208" s="811">
        <f t="shared" si="82"/>
        <v>-2</v>
      </c>
      <c r="T208" s="176">
        <f t="shared" si="83"/>
        <v>4</v>
      </c>
      <c r="U208" s="251">
        <f t="shared" si="84"/>
        <v>-1.1300420247670706</v>
      </c>
      <c r="V208" s="383">
        <f t="shared" si="85"/>
        <v>54.724339790507997</v>
      </c>
      <c r="W208" s="402">
        <f t="shared" si="86"/>
        <v>50.870739551182396</v>
      </c>
      <c r="X208" s="157">
        <f t="shared" si="87"/>
        <v>46216</v>
      </c>
      <c r="Y208" s="385">
        <f t="shared" si="88"/>
        <v>48.973605092265906</v>
      </c>
      <c r="Z208" s="385">
        <f t="shared" si="89"/>
        <v>52.250427864672481</v>
      </c>
      <c r="AA208" s="386">
        <f t="shared" si="90"/>
        <v>56.710163313856114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7.8640850044845112E-2</v>
      </c>
      <c r="AD208" s="231">
        <f>(INDEX(Models!$BJ208:$BT208,,AH208)*(1-AF208)+INDEX(Models!$BJ208:$BT208,,AH208+1)*AF208-ERP_i)*AE208*Ramure*Pc/MaxiM</f>
        <v>4.9357444704631076E-4</v>
      </c>
      <c r="AE208" s="305">
        <f t="shared" si="92"/>
        <v>0.5</v>
      </c>
      <c r="AF208" s="177">
        <f t="shared" si="93"/>
        <v>0.39494554160690853</v>
      </c>
      <c r="AG208" s="811">
        <f t="shared" ref="AG208:AG271" si="99">INDEX(Echel_vg,AH208)</f>
        <v>2</v>
      </c>
      <c r="AH208" s="176">
        <f t="shared" si="94"/>
        <v>8</v>
      </c>
      <c r="AI208" s="225">
        <f t="shared" si="95"/>
        <v>2.3949455416069085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50.327586315286908</v>
      </c>
      <c r="C209" s="841"/>
      <c r="D209" s="393">
        <f t="shared" si="77"/>
        <v>53.696180023838835</v>
      </c>
      <c r="E209" s="385">
        <f t="shared" si="75"/>
        <v>56.133118057466191</v>
      </c>
      <c r="F209" s="385">
        <f t="shared" si="78"/>
        <v>56.135224218320985</v>
      </c>
      <c r="G209" s="110">
        <f t="shared" si="76"/>
        <v>0.92148752038833093</v>
      </c>
      <c r="H209" s="414" t="b">
        <f>Wh_hp&gt;='2025'!Maxi_hp</f>
        <v>0</v>
      </c>
      <c r="I209" s="390">
        <f>IF(H209,Wh_hp,'2025'!Maxi_hp)</f>
        <v>61.910407700916835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6.2734326856331624E-2</v>
      </c>
      <c r="M209" s="845"/>
      <c r="N209" s="845"/>
      <c r="O209" s="48">
        <f>IF(t&lt;Tnet,'2025'!Resal+('2025'!Salim-'2025'!Resal)*(1-EXP(('2025'!Tnet-t)/('2025'!Tau_j))),Resal+(Salim-Resal)*(1-EXP((Tnet-t)/(Tau_j))))*Salcycl</f>
        <v>4.3413551891639895E-2</v>
      </c>
      <c r="P209" s="169">
        <f>(INDEX(Models!$BJ209:$BT209,,T209)*(1-R209)+INDEX(Models!$BJ209:$BT209,,T209+1)*R209-ERP_i)*Q209*Ramure*Pc/MaxiM</f>
        <v>4.2258945000642016E-5</v>
      </c>
      <c r="Q209" s="305">
        <f t="shared" si="80"/>
        <v>0.5</v>
      </c>
      <c r="R209" s="177">
        <f t="shared" si="81"/>
        <v>0.87327026103106231</v>
      </c>
      <c r="S209" s="811">
        <f t="shared" si="82"/>
        <v>-2</v>
      </c>
      <c r="T209" s="176">
        <f t="shared" si="83"/>
        <v>4</v>
      </c>
      <c r="U209" s="251">
        <f t="shared" si="84"/>
        <v>-1.1267297389689377</v>
      </c>
      <c r="V209" s="383">
        <f t="shared" si="85"/>
        <v>54.615332995606828</v>
      </c>
      <c r="W209" s="402">
        <f t="shared" si="86"/>
        <v>50.327586315286908</v>
      </c>
      <c r="X209" s="157">
        <f t="shared" si="87"/>
        <v>46217</v>
      </c>
      <c r="Y209" s="385">
        <f t="shared" si="88"/>
        <v>48.451413570640348</v>
      </c>
      <c r="Z209" s="385">
        <f t="shared" si="89"/>
        <v>51.694428761196605</v>
      </c>
      <c r="AA209" s="386">
        <f t="shared" si="90"/>
        <v>56.10911598410398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7.8680391688189841E-2</v>
      </c>
      <c r="AD209" s="231">
        <f>(INDEX(Models!$BJ209:$BT209,,AH209)*(1-AF209)+INDEX(Models!$BJ209:$BT209,,AH209+1)*AF209-ERP_i)*AE209*Ramure*Pc/MaxiM</f>
        <v>5.2384718447795421E-4</v>
      </c>
      <c r="AE209" s="305">
        <f t="shared" si="92"/>
        <v>0.5</v>
      </c>
      <c r="AF209" s="177">
        <f t="shared" si="93"/>
        <v>0.39825782740504145</v>
      </c>
      <c r="AG209" s="811">
        <f t="shared" si="99"/>
        <v>2</v>
      </c>
      <c r="AH209" s="176">
        <f t="shared" si="94"/>
        <v>8</v>
      </c>
      <c r="AI209" s="225">
        <f t="shared" si="95"/>
        <v>2.3982578274050415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48.645177167637179</v>
      </c>
      <c r="C210" s="841"/>
      <c r="D210" s="393">
        <f t="shared" si="77"/>
        <v>51.902298397459482</v>
      </c>
      <c r="E210" s="385">
        <f t="shared" si="75"/>
        <v>54.261914310082318</v>
      </c>
      <c r="F210" s="385">
        <f t="shared" si="78"/>
        <v>54.264040495807265</v>
      </c>
      <c r="G210" s="110">
        <f t="shared" si="76"/>
        <v>0.89249057468620974</v>
      </c>
      <c r="H210" s="414" t="b">
        <f>Wh_hp&gt;='2025'!Maxi_hp</f>
        <v>0</v>
      </c>
      <c r="I210" s="390">
        <f>IF(H210,Wh_hp,'2025'!Maxi_hp)</f>
        <v>63.341573131215071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6.2754855380002472E-2</v>
      </c>
      <c r="M210" s="845"/>
      <c r="N210" s="845"/>
      <c r="O210" s="48">
        <f>IF(t&lt;Tnet,'2025'!Resal+('2025'!Salim-'2025'!Resal)*(1-EXP(('2025'!Tnet-t)/('2025'!Tau_j))),Resal+(Salim-Resal)*(1-EXP((Tnet-t)/(Tau_j))))*Salcycl</f>
        <v>4.348567393215607E-2</v>
      </c>
      <c r="P210" s="169">
        <f>(INDEX(Models!$BJ210:$BT210,,T210)*(1-R210)+INDEX(Models!$BJ210:$BT210,,T210+1)*R210-ERP_i)*Q210*Ramure*Pc/MaxiM</f>
        <v>4.6291474336173944E-5</v>
      </c>
      <c r="Q210" s="305">
        <f t="shared" si="80"/>
        <v>0.5</v>
      </c>
      <c r="R210" s="177">
        <f t="shared" si="81"/>
        <v>0.87650141543621474</v>
      </c>
      <c r="S210" s="811">
        <f t="shared" si="82"/>
        <v>-2</v>
      </c>
      <c r="T210" s="176">
        <f t="shared" si="83"/>
        <v>4</v>
      </c>
      <c r="U210" s="251">
        <f t="shared" si="84"/>
        <v>-1.1234985845637853</v>
      </c>
      <c r="V210" s="383">
        <f t="shared" si="85"/>
        <v>54.504588286984344</v>
      </c>
      <c r="W210" s="402">
        <f t="shared" si="86"/>
        <v>48.645177167637179</v>
      </c>
      <c r="X210" s="157">
        <f t="shared" si="87"/>
        <v>46218</v>
      </c>
      <c r="Y210" s="385">
        <f t="shared" si="88"/>
        <v>46.833202729533781</v>
      </c>
      <c r="Z210" s="385">
        <f t="shared" si="89"/>
        <v>49.969000104580026</v>
      </c>
      <c r="AA210" s="386">
        <f t="shared" si="90"/>
        <v>54.238619493413488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7.8719175169123648E-2</v>
      </c>
      <c r="AD210" s="231">
        <f>(INDEX(Models!$BJ210:$BT210,,AH210)*(1-AF210)+INDEX(Models!$BJ210:$BT210,,AH210+1)*AF210-ERP_i)*AE210*Ramure*Pc/MaxiM</f>
        <v>5.5346796194888554E-4</v>
      </c>
      <c r="AE210" s="305">
        <f t="shared" si="92"/>
        <v>0.5</v>
      </c>
      <c r="AF210" s="177">
        <f t="shared" si="93"/>
        <v>0.40148898181019366</v>
      </c>
      <c r="AG210" s="811">
        <f t="shared" si="99"/>
        <v>2</v>
      </c>
      <c r="AH210" s="176">
        <f t="shared" si="94"/>
        <v>8</v>
      </c>
      <c r="AI210" s="225">
        <f t="shared" si="95"/>
        <v>2.4014889818101937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49.988218323156872</v>
      </c>
      <c r="C211" s="841"/>
      <c r="D211" s="393">
        <f t="shared" si="77"/>
        <v>53.336433380701585</v>
      </c>
      <c r="E211" s="385">
        <f t="shared" si="75"/>
        <v>55.765427887073535</v>
      </c>
      <c r="F211" s="385">
        <f t="shared" si="78"/>
        <v>55.767928978331696</v>
      </c>
      <c r="G211" s="110">
        <f t="shared" si="76"/>
        <v>0.919027437387131</v>
      </c>
      <c r="H211" s="414" t="b">
        <f>Wh_hp&gt;='2025'!Maxi_hp</f>
        <v>0</v>
      </c>
      <c r="I211" s="390">
        <f>IF(H211,Wh_hp,'2025'!Maxi_hp)</f>
        <v>61.340662594559738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6.2775383454045874E-2</v>
      </c>
      <c r="M211" s="845"/>
      <c r="N211" s="845"/>
      <c r="O211" s="48">
        <f>IF(t&lt;Tnet,'2025'!Resal+('2025'!Salim-'2025'!Resal)*(1-EXP(('2025'!Tnet-t)/('2025'!Tau_j))),Resal+(Salim-Resal)*(1-EXP((Tnet-t)/(Tau_j))))*Salcycl</f>
        <v>4.3557354411244267E-2</v>
      </c>
      <c r="P211" s="169">
        <f>(INDEX(Models!$BJ211:$BT211,,T211)*(1-R211)+INDEX(Models!$BJ211:$BT211,,T211+1)*R211-ERP_i)*Q211*Ramure*Pc/MaxiM</f>
        <v>5.0714176809550781E-5</v>
      </c>
      <c r="Q211" s="305">
        <f t="shared" si="80"/>
        <v>0.5</v>
      </c>
      <c r="R211" s="177">
        <f t="shared" si="81"/>
        <v>0.8796517547975562</v>
      </c>
      <c r="S211" s="811">
        <f t="shared" si="82"/>
        <v>-2</v>
      </c>
      <c r="T211" s="176">
        <f t="shared" si="83"/>
        <v>4</v>
      </c>
      <c r="U211" s="251">
        <f t="shared" si="84"/>
        <v>-1.1203482452024438</v>
      </c>
      <c r="V211" s="383">
        <f t="shared" si="85"/>
        <v>54.392200979786637</v>
      </c>
      <c r="W211" s="402">
        <f t="shared" si="86"/>
        <v>49.988218323156872</v>
      </c>
      <c r="X211" s="157">
        <f t="shared" si="87"/>
        <v>46219</v>
      </c>
      <c r="Y211" s="385">
        <f t="shared" si="88"/>
        <v>48.125865317421585</v>
      </c>
      <c r="Z211" s="385">
        <f t="shared" si="89"/>
        <v>51.349339814381487</v>
      </c>
      <c r="AA211" s="386">
        <f t="shared" si="90"/>
        <v>55.739205788552816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7.8757239398500267E-2</v>
      </c>
      <c r="AD211" s="231">
        <f>(INDEX(Models!$BJ211:$BT211,,AH211)*(1-AF211)+INDEX(Models!$BJ211:$BT211,,AH211+1)*AF211-ERP_i)*AE211*Ramure*Pc/MaxiM</f>
        <v>5.8241494396807185E-4</v>
      </c>
      <c r="AE211" s="305">
        <f t="shared" si="92"/>
        <v>0.5</v>
      </c>
      <c r="AF211" s="177">
        <f t="shared" si="93"/>
        <v>0.40463932117153512</v>
      </c>
      <c r="AG211" s="811">
        <f t="shared" si="99"/>
        <v>2</v>
      </c>
      <c r="AH211" s="176">
        <f t="shared" si="94"/>
        <v>8</v>
      </c>
      <c r="AI211" s="225">
        <f t="shared" si="95"/>
        <v>2.4046393211715351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49.592296213844961</v>
      </c>
      <c r="C212" s="841"/>
      <c r="D212" s="393">
        <f t="shared" si="77"/>
        <v>52.915151352905916</v>
      </c>
      <c r="E212" s="385">
        <f t="shared" si="75"/>
        <v>55.329082496423027</v>
      </c>
      <c r="F212" s="385">
        <f t="shared" si="78"/>
        <v>55.331756373492588</v>
      </c>
      <c r="G212" s="110">
        <f t="shared" si="76"/>
        <v>0.91366106660263013</v>
      </c>
      <c r="H212" s="414" t="b">
        <f>Wh_hp&gt;='2025'!Maxi_hp</f>
        <v>0</v>
      </c>
      <c r="I212" s="390">
        <f>IF(H212,Wh_hp,'2025'!Maxi_hp)</f>
        <v>60.188178256844751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6.2795911078471822E-2</v>
      </c>
      <c r="M212" s="845"/>
      <c r="N212" s="845"/>
      <c r="O212" s="48">
        <f>IF(t&lt;Tnet,'2025'!Resal+('2025'!Salim-'2025'!Resal)*(1-EXP(('2025'!Tnet-t)/('2025'!Tau_j))),Resal+(Salim-Resal)*(1-EXP((Tnet-t)/(Tau_j))))*Salcycl</f>
        <v>4.3628613282592675E-2</v>
      </c>
      <c r="P212" s="169">
        <f>(INDEX(Models!$BJ212:$BT212,,T212)*(1-R212)+INDEX(Models!$BJ212:$BT212,,T212+1)*R212-ERP_i)*Q212*Ramure*Pc/MaxiM</f>
        <v>5.5122899553851525E-5</v>
      </c>
      <c r="Q212" s="305">
        <f t="shared" si="80"/>
        <v>0.5</v>
      </c>
      <c r="R212" s="177">
        <f t="shared" si="81"/>
        <v>0.88272171286413248</v>
      </c>
      <c r="S212" s="811">
        <f t="shared" si="82"/>
        <v>-2</v>
      </c>
      <c r="T212" s="176">
        <f t="shared" si="83"/>
        <v>4</v>
      </c>
      <c r="U212" s="251">
        <f t="shared" si="84"/>
        <v>-1.1172782871358675</v>
      </c>
      <c r="V212" s="383">
        <f t="shared" si="85"/>
        <v>54.27828859072136</v>
      </c>
      <c r="W212" s="402">
        <f t="shared" si="86"/>
        <v>49.592296213844961</v>
      </c>
      <c r="X212" s="157">
        <f t="shared" si="87"/>
        <v>46220</v>
      </c>
      <c r="Y212" s="385">
        <f t="shared" si="88"/>
        <v>47.745622311011005</v>
      </c>
      <c r="Z212" s="385">
        <f t="shared" si="89"/>
        <v>50.944743920135345</v>
      </c>
      <c r="AA212" s="386">
        <f t="shared" si="90"/>
        <v>55.302265030087945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7.8794622744327553E-2</v>
      </c>
      <c r="AD212" s="231">
        <f>(INDEX(Models!$BJ212:$BT212,,AH212)*(1-AF212)+INDEX(Models!$BJ212:$BT212,,AH212+1)*AF212-ERP_i)*AE212*Ramure*Pc/MaxiM</f>
        <v>6.0797423288651775E-4</v>
      </c>
      <c r="AE212" s="305">
        <f t="shared" si="92"/>
        <v>0.5</v>
      </c>
      <c r="AF212" s="177">
        <f t="shared" si="93"/>
        <v>0.4077092792381114</v>
      </c>
      <c r="AG212" s="811">
        <f t="shared" si="99"/>
        <v>2</v>
      </c>
      <c r="AH212" s="176">
        <f t="shared" si="94"/>
        <v>8</v>
      </c>
      <c r="AI212" s="225">
        <f t="shared" si="95"/>
        <v>2.4077092792381114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51.395551680807166</v>
      </c>
      <c r="C213" s="841"/>
      <c r="D213" s="393">
        <f t="shared" si="77"/>
        <v>54.840432310845102</v>
      </c>
      <c r="E213" s="385">
        <f t="shared" si="75"/>
        <v>57.346441418384188</v>
      </c>
      <c r="F213" s="385">
        <f t="shared" si="78"/>
        <v>57.349593667080107</v>
      </c>
      <c r="G213" s="110">
        <f t="shared" si="76"/>
        <v>0.94890180438522076</v>
      </c>
      <c r="H213" s="414" t="b">
        <f>Wh_hp&gt;='2025'!Maxi_hp</f>
        <v>0</v>
      </c>
      <c r="I213" s="390">
        <f>IF(H213,Wh_hp,'2025'!Maxi_hp)</f>
        <v>57.349733603819672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6.2816438253290086E-2</v>
      </c>
      <c r="M213" s="845"/>
      <c r="N213" s="845"/>
      <c r="O213" s="48">
        <f>IF(t&lt;Tnet,'2025'!Resal+('2025'!Salim-'2025'!Resal)*(1-EXP(('2025'!Tnet-t)/('2025'!Tau_j))),Resal+(Salim-Resal)*(1-EXP((Tnet-t)/(Tau_j))))*Salcycl</f>
        <v>4.3699470194774929E-2</v>
      </c>
      <c r="P213" s="169">
        <f>(INDEX(Models!$BJ213:$BT213,,T213)*(1-R213)+INDEX(Models!$BJ213:$BT213,,T213+1)*R213-ERP_i)*Q213*Ramure*Pc/MaxiM</f>
        <v>5.9293411425976055E-5</v>
      </c>
      <c r="Q213" s="305">
        <f t="shared" si="80"/>
        <v>0.5</v>
      </c>
      <c r="R213" s="177">
        <f t="shared" si="81"/>
        <v>0.88571183378042284</v>
      </c>
      <c r="S213" s="811">
        <f t="shared" si="82"/>
        <v>-2</v>
      </c>
      <c r="T213" s="176">
        <f t="shared" si="83"/>
        <v>4</v>
      </c>
      <c r="U213" s="251">
        <f t="shared" si="84"/>
        <v>-1.1142881662195772</v>
      </c>
      <c r="V213" s="383">
        <f t="shared" si="85"/>
        <v>54.162958691104286</v>
      </c>
      <c r="W213" s="402">
        <f t="shared" si="86"/>
        <v>51.395551680807166</v>
      </c>
      <c r="X213" s="157">
        <f t="shared" si="87"/>
        <v>46221</v>
      </c>
      <c r="Y213" s="385">
        <f t="shared" si="88"/>
        <v>49.481275977094448</v>
      </c>
      <c r="Z213" s="385">
        <f t="shared" si="89"/>
        <v>52.797848785217617</v>
      </c>
      <c r="AA213" s="386">
        <f t="shared" si="90"/>
        <v>57.316159772751291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7.8831362838124544E-2</v>
      </c>
      <c r="AD213" s="231">
        <f>(INDEX(Models!$BJ213:$BT213,,AH213)*(1-AF213)+INDEX(Models!$BJ213:$BT213,,AH213+1)*AF213-ERP_i)*AE213*Ramure*Pc/MaxiM</f>
        <v>6.2888745249594616E-4</v>
      </c>
      <c r="AE213" s="305">
        <f t="shared" si="92"/>
        <v>0.5</v>
      </c>
      <c r="AF213" s="177">
        <f t="shared" si="93"/>
        <v>0.41069940015440176</v>
      </c>
      <c r="AG213" s="811">
        <f t="shared" si="99"/>
        <v>2</v>
      </c>
      <c r="AH213" s="176">
        <f t="shared" si="94"/>
        <v>8</v>
      </c>
      <c r="AI213" s="225">
        <f t="shared" si="95"/>
        <v>2.4106994001544018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41.233486495528112</v>
      </c>
      <c r="C214" s="841"/>
      <c r="D214" s="393">
        <f t="shared" si="77"/>
        <v>43.998199837857044</v>
      </c>
      <c r="E214" s="385">
        <f t="shared" si="75"/>
        <v>46.012149042604392</v>
      </c>
      <c r="F214" s="385">
        <f t="shared" si="78"/>
        <v>46.014072855271394</v>
      </c>
      <c r="G214" s="110">
        <f t="shared" si="76"/>
        <v>0.76291250896152585</v>
      </c>
      <c r="H214" s="414" t="b">
        <f>Wh_hp&gt;='2025'!Maxi_hp</f>
        <v>0</v>
      </c>
      <c r="I214" s="390">
        <f>IF(H214,Wh_hp,'2025'!Maxi_hp)</f>
        <v>60.582660665176114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6.2836964978510546E-2</v>
      </c>
      <c r="M214" s="845"/>
      <c r="N214" s="845"/>
      <c r="O214" s="48">
        <f>IF(t&lt;Tnet,'2025'!Resal+('2025'!Salim-'2025'!Resal)*(1-EXP(('2025'!Tnet-t)/('2025'!Tau_j))),Resal+(Salim-Resal)*(1-EXP((Tnet-t)/(Tau_j))))*Salcycl</f>
        <v>4.3769944387569384E-2</v>
      </c>
      <c r="P214" s="169">
        <f>(INDEX(Models!$BJ214:$BT214,,T214)*(1-R214)+INDEX(Models!$BJ214:$BT214,,T214+1)*R214-ERP_i)*Q214*Ramure*Pc/MaxiM</f>
        <v>6.3220205329743992E-5</v>
      </c>
      <c r="Q214" s="305">
        <f t="shared" si="80"/>
        <v>0.5</v>
      </c>
      <c r="R214" s="177">
        <f t="shared" si="81"/>
        <v>0.88862276504598658</v>
      </c>
      <c r="S214" s="811">
        <f t="shared" si="82"/>
        <v>-2</v>
      </c>
      <c r="T214" s="176">
        <f t="shared" si="83"/>
        <v>4</v>
      </c>
      <c r="U214" s="251">
        <f t="shared" si="84"/>
        <v>-1.1113772349540134</v>
      </c>
      <c r="V214" s="383">
        <f t="shared" si="85"/>
        <v>54.046306915743983</v>
      </c>
      <c r="W214" s="402">
        <f t="shared" si="86"/>
        <v>41.233486495528112</v>
      </c>
      <c r="X214" s="157">
        <f t="shared" si="87"/>
        <v>46222</v>
      </c>
      <c r="Y214" s="385">
        <f t="shared" si="88"/>
        <v>39.704763381102119</v>
      </c>
      <c r="Z214" s="385">
        <f t="shared" si="89"/>
        <v>42.366975539311234</v>
      </c>
      <c r="AA214" s="386">
        <f t="shared" si="90"/>
        <v>45.994442030238275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7.886749639319951E-2</v>
      </c>
      <c r="AD214" s="231">
        <f>(INDEX(Models!$BJ214:$BT214,,AH214)*(1-AF214)+INDEX(Models!$BJ214:$BT214,,AH214+1)*AF214-ERP_i)*AE214*Ramure*Pc/MaxiM</f>
        <v>6.4510688107867844E-4</v>
      </c>
      <c r="AE214" s="305">
        <f t="shared" si="92"/>
        <v>0.5</v>
      </c>
      <c r="AF214" s="177">
        <f t="shared" si="93"/>
        <v>0.4136103314199655</v>
      </c>
      <c r="AG214" s="811">
        <f t="shared" si="99"/>
        <v>2</v>
      </c>
      <c r="AH214" s="176">
        <f t="shared" si="94"/>
        <v>8</v>
      </c>
      <c r="AI214" s="225">
        <f t="shared" si="95"/>
        <v>2.4136103314199655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41.648133135153522</v>
      </c>
      <c r="C215" s="841"/>
      <c r="D215" s="393">
        <f t="shared" si="77"/>
        <v>44.441622001428229</v>
      </c>
      <c r="E215" s="385">
        <f t="shared" si="75"/>
        <v>46.47927599873956</v>
      </c>
      <c r="F215" s="385">
        <f t="shared" si="78"/>
        <v>46.481373963941387</v>
      </c>
      <c r="G215" s="110">
        <f t="shared" si="76"/>
        <v>0.77226849729133562</v>
      </c>
      <c r="H215" s="414" t="b">
        <f>Wh_hp&gt;='2025'!Maxi_hp</f>
        <v>0</v>
      </c>
      <c r="I215" s="390">
        <f>IF(H215,Wh_hp,'2025'!Maxi_hp)</f>
        <v>59.347072848746947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6.2857491254143083E-2</v>
      </c>
      <c r="M215" s="845"/>
      <c r="N215" s="845"/>
      <c r="O215" s="48">
        <f>IF(t&lt;Tnet,'2025'!Resal+('2025'!Salim-'2025'!Resal)*(1-EXP(('2025'!Tnet-t)/('2025'!Tau_j))),Resal+(Salim-Resal)*(1-EXP((Tnet-t)/(Tau_j))))*Salcycl</f>
        <v>4.3840054594796049E-2</v>
      </c>
      <c r="P215" s="169">
        <f>(INDEX(Models!$BJ215:$BT215,,T215)*(1-R215)+INDEX(Models!$BJ215:$BT215,,T215+1)*R215-ERP_i)*Q215*Ramure*Pc/MaxiM</f>
        <v>6.6897968655609181E-5</v>
      </c>
      <c r="Q215" s="305">
        <f t="shared" si="80"/>
        <v>0.5</v>
      </c>
      <c r="R215" s="177">
        <f t="shared" si="81"/>
        <v>0.89145525048142171</v>
      </c>
      <c r="S215" s="811">
        <f t="shared" si="82"/>
        <v>-2</v>
      </c>
      <c r="T215" s="176">
        <f t="shared" si="83"/>
        <v>4</v>
      </c>
      <c r="U215" s="251">
        <f t="shared" si="84"/>
        <v>-1.1085447495185783</v>
      </c>
      <c r="V215" s="383">
        <f t="shared" si="85"/>
        <v>53.928428880287932</v>
      </c>
      <c r="W215" s="402">
        <f t="shared" si="86"/>
        <v>41.648133135153522</v>
      </c>
      <c r="X215" s="157">
        <f t="shared" si="87"/>
        <v>46223</v>
      </c>
      <c r="Y215" s="385">
        <f t="shared" si="88"/>
        <v>40.104905965624731</v>
      </c>
      <c r="Z215" s="385">
        <f t="shared" si="89"/>
        <v>42.794885080280523</v>
      </c>
      <c r="AA215" s="386">
        <f t="shared" si="90"/>
        <v>46.460782982827979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7.8903059035883683E-2</v>
      </c>
      <c r="AD215" s="231">
        <f>(INDEX(Models!$BJ215:$BT215,,AH215)*(1-AF215)+INDEX(Models!$BJ215:$BT215,,AH215+1)*AF215-ERP_i)*AE215*Ramure*Pc/MaxiM</f>
        <v>6.5658610920359562E-4</v>
      </c>
      <c r="AE215" s="305">
        <f t="shared" si="92"/>
        <v>0.5</v>
      </c>
      <c r="AF215" s="177">
        <f t="shared" si="93"/>
        <v>0.41644281685540063</v>
      </c>
      <c r="AG215" s="811">
        <f t="shared" si="99"/>
        <v>2</v>
      </c>
      <c r="AH215" s="176">
        <f t="shared" si="94"/>
        <v>8</v>
      </c>
      <c r="AI215" s="225">
        <f t="shared" si="95"/>
        <v>2.4164428168554006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48.981652612018479</v>
      </c>
      <c r="C216" s="841"/>
      <c r="D216" s="393">
        <f t="shared" si="77"/>
        <v>52.268171598542317</v>
      </c>
      <c r="E216" s="385">
        <f t="shared" si="75"/>
        <v>54.668662679258595</v>
      </c>
      <c r="F216" s="385">
        <f t="shared" si="78"/>
        <v>54.672014532033828</v>
      </c>
      <c r="G216" s="110">
        <f t="shared" si="76"/>
        <v>0.91027204778875359</v>
      </c>
      <c r="H216" s="414" t="b">
        <f>Wh_hp&gt;='2025'!Maxi_hp</f>
        <v>0</v>
      </c>
      <c r="I216" s="390">
        <f>IF(H216,Wh_hp,'2025'!Maxi_hp)</f>
        <v>54.672289706549698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6.2878017080197468E-2</v>
      </c>
      <c r="M216" s="845"/>
      <c r="N216" s="845"/>
      <c r="O216" s="48">
        <f>IF(t&lt;Tnet,'2025'!Resal+('2025'!Salim-'2025'!Resal)*(1-EXP(('2025'!Tnet-t)/('2025'!Tau_j))),Resal+(Salim-Resal)*(1-EXP((Tnet-t)/(Tau_j))))*Salcycl</f>
        <v>4.3909818954233008E-2</v>
      </c>
      <c r="P216" s="169">
        <f>(INDEX(Models!$BJ216:$BT216,,T216)*(1-R216)+INDEX(Models!$BJ216:$BT216,,T216+1)*R216-ERP_i)*Q216*Ramure*Pc/MaxiM</f>
        <v>7.0321573578200825E-5</v>
      </c>
      <c r="Q216" s="305">
        <f t="shared" si="80"/>
        <v>0.5</v>
      </c>
      <c r="R216" s="177">
        <f t="shared" si="81"/>
        <v>0.89421012323948168</v>
      </c>
      <c r="S216" s="811">
        <f t="shared" si="82"/>
        <v>-2</v>
      </c>
      <c r="T216" s="176">
        <f t="shared" si="83"/>
        <v>4</v>
      </c>
      <c r="U216" s="251">
        <f t="shared" si="84"/>
        <v>-1.1057898767605183</v>
      </c>
      <c r="V216" s="383">
        <f t="shared" si="85"/>
        <v>53.809420187007341</v>
      </c>
      <c r="W216" s="402">
        <f t="shared" si="86"/>
        <v>48.981652612018479</v>
      </c>
      <c r="X216" s="157">
        <f t="shared" si="87"/>
        <v>46224</v>
      </c>
      <c r="Y216" s="385">
        <f t="shared" si="88"/>
        <v>47.162717045042825</v>
      </c>
      <c r="Z216" s="385">
        <f t="shared" si="89"/>
        <v>50.327191021703882</v>
      </c>
      <c r="AA216" s="386">
        <f t="shared" si="90"/>
        <v>54.640399532678266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7.8938085150618703E-2</v>
      </c>
      <c r="AD216" s="231">
        <f>(INDEX(Models!$BJ216:$BT216,,AH216)*(1-AF216)+INDEX(Models!$BJ216:$BT216,,AH216+1)*AF216-ERP_i)*AE216*Ramure*Pc/MaxiM</f>
        <v>6.632798790514252E-4</v>
      </c>
      <c r="AE216" s="305">
        <f t="shared" si="92"/>
        <v>0.5</v>
      </c>
      <c r="AF216" s="177">
        <f t="shared" si="93"/>
        <v>0.4191976896134606</v>
      </c>
      <c r="AG216" s="811">
        <f t="shared" si="99"/>
        <v>2</v>
      </c>
      <c r="AH216" s="176">
        <f t="shared" si="94"/>
        <v>8</v>
      </c>
      <c r="AI216" s="225">
        <f t="shared" si="95"/>
        <v>2.4191976896134606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39.046411137775735</v>
      </c>
      <c r="C217" s="841"/>
      <c r="D217" s="393">
        <f t="shared" si="77"/>
        <v>41.667218446270383</v>
      </c>
      <c r="E217" s="385">
        <f t="shared" si="75"/>
        <v>43.584010766425187</v>
      </c>
      <c r="F217" s="385">
        <f t="shared" si="78"/>
        <v>43.585965785881967</v>
      </c>
      <c r="G217" s="110">
        <f t="shared" si="76"/>
        <v>0.72724430263190831</v>
      </c>
      <c r="H217" s="414" t="b">
        <f>Wh_hp&gt;='2025'!Maxi_hp</f>
        <v>0</v>
      </c>
      <c r="I217" s="390">
        <f>IF(H217,Wh_hp,'2025'!Maxi_hp)</f>
        <v>55.563972127949256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6.2898542456683582E-2</v>
      </c>
      <c r="M217" s="845"/>
      <c r="N217" s="845"/>
      <c r="O217" s="48">
        <f>IF(t&lt;Tnet,'2025'!Resal+('2025'!Salim-'2025'!Resal)*(1-EXP(('2025'!Tnet-t)/('2025'!Tau_j))),Resal+(Salim-Resal)*(1-EXP((Tnet-t)/(Tau_j))))*Salcycl</f>
        <v>4.397925492509748E-2</v>
      </c>
      <c r="P217" s="169">
        <f>(INDEX(Models!$BJ217:$BT217,,T217)*(1-R217)+INDEX(Models!$BJ217:$BT217,,T217+1)*R217-ERP_i)*Q217*Ramure*Pc/MaxiM</f>
        <v>7.3486066829892661E-5</v>
      </c>
      <c r="Q217" s="305">
        <f t="shared" si="80"/>
        <v>0.5</v>
      </c>
      <c r="R217" s="177">
        <f t="shared" si="81"/>
        <v>0.8968882988967608</v>
      </c>
      <c r="S217" s="811">
        <f t="shared" si="82"/>
        <v>-2</v>
      </c>
      <c r="T217" s="176">
        <f t="shared" si="83"/>
        <v>4</v>
      </c>
      <c r="U217" s="251">
        <f t="shared" si="84"/>
        <v>-1.1031117011032392</v>
      </c>
      <c r="V217" s="383">
        <f t="shared" si="85"/>
        <v>53.689376430865735</v>
      </c>
      <c r="W217" s="402">
        <f t="shared" si="86"/>
        <v>39.046411137775735</v>
      </c>
      <c r="X217" s="157">
        <f t="shared" si="87"/>
        <v>46225</v>
      </c>
      <c r="Y217" s="385">
        <f t="shared" si="88"/>
        <v>37.603604717904773</v>
      </c>
      <c r="Z217" s="385">
        <f t="shared" si="89"/>
        <v>40.127570408956053</v>
      </c>
      <c r="AA217" s="386">
        <f t="shared" si="90"/>
        <v>43.568270331761319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7.8972607739651035E-2</v>
      </c>
      <c r="AD217" s="231">
        <f>(INDEX(Models!$BJ217:$BT217,,AH217)*(1-AF217)+INDEX(Models!$BJ217:$BT217,,AH217+1)*AF217-ERP_i)*AE217*Ramure*Pc/MaxiM</f>
        <v>6.6514392968618609E-4</v>
      </c>
      <c r="AE217" s="305">
        <f t="shared" si="92"/>
        <v>0.5</v>
      </c>
      <c r="AF217" s="177">
        <f t="shared" si="93"/>
        <v>0.42187586527073995</v>
      </c>
      <c r="AG217" s="811">
        <f t="shared" si="99"/>
        <v>2</v>
      </c>
      <c r="AH217" s="176">
        <f t="shared" si="94"/>
        <v>8</v>
      </c>
      <c r="AI217" s="225">
        <f t="shared" si="95"/>
        <v>2.4218758652707399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43.636056736681255</v>
      </c>
      <c r="C218" s="841"/>
      <c r="D218" s="393">
        <f t="shared" si="77"/>
        <v>46.565942404618824</v>
      </c>
      <c r="E218" s="385">
        <f t="shared" si="75"/>
        <v>48.711609868192866</v>
      </c>
      <c r="F218" s="385">
        <f t="shared" si="78"/>
        <v>48.714345352402788</v>
      </c>
      <c r="G218" s="110">
        <f t="shared" si="76"/>
        <v>0.81456939780586379</v>
      </c>
      <c r="H218" s="414" t="b">
        <f>Wh_hp&gt;='2025'!Maxi_hp</f>
        <v>0</v>
      </c>
      <c r="I218" s="390">
        <f>IF(H218,Wh_hp,'2025'!Maxi_hp)</f>
        <v>57.937152506467669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6.2919067383611194E-2</v>
      </c>
      <c r="M218" s="845"/>
      <c r="N218" s="845"/>
      <c r="O218" s="48">
        <f>IF(t&lt;Tnet,'2025'!Resal+('2025'!Salim-'2025'!Resal)*(1-EXP(('2025'!Tnet-t)/('2025'!Tau_j))),Resal+(Salim-Resal)*(1-EXP((Tnet-t)/(Tau_j))))*Salcycl</f>
        <v>4.4048379213496247E-2</v>
      </c>
      <c r="P218" s="169">
        <f>(INDEX(Models!$BJ218:$BT218,,T218)*(1-R218)+INDEX(Models!$BJ218:$BT218,,T218+1)*R218-ERP_i)*Q218*Ramure*Pc/MaxiM</f>
        <v>7.6386659149758196E-5</v>
      </c>
      <c r="Q218" s="305">
        <f t="shared" si="80"/>
        <v>0.5</v>
      </c>
      <c r="R218" s="177">
        <f t="shared" si="81"/>
        <v>0.89949076865789301</v>
      </c>
      <c r="S218" s="811">
        <f t="shared" si="82"/>
        <v>-2</v>
      </c>
      <c r="T218" s="176">
        <f t="shared" si="83"/>
        <v>4</v>
      </c>
      <c r="U218" s="251">
        <f t="shared" si="84"/>
        <v>-1.100509231342107</v>
      </c>
      <c r="V218" s="383">
        <f t="shared" si="85"/>
        <v>53.568393205341778</v>
      </c>
      <c r="W218" s="402">
        <f t="shared" si="86"/>
        <v>43.636056736681255</v>
      </c>
      <c r="X218" s="157">
        <f t="shared" si="87"/>
        <v>46226</v>
      </c>
      <c r="Y218" s="385">
        <f t="shared" si="88"/>
        <v>42.022222485799901</v>
      </c>
      <c r="Z218" s="385">
        <f t="shared" si="89"/>
        <v>44.843749374422991</v>
      </c>
      <c r="AA218" s="386">
        <f t="shared" si="90"/>
        <v>48.690633627761557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7.9006658297936377E-2</v>
      </c>
      <c r="AD218" s="231">
        <f>(INDEX(Models!$BJ218:$BT218,,AH218)*(1-AF218)+INDEX(Models!$BJ218:$BT218,,AH218+1)*AF218-ERP_i)*AE218*Ramure*Pc/MaxiM</f>
        <v>6.6213485036841217E-4</v>
      </c>
      <c r="AE218" s="305">
        <f t="shared" si="92"/>
        <v>0.5</v>
      </c>
      <c r="AF218" s="177">
        <f t="shared" si="93"/>
        <v>0.42447833503187171</v>
      </c>
      <c r="AG218" s="811">
        <f t="shared" si="99"/>
        <v>2</v>
      </c>
      <c r="AH218" s="176">
        <f t="shared" si="94"/>
        <v>8</v>
      </c>
      <c r="AI218" s="225">
        <f t="shared" si="95"/>
        <v>2.4244783350318717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48.940917558865451</v>
      </c>
      <c r="C219" s="841"/>
      <c r="D219" s="393">
        <f t="shared" si="77"/>
        <v>52.228135063417632</v>
      </c>
      <c r="E219" s="385">
        <f t="shared" si="75"/>
        <v>54.638639260453395</v>
      </c>
      <c r="F219" s="385">
        <f t="shared" si="78"/>
        <v>54.642437076567468</v>
      </c>
      <c r="G219" s="110">
        <f t="shared" si="76"/>
        <v>0.91569347697404624</v>
      </c>
      <c r="H219" s="414" t="b">
        <f>Wh_hp&gt;='2025'!Maxi_hp</f>
        <v>0</v>
      </c>
      <c r="I219" s="390">
        <f>IF(H219,Wh_hp,'2025'!Maxi_hp)</f>
        <v>57.924820130429069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6.2939591860990296E-2</v>
      </c>
      <c r="M219" s="845"/>
      <c r="N219" s="845"/>
      <c r="O219" s="48">
        <f>IF(t&lt;Tnet,'2025'!Resal+('2025'!Salim-'2025'!Resal)*(1-EXP(('2025'!Tnet-t)/('2025'!Tau_j))),Resal+(Salim-Resal)*(1-EXP((Tnet-t)/(Tau_j))))*Salcycl</f>
        <v>4.4117207706167179E-2</v>
      </c>
      <c r="P219" s="169">
        <f>(INDEX(Models!$BJ219:$BT219,,T219)*(1-R219)+INDEX(Models!$BJ219:$BT219,,T219+1)*R219-ERP_i)*Q219*Ramure*Pc/MaxiM</f>
        <v>7.9018942411149493E-5</v>
      </c>
      <c r="Q219" s="305">
        <f t="shared" si="80"/>
        <v>0.5</v>
      </c>
      <c r="R219" s="177">
        <f t="shared" si="81"/>
        <v>0.90201859270077023</v>
      </c>
      <c r="S219" s="811">
        <f t="shared" si="82"/>
        <v>-2</v>
      </c>
      <c r="T219" s="176">
        <f t="shared" si="83"/>
        <v>4</v>
      </c>
      <c r="U219" s="251">
        <f t="shared" si="84"/>
        <v>-1.0979814072992298</v>
      </c>
      <c r="V219" s="383">
        <f t="shared" si="85"/>
        <v>53.446325698184829</v>
      </c>
      <c r="W219" s="402">
        <f t="shared" si="86"/>
        <v>48.940917558865451</v>
      </c>
      <c r="X219" s="157">
        <f t="shared" si="87"/>
        <v>46227</v>
      </c>
      <c r="Y219" s="385">
        <f t="shared" si="88"/>
        <v>47.129009745399273</v>
      </c>
      <c r="Z219" s="385">
        <f t="shared" si="89"/>
        <v>50.294526730669261</v>
      </c>
      <c r="AA219" s="386">
        <f t="shared" si="90"/>
        <v>54.610994283816545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7.9040266703703413E-2</v>
      </c>
      <c r="AD219" s="231">
        <f>(INDEX(Models!$BJ219:$BT219,,AH219)*(1-AF219)+INDEX(Models!$BJ219:$BT219,,AH219+1)*AF219-ERP_i)*AE219*Ramure*Pc/MaxiM</f>
        <v>6.5421182990500033E-4</v>
      </c>
      <c r="AE219" s="305">
        <f t="shared" si="92"/>
        <v>0.5</v>
      </c>
      <c r="AF219" s="177">
        <f t="shared" si="93"/>
        <v>0.42700615907474937</v>
      </c>
      <c r="AG219" s="811">
        <f t="shared" si="99"/>
        <v>2</v>
      </c>
      <c r="AH219" s="176">
        <f t="shared" si="94"/>
        <v>8</v>
      </c>
      <c r="AI219" s="225">
        <f t="shared" si="95"/>
        <v>2.4270061590747494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25.011073925911553</v>
      </c>
      <c r="C220" s="841"/>
      <c r="D220" s="393">
        <f t="shared" si="77"/>
        <v>26.691578821787132</v>
      </c>
      <c r="E220" s="385">
        <f t="shared" si="75"/>
        <v>27.925487586045872</v>
      </c>
      <c r="F220" s="385">
        <f t="shared" si="78"/>
        <v>27.926034270657087</v>
      </c>
      <c r="G220" s="110">
        <f t="shared" si="76"/>
        <v>0.46901983233132499</v>
      </c>
      <c r="H220" s="414" t="b">
        <f>Wh_hp&gt;='2025'!Maxi_hp</f>
        <v>0</v>
      </c>
      <c r="I220" s="390">
        <f>IF(H220,Wh_hp,'2025'!Maxi_hp)</f>
        <v>58.619065963281635</v>
      </c>
      <c r="J220" s="85">
        <f>IF(H220,An,'2025'!An_max)</f>
        <v>2019</v>
      </c>
      <c r="K220" s="197">
        <f t="shared" si="79"/>
        <v>46228</v>
      </c>
      <c r="L220" s="147">
        <f>IF(t&lt;Tvie,1-EXP((T0-t)*PertePVj)+'2025'!Pspv,1-EXP((T0-t)*PertePVj)+Pspv)</f>
        <v>6.296011588883077E-2</v>
      </c>
      <c r="M220" s="845"/>
      <c r="N220" s="845"/>
      <c r="O220" s="48">
        <f>IF(t&lt;Tnet,'2025'!Resal+('2025'!Salim-'2025'!Resal)*(1-EXP(('2025'!Tnet-t)/('2025'!Tau_j))),Resal+(Salim-Resal)*(1-EXP((Tnet-t)/(Tau_j))))*Salcycl</f>
        <v>4.4185755412747489E-2</v>
      </c>
      <c r="P220" s="169">
        <f>(INDEX(Models!$BJ220:$BT220,,T220)*(1-R220)+INDEX(Models!$BJ220:$BT220,,T220+1)*R220-ERP_i)*Q220*Ramure*Pc/MaxiM</f>
        <v>8.1061354771535854E-5</v>
      </c>
      <c r="Q220" s="305">
        <f t="shared" si="80"/>
        <v>0.5</v>
      </c>
      <c r="R220" s="177">
        <f t="shared" si="81"/>
        <v>0.90447289368790518</v>
      </c>
      <c r="S220" s="811">
        <f t="shared" si="82"/>
        <v>-2</v>
      </c>
      <c r="T220" s="176">
        <f t="shared" si="83"/>
        <v>4</v>
      </c>
      <c r="U220" s="251">
        <f t="shared" si="84"/>
        <v>-1.0955271063120948</v>
      </c>
      <c r="V220" s="383">
        <f t="shared" si="85"/>
        <v>53.322982017258589</v>
      </c>
      <c r="W220" s="402">
        <f t="shared" si="86"/>
        <v>25.011073925911553</v>
      </c>
      <c r="X220" s="157">
        <f t="shared" si="87"/>
        <v>46228</v>
      </c>
      <c r="Y220" s="385">
        <f t="shared" si="88"/>
        <v>24.094896342542153</v>
      </c>
      <c r="Z220" s="385">
        <f t="shared" si="89"/>
        <v>25.713842869556622</v>
      </c>
      <c r="AA220" s="386">
        <f t="shared" si="90"/>
        <v>27.921709044206381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7.9073461124969352E-2</v>
      </c>
      <c r="AD220" s="231">
        <f>(INDEX(Models!$BJ220:$BT220,,AH220)*(1-AF220)+INDEX(Models!$BJ220:$BT220,,AH220+1)*AF220-ERP_i)*AE220*Ramure*Pc/MaxiM</f>
        <v>6.4133635480958856E-4</v>
      </c>
      <c r="AE220" s="305">
        <f t="shared" si="92"/>
        <v>0.5</v>
      </c>
      <c r="AF220" s="177">
        <f t="shared" si="93"/>
        <v>0.42946046006188432</v>
      </c>
      <c r="AG220" s="811">
        <f t="shared" si="99"/>
        <v>2</v>
      </c>
      <c r="AH220" s="176">
        <f t="shared" si="94"/>
        <v>8</v>
      </c>
      <c r="AI220" s="225">
        <f t="shared" si="95"/>
        <v>2.4294604600618843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52.575222862268689</v>
      </c>
      <c r="C221" s="841"/>
      <c r="D221" s="393">
        <f t="shared" si="77"/>
        <v>56.109003801554934</v>
      </c>
      <c r="E221" s="385">
        <f t="shared" si="75"/>
        <v>58.707026699010108</v>
      </c>
      <c r="F221" s="385">
        <f t="shared" si="78"/>
        <v>58.711781723790224</v>
      </c>
      <c r="G221" s="110">
        <f t="shared" si="76"/>
        <v>0.98828500117960405</v>
      </c>
      <c r="H221" s="414" t="b">
        <f>Wh_hp&gt;='2025'!Maxi_hp</f>
        <v>0</v>
      </c>
      <c r="I221" s="390">
        <f>IF(H221,Wh_hp,'2025'!Maxi_hp)</f>
        <v>58.711826275026539</v>
      </c>
      <c r="J221" s="85">
        <f>IF(H221,An,'2025'!An_max)</f>
        <v>2025</v>
      </c>
      <c r="K221" s="197">
        <f t="shared" si="79"/>
        <v>46229</v>
      </c>
      <c r="L221" s="147">
        <f>IF(t&lt;Tvie,1-EXP((T0-t)*PertePVj)+'2025'!Pspv,1-EXP((T0-t)*PertePVj)+Pspv)</f>
        <v>6.2980639467142274E-2</v>
      </c>
      <c r="M221" s="845"/>
      <c r="N221" s="845"/>
      <c r="O221" s="48">
        <f>IF(t&lt;Tnet,'2025'!Resal+('2025'!Salim-'2025'!Resal)*(1-EXP(('2025'!Tnet-t)/('2025'!Tau_j))),Resal+(Salim-Resal)*(1-EXP((Tnet-t)/(Tau_j))))*Salcycl</f>
        <v>4.4254036416717081E-2</v>
      </c>
      <c r="P221" s="169">
        <f>(INDEX(Models!$BJ221:$BT221,,T221)*(1-R221)+INDEX(Models!$BJ221:$BT221,,T221+1)*R221-ERP_i)*Q221*Ramure*Pc/MaxiM</f>
        <v>8.2367597602325785E-5</v>
      </c>
      <c r="Q221" s="305">
        <f t="shared" si="80"/>
        <v>0.5</v>
      </c>
      <c r="R221" s="177">
        <f t="shared" si="81"/>
        <v>0.90685485046576408</v>
      </c>
      <c r="S221" s="811">
        <f t="shared" si="82"/>
        <v>-2</v>
      </c>
      <c r="T221" s="176">
        <f t="shared" si="83"/>
        <v>4</v>
      </c>
      <c r="U221" s="251">
        <f t="shared" si="84"/>
        <v>-1.0931451495342359</v>
      </c>
      <c r="V221" s="383">
        <f t="shared" si="85"/>
        <v>53.198369223612154</v>
      </c>
      <c r="W221" s="402">
        <f t="shared" si="86"/>
        <v>52.575222862268689</v>
      </c>
      <c r="X221" s="157">
        <f t="shared" si="87"/>
        <v>46229</v>
      </c>
      <c r="Y221" s="385">
        <f t="shared" si="88"/>
        <v>50.630955001521457</v>
      </c>
      <c r="Z221" s="385">
        <f t="shared" si="89"/>
        <v>54.034054293957162</v>
      </c>
      <c r="AA221" s="386">
        <f t="shared" si="90"/>
        <v>58.67566735763419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7.9106267942142316E-2</v>
      </c>
      <c r="AD221" s="231">
        <f>(INDEX(Models!$BJ221:$BT221,,AH221)*(1-AF221)+INDEX(Models!$BJ221:$BT221,,AH221+1)*AF221-ERP_i)*AE221*Ramure*Pc/MaxiM</f>
        <v>6.2558108879693102E-4</v>
      </c>
      <c r="AE221" s="305">
        <f t="shared" si="92"/>
        <v>0.5</v>
      </c>
      <c r="AF221" s="177">
        <f t="shared" si="93"/>
        <v>0.43184241683974323</v>
      </c>
      <c r="AG221" s="811">
        <f t="shared" si="99"/>
        <v>2</v>
      </c>
      <c r="AH221" s="176">
        <f t="shared" si="94"/>
        <v>8</v>
      </c>
      <c r="AI221" s="225">
        <f t="shared" si="95"/>
        <v>2.4318424168397432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52.583696906359748</v>
      </c>
      <c r="C222" s="841"/>
      <c r="D222" s="393">
        <f t="shared" si="77"/>
        <v>56.119276574602509</v>
      </c>
      <c r="E222" s="385">
        <f t="shared" si="75"/>
        <v>58.721954803943476</v>
      </c>
      <c r="F222" s="385">
        <f t="shared" si="78"/>
        <v>58.726760775163513</v>
      </c>
      <c r="G222" s="110">
        <f t="shared" si="76"/>
        <v>0.99078905764269787</v>
      </c>
      <c r="H222" s="414" t="b">
        <f>Wh_hp&gt;='2025'!Maxi_hp</f>
        <v>0</v>
      </c>
      <c r="I222" s="390">
        <f>IF(H222,Wh_hp,'2025'!Maxi_hp)</f>
        <v>58.726795959176478</v>
      </c>
      <c r="J222" s="85">
        <f>IF(H222,An,'2025'!An_max)</f>
        <v>2025</v>
      </c>
      <c r="K222" s="197">
        <f t="shared" si="79"/>
        <v>46230</v>
      </c>
      <c r="L222" s="147">
        <f>IF(t&lt;Tvie,1-EXP((T0-t)*PertePVj)+'2025'!Pspv,1-EXP((T0-t)*PertePVj)+Pspv)</f>
        <v>6.300116259593469E-2</v>
      </c>
      <c r="M222" s="845"/>
      <c r="N222" s="845"/>
      <c r="O222" s="48">
        <f>IF(t&lt;Tnet,'2025'!Resal+('2025'!Salim-'2025'!Resal)*(1-EXP(('2025'!Tnet-t)/('2025'!Tau_j))),Resal+(Salim-Resal)*(1-EXP((Tnet-t)/(Tau_j))))*Salcycl</f>
        <v>4.4322063835078272E-2</v>
      </c>
      <c r="P222" s="169">
        <f>(INDEX(Models!$BJ222:$BT222,,T222)*(1-R222)+INDEX(Models!$BJ222:$BT222,,T222+1)*R222-ERP_i)*Q222*Ramure*Pc/MaxiM</f>
        <v>8.2927205303273772E-5</v>
      </c>
      <c r="Q222" s="305">
        <f t="shared" si="80"/>
        <v>0.5</v>
      </c>
      <c r="R222" s="177">
        <f t="shared" si="81"/>
        <v>0.90916569197073005</v>
      </c>
      <c r="S222" s="811">
        <f t="shared" si="82"/>
        <v>-2</v>
      </c>
      <c r="T222" s="176">
        <f t="shared" si="83"/>
        <v>4</v>
      </c>
      <c r="U222" s="251">
        <f t="shared" si="84"/>
        <v>-1.09083430802927</v>
      </c>
      <c r="V222" s="383">
        <f t="shared" si="85"/>
        <v>53.072487149130367</v>
      </c>
      <c r="W222" s="402">
        <f t="shared" si="86"/>
        <v>52.583696906359748</v>
      </c>
      <c r="X222" s="157">
        <f t="shared" si="87"/>
        <v>46230</v>
      </c>
      <c r="Y222" s="385">
        <f t="shared" si="88"/>
        <v>50.641798079420219</v>
      </c>
      <c r="Z222" s="385">
        <f t="shared" si="89"/>
        <v>54.046809940257994</v>
      </c>
      <c r="AA222" s="386">
        <f t="shared" si="90"/>
        <v>58.691586481230459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7.9138711686688887E-2</v>
      </c>
      <c r="AD222" s="231">
        <f>(INDEX(Models!$BJ222:$BT222,,AH222)*(1-AF222)+INDEX(Models!$BJ222:$BT222,,AH222+1)*AF222-ERP_i)*AE222*Ramure*Pc/MaxiM</f>
        <v>6.06933699940662E-4</v>
      </c>
      <c r="AE222" s="305">
        <f t="shared" si="92"/>
        <v>0.5</v>
      </c>
      <c r="AF222" s="177">
        <f t="shared" si="93"/>
        <v>0.43415325834470897</v>
      </c>
      <c r="AG222" s="811">
        <f t="shared" si="99"/>
        <v>2</v>
      </c>
      <c r="AH222" s="176">
        <f t="shared" si="94"/>
        <v>8</v>
      </c>
      <c r="AI222" s="225">
        <f t="shared" si="95"/>
        <v>2.434153258344709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42.199446927983089</v>
      </c>
      <c r="C223" s="841"/>
      <c r="D223" s="393">
        <f t="shared" si="77"/>
        <v>45.037805320369984</v>
      </c>
      <c r="E223" s="385">
        <f t="shared" si="75"/>
        <v>47.129894246434418</v>
      </c>
      <c r="F223" s="385">
        <f t="shared" si="78"/>
        <v>47.132662949308319</v>
      </c>
      <c r="G223" s="110">
        <f t="shared" si="76"/>
        <v>0.79701892707933952</v>
      </c>
      <c r="H223" s="414" t="b">
        <f>Wh_hp&gt;='2025'!Maxi_hp</f>
        <v>0</v>
      </c>
      <c r="I223" s="390">
        <f>IF(H223,Wh_hp,'2025'!Maxi_hp)</f>
        <v>56.44038029737262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6.3021685275218009E-2</v>
      </c>
      <c r="M223" s="845"/>
      <c r="N223" s="845"/>
      <c r="O223" s="48">
        <f>IF(t&lt;Tnet,'2025'!Resal+('2025'!Salim-'2025'!Resal)*(1-EXP(('2025'!Tnet-t)/('2025'!Tau_j))),Resal+(Salim-Resal)*(1-EXP((Tnet-t)/(Tau_j))))*Salcycl</f>
        <v>4.4389849786745671E-2</v>
      </c>
      <c r="P223" s="169">
        <f>(INDEX(Models!$BJ223:$BT223,,T223)*(1-R223)+INDEX(Models!$BJ223:$BT223,,T223+1)*R223-ERP_i)*Q223*Ramure*Pc/MaxiM</f>
        <v>8.2729953416985864E-5</v>
      </c>
      <c r="Q223" s="305">
        <f t="shared" si="80"/>
        <v>0.5</v>
      </c>
      <c r="R223" s="177">
        <f t="shared" si="81"/>
        <v>0.91140669135731156</v>
      </c>
      <c r="S223" s="811">
        <f t="shared" si="82"/>
        <v>-2</v>
      </c>
      <c r="T223" s="176">
        <f t="shared" si="83"/>
        <v>4</v>
      </c>
      <c r="U223" s="251">
        <f t="shared" si="84"/>
        <v>-1.0885933086426884</v>
      </c>
      <c r="V223" s="383">
        <f t="shared" si="85"/>
        <v>52.94533566098108</v>
      </c>
      <c r="W223" s="402">
        <f t="shared" si="86"/>
        <v>42.199446927983089</v>
      </c>
      <c r="X223" s="157">
        <f t="shared" si="87"/>
        <v>46231</v>
      </c>
      <c r="Y223" s="385">
        <f t="shared" si="88"/>
        <v>40.649016263600629</v>
      </c>
      <c r="Z223" s="385">
        <f t="shared" si="89"/>
        <v>43.383091822717837</v>
      </c>
      <c r="AA223" s="386">
        <f t="shared" si="90"/>
        <v>47.113072141077772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7.9170814995691466E-2</v>
      </c>
      <c r="AD223" s="231">
        <f>(INDEX(Models!$BJ223:$BT223,,AH223)*(1-AF223)+INDEX(Models!$BJ223:$BT223,,AH223+1)*AF223-ERP_i)*AE223*Ramure*Pc/MaxiM</f>
        <v>5.8538121500632042E-4</v>
      </c>
      <c r="AE223" s="305">
        <f t="shared" si="92"/>
        <v>0.5</v>
      </c>
      <c r="AF223" s="177">
        <f t="shared" si="93"/>
        <v>0.43639425773129048</v>
      </c>
      <c r="AG223" s="811">
        <f t="shared" si="99"/>
        <v>2</v>
      </c>
      <c r="AH223" s="176">
        <f t="shared" si="94"/>
        <v>8</v>
      </c>
      <c r="AI223" s="225">
        <f t="shared" si="95"/>
        <v>2.4363942577312905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28.546386189698179</v>
      </c>
      <c r="C224" s="841"/>
      <c r="D224" s="393">
        <f t="shared" si="77"/>
        <v>30.467099391620216</v>
      </c>
      <c r="E224" s="385">
        <f t="shared" si="75"/>
        <v>31.884606257037316</v>
      </c>
      <c r="F224" s="385">
        <f t="shared" si="78"/>
        <v>31.885501915895837</v>
      </c>
      <c r="G224" s="110">
        <f t="shared" si="76"/>
        <v>0.54044909802580743</v>
      </c>
      <c r="H224" s="414" t="b">
        <f>Wh_hp&gt;='2025'!Maxi_hp</f>
        <v>0</v>
      </c>
      <c r="I224" s="390">
        <f>IF(H224,Wh_hp,'2025'!Maxi_hp)</f>
        <v>59.643858292588483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6.304220750500189E-2</v>
      </c>
      <c r="M224" s="845"/>
      <c r="N224" s="845"/>
      <c r="O224" s="48">
        <f>IF(t&lt;Tnet,'2025'!Resal+('2025'!Salim-'2025'!Resal)*(1-EXP(('2025'!Tnet-t)/('2025'!Tau_j))),Resal+(Salim-Resal)*(1-EXP((Tnet-t)/(Tau_j))))*Salcycl</f>
        <v>4.4457405369534395E-2</v>
      </c>
      <c r="P224" s="169">
        <f>(INDEX(Models!$BJ224:$BT224,,T224)*(1-R224)+INDEX(Models!$BJ224:$BT224,,T224+1)*R224-ERP_i)*Q224*Ramure*Pc/MaxiM</f>
        <v>8.176583173682564E-5</v>
      </c>
      <c r="Q224" s="305">
        <f t="shared" si="80"/>
        <v>0.5</v>
      </c>
      <c r="R224" s="177">
        <f t="shared" si="81"/>
        <v>0.91357916036134501</v>
      </c>
      <c r="S224" s="811">
        <f t="shared" si="82"/>
        <v>-2</v>
      </c>
      <c r="T224" s="176">
        <f t="shared" si="83"/>
        <v>4</v>
      </c>
      <c r="U224" s="251">
        <f t="shared" si="84"/>
        <v>-1.086420839638655</v>
      </c>
      <c r="V224" s="383">
        <f t="shared" si="85"/>
        <v>52.816914665094139</v>
      </c>
      <c r="W224" s="402">
        <f t="shared" si="86"/>
        <v>28.546386189698179</v>
      </c>
      <c r="X224" s="157">
        <f t="shared" si="87"/>
        <v>46232</v>
      </c>
      <c r="Y224" s="385">
        <f t="shared" si="88"/>
        <v>27.503861709919953</v>
      </c>
      <c r="Z224" s="385">
        <f t="shared" si="89"/>
        <v>29.354429762178192</v>
      </c>
      <c r="AA224" s="386">
        <f t="shared" si="90"/>
        <v>31.879357735993032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7.9202598581968903E-2</v>
      </c>
      <c r="AD224" s="231">
        <f>(INDEX(Models!$BJ224:$BT224,,AH224)*(1-AF224)+INDEX(Models!$BJ224:$BT224,,AH224+1)*AF224-ERP_i)*AE224*Ramure*Pc/MaxiM</f>
        <v>5.6090996623619181E-4</v>
      </c>
      <c r="AE224" s="305">
        <f t="shared" si="92"/>
        <v>0.5</v>
      </c>
      <c r="AF224" s="177">
        <f t="shared" si="93"/>
        <v>0.43856672673532371</v>
      </c>
      <c r="AG224" s="811">
        <f t="shared" si="99"/>
        <v>2</v>
      </c>
      <c r="AH224" s="176">
        <f t="shared" si="94"/>
        <v>8</v>
      </c>
      <c r="AI224" s="225">
        <f t="shared" si="95"/>
        <v>2.4385667267353237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48.042544022520445</v>
      </c>
      <c r="C225" s="841"/>
      <c r="D225" s="393">
        <f t="shared" si="77"/>
        <v>51.276158526464833</v>
      </c>
      <c r="E225" s="385">
        <f t="shared" si="75"/>
        <v>53.665605701929664</v>
      </c>
      <c r="F225" s="385">
        <f t="shared" si="78"/>
        <v>53.669359708816749</v>
      </c>
      <c r="G225" s="110">
        <f t="shared" si="76"/>
        <v>0.91183509144180253</v>
      </c>
      <c r="H225" s="414" t="b">
        <f>Wh_hp&gt;='2025'!Maxi_hp</f>
        <v>0</v>
      </c>
      <c r="I225" s="390">
        <f>IF(H225,Wh_hp,'2025'!Maxi_hp)</f>
        <v>55.994393253662331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6.3062729285296326E-2</v>
      </c>
      <c r="M225" s="845"/>
      <c r="N225" s="845"/>
      <c r="O225" s="48">
        <f>IF(t&lt;Tnet,'2025'!Resal+('2025'!Salim-'2025'!Resal)*(1-EXP(('2025'!Tnet-t)/('2025'!Tau_j))),Resal+(Salim-Resal)*(1-EXP((Tnet-t)/(Tau_j))))*Salcycl</f>
        <v>4.4524740645551238E-2</v>
      </c>
      <c r="P225" s="169">
        <f>(INDEX(Models!$BJ225:$BT225,,T225)*(1-R225)+INDEX(Models!$BJ225:$BT225,,T225+1)*R225-ERP_i)*Q225*Ramure*Pc/MaxiM</f>
        <v>8.0025018921108936E-5</v>
      </c>
      <c r="Q225" s="305">
        <f t="shared" si="80"/>
        <v>0.5</v>
      </c>
      <c r="R225" s="177">
        <f t="shared" si="81"/>
        <v>0.91568444390822723</v>
      </c>
      <c r="S225" s="811">
        <f t="shared" si="82"/>
        <v>-2</v>
      </c>
      <c r="T225" s="176">
        <f t="shared" si="83"/>
        <v>4</v>
      </c>
      <c r="U225" s="251">
        <f t="shared" si="84"/>
        <v>-1.0843155560917728</v>
      </c>
      <c r="V225" s="383">
        <f t="shared" si="85"/>
        <v>52.687224107160404</v>
      </c>
      <c r="W225" s="402">
        <f t="shared" si="86"/>
        <v>48.042544022520445</v>
      </c>
      <c r="X225" s="157">
        <f t="shared" si="87"/>
        <v>46233</v>
      </c>
      <c r="Y225" s="385">
        <f t="shared" si="88"/>
        <v>46.278960862649747</v>
      </c>
      <c r="Z225" s="385">
        <f t="shared" si="89"/>
        <v>49.393873324462547</v>
      </c>
      <c r="AA225" s="386">
        <f t="shared" si="90"/>
        <v>53.644332741887922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7.9234081219290237E-2</v>
      </c>
      <c r="AD225" s="231">
        <f>(INDEX(Models!$BJ225:$BT225,,AH225)*(1-AF225)+INDEX(Models!$BJ225:$BT225,,AH225+1)*AF225-ERP_i)*AE225*Ramure*Pc/MaxiM</f>
        <v>5.335055481404706E-4</v>
      </c>
      <c r="AE225" s="305">
        <f t="shared" si="92"/>
        <v>0.5</v>
      </c>
      <c r="AF225" s="177">
        <f t="shared" si="93"/>
        <v>0.44067201028220637</v>
      </c>
      <c r="AG225" s="811">
        <f t="shared" si="99"/>
        <v>2</v>
      </c>
      <c r="AH225" s="176">
        <f t="shared" si="94"/>
        <v>8</v>
      </c>
      <c r="AI225" s="225">
        <f t="shared" si="95"/>
        <v>2.4406720102822064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50.633145534047593</v>
      </c>
      <c r="C226" s="841"/>
      <c r="D226" s="393">
        <f t="shared" si="77"/>
        <v>54.042310127707353</v>
      </c>
      <c r="E226" s="385">
        <f t="shared" si="75"/>
        <v>56.56463256621219</v>
      </c>
      <c r="F226" s="385">
        <f t="shared" si="78"/>
        <v>56.568793153146849</v>
      </c>
      <c r="G226" s="110">
        <f t="shared" si="76"/>
        <v>0.9634045831228889</v>
      </c>
      <c r="H226" s="414" t="b">
        <f>Wh_hp&gt;='2025'!Maxi_hp</f>
        <v>0</v>
      </c>
      <c r="I226" s="390">
        <f>IF(H226,Wh_hp,'2025'!Maxi_hp)</f>
        <v>58.250484133448317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6.3083250616111086E-2</v>
      </c>
      <c r="M226" s="845"/>
      <c r="N226" s="845"/>
      <c r="O226" s="48">
        <f>IF(t&lt;Tnet,'2025'!Resal+('2025'!Salim-'2025'!Resal)*(1-EXP(('2025'!Tnet-t)/('2025'!Tau_j))),Resal+(Salim-Resal)*(1-EXP((Tnet-t)/(Tau_j))))*Salcycl</f>
        <v>4.4591864634713416E-2</v>
      </c>
      <c r="P226" s="169">
        <f>(INDEX(Models!$BJ226:$BT226,,T226)*(1-R226)+INDEX(Models!$BJ226:$BT226,,T226+1)*R226-ERP_i)*Q226*Ramure*Pc/MaxiM</f>
        <v>7.7605893095630598E-5</v>
      </c>
      <c r="Q226" s="305">
        <f t="shared" si="80"/>
        <v>0.5</v>
      </c>
      <c r="R226" s="177">
        <f t="shared" si="81"/>
        <v>0.91772391497370043</v>
      </c>
      <c r="S226" s="811">
        <f t="shared" si="82"/>
        <v>-2</v>
      </c>
      <c r="T226" s="176">
        <f t="shared" si="83"/>
        <v>4</v>
      </c>
      <c r="U226" s="251">
        <f t="shared" si="84"/>
        <v>-1.0822760850262996</v>
      </c>
      <c r="V226" s="383">
        <f t="shared" si="85"/>
        <v>52.556258295347043</v>
      </c>
      <c r="W226" s="402">
        <f t="shared" si="86"/>
        <v>50.633145534047593</v>
      </c>
      <c r="X226" s="157">
        <f t="shared" si="87"/>
        <v>46234</v>
      </c>
      <c r="Y226" s="385">
        <f t="shared" si="88"/>
        <v>48.775858592261692</v>
      </c>
      <c r="Z226" s="385">
        <f t="shared" si="89"/>
        <v>52.059970775777479</v>
      </c>
      <c r="AA226" s="386">
        <f t="shared" si="90"/>
        <v>56.541769991245502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7.9265279742073022E-2</v>
      </c>
      <c r="AD226" s="231">
        <f>(INDEX(Models!$BJ226:$BT226,,AH226)*(1-AF226)+INDEX(Models!$BJ226:$BT226,,AH226+1)*AF226-ERP_i)*AE226*Ramure*Pc/MaxiM</f>
        <v>5.0405306908776694E-4</v>
      </c>
      <c r="AE226" s="305">
        <f t="shared" si="92"/>
        <v>0.5</v>
      </c>
      <c r="AF226" s="177">
        <f t="shared" si="93"/>
        <v>0.44271148134767913</v>
      </c>
      <c r="AG226" s="811">
        <f t="shared" si="99"/>
        <v>2</v>
      </c>
      <c r="AH226" s="176">
        <f t="shared" si="94"/>
        <v>8</v>
      </c>
      <c r="AI226" s="225">
        <f t="shared" si="95"/>
        <v>2.4427114813476791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49.749755442879191</v>
      </c>
      <c r="C227" s="841"/>
      <c r="D227" s="393">
        <f t="shared" si="77"/>
        <v>53.10060381222263</v>
      </c>
      <c r="E227" s="385">
        <f t="shared" si="75"/>
        <v>55.582867143221918</v>
      </c>
      <c r="F227" s="385">
        <f t="shared" si="78"/>
        <v>55.586729271534843</v>
      </c>
      <c r="G227" s="110">
        <f t="shared" si="76"/>
        <v>0.94898308567463574</v>
      </c>
      <c r="H227" s="414" t="b">
        <f>Wh_hp&gt;='2025'!Maxi_hp</f>
        <v>0</v>
      </c>
      <c r="I227" s="390">
        <f>IF(H227,Wh_hp,'2025'!Maxi_hp)</f>
        <v>55.586893998711901</v>
      </c>
      <c r="J227" s="85">
        <f>IF(H227,An,'2025'!An_max)</f>
        <v>2025</v>
      </c>
      <c r="K227" s="197">
        <f t="shared" si="79"/>
        <v>46235</v>
      </c>
      <c r="L227" s="147">
        <f>IF(t&lt;Tvie,1-EXP((T0-t)*PertePVj)+'2025'!Pspv,1-EXP((T0-t)*PertePVj)+Pspv)</f>
        <v>6.3103771497456052E-2</v>
      </c>
      <c r="M227" s="845"/>
      <c r="N227" s="845"/>
      <c r="O227" s="48">
        <f>IF(t&lt;Tnet,'2025'!Resal+('2025'!Salim-'2025'!Resal)*(1-EXP(('2025'!Tnet-t)/('2025'!Tau_j))),Resal+(Salim-Resal)*(1-EXP((Tnet-t)/(Tau_j))))*Salcycl</f>
        <v>4.4658785316043004E-2</v>
      </c>
      <c r="P227" s="169">
        <f>(INDEX(Models!$BJ227:$BT227,,T227)*(1-R227)+INDEX(Models!$BJ227:$BT227,,T227+1)*R227-ERP_i)*Q227*Ramure*Pc/MaxiM</f>
        <v>7.4940531886848771E-5</v>
      </c>
      <c r="Q227" s="305">
        <f t="shared" si="80"/>
        <v>0.5</v>
      </c>
      <c r="R227" s="177">
        <f t="shared" si="81"/>
        <v>0.91969896970236964</v>
      </c>
      <c r="S227" s="811">
        <f t="shared" si="82"/>
        <v>-2</v>
      </c>
      <c r="T227" s="176">
        <f t="shared" si="83"/>
        <v>4</v>
      </c>
      <c r="U227" s="251">
        <f t="shared" si="84"/>
        <v>-1.0803010302976304</v>
      </c>
      <c r="V227" s="383">
        <f t="shared" si="85"/>
        <v>52.423994148244461</v>
      </c>
      <c r="W227" s="402">
        <f t="shared" si="86"/>
        <v>49.749755442879191</v>
      </c>
      <c r="X227" s="157">
        <f t="shared" si="87"/>
        <v>46235</v>
      </c>
      <c r="Y227" s="385">
        <f t="shared" si="88"/>
        <v>47.928198754027349</v>
      </c>
      <c r="Z227" s="385">
        <f t="shared" si="89"/>
        <v>51.156357871812276</v>
      </c>
      <c r="AA227" s="386">
        <f t="shared" si="90"/>
        <v>55.56223225660743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7.9296209058828962E-2</v>
      </c>
      <c r="AD227" s="231">
        <f>(INDEX(Models!$BJ227:$BT227,,AH227)*(1-AF227)+INDEX(Models!$BJ227:$BT227,,AH227+1)*AF227-ERP_i)*AE227*Ramure*Pc/MaxiM</f>
        <v>4.7533877167015058E-4</v>
      </c>
      <c r="AE227" s="305">
        <f t="shared" si="92"/>
        <v>0.5</v>
      </c>
      <c r="AF227" s="177">
        <f t="shared" si="93"/>
        <v>0.44468653607634856</v>
      </c>
      <c r="AG227" s="811">
        <f t="shared" si="99"/>
        <v>2</v>
      </c>
      <c r="AH227" s="176">
        <f t="shared" si="94"/>
        <v>8</v>
      </c>
      <c r="AI227" s="225">
        <f t="shared" si="95"/>
        <v>2.4446865360763486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49.947806114617933</v>
      </c>
      <c r="C228" s="841"/>
      <c r="D228" s="393">
        <f t="shared" si="77"/>
        <v>53.31316169727274</v>
      </c>
      <c r="E228" s="385">
        <f t="shared" si="75"/>
        <v>55.809259260106145</v>
      </c>
      <c r="F228" s="385">
        <f t="shared" si="78"/>
        <v>55.813022000259785</v>
      </c>
      <c r="G228" s="110">
        <f t="shared" si="76"/>
        <v>0.95519532613936042</v>
      </c>
      <c r="H228" s="414" t="b">
        <f>Wh_hp&gt;='2025'!Maxi_hp</f>
        <v>0</v>
      </c>
      <c r="I228" s="390">
        <f>IF(H228,Wh_hp,'2025'!Maxi_hp)</f>
        <v>56.845203333586923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6.3124291929340992E-2</v>
      </c>
      <c r="M228" s="845"/>
      <c r="N228" s="845"/>
      <c r="O228" s="48">
        <f>IF(t&lt;Tnet,'2025'!Resal+('2025'!Salim-'2025'!Resal)*(1-EXP(('2025'!Tnet-t)/('2025'!Tau_j))),Resal+(Salim-Resal)*(1-EXP((Tnet-t)/(Tau_j))))*Salcycl</f>
        <v>4.4725509636313686E-2</v>
      </c>
      <c r="P228" s="169">
        <f>(INDEX(Models!$BJ228:$BT228,,T228)*(1-R228)+INDEX(Models!$BJ228:$BT228,,T228+1)*R228-ERP_i)*Q228*Ramure*Pc/MaxiM</f>
        <v>7.2026617558751917E-5</v>
      </c>
      <c r="Q228" s="305">
        <f t="shared" si="80"/>
        <v>0.5</v>
      </c>
      <c r="R228" s="177">
        <f t="shared" si="81"/>
        <v>0.92161102278700646</v>
      </c>
      <c r="S228" s="811">
        <f t="shared" si="82"/>
        <v>-2</v>
      </c>
      <c r="T228" s="176">
        <f t="shared" si="83"/>
        <v>4</v>
      </c>
      <c r="U228" s="251">
        <f t="shared" si="84"/>
        <v>-1.0783889772129935</v>
      </c>
      <c r="V228" s="383">
        <f t="shared" si="85"/>
        <v>52.290431586387307</v>
      </c>
      <c r="W228" s="402">
        <f t="shared" si="86"/>
        <v>49.947806114617933</v>
      </c>
      <c r="X228" s="157">
        <f t="shared" si="87"/>
        <v>46236</v>
      </c>
      <c r="Y228" s="385">
        <f t="shared" si="88"/>
        <v>48.121713588477533</v>
      </c>
      <c r="Z228" s="385">
        <f t="shared" si="89"/>
        <v>51.364031721535682</v>
      </c>
      <c r="AA228" s="386">
        <f t="shared" si="90"/>
        <v>55.789650775373389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7.932688217849998E-2</v>
      </c>
      <c r="AD228" s="231">
        <f>(INDEX(Models!$BJ228:$BT228,,AH228)*(1-AF228)+INDEX(Models!$BJ228:$BT228,,AH228+1)*AF228-ERP_i)*AE228*Ramure*Pc/MaxiM</f>
        <v>4.4737351186605913E-4</v>
      </c>
      <c r="AE228" s="305">
        <f t="shared" si="92"/>
        <v>0.5</v>
      </c>
      <c r="AF228" s="177">
        <f t="shared" si="93"/>
        <v>0.4465985891609856</v>
      </c>
      <c r="AG228" s="811">
        <f t="shared" si="99"/>
        <v>2</v>
      </c>
      <c r="AH228" s="176">
        <f t="shared" si="94"/>
        <v>8</v>
      </c>
      <c r="AI228" s="225">
        <f t="shared" si="95"/>
        <v>2.4465985891609856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47.857906108202585</v>
      </c>
      <c r="C229" s="841"/>
      <c r="D229" s="393">
        <f t="shared" si="77"/>
        <v>51.083568428395985</v>
      </c>
      <c r="E229" s="385">
        <f t="shared" si="75"/>
        <v>53.479002223703688</v>
      </c>
      <c r="F229" s="385">
        <f t="shared" si="78"/>
        <v>53.482251576735237</v>
      </c>
      <c r="G229" s="110">
        <f t="shared" si="76"/>
        <v>0.91759168977133931</v>
      </c>
      <c r="H229" s="414" t="b">
        <f>Wh_hp&gt;='2025'!Maxi_hp</f>
        <v>0</v>
      </c>
      <c r="I229" s="390">
        <f>IF(H229,Wh_hp,'2025'!Maxi_hp)</f>
        <v>57.532187418566849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6.31448119117759E-2</v>
      </c>
      <c r="M229" s="845"/>
      <c r="N229" s="845"/>
      <c r="O229" s="48">
        <f>IF(t&lt;Tnet,'2025'!Resal+('2025'!Salim-'2025'!Resal)*(1-EXP(('2025'!Tnet-t)/('2025'!Tau_j))),Resal+(Salim-Resal)*(1-EXP((Tnet-t)/(Tau_j))))*Salcycl</f>
        <v>4.4792043525560855E-2</v>
      </c>
      <c r="P229" s="169">
        <f>(INDEX(Models!$BJ229:$BT229,,T229)*(1-R229)+INDEX(Models!$BJ229:$BT229,,T229+1)*R229-ERP_i)*Q229*Ramure*Pc/MaxiM</f>
        <v>6.8861833448328165E-5</v>
      </c>
      <c r="Q229" s="305">
        <f t="shared" si="80"/>
        <v>0.5</v>
      </c>
      <c r="R229" s="177">
        <f t="shared" si="81"/>
        <v>0.92346150310972952</v>
      </c>
      <c r="S229" s="811">
        <f t="shared" si="82"/>
        <v>-2</v>
      </c>
      <c r="T229" s="176">
        <f t="shared" si="83"/>
        <v>4</v>
      </c>
      <c r="U229" s="251">
        <f t="shared" si="84"/>
        <v>-1.0765384968902705</v>
      </c>
      <c r="V229" s="383">
        <f t="shared" si="85"/>
        <v>52.155570584162781</v>
      </c>
      <c r="W229" s="402">
        <f t="shared" si="86"/>
        <v>47.857906108202585</v>
      </c>
      <c r="X229" s="157">
        <f t="shared" si="87"/>
        <v>46237</v>
      </c>
      <c r="Y229" s="385">
        <f t="shared" si="88"/>
        <v>46.111816587342759</v>
      </c>
      <c r="Z229" s="385">
        <f t="shared" si="89"/>
        <v>49.219791034556756</v>
      </c>
      <c r="AA229" s="386">
        <f t="shared" si="90"/>
        <v>53.462425306232447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7.935731024871974E-2</v>
      </c>
      <c r="AD229" s="231">
        <f>(INDEX(Models!$BJ229:$BT229,,AH229)*(1-AF229)+INDEX(Models!$BJ229:$BT229,,AH229+1)*AF229-ERP_i)*AE229*Ramure*Pc/MaxiM</f>
        <v>4.2016774539691893E-4</v>
      </c>
      <c r="AE229" s="305">
        <f t="shared" si="92"/>
        <v>0.5</v>
      </c>
      <c r="AF229" s="177">
        <f t="shared" si="93"/>
        <v>0.44844906948370822</v>
      </c>
      <c r="AG229" s="811">
        <f t="shared" si="99"/>
        <v>2</v>
      </c>
      <c r="AH229" s="176">
        <f t="shared" si="94"/>
        <v>8</v>
      </c>
      <c r="AI229" s="225">
        <f t="shared" si="95"/>
        <v>2.4484490694837082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44.909377987700502</v>
      </c>
      <c r="C230" s="841"/>
      <c r="D230" s="393">
        <f t="shared" si="77"/>
        <v>47.937357033294873</v>
      </c>
      <c r="E230" s="385">
        <f t="shared" si="75"/>
        <v>50.188743352519602</v>
      </c>
      <c r="F230" s="385">
        <f t="shared" si="78"/>
        <v>50.191386704157175</v>
      </c>
      <c r="G230" s="110">
        <f t="shared" si="76"/>
        <v>0.86330858188254478</v>
      </c>
      <c r="H230" s="414" t="b">
        <f>Wh_hp&gt;='2025'!Maxi_hp</f>
        <v>0</v>
      </c>
      <c r="I230" s="390">
        <f>IF(H230,Wh_hp,'2025'!Maxi_hp)</f>
        <v>54.820289563876685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6.3165331444770545E-2</v>
      </c>
      <c r="M230" s="845"/>
      <c r="N230" s="845"/>
      <c r="O230" s="48">
        <f>IF(t&lt;Tnet,'2025'!Resal+('2025'!Salim-'2025'!Resal)*(1-EXP(('2025'!Tnet-t)/('2025'!Tau_j))),Resal+(Salim-Resal)*(1-EXP((Tnet-t)/(Tau_j))))*Salcycl</f>
        <v>4.4858391918906303E-2</v>
      </c>
      <c r="P230" s="169">
        <f>(INDEX(Models!$BJ230:$BT230,,T230)*(1-R230)+INDEX(Models!$BJ230:$BT230,,T230+1)*R230-ERP_i)*Q230*Ramure*Pc/MaxiM</f>
        <v>6.5443860767006327E-5</v>
      </c>
      <c r="Q230" s="305">
        <f t="shared" si="80"/>
        <v>0.5</v>
      </c>
      <c r="R230" s="177">
        <f t="shared" si="81"/>
        <v>0.92525184964440621</v>
      </c>
      <c r="S230" s="811">
        <f t="shared" si="82"/>
        <v>-2</v>
      </c>
      <c r="T230" s="176">
        <f t="shared" si="83"/>
        <v>4</v>
      </c>
      <c r="U230" s="251">
        <f t="shared" si="84"/>
        <v>-1.0747481503555938</v>
      </c>
      <c r="V230" s="383">
        <f t="shared" si="85"/>
        <v>52.019411169031819</v>
      </c>
      <c r="W230" s="402">
        <f t="shared" si="86"/>
        <v>44.909377987700502</v>
      </c>
      <c r="X230" s="157">
        <f t="shared" si="87"/>
        <v>46238</v>
      </c>
      <c r="Y230" s="385">
        <f t="shared" si="88"/>
        <v>43.2744329399466</v>
      </c>
      <c r="Z230" s="385">
        <f t="shared" si="89"/>
        <v>46.192177117744478</v>
      </c>
      <c r="AA230" s="386">
        <f t="shared" si="90"/>
        <v>50.175483440045141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7.9387502604939097E-2</v>
      </c>
      <c r="AD230" s="231">
        <f>(INDEX(Models!$BJ230:$BT230,,AH230)*(1-AF230)+INDEX(Models!$BJ230:$BT230,,AH230+1)*AF230-ERP_i)*AE230*Ramure*Pc/MaxiM</f>
        <v>3.9373157452679157E-4</v>
      </c>
      <c r="AE230" s="305">
        <f t="shared" si="92"/>
        <v>0.5</v>
      </c>
      <c r="AF230" s="177">
        <f t="shared" si="93"/>
        <v>0.45023941601838491</v>
      </c>
      <c r="AG230" s="811">
        <f t="shared" si="99"/>
        <v>2</v>
      </c>
      <c r="AH230" s="176">
        <f t="shared" si="94"/>
        <v>8</v>
      </c>
      <c r="AI230" s="225">
        <f t="shared" si="95"/>
        <v>2.4502394160183849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41.783462339097071</v>
      </c>
      <c r="C231" s="841"/>
      <c r="D231" s="393">
        <f t="shared" si="77"/>
        <v>44.60165590225305</v>
      </c>
      <c r="E231" s="385">
        <f t="shared" si="75"/>
        <v>46.69961552510533</v>
      </c>
      <c r="F231" s="385">
        <f t="shared" si="78"/>
        <v>46.701698157566497</v>
      </c>
      <c r="G231" s="110">
        <f t="shared" si="76"/>
        <v>0.80534254939299776</v>
      </c>
      <c r="H231" s="414" t="b">
        <f>Wh_hp&gt;='2025'!Maxi_hp</f>
        <v>0</v>
      </c>
      <c r="I231" s="390">
        <f>IF(H231,Wh_hp,'2025'!Maxi_hp)</f>
        <v>56.442491959447445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6.3185850528334697E-2</v>
      </c>
      <c r="M231" s="845"/>
      <c r="N231" s="845"/>
      <c r="O231" s="48">
        <f>IF(t&lt;Tnet,'2025'!Resal+('2025'!Salim-'2025'!Resal)*(1-EXP(('2025'!Tnet-t)/('2025'!Tau_j))),Resal+(Salim-Resal)*(1-EXP((Tnet-t)/(Tau_j))))*Salcycl</f>
        <v>4.4924558784096048E-2</v>
      </c>
      <c r="P231" s="169">
        <f>(INDEX(Models!$BJ231:$BT231,,T231)*(1-R231)+INDEX(Models!$BJ231:$BT231,,T231+1)*R231-ERP_i)*Q231*Ramure*Pc/MaxiM</f>
        <v>6.177037606217859E-5</v>
      </c>
      <c r="Q231" s="305">
        <f t="shared" si="80"/>
        <v>0.5</v>
      </c>
      <c r="R231" s="177">
        <f t="shared" si="81"/>
        <v>0.9269835076180486</v>
      </c>
      <c r="S231" s="811">
        <f t="shared" si="82"/>
        <v>-2</v>
      </c>
      <c r="T231" s="176">
        <f t="shared" si="83"/>
        <v>4</v>
      </c>
      <c r="U231" s="251">
        <f t="shared" si="84"/>
        <v>-1.0730164923819514</v>
      </c>
      <c r="V231" s="383">
        <f t="shared" si="85"/>
        <v>51.881953418792833</v>
      </c>
      <c r="W231" s="402">
        <f t="shared" si="86"/>
        <v>41.783462339097071</v>
      </c>
      <c r="X231" s="157">
        <f t="shared" si="87"/>
        <v>46239</v>
      </c>
      <c r="Y231" s="385">
        <f t="shared" si="88"/>
        <v>40.265530521114201</v>
      </c>
      <c r="Z231" s="385">
        <f t="shared" si="89"/>
        <v>42.981343251297744</v>
      </c>
      <c r="AA231" s="386">
        <f t="shared" si="90"/>
        <v>46.689288252361976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7.9417466829270977E-2</v>
      </c>
      <c r="AD231" s="231">
        <f>(INDEX(Models!$BJ231:$BT231,,AH231)*(1-AF231)+INDEX(Models!$BJ231:$BT231,,AH231+1)*AF231-ERP_i)*AE231*Ramure*Pc/MaxiM</f>
        <v>3.680747926839561E-4</v>
      </c>
      <c r="AE231" s="305">
        <f t="shared" si="92"/>
        <v>0.5</v>
      </c>
      <c r="AF231" s="177">
        <f t="shared" si="93"/>
        <v>0.45197107399202752</v>
      </c>
      <c r="AG231" s="811">
        <f t="shared" si="99"/>
        <v>2</v>
      </c>
      <c r="AH231" s="176">
        <f t="shared" si="94"/>
        <v>8</v>
      </c>
      <c r="AI231" s="225">
        <f t="shared" si="95"/>
        <v>2.4519710739920275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45.786037372005005</v>
      </c>
      <c r="C232" s="841"/>
      <c r="D232" s="393">
        <f t="shared" si="77"/>
        <v>48.875265442476277</v>
      </c>
      <c r="E232" s="385">
        <f t="shared" si="75"/>
        <v>51.177781850043132</v>
      </c>
      <c r="F232" s="385">
        <f t="shared" si="78"/>
        <v>51.180255198975928</v>
      </c>
      <c r="G232" s="110">
        <f t="shared" si="76"/>
        <v>0.88486224362760535</v>
      </c>
      <c r="H232" s="414" t="b">
        <f>Wh_hp&gt;='2025'!Maxi_hp</f>
        <v>0</v>
      </c>
      <c r="I232" s="390">
        <f>IF(H232,Wh_hp,'2025'!Maxi_hp)</f>
        <v>57.46185272567628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6.3206369162478238E-2</v>
      </c>
      <c r="M232" s="845"/>
      <c r="N232" s="845"/>
      <c r="O232" s="48">
        <f>IF(t&lt;Tnet,'2025'!Resal+('2025'!Salim-'2025'!Resal)*(1-EXP(('2025'!Tnet-t)/('2025'!Tau_j))),Resal+(Salim-Resal)*(1-EXP((Tnet-t)/(Tau_j))))*Salcycl</f>
        <v>4.4990547154104818E-2</v>
      </c>
      <c r="P232" s="169">
        <f>(INDEX(Models!$BJ232:$BT232,,T232)*(1-R232)+INDEX(Models!$BJ232:$BT232,,T232+1)*R232-ERP_i)*Q232*Ramure*Pc/MaxiM</f>
        <v>5.7839049298584285E-5</v>
      </c>
      <c r="Q232" s="305">
        <f t="shared" si="80"/>
        <v>0.5</v>
      </c>
      <c r="R232" s="177">
        <f t="shared" si="81"/>
        <v>0.92865792492758015</v>
      </c>
      <c r="S232" s="811">
        <f t="shared" si="82"/>
        <v>-2</v>
      </c>
      <c r="T232" s="176">
        <f t="shared" si="83"/>
        <v>4</v>
      </c>
      <c r="U232" s="251">
        <f t="shared" si="84"/>
        <v>-1.0713420750724199</v>
      </c>
      <c r="V232" s="383">
        <f t="shared" si="85"/>
        <v>51.743197459849135</v>
      </c>
      <c r="W232" s="402">
        <f t="shared" si="86"/>
        <v>45.786037372005005</v>
      </c>
      <c r="X232" s="157">
        <f t="shared" si="87"/>
        <v>46240</v>
      </c>
      <c r="Y232" s="385">
        <f t="shared" si="88"/>
        <v>44.123557407609027</v>
      </c>
      <c r="Z232" s="385">
        <f t="shared" si="89"/>
        <v>47.100616352569816</v>
      </c>
      <c r="AA232" s="386">
        <f t="shared" si="90"/>
        <v>51.165578773688772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7.9447208817841147E-2</v>
      </c>
      <c r="AD232" s="231">
        <f>(INDEX(Models!$BJ232:$BT232,,AH232)*(1-AF232)+INDEX(Models!$BJ232:$BT232,,AH232+1)*AF232-ERP_i)*AE232*Ramure*Pc/MaxiM</f>
        <v>3.4320692663129018E-4</v>
      </c>
      <c r="AE232" s="305">
        <f t="shared" si="92"/>
        <v>0.5</v>
      </c>
      <c r="AF232" s="177">
        <f t="shared" si="93"/>
        <v>0.45364549130155885</v>
      </c>
      <c r="AG232" s="811">
        <f t="shared" si="99"/>
        <v>2</v>
      </c>
      <c r="AH232" s="176">
        <f t="shared" si="94"/>
        <v>8</v>
      </c>
      <c r="AI232" s="225">
        <f t="shared" si="95"/>
        <v>2.4536454913015588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48.665490461091515</v>
      </c>
      <c r="C233" s="841"/>
      <c r="D233" s="393">
        <f t="shared" si="77"/>
        <v>51.950135848027031</v>
      </c>
      <c r="E233" s="385">
        <f t="shared" ref="E233:E296" si="100">Wh_pvt/(1-Psa)</f>
        <v>54.401258489510724</v>
      </c>
      <c r="F233" s="385">
        <f t="shared" si="78"/>
        <v>54.403939741088443</v>
      </c>
      <c r="G233" s="110">
        <f t="shared" ref="G233:G296" si="101">+Wh_hp/MaxiM</f>
        <v>0.9430642903595321</v>
      </c>
      <c r="H233" s="414" t="b">
        <f>Wh_hp&gt;='2025'!Maxi_hp</f>
        <v>0</v>
      </c>
      <c r="I233" s="390">
        <f>IF(H233,Wh_hp,'2025'!Maxi_hp)</f>
        <v>55.820902062700583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6.3226887347211047E-2</v>
      </c>
      <c r="M233" s="845"/>
      <c r="N233" s="845"/>
      <c r="O233" s="48">
        <f>IF(t&lt;Tnet,'2025'!Resal+('2025'!Salim-'2025'!Resal)*(1-EXP(('2025'!Tnet-t)/('2025'!Tau_j))),Resal+(Salim-Resal)*(1-EXP((Tnet-t)/(Tau_j))))*Salcycl</f>
        <v>4.5056359164123053E-2</v>
      </c>
      <c r="P233" s="169">
        <f>(INDEX(Models!$BJ233:$BT233,,T233)*(1-R233)+INDEX(Models!$BJ233:$BT233,,T233+1)*R233-ERP_i)*Q233*Ramure*Pc/MaxiM</f>
        <v>5.3647326197437202E-5</v>
      </c>
      <c r="Q233" s="305">
        <f t="shared" si="80"/>
        <v>0.5</v>
      </c>
      <c r="R233" s="177">
        <f t="shared" si="81"/>
        <v>0.93027654880714361</v>
      </c>
      <c r="S233" s="811">
        <f t="shared" si="82"/>
        <v>-2</v>
      </c>
      <c r="T233" s="176">
        <f t="shared" si="83"/>
        <v>4</v>
      </c>
      <c r="U233" s="251">
        <f t="shared" si="84"/>
        <v>-1.0697234511928564</v>
      </c>
      <c r="V233" s="383">
        <f t="shared" si="85"/>
        <v>51.603351554803595</v>
      </c>
      <c r="W233" s="402">
        <f t="shared" si="86"/>
        <v>48.665490461091515</v>
      </c>
      <c r="X233" s="157">
        <f t="shared" si="87"/>
        <v>46241</v>
      </c>
      <c r="Y233" s="385">
        <f t="shared" si="88"/>
        <v>46.899929826195731</v>
      </c>
      <c r="Z233" s="385">
        <f t="shared" si="89"/>
        <v>50.065409855095822</v>
      </c>
      <c r="AA233" s="386">
        <f t="shared" si="90"/>
        <v>54.387989572924077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7.9476732855375806E-2</v>
      </c>
      <c r="AD233" s="231">
        <f>(INDEX(Models!$BJ233:$BT233,,AH233)*(1-AF233)+INDEX(Models!$BJ233:$BT233,,AH233+1)*AF233-ERP_i)*AE233*Ramure*Pc/MaxiM</f>
        <v>3.1913598915030535E-4</v>
      </c>
      <c r="AE233" s="305">
        <f t="shared" si="92"/>
        <v>0.5</v>
      </c>
      <c r="AF233" s="177">
        <f t="shared" si="93"/>
        <v>0.45526411518112253</v>
      </c>
      <c r="AG233" s="811">
        <f t="shared" si="99"/>
        <v>2</v>
      </c>
      <c r="AH233" s="176">
        <f t="shared" si="94"/>
        <v>8</v>
      </c>
      <c r="AI233" s="225">
        <f t="shared" si="95"/>
        <v>2.4552641151811225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49.446901899067825</v>
      </c>
      <c r="C234" s="841"/>
      <c r="D234" s="393">
        <f t="shared" si="77"/>
        <v>52.785444275630631</v>
      </c>
      <c r="E234" s="385">
        <f t="shared" si="100"/>
        <v>55.279778212095252</v>
      </c>
      <c r="F234" s="385">
        <f t="shared" si="78"/>
        <v>55.2823518633151</v>
      </c>
      <c r="G234" s="110">
        <f t="shared" si="101"/>
        <v>0.96083000011882957</v>
      </c>
      <c r="H234" s="414" t="b">
        <f>Wh_hp&gt;='2025'!Maxi_hp</f>
        <v>0</v>
      </c>
      <c r="I234" s="390">
        <f>IF(H234,Wh_hp,'2025'!Maxi_hp)</f>
        <v>55.282433516208563</v>
      </c>
      <c r="J234" s="85">
        <f>IF(H234,An,'2025'!An_max)</f>
        <v>2025</v>
      </c>
      <c r="K234" s="197">
        <f t="shared" si="79"/>
        <v>46242</v>
      </c>
      <c r="L234" s="147">
        <f>IF(t&lt;Tvie,1-EXP((T0-t)*PertePVj)+'2025'!Pspv,1-EXP((T0-t)*PertePVj)+Pspv)</f>
        <v>6.3247405082542896E-2</v>
      </c>
      <c r="M234" s="845"/>
      <c r="N234" s="845"/>
      <c r="O234" s="48">
        <f>IF(t&lt;Tnet,'2025'!Resal+('2025'!Salim-'2025'!Resal)*(1-EXP(('2025'!Tnet-t)/('2025'!Tau_j))),Resal+(Salim-Resal)*(1-EXP((Tnet-t)/(Tau_j))))*Salcycl</f>
        <v>4.5121996092213956E-2</v>
      </c>
      <c r="P234" s="169">
        <f>(INDEX(Models!$BJ234:$BT234,,T234)*(1-R234)+INDEX(Models!$BJ234:$BT234,,T234+1)*R234-ERP_i)*Q234*Ramure*Pc/MaxiM</f>
        <v>4.9313942810537988E-5</v>
      </c>
      <c r="Q234" s="305">
        <f t="shared" si="80"/>
        <v>0.5</v>
      </c>
      <c r="R234" s="177">
        <f t="shared" si="81"/>
        <v>0.93184082274006519</v>
      </c>
      <c r="S234" s="811">
        <f t="shared" si="82"/>
        <v>-2</v>
      </c>
      <c r="T234" s="176">
        <f t="shared" si="83"/>
        <v>4</v>
      </c>
      <c r="U234" s="251">
        <f t="shared" si="84"/>
        <v>-1.0681591772599348</v>
      </c>
      <c r="V234" s="383">
        <f t="shared" si="85"/>
        <v>51.46255367622333</v>
      </c>
      <c r="W234" s="402">
        <f t="shared" si="86"/>
        <v>49.446901899067825</v>
      </c>
      <c r="X234" s="157">
        <f t="shared" si="87"/>
        <v>46242</v>
      </c>
      <c r="Y234" s="385">
        <f t="shared" si="88"/>
        <v>47.65526192337736</v>
      </c>
      <c r="Z234" s="385">
        <f t="shared" si="89"/>
        <v>50.872836842876907</v>
      </c>
      <c r="AA234" s="386">
        <f t="shared" si="90"/>
        <v>55.266888374361535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7.9506041695718843E-2</v>
      </c>
      <c r="AD234" s="231">
        <f>(INDEX(Models!$BJ234:$BT234,,AH234)*(1-AF234)+INDEX(Models!$BJ234:$BT234,,AH234+1)*AF234-ERP_i)*AE234*Ramure*Pc/MaxiM</f>
        <v>2.9629718433730551E-4</v>
      </c>
      <c r="AE234" s="305">
        <f t="shared" si="92"/>
        <v>0.5</v>
      </c>
      <c r="AF234" s="177">
        <f t="shared" si="93"/>
        <v>0.45682838911404389</v>
      </c>
      <c r="AG234" s="811">
        <f t="shared" si="99"/>
        <v>2</v>
      </c>
      <c r="AH234" s="176">
        <f t="shared" si="94"/>
        <v>8</v>
      </c>
      <c r="AI234" s="225">
        <f t="shared" si="95"/>
        <v>2.4568283891140439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47.793004845441033</v>
      </c>
      <c r="C235" s="841"/>
      <c r="D235" s="393">
        <f t="shared" si="77"/>
        <v>51.020997344601923</v>
      </c>
      <c r="E235" s="385">
        <f t="shared" si="100"/>
        <v>53.43561706810037</v>
      </c>
      <c r="F235" s="385">
        <f t="shared" si="78"/>
        <v>53.437794152515124</v>
      </c>
      <c r="G235" s="110">
        <f t="shared" si="101"/>
        <v>0.93125778892100175</v>
      </c>
      <c r="H235" s="414" t="b">
        <f>Wh_hp&gt;='2025'!Maxi_hp</f>
        <v>0</v>
      </c>
      <c r="I235" s="390">
        <f>IF(H235,Wh_hp,'2025'!Maxi_hp)</f>
        <v>55.939165383860541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6.3267922368483775E-2</v>
      </c>
      <c r="M235" s="845"/>
      <c r="N235" s="845"/>
      <c r="O235" s="48">
        <f>IF(t&lt;Tnet,'2025'!Resal+('2025'!Salim-'2025'!Resal)*(1-EXP(('2025'!Tnet-t)/('2025'!Tau_j))),Resal+(Salim-Resal)*(1-EXP((Tnet-t)/(Tau_j))))*Salcycl</f>
        <v>4.5187458402906951E-2</v>
      </c>
      <c r="P235" s="169">
        <f>(INDEX(Models!$BJ235:$BT235,,T235)*(1-R235)+INDEX(Models!$BJ235:$BT235,,T235+1)*R235-ERP_i)*Q235*Ramure*Pc/MaxiM</f>
        <v>4.5176771766332512E-5</v>
      </c>
      <c r="Q235" s="305">
        <f t="shared" si="80"/>
        <v>0.5</v>
      </c>
      <c r="R235" s="177">
        <f t="shared" si="81"/>
        <v>0.93335218360869354</v>
      </c>
      <c r="S235" s="811">
        <f t="shared" si="82"/>
        <v>-2</v>
      </c>
      <c r="T235" s="176">
        <f t="shared" si="83"/>
        <v>4</v>
      </c>
      <c r="U235" s="251">
        <f t="shared" si="84"/>
        <v>-1.0666478163913065</v>
      </c>
      <c r="V235" s="383">
        <f t="shared" si="85"/>
        <v>51.320690558920923</v>
      </c>
      <c r="W235" s="402">
        <f t="shared" si="86"/>
        <v>47.793004845441033</v>
      </c>
      <c r="X235" s="157">
        <f t="shared" si="87"/>
        <v>46243</v>
      </c>
      <c r="Y235" s="385">
        <f t="shared" si="88"/>
        <v>46.064200487715745</v>
      </c>
      <c r="Z235" s="385">
        <f t="shared" si="89"/>
        <v>49.175427625140102</v>
      </c>
      <c r="AA235" s="386">
        <f t="shared" si="90"/>
        <v>53.424557072178359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7.9535136646945823E-2</v>
      </c>
      <c r="AD235" s="231">
        <f>(INDEX(Models!$BJ235:$BT235,,AH235)*(1-AF235)+INDEX(Models!$BJ235:$BT235,,AH235+1)*AF235-ERP_i)*AE235*Ramure*Pc/MaxiM</f>
        <v>2.7468321998575391E-4</v>
      </c>
      <c r="AE235" s="305">
        <f t="shared" si="92"/>
        <v>0.5</v>
      </c>
      <c r="AF235" s="177">
        <f t="shared" si="93"/>
        <v>0.45833974998267246</v>
      </c>
      <c r="AG235" s="811">
        <f t="shared" si="99"/>
        <v>2</v>
      </c>
      <c r="AH235" s="176">
        <f t="shared" si="94"/>
        <v>8</v>
      </c>
      <c r="AI235" s="225">
        <f t="shared" si="95"/>
        <v>2.4583397499826725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45.825116565470836</v>
      </c>
      <c r="C236" s="841"/>
      <c r="D236" s="393">
        <f t="shared" si="77"/>
        <v>48.921267211200593</v>
      </c>
      <c r="E236" s="385">
        <f t="shared" si="100"/>
        <v>51.240018754317411</v>
      </c>
      <c r="F236" s="385">
        <f t="shared" si="78"/>
        <v>51.241816188447565</v>
      </c>
      <c r="G236" s="110">
        <f t="shared" si="101"/>
        <v>0.89540687350234061</v>
      </c>
      <c r="H236" s="414" t="b">
        <f>Wh_hp&gt;='2025'!Maxi_hp</f>
        <v>0</v>
      </c>
      <c r="I236" s="390">
        <f>IF(H236,Wh_hp,'2025'!Maxi_hp)</f>
        <v>53.022413412282127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6.3288439205043456E-2</v>
      </c>
      <c r="M236" s="845"/>
      <c r="N236" s="845"/>
      <c r="O236" s="48">
        <f>IF(t&lt;Tnet,'2025'!Resal+('2025'!Salim-'2025'!Resal)*(1-EXP(('2025'!Tnet-t)/('2025'!Tau_j))),Resal+(Salim-Resal)*(1-EXP((Tnet-t)/(Tau_j))))*Salcycl</f>
        <v>4.5252745792983273E-2</v>
      </c>
      <c r="P236" s="169">
        <f>(INDEX(Models!$BJ236:$BT236,,T236)*(1-R236)+INDEX(Models!$BJ236:$BT236,,T236+1)*R236-ERP_i)*Q236*Ramure*Pc/MaxiM</f>
        <v>4.1239048980114597E-5</v>
      </c>
      <c r="Q236" s="305">
        <f t="shared" si="80"/>
        <v>0.5</v>
      </c>
      <c r="R236" s="177">
        <f t="shared" si="81"/>
        <v>0.93481205907459053</v>
      </c>
      <c r="S236" s="811">
        <f t="shared" si="82"/>
        <v>-2</v>
      </c>
      <c r="T236" s="176">
        <f t="shared" si="83"/>
        <v>4</v>
      </c>
      <c r="U236" s="251">
        <f t="shared" si="84"/>
        <v>-1.0651879409254095</v>
      </c>
      <c r="V236" s="383">
        <f t="shared" si="85"/>
        <v>51.177666329518722</v>
      </c>
      <c r="W236" s="402">
        <f t="shared" si="86"/>
        <v>45.825116565470836</v>
      </c>
      <c r="X236" s="157">
        <f t="shared" si="87"/>
        <v>46244</v>
      </c>
      <c r="Y236" s="385">
        <f t="shared" si="88"/>
        <v>44.170267665972801</v>
      </c>
      <c r="Z236" s="385">
        <f t="shared" si="89"/>
        <v>47.154609289210583</v>
      </c>
      <c r="AA236" s="386">
        <f t="shared" si="90"/>
        <v>51.23073216815915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7.9564017659734948E-2</v>
      </c>
      <c r="AD236" s="231">
        <f>(INDEX(Models!$BJ236:$BT236,,AH236)*(1-AF236)+INDEX(Models!$BJ236:$BT236,,AH236+1)*AF236-ERP_i)*AE236*Ramure*Pc/MaxiM</f>
        <v>2.5430387011251448E-4</v>
      </c>
      <c r="AE236" s="305">
        <f t="shared" si="92"/>
        <v>0.5</v>
      </c>
      <c r="AF236" s="177">
        <f t="shared" si="93"/>
        <v>0.45979962544856967</v>
      </c>
      <c r="AG236" s="811">
        <f t="shared" si="99"/>
        <v>2</v>
      </c>
      <c r="AH236" s="176">
        <f t="shared" si="94"/>
        <v>8</v>
      </c>
      <c r="AI236" s="225">
        <f t="shared" si="95"/>
        <v>2.4597996254485697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42.169993712326921</v>
      </c>
      <c r="C237" s="841"/>
      <c r="D237" s="393">
        <f t="shared" si="77"/>
        <v>45.020173902686658</v>
      </c>
      <c r="E237" s="385">
        <f t="shared" si="100"/>
        <v>47.157238924016802</v>
      </c>
      <c r="F237" s="385">
        <f t="shared" si="78"/>
        <v>47.158568736966629</v>
      </c>
      <c r="G237" s="110">
        <f t="shared" si="101"/>
        <v>0.82631401272743188</v>
      </c>
      <c r="H237" s="414" t="b">
        <f>Wh_hp&gt;='2025'!Maxi_hp</f>
        <v>0</v>
      </c>
      <c r="I237" s="390">
        <f>IF(H237,Wh_hp,'2025'!Maxi_hp)</f>
        <v>54.934751797677123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6.3308955592231708E-2</v>
      </c>
      <c r="M237" s="845"/>
      <c r="N237" s="845"/>
      <c r="O237" s="48">
        <f>IF(t&lt;Tnet,'2025'!Resal+('2025'!Salim-'2025'!Resal)*(1-EXP(('2025'!Tnet-t)/('2025'!Tau_j))),Resal+(Salim-Resal)*(1-EXP((Tnet-t)/(Tau_j))))*Salcycl</f>
        <v>4.531785723870612E-2</v>
      </c>
      <c r="P237" s="169">
        <f>(INDEX(Models!$BJ237:$BT237,,T237)*(1-R237)+INDEX(Models!$BJ237:$BT237,,T237+1)*R237-ERP_i)*Q237*Ramure*Pc/MaxiM</f>
        <v>3.7503923510891305E-5</v>
      </c>
      <c r="Q237" s="305">
        <f t="shared" si="80"/>
        <v>0.5</v>
      </c>
      <c r="R237" s="177">
        <f t="shared" si="81"/>
        <v>0.93622186518093309</v>
      </c>
      <c r="S237" s="811">
        <f t="shared" si="82"/>
        <v>-2</v>
      </c>
      <c r="T237" s="176">
        <f t="shared" si="83"/>
        <v>4</v>
      </c>
      <c r="U237" s="251">
        <f t="shared" si="84"/>
        <v>-1.0637781348190669</v>
      </c>
      <c r="V237" s="383">
        <f t="shared" si="85"/>
        <v>51.03338519359621</v>
      </c>
      <c r="W237" s="402">
        <f t="shared" si="86"/>
        <v>42.169993712326921</v>
      </c>
      <c r="X237" s="157">
        <f t="shared" si="87"/>
        <v>46245</v>
      </c>
      <c r="Y237" s="385">
        <f t="shared" si="88"/>
        <v>40.649971654722542</v>
      </c>
      <c r="Z237" s="385">
        <f t="shared" si="89"/>
        <v>43.397416786902099</v>
      </c>
      <c r="AA237" s="386">
        <f t="shared" si="90"/>
        <v>47.150230126424482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7.9592683417661375E-2</v>
      </c>
      <c r="AD237" s="231">
        <f>(INDEX(Models!$BJ237:$BT237,,AH237)*(1-AF237)+INDEX(Models!$BJ237:$BT237,,AH237+1)*AF237-ERP_i)*AE237*Ramure*Pc/MaxiM</f>
        <v>2.3516887243501321E-4</v>
      </c>
      <c r="AE237" s="305">
        <f t="shared" si="92"/>
        <v>0.5</v>
      </c>
      <c r="AF237" s="177">
        <f t="shared" si="93"/>
        <v>0.46120943155491201</v>
      </c>
      <c r="AG237" s="811">
        <f t="shared" si="99"/>
        <v>2</v>
      </c>
      <c r="AH237" s="176">
        <f t="shared" si="94"/>
        <v>8</v>
      </c>
      <c r="AI237" s="225">
        <f t="shared" si="95"/>
        <v>2.461209431554912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44.256876103898897</v>
      </c>
      <c r="C238" s="841"/>
      <c r="D238" s="393">
        <f t="shared" si="77"/>
        <v>47.249139114254866</v>
      </c>
      <c r="E238" s="385">
        <f t="shared" si="100"/>
        <v>49.495377488444724</v>
      </c>
      <c r="F238" s="385">
        <f t="shared" si="78"/>
        <v>49.49674608191129</v>
      </c>
      <c r="G238" s="110">
        <f t="shared" si="101"/>
        <v>0.86969054357285636</v>
      </c>
      <c r="H238" s="414" t="b">
        <f>Wh_hp&gt;='2025'!Maxi_hp</f>
        <v>0</v>
      </c>
      <c r="I238" s="390">
        <f>IF(H238,Wh_hp,'2025'!Maxi_hp)</f>
        <v>52.198759439863373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6.3329471530058412E-2</v>
      </c>
      <c r="M238" s="845"/>
      <c r="N238" s="845"/>
      <c r="O238" s="48">
        <f>IF(t&lt;Tnet,'2025'!Resal+('2025'!Salim-'2025'!Resal)*(1-EXP(('2025'!Tnet-t)/('2025'!Tau_j))),Resal+(Salim-Resal)*(1-EXP((Tnet-t)/(Tau_j))))*Salcycl</f>
        <v>4.5382791043754922E-2</v>
      </c>
      <c r="P238" s="169">
        <f>(INDEX(Models!$BJ238:$BT238,,T238)*(1-R238)+INDEX(Models!$BJ238:$BT238,,T238+1)*R238-ERP_i)*Q238*Ramure*Pc/MaxiM</f>
        <v>3.3974466788905757E-5</v>
      </c>
      <c r="Q238" s="305">
        <f t="shared" si="80"/>
        <v>0.5</v>
      </c>
      <c r="R238" s="177">
        <f t="shared" si="81"/>
        <v>0.93758300416849916</v>
      </c>
      <c r="S238" s="811">
        <f t="shared" si="82"/>
        <v>-2</v>
      </c>
      <c r="T238" s="176">
        <f t="shared" si="83"/>
        <v>4</v>
      </c>
      <c r="U238" s="251">
        <f t="shared" si="84"/>
        <v>-1.0624169958315008</v>
      </c>
      <c r="V238" s="383">
        <f t="shared" si="85"/>
        <v>50.887751430234069</v>
      </c>
      <c r="W238" s="402">
        <f t="shared" si="86"/>
        <v>44.256876103898897</v>
      </c>
      <c r="X238" s="157">
        <f t="shared" si="87"/>
        <v>46246</v>
      </c>
      <c r="Y238" s="385">
        <f t="shared" si="88"/>
        <v>42.663191105395576</v>
      </c>
      <c r="Z238" s="385">
        <f t="shared" si="89"/>
        <v>45.547703070242022</v>
      </c>
      <c r="AA238" s="386">
        <f t="shared" si="90"/>
        <v>49.487993070631944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7.9621131428104785E-2</v>
      </c>
      <c r="AD238" s="231">
        <f>(INDEX(Models!$BJ238:$BT238,,AH238)*(1-AF238)+INDEX(Models!$BJ238:$BT238,,AH238+1)*AF238-ERP_i)*AE238*Ramure*Pc/MaxiM</f>
        <v>2.1728796627921344E-4</v>
      </c>
      <c r="AE238" s="305">
        <f t="shared" si="92"/>
        <v>0.5</v>
      </c>
      <c r="AF238" s="177">
        <f t="shared" si="93"/>
        <v>0.46257057054247808</v>
      </c>
      <c r="AG238" s="811">
        <f t="shared" si="99"/>
        <v>2</v>
      </c>
      <c r="AH238" s="176">
        <f t="shared" si="94"/>
        <v>8</v>
      </c>
      <c r="AI238" s="225">
        <f t="shared" si="95"/>
        <v>2.4625705705424781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30.829008491397424</v>
      </c>
      <c r="C239" s="841"/>
      <c r="D239" s="393">
        <f t="shared" si="77"/>
        <v>32.914117401509536</v>
      </c>
      <c r="E239" s="385">
        <f t="shared" si="100"/>
        <v>34.481203442735797</v>
      </c>
      <c r="F239" s="385">
        <f t="shared" si="78"/>
        <v>34.481667883948482</v>
      </c>
      <c r="G239" s="110">
        <f t="shared" si="101"/>
        <v>0.60756941277246335</v>
      </c>
      <c r="H239" s="414" t="b">
        <f>Wh_hp&gt;='2025'!Maxi_hp</f>
        <v>0</v>
      </c>
      <c r="I239" s="390">
        <f>IF(H239,Wh_hp,'2025'!Maxi_hp)</f>
        <v>49.571963401626377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6.3349987018533449E-2</v>
      </c>
      <c r="M239" s="845"/>
      <c r="N239" s="845"/>
      <c r="O239" s="48">
        <f>IF(t&lt;Tnet,'2025'!Resal+('2025'!Salim-'2025'!Resal)*(1-EXP(('2025'!Tnet-t)/('2025'!Tau_j))),Resal+(Salim-Resal)*(1-EXP((Tnet-t)/(Tau_j))))*Salcycl</f>
        <v>4.5447544887137661E-2</v>
      </c>
      <c r="P239" s="169">
        <f>(INDEX(Models!$BJ239:$BT239,,T239)*(1-R239)+INDEX(Models!$BJ239:$BT239,,T239+1)*R239-ERP_i)*Q239*Ramure*Pc/MaxiM</f>
        <v>3.0653681424665778E-5</v>
      </c>
      <c r="Q239" s="305">
        <f t="shared" si="80"/>
        <v>0.5</v>
      </c>
      <c r="R239" s="177">
        <f t="shared" si="81"/>
        <v>0.93889686249624282</v>
      </c>
      <c r="S239" s="811">
        <f t="shared" si="82"/>
        <v>-2</v>
      </c>
      <c r="T239" s="176">
        <f t="shared" si="83"/>
        <v>4</v>
      </c>
      <c r="U239" s="251">
        <f t="shared" si="84"/>
        <v>-1.0611031375037572</v>
      </c>
      <c r="V239" s="383">
        <f t="shared" si="85"/>
        <v>50.740669389058475</v>
      </c>
      <c r="W239" s="402">
        <f t="shared" si="86"/>
        <v>30.829008491397424</v>
      </c>
      <c r="X239" s="157">
        <f t="shared" si="87"/>
        <v>46247</v>
      </c>
      <c r="Y239" s="385">
        <f t="shared" si="88"/>
        <v>29.722178090636959</v>
      </c>
      <c r="Z239" s="385">
        <f t="shared" si="89"/>
        <v>31.732426924361842</v>
      </c>
      <c r="AA239" s="386">
        <f t="shared" si="90"/>
        <v>34.478627471029263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7.9649358112497903E-2</v>
      </c>
      <c r="AD239" s="231">
        <f>(INDEX(Models!$BJ239:$BT239,,AH239)*(1-AF239)+INDEX(Models!$BJ239:$BT239,,AH239+1)*AF239-ERP_i)*AE239*Ramure*Pc/MaxiM</f>
        <v>2.0067092772923037E-4</v>
      </c>
      <c r="AE239" s="305">
        <f t="shared" si="92"/>
        <v>0.5</v>
      </c>
      <c r="AF239" s="177">
        <f t="shared" si="93"/>
        <v>0.46388442887022174</v>
      </c>
      <c r="AG239" s="811">
        <f t="shared" si="99"/>
        <v>2</v>
      </c>
      <c r="AH239" s="176">
        <f t="shared" si="94"/>
        <v>8</v>
      </c>
      <c r="AI239" s="225">
        <f t="shared" si="95"/>
        <v>2.4638844288702217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32.052364066815393</v>
      </c>
      <c r="C240" s="841"/>
      <c r="D240" s="393">
        <f t="shared" si="77"/>
        <v>34.220963718557577</v>
      </c>
      <c r="E240" s="385">
        <f t="shared" si="100"/>
        <v>35.852695762359581</v>
      </c>
      <c r="F240" s="385">
        <f t="shared" si="78"/>
        <v>35.853167707513101</v>
      </c>
      <c r="G240" s="110">
        <f t="shared" si="101"/>
        <v>0.63353643968995532</v>
      </c>
      <c r="H240" s="414" t="b">
        <f>Wh_hp&gt;='2025'!Maxi_hp</f>
        <v>0</v>
      </c>
      <c r="I240" s="390">
        <f>IF(H240,Wh_hp,'2025'!Maxi_hp)</f>
        <v>57.385484130512104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6.3370502057666589E-2</v>
      </c>
      <c r="M240" s="845"/>
      <c r="N240" s="845"/>
      <c r="O240" s="48">
        <f>IF(t&lt;Tnet,'2025'!Resal+('2025'!Salim-'2025'!Resal)*(1-EXP(('2025'!Tnet-t)/('2025'!Tau_j))),Resal+(Salim-Resal)*(1-EXP((Tnet-t)/(Tau_j))))*Salcycl</f>
        <v>4.5512115870380308E-2</v>
      </c>
      <c r="P240" s="169">
        <f>(INDEX(Models!$BJ240:$BT240,,T240)*(1-R240)+INDEX(Models!$BJ240:$BT240,,T240+1)*R240-ERP_i)*Q240*Ramure*Pc/MaxiM</f>
        <v>2.7625288312104741E-5</v>
      </c>
      <c r="Q240" s="305">
        <f t="shared" si="80"/>
        <v>0.5</v>
      </c>
      <c r="R240" s="177">
        <f t="shared" si="81"/>
        <v>0.94016480905719169</v>
      </c>
      <c r="S240" s="811">
        <f t="shared" si="82"/>
        <v>-2</v>
      </c>
      <c r="T240" s="176">
        <f t="shared" si="83"/>
        <v>4</v>
      </c>
      <c r="U240" s="251">
        <f t="shared" si="84"/>
        <v>-1.0598351909428083</v>
      </c>
      <c r="V240" s="383">
        <f t="shared" si="85"/>
        <v>50.592039401436644</v>
      </c>
      <c r="W240" s="402">
        <f t="shared" si="86"/>
        <v>32.052364066815393</v>
      </c>
      <c r="X240" s="157">
        <f t="shared" si="87"/>
        <v>46248</v>
      </c>
      <c r="Y240" s="385">
        <f t="shared" si="88"/>
        <v>30.902743988232228</v>
      </c>
      <c r="Z240" s="385">
        <f t="shared" si="89"/>
        <v>32.993562615871035</v>
      </c>
      <c r="AA240" s="386">
        <f t="shared" si="90"/>
        <v>35.849995580078208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7.9677358894696557E-2</v>
      </c>
      <c r="AD240" s="231">
        <f>(INDEX(Models!$BJ240:$BT240,,AH240)*(1-AF240)+INDEX(Models!$BJ240:$BT240,,AH240+1)*AF240-ERP_i)*AE240*Ramure*Pc/MaxiM</f>
        <v>1.8568033657732409E-4</v>
      </c>
      <c r="AE240" s="305">
        <f t="shared" si="92"/>
        <v>0.5</v>
      </c>
      <c r="AF240" s="177">
        <f t="shared" si="93"/>
        <v>0.46515237543117083</v>
      </c>
      <c r="AG240" s="811">
        <f t="shared" si="99"/>
        <v>2</v>
      </c>
      <c r="AH240" s="176">
        <f t="shared" si="94"/>
        <v>8</v>
      </c>
      <c r="AI240" s="225">
        <f t="shared" si="95"/>
        <v>2.4651523754311708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36.752091578191163</v>
      </c>
      <c r="C241" s="841"/>
      <c r="D241" s="393">
        <f t="shared" si="77"/>
        <v>39.239524958045344</v>
      </c>
      <c r="E241" s="385">
        <f t="shared" si="100"/>
        <v>41.113326506739874</v>
      </c>
      <c r="F241" s="385">
        <f t="shared" si="78"/>
        <v>41.113950269335561</v>
      </c>
      <c r="G241" s="110">
        <f t="shared" si="101"/>
        <v>0.72859729635300963</v>
      </c>
      <c r="H241" s="414" t="b">
        <f>Wh_hp&gt;='2025'!Maxi_hp</f>
        <v>0</v>
      </c>
      <c r="I241" s="390">
        <f>IF(H241,Wh_hp,'2025'!Maxi_hp)</f>
        <v>56.300151621417385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6.3391016647467824E-2</v>
      </c>
      <c r="M241" s="845"/>
      <c r="N241" s="845"/>
      <c r="O241" s="48">
        <f>IF(t&lt;Tnet,'2025'!Resal+('2025'!Salim-'2025'!Resal)*(1-EXP(('2025'!Tnet-t)/('2025'!Tau_j))),Resal+(Salim-Resal)*(1-EXP((Tnet-t)/(Tau_j))))*Salcycl</f>
        <v>4.5576500563323449E-2</v>
      </c>
      <c r="P241" s="169">
        <f>(INDEX(Models!$BJ241:$BT241,,T241)*(1-R241)+INDEX(Models!$BJ241:$BT241,,T241+1)*R241-ERP_i)*Q241*Ramure*Pc/MaxiM</f>
        <v>2.4778307742372098E-5</v>
      </c>
      <c r="Q241" s="305">
        <f t="shared" si="80"/>
        <v>0.5</v>
      </c>
      <c r="R241" s="177">
        <f t="shared" si="81"/>
        <v>0.94138819358023196</v>
      </c>
      <c r="S241" s="811">
        <f t="shared" si="82"/>
        <v>-2</v>
      </c>
      <c r="T241" s="176">
        <f t="shared" si="83"/>
        <v>4</v>
      </c>
      <c r="U241" s="251">
        <f t="shared" si="84"/>
        <v>-1.058611806419768</v>
      </c>
      <c r="V241" s="383">
        <f t="shared" si="85"/>
        <v>50.441771728460246</v>
      </c>
      <c r="W241" s="402">
        <f t="shared" si="86"/>
        <v>36.752091578191163</v>
      </c>
      <c r="X241" s="157">
        <f t="shared" si="87"/>
        <v>46249</v>
      </c>
      <c r="Y241" s="385">
        <f t="shared" si="88"/>
        <v>35.434715366095084</v>
      </c>
      <c r="Z241" s="385">
        <f t="shared" si="89"/>
        <v>37.832986866364209</v>
      </c>
      <c r="AA241" s="386">
        <f t="shared" si="90"/>
        <v>41.109635649621083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7.970512828631876E-2</v>
      </c>
      <c r="AD241" s="231">
        <f>(INDEX(Models!$BJ241:$BT241,,AH241)*(1-AF241)+INDEX(Models!$BJ241:$BT241,,AH241+1)*AF241-ERP_i)*AE241*Ramure*Pc/MaxiM</f>
        <v>1.7139369339416787E-4</v>
      </c>
      <c r="AE241" s="305">
        <f t="shared" si="92"/>
        <v>0.5</v>
      </c>
      <c r="AF241" s="177">
        <f t="shared" si="93"/>
        <v>0.46637575995421088</v>
      </c>
      <c r="AG241" s="811">
        <f t="shared" si="99"/>
        <v>2</v>
      </c>
      <c r="AH241" s="176">
        <f t="shared" si="94"/>
        <v>8</v>
      </c>
      <c r="AI241" s="225">
        <f t="shared" si="95"/>
        <v>2.4663757599542109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30.872577945655234</v>
      </c>
      <c r="C242" s="841"/>
      <c r="D242" s="393">
        <f t="shared" si="77"/>
        <v>32.962799522428632</v>
      </c>
      <c r="E242" s="385">
        <f t="shared" si="100"/>
        <v>34.539192263738641</v>
      </c>
      <c r="F242" s="385">
        <f t="shared" si="78"/>
        <v>34.539534788527497</v>
      </c>
      <c r="G242" s="110">
        <f t="shared" si="101"/>
        <v>0.61388629905195069</v>
      </c>
      <c r="H242" s="414" t="b">
        <f>Wh_hp&gt;='2025'!Maxi_hp</f>
        <v>0</v>
      </c>
      <c r="I242" s="390">
        <f>IF(H242,Wh_hp,'2025'!Maxi_hp)</f>
        <v>56.421516120211891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6.3411530787946813E-2</v>
      </c>
      <c r="M242" s="845"/>
      <c r="N242" s="845"/>
      <c r="O242" s="48">
        <f>IF(t&lt;Tnet,'2025'!Resal+('2025'!Salim-'2025'!Resal)*(1-EXP(('2025'!Tnet-t)/('2025'!Tau_j))),Resal+(Salim-Resal)*(1-EXP((Tnet-t)/(Tau_j))))*Salcycl</f>
        <v>4.5640695047897965E-2</v>
      </c>
      <c r="P242" s="169">
        <f>(INDEX(Models!$BJ242:$BT242,,T242)*(1-R242)+INDEX(Models!$BJ242:$BT242,,T242+1)*R242-ERP_i)*Q242*Ramure*Pc/MaxiM</f>
        <v>2.2115198561810468E-5</v>
      </c>
      <c r="Q242" s="305">
        <f t="shared" si="80"/>
        <v>0.5</v>
      </c>
      <c r="R242" s="177">
        <f t="shared" si="81"/>
        <v>0.94256834520825072</v>
      </c>
      <c r="S242" s="811">
        <f t="shared" si="82"/>
        <v>-2</v>
      </c>
      <c r="T242" s="176">
        <f t="shared" si="83"/>
        <v>4</v>
      </c>
      <c r="U242" s="251">
        <f t="shared" si="84"/>
        <v>-1.0574316547917493</v>
      </c>
      <c r="V242" s="383">
        <f t="shared" si="85"/>
        <v>50.289770917489555</v>
      </c>
      <c r="W242" s="402">
        <f t="shared" si="86"/>
        <v>30.872577945655234</v>
      </c>
      <c r="X242" s="157">
        <f t="shared" si="87"/>
        <v>46250</v>
      </c>
      <c r="Y242" s="385">
        <f t="shared" si="88"/>
        <v>29.76792511800739</v>
      </c>
      <c r="Z242" s="385">
        <f t="shared" si="89"/>
        <v>31.783356400971908</v>
      </c>
      <c r="AA242" s="386">
        <f t="shared" si="90"/>
        <v>34.537090493579889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7.9732659967980665E-2</v>
      </c>
      <c r="AD242" s="231">
        <f>(INDEX(Models!$BJ242:$BT242,,AH242)*(1-AF242)+INDEX(Models!$BJ242:$BT242,,AH242+1)*AF242-ERP_i)*AE242*Ramure*Pc/MaxiM</f>
        <v>1.5781651392491008E-4</v>
      </c>
      <c r="AE242" s="305">
        <f t="shared" si="92"/>
        <v>0.5</v>
      </c>
      <c r="AF242" s="177">
        <f t="shared" si="93"/>
        <v>0.46755591158222964</v>
      </c>
      <c r="AG242" s="811">
        <f t="shared" si="99"/>
        <v>2</v>
      </c>
      <c r="AH242" s="176">
        <f t="shared" si="94"/>
        <v>8</v>
      </c>
      <c r="AI242" s="225">
        <f t="shared" si="95"/>
        <v>2.4675559115822296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21.221910371556081</v>
      </c>
      <c r="C243" s="841"/>
      <c r="D243" s="393">
        <f t="shared" si="77"/>
        <v>22.659231768989144</v>
      </c>
      <c r="E243" s="385">
        <f t="shared" si="100"/>
        <v>23.744465313095827</v>
      </c>
      <c r="F243" s="385">
        <f t="shared" si="78"/>
        <v>23.744547440887821</v>
      </c>
      <c r="G243" s="110">
        <f t="shared" si="101"/>
        <v>0.42328051180921888</v>
      </c>
      <c r="H243" s="414" t="b">
        <f>Wh_hp&gt;='2025'!Maxi_hp</f>
        <v>0</v>
      </c>
      <c r="I243" s="390">
        <f>IF(H243,Wh_hp,'2025'!Maxi_hp)</f>
        <v>55.293372982977111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6.3432044479113547E-2</v>
      </c>
      <c r="M243" s="845"/>
      <c r="N243" s="845"/>
      <c r="O243" s="48">
        <f>IF(t&lt;Tnet,'2025'!Resal+('2025'!Salim-'2025'!Resal)*(1-EXP(('2025'!Tnet-t)/('2025'!Tau_j))),Resal+(Salim-Resal)*(1-EXP((Tnet-t)/(Tau_j))))*Salcycl</f>
        <v>4.5704694959298221E-2</v>
      </c>
      <c r="P243" s="169">
        <f>(INDEX(Models!$BJ243:$BT243,,T243)*(1-R243)+INDEX(Models!$BJ243:$BT243,,T243+1)*R243-ERP_i)*Q243*Ramure*Pc/MaxiM</f>
        <v>1.963838346291111E-5</v>
      </c>
      <c r="Q243" s="305">
        <f t="shared" si="80"/>
        <v>0.5</v>
      </c>
      <c r="R243" s="177">
        <f t="shared" si="81"/>
        <v>0.94370657124310342</v>
      </c>
      <c r="S243" s="811">
        <f t="shared" si="82"/>
        <v>-2</v>
      </c>
      <c r="T243" s="176">
        <f t="shared" si="83"/>
        <v>4</v>
      </c>
      <c r="U243" s="251">
        <f t="shared" si="84"/>
        <v>-1.0562934287568966</v>
      </c>
      <c r="V243" s="383">
        <f t="shared" si="85"/>
        <v>50.1359415724733</v>
      </c>
      <c r="W243" s="402">
        <f t="shared" si="86"/>
        <v>21.221910371556081</v>
      </c>
      <c r="X243" s="157">
        <f t="shared" si="87"/>
        <v>46251</v>
      </c>
      <c r="Y243" s="385">
        <f t="shared" si="88"/>
        <v>20.464127601063424</v>
      </c>
      <c r="Z243" s="385">
        <f t="shared" si="89"/>
        <v>21.850125749478572</v>
      </c>
      <c r="AA243" s="386">
        <f t="shared" si="90"/>
        <v>23.743941241257634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7.9759946865449405E-2</v>
      </c>
      <c r="AD243" s="231">
        <f>(INDEX(Models!$BJ243:$BT243,,AH243)*(1-AF243)+INDEX(Models!$BJ243:$BT243,,AH243+1)*AF243-ERP_i)*AE243*Ramure*Pc/MaxiM</f>
        <v>1.4495435106473464E-4</v>
      </c>
      <c r="AE243" s="305">
        <f t="shared" si="92"/>
        <v>0.5</v>
      </c>
      <c r="AF243" s="177">
        <f t="shared" si="93"/>
        <v>0.46869413761708234</v>
      </c>
      <c r="AG243" s="811">
        <f t="shared" si="99"/>
        <v>2</v>
      </c>
      <c r="AH243" s="176">
        <f t="shared" si="94"/>
        <v>8</v>
      </c>
      <c r="AI243" s="225">
        <f t="shared" si="95"/>
        <v>2.4686941376170823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36.927704629725433</v>
      </c>
      <c r="C244" s="841"/>
      <c r="D244" s="393">
        <f t="shared" si="77"/>
        <v>39.429614521037465</v>
      </c>
      <c r="E244" s="385">
        <f t="shared" si="100"/>
        <v>41.320805628494419</v>
      </c>
      <c r="F244" s="385">
        <f t="shared" si="78"/>
        <v>41.321255091874768</v>
      </c>
      <c r="G244" s="110">
        <f t="shared" si="101"/>
        <v>0.73884206548036313</v>
      </c>
      <c r="H244" s="414" t="b">
        <f>Wh_hp&gt;='2025'!Maxi_hp</f>
        <v>0</v>
      </c>
      <c r="I244" s="390">
        <f>IF(H244,Wh_hp,'2025'!Maxi_hp)</f>
        <v>53.147705265054185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6.3452557720977687E-2</v>
      </c>
      <c r="M244" s="845"/>
      <c r="N244" s="845"/>
      <c r="O244" s="48">
        <f>IF(t&lt;Tnet,'2025'!Resal+('2025'!Salim-'2025'!Resal)*(1-EXP(('2025'!Tnet-t)/('2025'!Tau_j))),Resal+(Salim-Resal)*(1-EXP((Tnet-t)/(Tau_j))))*Salcycl</f>
        <v>4.5768495524027515E-2</v>
      </c>
      <c r="P244" s="169">
        <f>(INDEX(Models!$BJ244:$BT244,,T244)*(1-R244)+INDEX(Models!$BJ244:$BT244,,T244+1)*R244-ERP_i)*Q244*Ramure*Pc/MaxiM</f>
        <v>1.7350255155676855E-5</v>
      </c>
      <c r="Q244" s="305">
        <f t="shared" si="80"/>
        <v>0.5</v>
      </c>
      <c r="R244" s="177">
        <f t="shared" si="81"/>
        <v>0.94480415604791701</v>
      </c>
      <c r="S244" s="811">
        <f t="shared" si="82"/>
        <v>-2</v>
      </c>
      <c r="T244" s="176">
        <f t="shared" si="83"/>
        <v>4</v>
      </c>
      <c r="U244" s="251">
        <f t="shared" si="84"/>
        <v>-1.055195843952083</v>
      </c>
      <c r="V244" s="383">
        <f t="shared" si="85"/>
        <v>49.980188352521218</v>
      </c>
      <c r="W244" s="402">
        <f t="shared" si="86"/>
        <v>36.927704629725433</v>
      </c>
      <c r="X244" s="157">
        <f t="shared" si="87"/>
        <v>46252</v>
      </c>
      <c r="Y244" s="385">
        <f t="shared" si="88"/>
        <v>35.608649038303803</v>
      </c>
      <c r="Z244" s="385">
        <f t="shared" si="89"/>
        <v>38.021190845017593</v>
      </c>
      <c r="AA244" s="386">
        <f t="shared" si="90"/>
        <v>41.317814537571543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7.9786981219837572E-2</v>
      </c>
      <c r="AD244" s="231">
        <f>(INDEX(Models!$BJ244:$BT244,,AH244)*(1-AF244)+INDEX(Models!$BJ244:$BT244,,AH244+1)*AF244-ERP_i)*AE244*Ramure*Pc/MaxiM</f>
        <v>1.3281281111563758E-4</v>
      </c>
      <c r="AE244" s="305">
        <f t="shared" si="92"/>
        <v>0.5</v>
      </c>
      <c r="AF244" s="177">
        <f t="shared" si="93"/>
        <v>0.46979172242189593</v>
      </c>
      <c r="AG244" s="811">
        <f t="shared" si="99"/>
        <v>2</v>
      </c>
      <c r="AH244" s="176">
        <f t="shared" si="94"/>
        <v>8</v>
      </c>
      <c r="AI244" s="225">
        <f t="shared" si="95"/>
        <v>2.4697917224218959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38.235550955608488</v>
      </c>
      <c r="C245" s="841"/>
      <c r="D245" s="393">
        <f t="shared" si="77"/>
        <v>40.826963701487095</v>
      </c>
      <c r="E245" s="385">
        <f t="shared" si="100"/>
        <v>42.788028544898573</v>
      </c>
      <c r="F245" s="385">
        <f t="shared" si="78"/>
        <v>42.788464369696285</v>
      </c>
      <c r="G245" s="110">
        <f t="shared" si="101"/>
        <v>0.76743282007739555</v>
      </c>
      <c r="H245" s="414" t="b">
        <f>Wh_hp&gt;='2025'!Maxi_hp</f>
        <v>0</v>
      </c>
      <c r="I245" s="390">
        <f>IF(H245,Wh_hp,'2025'!Maxi_hp)</f>
        <v>53.076716411968974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6.3473070513549223E-2</v>
      </c>
      <c r="M245" s="845"/>
      <c r="N245" s="845"/>
      <c r="O245" s="48">
        <f>IF(t&lt;Tnet,'2025'!Resal+('2025'!Salim-'2025'!Resal)*(1-EXP(('2025'!Tnet-t)/('2025'!Tau_j))),Resal+(Salim-Resal)*(1-EXP((Tnet-t)/(Tau_j))))*Salcycl</f>
        <v>4.5832091594350567E-2</v>
      </c>
      <c r="P245" s="169">
        <f>(INDEX(Models!$BJ245:$BT245,,T245)*(1-R245)+INDEX(Models!$BJ245:$BT245,,T245+1)*R245-ERP_i)*Q245*Ramure*Pc/MaxiM</f>
        <v>1.5253182307487934E-5</v>
      </c>
      <c r="Q245" s="305">
        <f t="shared" si="80"/>
        <v>0.5</v>
      </c>
      <c r="R245" s="177">
        <f t="shared" si="81"/>
        <v>0.94586236009735636</v>
      </c>
      <c r="S245" s="811">
        <f t="shared" si="82"/>
        <v>-2</v>
      </c>
      <c r="T245" s="176">
        <f t="shared" si="83"/>
        <v>4</v>
      </c>
      <c r="U245" s="251">
        <f t="shared" si="84"/>
        <v>-1.0541376399026436</v>
      </c>
      <c r="V245" s="383">
        <f t="shared" si="85"/>
        <v>49.822415969569441</v>
      </c>
      <c r="W245" s="402">
        <f t="shared" si="86"/>
        <v>38.235550955608488</v>
      </c>
      <c r="X245" s="157">
        <f t="shared" si="87"/>
        <v>46253</v>
      </c>
      <c r="Y245" s="385">
        <f t="shared" si="88"/>
        <v>36.871219329997686</v>
      </c>
      <c r="Z245" s="385">
        <f t="shared" si="89"/>
        <v>39.370164561328956</v>
      </c>
      <c r="AA245" s="386">
        <f t="shared" si="90"/>
        <v>42.784995711819477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7.9813754651076541E-2</v>
      </c>
      <c r="AD245" s="231">
        <f>(INDEX(Models!$BJ245:$BT245,,AH245)*(1-AF245)+INDEX(Models!$BJ245:$BT245,,AH245+1)*AF245-ERP_i)*AE245*Ramure*Pc/MaxiM</f>
        <v>1.2139756901140729E-4</v>
      </c>
      <c r="AE245" s="305">
        <f t="shared" si="92"/>
        <v>0.5</v>
      </c>
      <c r="AF245" s="177">
        <f t="shared" si="93"/>
        <v>0.47084992647133506</v>
      </c>
      <c r="AG245" s="811">
        <f t="shared" si="99"/>
        <v>2</v>
      </c>
      <c r="AH245" s="176">
        <f t="shared" si="94"/>
        <v>8</v>
      </c>
      <c r="AI245" s="225">
        <f t="shared" si="95"/>
        <v>2.4708499264713351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45.536011681132969</v>
      </c>
      <c r="C246" s="841"/>
      <c r="D246" s="393">
        <f t="shared" si="77"/>
        <v>48.623277798823629</v>
      </c>
      <c r="E246" s="385">
        <f t="shared" si="100"/>
        <v>50.962212903600857</v>
      </c>
      <c r="F246" s="385">
        <f t="shared" si="78"/>
        <v>50.96281247627693</v>
      </c>
      <c r="G246" s="110">
        <f t="shared" si="101"/>
        <v>0.91690738012184447</v>
      </c>
      <c r="H246" s="414" t="b">
        <f>Wh_hp&gt;='2025'!Maxi_hp</f>
        <v>0</v>
      </c>
      <c r="I246" s="390">
        <f>IF(H246,Wh_hp,'2025'!Maxi_hp)</f>
        <v>53.656818151544883</v>
      </c>
      <c r="J246" s="85">
        <f>IF(H246,An,'2025'!An_max)</f>
        <v>2018</v>
      </c>
      <c r="K246" s="197">
        <f t="shared" si="79"/>
        <v>46254</v>
      </c>
      <c r="L246" s="147">
        <f>IF(t&lt;Tvie,1-EXP((T0-t)*PertePVj)+'2025'!Pspv,1-EXP((T0-t)*PertePVj)+Pspv)</f>
        <v>6.3493582856838038E-2</v>
      </c>
      <c r="M246" s="845"/>
      <c r="N246" s="845"/>
      <c r="O246" s="48">
        <f>IF(t&lt;Tnet,'2025'!Resal+('2025'!Salim-'2025'!Resal)*(1-EXP(('2025'!Tnet-t)/('2025'!Tau_j))),Resal+(Salim-Resal)*(1-EXP((Tnet-t)/(Tau_j))))*Salcycl</f>
        <v>4.5895477678756069E-2</v>
      </c>
      <c r="P246" s="169">
        <f>(INDEX(Models!$BJ246:$BT246,,T246)*(1-R246)+INDEX(Models!$BJ246:$BT246,,T246+1)*R246-ERP_i)*Q246*Ramure*Pc/MaxiM</f>
        <v>1.3349515282307946E-5</v>
      </c>
      <c r="Q246" s="305">
        <f t="shared" si="80"/>
        <v>0.5</v>
      </c>
      <c r="R246" s="177">
        <f t="shared" si="81"/>
        <v>0.94688241916664162</v>
      </c>
      <c r="S246" s="811">
        <f t="shared" si="82"/>
        <v>-2</v>
      </c>
      <c r="T246" s="176">
        <f t="shared" si="83"/>
        <v>4</v>
      </c>
      <c r="U246" s="251">
        <f t="shared" si="84"/>
        <v>-1.0531175808333584</v>
      </c>
      <c r="V246" s="383">
        <f t="shared" si="85"/>
        <v>49.662529183074412</v>
      </c>
      <c r="W246" s="402">
        <f t="shared" si="86"/>
        <v>45.536011681132969</v>
      </c>
      <c r="X246" s="157">
        <f t="shared" si="87"/>
        <v>46254</v>
      </c>
      <c r="Y246" s="385">
        <f t="shared" si="88"/>
        <v>43.912179807573985</v>
      </c>
      <c r="Z246" s="385">
        <f t="shared" si="89"/>
        <v>46.889352815679864</v>
      </c>
      <c r="AA246" s="386">
        <f t="shared" si="90"/>
        <v>50.957839912307726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7.9840258214030166E-2</v>
      </c>
      <c r="AD246" s="231">
        <f>(INDEX(Models!$BJ246:$BT246,,AH246)*(1-AF246)+INDEX(Models!$BJ246:$BT246,,AH246+1)*AF246-ERP_i)*AE246*Ramure*Pc/MaxiM</f>
        <v>1.1071438267284885E-4</v>
      </c>
      <c r="AE246" s="305">
        <f t="shared" si="92"/>
        <v>0.5</v>
      </c>
      <c r="AF246" s="177">
        <f t="shared" si="93"/>
        <v>0.47186998554062054</v>
      </c>
      <c r="AG246" s="811">
        <f t="shared" si="99"/>
        <v>2</v>
      </c>
      <c r="AH246" s="176">
        <f t="shared" si="94"/>
        <v>8</v>
      </c>
      <c r="AI246" s="225">
        <f t="shared" si="95"/>
        <v>2.4718699855406205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30.697886027161402</v>
      </c>
      <c r="C247" s="841"/>
      <c r="D247" s="393">
        <f t="shared" si="77"/>
        <v>32.779869782444216</v>
      </c>
      <c r="E247" s="385">
        <f t="shared" si="100"/>
        <v>34.358961184051772</v>
      </c>
      <c r="F247" s="385">
        <f t="shared" si="78"/>
        <v>34.35914410625476</v>
      </c>
      <c r="G247" s="110">
        <f t="shared" si="101"/>
        <v>0.62012614036010738</v>
      </c>
      <c r="H247" s="414" t="b">
        <f>Wh_hp&gt;='2025'!Maxi_hp</f>
        <v>0</v>
      </c>
      <c r="I247" s="390">
        <f>IF(H247,Wh_hp,'2025'!Maxi_hp)</f>
        <v>54.498162972904758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6.3514094750853789E-2</v>
      </c>
      <c r="M247" s="845"/>
      <c r="N247" s="845"/>
      <c r="O247" s="48">
        <f>IF(t&lt;Tnet,'2025'!Resal+('2025'!Salim-'2025'!Resal)*(1-EXP(('2025'!Tnet-t)/('2025'!Tau_j))),Resal+(Salim-Resal)*(1-EXP((Tnet-t)/(Tau_j))))*Salcycl</f>
        <v>4.5958647968103235E-2</v>
      </c>
      <c r="P247" s="169">
        <f>(INDEX(Models!$BJ247:$BT247,,T247)*(1-R247)+INDEX(Models!$BJ247:$BT247,,T247+1)*R247-ERP_i)*Q247*Ramure*Pc/MaxiM</f>
        <v>1.1641144307935541E-5</v>
      </c>
      <c r="Q247" s="305">
        <f t="shared" si="80"/>
        <v>0.5</v>
      </c>
      <c r="R247" s="177">
        <f t="shared" si="81"/>
        <v>0.94786554365030584</v>
      </c>
      <c r="S247" s="811">
        <f t="shared" si="82"/>
        <v>-2</v>
      </c>
      <c r="T247" s="176">
        <f t="shared" si="83"/>
        <v>4</v>
      </c>
      <c r="U247" s="251">
        <f t="shared" si="84"/>
        <v>-1.0521344563496942</v>
      </c>
      <c r="V247" s="383">
        <f t="shared" si="85"/>
        <v>49.502335250813921</v>
      </c>
      <c r="W247" s="402">
        <f t="shared" si="86"/>
        <v>30.697886027161402</v>
      </c>
      <c r="X247" s="157">
        <f t="shared" si="87"/>
        <v>46255</v>
      </c>
      <c r="Y247" s="385">
        <f t="shared" si="88"/>
        <v>29.605637638611832</v>
      </c>
      <c r="Z247" s="385">
        <f t="shared" si="89"/>
        <v>31.613543217968065</v>
      </c>
      <c r="AA247" s="386">
        <f t="shared" si="90"/>
        <v>34.357560739697917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7.9866482446739037E-2</v>
      </c>
      <c r="AD247" s="231">
        <f>(INDEX(Models!$BJ247:$BT247,,AH247)*(1-AF247)+INDEX(Models!$BJ247:$BT247,,AH247+1)*AF247-ERP_i)*AE247*Ramure*Pc/MaxiM</f>
        <v>1.0076523396111784E-4</v>
      </c>
      <c r="AE247" s="305">
        <f t="shared" si="92"/>
        <v>0.5</v>
      </c>
      <c r="AF247" s="177">
        <f t="shared" si="93"/>
        <v>0.47285311002428454</v>
      </c>
      <c r="AG247" s="811">
        <f t="shared" si="99"/>
        <v>2</v>
      </c>
      <c r="AH247" s="176">
        <f t="shared" si="94"/>
        <v>8</v>
      </c>
      <c r="AI247" s="225">
        <f t="shared" si="95"/>
        <v>2.4728531100242845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23.917556173661623</v>
      </c>
      <c r="C248" s="841"/>
      <c r="D248" s="393">
        <f t="shared" si="77"/>
        <v>25.540245621353371</v>
      </c>
      <c r="E248" s="385">
        <f t="shared" si="100"/>
        <v>26.772351998564254</v>
      </c>
      <c r="F248" s="385">
        <f t="shared" si="78"/>
        <v>26.772423920145119</v>
      </c>
      <c r="G248" s="110">
        <f t="shared" si="101"/>
        <v>0.48471484267757015</v>
      </c>
      <c r="H248" s="414" t="b">
        <f>Wh_hp&gt;='2025'!Maxi_hp</f>
        <v>0</v>
      </c>
      <c r="I248" s="390">
        <f>IF(H248,Wh_hp,'2025'!Maxi_hp)</f>
        <v>56.835581680919191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6.3534606195606469E-2</v>
      </c>
      <c r="M248" s="845"/>
      <c r="N248" s="845"/>
      <c r="O248" s="48">
        <f>IF(t&lt;Tnet,'2025'!Resal+('2025'!Salim-'2025'!Resal)*(1-EXP(('2025'!Tnet-t)/('2025'!Tau_j))),Resal+(Salim-Resal)*(1-EXP((Tnet-t)/(Tau_j))))*Salcycl</f>
        <v>4.6021596357202994E-2</v>
      </c>
      <c r="P248" s="169">
        <f>(INDEX(Models!$BJ248:$BT248,,T248)*(1-R248)+INDEX(Models!$BJ248:$BT248,,T248+1)*R248-ERP_i)*Q248*Ramure*Pc/MaxiM</f>
        <v>1.0180268605975264E-5</v>
      </c>
      <c r="Q248" s="305">
        <f t="shared" si="80"/>
        <v>0.5</v>
      </c>
      <c r="R248" s="177">
        <f t="shared" si="81"/>
        <v>0.94881291800192424</v>
      </c>
      <c r="S248" s="811">
        <f t="shared" si="82"/>
        <v>-2</v>
      </c>
      <c r="T248" s="176">
        <f t="shared" si="83"/>
        <v>4</v>
      </c>
      <c r="U248" s="251">
        <f t="shared" si="84"/>
        <v>-1.0511870819980758</v>
      </c>
      <c r="V248" s="383">
        <f t="shared" si="85"/>
        <v>49.343190743165842</v>
      </c>
      <c r="W248" s="402">
        <f t="shared" si="86"/>
        <v>23.917556173661623</v>
      </c>
      <c r="X248" s="157">
        <f t="shared" si="87"/>
        <v>46256</v>
      </c>
      <c r="Y248" s="385">
        <f t="shared" si="88"/>
        <v>23.067870626828839</v>
      </c>
      <c r="Z248" s="385">
        <f t="shared" si="89"/>
        <v>24.632913057380094</v>
      </c>
      <c r="AA248" s="386">
        <f t="shared" si="90"/>
        <v>26.771774870121696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7.9892417410421787E-2</v>
      </c>
      <c r="AD248" s="231">
        <f>(INDEX(Models!$BJ248:$BT248,,AH248)*(1-AF248)+INDEX(Models!$BJ248:$BT248,,AH248+1)*AF248-ERP_i)*AE248*Ramure*Pc/MaxiM</f>
        <v>9.1870944684712495E-5</v>
      </c>
      <c r="AE248" s="305">
        <f t="shared" si="92"/>
        <v>0.5</v>
      </c>
      <c r="AF248" s="177">
        <f t="shared" si="93"/>
        <v>0.47380048437590316</v>
      </c>
      <c r="AG248" s="811">
        <f t="shared" si="99"/>
        <v>2</v>
      </c>
      <c r="AH248" s="176">
        <f t="shared" si="94"/>
        <v>8</v>
      </c>
      <c r="AI248" s="225">
        <f t="shared" si="95"/>
        <v>2.4738004843759032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42.783060682642329</v>
      </c>
      <c r="C249" s="841"/>
      <c r="D249" s="393">
        <f t="shared" si="77"/>
        <v>45.686683186642306</v>
      </c>
      <c r="E249" s="385">
        <f t="shared" si="100"/>
        <v>47.893837972322423</v>
      </c>
      <c r="F249" s="385">
        <f t="shared" si="78"/>
        <v>47.894182710598997</v>
      </c>
      <c r="G249" s="110">
        <f t="shared" si="101"/>
        <v>0.86984993603693284</v>
      </c>
      <c r="H249" s="414" t="b">
        <f>Wh_hp&gt;='2025'!Maxi_hp</f>
        <v>0</v>
      </c>
      <c r="I249" s="390">
        <f>IF(H249,Wh_hp,'2025'!Maxi_hp)</f>
        <v>54.138140935976416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6.3555117191105848E-2</v>
      </c>
      <c r="M249" s="845"/>
      <c r="N249" s="845"/>
      <c r="O249" s="48">
        <f>IF(t&lt;Tnet,'2025'!Resal+('2025'!Salim-'2025'!Resal)*(1-EXP(('2025'!Tnet-t)/('2025'!Tau_j))),Resal+(Salim-Resal)*(1-EXP((Tnet-t)/(Tau_j))))*Salcycl</f>
        <v>4.608431646166302E-2</v>
      </c>
      <c r="P249" s="169">
        <f>(INDEX(Models!$BJ249:$BT249,,T249)*(1-R249)+INDEX(Models!$BJ249:$BT249,,T249+1)*R249-ERP_i)*Q249*Ramure*Pc/MaxiM</f>
        <v>8.8418508737812371E-6</v>
      </c>
      <c r="Q249" s="305">
        <f t="shared" si="80"/>
        <v>0.5</v>
      </c>
      <c r="R249" s="177">
        <f t="shared" si="81"/>
        <v>0.94972570028631043</v>
      </c>
      <c r="S249" s="811">
        <f t="shared" si="82"/>
        <v>-2</v>
      </c>
      <c r="T249" s="176">
        <f t="shared" si="83"/>
        <v>4</v>
      </c>
      <c r="U249" s="251">
        <f t="shared" si="84"/>
        <v>-1.0502742997136896</v>
      </c>
      <c r="V249" s="383">
        <f t="shared" si="85"/>
        <v>49.184334650258066</v>
      </c>
      <c r="W249" s="402">
        <f t="shared" si="86"/>
        <v>42.783060682642329</v>
      </c>
      <c r="X249" s="157">
        <f t="shared" si="87"/>
        <v>46257</v>
      </c>
      <c r="Y249" s="385">
        <f t="shared" si="88"/>
        <v>41.263108283021658</v>
      </c>
      <c r="Z249" s="385">
        <f t="shared" si="89"/>
        <v>44.063573885151406</v>
      </c>
      <c r="AA249" s="386">
        <f t="shared" si="90"/>
        <v>47.890923211201574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7.9918052720999888E-2</v>
      </c>
      <c r="AD249" s="231">
        <f>(INDEX(Models!$BJ249:$BT249,,AH249)*(1-AF249)+INDEX(Models!$BJ249:$BT249,,AH249+1)*AF249-ERP_i)*AE249*Ramure*Pc/MaxiM</f>
        <v>8.359967416822195E-5</v>
      </c>
      <c r="AE249" s="305">
        <f t="shared" si="92"/>
        <v>0.5</v>
      </c>
      <c r="AF249" s="177">
        <f t="shared" si="93"/>
        <v>0.47471326666028935</v>
      </c>
      <c r="AG249" s="811">
        <f t="shared" si="99"/>
        <v>2</v>
      </c>
      <c r="AH249" s="176">
        <f t="shared" si="94"/>
        <v>8</v>
      </c>
      <c r="AI249" s="225">
        <f t="shared" si="95"/>
        <v>2.4747132666602893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44.203532408189083</v>
      </c>
      <c r="C250" s="841"/>
      <c r="D250" s="393">
        <f t="shared" si="77"/>
        <v>47.204594110875355</v>
      </c>
      <c r="E250" s="385">
        <f t="shared" si="100"/>
        <v>49.488321883846233</v>
      </c>
      <c r="F250" s="385">
        <f t="shared" si="78"/>
        <v>49.488646329786945</v>
      </c>
      <c r="G250" s="110">
        <f t="shared" si="101"/>
        <v>0.90165191412614454</v>
      </c>
      <c r="H250" s="414" t="b">
        <f>Wh_hp&gt;='2025'!Maxi_hp</f>
        <v>0</v>
      </c>
      <c r="I250" s="390">
        <f>IF(H250,Wh_hp,'2025'!Maxi_hp)</f>
        <v>54.480093410292213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6.3575627737361806E-2</v>
      </c>
      <c r="M250" s="845"/>
      <c r="N250" s="845"/>
      <c r="O250" s="48">
        <f>IF(t&lt;Tnet,'2025'!Resal+('2025'!Salim-'2025'!Resal)*(1-EXP(('2025'!Tnet-t)/('2025'!Tau_j))),Resal+(Salim-Resal)*(1-EXP((Tnet-t)/(Tau_j))))*Salcycl</f>
        <v>4.6146801629907842E-2</v>
      </c>
      <c r="P250" s="169">
        <f>(INDEX(Models!$BJ250:$BT250,,T250)*(1-R250)+INDEX(Models!$BJ250:$BT250,,T250+1)*R250-ERP_i)*Q250*Ramure*Pc/MaxiM</f>
        <v>7.6276158059957127E-6</v>
      </c>
      <c r="Q250" s="305">
        <f t="shared" si="80"/>
        <v>0.5</v>
      </c>
      <c r="R250" s="177">
        <f t="shared" si="81"/>
        <v>0.95060502183597473</v>
      </c>
      <c r="S250" s="811">
        <f t="shared" si="82"/>
        <v>-2</v>
      </c>
      <c r="T250" s="176">
        <f t="shared" si="83"/>
        <v>4</v>
      </c>
      <c r="U250" s="251">
        <f t="shared" si="84"/>
        <v>-1.0493949781640253</v>
      </c>
      <c r="V250" s="383">
        <f t="shared" si="85"/>
        <v>49.024999941428781</v>
      </c>
      <c r="W250" s="402">
        <f t="shared" si="86"/>
        <v>44.203532408189083</v>
      </c>
      <c r="X250" s="157">
        <f t="shared" si="87"/>
        <v>46258</v>
      </c>
      <c r="Y250" s="385">
        <f t="shared" si="88"/>
        <v>42.634824937499509</v>
      </c>
      <c r="Z250" s="385">
        <f t="shared" si="89"/>
        <v>45.529384112977525</v>
      </c>
      <c r="AA250" s="386">
        <f t="shared" si="90"/>
        <v>49.485415357187087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7.9943377572054691E-2</v>
      </c>
      <c r="AD250" s="231">
        <f>(INDEX(Models!$BJ250:$BT250,,AH250)*(1-AF250)+INDEX(Models!$BJ250:$BT250,,AH250+1)*AF250-ERP_i)*AE250*Ramure*Pc/MaxiM</f>
        <v>7.5959087722316359E-5</v>
      </c>
      <c r="AE250" s="305">
        <f t="shared" si="92"/>
        <v>0.5</v>
      </c>
      <c r="AF250" s="177">
        <f t="shared" si="93"/>
        <v>0.47559258820995343</v>
      </c>
      <c r="AG250" s="811">
        <f t="shared" si="99"/>
        <v>2</v>
      </c>
      <c r="AH250" s="176">
        <f t="shared" si="94"/>
        <v>8</v>
      </c>
      <c r="AI250" s="225">
        <f t="shared" si="95"/>
        <v>2.4755925882099534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31.541664968434961</v>
      </c>
      <c r="C251" s="841"/>
      <c r="D251" s="393">
        <f t="shared" si="77"/>
        <v>33.68382622375001</v>
      </c>
      <c r="E251" s="385">
        <f t="shared" si="100"/>
        <v>35.315732494021404</v>
      </c>
      <c r="F251" s="385">
        <f t="shared" si="78"/>
        <v>35.315846475767032</v>
      </c>
      <c r="G251" s="110">
        <f t="shared" si="101"/>
        <v>0.64549135338261177</v>
      </c>
      <c r="H251" s="414" t="b">
        <f>Wh_hp&gt;='2025'!Maxi_hp</f>
        <v>0</v>
      </c>
      <c r="I251" s="390">
        <f>IF(H251,Wh_hp,'2025'!Maxi_hp)</f>
        <v>50.04617729749566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6.3596137834384225E-2</v>
      </c>
      <c r="M251" s="845"/>
      <c r="N251" s="845"/>
      <c r="O251" s="48">
        <f>IF(t&lt;Tnet,'2025'!Resal+('2025'!Salim-'2025'!Resal)*(1-EXP(('2025'!Tnet-t)/('2025'!Tau_j))),Resal+(Salim-Resal)*(1-EXP((Tnet-t)/(Tau_j))))*Salcycl</f>
        <v>4.6209044950367588E-2</v>
      </c>
      <c r="P251" s="169">
        <f>(INDEX(Models!$BJ251:$BT251,,T251)*(1-R251)+INDEX(Models!$BJ251:$BT251,,T251+1)*R251-ERP_i)*Q251*Ramure*Pc/MaxiM</f>
        <v>6.539188458139521E-6</v>
      </c>
      <c r="Q251" s="305">
        <f t="shared" si="80"/>
        <v>0.5</v>
      </c>
      <c r="R251" s="177">
        <f t="shared" si="81"/>
        <v>0.95145198700393929</v>
      </c>
      <c r="S251" s="811">
        <f t="shared" si="82"/>
        <v>-2</v>
      </c>
      <c r="T251" s="176">
        <f t="shared" si="83"/>
        <v>4</v>
      </c>
      <c r="U251" s="251">
        <f t="shared" si="84"/>
        <v>-1.0485480129960607</v>
      </c>
      <c r="V251" s="383">
        <f t="shared" si="85"/>
        <v>48.864419866366411</v>
      </c>
      <c r="W251" s="402">
        <f t="shared" si="86"/>
        <v>31.541664968434961</v>
      </c>
      <c r="X251" s="157">
        <f t="shared" si="87"/>
        <v>46259</v>
      </c>
      <c r="Y251" s="385">
        <f t="shared" si="88"/>
        <v>30.42431357398311</v>
      </c>
      <c r="Z251" s="385">
        <f t="shared" si="89"/>
        <v>32.490589587724443</v>
      </c>
      <c r="AA251" s="386">
        <f t="shared" si="90"/>
        <v>35.314644527309426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7.9968380749269485E-2</v>
      </c>
      <c r="AD251" s="231">
        <f>(INDEX(Models!$BJ251:$BT251,,AH251)*(1-AF251)+INDEX(Models!$BJ251:$BT251,,AH251+1)*AF251-ERP_i)*AE251*Ramure*Pc/MaxiM</f>
        <v>6.8956370496884998E-5</v>
      </c>
      <c r="AE251" s="305">
        <f t="shared" si="92"/>
        <v>0.5</v>
      </c>
      <c r="AF251" s="177">
        <f t="shared" si="93"/>
        <v>0.47643955337791821</v>
      </c>
      <c r="AG251" s="811">
        <f t="shared" si="99"/>
        <v>2</v>
      </c>
      <c r="AH251" s="176">
        <f t="shared" si="94"/>
        <v>8</v>
      </c>
      <c r="AI251" s="225">
        <f t="shared" si="95"/>
        <v>2.4764395533779182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39.625792269606599</v>
      </c>
      <c r="C252" s="841"/>
      <c r="D252" s="393">
        <f t="shared" si="77"/>
        <v>42.317916228495328</v>
      </c>
      <c r="E252" s="385">
        <f t="shared" si="100"/>
        <v>44.371008924160854</v>
      </c>
      <c r="F252" s="385">
        <f t="shared" si="78"/>
        <v>44.371190538167852</v>
      </c>
      <c r="G252" s="110">
        <f t="shared" si="101"/>
        <v>0.81363955092189966</v>
      </c>
      <c r="H252" s="414" t="b">
        <f>Wh_hp&gt;='2025'!Maxi_hp</f>
        <v>0</v>
      </c>
      <c r="I252" s="390">
        <f>IF(H252,Wh_hp,'2025'!Maxi_hp)</f>
        <v>54.589001673677714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6.3616647482182764E-2</v>
      </c>
      <c r="M252" s="845"/>
      <c r="N252" s="845"/>
      <c r="O252" s="48">
        <f>IF(t&lt;Tnet,'2025'!Resal+('2025'!Salim-'2025'!Resal)*(1-EXP(('2025'!Tnet-t)/('2025'!Tau_j))),Resal+(Salim-Resal)*(1-EXP((Tnet-t)/(Tau_j))))*Salcycl</f>
        <v>4.6271039253912023E-2</v>
      </c>
      <c r="P252" s="169">
        <f>(INDEX(Models!$BJ252:$BT252,,T252)*(1-R252)+INDEX(Models!$BJ252:$BT252,,T252+1)*R252-ERP_i)*Q252*Ramure*Pc/MaxiM</f>
        <v>5.5781067298491371E-6</v>
      </c>
      <c r="Q252" s="305">
        <f t="shared" si="80"/>
        <v>0.5</v>
      </c>
      <c r="R252" s="177">
        <f t="shared" si="81"/>
        <v>0.95226767300534298</v>
      </c>
      <c r="S252" s="811">
        <f t="shared" si="82"/>
        <v>-2</v>
      </c>
      <c r="T252" s="176">
        <f t="shared" si="83"/>
        <v>4</v>
      </c>
      <c r="U252" s="251">
        <f t="shared" si="84"/>
        <v>-1.047732326994657</v>
      </c>
      <c r="V252" s="383">
        <f t="shared" si="85"/>
        <v>48.70182795117266</v>
      </c>
      <c r="W252" s="402">
        <f t="shared" si="86"/>
        <v>39.625792269606599</v>
      </c>
      <c r="X252" s="157">
        <f t="shared" si="87"/>
        <v>46260</v>
      </c>
      <c r="Y252" s="385">
        <f t="shared" si="88"/>
        <v>38.223101576872615</v>
      </c>
      <c r="Z252" s="385">
        <f t="shared" si="89"/>
        <v>40.819928583838546</v>
      </c>
      <c r="AA252" s="386">
        <f t="shared" si="90"/>
        <v>44.369152441817732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7.9993050636551266E-2</v>
      </c>
      <c r="AD252" s="231">
        <f>(INDEX(Models!$BJ252:$BT252,,AH252)*(1-AF252)+INDEX(Models!$BJ252:$BT252,,AH252+1)*AF252-ERP_i)*AE252*Ramure*Pc/MaxiM</f>
        <v>6.2598249743545844E-5</v>
      </c>
      <c r="AE252" s="305">
        <f t="shared" si="92"/>
        <v>0.5</v>
      </c>
      <c r="AF252" s="177">
        <f t="shared" si="93"/>
        <v>0.47725523937932213</v>
      </c>
      <c r="AG252" s="811">
        <f t="shared" si="99"/>
        <v>2</v>
      </c>
      <c r="AH252" s="176">
        <f t="shared" si="94"/>
        <v>8</v>
      </c>
      <c r="AI252" s="225">
        <f t="shared" si="95"/>
        <v>2.4772552393793221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46.687534994745292</v>
      </c>
      <c r="C253" s="841"/>
      <c r="D253" s="393">
        <f t="shared" si="77"/>
        <v>49.860516495129858</v>
      </c>
      <c r="E253" s="385">
        <f t="shared" si="100"/>
        <v>52.282929829674245</v>
      </c>
      <c r="F253" s="385">
        <f t="shared" si="78"/>
        <v>52.283164454667528</v>
      </c>
      <c r="G253" s="110">
        <f t="shared" si="101"/>
        <v>0.96190626312293337</v>
      </c>
      <c r="H253" s="414" t="b">
        <f>Wh_hp&gt;='2025'!Maxi_hp</f>
        <v>0</v>
      </c>
      <c r="I253" s="390">
        <f>IF(H253,Wh_hp,'2025'!Maxi_hp)</f>
        <v>52.283171515945369</v>
      </c>
      <c r="J253" s="85">
        <f>IF(H253,An,'2025'!An_max)</f>
        <v>2025</v>
      </c>
      <c r="K253" s="197">
        <f t="shared" si="79"/>
        <v>46261</v>
      </c>
      <c r="L253" s="147">
        <f>IF(t&lt;Tvie,1-EXP((T0-t)*PertePVj)+'2025'!Pspv,1-EXP((T0-t)*PertePVj)+Pspv)</f>
        <v>6.3637156680767415E-2</v>
      </c>
      <c r="M253" s="845"/>
      <c r="N253" s="845"/>
      <c r="O253" s="48">
        <f>IF(t&lt;Tnet,'2025'!Resal+('2025'!Salim-'2025'!Resal)*(1-EXP(('2025'!Tnet-t)/('2025'!Tau_j))),Resal+(Salim-Resal)*(1-EXP((Tnet-t)/(Tau_j))))*Salcycl</f>
        <v>4.6332777111689281E-2</v>
      </c>
      <c r="P253" s="169">
        <f>(INDEX(Models!$BJ253:$BT253,,T253)*(1-R253)+INDEX(Models!$BJ253:$BT253,,T253+1)*R253-ERP_i)*Q253*Ramure*Pc/MaxiM</f>
        <v>4.7458476685397184E-6</v>
      </c>
      <c r="Q253" s="305">
        <f t="shared" si="80"/>
        <v>0.5</v>
      </c>
      <c r="R253" s="177">
        <f t="shared" si="81"/>
        <v>0.95305312984059021</v>
      </c>
      <c r="S253" s="811">
        <f t="shared" si="82"/>
        <v>-2</v>
      </c>
      <c r="T253" s="176">
        <f t="shared" si="83"/>
        <v>4</v>
      </c>
      <c r="U253" s="251">
        <f t="shared" si="84"/>
        <v>-1.0469468701594098</v>
      </c>
      <c r="V253" s="383">
        <f t="shared" si="85"/>
        <v>48.536457996782971</v>
      </c>
      <c r="W253" s="402">
        <f t="shared" si="86"/>
        <v>46.687534994745292</v>
      </c>
      <c r="X253" s="157">
        <f t="shared" si="87"/>
        <v>46261</v>
      </c>
      <c r="Y253" s="385">
        <f t="shared" si="88"/>
        <v>45.036258039511544</v>
      </c>
      <c r="Z253" s="385">
        <f t="shared" si="89"/>
        <v>48.097015340619841</v>
      </c>
      <c r="AA253" s="386">
        <f t="shared" si="90"/>
        <v>52.280351872750451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8.0017375214168199E-2</v>
      </c>
      <c r="AD253" s="231">
        <f>(INDEX(Models!$BJ253:$BT253,,AH253)*(1-AF253)+INDEX(Models!$BJ253:$BT253,,AH253+1)*AF253-ERP_i)*AE253*Ramure*Pc/MaxiM</f>
        <v>5.6891148495593325E-5</v>
      </c>
      <c r="AE253" s="305">
        <f t="shared" si="92"/>
        <v>0.5</v>
      </c>
      <c r="AF253" s="177">
        <f t="shared" si="93"/>
        <v>0.47804069621456913</v>
      </c>
      <c r="AG253" s="811">
        <f t="shared" si="99"/>
        <v>2</v>
      </c>
      <c r="AH253" s="176">
        <f t="shared" si="94"/>
        <v>8</v>
      </c>
      <c r="AI253" s="225">
        <f t="shared" si="95"/>
        <v>2.4780406962145691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45.819648786622523</v>
      </c>
      <c r="C254" s="841"/>
      <c r="D254" s="393">
        <f t="shared" si="77"/>
        <v>48.934718740098084</v>
      </c>
      <c r="E254" s="385">
        <f t="shared" si="100"/>
        <v>51.315461114426526</v>
      </c>
      <c r="F254" s="385">
        <f t="shared" si="78"/>
        <v>51.315653779136106</v>
      </c>
      <c r="G254" s="110">
        <f t="shared" si="101"/>
        <v>0.94732193671722464</v>
      </c>
      <c r="H254" s="414" t="b">
        <f>Wh_hp&gt;='2025'!Maxi_hp</f>
        <v>0</v>
      </c>
      <c r="I254" s="390">
        <f>IF(H254,Wh_hp,'2025'!Maxi_hp)</f>
        <v>54.458266820267049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6.3657665430148058E-2</v>
      </c>
      <c r="M254" s="845"/>
      <c r="N254" s="845"/>
      <c r="O254" s="48">
        <f>IF(t&lt;Tnet,'2025'!Resal+('2025'!Salim-'2025'!Resal)*(1-EXP(('2025'!Tnet-t)/('2025'!Tau_j))),Resal+(Salim-Resal)*(1-EXP((Tnet-t)/(Tau_j))))*Salcycl</f>
        <v>4.6394250828609193E-2</v>
      </c>
      <c r="P254" s="169">
        <f>(INDEX(Models!$BJ254:$BT254,,T254)*(1-R254)+INDEX(Models!$BJ254:$BT254,,T254+1)*R254-ERP_i)*Q254*Ramure*Pc/MaxiM</f>
        <v>4.0600354612734865E-6</v>
      </c>
      <c r="Q254" s="305">
        <f t="shared" si="80"/>
        <v>0.5</v>
      </c>
      <c r="R254" s="177">
        <f t="shared" si="81"/>
        <v>0.95380938029314999</v>
      </c>
      <c r="S254" s="811">
        <f t="shared" si="82"/>
        <v>-2</v>
      </c>
      <c r="T254" s="176">
        <f t="shared" si="83"/>
        <v>4</v>
      </c>
      <c r="U254" s="251">
        <f t="shared" si="84"/>
        <v>-1.04619061970685</v>
      </c>
      <c r="V254" s="383">
        <f t="shared" si="85"/>
        <v>48.367543293571678</v>
      </c>
      <c r="W254" s="402">
        <f t="shared" si="86"/>
        <v>45.819648786622523</v>
      </c>
      <c r="X254" s="157">
        <f t="shared" si="87"/>
        <v>46262</v>
      </c>
      <c r="Y254" s="385">
        <f t="shared" si="88"/>
        <v>44.200970193319208</v>
      </c>
      <c r="Z254" s="385">
        <f t="shared" si="89"/>
        <v>47.205993536140575</v>
      </c>
      <c r="AA254" s="386">
        <f t="shared" si="90"/>
        <v>51.313168399654451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8.0041342049374048E-2</v>
      </c>
      <c r="AD254" s="231">
        <f>(INDEX(Models!$BJ254:$BT254,,AH254)*(1-AF254)+INDEX(Models!$BJ254:$BT254,,AH254+1)*AF254-ERP_i)*AE254*Ramure*Pc/MaxiM</f>
        <v>5.2374557086696222E-5</v>
      </c>
      <c r="AE254" s="305">
        <f t="shared" si="92"/>
        <v>0.5</v>
      </c>
      <c r="AF254" s="177">
        <f t="shared" si="93"/>
        <v>0.47879694666712913</v>
      </c>
      <c r="AG254" s="811">
        <f t="shared" si="99"/>
        <v>2</v>
      </c>
      <c r="AH254" s="176">
        <f t="shared" si="94"/>
        <v>8</v>
      </c>
      <c r="AI254" s="225">
        <f t="shared" si="95"/>
        <v>2.4787969466671291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30.892874030874957</v>
      </c>
      <c r="C255" s="841"/>
      <c r="D255" s="393">
        <f t="shared" si="77"/>
        <v>32.993862969053168</v>
      </c>
      <c r="E255" s="385">
        <f t="shared" si="100"/>
        <v>34.60128113912539</v>
      </c>
      <c r="F255" s="385">
        <f t="shared" si="78"/>
        <v>34.601339072632847</v>
      </c>
      <c r="G255" s="110">
        <f t="shared" si="101"/>
        <v>0.64100537377633859</v>
      </c>
      <c r="H255" s="414" t="b">
        <f>Wh_hp&gt;='2025'!Maxi_hp</f>
        <v>0</v>
      </c>
      <c r="I255" s="390">
        <f>IF(H255,Wh_hp,'2025'!Maxi_hp)</f>
        <v>53.843045701686705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6.3678173730334353E-2</v>
      </c>
      <c r="M255" s="845"/>
      <c r="N255" s="845"/>
      <c r="O255" s="48">
        <f>IF(t&lt;Tnet,'2025'!Resal+('2025'!Salim-'2025'!Resal)*(1-EXP(('2025'!Tnet-t)/('2025'!Tau_j))),Resal+(Salim-Resal)*(1-EXP((Tnet-t)/(Tau_j))))*Salcycl</f>
        <v>4.6455452432789583E-2</v>
      </c>
      <c r="P255" s="169">
        <f>(INDEX(Models!$BJ255:$BT255,,T255)*(1-R255)+INDEX(Models!$BJ255:$BT255,,T255+1)*R255-ERP_i)*Q255*Ramure*Pc/MaxiM</f>
        <v>3.4369427220884834E-6</v>
      </c>
      <c r="Q255" s="305">
        <f t="shared" si="80"/>
        <v>0.5</v>
      </c>
      <c r="R255" s="177">
        <f t="shared" si="81"/>
        <v>0.95453741999544461</v>
      </c>
      <c r="S255" s="811">
        <f t="shared" si="82"/>
        <v>-2</v>
      </c>
      <c r="T255" s="176">
        <f t="shared" si="83"/>
        <v>4</v>
      </c>
      <c r="U255" s="251">
        <f t="shared" si="84"/>
        <v>-1.0454625800045554</v>
      </c>
      <c r="V255" s="383">
        <f t="shared" si="85"/>
        <v>48.194322297361637</v>
      </c>
      <c r="W255" s="402">
        <f t="shared" si="86"/>
        <v>30.892874030874957</v>
      </c>
      <c r="X255" s="157">
        <f t="shared" si="87"/>
        <v>46263</v>
      </c>
      <c r="Y255" s="385">
        <f t="shared" si="88"/>
        <v>29.803339038514682</v>
      </c>
      <c r="Z255" s="385">
        <f t="shared" si="89"/>
        <v>31.830229951225299</v>
      </c>
      <c r="AA255" s="386">
        <f t="shared" si="90"/>
        <v>34.600518314539123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8.0064938280122469E-2</v>
      </c>
      <c r="AD255" s="231">
        <f>(INDEX(Models!$BJ255:$BT255,,AH255)*(1-AF255)+INDEX(Models!$BJ255:$BT255,,AH255+1)*AF255-ERP_i)*AE255*Ramure*Pc/MaxiM</f>
        <v>4.8692003652996993E-5</v>
      </c>
      <c r="AE255" s="305">
        <f t="shared" si="92"/>
        <v>0.5</v>
      </c>
      <c r="AF255" s="177">
        <f t="shared" si="93"/>
        <v>0.47952498636942353</v>
      </c>
      <c r="AG255" s="811">
        <f t="shared" si="99"/>
        <v>2</v>
      </c>
      <c r="AH255" s="176">
        <f t="shared" si="94"/>
        <v>8</v>
      </c>
      <c r="AI255" s="225">
        <f t="shared" si="95"/>
        <v>2.4795249863694235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44.857339862353712</v>
      </c>
      <c r="C256" s="841"/>
      <c r="D256" s="393">
        <f t="shared" si="77"/>
        <v>47.909085440693481</v>
      </c>
      <c r="E256" s="385">
        <f t="shared" si="100"/>
        <v>50.24636408772264</v>
      </c>
      <c r="F256" s="385">
        <f t="shared" si="78"/>
        <v>50.246495072392847</v>
      </c>
      <c r="G256" s="110">
        <f t="shared" si="101"/>
        <v>0.93421567940522232</v>
      </c>
      <c r="H256" s="414" t="b">
        <f>Wh_hp&gt;='2025'!Maxi_hp</f>
        <v>0</v>
      </c>
      <c r="I256" s="390">
        <f>IF(H256,Wh_hp,'2025'!Maxi_hp)</f>
        <v>52.67575781397985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6.3698681581336292E-2</v>
      </c>
      <c r="M256" s="845"/>
      <c r="N256" s="845"/>
      <c r="O256" s="48">
        <f>IF(t&lt;Tnet,'2025'!Resal+('2025'!Salim-'2025'!Resal)*(1-EXP(('2025'!Tnet-t)/('2025'!Tau_j))),Resal+(Salim-Resal)*(1-EXP((Tnet-t)/(Tau_j))))*Salcycl</f>
        <v>4.6516373661358246E-2</v>
      </c>
      <c r="P256" s="169">
        <f>(INDEX(Models!$BJ256:$BT256,,T256)*(1-R256)+INDEX(Models!$BJ256:$BT256,,T256+1)*R256-ERP_i)*Q256*Ramure*Pc/MaxiM</f>
        <v>2.877236693545846E-6</v>
      </c>
      <c r="Q256" s="305">
        <f t="shared" si="80"/>
        <v>0.5</v>
      </c>
      <c r="R256" s="177">
        <f t="shared" si="81"/>
        <v>0.95523821755661942</v>
      </c>
      <c r="S256" s="811">
        <f t="shared" si="82"/>
        <v>-2</v>
      </c>
      <c r="T256" s="176">
        <f t="shared" si="83"/>
        <v>4</v>
      </c>
      <c r="U256" s="251">
        <f t="shared" si="84"/>
        <v>-1.0447617824433806</v>
      </c>
      <c r="V256" s="383">
        <f t="shared" si="85"/>
        <v>48.016029619296447</v>
      </c>
      <c r="W256" s="402">
        <f t="shared" si="86"/>
        <v>44.857339862353712</v>
      </c>
      <c r="X256" s="157">
        <f t="shared" si="87"/>
        <v>46264</v>
      </c>
      <c r="Y256" s="385">
        <f t="shared" si="88"/>
        <v>43.276245797658177</v>
      </c>
      <c r="Z256" s="385">
        <f t="shared" si="89"/>
        <v>46.220425995712809</v>
      </c>
      <c r="AA256" s="386">
        <f t="shared" si="90"/>
        <v>50.244407684809623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8.00881505925959E-2</v>
      </c>
      <c r="AD256" s="231">
        <f>(INDEX(Models!$BJ256:$BT256,,AH256)*(1-AF256)+INDEX(Models!$BJ256:$BT256,,AH256+1)*AF256-ERP_i)*AE256*Ramure*Pc/MaxiM</f>
        <v>4.5851992745797906E-5</v>
      </c>
      <c r="AE256" s="305">
        <f t="shared" si="92"/>
        <v>0.5</v>
      </c>
      <c r="AF256" s="177">
        <f t="shared" si="93"/>
        <v>0.48022578393059812</v>
      </c>
      <c r="AG256" s="811">
        <f t="shared" si="99"/>
        <v>2</v>
      </c>
      <c r="AH256" s="176">
        <f t="shared" si="94"/>
        <v>8</v>
      </c>
      <c r="AI256" s="225">
        <f t="shared" si="95"/>
        <v>2.4802257839305981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21.11212395435567</v>
      </c>
      <c r="C257" s="841"/>
      <c r="D257" s="393">
        <f t="shared" si="77"/>
        <v>22.548923043106164</v>
      </c>
      <c r="E257" s="385">
        <f t="shared" si="100"/>
        <v>23.650492156852508</v>
      </c>
      <c r="F257" s="385">
        <f t="shared" si="78"/>
        <v>23.650503533109791</v>
      </c>
      <c r="G257" s="110">
        <f t="shared" si="101"/>
        <v>0.44138083097467667</v>
      </c>
      <c r="H257" s="414" t="b">
        <f>Wh_hp&gt;='2025'!Maxi_hp</f>
        <v>0</v>
      </c>
      <c r="I257" s="390">
        <f>IF(H257,Wh_hp,'2025'!Maxi_hp)</f>
        <v>52.060228799144411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6.3719188983163644E-2</v>
      </c>
      <c r="M257" s="845"/>
      <c r="N257" s="845"/>
      <c r="O257" s="48">
        <f>IF(t&lt;Tnet,'2025'!Resal+('2025'!Salim-'2025'!Resal)*(1-EXP(('2025'!Tnet-t)/('2025'!Tau_j))),Resal+(Salim-Resal)*(1-EXP((Tnet-t)/(Tau_j))))*Salcycl</f>
        <v>4.6577005943073985E-2</v>
      </c>
      <c r="P257" s="169">
        <f>(INDEX(Models!$BJ257:$BT257,,T257)*(1-R257)+INDEX(Models!$BJ257:$BT257,,T257+1)*R257-ERP_i)*Q257*Ramure*Pc/MaxiM</f>
        <v>2.381573269407805E-6</v>
      </c>
      <c r="Q257" s="305">
        <f t="shared" si="80"/>
        <v>0.5</v>
      </c>
      <c r="R257" s="177">
        <f t="shared" si="81"/>
        <v>0.95591271474631956</v>
      </c>
      <c r="S257" s="811">
        <f t="shared" si="82"/>
        <v>-2</v>
      </c>
      <c r="T257" s="176">
        <f t="shared" si="83"/>
        <v>4</v>
      </c>
      <c r="U257" s="251">
        <f t="shared" si="84"/>
        <v>-1.0440872852536804</v>
      </c>
      <c r="V257" s="383">
        <f t="shared" si="85"/>
        <v>47.831900136902604</v>
      </c>
      <c r="W257" s="402">
        <f t="shared" si="86"/>
        <v>21.11212395435567</v>
      </c>
      <c r="X257" s="157">
        <f t="shared" si="87"/>
        <v>46265</v>
      </c>
      <c r="Y257" s="385">
        <f t="shared" si="88"/>
        <v>20.369394000816133</v>
      </c>
      <c r="Z257" s="385">
        <f t="shared" si="89"/>
        <v>21.755646127889985</v>
      </c>
      <c r="AA257" s="386">
        <f t="shared" si="90"/>
        <v>23.650294007976424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8.0110965193390032E-2</v>
      </c>
      <c r="AD257" s="231">
        <f>(INDEX(Models!$BJ257:$BT257,,AH257)*(1-AF257)+INDEX(Models!$BJ257:$BT257,,AH257+1)*AF257-ERP_i)*AE257*Ramure*Pc/MaxiM</f>
        <v>4.3863235894533924E-5</v>
      </c>
      <c r="AE257" s="305">
        <f t="shared" si="92"/>
        <v>0.5</v>
      </c>
      <c r="AF257" s="177">
        <f t="shared" si="93"/>
        <v>0.4809002811202987</v>
      </c>
      <c r="AG257" s="811">
        <f t="shared" si="99"/>
        <v>2</v>
      </c>
      <c r="AH257" s="176">
        <f t="shared" si="94"/>
        <v>8</v>
      </c>
      <c r="AI257" s="225">
        <f t="shared" si="95"/>
        <v>2.4809002811202987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40.698085645084205</v>
      </c>
      <c r="C258" s="841"/>
      <c r="D258" s="393">
        <f t="shared" si="77"/>
        <v>43.468771952009035</v>
      </c>
      <c r="E258" s="385">
        <f t="shared" si="100"/>
        <v>45.595211343034414</v>
      </c>
      <c r="F258" s="385">
        <f t="shared" si="78"/>
        <v>45.59528176492411</v>
      </c>
      <c r="G258" s="110">
        <f t="shared" si="101"/>
        <v>0.85426260481937288</v>
      </c>
      <c r="H258" s="414" t="b">
        <f>Wh_hp&gt;='2025'!Maxi_hp</f>
        <v>0</v>
      </c>
      <c r="I258" s="390">
        <f>IF(H258,Wh_hp,'2025'!Maxi_hp)</f>
        <v>53.475031417285187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6.373969593582629E-2</v>
      </c>
      <c r="M258" s="845"/>
      <c r="N258" s="845"/>
      <c r="O258" s="48">
        <f>IF(t&lt;Tnet,'2025'!Resal+('2025'!Salim-'2025'!Resal)*(1-EXP(('2025'!Tnet-t)/('2025'!Tau_j))),Resal+(Salim-Resal)*(1-EXP((Tnet-t)/(Tau_j))))*Salcycl</f>
        <v>4.6637340378294666E-2</v>
      </c>
      <c r="P258" s="169">
        <f>(INDEX(Models!$BJ258:$BT258,,T258)*(1-R258)+INDEX(Models!$BJ258:$BT258,,T258+1)*R258-ERP_i)*Q258*Ramure*Pc/MaxiM</f>
        <v>1.9506078182308569E-6</v>
      </c>
      <c r="Q258" s="305">
        <f t="shared" si="80"/>
        <v>0.5</v>
      </c>
      <c r="R258" s="177">
        <f t="shared" si="81"/>
        <v>0.95656182672894108</v>
      </c>
      <c r="S258" s="811">
        <f t="shared" si="82"/>
        <v>-2</v>
      </c>
      <c r="T258" s="176">
        <f t="shared" si="83"/>
        <v>4</v>
      </c>
      <c r="U258" s="251">
        <f t="shared" si="84"/>
        <v>-1.0434381732710589</v>
      </c>
      <c r="V258" s="383">
        <f t="shared" si="85"/>
        <v>47.641168989051877</v>
      </c>
      <c r="W258" s="402">
        <f t="shared" si="86"/>
        <v>40.698085645084205</v>
      </c>
      <c r="X258" s="157">
        <f t="shared" si="87"/>
        <v>46266</v>
      </c>
      <c r="Y258" s="385">
        <f t="shared" si="88"/>
        <v>39.266906093027018</v>
      </c>
      <c r="Z258" s="385">
        <f t="shared" si="89"/>
        <v>41.940159080305897</v>
      </c>
      <c r="AA258" s="386">
        <f t="shared" si="90"/>
        <v>45.593738930354043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8.013336777729746E-2</v>
      </c>
      <c r="AD258" s="231">
        <f>(INDEX(Models!$BJ258:$BT258,,AH258)*(1-AF258)+INDEX(Models!$BJ258:$BT258,,AH258+1)*AF258-ERP_i)*AE258*Ramure*Pc/MaxiM</f>
        <v>4.2734797201135442E-5</v>
      </c>
      <c r="AE258" s="305">
        <f t="shared" si="92"/>
        <v>0.5</v>
      </c>
      <c r="AF258" s="177">
        <f t="shared" si="93"/>
        <v>0.48154939310291978</v>
      </c>
      <c r="AG258" s="811">
        <f t="shared" si="99"/>
        <v>2</v>
      </c>
      <c r="AH258" s="176">
        <f t="shared" si="94"/>
        <v>8</v>
      </c>
      <c r="AI258" s="225">
        <f t="shared" si="95"/>
        <v>2.4815493931029198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37.331069410328439</v>
      </c>
      <c r="C259" s="841"/>
      <c r="D259" s="393">
        <f t="shared" si="77"/>
        <v>39.873405838539433</v>
      </c>
      <c r="E259" s="385">
        <f t="shared" si="100"/>
        <v>41.826597859112425</v>
      </c>
      <c r="F259" s="385">
        <f t="shared" si="78"/>
        <v>41.826643968606348</v>
      </c>
      <c r="G259" s="110">
        <f t="shared" si="101"/>
        <v>0.78685991763721708</v>
      </c>
      <c r="H259" s="414" t="b">
        <f>Wh_hp&gt;='2025'!Maxi_hp</f>
        <v>0</v>
      </c>
      <c r="I259" s="390">
        <f>IF(H259,Wh_hp,'2025'!Maxi_hp)</f>
        <v>51.427835350869806</v>
      </c>
      <c r="J259" s="85">
        <f>IF(H259,An,'2025'!An_max)</f>
        <v>2019</v>
      </c>
      <c r="K259" s="197">
        <f t="shared" si="79"/>
        <v>46267</v>
      </c>
      <c r="L259" s="147">
        <f>IF(t&lt;Tvie,1-EXP((T0-t)*PertePVj)+'2025'!Pspv,1-EXP((T0-t)*PertePVj)+Pspv)</f>
        <v>6.3760202439334002E-2</v>
      </c>
      <c r="M259" s="845"/>
      <c r="N259" s="845"/>
      <c r="O259" s="48">
        <f>IF(t&lt;Tnet,'2025'!Resal+('2025'!Salim-'2025'!Resal)*(1-EXP(('2025'!Tnet-t)/('2025'!Tau_j))),Resal+(Salim-Resal)*(1-EXP((Tnet-t)/(Tau_j))))*Salcycl</f>
        <v>4.6697367716878935E-2</v>
      </c>
      <c r="P259" s="169">
        <f>(INDEX(Models!$BJ259:$BT259,,T259)*(1-R259)+INDEX(Models!$BJ259:$BT259,,T259+1)*R259-ERP_i)*Q259*Ramure*Pc/MaxiM</f>
        <v>1.5850063848361199E-6</v>
      </c>
      <c r="Q259" s="305">
        <f t="shared" si="80"/>
        <v>0.5</v>
      </c>
      <c r="R259" s="177">
        <f t="shared" si="81"/>
        <v>0.95718644234314754</v>
      </c>
      <c r="S259" s="811">
        <f t="shared" si="82"/>
        <v>-2</v>
      </c>
      <c r="T259" s="176">
        <f t="shared" si="83"/>
        <v>4</v>
      </c>
      <c r="U259" s="251">
        <f t="shared" si="84"/>
        <v>-1.0428135576568525</v>
      </c>
      <c r="V259" s="383">
        <f t="shared" si="85"/>
        <v>47.443071577488325</v>
      </c>
      <c r="W259" s="402">
        <f t="shared" si="86"/>
        <v>37.331069410328439</v>
      </c>
      <c r="X259" s="157">
        <f t="shared" si="87"/>
        <v>46267</v>
      </c>
      <c r="Y259" s="385">
        <f t="shared" si="88"/>
        <v>36.019839811788387</v>
      </c>
      <c r="Z259" s="385">
        <f t="shared" si="89"/>
        <v>38.472878322024535</v>
      </c>
      <c r="AA259" s="386">
        <f t="shared" si="90"/>
        <v>41.825408290207939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8.0155343491728412E-2</v>
      </c>
      <c r="AD259" s="231">
        <f>(INDEX(Models!$BJ259:$BT259,,AH259)*(1-AF259)+INDEX(Models!$BJ259:$BT259,,AH259+1)*AF259-ERP_i)*AE259*Ramure*Pc/MaxiM</f>
        <v>4.247624478877648E-5</v>
      </c>
      <c r="AE259" s="305">
        <f t="shared" si="92"/>
        <v>0.5</v>
      </c>
      <c r="AF259" s="177">
        <f t="shared" si="93"/>
        <v>0.48217400871712668</v>
      </c>
      <c r="AG259" s="811">
        <f t="shared" si="99"/>
        <v>2</v>
      </c>
      <c r="AH259" s="176">
        <f t="shared" si="94"/>
        <v>8</v>
      </c>
      <c r="AI259" s="225">
        <f t="shared" si="95"/>
        <v>2.4821740087171267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31.170229522317822</v>
      </c>
      <c r="C260" s="841"/>
      <c r="D260" s="393">
        <f t="shared" si="77"/>
        <v>33.293727020052501</v>
      </c>
      <c r="E260" s="385">
        <f t="shared" si="100"/>
        <v>34.926802248777797</v>
      </c>
      <c r="F260" s="385">
        <f t="shared" si="78"/>
        <v>34.926825330368906</v>
      </c>
      <c r="G260" s="110">
        <f t="shared" si="101"/>
        <v>0.65987072178337591</v>
      </c>
      <c r="H260" s="414" t="b">
        <f>Wh_hp&gt;='2025'!Maxi_hp</f>
        <v>0</v>
      </c>
      <c r="I260" s="390">
        <f>IF(H260,Wh_hp,'2025'!Maxi_hp)</f>
        <v>54.150203084511908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6.3780708493696658E-2</v>
      </c>
      <c r="M260" s="845"/>
      <c r="N260" s="845"/>
      <c r="O260" s="48">
        <f>IF(t&lt;Tnet,'2025'!Resal+('2025'!Salim-'2025'!Resal)*(1-EXP(('2025'!Tnet-t)/('2025'!Tau_j))),Resal+(Salim-Resal)*(1-EXP((Tnet-t)/(Tau_j))))*Salcycl</f>
        <v>4.6757078334660356E-2</v>
      </c>
      <c r="P260" s="169">
        <f>(INDEX(Models!$BJ260:$BT260,,T260)*(1-R260)+INDEX(Models!$BJ260:$BT260,,T260+1)*R260-ERP_i)*Q260*Ramure*Pc/MaxiM</f>
        <v>1.2854573107869173E-6</v>
      </c>
      <c r="Q260" s="305">
        <f t="shared" si="80"/>
        <v>0.5</v>
      </c>
      <c r="R260" s="177">
        <f t="shared" si="81"/>
        <v>0.957787424421773</v>
      </c>
      <c r="S260" s="811">
        <f t="shared" si="82"/>
        <v>-2</v>
      </c>
      <c r="T260" s="176">
        <f t="shared" si="83"/>
        <v>4</v>
      </c>
      <c r="U260" s="251">
        <f t="shared" si="84"/>
        <v>-1.042212575578227</v>
      </c>
      <c r="V260" s="383">
        <f t="shared" si="85"/>
        <v>47.23684355791373</v>
      </c>
      <c r="W260" s="402">
        <f t="shared" si="86"/>
        <v>31.170229522317822</v>
      </c>
      <c r="X260" s="157">
        <f t="shared" si="87"/>
        <v>46268</v>
      </c>
      <c r="Y260" s="385">
        <f t="shared" si="88"/>
        <v>30.07678410911528</v>
      </c>
      <c r="Z260" s="385">
        <f t="shared" si="89"/>
        <v>32.125789739628303</v>
      </c>
      <c r="AA260" s="386">
        <f t="shared" si="90"/>
        <v>34.926051468806996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8.0176876898886015E-2</v>
      </c>
      <c r="AD260" s="231">
        <f>(INDEX(Models!$BJ260:$BT260,,AH260)*(1-AF260)+INDEX(Models!$BJ260:$BT260,,AH260+1)*AF260-ERP_i)*AE260*Ramure*Pc/MaxiM</f>
        <v>4.3097808885563501E-5</v>
      </c>
      <c r="AE260" s="305">
        <f t="shared" si="92"/>
        <v>0.5</v>
      </c>
      <c r="AF260" s="177">
        <f t="shared" si="93"/>
        <v>0.48277499079575215</v>
      </c>
      <c r="AG260" s="811">
        <f t="shared" si="99"/>
        <v>2</v>
      </c>
      <c r="AH260" s="176">
        <f t="shared" si="94"/>
        <v>8</v>
      </c>
      <c r="AI260" s="225">
        <f t="shared" si="95"/>
        <v>2.4827749907957521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45.209320890440992</v>
      </c>
      <c r="C261" s="841"/>
      <c r="D261" s="393">
        <f t="shared" si="77"/>
        <v>48.290300704596369</v>
      </c>
      <c r="E261" s="385">
        <f t="shared" si="100"/>
        <v>50.662122025856576</v>
      </c>
      <c r="F261" s="385">
        <f t="shared" si="78"/>
        <v>50.662172417664593</v>
      </c>
      <c r="G261" s="110">
        <f t="shared" si="101"/>
        <v>0.96143385490957589</v>
      </c>
      <c r="H261" s="414" t="b">
        <f>Wh_hp&gt;='2025'!Maxi_hp</f>
        <v>0</v>
      </c>
      <c r="I261" s="390">
        <f>IF(H261,Wh_hp,'2025'!Maxi_hp)</f>
        <v>53.283178554064911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6.3801214098924142E-2</v>
      </c>
      <c r="M261" s="845"/>
      <c r="N261" s="845"/>
      <c r="O261" s="48">
        <f>IF(t&lt;Tnet,'2025'!Resal+('2025'!Salim-'2025'!Resal)*(1-EXP(('2025'!Tnet-t)/('2025'!Tau_j))),Resal+(Salim-Resal)*(1-EXP((Tnet-t)/(Tau_j))))*Salcycl</f>
        <v>4.6816462209176554E-2</v>
      </c>
      <c r="P261" s="169">
        <f>(INDEX(Models!$BJ261:$BT261,,T261)*(1-R261)+INDEX(Models!$BJ261:$BT261,,T261+1)*R261-ERP_i)*Q261*Ramure*Pc/MaxiM</f>
        <v>1.0526590181257506E-6</v>
      </c>
      <c r="Q261" s="305">
        <f t="shared" si="80"/>
        <v>0.5</v>
      </c>
      <c r="R261" s="177">
        <f t="shared" si="81"/>
        <v>0.95836561014753729</v>
      </c>
      <c r="S261" s="811">
        <f t="shared" si="82"/>
        <v>-2</v>
      </c>
      <c r="T261" s="176">
        <f t="shared" si="83"/>
        <v>4</v>
      </c>
      <c r="U261" s="251">
        <f t="shared" si="84"/>
        <v>-1.0416343898524627</v>
      </c>
      <c r="V261" s="383">
        <f t="shared" si="85"/>
        <v>47.022806652411134</v>
      </c>
      <c r="W261" s="402">
        <f t="shared" si="86"/>
        <v>45.209320890440992</v>
      </c>
      <c r="X261" s="157">
        <f t="shared" si="87"/>
        <v>46269</v>
      </c>
      <c r="Y261" s="385">
        <f t="shared" si="88"/>
        <v>43.624247413052174</v>
      </c>
      <c r="Z261" s="385">
        <f t="shared" si="89"/>
        <v>46.597205711033432</v>
      </c>
      <c r="AA261" s="386">
        <f t="shared" si="90"/>
        <v>50.660036916808174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8.0197951936879897E-2</v>
      </c>
      <c r="AD261" s="231">
        <f>(INDEX(Models!$BJ261:$BT261,,AH261)*(1-AF261)+INDEX(Models!$BJ261:$BT261,,AH261+1)*AF261-ERP_i)*AE261*Ramure*Pc/MaxiM</f>
        <v>4.4609517366460755E-5</v>
      </c>
      <c r="AE261" s="305">
        <f t="shared" si="92"/>
        <v>0.5</v>
      </c>
      <c r="AF261" s="177">
        <f t="shared" si="93"/>
        <v>0.48335317652151621</v>
      </c>
      <c r="AG261" s="811">
        <f t="shared" si="99"/>
        <v>2</v>
      </c>
      <c r="AH261" s="176">
        <f t="shared" si="94"/>
        <v>8</v>
      </c>
      <c r="AI261" s="225">
        <f t="shared" si="95"/>
        <v>2.4833531765215162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38.219593374569499</v>
      </c>
      <c r="C262" s="841"/>
      <c r="D262" s="393">
        <f t="shared" si="77"/>
        <v>40.825122907311901</v>
      </c>
      <c r="E262" s="385">
        <f t="shared" si="100"/>
        <v>42.83293870667142</v>
      </c>
      <c r="F262" s="385">
        <f t="shared" si="78"/>
        <v>42.83296703111413</v>
      </c>
      <c r="G262" s="110">
        <f t="shared" si="101"/>
        <v>0.81662204271953254</v>
      </c>
      <c r="H262" s="414" t="b">
        <f>Wh_hp&gt;='2025'!Maxi_hp</f>
        <v>0</v>
      </c>
      <c r="I262" s="390">
        <f>IF(H262,Wh_hp,'2025'!Maxi_hp)</f>
        <v>52.787883333438941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6.3821719255026221E-2</v>
      </c>
      <c r="M262" s="845"/>
      <c r="N262" s="845"/>
      <c r="O262" s="48">
        <f>IF(t&lt;Tnet,'2025'!Resal+('2025'!Salim-'2025'!Resal)*(1-EXP(('2025'!Tnet-t)/('2025'!Tau_j))),Resal+(Salim-Resal)*(1-EXP((Tnet-t)/(Tau_j))))*Salcycl</f>
        <v>4.6875508895372398E-2</v>
      </c>
      <c r="P262" s="169">
        <f>(INDEX(Models!$BJ262:$BT262,,T262)*(1-R262)+INDEX(Models!$BJ262:$BT262,,T262+1)*R262-ERP_i)*Q262*Ramure*Pc/MaxiM</f>
        <v>8.9600031320456814E-7</v>
      </c>
      <c r="Q262" s="305">
        <f t="shared" si="80"/>
        <v>0.5</v>
      </c>
      <c r="R262" s="177">
        <f t="shared" si="81"/>
        <v>0.9589218114403093</v>
      </c>
      <c r="S262" s="811">
        <f t="shared" si="82"/>
        <v>-2</v>
      </c>
      <c r="T262" s="176">
        <f t="shared" si="83"/>
        <v>4</v>
      </c>
      <c r="U262" s="251">
        <f t="shared" si="84"/>
        <v>-1.0410781885596907</v>
      </c>
      <c r="V262" s="383">
        <f t="shared" si="85"/>
        <v>46.802048443662493</v>
      </c>
      <c r="W262" s="402">
        <f t="shared" si="86"/>
        <v>38.219593374569499</v>
      </c>
      <c r="X262" s="157">
        <f t="shared" si="87"/>
        <v>46270</v>
      </c>
      <c r="Y262" s="385">
        <f t="shared" si="88"/>
        <v>36.881279376423791</v>
      </c>
      <c r="Z262" s="385">
        <f t="shared" si="89"/>
        <v>39.395572547437354</v>
      </c>
      <c r="AA262" s="386">
        <f t="shared" si="90"/>
        <v>42.831449392683389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8.0218551881014871E-2</v>
      </c>
      <c r="AD262" s="231">
        <f>(INDEX(Models!$BJ262:$BT262,,AH262)*(1-AF262)+INDEX(Models!$BJ262:$BT262,,AH262+1)*AF262-ERP_i)*AE262*Ramure*Pc/MaxiM</f>
        <v>4.8008164647597299E-5</v>
      </c>
      <c r="AE262" s="305">
        <f t="shared" si="92"/>
        <v>0.5</v>
      </c>
      <c r="AF262" s="177">
        <f t="shared" si="93"/>
        <v>0.483909377814288</v>
      </c>
      <c r="AG262" s="811">
        <f t="shared" si="99"/>
        <v>2</v>
      </c>
      <c r="AH262" s="176">
        <f t="shared" si="94"/>
        <v>8</v>
      </c>
      <c r="AI262" s="225">
        <f t="shared" si="95"/>
        <v>2.483909377814288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43.345414638063843</v>
      </c>
      <c r="C263" s="841"/>
      <c r="D263" s="393">
        <f t="shared" si="77"/>
        <v>46.301398917510014</v>
      </c>
      <c r="E263" s="385">
        <f t="shared" si="100"/>
        <v>48.581534750244742</v>
      </c>
      <c r="F263" s="385">
        <f t="shared" si="78"/>
        <v>48.581568168158128</v>
      </c>
      <c r="G263" s="110">
        <f t="shared" si="101"/>
        <v>0.93065919017676835</v>
      </c>
      <c r="H263" s="414" t="b">
        <f>Wh_hp&gt;='2025'!Maxi_hp</f>
        <v>0</v>
      </c>
      <c r="I263" s="390">
        <f>IF(H263,Wh_hp,'2025'!Maxi_hp)</f>
        <v>54.673871330579189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6.3842223962012778E-2</v>
      </c>
      <c r="M263" s="845"/>
      <c r="N263" s="845"/>
      <c r="O263" s="48">
        <f>IF(t&lt;Tnet,'2025'!Resal+('2025'!Salim-'2025'!Resal)*(1-EXP(('2025'!Tnet-t)/('2025'!Tau_j))),Resal+(Salim-Resal)*(1-EXP((Tnet-t)/(Tau_j))))*Salcycl</f>
        <v>4.6934207502023019E-2</v>
      </c>
      <c r="P263" s="169">
        <f>(INDEX(Models!$BJ263:$BT263,,T263)*(1-R263)+INDEX(Models!$BJ263:$BT263,,T263+1)*R263-ERP_i)*Q263*Ramure*Pc/MaxiM</f>
        <v>7.6350355308718791E-7</v>
      </c>
      <c r="Q263" s="305">
        <f t="shared" si="80"/>
        <v>0.5</v>
      </c>
      <c r="R263" s="177">
        <f t="shared" si="81"/>
        <v>0.95945681537194094</v>
      </c>
      <c r="S263" s="811">
        <f t="shared" si="82"/>
        <v>-2</v>
      </c>
      <c r="T263" s="176">
        <f t="shared" si="83"/>
        <v>4</v>
      </c>
      <c r="U263" s="251">
        <f t="shared" si="84"/>
        <v>-1.0405431846280591</v>
      </c>
      <c r="V263" s="383">
        <f t="shared" si="85"/>
        <v>46.574956565527621</v>
      </c>
      <c r="W263" s="402">
        <f t="shared" si="86"/>
        <v>43.345414638063843</v>
      </c>
      <c r="X263" s="157">
        <f t="shared" si="87"/>
        <v>46271</v>
      </c>
      <c r="Y263" s="385">
        <f t="shared" si="88"/>
        <v>41.828760716750402</v>
      </c>
      <c r="Z263" s="385">
        <f t="shared" si="89"/>
        <v>44.68131525198492</v>
      </c>
      <c r="AA263" s="386">
        <f t="shared" si="90"/>
        <v>48.579249067259703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8.0238659306527155E-2</v>
      </c>
      <c r="AD263" s="231">
        <f>(INDEX(Models!$BJ263:$BT263,,AH263)*(1-AF263)+INDEX(Models!$BJ263:$BT263,,AH263+1)*AF263-ERP_i)*AE263*Ramure*Pc/MaxiM</f>
        <v>5.2984809541854755E-5</v>
      </c>
      <c r="AE263" s="305">
        <f t="shared" si="92"/>
        <v>0.5</v>
      </c>
      <c r="AF263" s="177">
        <f t="shared" si="93"/>
        <v>0.48444438174591964</v>
      </c>
      <c r="AG263" s="811">
        <f t="shared" si="99"/>
        <v>2</v>
      </c>
      <c r="AH263" s="176">
        <f t="shared" si="94"/>
        <v>8</v>
      </c>
      <c r="AI263" s="225">
        <f t="shared" si="95"/>
        <v>2.4844443817459196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33.725418350001277</v>
      </c>
      <c r="C264" s="841"/>
      <c r="D264" s="393">
        <f t="shared" si="77"/>
        <v>36.026146342694915</v>
      </c>
      <c r="E264" s="385">
        <f t="shared" si="100"/>
        <v>37.802586135920272</v>
      </c>
      <c r="F264" s="385">
        <f t="shared" si="78"/>
        <v>37.802601276982223</v>
      </c>
      <c r="G264" s="110">
        <f t="shared" si="101"/>
        <v>0.72775173381277936</v>
      </c>
      <c r="H264" s="414" t="b">
        <f>Wh_hp&gt;='2025'!Maxi_hp</f>
        <v>0</v>
      </c>
      <c r="I264" s="390">
        <f>IF(H264,Wh_hp,'2025'!Maxi_hp)</f>
        <v>50.140065797662274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6.3862728219893583E-2</v>
      </c>
      <c r="M264" s="845"/>
      <c r="N264" s="845"/>
      <c r="O264" s="48">
        <f>IF(t&lt;Tnet,'2025'!Resal+('2025'!Salim-'2025'!Resal)*(1-EXP(('2025'!Tnet-t)/('2025'!Tau_j))),Resal+(Salim-Resal)*(1-EXP((Tnet-t)/(Tau_j))))*Salcycl</f>
        <v>4.6992546669640971E-2</v>
      </c>
      <c r="P264" s="169">
        <f>(INDEX(Models!$BJ264:$BT264,,T264)*(1-R264)+INDEX(Models!$BJ264:$BT264,,T264+1)*R264-ERP_i)*Q264*Ramure*Pc/MaxiM</f>
        <v>6.5545174506601911E-7</v>
      </c>
      <c r="Q264" s="305">
        <f t="shared" si="80"/>
        <v>0.5</v>
      </c>
      <c r="R264" s="177">
        <f t="shared" si="81"/>
        <v>0.95997138460497844</v>
      </c>
      <c r="S264" s="811">
        <f t="shared" si="82"/>
        <v>-2</v>
      </c>
      <c r="T264" s="176">
        <f t="shared" si="83"/>
        <v>4</v>
      </c>
      <c r="U264" s="251">
        <f t="shared" si="84"/>
        <v>-1.0400286153950216</v>
      </c>
      <c r="V264" s="383">
        <f t="shared" si="85"/>
        <v>46.34191604869342</v>
      </c>
      <c r="W264" s="402">
        <f t="shared" si="86"/>
        <v>33.725418350001277</v>
      </c>
      <c r="X264" s="157">
        <f t="shared" si="87"/>
        <v>46272</v>
      </c>
      <c r="Y264" s="385">
        <f t="shared" si="88"/>
        <v>32.547026206162897</v>
      </c>
      <c r="Z264" s="385">
        <f t="shared" si="89"/>
        <v>34.767364987266546</v>
      </c>
      <c r="AA264" s="386">
        <f t="shared" si="90"/>
        <v>37.801225415849068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8.0258256054061755E-2</v>
      </c>
      <c r="AD264" s="231">
        <f>(INDEX(Models!$BJ264:$BT264,,AH264)*(1-AF264)+INDEX(Models!$BJ264:$BT264,,AH264+1)*AF264-ERP_i)*AE264*Ramure*Pc/MaxiM</f>
        <v>5.9560589828138898E-5</v>
      </c>
      <c r="AE264" s="305">
        <f t="shared" si="92"/>
        <v>0.5</v>
      </c>
      <c r="AF264" s="177">
        <f t="shared" si="93"/>
        <v>0.48495895097895758</v>
      </c>
      <c r="AG264" s="811">
        <f t="shared" si="99"/>
        <v>2</v>
      </c>
      <c r="AH264" s="176">
        <f t="shared" si="94"/>
        <v>8</v>
      </c>
      <c r="AI264" s="225">
        <f t="shared" si="95"/>
        <v>2.4849589509789576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36.931833438575886</v>
      </c>
      <c r="C265" s="841"/>
      <c r="D265" s="393">
        <f t="shared" si="77"/>
        <v>39.452165266317841</v>
      </c>
      <c r="E265" s="385">
        <f t="shared" si="100"/>
        <v>41.40005936171351</v>
      </c>
      <c r="F265" s="385">
        <f t="shared" si="78"/>
        <v>41.400076317051273</v>
      </c>
      <c r="G265" s="110">
        <f t="shared" si="101"/>
        <v>0.80106669111966722</v>
      </c>
      <c r="H265" s="414" t="b">
        <f>Wh_hp&gt;='2025'!Maxi_hp</f>
        <v>0</v>
      </c>
      <c r="I265" s="390">
        <f>IF(H265,Wh_hp,'2025'!Maxi_hp)</f>
        <v>49.195092920557293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6.3883232028678516E-2</v>
      </c>
      <c r="M265" s="845"/>
      <c r="N265" s="845"/>
      <c r="O265" s="48">
        <f>IF(t&lt;Tnet,'2025'!Resal+('2025'!Salim-'2025'!Resal)*(1-EXP(('2025'!Tnet-t)/('2025'!Tau_j))),Resal+(Salim-Resal)*(1-EXP((Tnet-t)/(Tau_j))))*Salcycl</f>
        <v>4.705051455064016E-2</v>
      </c>
      <c r="P265" s="169">
        <f>(INDEX(Models!$BJ265:$BT265,,T265)*(1-R265)+INDEX(Models!$BJ265:$BT265,,T265+1)*R265-ERP_i)*Q265*Ramure*Pc/MaxiM</f>
        <v>5.7214709546361803E-7</v>
      </c>
      <c r="Q265" s="305">
        <f t="shared" si="80"/>
        <v>0.5</v>
      </c>
      <c r="R265" s="177">
        <f t="shared" si="81"/>
        <v>0.96046625785182438</v>
      </c>
      <c r="S265" s="811">
        <f t="shared" si="82"/>
        <v>-2</v>
      </c>
      <c r="T265" s="176">
        <f t="shared" si="83"/>
        <v>4</v>
      </c>
      <c r="U265" s="251">
        <f t="shared" si="84"/>
        <v>-1.0395337421481756</v>
      </c>
      <c r="V265" s="383">
        <f t="shared" si="85"/>
        <v>46.103311800279165</v>
      </c>
      <c r="W265" s="402">
        <f t="shared" si="86"/>
        <v>36.931833438575886</v>
      </c>
      <c r="X265" s="157">
        <f t="shared" si="87"/>
        <v>46273</v>
      </c>
      <c r="Y265" s="385">
        <f t="shared" si="88"/>
        <v>35.642404645931997</v>
      </c>
      <c r="Z265" s="385">
        <f t="shared" si="89"/>
        <v>38.074742238805754</v>
      </c>
      <c r="AA265" s="386">
        <f t="shared" si="90"/>
        <v>41.39806835169707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8.0277323199189315E-2</v>
      </c>
      <c r="AD265" s="231">
        <f>(INDEX(Models!$BJ265:$BT265,,AH265)*(1-AF265)+INDEX(Models!$BJ265:$BT265,,AH265+1)*AF265-ERP_i)*AE265*Ramure*Pc/MaxiM</f>
        <v>6.775751454502388E-5</v>
      </c>
      <c r="AE265" s="305">
        <f t="shared" si="92"/>
        <v>0.5</v>
      </c>
      <c r="AF265" s="177">
        <f t="shared" si="93"/>
        <v>0.4854538242258033</v>
      </c>
      <c r="AG265" s="811">
        <f t="shared" si="99"/>
        <v>2</v>
      </c>
      <c r="AH265" s="176">
        <f t="shared" si="94"/>
        <v>8</v>
      </c>
      <c r="AI265" s="225">
        <f t="shared" si="95"/>
        <v>2.4854538242258033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20.560200093033153</v>
      </c>
      <c r="C266" s="841"/>
      <c r="D266" s="393">
        <f t="shared" si="77"/>
        <v>21.963766837124794</v>
      </c>
      <c r="E266" s="385">
        <f t="shared" si="100"/>
        <v>23.049589160421103</v>
      </c>
      <c r="F266" s="385">
        <f t="shared" si="78"/>
        <v>23.049591670461847</v>
      </c>
      <c r="G266" s="110">
        <f t="shared" si="101"/>
        <v>0.44832976690405374</v>
      </c>
      <c r="H266" s="414" t="b">
        <f>Wh_hp&gt;='2025'!Maxi_hp</f>
        <v>0</v>
      </c>
      <c r="I266" s="390">
        <f>IF(H266,Wh_hp,'2025'!Maxi_hp)</f>
        <v>49.204296027158733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6.3903735388377458E-2</v>
      </c>
      <c r="M266" s="845"/>
      <c r="N266" s="845"/>
      <c r="O266" s="48">
        <f>IF(t&lt;Tnet,'2025'!Resal+('2025'!Salim-'2025'!Resal)*(1-EXP(('2025'!Tnet-t)/('2025'!Tau_j))),Resal+(Salim-Resal)*(1-EXP((Tnet-t)/(Tau_j))))*Salcycl</f>
        <v>4.7108098792528377E-2</v>
      </c>
      <c r="P266" s="169">
        <f>(INDEX(Models!$BJ266:$BT266,,T266)*(1-R266)+INDEX(Models!$BJ266:$BT266,,T266+1)*R266-ERP_i)*Q266*Ramure*Pc/MaxiM</f>
        <v>5.1390959840701632E-7</v>
      </c>
      <c r="Q266" s="305">
        <f t="shared" si="80"/>
        <v>0.5</v>
      </c>
      <c r="R266" s="177">
        <f t="shared" si="81"/>
        <v>0.96094215035117947</v>
      </c>
      <c r="S266" s="811">
        <f t="shared" si="82"/>
        <v>-2</v>
      </c>
      <c r="T266" s="176">
        <f t="shared" si="83"/>
        <v>4</v>
      </c>
      <c r="U266" s="251">
        <f t="shared" si="84"/>
        <v>-1.0390578496488205</v>
      </c>
      <c r="V266" s="383">
        <f t="shared" si="85"/>
        <v>45.85952859628118</v>
      </c>
      <c r="W266" s="402">
        <f t="shared" si="86"/>
        <v>20.560200093033153</v>
      </c>
      <c r="X266" s="157">
        <f t="shared" si="87"/>
        <v>46274</v>
      </c>
      <c r="Y266" s="385">
        <f t="shared" si="88"/>
        <v>19.843796177488766</v>
      </c>
      <c r="Z266" s="385">
        <f t="shared" si="89"/>
        <v>21.198456748165498</v>
      </c>
      <c r="AA266" s="386">
        <f t="shared" si="90"/>
        <v>23.049212664040525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8.0295841027248002E-2</v>
      </c>
      <c r="AD266" s="231">
        <f>(INDEX(Models!$BJ266:$BT266,,AH266)*(1-AF266)+INDEX(Models!$BJ266:$BT266,,AH266+1)*AF266-ERP_i)*AE266*Ramure*Pc/MaxiM</f>
        <v>7.7598357010800966E-5</v>
      </c>
      <c r="AE266" s="305">
        <f t="shared" si="92"/>
        <v>0.5</v>
      </c>
      <c r="AF266" s="177">
        <f t="shared" si="93"/>
        <v>0.48592971672515839</v>
      </c>
      <c r="AG266" s="811">
        <f t="shared" si="99"/>
        <v>2</v>
      </c>
      <c r="AH266" s="176">
        <f t="shared" si="94"/>
        <v>8</v>
      </c>
      <c r="AI266" s="225">
        <f t="shared" si="95"/>
        <v>2.4859297167251584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43.435106667490338</v>
      </c>
      <c r="C267" s="841"/>
      <c r="D267" s="393">
        <f t="shared" si="77"/>
        <v>46.40127267964057</v>
      </c>
      <c r="E267" s="385">
        <f t="shared" si="100"/>
        <v>48.698134129065394</v>
      </c>
      <c r="F267" s="385">
        <f t="shared" si="78"/>
        <v>48.698155959991681</v>
      </c>
      <c r="G267" s="110">
        <f t="shared" si="101"/>
        <v>0.95229553878585904</v>
      </c>
      <c r="H267" s="414" t="b">
        <f>Wh_hp&gt;='2025'!Maxi_hp</f>
        <v>0</v>
      </c>
      <c r="I267" s="390">
        <f>IF(H267,Wh_hp,'2025'!Maxi_hp)</f>
        <v>48.698156789072321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6.392423829900018E-2</v>
      </c>
      <c r="M267" s="845"/>
      <c r="N267" s="845"/>
      <c r="O267" s="48">
        <f>IF(t&lt;Tnet,'2025'!Resal+('2025'!Salim-'2025'!Resal)*(1-EXP(('2025'!Tnet-t)/('2025'!Tau_j))),Resal+(Salim-Resal)*(1-EXP((Tnet-t)/(Tau_j))))*Salcycl</f>
        <v>4.7165286524888647E-2</v>
      </c>
      <c r="P267" s="169">
        <f>(INDEX(Models!$BJ267:$BT267,,T267)*(1-R267)+INDEX(Models!$BJ267:$BT267,,T267+1)*R267-ERP_i)*Q267*Ramure*Pc/MaxiM</f>
        <v>4.8107551996348385E-7</v>
      </c>
      <c r="Q267" s="305">
        <f t="shared" si="80"/>
        <v>0.5</v>
      </c>
      <c r="R267" s="177">
        <f t="shared" si="81"/>
        <v>0.96139975435884439</v>
      </c>
      <c r="S267" s="811">
        <f t="shared" si="82"/>
        <v>-2</v>
      </c>
      <c r="T267" s="176">
        <f t="shared" si="83"/>
        <v>4</v>
      </c>
      <c r="U267" s="251">
        <f t="shared" si="84"/>
        <v>-1.0386002456411556</v>
      </c>
      <c r="V267" s="383">
        <f t="shared" si="85"/>
        <v>45.610951090721251</v>
      </c>
      <c r="W267" s="402">
        <f t="shared" si="86"/>
        <v>43.435106667490338</v>
      </c>
      <c r="X267" s="157">
        <f t="shared" si="87"/>
        <v>46275</v>
      </c>
      <c r="Y267" s="385">
        <f t="shared" si="88"/>
        <v>41.920565114149852</v>
      </c>
      <c r="Z267" s="385">
        <f t="shared" si="89"/>
        <v>44.783303691117332</v>
      </c>
      <c r="AA267" s="386">
        <f t="shared" si="90"/>
        <v>48.694112357237948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8.0313789014768072E-2</v>
      </c>
      <c r="AD267" s="231">
        <f>(INDEX(Models!$BJ267:$BT267,,AH267)*(1-AF267)+INDEX(Models!$BJ267:$BT267,,AH267+1)*AF267-ERP_i)*AE267*Ramure*Pc/MaxiM</f>
        <v>8.9106539587215008E-5</v>
      </c>
      <c r="AE267" s="305">
        <f t="shared" si="92"/>
        <v>0.5</v>
      </c>
      <c r="AF267" s="177">
        <f t="shared" si="93"/>
        <v>0.48638732073282309</v>
      </c>
      <c r="AG267" s="811">
        <f t="shared" si="99"/>
        <v>2</v>
      </c>
      <c r="AH267" s="176">
        <f t="shared" si="94"/>
        <v>8</v>
      </c>
      <c r="AI267" s="225">
        <f t="shared" si="95"/>
        <v>2.4863873207328231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43.946649958354726</v>
      </c>
      <c r="C268" s="841"/>
      <c r="D268" s="393">
        <f t="shared" si="77"/>
        <v>46.948777355368875</v>
      </c>
      <c r="E268" s="385">
        <f t="shared" si="100"/>
        <v>49.275676523075141</v>
      </c>
      <c r="F268" s="385">
        <f t="shared" si="78"/>
        <v>49.275699131418286</v>
      </c>
      <c r="G268" s="110">
        <f t="shared" si="101"/>
        <v>0.96888496754763753</v>
      </c>
      <c r="H268" s="414" t="b">
        <f>Wh_hp&gt;='2025'!Maxi_hp</f>
        <v>0</v>
      </c>
      <c r="I268" s="390">
        <f>IF(H268,Wh_hp,'2025'!Maxi_hp)</f>
        <v>49.27569967741627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6.3944740760556562E-2</v>
      </c>
      <c r="M268" s="845"/>
      <c r="N268" s="845"/>
      <c r="O268" s="48">
        <f>IF(t&lt;Tnet,'2025'!Resal+('2025'!Salim-'2025'!Resal)*(1-EXP(('2025'!Tnet-t)/('2025'!Tau_j))),Resal+(Salim-Resal)*(1-EXP((Tnet-t)/(Tau_j))))*Salcycl</f>
        <v>4.7222064350889534E-2</v>
      </c>
      <c r="P268" s="169">
        <f>(INDEX(Models!$BJ268:$BT268,,T268)*(1-R268)+INDEX(Models!$BJ268:$BT268,,T268+1)*R268-ERP_i)*Q268*Ramure*Pc/MaxiM</f>
        <v>4.8015619012222937E-7</v>
      </c>
      <c r="Q268" s="305">
        <f t="shared" si="80"/>
        <v>0.5</v>
      </c>
      <c r="R268" s="177">
        <f t="shared" si="81"/>
        <v>0.96183973965018099</v>
      </c>
      <c r="S268" s="811">
        <f t="shared" si="82"/>
        <v>-2</v>
      </c>
      <c r="T268" s="176">
        <f t="shared" si="83"/>
        <v>4</v>
      </c>
      <c r="U268" s="251">
        <f t="shared" si="84"/>
        <v>-1.038160260349819</v>
      </c>
      <c r="V268" s="383">
        <f t="shared" si="85"/>
        <v>45.357963527535446</v>
      </c>
      <c r="W268" s="402">
        <f t="shared" si="86"/>
        <v>43.946649958354726</v>
      </c>
      <c r="X268" s="157">
        <f t="shared" si="87"/>
        <v>46276</v>
      </c>
      <c r="Y268" s="385">
        <f t="shared" si="88"/>
        <v>42.415308397693877</v>
      </c>
      <c r="Z268" s="385">
        <f t="shared" si="89"/>
        <v>45.312825262214588</v>
      </c>
      <c r="AA268" s="386">
        <f t="shared" si="90"/>
        <v>49.270805525486836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8.0331145818690983E-2</v>
      </c>
      <c r="AD268" s="231">
        <f>(INDEX(Models!$BJ268:$BT268,,AH268)*(1-AF268)+INDEX(Models!$BJ268:$BT268,,AH268+1)*AF268-ERP_i)*AE268*Ramure*Pc/MaxiM</f>
        <v>1.0393044573195984E-4</v>
      </c>
      <c r="AE268" s="305">
        <f t="shared" si="92"/>
        <v>0.5</v>
      </c>
      <c r="AF268" s="177">
        <f t="shared" si="93"/>
        <v>0.48682730602416013</v>
      </c>
      <c r="AG268" s="811">
        <f t="shared" si="99"/>
        <v>2</v>
      </c>
      <c r="AH268" s="176">
        <f t="shared" si="94"/>
        <v>8</v>
      </c>
      <c r="AI268" s="225">
        <f t="shared" si="95"/>
        <v>2.4868273060241601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30.778614316218075</v>
      </c>
      <c r="C269" s="841"/>
      <c r="D269" s="393">
        <f t="shared" si="77"/>
        <v>32.881913923155459</v>
      </c>
      <c r="E269" s="385">
        <f t="shared" si="100"/>
        <v>34.513665436235812</v>
      </c>
      <c r="F269" s="385">
        <f t="shared" si="78"/>
        <v>34.513674757938631</v>
      </c>
      <c r="G269" s="110">
        <f t="shared" si="101"/>
        <v>0.68243810099728652</v>
      </c>
      <c r="H269" s="414" t="b">
        <f>Wh_hp&gt;='2025'!Maxi_hp</f>
        <v>0</v>
      </c>
      <c r="I269" s="390">
        <f>IF(H269,Wh_hp,'2025'!Maxi_hp)</f>
        <v>50.761032411385656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6.3965242773056374E-2</v>
      </c>
      <c r="M269" s="845"/>
      <c r="N269" s="845"/>
      <c r="O269" s="48">
        <f>IF(t&lt;Tnet,'2025'!Resal+('2025'!Salim-'2025'!Resal)*(1-EXP(('2025'!Tnet-t)/('2025'!Tau_j))),Resal+(Salim-Resal)*(1-EXP((Tnet-t)/(Tau_j))))*Salcycl</f>
        <v>4.7278418344033173E-2</v>
      </c>
      <c r="P269" s="169">
        <f>(INDEX(Models!$BJ269:$BT269,,T269)*(1-R269)+INDEX(Models!$BJ269:$BT269,,T269+1)*R269-ERP_i)*Q269*Ramure*Pc/MaxiM</f>
        <v>4.9435708669041143E-7</v>
      </c>
      <c r="Q269" s="305">
        <f t="shared" si="80"/>
        <v>0.5</v>
      </c>
      <c r="R269" s="177">
        <f t="shared" si="81"/>
        <v>0.96226275403176809</v>
      </c>
      <c r="S269" s="811">
        <f t="shared" si="82"/>
        <v>-2</v>
      </c>
      <c r="T269" s="176">
        <f t="shared" si="83"/>
        <v>4</v>
      </c>
      <c r="U269" s="251">
        <f t="shared" si="84"/>
        <v>-1.0377372459682319</v>
      </c>
      <c r="V269" s="383">
        <f t="shared" si="85"/>
        <v>45.100951087757593</v>
      </c>
      <c r="W269" s="402">
        <f t="shared" si="86"/>
        <v>30.778614316218075</v>
      </c>
      <c r="X269" s="157">
        <f t="shared" si="87"/>
        <v>46277</v>
      </c>
      <c r="Y269" s="385">
        <f t="shared" si="88"/>
        <v>29.708307349503073</v>
      </c>
      <c r="Z269" s="385">
        <f t="shared" si="89"/>
        <v>31.738466034654127</v>
      </c>
      <c r="AA269" s="386">
        <f t="shared" si="90"/>
        <v>34.511382798455486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8.0347889274533971E-2</v>
      </c>
      <c r="AD269" s="231">
        <f>(INDEX(Models!$BJ269:$BT269,,AH269)*(1-AF269)+INDEX(Models!$BJ269:$BT269,,AH269+1)*AF269-ERP_i)*AE269*Ramure*Pc/MaxiM</f>
        <v>1.2154929577075485E-4</v>
      </c>
      <c r="AE269" s="305">
        <f t="shared" si="92"/>
        <v>0.5</v>
      </c>
      <c r="AF269" s="177">
        <f t="shared" si="93"/>
        <v>0.48725032040574678</v>
      </c>
      <c r="AG269" s="811">
        <f t="shared" si="99"/>
        <v>2</v>
      </c>
      <c r="AH269" s="176">
        <f t="shared" si="94"/>
        <v>8</v>
      </c>
      <c r="AI269" s="225">
        <f t="shared" si="95"/>
        <v>2.4872503204057468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10.913785466206097</v>
      </c>
      <c r="C270" s="841"/>
      <c r="D270" s="393">
        <f t="shared" si="77"/>
        <v>11.659849623198205</v>
      </c>
      <c r="E270" s="385">
        <f t="shared" si="100"/>
        <v>12.239183209757954</v>
      </c>
      <c r="F270" s="385">
        <f t="shared" si="78"/>
        <v>12.239183209757954</v>
      </c>
      <c r="G270" s="110">
        <f t="shared" si="101"/>
        <v>0.24339222137721803</v>
      </c>
      <c r="H270" s="414" t="b">
        <f>Wh_hp&gt;='2025'!Maxi_hp</f>
        <v>0</v>
      </c>
      <c r="I270" s="390">
        <f>IF(H270,Wh_hp,'2025'!Maxi_hp)</f>
        <v>48.245201516580117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6.3985744336509609E-2</v>
      </c>
      <c r="M270" s="845"/>
      <c r="N270" s="845"/>
      <c r="O270" s="48">
        <f>IF(t&lt;Tnet,'2025'!Resal+('2025'!Salim-'2025'!Resal)*(1-EXP(('2025'!Tnet-t)/('2025'!Tau_j))),Resal+(Salim-Resal)*(1-EXP((Tnet-t)/(Tau_j))))*Salcycl</f>
        <v>4.733433405080998E-2</v>
      </c>
      <c r="P270" s="169">
        <f>(INDEX(Models!$BJ270:$BT270,,T270)*(1-R270)+INDEX(Models!$BJ270:$BT270,,T270+1)*R270-ERP_i)*Q270*Ramure*Pc/MaxiM</f>
        <v>5.2389350465902617E-7</v>
      </c>
      <c r="Q270" s="305">
        <f t="shared" si="80"/>
        <v>0.5</v>
      </c>
      <c r="R270" s="177">
        <f t="shared" si="81"/>
        <v>0.96266942385997822</v>
      </c>
      <c r="S270" s="811">
        <f t="shared" si="82"/>
        <v>-2</v>
      </c>
      <c r="T270" s="176">
        <f t="shared" si="83"/>
        <v>4</v>
      </c>
      <c r="U270" s="251">
        <f t="shared" si="84"/>
        <v>-1.0373305761400218</v>
      </c>
      <c r="V270" s="383">
        <f t="shared" si="85"/>
        <v>44.84029804563972</v>
      </c>
      <c r="W270" s="402">
        <f t="shared" si="86"/>
        <v>10.913785466206097</v>
      </c>
      <c r="X270" s="157">
        <f t="shared" si="87"/>
        <v>46278</v>
      </c>
      <c r="Y270" s="385">
        <f t="shared" si="88"/>
        <v>10.535396004053039</v>
      </c>
      <c r="Z270" s="385">
        <f t="shared" si="89"/>
        <v>11.255593534294048</v>
      </c>
      <c r="AA270" s="386">
        <f t="shared" si="90"/>
        <v>12.239183209757954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8.0363996404573618E-2</v>
      </c>
      <c r="AD270" s="231">
        <f>(INDEX(Models!$BJ270:$BT270,,AH270)*(1-AF270)+INDEX(Models!$BJ270:$BT270,,AH270+1)*AF270-ERP_i)*AE270*Ramure*Pc/MaxiM</f>
        <v>1.420024773424036E-4</v>
      </c>
      <c r="AE270" s="305">
        <f t="shared" si="92"/>
        <v>0.5</v>
      </c>
      <c r="AF270" s="177">
        <f t="shared" si="93"/>
        <v>0.48765699023395692</v>
      </c>
      <c r="AG270" s="811">
        <f t="shared" si="99"/>
        <v>2</v>
      </c>
      <c r="AH270" s="176">
        <f t="shared" si="94"/>
        <v>8</v>
      </c>
      <c r="AI270" s="225">
        <f t="shared" si="95"/>
        <v>2.4876569902339569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36.217589981307924</v>
      </c>
      <c r="C271" s="841"/>
      <c r="D271" s="393">
        <f t="shared" ref="D271:D334" si="102">Wh/(1-Ppv)</f>
        <v>38.694264577391507</v>
      </c>
      <c r="E271" s="385">
        <f t="shared" si="100"/>
        <v>40.619200209297993</v>
      </c>
      <c r="F271" s="385">
        <f t="shared" ref="F271:F334" si="103">Wh_sa/(1-Pvg*MEDIAN((-Sdif+Wh/Env_an)/Csdif,0,1))</f>
        <v>40.619217129866271</v>
      </c>
      <c r="G271" s="110">
        <f t="shared" si="101"/>
        <v>0.81248359587569075</v>
      </c>
      <c r="H271" s="414" t="b">
        <f>Wh_hp&gt;='2025'!Maxi_hp</f>
        <v>0</v>
      </c>
      <c r="I271" s="390">
        <f>IF(H271,Wh_hp,'2025'!Maxi_hp)</f>
        <v>47.954871485084247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6.4006245450925814E-2</v>
      </c>
      <c r="M271" s="845"/>
      <c r="N271" s="845"/>
      <c r="O271" s="48">
        <f>IF(t&lt;Tnet,'2025'!Resal+('2025'!Salim-'2025'!Resal)*(1-EXP(('2025'!Tnet-t)/('2025'!Tau_j))),Resal+(Salim-Resal)*(1-EXP((Tnet-t)/(Tau_j))))*Salcycl</f>
        <v>4.7389796499879309E-2</v>
      </c>
      <c r="P271" s="169">
        <f>(INDEX(Models!$BJ271:$BT271,,T271)*(1-R271)+INDEX(Models!$BJ271:$BT271,,T271+1)*R271-ERP_i)*Q271*Ramure*Pc/MaxiM</f>
        <v>5.6898571424469663E-7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0.96306035456441386</v>
      </c>
      <c r="S271" s="81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-1.0369396454355861</v>
      </c>
      <c r="V271" s="383">
        <f t="shared" ref="V271:V334" si="110">MaxiM*(1-Ppv)*(1-Pvg)*(1-Psa)</f>
        <v>44.576388550935661</v>
      </c>
      <c r="W271" s="402">
        <f t="shared" ref="W271:W334" si="111">Wh*(A271&gt;Tmaj)</f>
        <v>36.217589981307924</v>
      </c>
      <c r="X271" s="157">
        <f t="shared" ref="X271:X334" si="112">t</f>
        <v>46279</v>
      </c>
      <c r="Y271" s="385">
        <f t="shared" ref="Y271:Y334" si="113">Wh_pvt_s*(1-Ppv)</f>
        <v>34.959128670282809</v>
      </c>
      <c r="Z271" s="385">
        <f t="shared" ref="Z271:Z334" si="114">Wh_sa_s*(1-Psa_s)</f>
        <v>37.349745658425654</v>
      </c>
      <c r="AA271" s="386">
        <f t="shared" ref="AA271:AA334" si="115">Wh_hp*(1-Pvg_s*MEDIAN((-Sdif+Wh/Env_an)/Csdif,0,1))</f>
        <v>40.614300530664785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8.0379443437030573E-2</v>
      </c>
      <c r="AD271" s="231">
        <f>(INDEX(Models!$BJ271:$BT271,,AH271)*(1-AF271)+INDEX(Models!$BJ271:$BT271,,AH271+1)*AF271-ERP_i)*AE271*Ramure*Pc/MaxiM</f>
        <v>1.6532983181196417E-4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0.48804792093839255</v>
      </c>
      <c r="AG271" s="81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2.4880479209383926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39.783129780769727</v>
      </c>
      <c r="C272" s="841"/>
      <c r="D272" s="393">
        <f t="shared" si="102"/>
        <v>42.504558346828198</v>
      </c>
      <c r="E272" s="385">
        <f t="shared" si="100"/>
        <v>44.621621833941518</v>
      </c>
      <c r="F272" s="385">
        <f t="shared" si="103"/>
        <v>44.621645837635768</v>
      </c>
      <c r="G272" s="110">
        <f t="shared" si="101"/>
        <v>0.89784426338899759</v>
      </c>
      <c r="H272" s="414" t="b">
        <f>Wh_hp&gt;='2025'!Maxi_hp</f>
        <v>0</v>
      </c>
      <c r="I272" s="390">
        <f>IF(H272,Wh_hp,'2025'!Maxi_hp)</f>
        <v>48.916978336718785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6.4026746116315092E-2</v>
      </c>
      <c r="M272" s="845"/>
      <c r="N272" s="845"/>
      <c r="O272" s="48">
        <f>IF(t&lt;Tnet,'2025'!Resal+('2025'!Salim-'2025'!Resal)*(1-EXP(('2025'!Tnet-t)/('2025'!Tau_j))),Resal+(Salim-Resal)*(1-EXP((Tnet-t)/(Tau_j))))*Salcycl</f>
        <v>4.7444790218336926E-2</v>
      </c>
      <c r="P272" s="169">
        <f>(INDEX(Models!$BJ272:$BT272,,T272)*(1-R272)+INDEX(Models!$BJ272:$BT272,,T272+1)*R272-ERP_i)*Q272*Ramure*Pc/MaxiM</f>
        <v>6.2985765967120292E-7</v>
      </c>
      <c r="Q272" s="305">
        <f t="shared" si="105"/>
        <v>0.5</v>
      </c>
      <c r="R272" s="177">
        <f t="shared" si="106"/>
        <v>0.96343613117431182</v>
      </c>
      <c r="S272" s="811">
        <f t="shared" si="107"/>
        <v>-2</v>
      </c>
      <c r="T272" s="176">
        <f t="shared" si="108"/>
        <v>4</v>
      </c>
      <c r="U272" s="251">
        <f t="shared" si="109"/>
        <v>-1.0365638688256882</v>
      </c>
      <c r="V272" s="383">
        <f t="shared" si="110"/>
        <v>44.309606627951851</v>
      </c>
      <c r="W272" s="402">
        <f t="shared" si="111"/>
        <v>39.783129780769727</v>
      </c>
      <c r="X272" s="157">
        <f t="shared" si="112"/>
        <v>46280</v>
      </c>
      <c r="Y272" s="385">
        <f t="shared" si="113"/>
        <v>38.400745877212238</v>
      </c>
      <c r="Z272" s="385">
        <f t="shared" si="114"/>
        <v>41.02761026329965</v>
      </c>
      <c r="AA272" s="386">
        <f t="shared" si="115"/>
        <v>44.61434510713115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8.0394205837130944E-2</v>
      </c>
      <c r="AD272" s="231">
        <f>(INDEX(Models!$BJ272:$BT272,,AH272)*(1-AF272)+INDEX(Models!$BJ272:$BT272,,AH272+1)*AF272-ERP_i)*AE272*Ramure*Pc/MaxiM</f>
        <v>1.9157138817625077E-4</v>
      </c>
      <c r="AE272" s="305">
        <f t="shared" si="117"/>
        <v>0.5</v>
      </c>
      <c r="AF272" s="177">
        <f t="shared" si="118"/>
        <v>0.48842369754829074</v>
      </c>
      <c r="AG272" s="811">
        <f t="shared" ref="AG272:AG335" si="124">INDEX(Echel_vg,AH272)</f>
        <v>2</v>
      </c>
      <c r="AH272" s="176">
        <f t="shared" si="119"/>
        <v>8</v>
      </c>
      <c r="AI272" s="225">
        <f t="shared" si="120"/>
        <v>2.4884236975482907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26.488229355103172</v>
      </c>
      <c r="C273" s="841"/>
      <c r="D273" s="393">
        <f t="shared" si="102"/>
        <v>28.300818872870686</v>
      </c>
      <c r="E273" s="385">
        <f t="shared" si="100"/>
        <v>29.712123939385968</v>
      </c>
      <c r="F273" s="385">
        <f t="shared" si="103"/>
        <v>29.712132982407237</v>
      </c>
      <c r="G273" s="110">
        <f t="shared" si="101"/>
        <v>0.60145359906893137</v>
      </c>
      <c r="H273" s="414" t="b">
        <f>Wh_hp&gt;='2025'!Maxi_hp</f>
        <v>0</v>
      </c>
      <c r="I273" s="390">
        <f>IF(H273,Wh_hp,'2025'!Maxi_hp)</f>
        <v>46.225866499783969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6.4047246332687213E-2</v>
      </c>
      <c r="M273" s="845"/>
      <c r="N273" s="845"/>
      <c r="O273" s="48">
        <f>IF(t&lt;Tnet,'2025'!Resal+('2025'!Salim-'2025'!Resal)*(1-EXP(('2025'!Tnet-t)/('2025'!Tau_j))),Resal+(Salim-Resal)*(1-EXP((Tnet-t)/(Tau_j))))*Salcycl</f>
        <v>4.7499299255563364E-2</v>
      </c>
      <c r="P273" s="169">
        <f>(INDEX(Models!$BJ273:$BT273,,T273)*(1-R273)+INDEX(Models!$BJ273:$BT273,,T273+1)*R273-ERP_i)*Q273*Ramure*Pc/MaxiM</f>
        <v>7.0673555428084993E-7</v>
      </c>
      <c r="Q273" s="305">
        <f t="shared" si="105"/>
        <v>0.5</v>
      </c>
      <c r="R273" s="177">
        <f t="shared" si="106"/>
        <v>0.96379731884620745</v>
      </c>
      <c r="S273" s="811">
        <f t="shared" si="107"/>
        <v>-2</v>
      </c>
      <c r="T273" s="176">
        <f t="shared" si="108"/>
        <v>4</v>
      </c>
      <c r="U273" s="251">
        <f t="shared" si="109"/>
        <v>-1.0362026811537925</v>
      </c>
      <c r="V273" s="383">
        <f t="shared" si="110"/>
        <v>44.040336175130975</v>
      </c>
      <c r="W273" s="402">
        <f t="shared" si="111"/>
        <v>26.488229355103172</v>
      </c>
      <c r="X273" s="157">
        <f t="shared" si="112"/>
        <v>46281</v>
      </c>
      <c r="Y273" s="385">
        <f t="shared" si="113"/>
        <v>25.570635841214333</v>
      </c>
      <c r="Z273" s="385">
        <f t="shared" si="114"/>
        <v>27.320434435415414</v>
      </c>
      <c r="AA273" s="386">
        <f t="shared" si="115"/>
        <v>29.709308161487883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8.040825835080069E-2</v>
      </c>
      <c r="AD273" s="231">
        <f>(INDEX(Models!$BJ273:$BT273,,AH273)*(1-AF273)+INDEX(Models!$BJ273:$BT273,,AH273+1)*AF273-ERP_i)*AE273*Ramure*Pc/MaxiM</f>
        <v>2.2076707756285251E-4</v>
      </c>
      <c r="AE273" s="305">
        <f t="shared" si="117"/>
        <v>0.5</v>
      </c>
      <c r="AF273" s="177">
        <f t="shared" si="118"/>
        <v>0.48878488522018637</v>
      </c>
      <c r="AG273" s="811">
        <f t="shared" si="124"/>
        <v>2</v>
      </c>
      <c r="AH273" s="176">
        <f t="shared" si="119"/>
        <v>8</v>
      </c>
      <c r="AI273" s="225">
        <f t="shared" si="120"/>
        <v>2.4887848852201864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45.808270817660571</v>
      </c>
      <c r="C274" s="841"/>
      <c r="D274" s="393">
        <f t="shared" si="102"/>
        <v>48.944002759581693</v>
      </c>
      <c r="E274" s="385">
        <f t="shared" si="100"/>
        <v>51.387655740050732</v>
      </c>
      <c r="F274" s="385">
        <f t="shared" si="103"/>
        <v>51.387696842313346</v>
      </c>
      <c r="G274" s="110">
        <f t="shared" si="101"/>
        <v>1.0465926037131028</v>
      </c>
      <c r="H274" s="414" t="b">
        <f>Wh_hp&gt;='2025'!Maxi_hp</f>
        <v>1</v>
      </c>
      <c r="I274" s="390">
        <f>IF(H274,Wh_hp,'2025'!Maxi_hp)</f>
        <v>51.387696842313346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6.4067746100051948E-2</v>
      </c>
      <c r="M274" s="845"/>
      <c r="N274" s="845"/>
      <c r="O274" s="48">
        <f>IF(t&lt;Tnet,'2025'!Resal+('2025'!Salim-'2025'!Resal)*(1-EXP(('2025'!Tnet-t)/('2025'!Tau_j))),Resal+(Salim-Resal)*(1-EXP((Tnet-t)/(Tau_j))))*Salcycl</f>
        <v>4.7553307215072949E-2</v>
      </c>
      <c r="P274" s="169">
        <f>(INDEX(Models!$BJ274:$BT274,,T274)*(1-R274)+INDEX(Models!$BJ274:$BT274,,T274+1)*R274-ERP_i)*Q274*Ramure*Pc/MaxiM</f>
        <v>7.9984636673695901E-7</v>
      </c>
      <c r="Q274" s="305">
        <f t="shared" si="105"/>
        <v>0.5</v>
      </c>
      <c r="R274" s="177">
        <f t="shared" si="106"/>
        <v>0.96414446339130588</v>
      </c>
      <c r="S274" s="811">
        <f t="shared" si="107"/>
        <v>-2</v>
      </c>
      <c r="T274" s="176">
        <f t="shared" si="108"/>
        <v>4</v>
      </c>
      <c r="U274" s="251">
        <f t="shared" si="109"/>
        <v>-1.0358555366086941</v>
      </c>
      <c r="V274" s="383">
        <f t="shared" si="110"/>
        <v>43.768960964507038</v>
      </c>
      <c r="W274" s="402">
        <f t="shared" si="111"/>
        <v>45.808270817660571</v>
      </c>
      <c r="X274" s="157">
        <f t="shared" si="112"/>
        <v>46282</v>
      </c>
      <c r="Y274" s="385">
        <f t="shared" si="113"/>
        <v>44.216307242528572</v>
      </c>
      <c r="Z274" s="385">
        <f t="shared" si="114"/>
        <v>47.243063863098079</v>
      </c>
      <c r="AA274" s="386">
        <f t="shared" si="115"/>
        <v>51.374697994098433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8.0421575061618164E-2</v>
      </c>
      <c r="AD274" s="231">
        <f>(INDEX(Models!$BJ274:$BT274,,AH274)*(1-AF274)+INDEX(Models!$BJ274:$BT274,,AH274+1)*AF274-ERP_i)*AE274*Ramure*Pc/MaxiM</f>
        <v>2.5295642758226444E-4</v>
      </c>
      <c r="AE274" s="305">
        <f t="shared" si="117"/>
        <v>0.5</v>
      </c>
      <c r="AF274" s="177">
        <f t="shared" si="118"/>
        <v>0.48913202976528458</v>
      </c>
      <c r="AG274" s="811">
        <f t="shared" si="124"/>
        <v>2</v>
      </c>
      <c r="AH274" s="176">
        <f t="shared" si="119"/>
        <v>8</v>
      </c>
      <c r="AI274" s="225">
        <f t="shared" si="120"/>
        <v>2.4891320297652846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44.29060687808596</v>
      </c>
      <c r="C275" s="841"/>
      <c r="D275" s="393">
        <f t="shared" si="102"/>
        <v>47.323486067216898</v>
      </c>
      <c r="E275" s="385">
        <f t="shared" si="100"/>
        <v>49.689021228619929</v>
      </c>
      <c r="F275" s="385">
        <f t="shared" si="103"/>
        <v>49.689066419379245</v>
      </c>
      <c r="G275" s="110">
        <f t="shared" si="101"/>
        <v>1.0183329133380272</v>
      </c>
      <c r="H275" s="414" t="b">
        <f>Wh_hp&gt;='2025'!Maxi_hp</f>
        <v>0</v>
      </c>
      <c r="I275" s="390">
        <f>IF(H275,Wh_hp,'2025'!Maxi_hp)</f>
        <v>49.689066419379252</v>
      </c>
      <c r="J275" s="85">
        <f>IF(H275,An,'2025'!An_max)</f>
        <v>2025</v>
      </c>
      <c r="K275" s="197">
        <f t="shared" si="104"/>
        <v>46283</v>
      </c>
      <c r="L275" s="147">
        <f>IF(t&lt;Tvie,1-EXP((T0-t)*PertePVj)+'2025'!Pspv,1-EXP((T0-t)*PertePVj)+Pspv)</f>
        <v>6.4088245418419176E-2</v>
      </c>
      <c r="M275" s="845"/>
      <c r="N275" s="845"/>
      <c r="O275" s="48">
        <f>IF(t&lt;Tnet,'2025'!Resal+('2025'!Salim-'2025'!Resal)*(1-EXP(('2025'!Tnet-t)/('2025'!Tau_j))),Resal+(Salim-Resal)*(1-EXP((Tnet-t)/(Tau_j))))*Salcycl</f>
        <v>4.7606797294701499E-2</v>
      </c>
      <c r="P275" s="169">
        <f>(INDEX(Models!$BJ275:$BT275,,T275)*(1-R275)+INDEX(Models!$BJ275:$BT275,,T275+1)*R275-ERP_i)*Q275*Ramure*Pc/MaxiM</f>
        <v>9.0947088704900572E-7</v>
      </c>
      <c r="Q275" s="305">
        <f t="shared" si="105"/>
        <v>0.5</v>
      </c>
      <c r="R275" s="177">
        <f t="shared" si="106"/>
        <v>0.96447809180116373</v>
      </c>
      <c r="S275" s="811">
        <f t="shared" si="107"/>
        <v>-2</v>
      </c>
      <c r="T275" s="176">
        <f t="shared" si="108"/>
        <v>4</v>
      </c>
      <c r="U275" s="251">
        <f t="shared" si="109"/>
        <v>-1.0355219081988363</v>
      </c>
      <c r="V275" s="383">
        <f t="shared" si="110"/>
        <v>43.493248914939137</v>
      </c>
      <c r="W275" s="402">
        <f t="shared" si="111"/>
        <v>44.29060687808596</v>
      </c>
      <c r="X275" s="157">
        <f t="shared" si="112"/>
        <v>46283</v>
      </c>
      <c r="Y275" s="385">
        <f t="shared" si="113"/>
        <v>42.75170141766224</v>
      </c>
      <c r="Z275" s="385">
        <f t="shared" si="114"/>
        <v>45.679201279799393</v>
      </c>
      <c r="AA275" s="386">
        <f t="shared" si="115"/>
        <v>49.674746250695385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8.0434129461507992E-2</v>
      </c>
      <c r="AD275" s="231">
        <f>(INDEX(Models!$BJ275:$BT275,,AH275)*(1-AF275)+INDEX(Models!$BJ275:$BT275,,AH275+1)*AF275-ERP_i)*AE275*Ramure*Pc/MaxiM</f>
        <v>2.881955672702536E-4</v>
      </c>
      <c r="AE275" s="305">
        <f t="shared" si="117"/>
        <v>0.5</v>
      </c>
      <c r="AF275" s="177">
        <f t="shared" si="118"/>
        <v>0.48946565817514243</v>
      </c>
      <c r="AG275" s="811">
        <f t="shared" si="124"/>
        <v>2</v>
      </c>
      <c r="AH275" s="176">
        <f t="shared" si="119"/>
        <v>8</v>
      </c>
      <c r="AI275" s="225">
        <f t="shared" si="120"/>
        <v>2.4894656581751424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43.150118007093802</v>
      </c>
      <c r="C276" s="841"/>
      <c r="D276" s="393">
        <f t="shared" si="102"/>
        <v>46.105910001538703</v>
      </c>
      <c r="E276" s="385">
        <f t="shared" si="100"/>
        <v>48.4132746826591</v>
      </c>
      <c r="F276" s="385">
        <f t="shared" si="103"/>
        <v>48.41332447041561</v>
      </c>
      <c r="G276" s="110">
        <f t="shared" si="101"/>
        <v>0.99858587396551046</v>
      </c>
      <c r="H276" s="414" t="b">
        <f>Wh_hp&gt;='2025'!Maxi_hp</f>
        <v>0</v>
      </c>
      <c r="I276" s="390">
        <f>IF(H276,Wh_hp,'2025'!Maxi_hp)</f>
        <v>48.413324522624819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6.4108744287798669E-2</v>
      </c>
      <c r="M276" s="845"/>
      <c r="N276" s="845"/>
      <c r="O276" s="48">
        <f>IF(t&lt;Tnet,'2025'!Resal+('2025'!Salim-'2025'!Resal)*(1-EXP(('2025'!Tnet-t)/('2025'!Tau_j))),Resal+(Salim-Resal)*(1-EXP((Tnet-t)/(Tau_j))))*Salcycl</f>
        <v>4.7659752335382902E-2</v>
      </c>
      <c r="P276" s="169">
        <f>(INDEX(Models!$BJ276:$BT276,,T276)*(1-R276)+INDEX(Models!$BJ276:$BT276,,T276+1)*R276-ERP_i)*Q276*Ramure*Pc/MaxiM</f>
        <v>1.0304712751247339E-6</v>
      </c>
      <c r="Q276" s="305">
        <f t="shared" si="105"/>
        <v>0.5</v>
      </c>
      <c r="R276" s="177">
        <f t="shared" si="106"/>
        <v>0.96479871277042517</v>
      </c>
      <c r="S276" s="811">
        <f t="shared" si="107"/>
        <v>-2</v>
      </c>
      <c r="T276" s="176">
        <f t="shared" si="108"/>
        <v>4</v>
      </c>
      <c r="U276" s="251">
        <f t="shared" si="109"/>
        <v>-1.0352012872295748</v>
      </c>
      <c r="V276" s="383">
        <f t="shared" si="110"/>
        <v>43.211224034155478</v>
      </c>
      <c r="W276" s="402">
        <f t="shared" si="111"/>
        <v>43.150118007093802</v>
      </c>
      <c r="X276" s="157">
        <f t="shared" si="112"/>
        <v>46284</v>
      </c>
      <c r="Y276" s="385">
        <f t="shared" si="113"/>
        <v>41.651021110950197</v>
      </c>
      <c r="Z276" s="385">
        <f t="shared" si="114"/>
        <v>44.504124658429788</v>
      </c>
      <c r="AA276" s="386">
        <f t="shared" si="115"/>
        <v>48.397505262563691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8.0445894535508169E-2</v>
      </c>
      <c r="AD276" s="231">
        <f>(INDEX(Models!$BJ276:$BT276,,AH276)*(1-AF276)+INDEX(Models!$BJ276:$BT276,,AH276+1)*AF276-ERP_i)*AE276*Ramure*Pc/MaxiM</f>
        <v>3.2741461812693309E-4</v>
      </c>
      <c r="AE276" s="305">
        <f t="shared" si="117"/>
        <v>0.5</v>
      </c>
      <c r="AF276" s="177">
        <f t="shared" si="118"/>
        <v>0.48978627914440409</v>
      </c>
      <c r="AG276" s="811">
        <f t="shared" si="124"/>
        <v>2</v>
      </c>
      <c r="AH276" s="176">
        <f t="shared" si="119"/>
        <v>8</v>
      </c>
      <c r="AI276" s="225">
        <f t="shared" si="120"/>
        <v>2.4897862791444041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44.452100709178737</v>
      </c>
      <c r="C277" s="841"/>
      <c r="D277" s="393">
        <f t="shared" si="102"/>
        <v>47.498119118299158</v>
      </c>
      <c r="E277" s="385">
        <f t="shared" si="100"/>
        <v>49.877901268652209</v>
      </c>
      <c r="F277" s="385">
        <f t="shared" si="103"/>
        <v>49.877958814911565</v>
      </c>
      <c r="G277" s="110">
        <f t="shared" si="101"/>
        <v>1.0356084951892772</v>
      </c>
      <c r="H277" s="414" t="b">
        <f>Wh_hp&gt;='2025'!Maxi_hp</f>
        <v>1</v>
      </c>
      <c r="I277" s="390">
        <f>IF(H277,Wh_hp,'2025'!Maxi_hp)</f>
        <v>49.877958814911565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6.4129242708200418E-2</v>
      </c>
      <c r="M277" s="845"/>
      <c r="N277" s="845"/>
      <c r="O277" s="48">
        <f>IF(t&lt;Tnet,'2025'!Resal+('2025'!Salim-'2025'!Resal)*(1-EXP(('2025'!Tnet-t)/('2025'!Tau_j))),Resal+(Salim-Resal)*(1-EXP((Tnet-t)/(Tau_j))))*Salcycl</f>
        <v>4.7712154878672121E-2</v>
      </c>
      <c r="P277" s="169">
        <f>(INDEX(Models!$BJ277:$BT277,,T277)*(1-R277)+INDEX(Models!$BJ277:$BT277,,T277+1)*R277-ERP_i)*Q277*Ramure*Pc/MaxiM</f>
        <v>1.1537412660734473E-6</v>
      </c>
      <c r="Q277" s="305">
        <f t="shared" si="105"/>
        <v>0.5</v>
      </c>
      <c r="R277" s="177">
        <f t="shared" si="106"/>
        <v>0.96510681721548397</v>
      </c>
      <c r="S277" s="811">
        <f t="shared" si="107"/>
        <v>-2</v>
      </c>
      <c r="T277" s="176">
        <f t="shared" si="108"/>
        <v>4</v>
      </c>
      <c r="U277" s="251">
        <f t="shared" si="109"/>
        <v>-1.034893182784516</v>
      </c>
      <c r="V277" s="383">
        <f t="shared" si="110"/>
        <v>42.923653982825115</v>
      </c>
      <c r="W277" s="402">
        <f t="shared" si="111"/>
        <v>44.452100709178737</v>
      </c>
      <c r="X277" s="157">
        <f t="shared" si="112"/>
        <v>46285</v>
      </c>
      <c r="Y277" s="385">
        <f t="shared" si="113"/>
        <v>42.907786944568358</v>
      </c>
      <c r="Z277" s="385">
        <f t="shared" si="114"/>
        <v>45.847983399688523</v>
      </c>
      <c r="AA277" s="386">
        <f t="shared" si="115"/>
        <v>49.85952322490855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8.0456842860783015E-2</v>
      </c>
      <c r="AD277" s="231">
        <f>(INDEX(Models!$BJ277:$BT277,,AH277)*(1-AF277)+INDEX(Models!$BJ277:$BT277,,AH277+1)*AF277-ERP_i)*AE277*Ramure*Pc/MaxiM</f>
        <v>3.6961396258061268E-4</v>
      </c>
      <c r="AE277" s="305">
        <f t="shared" si="117"/>
        <v>0.5</v>
      </c>
      <c r="AF277" s="177">
        <f t="shared" si="118"/>
        <v>0.49009438358946289</v>
      </c>
      <c r="AG277" s="811">
        <f t="shared" si="124"/>
        <v>2</v>
      </c>
      <c r="AH277" s="176">
        <f t="shared" si="119"/>
        <v>8</v>
      </c>
      <c r="AI277" s="225">
        <f t="shared" si="120"/>
        <v>2.4900943835894629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43.369844127537561</v>
      </c>
      <c r="C278" s="841"/>
      <c r="D278" s="393">
        <f t="shared" si="102"/>
        <v>46.342717433271481</v>
      </c>
      <c r="E278" s="385">
        <f t="shared" si="100"/>
        <v>48.667259809480171</v>
      </c>
      <c r="F278" s="385">
        <f t="shared" si="103"/>
        <v>48.667322070237319</v>
      </c>
      <c r="G278" s="110">
        <f t="shared" si="101"/>
        <v>1.0173238506975488</v>
      </c>
      <c r="H278" s="414" t="b">
        <f>Wh_hp&gt;='2025'!Maxi_hp</f>
        <v>1</v>
      </c>
      <c r="I278" s="390">
        <f>IF(H278,Wh_hp,'2025'!Maxi_hp)</f>
        <v>48.667322070237319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6.4149740679634082E-2</v>
      </c>
      <c r="M278" s="845"/>
      <c r="N278" s="845"/>
      <c r="O278" s="48">
        <f>IF(t&lt;Tnet,'2025'!Resal+('2025'!Salim-'2025'!Resal)*(1-EXP(('2025'!Tnet-t)/('2025'!Tau_j))),Resal+(Salim-Resal)*(1-EXP((Tnet-t)/(Tau_j))))*Salcycl</f>
        <v>4.7763987233073589E-2</v>
      </c>
      <c r="P278" s="169">
        <f>(INDEX(Models!$BJ278:$BT278,,T278)*(1-R278)+INDEX(Models!$BJ278:$BT278,,T278+1)*R278-ERP_i)*Q278*Ramure*Pc/MaxiM</f>
        <v>1.2793133975128316E-6</v>
      </c>
      <c r="Q278" s="305">
        <f t="shared" si="105"/>
        <v>0.5</v>
      </c>
      <c r="R278" s="177">
        <f t="shared" si="106"/>
        <v>0.96540287878807174</v>
      </c>
      <c r="S278" s="811">
        <f t="shared" si="107"/>
        <v>-2</v>
      </c>
      <c r="T278" s="176">
        <f t="shared" si="108"/>
        <v>4</v>
      </c>
      <c r="U278" s="251">
        <f t="shared" si="109"/>
        <v>-1.0345971212119283</v>
      </c>
      <c r="V278" s="383">
        <f t="shared" si="110"/>
        <v>42.631305751654345</v>
      </c>
      <c r="W278" s="402">
        <f t="shared" si="111"/>
        <v>43.369844127537561</v>
      </c>
      <c r="X278" s="157">
        <f t="shared" si="112"/>
        <v>46286</v>
      </c>
      <c r="Y278" s="385">
        <f t="shared" si="113"/>
        <v>41.86305911299543</v>
      </c>
      <c r="Z278" s="385">
        <f t="shared" si="114"/>
        <v>44.732646805480677</v>
      </c>
      <c r="AA278" s="386">
        <f t="shared" si="115"/>
        <v>48.647133070325985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8.046694671988977E-2</v>
      </c>
      <c r="AD278" s="231">
        <f>(INDEX(Models!$BJ278:$BT278,,AH278)*(1-AF278)+INDEX(Models!$BJ278:$BT278,,AH278+1)*AF278-ERP_i)*AE278*Ramure*Pc/MaxiM</f>
        <v>4.1483687724161688E-4</v>
      </c>
      <c r="AE278" s="305">
        <f t="shared" si="117"/>
        <v>0.5</v>
      </c>
      <c r="AF278" s="177">
        <f t="shared" si="118"/>
        <v>0.49039044516205044</v>
      </c>
      <c r="AG278" s="811">
        <f t="shared" si="124"/>
        <v>2</v>
      </c>
      <c r="AH278" s="176">
        <f t="shared" si="119"/>
        <v>8</v>
      </c>
      <c r="AI278" s="225">
        <f t="shared" si="120"/>
        <v>2.4903904451620504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42.241049046844118</v>
      </c>
      <c r="C279" s="841"/>
      <c r="D279" s="393">
        <f t="shared" si="102"/>
        <v>45.137535448425766</v>
      </c>
      <c r="E279" s="385">
        <f t="shared" si="100"/>
        <v>47.404177155512777</v>
      </c>
      <c r="F279" s="385">
        <f t="shared" si="103"/>
        <v>47.404243651968862</v>
      </c>
      <c r="G279" s="110">
        <f t="shared" si="101"/>
        <v>0.99778204018348049</v>
      </c>
      <c r="H279" s="414" t="b">
        <f>Wh_hp&gt;='2025'!Maxi_hp</f>
        <v>0</v>
      </c>
      <c r="I279" s="390">
        <f>IF(H279,Wh_hp,'2025'!Maxi_hp)</f>
        <v>47.404243761364896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6.4170238202109542E-2</v>
      </c>
      <c r="M279" s="845"/>
      <c r="N279" s="845"/>
      <c r="O279" s="48">
        <f>IF(t&lt;Tnet,'2025'!Resal+('2025'!Salim-'2025'!Resal)*(1-EXP(('2025'!Tnet-t)/('2025'!Tau_j))),Resal+(Salim-Resal)*(1-EXP((Tnet-t)/(Tau_j))))*Salcycl</f>
        <v>4.7815231549134037E-2</v>
      </c>
      <c r="P279" s="169">
        <f>(INDEX(Models!$BJ279:$BT279,,T279)*(1-R279)+INDEX(Models!$BJ279:$BT279,,T279+1)*R279-ERP_i)*Q279*Ramure*Pc/MaxiM</f>
        <v>1.4072119959207249E-6</v>
      </c>
      <c r="Q279" s="305">
        <f t="shared" si="105"/>
        <v>0.5</v>
      </c>
      <c r="R279" s="177">
        <f t="shared" si="106"/>
        <v>0.96568735438288167</v>
      </c>
      <c r="S279" s="811">
        <f t="shared" si="107"/>
        <v>-2</v>
      </c>
      <c r="T279" s="176">
        <f t="shared" si="108"/>
        <v>4</v>
      </c>
      <c r="U279" s="251">
        <f t="shared" si="109"/>
        <v>-1.0343126456171183</v>
      </c>
      <c r="V279" s="383">
        <f t="shared" si="110"/>
        <v>42.33494606771378</v>
      </c>
      <c r="W279" s="402">
        <f t="shared" si="111"/>
        <v>42.241049046844118</v>
      </c>
      <c r="X279" s="157">
        <f t="shared" si="112"/>
        <v>46287</v>
      </c>
      <c r="Y279" s="385">
        <f t="shared" si="113"/>
        <v>40.77336148735278</v>
      </c>
      <c r="Z279" s="385">
        <f t="shared" si="114"/>
        <v>43.56920793908084</v>
      </c>
      <c r="AA279" s="386">
        <f t="shared" si="115"/>
        <v>47.382359116184517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8.0476178228137296E-2</v>
      </c>
      <c r="AD279" s="231">
        <f>(INDEX(Models!$BJ279:$BT279,,AH279)*(1-AF279)+INDEX(Models!$BJ279:$BT279,,AH279+1)*AF279-ERP_i)*AE279*Ramure*Pc/MaxiM</f>
        <v>4.6312515123813573E-4</v>
      </c>
      <c r="AE279" s="305">
        <f t="shared" si="117"/>
        <v>0.5</v>
      </c>
      <c r="AF279" s="177">
        <f t="shared" si="118"/>
        <v>0.49067492075686081</v>
      </c>
      <c r="AG279" s="811">
        <f t="shared" si="124"/>
        <v>2</v>
      </c>
      <c r="AH279" s="176">
        <f t="shared" si="119"/>
        <v>8</v>
      </c>
      <c r="AI279" s="225">
        <f t="shared" si="120"/>
        <v>2.4906749207568608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26.689317505450358</v>
      </c>
      <c r="C280" s="841"/>
      <c r="D280" s="393">
        <f t="shared" si="102"/>
        <v>28.520039832381364</v>
      </c>
      <c r="E280" s="385">
        <f t="shared" si="100"/>
        <v>29.953804753832816</v>
      </c>
      <c r="F280" s="385">
        <f t="shared" si="103"/>
        <v>29.953826788511876</v>
      </c>
      <c r="G280" s="110">
        <f t="shared" si="101"/>
        <v>0.6349251658782068</v>
      </c>
      <c r="H280" s="414" t="b">
        <f>Wh_hp&gt;='2025'!Maxi_hp</f>
        <v>0</v>
      </c>
      <c r="I280" s="390">
        <f>IF(H280,Wh_hp,'2025'!Maxi_hp)</f>
        <v>44.303472000025792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6.4190735275636679E-2</v>
      </c>
      <c r="M280" s="845"/>
      <c r="N280" s="845"/>
      <c r="O280" s="48">
        <f>IF(t&lt;Tnet,'2025'!Resal+('2025'!Salim-'2025'!Resal)*(1-EXP(('2025'!Tnet-t)/('2025'!Tau_j))),Resal+(Salim-Resal)*(1-EXP((Tnet-t)/(Tau_j))))*Salcycl</f>
        <v>4.7865869903154404E-2</v>
      </c>
      <c r="P280" s="169">
        <f>(INDEX(Models!$BJ280:$BT280,,T280)*(1-R280)+INDEX(Models!$BJ280:$BT280,,T280+1)*R280-ERP_i)*Q280*Ramure*Pc/MaxiM</f>
        <v>1.5374606664783298E-6</v>
      </c>
      <c r="Q280" s="305">
        <f t="shared" si="105"/>
        <v>0.5</v>
      </c>
      <c r="R280" s="177">
        <f t="shared" si="106"/>
        <v>0.96596068463844698</v>
      </c>
      <c r="S280" s="811">
        <f t="shared" si="107"/>
        <v>-2</v>
      </c>
      <c r="T280" s="176">
        <f t="shared" si="108"/>
        <v>4</v>
      </c>
      <c r="U280" s="251">
        <f t="shared" si="109"/>
        <v>-1.034039315361553</v>
      </c>
      <c r="V280" s="383">
        <f t="shared" si="110"/>
        <v>42.035341390160283</v>
      </c>
      <c r="W280" s="402">
        <f t="shared" si="111"/>
        <v>26.689317505450358</v>
      </c>
      <c r="X280" s="157">
        <f t="shared" si="112"/>
        <v>46288</v>
      </c>
      <c r="Y280" s="385">
        <f t="shared" si="113"/>
        <v>25.76865651140611</v>
      </c>
      <c r="Z280" s="385">
        <f t="shared" si="114"/>
        <v>27.536227180862657</v>
      </c>
      <c r="AA280" s="386">
        <f t="shared" si="115"/>
        <v>29.946452740161956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8.0484509474702592E-2</v>
      </c>
      <c r="AD280" s="231">
        <f>(INDEX(Models!$BJ280:$BT280,,AH280)*(1-AF280)+INDEX(Models!$BJ280:$BT280,,AH280+1)*AF280-ERP_i)*AE280*Ramure*Pc/MaxiM</f>
        <v>5.1452119005894882E-4</v>
      </c>
      <c r="AE280" s="305">
        <f t="shared" si="117"/>
        <v>0.5</v>
      </c>
      <c r="AF280" s="177">
        <f t="shared" si="118"/>
        <v>0.4909482510124259</v>
      </c>
      <c r="AG280" s="811">
        <f t="shared" si="124"/>
        <v>2</v>
      </c>
      <c r="AH280" s="176">
        <f t="shared" si="119"/>
        <v>8</v>
      </c>
      <c r="AI280" s="225">
        <f t="shared" si="120"/>
        <v>2.4909482510124259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16.731126958753634</v>
      </c>
      <c r="C281" s="841"/>
      <c r="D281" s="393">
        <f t="shared" si="102"/>
        <v>17.879170523416398</v>
      </c>
      <c r="E281" s="385">
        <f t="shared" si="100"/>
        <v>18.778982056588074</v>
      </c>
      <c r="F281" s="385">
        <f t="shared" si="103"/>
        <v>18.778986577516417</v>
      </c>
      <c r="G281" s="110">
        <f t="shared" si="101"/>
        <v>0.40090574956113412</v>
      </c>
      <c r="H281" s="414" t="b">
        <f>Wh_hp&gt;='2025'!Maxi_hp</f>
        <v>0</v>
      </c>
      <c r="I281" s="390">
        <f>IF(H281,Wh_hp,'2025'!Maxi_hp)</f>
        <v>40.249037915880088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6.4211231900225374E-2</v>
      </c>
      <c r="M281" s="845"/>
      <c r="N281" s="845"/>
      <c r="O281" s="48">
        <f>IF(t&lt;Tnet,'2025'!Resal+('2025'!Salim-'2025'!Resal)*(1-EXP(('2025'!Tnet-t)/('2025'!Tau_j))),Resal+(Salim-Resal)*(1-EXP((Tnet-t)/(Tau_j))))*Salcycl</f>
        <v>4.7915884389271253E-2</v>
      </c>
      <c r="P281" s="169">
        <f>(INDEX(Models!$BJ281:$BT281,,T281)*(1-R281)+INDEX(Models!$BJ281:$BT281,,T281+1)*R281-ERP_i)*Q281*Ramure*Pc/MaxiM</f>
        <v>1.6700717620768489E-6</v>
      </c>
      <c r="Q281" s="305">
        <f t="shared" si="105"/>
        <v>0.5</v>
      </c>
      <c r="R281" s="177">
        <f t="shared" si="106"/>
        <v>0.96622329443058308</v>
      </c>
      <c r="S281" s="811">
        <f t="shared" si="107"/>
        <v>-2</v>
      </c>
      <c r="T281" s="176">
        <f t="shared" si="108"/>
        <v>4</v>
      </c>
      <c r="U281" s="251">
        <f t="shared" si="109"/>
        <v>-1.0337767055694169</v>
      </c>
      <c r="V281" s="383">
        <f t="shared" si="110"/>
        <v>41.733257911114833</v>
      </c>
      <c r="W281" s="402">
        <f t="shared" si="111"/>
        <v>16.731126958753634</v>
      </c>
      <c r="X281" s="157">
        <f t="shared" si="112"/>
        <v>46289</v>
      </c>
      <c r="Y281" s="385">
        <f t="shared" si="113"/>
        <v>16.157341553074932</v>
      </c>
      <c r="Z281" s="385">
        <f t="shared" si="114"/>
        <v>17.26601355334094</v>
      </c>
      <c r="AA281" s="386">
        <f t="shared" si="115"/>
        <v>18.777446105567314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8.0491912676998706E-2</v>
      </c>
      <c r="AD281" s="231">
        <f>(INDEX(Models!$BJ281:$BT281,,AH281)*(1-AF281)+INDEX(Models!$BJ281:$BT281,,AH281+1)*AF281-ERP_i)*AE281*Ramure*Pc/MaxiM</f>
        <v>5.6906425115173015E-4</v>
      </c>
      <c r="AE281" s="305">
        <f t="shared" si="117"/>
        <v>0.5</v>
      </c>
      <c r="AF281" s="177">
        <f t="shared" si="118"/>
        <v>0.491210860804562</v>
      </c>
      <c r="AG281" s="811">
        <f t="shared" si="124"/>
        <v>2</v>
      </c>
      <c r="AH281" s="176">
        <f t="shared" si="119"/>
        <v>8</v>
      </c>
      <c r="AI281" s="225">
        <f t="shared" si="120"/>
        <v>2.491210860804562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29.61809702149931</v>
      </c>
      <c r="C282" s="841"/>
      <c r="D282" s="393">
        <f t="shared" si="102"/>
        <v>31.651101998360083</v>
      </c>
      <c r="E282" s="385">
        <f t="shared" si="100"/>
        <v>33.245742593302893</v>
      </c>
      <c r="F282" s="385">
        <f t="shared" si="103"/>
        <v>33.245783218337181</v>
      </c>
      <c r="G282" s="110">
        <f t="shared" si="101"/>
        <v>0.71490380608007209</v>
      </c>
      <c r="H282" s="414" t="b">
        <f>Wh_hp&gt;='2025'!Maxi_hp</f>
        <v>0</v>
      </c>
      <c r="I282" s="390">
        <f>IF(H282,Wh_hp,'2025'!Maxi_hp)</f>
        <v>46.514117854235721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6.4231728075885286E-2</v>
      </c>
      <c r="M282" s="845"/>
      <c r="N282" s="845"/>
      <c r="O282" s="48">
        <f>IF(t&lt;Tnet,'2025'!Resal+('2025'!Salim-'2025'!Resal)*(1-EXP(('2025'!Tnet-t)/('2025'!Tau_j))),Resal+(Salim-Resal)*(1-EXP((Tnet-t)/(Tau_j))))*Salcycl</f>
        <v>4.7965257219552568E-2</v>
      </c>
      <c r="P282" s="169">
        <f>(INDEX(Models!$BJ282:$BT282,,T282)*(1-R282)+INDEX(Models!$BJ282:$BT282,,T282+1)*R282-ERP_i)*Q282*Ramure*Pc/MaxiM</f>
        <v>2.0616130977850185E-6</v>
      </c>
      <c r="Q282" s="305">
        <f t="shared" si="105"/>
        <v>0.5</v>
      </c>
      <c r="R282" s="177">
        <f t="shared" si="106"/>
        <v>0.96647559335780131</v>
      </c>
      <c r="S282" s="811">
        <f t="shared" si="107"/>
        <v>-2</v>
      </c>
      <c r="T282" s="176">
        <f t="shared" si="108"/>
        <v>4</v>
      </c>
      <c r="U282" s="251">
        <f t="shared" si="109"/>
        <v>-1.0335244066421987</v>
      </c>
      <c r="V282" s="383">
        <f t="shared" si="110"/>
        <v>41.429450928450969</v>
      </c>
      <c r="W282" s="402">
        <f t="shared" si="111"/>
        <v>29.61809702149931</v>
      </c>
      <c r="X282" s="157">
        <f t="shared" si="112"/>
        <v>46290</v>
      </c>
      <c r="Y282" s="385">
        <f t="shared" si="113"/>
        <v>28.595442303091449</v>
      </c>
      <c r="Z282" s="385">
        <f t="shared" si="114"/>
        <v>30.558251611046682</v>
      </c>
      <c r="AA282" s="386">
        <f t="shared" si="115"/>
        <v>33.23349333297454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8.049836034761533E-2</v>
      </c>
      <c r="AD282" s="231">
        <f>(INDEX(Models!$BJ282:$BT282,,AH282)*(1-AF282)+INDEX(Models!$BJ282:$BT282,,AH282+1)*AF282-ERP_i)*AE282*Ramure*Pc/MaxiM</f>
        <v>6.2367919385122492E-4</v>
      </c>
      <c r="AE282" s="305">
        <f t="shared" si="117"/>
        <v>0.5</v>
      </c>
      <c r="AF282" s="177">
        <f t="shared" si="118"/>
        <v>0.49146315973178023</v>
      </c>
      <c r="AG282" s="811">
        <f t="shared" si="124"/>
        <v>2</v>
      </c>
      <c r="AH282" s="176">
        <f t="shared" si="119"/>
        <v>8</v>
      </c>
      <c r="AI282" s="225">
        <f t="shared" si="120"/>
        <v>2.4914631597317802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31.942320950210771</v>
      </c>
      <c r="C283" s="841"/>
      <c r="D283" s="393">
        <f t="shared" si="102"/>
        <v>34.135609790082263</v>
      </c>
      <c r="E283" s="385">
        <f t="shared" si="100"/>
        <v>35.857259186779174</v>
      </c>
      <c r="F283" s="385">
        <f t="shared" si="103"/>
        <v>35.857325352170754</v>
      </c>
      <c r="G283" s="110">
        <f t="shared" si="101"/>
        <v>0.77671822223388709</v>
      </c>
      <c r="H283" s="414" t="b">
        <f>Wh_hp&gt;='2025'!Maxi_hp</f>
        <v>0</v>
      </c>
      <c r="I283" s="390">
        <f>IF(H283,Wh_hp,'2025'!Maxi_hp)</f>
        <v>46.475483095151723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6.4252223802626407E-2</v>
      </c>
      <c r="M283" s="845"/>
      <c r="N283" s="845"/>
      <c r="O283" s="48">
        <f>IF(t&lt;Tnet,'2025'!Resal+('2025'!Salim-'2025'!Resal)*(1-EXP(('2025'!Tnet-t)/('2025'!Tau_j))),Resal+(Salim-Resal)*(1-EXP((Tnet-t)/(Tau_j))))*Salcycl</f>
        <v>4.8013970831649481E-2</v>
      </c>
      <c r="P283" s="169">
        <f>(INDEX(Models!$BJ283:$BT283,,T283)*(1-R283)+INDEX(Models!$BJ283:$BT283,,T283+1)*R283-ERP_i)*Q283*Ramure*Pc/MaxiM</f>
        <v>2.7094969775630004E-6</v>
      </c>
      <c r="Q283" s="305">
        <f t="shared" si="105"/>
        <v>0.5</v>
      </c>
      <c r="R283" s="177">
        <f t="shared" si="106"/>
        <v>0.96671797621817923</v>
      </c>
      <c r="S283" s="811">
        <f t="shared" si="107"/>
        <v>-2</v>
      </c>
      <c r="T283" s="176">
        <f t="shared" si="108"/>
        <v>4</v>
      </c>
      <c r="U283" s="251">
        <f t="shared" si="109"/>
        <v>-1.0332820237818208</v>
      </c>
      <c r="V283" s="383">
        <f t="shared" si="110"/>
        <v>41.124686442834395</v>
      </c>
      <c r="W283" s="402">
        <f t="shared" si="111"/>
        <v>31.942320950210771</v>
      </c>
      <c r="X283" s="157">
        <f t="shared" si="112"/>
        <v>46291</v>
      </c>
      <c r="Y283" s="385">
        <f t="shared" si="113"/>
        <v>30.838018242795432</v>
      </c>
      <c r="Z283" s="385">
        <f t="shared" si="114"/>
        <v>32.955481196132588</v>
      </c>
      <c r="AA283" s="386">
        <f t="shared" si="115"/>
        <v>35.8408029408983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8.050382547298475E-2</v>
      </c>
      <c r="AD283" s="231">
        <f>(INDEX(Models!$BJ283:$BT283,,AH283)*(1-AF283)+INDEX(Models!$BJ283:$BT283,,AH283+1)*AF283-ERP_i)*AE283*Ramure*Pc/MaxiM</f>
        <v>6.7659878276299704E-4</v>
      </c>
      <c r="AE283" s="305">
        <f t="shared" si="117"/>
        <v>0.5</v>
      </c>
      <c r="AF283" s="177">
        <f t="shared" si="118"/>
        <v>0.49170554259215837</v>
      </c>
      <c r="AG283" s="811">
        <f t="shared" si="124"/>
        <v>2</v>
      </c>
      <c r="AH283" s="176">
        <f t="shared" si="119"/>
        <v>8</v>
      </c>
      <c r="AI283" s="225">
        <f t="shared" si="120"/>
        <v>2.4917055425921584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14.437884618745684</v>
      </c>
      <c r="C284" s="841"/>
      <c r="D284" s="393">
        <f t="shared" si="102"/>
        <v>15.429586069733416</v>
      </c>
      <c r="E284" s="385">
        <f t="shared" si="100"/>
        <v>16.208604131212379</v>
      </c>
      <c r="F284" s="385">
        <f t="shared" si="103"/>
        <v>16.208608629386731</v>
      </c>
      <c r="G284" s="110">
        <f t="shared" si="101"/>
        <v>0.35369749928255328</v>
      </c>
      <c r="H284" s="414" t="b">
        <f>Wh_hp&gt;='2025'!Maxi_hp</f>
        <v>0</v>
      </c>
      <c r="I284" s="390">
        <f>IF(H284,Wh_hp,'2025'!Maxi_hp)</f>
        <v>45.12039737403196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6.4272719080458507E-2</v>
      </c>
      <c r="M284" s="845"/>
      <c r="N284" s="845"/>
      <c r="O284" s="48">
        <f>IF(t&lt;Tnet,'2025'!Resal+('2025'!Salim-'2025'!Resal)*(1-EXP(('2025'!Tnet-t)/('2025'!Tau_j))),Resal+(Salim-Resal)*(1-EXP((Tnet-t)/(Tau_j))))*Salcycl</f>
        <v>4.8062008003442673E-2</v>
      </c>
      <c r="P284" s="169">
        <f>(INDEX(Models!$BJ284:$BT284,,T284)*(1-R284)+INDEX(Models!$BJ284:$BT284,,T284+1)*R284-ERP_i)*Q284*Ramure*Pc/MaxiM</f>
        <v>3.6176368886319407E-6</v>
      </c>
      <c r="Q284" s="305">
        <f t="shared" si="105"/>
        <v>0.5</v>
      </c>
      <c r="R284" s="177">
        <f t="shared" si="106"/>
        <v>0.96695082347724859</v>
      </c>
      <c r="S284" s="811">
        <f t="shared" si="107"/>
        <v>-2</v>
      </c>
      <c r="T284" s="176">
        <f t="shared" si="108"/>
        <v>4</v>
      </c>
      <c r="U284" s="251">
        <f t="shared" si="109"/>
        <v>-1.0330491765227514</v>
      </c>
      <c r="V284" s="383">
        <f t="shared" si="110"/>
        <v>40.819729921080999</v>
      </c>
      <c r="W284" s="402">
        <f t="shared" si="111"/>
        <v>14.437884618745684</v>
      </c>
      <c r="X284" s="157">
        <f t="shared" si="112"/>
        <v>46292</v>
      </c>
      <c r="Y284" s="385">
        <f t="shared" si="113"/>
        <v>13.945002691225842</v>
      </c>
      <c r="Z284" s="385">
        <f t="shared" si="114"/>
        <v>14.902849340378378</v>
      </c>
      <c r="AA284" s="386">
        <f t="shared" si="115"/>
        <v>16.207703716979903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8.0508281702762211E-2</v>
      </c>
      <c r="AD284" s="231">
        <f>(INDEX(Models!$BJ284:$BT284,,AH284)*(1-AF284)+INDEX(Models!$BJ284:$BT284,,AH284+1)*AF284-ERP_i)*AE284*Ramure*Pc/MaxiM</f>
        <v>7.2777181287279424E-4</v>
      </c>
      <c r="AE284" s="305">
        <f t="shared" si="117"/>
        <v>0.5</v>
      </c>
      <c r="AF284" s="177">
        <f t="shared" si="118"/>
        <v>0.49193838985122751</v>
      </c>
      <c r="AG284" s="811">
        <f t="shared" si="124"/>
        <v>2</v>
      </c>
      <c r="AH284" s="176">
        <f t="shared" si="119"/>
        <v>8</v>
      </c>
      <c r="AI284" s="225">
        <f t="shared" si="120"/>
        <v>2.4919383898512275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16.59024365788833</v>
      </c>
      <c r="C285" s="841"/>
      <c r="D285" s="393">
        <f t="shared" si="102"/>
        <v>17.730173495056626</v>
      </c>
      <c r="E285" s="385">
        <f t="shared" si="100"/>
        <v>18.626271338861585</v>
      </c>
      <c r="F285" s="385">
        <f t="shared" si="103"/>
        <v>18.626285292469248</v>
      </c>
      <c r="G285" s="110">
        <f t="shared" si="101"/>
        <v>0.40947882778987099</v>
      </c>
      <c r="H285" s="414" t="b">
        <f>Wh_hp&gt;='2025'!Maxi_hp</f>
        <v>0</v>
      </c>
      <c r="I285" s="390">
        <f>IF(H285,Wh_hp,'2025'!Maxi_hp)</f>
        <v>42.169880552957594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6.4293213909391356E-2</v>
      </c>
      <c r="M285" s="845"/>
      <c r="N285" s="845"/>
      <c r="O285" s="48">
        <f>IF(t&lt;Tnet,'2025'!Resal+('2025'!Salim-'2025'!Resal)*(1-EXP(('2025'!Tnet-t)/('2025'!Tau_j))),Resal+(Salim-Resal)*(1-EXP((Tnet-t)/(Tau_j))))*Salcycl</f>
        <v>4.8109351974023593E-2</v>
      </c>
      <c r="P285" s="169">
        <f>(INDEX(Models!$BJ285:$BT285,,T285)*(1-R285)+INDEX(Models!$BJ285:$BT285,,T285+1)*R285-ERP_i)*Q285*Ramure*Pc/MaxiM</f>
        <v>4.7898464879579689E-6</v>
      </c>
      <c r="Q285" s="305">
        <f t="shared" si="105"/>
        <v>0.5</v>
      </c>
      <c r="R285" s="177">
        <f t="shared" si="106"/>
        <v>0.96717450172653519</v>
      </c>
      <c r="S285" s="811">
        <f t="shared" si="107"/>
        <v>-2</v>
      </c>
      <c r="T285" s="176">
        <f t="shared" si="108"/>
        <v>4</v>
      </c>
      <c r="U285" s="251">
        <f t="shared" si="109"/>
        <v>-1.0328254982734648</v>
      </c>
      <c r="V285" s="383">
        <f t="shared" si="110"/>
        <v>40.515346571149848</v>
      </c>
      <c r="W285" s="402">
        <f t="shared" si="111"/>
        <v>16.59024365788833</v>
      </c>
      <c r="X285" s="157">
        <f t="shared" si="112"/>
        <v>46293</v>
      </c>
      <c r="Y285" s="385">
        <f t="shared" si="113"/>
        <v>16.023576043270676</v>
      </c>
      <c r="Z285" s="385">
        <f t="shared" si="114"/>
        <v>17.124569663769694</v>
      </c>
      <c r="AA285" s="386">
        <f t="shared" si="115"/>
        <v>18.624021349550304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8.0511703548751395E-2</v>
      </c>
      <c r="AD285" s="231">
        <f>(INDEX(Models!$BJ285:$BT285,,AH285)*(1-AF285)+INDEX(Models!$BJ285:$BT285,,AH285+1)*AF285-ERP_i)*AE285*Ramure*Pc/MaxiM</f>
        <v>7.7714232060441127E-4</v>
      </c>
      <c r="AE285" s="305">
        <f t="shared" si="117"/>
        <v>0.5</v>
      </c>
      <c r="AF285" s="177">
        <f t="shared" si="118"/>
        <v>0.49216206810051411</v>
      </c>
      <c r="AG285" s="811">
        <f t="shared" si="124"/>
        <v>2</v>
      </c>
      <c r="AH285" s="176">
        <f t="shared" si="119"/>
        <v>8</v>
      </c>
      <c r="AI285" s="225">
        <f t="shared" si="120"/>
        <v>2.4921620681005141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22.753918710770705</v>
      </c>
      <c r="C286" s="841"/>
      <c r="D286" s="393">
        <f t="shared" si="102"/>
        <v>24.317892559025704</v>
      </c>
      <c r="E286" s="385">
        <f t="shared" si="100"/>
        <v>25.548190896743638</v>
      </c>
      <c r="F286" s="385">
        <f t="shared" si="103"/>
        <v>25.548251342203699</v>
      </c>
      <c r="G286" s="110">
        <f t="shared" si="101"/>
        <v>0.56584254152038838</v>
      </c>
      <c r="H286" s="414" t="b">
        <f>Wh_hp&gt;='2025'!Maxi_hp</f>
        <v>0</v>
      </c>
      <c r="I286" s="390">
        <f>IF(H286,Wh_hp,'2025'!Maxi_hp)</f>
        <v>44.457549596928516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6.4313708289434945E-2</v>
      </c>
      <c r="M286" s="845"/>
      <c r="N286" s="845"/>
      <c r="O286" s="48">
        <f>IF(t&lt;Tnet,'2025'!Resal+('2025'!Salim-'2025'!Resal)*(1-EXP(('2025'!Tnet-t)/('2025'!Tau_j))),Resal+(Salim-Resal)*(1-EXP((Tnet-t)/(Tau_j))))*Salcycl</f>
        <v>4.8155986570256396E-2</v>
      </c>
      <c r="P286" s="169">
        <f>(INDEX(Models!$BJ286:$BT286,,T286)*(1-R286)+INDEX(Models!$BJ286:$BT286,,T286+1)*R286-ERP_i)*Q286*Ramure*Pc/MaxiM</f>
        <v>6.2297769194875944E-6</v>
      </c>
      <c r="Q286" s="305">
        <f t="shared" si="105"/>
        <v>0.5</v>
      </c>
      <c r="R286" s="177">
        <f t="shared" si="106"/>
        <v>0.96738936413244536</v>
      </c>
      <c r="S286" s="811">
        <f t="shared" si="107"/>
        <v>-2</v>
      </c>
      <c r="T286" s="176">
        <f t="shared" si="108"/>
        <v>4</v>
      </c>
      <c r="U286" s="251">
        <f t="shared" si="109"/>
        <v>-1.0326106358675546</v>
      </c>
      <c r="V286" s="383">
        <f t="shared" si="110"/>
        <v>40.212301344190287</v>
      </c>
      <c r="W286" s="402">
        <f t="shared" si="111"/>
        <v>22.753918710770705</v>
      </c>
      <c r="X286" s="157">
        <f t="shared" si="112"/>
        <v>46294</v>
      </c>
      <c r="Y286" s="385">
        <f t="shared" si="113"/>
        <v>21.973563910014516</v>
      </c>
      <c r="Z286" s="385">
        <f t="shared" si="114"/>
        <v>23.483900645636023</v>
      </c>
      <c r="AA286" s="386">
        <f t="shared" si="115"/>
        <v>25.540250037971038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8.051406659205812E-2</v>
      </c>
      <c r="AD286" s="231">
        <f>(INDEX(Models!$BJ286:$BT286,,AH286)*(1-AF286)+INDEX(Models!$BJ286:$BT286,,AH286+1)*AF286-ERP_i)*AE286*Ramure*Pc/MaxiM</f>
        <v>8.2464986427707699E-4</v>
      </c>
      <c r="AE286" s="305">
        <f t="shared" si="117"/>
        <v>0.5</v>
      </c>
      <c r="AF286" s="177">
        <f t="shared" si="118"/>
        <v>0.4923769305064245</v>
      </c>
      <c r="AG286" s="811">
        <f t="shared" si="124"/>
        <v>2</v>
      </c>
      <c r="AH286" s="176">
        <f t="shared" si="119"/>
        <v>8</v>
      </c>
      <c r="AI286" s="225">
        <f t="shared" si="120"/>
        <v>2.4923769305064245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27.805562966357094</v>
      </c>
      <c r="C287" s="841"/>
      <c r="D287" s="393">
        <f t="shared" si="102"/>
        <v>29.717408750375977</v>
      </c>
      <c r="E287" s="385">
        <f t="shared" si="100"/>
        <v>31.222387012583852</v>
      </c>
      <c r="F287" s="385">
        <f t="shared" si="103"/>
        <v>31.22252751395424</v>
      </c>
      <c r="G287" s="110">
        <f t="shared" si="101"/>
        <v>0.69668054490055509</v>
      </c>
      <c r="H287" s="414" t="b">
        <f>Wh_hp&gt;='2025'!Maxi_hp</f>
        <v>0</v>
      </c>
      <c r="I287" s="390">
        <f>IF(H287,Wh_hp,'2025'!Maxi_hp)</f>
        <v>41.406216750872005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6.4334202220598935E-2</v>
      </c>
      <c r="M287" s="845"/>
      <c r="N287" s="845"/>
      <c r="O287" s="48">
        <f>IF(t&lt;Tnet,'2025'!Resal+('2025'!Salim-'2025'!Resal)*(1-EXP(('2025'!Tnet-t)/('2025'!Tau_j))),Resal+(Salim-Resal)*(1-EXP((Tnet-t)/(Tau_j))))*Salcycl</f>
        <v>4.8201896338076623E-2</v>
      </c>
      <c r="P287" s="169">
        <f>(INDEX(Models!$BJ287:$BT287,,T287)*(1-R287)+INDEX(Models!$BJ287:$BT287,,T287+1)*R287-ERP_i)*Q287*Ramure*Pc/MaxiM</f>
        <v>7.9408504602243171E-6</v>
      </c>
      <c r="Q287" s="305">
        <f t="shared" si="105"/>
        <v>0.5</v>
      </c>
      <c r="R287" s="177">
        <f t="shared" si="106"/>
        <v>0.9675957508752544</v>
      </c>
      <c r="S287" s="811">
        <f t="shared" si="107"/>
        <v>-2</v>
      </c>
      <c r="T287" s="176">
        <f t="shared" si="108"/>
        <v>4</v>
      </c>
      <c r="U287" s="251">
        <f t="shared" si="109"/>
        <v>-1.0324042491247456</v>
      </c>
      <c r="V287" s="383">
        <f t="shared" si="110"/>
        <v>39.911358935835302</v>
      </c>
      <c r="W287" s="402">
        <f t="shared" si="111"/>
        <v>27.805562966357094</v>
      </c>
      <c r="X287" s="157">
        <f t="shared" si="112"/>
        <v>46295</v>
      </c>
      <c r="Y287" s="385">
        <f t="shared" si="113"/>
        <v>26.848440880771033</v>
      </c>
      <c r="Z287" s="385">
        <f t="shared" si="114"/>
        <v>28.694477178165492</v>
      </c>
      <c r="AA287" s="386">
        <f t="shared" si="115"/>
        <v>31.207130109562954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8.0515347697015488E-2</v>
      </c>
      <c r="AD287" s="231">
        <f>(INDEX(Models!$BJ287:$BT287,,AH287)*(1-AF287)+INDEX(Models!$BJ287:$BT287,,AH287+1)*AF287-ERP_i)*AE287*Ramure*Pc/MaxiM</f>
        <v>8.7022984478067513E-4</v>
      </c>
      <c r="AE287" s="305">
        <f t="shared" si="117"/>
        <v>0.5</v>
      </c>
      <c r="AF287" s="177">
        <f t="shared" si="118"/>
        <v>0.49258331724923332</v>
      </c>
      <c r="AG287" s="811">
        <f t="shared" si="124"/>
        <v>2</v>
      </c>
      <c r="AH287" s="176">
        <f t="shared" si="119"/>
        <v>8</v>
      </c>
      <c r="AI287" s="225">
        <f t="shared" si="120"/>
        <v>2.4925833172492333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33.347337383274009</v>
      </c>
      <c r="C288" s="841"/>
      <c r="D288" s="393">
        <f t="shared" si="102"/>
        <v>35.641003305548388</v>
      </c>
      <c r="E288" s="385">
        <f t="shared" si="100"/>
        <v>37.447747264757041</v>
      </c>
      <c r="F288" s="385">
        <f t="shared" si="103"/>
        <v>37.448034984929627</v>
      </c>
      <c r="G288" s="110">
        <f t="shared" si="101"/>
        <v>0.84182020260787838</v>
      </c>
      <c r="H288" s="414" t="b">
        <f>Wh_hp&gt;='2025'!Maxi_hp</f>
        <v>0</v>
      </c>
      <c r="I288" s="390">
        <f>IF(H288,Wh_hp,'2025'!Maxi_hp)</f>
        <v>43.530133856028712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6.4354695702893316E-2</v>
      </c>
      <c r="M288" s="845"/>
      <c r="N288" s="845"/>
      <c r="O288" s="48">
        <f>IF(t&lt;Tnet,'2025'!Resal+('2025'!Salim-'2025'!Resal)*(1-EXP(('2025'!Tnet-t)/('2025'!Tau_j))),Resal+(Salim-Resal)*(1-EXP((Tnet-t)/(Tau_j))))*Salcycl</f>
        <v>4.8247066677600314E-2</v>
      </c>
      <c r="P288" s="169">
        <f>(INDEX(Models!$BJ288:$BT288,,T288)*(1-R288)+INDEX(Models!$BJ288:$BT288,,T288+1)*R288-ERP_i)*Q288*Ramure*Pc/MaxiM</f>
        <v>9.9261906071386096E-6</v>
      </c>
      <c r="Q288" s="305">
        <f t="shared" si="105"/>
        <v>0.5</v>
      </c>
      <c r="R288" s="177">
        <f t="shared" si="106"/>
        <v>0.96779398957800256</v>
      </c>
      <c r="S288" s="811">
        <f t="shared" si="107"/>
        <v>-2</v>
      </c>
      <c r="T288" s="176">
        <f t="shared" si="108"/>
        <v>4</v>
      </c>
      <c r="U288" s="251">
        <f t="shared" si="109"/>
        <v>-1.0322060104219974</v>
      </c>
      <c r="V288" s="383">
        <f t="shared" si="110"/>
        <v>39.613283788059192</v>
      </c>
      <c r="W288" s="402">
        <f t="shared" si="111"/>
        <v>33.347337383274009</v>
      </c>
      <c r="X288" s="157">
        <f t="shared" si="112"/>
        <v>46296</v>
      </c>
      <c r="Y288" s="385">
        <f t="shared" si="113"/>
        <v>32.194181097096447</v>
      </c>
      <c r="Z288" s="385">
        <f t="shared" si="114"/>
        <v>34.408531683148851</v>
      </c>
      <c r="AA288" s="386">
        <f t="shared" si="115"/>
        <v>37.421547211840569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8.0515525230297494E-2</v>
      </c>
      <c r="AD288" s="231">
        <f>(INDEX(Models!$BJ288:$BT288,,AH288)*(1-AF288)+INDEX(Models!$BJ288:$BT288,,AH288+1)*AF288-ERP_i)*AE288*Ramure*Pc/MaxiM</f>
        <v>9.1381387018391849E-4</v>
      </c>
      <c r="AE288" s="305">
        <f t="shared" si="117"/>
        <v>0.5</v>
      </c>
      <c r="AF288" s="177">
        <f t="shared" si="118"/>
        <v>0.4927815559519817</v>
      </c>
      <c r="AG288" s="811">
        <f t="shared" si="124"/>
        <v>2</v>
      </c>
      <c r="AH288" s="176">
        <f t="shared" si="119"/>
        <v>8</v>
      </c>
      <c r="AI288" s="225">
        <f t="shared" si="120"/>
        <v>2.4927815559519817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37.173734665284911</v>
      </c>
      <c r="C289" s="841"/>
      <c r="D289" s="393">
        <f t="shared" si="102"/>
        <v>39.731454550758841</v>
      </c>
      <c r="E289" s="385">
        <f t="shared" si="100"/>
        <v>41.747503444602337</v>
      </c>
      <c r="F289" s="385">
        <f t="shared" si="103"/>
        <v>41.747972689452396</v>
      </c>
      <c r="G289" s="110">
        <f t="shared" si="101"/>
        <v>0.9454883982411586</v>
      </c>
      <c r="H289" s="414" t="b">
        <f>Wh_hp&gt;='2025'!Maxi_hp</f>
        <v>0</v>
      </c>
      <c r="I289" s="390">
        <f>IF(H289,Wh_hp,'2025'!Maxi_hp)</f>
        <v>44.550821163435508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6.4375188736327749E-2</v>
      </c>
      <c r="M289" s="845"/>
      <c r="N289" s="845"/>
      <c r="O289" s="48">
        <f>IF(t&lt;Tnet,'2025'!Resal+('2025'!Salim-'2025'!Resal)*(1-EXP(('2025'!Tnet-t)/('2025'!Tau_j))),Resal+(Salim-Resal)*(1-EXP((Tnet-t)/(Tau_j))))*Salcycl</f>
        <v>4.82914839810418E-2</v>
      </c>
      <c r="P289" s="169">
        <f>(INDEX(Models!$BJ289:$BT289,,T289)*(1-R289)+INDEX(Models!$BJ289:$BT289,,T289+1)*R289-ERP_i)*Q289*Ramure*Pc/MaxiM</f>
        <v>1.2189141526937518E-5</v>
      </c>
      <c r="Q289" s="305">
        <f t="shared" si="105"/>
        <v>0.5</v>
      </c>
      <c r="R289" s="177">
        <f t="shared" si="106"/>
        <v>0.96798439572515904</v>
      </c>
      <c r="S289" s="811">
        <f t="shared" si="107"/>
        <v>-2</v>
      </c>
      <c r="T289" s="176">
        <f t="shared" si="108"/>
        <v>4</v>
      </c>
      <c r="U289" s="251">
        <f t="shared" si="109"/>
        <v>-1.032015604274841</v>
      </c>
      <c r="V289" s="383">
        <f t="shared" si="110"/>
        <v>39.316928106998667</v>
      </c>
      <c r="W289" s="402">
        <f t="shared" si="111"/>
        <v>37.173734665284911</v>
      </c>
      <c r="X289" s="157">
        <f t="shared" si="112"/>
        <v>46297</v>
      </c>
      <c r="Y289" s="385">
        <f t="shared" si="113"/>
        <v>35.883863440634876</v>
      </c>
      <c r="Z289" s="385">
        <f t="shared" si="114"/>
        <v>38.352834393275081</v>
      </c>
      <c r="AA289" s="386">
        <f t="shared" si="115"/>
        <v>41.711193597164382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8.0514579283523721E-2</v>
      </c>
      <c r="AD289" s="231">
        <f>(INDEX(Models!$BJ289:$BT289,,AH289)*(1-AF289)+INDEX(Models!$BJ289:$BT289,,AH289+1)*AF289-ERP_i)*AE289*Ramure*Pc/MaxiM</f>
        <v>9.5537662495170689E-4</v>
      </c>
      <c r="AE289" s="305">
        <f t="shared" si="117"/>
        <v>0.5</v>
      </c>
      <c r="AF289" s="177">
        <f t="shared" si="118"/>
        <v>0.49297196209913796</v>
      </c>
      <c r="AG289" s="811">
        <f t="shared" si="124"/>
        <v>2</v>
      </c>
      <c r="AH289" s="176">
        <f t="shared" si="119"/>
        <v>8</v>
      </c>
      <c r="AI289" s="225">
        <f t="shared" si="120"/>
        <v>2.492971962099138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33.812124902290513</v>
      </c>
      <c r="C290" s="841"/>
      <c r="D290" s="393">
        <f t="shared" si="102"/>
        <v>36.139342484040064</v>
      </c>
      <c r="E290" s="385">
        <f t="shared" si="100"/>
        <v>37.974862624954362</v>
      </c>
      <c r="F290" s="385">
        <f t="shared" si="103"/>
        <v>37.975320934507884</v>
      </c>
      <c r="G290" s="110">
        <f t="shared" si="101"/>
        <v>0.86651678530305021</v>
      </c>
      <c r="H290" s="414" t="b">
        <f>Wh_hp&gt;='2025'!Maxi_hp</f>
        <v>0</v>
      </c>
      <c r="I290" s="390">
        <f>IF(H290,Wh_hp,'2025'!Maxi_hp)</f>
        <v>42.516161138689995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6.4395681320912224E-2</v>
      </c>
      <c r="M290" s="845"/>
      <c r="N290" s="845"/>
      <c r="O290" s="48">
        <f>IF(t&lt;Tnet,'2025'!Resal+('2025'!Salim-'2025'!Resal)*(1-EXP(('2025'!Tnet-t)/('2025'!Tau_j))),Resal+(Salim-Resal)*(1-EXP((Tnet-t)/(Tau_j))))*Salcycl</f>
        <v>4.8335135772370731E-2</v>
      </c>
      <c r="P290" s="169">
        <f>(INDEX(Models!$BJ290:$BT290,,T290)*(1-R290)+INDEX(Models!$BJ290:$BT290,,T290+1)*R290-ERP_i)*Q290*Ramure*Pc/MaxiM</f>
        <v>1.4912169327215383E-5</v>
      </c>
      <c r="Q290" s="305">
        <f t="shared" si="105"/>
        <v>0.5</v>
      </c>
      <c r="R290" s="177">
        <f t="shared" si="106"/>
        <v>0.96816727307094719</v>
      </c>
      <c r="S290" s="811">
        <f t="shared" si="107"/>
        <v>-2</v>
      </c>
      <c r="T290" s="176">
        <f t="shared" si="108"/>
        <v>4</v>
      </c>
      <c r="U290" s="251">
        <f t="shared" si="109"/>
        <v>-1.0318327269290528</v>
      </c>
      <c r="V290" s="383">
        <f t="shared" si="110"/>
        <v>39.02062756085413</v>
      </c>
      <c r="W290" s="402">
        <f t="shared" si="111"/>
        <v>33.812124902290513</v>
      </c>
      <c r="X290" s="157">
        <f t="shared" si="112"/>
        <v>46298</v>
      </c>
      <c r="Y290" s="385">
        <f t="shared" si="113"/>
        <v>32.643076472770957</v>
      </c>
      <c r="Z290" s="385">
        <f t="shared" si="114"/>
        <v>34.88983090507466</v>
      </c>
      <c r="AA290" s="386">
        <f t="shared" si="115"/>
        <v>37.944866675869577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8.0512491897559296E-2</v>
      </c>
      <c r="AD290" s="231">
        <f>(INDEX(Models!$BJ290:$BT290,,AH290)*(1-AF290)+INDEX(Models!$BJ290:$BT290,,AH290+1)*AF290-ERP_i)*AE290*Ramure*Pc/MaxiM</f>
        <v>9.9090027265658835E-4</v>
      </c>
      <c r="AE290" s="305">
        <f t="shared" si="117"/>
        <v>0.5</v>
      </c>
      <c r="AF290" s="177">
        <f t="shared" si="118"/>
        <v>0.49315483944492611</v>
      </c>
      <c r="AG290" s="811">
        <f t="shared" si="124"/>
        <v>2</v>
      </c>
      <c r="AH290" s="176">
        <f t="shared" si="119"/>
        <v>8</v>
      </c>
      <c r="AI290" s="225">
        <f t="shared" si="120"/>
        <v>2.4931548394449261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38.047054128201069</v>
      </c>
      <c r="C291" s="841"/>
      <c r="D291" s="393">
        <f t="shared" si="102"/>
        <v>40.66664370286486</v>
      </c>
      <c r="E291" s="385">
        <f t="shared" si="100"/>
        <v>42.734031124149865</v>
      </c>
      <c r="F291" s="385">
        <f t="shared" si="103"/>
        <v>42.734785577467697</v>
      </c>
      <c r="G291" s="110">
        <f t="shared" si="101"/>
        <v>0.98250856668965425</v>
      </c>
      <c r="H291" s="414" t="b">
        <f>Wh_hp&gt;='2025'!Maxi_hp</f>
        <v>0</v>
      </c>
      <c r="I291" s="390">
        <f>IF(H291,Wh_hp,'2025'!Maxi_hp)</f>
        <v>42.734795539794867</v>
      </c>
      <c r="J291" s="85">
        <f>IF(H291,An,'2025'!An_max)</f>
        <v>2025</v>
      </c>
      <c r="K291" s="197">
        <f t="shared" si="104"/>
        <v>46299</v>
      </c>
      <c r="L291" s="147">
        <f>IF(t&lt;Tvie,1-EXP((T0-t)*PertePVj)+'2025'!Pspv,1-EXP((T0-t)*PertePVj)+Pspv)</f>
        <v>6.4416173456656511E-2</v>
      </c>
      <c r="M291" s="845"/>
      <c r="N291" s="845"/>
      <c r="O291" s="48">
        <f>IF(t&lt;Tnet,'2025'!Resal+('2025'!Salim-'2025'!Resal)*(1-EXP(('2025'!Tnet-t)/('2025'!Tau_j))),Resal+(Salim-Resal)*(1-EXP((Tnet-t)/(Tau_j))))*Salcycl</f>
        <v>4.8378010847581435E-2</v>
      </c>
      <c r="P291" s="169">
        <f>(INDEX(Models!$BJ291:$BT291,,T291)*(1-R291)+INDEX(Models!$BJ291:$BT291,,T291+1)*R291-ERP_i)*Q291*Ramure*Pc/MaxiM</f>
        <v>1.8106749518420916E-5</v>
      </c>
      <c r="Q291" s="305">
        <f t="shared" si="105"/>
        <v>0.5</v>
      </c>
      <c r="R291" s="177">
        <f t="shared" si="106"/>
        <v>0.96834291403727768</v>
      </c>
      <c r="S291" s="811">
        <f t="shared" si="107"/>
        <v>-2</v>
      </c>
      <c r="T291" s="176">
        <f t="shared" si="108"/>
        <v>4</v>
      </c>
      <c r="U291" s="251">
        <f t="shared" si="109"/>
        <v>-1.0316570859627223</v>
      </c>
      <c r="V291" s="383">
        <f t="shared" si="110"/>
        <v>38.724381856785968</v>
      </c>
      <c r="W291" s="402">
        <f t="shared" si="111"/>
        <v>38.047054128201069</v>
      </c>
      <c r="X291" s="157">
        <f t="shared" si="112"/>
        <v>46299</v>
      </c>
      <c r="Y291" s="385">
        <f t="shared" si="113"/>
        <v>36.726517046140465</v>
      </c>
      <c r="Z291" s="385">
        <f t="shared" si="114"/>
        <v>39.255185910846876</v>
      </c>
      <c r="AA291" s="386">
        <f t="shared" si="115"/>
        <v>42.692311798685147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8.0509247286630489E-2</v>
      </c>
      <c r="AD291" s="231">
        <f>(INDEX(Models!$BJ291:$BT291,,AH291)*(1-AF291)+INDEX(Models!$BJ291:$BT291,,AH291+1)*AF291-ERP_i)*AE291*Ramure*Pc/MaxiM</f>
        <v>1.0193633659566165E-3</v>
      </c>
      <c r="AE291" s="305">
        <f t="shared" si="117"/>
        <v>0.5</v>
      </c>
      <c r="AF291" s="177">
        <f t="shared" si="118"/>
        <v>0.49333048041125638</v>
      </c>
      <c r="AG291" s="811">
        <f t="shared" si="124"/>
        <v>2</v>
      </c>
      <c r="AH291" s="176">
        <f t="shared" si="119"/>
        <v>8</v>
      </c>
      <c r="AI291" s="225">
        <f t="shared" si="120"/>
        <v>2.4933304804112564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39.24219604376006</v>
      </c>
      <c r="C292" s="841"/>
      <c r="D292" s="393">
        <f t="shared" si="102"/>
        <v>41.944991409675239</v>
      </c>
      <c r="E292" s="385">
        <f t="shared" si="100"/>
        <v>44.079316286380553</v>
      </c>
      <c r="F292" s="385">
        <f t="shared" si="103"/>
        <v>44.080276283019209</v>
      </c>
      <c r="G292" s="110">
        <f t="shared" si="101"/>
        <v>1.0211825004158248</v>
      </c>
      <c r="H292" s="414" t="b">
        <f>Wh_hp&gt;='2025'!Maxi_hp</f>
        <v>1</v>
      </c>
      <c r="I292" s="390">
        <f>IF(H292,Wh_hp,'2025'!Maxi_hp)</f>
        <v>44.080276283019209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6.4436665143570382E-2</v>
      </c>
      <c r="M292" s="845"/>
      <c r="N292" s="845"/>
      <c r="O292" s="48">
        <f>IF(t&lt;Tnet,'2025'!Resal+('2025'!Salim-'2025'!Resal)*(1-EXP(('2025'!Tnet-t)/('2025'!Tau_j))),Resal+(Salim-Resal)*(1-EXP((Tnet-t)/(Tau_j))))*Salcycl</f>
        <v>4.8420099414399648E-2</v>
      </c>
      <c r="P292" s="169">
        <f>(INDEX(Models!$BJ292:$BT292,,T292)*(1-R292)+INDEX(Models!$BJ292:$BT292,,T292+1)*R292-ERP_i)*Q292*Ramure*Pc/MaxiM</f>
        <v>2.1778371634817711E-5</v>
      </c>
      <c r="Q292" s="305">
        <f t="shared" si="105"/>
        <v>0.5</v>
      </c>
      <c r="R292" s="177">
        <f t="shared" si="106"/>
        <v>0.96851160010125925</v>
      </c>
      <c r="S292" s="811">
        <f t="shared" si="107"/>
        <v>-2</v>
      </c>
      <c r="T292" s="176">
        <f t="shared" si="108"/>
        <v>4</v>
      </c>
      <c r="U292" s="251">
        <f t="shared" si="109"/>
        <v>-1.0314883998987407</v>
      </c>
      <c r="V292" s="383">
        <f t="shared" si="110"/>
        <v>38.428190874579876</v>
      </c>
      <c r="W292" s="402">
        <f t="shared" si="111"/>
        <v>39.24219604376006</v>
      </c>
      <c r="X292" s="157">
        <f t="shared" si="112"/>
        <v>46300</v>
      </c>
      <c r="Y292" s="385">
        <f t="shared" si="113"/>
        <v>37.88041806799361</v>
      </c>
      <c r="Z292" s="385">
        <f t="shared" si="114"/>
        <v>40.489421353613317</v>
      </c>
      <c r="AA292" s="386">
        <f t="shared" si="115"/>
        <v>44.03440362208525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8.0504832060311199E-2</v>
      </c>
      <c r="AD292" s="231">
        <f>(INDEX(Models!$BJ292:$BT292,,AH292)*(1-AF292)+INDEX(Models!$BJ292:$BT292,,AH292+1)*AF292-ERP_i)*AE292*Ramure*Pc/MaxiM</f>
        <v>1.0406618288740324E-3</v>
      </c>
      <c r="AE292" s="305">
        <f t="shared" si="117"/>
        <v>0.5</v>
      </c>
      <c r="AF292" s="177">
        <f t="shared" si="118"/>
        <v>0.49349916647523795</v>
      </c>
      <c r="AG292" s="811">
        <f t="shared" si="124"/>
        <v>2</v>
      </c>
      <c r="AH292" s="176">
        <f t="shared" si="119"/>
        <v>8</v>
      </c>
      <c r="AI292" s="225">
        <f t="shared" si="120"/>
        <v>2.4934991664752379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11.455968289080573</v>
      </c>
      <c r="C293" s="841"/>
      <c r="D293" s="393">
        <f t="shared" si="102"/>
        <v>12.245263129557053</v>
      </c>
      <c r="E293" s="385">
        <f t="shared" si="100"/>
        <v>12.868908357934492</v>
      </c>
      <c r="F293" s="385">
        <f t="shared" si="103"/>
        <v>12.868908562373871</v>
      </c>
      <c r="G293" s="110">
        <f t="shared" si="101"/>
        <v>0.30042103844848134</v>
      </c>
      <c r="H293" s="414" t="b">
        <f>Wh_hp&gt;='2025'!Maxi_hp</f>
        <v>0</v>
      </c>
      <c r="I293" s="390">
        <f>IF(H293,Wh_hp,'2025'!Maxi_hp)</f>
        <v>39.638043153684698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6.4457156381663716E-2</v>
      </c>
      <c r="M293" s="845"/>
      <c r="N293" s="845"/>
      <c r="O293" s="48">
        <f>IF(t&lt;Tnet,'2025'!Resal+('2025'!Salim-'2025'!Resal)*(1-EXP(('2025'!Tnet-t)/('2025'!Tau_j))),Resal+(Salim-Resal)*(1-EXP((Tnet-t)/(Tau_j))))*Salcycl</f>
        <v>4.8461393230213153E-2</v>
      </c>
      <c r="P293" s="169">
        <f>(INDEX(Models!$BJ293:$BT293,,T293)*(1-R293)+INDEX(Models!$BJ293:$BT293,,T293+1)*R293-ERP_i)*Q293*Ramure*Pc/MaxiM</f>
        <v>2.5932315687942955E-5</v>
      </c>
      <c r="Q293" s="305">
        <f t="shared" si="105"/>
        <v>0.5</v>
      </c>
      <c r="R293" s="177">
        <f t="shared" si="106"/>
        <v>0.96867360217229836</v>
      </c>
      <c r="S293" s="811">
        <f t="shared" si="107"/>
        <v>-2</v>
      </c>
      <c r="T293" s="176">
        <f t="shared" si="108"/>
        <v>4</v>
      </c>
      <c r="U293" s="251">
        <f t="shared" si="109"/>
        <v>-1.0313263978277016</v>
      </c>
      <c r="V293" s="383">
        <f t="shared" si="110"/>
        <v>38.132054434154306</v>
      </c>
      <c r="W293" s="402">
        <f t="shared" si="111"/>
        <v>11.455968289080573</v>
      </c>
      <c r="X293" s="157">
        <f t="shared" si="112"/>
        <v>46301</v>
      </c>
      <c r="Y293" s="385">
        <f t="shared" si="113"/>
        <v>11.070244430408916</v>
      </c>
      <c r="Z293" s="385">
        <f t="shared" si="114"/>
        <v>11.832963616709712</v>
      </c>
      <c r="AA293" s="386">
        <f t="shared" si="115"/>
        <v>12.868900247614112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8.0499235441386041E-2</v>
      </c>
      <c r="AD293" s="231">
        <f>(INDEX(Models!$BJ293:$BT293,,AH293)*(1-AF293)+INDEX(Models!$BJ293:$BT293,,AH293+1)*AF293-ERP_i)*AE293*Ramure*Pc/MaxiM</f>
        <v>1.0546939375678474E-3</v>
      </c>
      <c r="AE293" s="305">
        <f t="shared" si="117"/>
        <v>0.5</v>
      </c>
      <c r="AF293" s="177">
        <f t="shared" si="118"/>
        <v>0.49366116854627728</v>
      </c>
      <c r="AG293" s="811">
        <f t="shared" si="124"/>
        <v>2</v>
      </c>
      <c r="AH293" s="176">
        <f t="shared" si="119"/>
        <v>8</v>
      </c>
      <c r="AI293" s="225">
        <f t="shared" si="120"/>
        <v>2.4936611685462773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28.001371780614729</v>
      </c>
      <c r="C294" s="841"/>
      <c r="D294" s="393">
        <f t="shared" si="102"/>
        <v>29.931269622727413</v>
      </c>
      <c r="E294" s="385">
        <f t="shared" si="100"/>
        <v>31.456993108084969</v>
      </c>
      <c r="F294" s="385">
        <f t="shared" si="103"/>
        <v>31.457597751233195</v>
      </c>
      <c r="G294" s="110">
        <f t="shared" si="101"/>
        <v>0.74006434050074654</v>
      </c>
      <c r="H294" s="414" t="b">
        <f>Wh_hp&gt;='2025'!Maxi_hp</f>
        <v>0</v>
      </c>
      <c r="I294" s="390">
        <f>IF(H294,Wh_hp,'2025'!Maxi_hp)</f>
        <v>42.817625020301556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6.4477647170946395E-2</v>
      </c>
      <c r="M294" s="845"/>
      <c r="N294" s="845"/>
      <c r="O294" s="48">
        <f>IF(t&lt;Tnet,'2025'!Resal+('2025'!Salim-'2025'!Resal)*(1-EXP(('2025'!Tnet-t)/('2025'!Tau_j))),Resal+(Salim-Resal)*(1-EXP((Tnet-t)/(Tau_j))))*Salcycl</f>
        <v>4.8501885736987958E-2</v>
      </c>
      <c r="P294" s="169">
        <f>(INDEX(Models!$BJ294:$BT294,,T294)*(1-R294)+INDEX(Models!$BJ294:$BT294,,T294+1)*R294-ERP_i)*Q294*Ramure*Pc/MaxiM</f>
        <v>3.0573640261885915E-5</v>
      </c>
      <c r="Q294" s="305">
        <f t="shared" si="105"/>
        <v>0.5</v>
      </c>
      <c r="R294" s="177">
        <f t="shared" si="106"/>
        <v>0.9688291809588212</v>
      </c>
      <c r="S294" s="811">
        <f t="shared" si="107"/>
        <v>-2</v>
      </c>
      <c r="T294" s="176">
        <f t="shared" si="108"/>
        <v>4</v>
      </c>
      <c r="U294" s="251">
        <f t="shared" si="109"/>
        <v>-1.0311708190411788</v>
      </c>
      <c r="V294" s="383">
        <f t="shared" si="110"/>
        <v>37.835972292741658</v>
      </c>
      <c r="W294" s="402">
        <f t="shared" si="111"/>
        <v>28.001371780614729</v>
      </c>
      <c r="X294" s="157">
        <f t="shared" si="112"/>
        <v>46302</v>
      </c>
      <c r="Y294" s="385">
        <f t="shared" si="113"/>
        <v>27.04239443716363</v>
      </c>
      <c r="Z294" s="385">
        <f t="shared" si="114"/>
        <v>28.906198077882848</v>
      </c>
      <c r="AA294" s="386">
        <f t="shared" si="115"/>
        <v>31.436607629224323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8.0492449477568187E-2</v>
      </c>
      <c r="AD294" s="231">
        <f>(INDEX(Models!$BJ294:$BT294,,AH294)*(1-AF294)+INDEX(Models!$BJ294:$BT294,,AH294+1)*AF294-ERP_i)*AE294*Ramure*Pc/MaxiM</f>
        <v>1.0613606409591756E-3</v>
      </c>
      <c r="AE294" s="305">
        <f t="shared" si="117"/>
        <v>0.5</v>
      </c>
      <c r="AF294" s="177">
        <f t="shared" si="118"/>
        <v>0.49381674733280034</v>
      </c>
      <c r="AG294" s="811">
        <f t="shared" si="124"/>
        <v>2</v>
      </c>
      <c r="AH294" s="176">
        <f t="shared" si="119"/>
        <v>8</v>
      </c>
      <c r="AI294" s="225">
        <f t="shared" si="120"/>
        <v>2.4938167473328003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15.262099472392165</v>
      </c>
      <c r="C295" s="841"/>
      <c r="D295" s="393">
        <f t="shared" si="102"/>
        <v>16.314344294080556</v>
      </c>
      <c r="E295" s="385">
        <f t="shared" si="100"/>
        <v>17.146670645048157</v>
      </c>
      <c r="F295" s="385">
        <f t="shared" si="103"/>
        <v>17.146763845620786</v>
      </c>
      <c r="G295" s="110">
        <f t="shared" si="101"/>
        <v>0.40654395760761874</v>
      </c>
      <c r="H295" s="414" t="b">
        <f>Wh_hp&gt;='2025'!Maxi_hp</f>
        <v>0</v>
      </c>
      <c r="I295" s="390">
        <f>IF(H295,Wh_hp,'2025'!Maxi_hp)</f>
        <v>40.412475476580589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6.4498137511428189E-2</v>
      </c>
      <c r="M295" s="845"/>
      <c r="N295" s="845"/>
      <c r="O295" s="48">
        <f>IF(t&lt;Tnet,'2025'!Resal+('2025'!Salim-'2025'!Resal)*(1-EXP(('2025'!Tnet-t)/('2025'!Tau_j))),Resal+(Salim-Resal)*(1-EXP((Tnet-t)/(Tau_j))))*Salcycl</f>
        <v>4.8541572191915364E-2</v>
      </c>
      <c r="P295" s="169">
        <f>(INDEX(Models!$BJ295:$BT295,,T295)*(1-R295)+INDEX(Models!$BJ295:$BT295,,T295+1)*R295-ERP_i)*Q295*Ramure*Pc/MaxiM</f>
        <v>3.5707172827138406E-5</v>
      </c>
      <c r="Q295" s="305">
        <f t="shared" si="105"/>
        <v>0.5</v>
      </c>
      <c r="R295" s="177">
        <f t="shared" si="106"/>
        <v>0.96897858732468256</v>
      </c>
      <c r="S295" s="811">
        <f t="shared" si="107"/>
        <v>-2</v>
      </c>
      <c r="T295" s="176">
        <f t="shared" si="108"/>
        <v>4</v>
      </c>
      <c r="U295" s="251">
        <f t="shared" si="109"/>
        <v>-1.0310214126753174</v>
      </c>
      <c r="V295" s="383">
        <f t="shared" si="110"/>
        <v>37.539944142373749</v>
      </c>
      <c r="W295" s="402">
        <f t="shared" si="111"/>
        <v>15.262099472392165</v>
      </c>
      <c r="X295" s="157">
        <f t="shared" si="112"/>
        <v>46303</v>
      </c>
      <c r="Y295" s="385">
        <f t="shared" si="113"/>
        <v>14.747410616399595</v>
      </c>
      <c r="Z295" s="385">
        <f t="shared" si="114"/>
        <v>15.764170236037078</v>
      </c>
      <c r="AA295" s="386">
        <f t="shared" si="115"/>
        <v>17.143995624624218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8.0484469245038381E-2</v>
      </c>
      <c r="AD295" s="231">
        <f>(INDEX(Models!$BJ295:$BT295,,AH295)*(1-AF295)+INDEX(Models!$BJ295:$BT295,,AH295+1)*AF295-ERP_i)*AE295*Ramure*Pc/MaxiM</f>
        <v>1.0605658609406732E-3</v>
      </c>
      <c r="AE295" s="305">
        <f t="shared" si="117"/>
        <v>0.5</v>
      </c>
      <c r="AF295" s="177">
        <f t="shared" si="118"/>
        <v>0.49396615369866126</v>
      </c>
      <c r="AG295" s="811">
        <f t="shared" si="124"/>
        <v>2</v>
      </c>
      <c r="AH295" s="176">
        <f t="shared" si="119"/>
        <v>8</v>
      </c>
      <c r="AI295" s="225">
        <f t="shared" si="120"/>
        <v>2.4939661536986613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35.896215429349873</v>
      </c>
      <c r="C296" s="841"/>
      <c r="D296" s="393">
        <f t="shared" si="102"/>
        <v>38.371918972264048</v>
      </c>
      <c r="E296" s="385">
        <f t="shared" si="100"/>
        <v>40.331228177828237</v>
      </c>
      <c r="F296" s="385">
        <f t="shared" si="103"/>
        <v>40.332791977357999</v>
      </c>
      <c r="G296" s="110">
        <f t="shared" si="101"/>
        <v>0.96381034907760854</v>
      </c>
      <c r="H296" s="414" t="b">
        <f>Wh_hp&gt;='2025'!Maxi_hp</f>
        <v>0</v>
      </c>
      <c r="I296" s="390">
        <f>IF(H296,Wh_hp,'2025'!Maxi_hp)</f>
        <v>40.332835862182719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6.4518627403118867E-2</v>
      </c>
      <c r="M296" s="845"/>
      <c r="N296" s="845"/>
      <c r="O296" s="48">
        <f>IF(t&lt;Tnet,'2025'!Resal+('2025'!Salim-'2025'!Resal)*(1-EXP(('2025'!Tnet-t)/('2025'!Tau_j))),Resal+(Salim-Resal)*(1-EXP((Tnet-t)/(Tau_j))))*Salcycl</f>
        <v>4.8580449792533231E-2</v>
      </c>
      <c r="P296" s="169">
        <f>(INDEX(Models!$BJ296:$BT296,,T296)*(1-R296)+INDEX(Models!$BJ296:$BT296,,T296+1)*R296-ERP_i)*Q296*Ramure*Pc/MaxiM</f>
        <v>4.0886080554631001E-5</v>
      </c>
      <c r="Q296" s="305">
        <f t="shared" si="105"/>
        <v>0.5</v>
      </c>
      <c r="R296" s="177">
        <f t="shared" si="106"/>
        <v>0.96912206263534495</v>
      </c>
      <c r="S296" s="811">
        <f t="shared" si="107"/>
        <v>-2</v>
      </c>
      <c r="T296" s="176">
        <f t="shared" si="108"/>
        <v>4</v>
      </c>
      <c r="U296" s="251">
        <f t="shared" si="109"/>
        <v>-1.0308779373646551</v>
      </c>
      <c r="V296" s="383">
        <f t="shared" si="110"/>
        <v>37.243986421159114</v>
      </c>
      <c r="W296" s="402">
        <f t="shared" si="111"/>
        <v>35.896215429349873</v>
      </c>
      <c r="X296" s="157">
        <f t="shared" si="112"/>
        <v>46304</v>
      </c>
      <c r="Y296" s="385">
        <f t="shared" si="113"/>
        <v>34.659564777189573</v>
      </c>
      <c r="Z296" s="385">
        <f t="shared" si="114"/>
        <v>37.049978537760921</v>
      </c>
      <c r="AA296" s="386">
        <f t="shared" si="115"/>
        <v>40.292531845416157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8.0475293041782955E-2</v>
      </c>
      <c r="AD296" s="231">
        <f>(INDEX(Models!$BJ296:$BT296,,AH296)*(1-AF296)+INDEX(Models!$BJ296:$BT296,,AH296+1)*AF296-ERP_i)*AE296*Ramure*Pc/MaxiM</f>
        <v>1.0526150995599501E-3</v>
      </c>
      <c r="AE296" s="305">
        <f t="shared" si="117"/>
        <v>0.5</v>
      </c>
      <c r="AF296" s="177">
        <f t="shared" si="118"/>
        <v>0.49410962900932409</v>
      </c>
      <c r="AG296" s="811">
        <f t="shared" si="124"/>
        <v>2</v>
      </c>
      <c r="AH296" s="176">
        <f t="shared" si="119"/>
        <v>8</v>
      </c>
      <c r="AI296" s="225">
        <f t="shared" si="120"/>
        <v>2.4941096290093241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29.585347818572856</v>
      </c>
      <c r="C297" s="841"/>
      <c r="D297" s="393">
        <f t="shared" si="102"/>
        <v>31.626493797179197</v>
      </c>
      <c r="E297" s="385">
        <f t="shared" ref="E297:E360" si="125">Wh_pvt/(1-Psa)</f>
        <v>33.242704833692464</v>
      </c>
      <c r="F297" s="385">
        <f t="shared" si="103"/>
        <v>33.243794772061783</v>
      </c>
      <c r="G297" s="110">
        <f t="shared" ref="G297:G360" si="126">+Wh_hp/MaxiM</f>
        <v>0.80071654162298445</v>
      </c>
      <c r="H297" s="414" t="b">
        <f>Wh_hp&gt;='2025'!Maxi_hp</f>
        <v>0</v>
      </c>
      <c r="I297" s="390">
        <f>IF(H297,Wh_hp,'2025'!Maxi_hp)</f>
        <v>33.244018026867359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6.4539116846028421E-2</v>
      </c>
      <c r="M297" s="845"/>
      <c r="N297" s="845"/>
      <c r="O297" s="48">
        <f>IF(t&lt;Tnet,'2025'!Resal+('2025'!Salim-'2025'!Resal)*(1-EXP(('2025'!Tnet-t)/('2025'!Tau_j))),Resal+(Salim-Resal)*(1-EXP((Tnet-t)/(Tau_j))))*Salcycl</f>
        <v>4.8618517795073854E-2</v>
      </c>
      <c r="P297" s="169">
        <f>(INDEX(Models!$BJ297:$BT297,,T297)*(1-R297)+INDEX(Models!$BJ297:$BT297,,T297+1)*R297-ERP_i)*Q297*Ramure*Pc/MaxiM</f>
        <v>4.5834066221467629E-5</v>
      </c>
      <c r="Q297" s="305">
        <f t="shared" si="105"/>
        <v>0.5</v>
      </c>
      <c r="R297" s="177">
        <f t="shared" si="106"/>
        <v>0.9692598390939362</v>
      </c>
      <c r="S297" s="811">
        <f t="shared" si="107"/>
        <v>-2</v>
      </c>
      <c r="T297" s="176">
        <f t="shared" si="108"/>
        <v>4</v>
      </c>
      <c r="U297" s="251">
        <f t="shared" si="109"/>
        <v>-1.0307401609060638</v>
      </c>
      <c r="V297" s="383">
        <f t="shared" si="110"/>
        <v>36.948108653883239</v>
      </c>
      <c r="W297" s="402">
        <f t="shared" si="111"/>
        <v>29.585347818572856</v>
      </c>
      <c r="X297" s="157">
        <f t="shared" si="112"/>
        <v>46305</v>
      </c>
      <c r="Y297" s="385">
        <f t="shared" si="113"/>
        <v>28.574660697824335</v>
      </c>
      <c r="Z297" s="385">
        <f t="shared" si="114"/>
        <v>30.546077567116303</v>
      </c>
      <c r="AA297" s="386">
        <f t="shared" si="115"/>
        <v>33.219045490300687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8.0464922568736622E-2</v>
      </c>
      <c r="AD297" s="231">
        <f>(INDEX(Models!$BJ297:$BT297,,AH297)*(1-AF297)+INDEX(Models!$BJ297:$BT297,,AH297+1)*AF297-ERP_i)*AE297*Ramure*Pc/MaxiM</f>
        <v>1.0407562951283268E-3</v>
      </c>
      <c r="AE297" s="305">
        <f t="shared" si="117"/>
        <v>0.5</v>
      </c>
      <c r="AF297" s="177">
        <f t="shared" si="118"/>
        <v>0.4942474054679149</v>
      </c>
      <c r="AG297" s="811">
        <f t="shared" si="124"/>
        <v>2</v>
      </c>
      <c r="AH297" s="176">
        <f t="shared" si="119"/>
        <v>8</v>
      </c>
      <c r="AI297" s="225">
        <f t="shared" si="120"/>
        <v>2.4942474054679149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21.514388977697131</v>
      </c>
      <c r="C298" s="841"/>
      <c r="D298" s="393">
        <f t="shared" si="102"/>
        <v>22.999208834701111</v>
      </c>
      <c r="E298" s="385">
        <f t="shared" si="125"/>
        <v>24.175485900655179</v>
      </c>
      <c r="F298" s="385">
        <f t="shared" si="103"/>
        <v>24.175986902799679</v>
      </c>
      <c r="G298" s="110">
        <f t="shared" si="126"/>
        <v>0.58696838848455712</v>
      </c>
      <c r="H298" s="414" t="b">
        <f>Wh_hp&gt;='2025'!Maxi_hp</f>
        <v>0</v>
      </c>
      <c r="I298" s="390">
        <f>IF(H298,Wh_hp,'2025'!Maxi_hp)</f>
        <v>42.375150802238252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6.4559605840166623E-2</v>
      </c>
      <c r="M298" s="845"/>
      <c r="N298" s="845"/>
      <c r="O298" s="48">
        <f>IF(t&lt;Tnet,'2025'!Resal+('2025'!Salim-'2025'!Resal)*(1-EXP(('2025'!Tnet-t)/('2025'!Tau_j))),Resal+(Salim-Resal)*(1-EXP((Tnet-t)/(Tau_j))))*Salcycl</f>
        <v>4.8655777624812498E-2</v>
      </c>
      <c r="P298" s="169">
        <f>(INDEX(Models!$BJ298:$BT298,,T298)*(1-R298)+INDEX(Models!$BJ298:$BT298,,T298+1)*R298-ERP_i)*Q298*Ramure*Pc/MaxiM</f>
        <v>5.0546706247187096E-5</v>
      </c>
      <c r="Q298" s="305">
        <f t="shared" si="105"/>
        <v>0.5</v>
      </c>
      <c r="R298" s="177">
        <f t="shared" si="106"/>
        <v>0.96939214006730245</v>
      </c>
      <c r="S298" s="811">
        <f t="shared" si="107"/>
        <v>-2</v>
      </c>
      <c r="T298" s="176">
        <f t="shared" si="108"/>
        <v>4</v>
      </c>
      <c r="U298" s="251">
        <f t="shared" si="109"/>
        <v>-1.0306078599326975</v>
      </c>
      <c r="V298" s="383">
        <f t="shared" si="110"/>
        <v>36.652309988868083</v>
      </c>
      <c r="W298" s="402">
        <f t="shared" si="111"/>
        <v>21.514388977697131</v>
      </c>
      <c r="X298" s="157">
        <f t="shared" si="112"/>
        <v>46306</v>
      </c>
      <c r="Y298" s="385">
        <f t="shared" si="113"/>
        <v>20.786987714999988</v>
      </c>
      <c r="Z298" s="385">
        <f t="shared" si="114"/>
        <v>22.221605828418216</v>
      </c>
      <c r="AA298" s="386">
        <f t="shared" si="115"/>
        <v>24.165827959802726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8.0453363096787564E-2</v>
      </c>
      <c r="AD298" s="231">
        <f>(INDEX(Models!$BJ298:$BT298,,AH298)*(1-AF298)+INDEX(Models!$BJ298:$BT298,,AH298+1)*AF298-ERP_i)*AE298*Ramure*Pc/MaxiM</f>
        <v>1.0249479230521278E-3</v>
      </c>
      <c r="AE298" s="305">
        <f t="shared" si="117"/>
        <v>0.5</v>
      </c>
      <c r="AF298" s="177">
        <f t="shared" si="118"/>
        <v>0.49437970644128137</v>
      </c>
      <c r="AG298" s="811">
        <f t="shared" si="124"/>
        <v>2</v>
      </c>
      <c r="AH298" s="176">
        <f t="shared" si="119"/>
        <v>8</v>
      </c>
      <c r="AI298" s="225">
        <f t="shared" si="120"/>
        <v>2.4943797064412814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26.871739719506007</v>
      </c>
      <c r="C299" s="841"/>
      <c r="D299" s="393">
        <f t="shared" si="102"/>
        <v>28.726927402570666</v>
      </c>
      <c r="E299" s="385">
        <f t="shared" si="125"/>
        <v>30.197301439548635</v>
      </c>
      <c r="F299" s="385">
        <f t="shared" si="103"/>
        <v>30.198343714958263</v>
      </c>
      <c r="G299" s="110">
        <f t="shared" si="126"/>
        <v>0.73910091869867489</v>
      </c>
      <c r="H299" s="414" t="b">
        <f>Wh_hp&gt;='2025'!Maxi_hp</f>
        <v>0</v>
      </c>
      <c r="I299" s="390">
        <f>IF(H299,Wh_hp,'2025'!Maxi_hp)</f>
        <v>39.768274465309958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6.458009438554313E-2</v>
      </c>
      <c r="M299" s="845"/>
      <c r="N299" s="845"/>
      <c r="O299" s="48">
        <f>IF(t&lt;Tnet,'2025'!Resal+('2025'!Salim-'2025'!Resal)*(1-EXP(('2025'!Tnet-t)/('2025'!Tau_j))),Resal+(Salim-Resal)*(1-EXP((Tnet-t)/(Tau_j))))*Salcycl</f>
        <v>4.8692232977224172E-2</v>
      </c>
      <c r="P299" s="169">
        <f>(INDEX(Models!$BJ299:$BT299,,T299)*(1-R299)+INDEX(Models!$BJ299:$BT299,,T299+1)*R299-ERP_i)*Q299*Ramure*Pc/MaxiM</f>
        <v>5.5019681467523629E-5</v>
      </c>
      <c r="Q299" s="305">
        <f t="shared" si="105"/>
        <v>0.5</v>
      </c>
      <c r="R299" s="177">
        <f t="shared" si="106"/>
        <v>0.96951918040220386</v>
      </c>
      <c r="S299" s="811">
        <f t="shared" si="107"/>
        <v>-2</v>
      </c>
      <c r="T299" s="176">
        <f t="shared" si="108"/>
        <v>4</v>
      </c>
      <c r="U299" s="251">
        <f t="shared" si="109"/>
        <v>-1.0304808195977961</v>
      </c>
      <c r="V299" s="383">
        <f t="shared" si="110"/>
        <v>36.356589480583949</v>
      </c>
      <c r="W299" s="402">
        <f t="shared" si="111"/>
        <v>26.871739719506007</v>
      </c>
      <c r="X299" s="157">
        <f t="shared" si="112"/>
        <v>46307</v>
      </c>
      <c r="Y299" s="385">
        <f t="shared" si="113"/>
        <v>25.959455693158276</v>
      </c>
      <c r="Z299" s="385">
        <f t="shared" si="114"/>
        <v>27.751660550890328</v>
      </c>
      <c r="AA299" s="386">
        <f t="shared" si="115"/>
        <v>30.179302461220175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8.0440623617769796E-2</v>
      </c>
      <c r="AD299" s="231">
        <f>(INDEX(Models!$BJ299:$BT299,,AH299)*(1-AF299)+INDEX(Models!$BJ299:$BT299,,AH299+1)*AF299-ERP_i)*AE299*Ramure*Pc/MaxiM</f>
        <v>1.005150563598514E-3</v>
      </c>
      <c r="AE299" s="305">
        <f t="shared" si="117"/>
        <v>0.5</v>
      </c>
      <c r="AF299" s="177">
        <f t="shared" si="118"/>
        <v>0.49450674677618256</v>
      </c>
      <c r="AG299" s="811">
        <f t="shared" si="124"/>
        <v>2</v>
      </c>
      <c r="AH299" s="176">
        <f t="shared" si="119"/>
        <v>8</v>
      </c>
      <c r="AI299" s="225">
        <f t="shared" si="120"/>
        <v>2.4945067467761826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22.176509776987466</v>
      </c>
      <c r="C300" s="841"/>
      <c r="D300" s="393">
        <f t="shared" si="102"/>
        <v>23.708064556887223</v>
      </c>
      <c r="E300" s="385">
        <f t="shared" si="125"/>
        <v>24.922484644918644</v>
      </c>
      <c r="F300" s="385">
        <f t="shared" si="103"/>
        <v>24.923149087971606</v>
      </c>
      <c r="G300" s="110">
        <f t="shared" si="126"/>
        <v>0.61495300178499146</v>
      </c>
      <c r="H300" s="414" t="b">
        <f>Wh_hp&gt;='2025'!Maxi_hp</f>
        <v>0</v>
      </c>
      <c r="I300" s="390">
        <f>IF(H300,Wh_hp,'2025'!Maxi_hp)</f>
        <v>39.855056795061437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6.4600582482168045E-2</v>
      </c>
      <c r="M300" s="845"/>
      <c r="N300" s="845"/>
      <c r="O300" s="48">
        <f>IF(t&lt;Tnet,'2025'!Resal+('2025'!Salim-'2025'!Resal)*(1-EXP(('2025'!Tnet-t)/('2025'!Tau_j))),Resal+(Salim-Resal)*(1-EXP((Tnet-t)/(Tau_j))))*Salcycl</f>
        <v>4.8727889908802571E-2</v>
      </c>
      <c r="P300" s="169">
        <f>(INDEX(Models!$BJ300:$BT300,,T300)*(1-R300)+INDEX(Models!$BJ300:$BT300,,T300+1)*R300-ERP_i)*Q300*Ramure*Pc/MaxiM</f>
        <v>5.9248792309981911E-5</v>
      </c>
      <c r="Q300" s="305">
        <f t="shared" si="105"/>
        <v>0.5</v>
      </c>
      <c r="R300" s="177">
        <f t="shared" si="106"/>
        <v>0.9696411667317979</v>
      </c>
      <c r="S300" s="811">
        <f t="shared" si="107"/>
        <v>-2</v>
      </c>
      <c r="T300" s="176">
        <f t="shared" si="108"/>
        <v>4</v>
      </c>
      <c r="U300" s="251">
        <f t="shared" si="109"/>
        <v>-1.0303588332682021</v>
      </c>
      <c r="V300" s="383">
        <f t="shared" si="110"/>
        <v>36.060946089328816</v>
      </c>
      <c r="W300" s="402">
        <f t="shared" si="111"/>
        <v>22.176509776987466</v>
      </c>
      <c r="X300" s="157">
        <f t="shared" si="112"/>
        <v>46308</v>
      </c>
      <c r="Y300" s="385">
        <f t="shared" si="113"/>
        <v>21.428636918433451</v>
      </c>
      <c r="Z300" s="385">
        <f t="shared" si="114"/>
        <v>22.908542080661437</v>
      </c>
      <c r="AA300" s="386">
        <f t="shared" si="115"/>
        <v>24.91214403855712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8.0426716977658061E-2</v>
      </c>
      <c r="AD300" s="231">
        <f>(INDEX(Models!$BJ300:$BT300,,AH300)*(1-AF300)+INDEX(Models!$BJ300:$BT300,,AH300+1)*AF300-ERP_i)*AE300*Ramure*Pc/MaxiM</f>
        <v>9.8132696882421619E-4</v>
      </c>
      <c r="AE300" s="305">
        <f t="shared" si="117"/>
        <v>0.5</v>
      </c>
      <c r="AF300" s="177">
        <f t="shared" si="118"/>
        <v>0.49462873310577704</v>
      </c>
      <c r="AG300" s="811">
        <f t="shared" si="124"/>
        <v>2</v>
      </c>
      <c r="AH300" s="176">
        <f t="shared" si="119"/>
        <v>8</v>
      </c>
      <c r="AI300" s="225">
        <f t="shared" si="120"/>
        <v>2.494628733105777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18.823826655714385</v>
      </c>
      <c r="C301" s="841"/>
      <c r="D301" s="393">
        <f t="shared" si="102"/>
        <v>20.124279107218683</v>
      </c>
      <c r="E301" s="385">
        <f t="shared" si="125"/>
        <v>21.155899070965173</v>
      </c>
      <c r="F301" s="385">
        <f t="shared" si="103"/>
        <v>21.156331562016394</v>
      </c>
      <c r="G301" s="110">
        <f t="shared" si="126"/>
        <v>0.52629167959627532</v>
      </c>
      <c r="H301" s="414" t="b">
        <f>Wh_hp&gt;='2025'!Maxi_hp</f>
        <v>0</v>
      </c>
      <c r="I301" s="390">
        <f>IF(H301,Wh_hp,'2025'!Maxi_hp)</f>
        <v>41.909965007378638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6.4621070130051028E-2</v>
      </c>
      <c r="M301" s="845"/>
      <c r="N301" s="845"/>
      <c r="O301" s="48">
        <f>IF(t&lt;Tnet,'2025'!Resal+('2025'!Salim-'2025'!Resal)*(1-EXP(('2025'!Tnet-t)/('2025'!Tau_j))),Resal+(Salim-Resal)*(1-EXP((Tnet-t)/(Tau_j))))*Salcycl</f>
        <v>4.8762756916453084E-2</v>
      </c>
      <c r="P301" s="169">
        <f>(INDEX(Models!$BJ301:$BT301,,T301)*(1-R301)+INDEX(Models!$BJ301:$BT301,,T301+1)*R301-ERP_i)*Q301*Ramure*Pc/MaxiM</f>
        <v>6.3229973147990875E-5</v>
      </c>
      <c r="Q301" s="305">
        <f t="shared" si="105"/>
        <v>0.5</v>
      </c>
      <c r="R301" s="177">
        <f t="shared" si="106"/>
        <v>0.96975829777257871</v>
      </c>
      <c r="S301" s="811">
        <f t="shared" si="107"/>
        <v>-2</v>
      </c>
      <c r="T301" s="176">
        <f t="shared" si="108"/>
        <v>4</v>
      </c>
      <c r="U301" s="251">
        <f t="shared" si="109"/>
        <v>-1.0302417022274213</v>
      </c>
      <c r="V301" s="383">
        <f t="shared" si="110"/>
        <v>35.765378681554914</v>
      </c>
      <c r="W301" s="402">
        <f t="shared" si="111"/>
        <v>18.823826655714385</v>
      </c>
      <c r="X301" s="157">
        <f t="shared" si="112"/>
        <v>46309</v>
      </c>
      <c r="Y301" s="385">
        <f t="shared" si="113"/>
        <v>18.192295848924882</v>
      </c>
      <c r="Z301" s="385">
        <f t="shared" si="114"/>
        <v>19.449118713262294</v>
      </c>
      <c r="AA301" s="386">
        <f t="shared" si="115"/>
        <v>21.149810047675107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8.0411659990287265E-2</v>
      </c>
      <c r="AD301" s="231">
        <f>(INDEX(Models!$BJ301:$BT301,,AH301)*(1-AF301)+INDEX(Models!$BJ301:$BT301,,AH301+1)*AF301-ERP_i)*AE301*Ramure*Pc/MaxiM</f>
        <v>9.5344210133326988E-4</v>
      </c>
      <c r="AE301" s="305">
        <f t="shared" si="117"/>
        <v>0.5</v>
      </c>
      <c r="AF301" s="177">
        <f t="shared" si="118"/>
        <v>0.49474586414655786</v>
      </c>
      <c r="AG301" s="811">
        <f t="shared" si="124"/>
        <v>2</v>
      </c>
      <c r="AH301" s="176">
        <f t="shared" si="119"/>
        <v>8</v>
      </c>
      <c r="AI301" s="225">
        <f t="shared" si="120"/>
        <v>2.4947458641465579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34.85958885461892</v>
      </c>
      <c r="C302" s="841"/>
      <c r="D302" s="393">
        <f t="shared" si="102"/>
        <v>37.26869536247704</v>
      </c>
      <c r="E302" s="385">
        <f t="shared" si="125"/>
        <v>39.180584259785206</v>
      </c>
      <c r="F302" s="385">
        <f t="shared" si="103"/>
        <v>39.183143445659155</v>
      </c>
      <c r="G302" s="110">
        <f t="shared" si="126"/>
        <v>0.98279231701817527</v>
      </c>
      <c r="H302" s="414" t="b">
        <f>Wh_hp&gt;='2025'!Maxi_hp</f>
        <v>0</v>
      </c>
      <c r="I302" s="390">
        <f>IF(H302,Wh_hp,'2025'!Maxi_hp)</f>
        <v>39.1831766174584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6.4641557329201849E-2</v>
      </c>
      <c r="M302" s="845"/>
      <c r="N302" s="845"/>
      <c r="O302" s="48">
        <f>IF(t&lt;Tnet,'2025'!Resal+('2025'!Salim-'2025'!Resal)*(1-EXP(('2025'!Tnet-t)/('2025'!Tau_j))),Resal+(Salim-Resal)*(1-EXP((Tnet-t)/(Tau_j))))*Salcycl</f>
        <v>4.8796845004440564E-2</v>
      </c>
      <c r="P302" s="169">
        <f>(INDEX(Models!$BJ302:$BT302,,T302)*(1-R302)+INDEX(Models!$BJ302:$BT302,,T302+1)*R302-ERP_i)*Q302*Ramure*Pc/MaxiM</f>
        <v>6.6959305611050362E-5</v>
      </c>
      <c r="Q302" s="305">
        <f t="shared" si="105"/>
        <v>0.5</v>
      </c>
      <c r="R302" s="177">
        <f t="shared" si="106"/>
        <v>0.96987076461194488</v>
      </c>
      <c r="S302" s="811">
        <f t="shared" si="107"/>
        <v>-2</v>
      </c>
      <c r="T302" s="176">
        <f t="shared" si="108"/>
        <v>4</v>
      </c>
      <c r="U302" s="251">
        <f t="shared" si="109"/>
        <v>-1.0301292353880551</v>
      </c>
      <c r="V302" s="383">
        <f t="shared" si="110"/>
        <v>35.469886030880808</v>
      </c>
      <c r="W302" s="402">
        <f t="shared" si="111"/>
        <v>34.85958885461892</v>
      </c>
      <c r="X302" s="157">
        <f t="shared" si="112"/>
        <v>46310</v>
      </c>
      <c r="Y302" s="385">
        <f t="shared" si="113"/>
        <v>33.67347369189234</v>
      </c>
      <c r="Z302" s="385">
        <f t="shared" si="114"/>
        <v>36.00060913091454</v>
      </c>
      <c r="AA302" s="386">
        <f t="shared" si="115"/>
        <v>39.147925107663895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8.0395473530044392E-2</v>
      </c>
      <c r="AD302" s="231">
        <f>(INDEX(Models!$BJ302:$BT302,,AH302)*(1-AF302)+INDEX(Models!$BJ302:$BT302,,AH302+1)*AF302-ERP_i)*AE302*Ramure*Pc/MaxiM</f>
        <v>9.2146314222050054E-4</v>
      </c>
      <c r="AE302" s="305">
        <f t="shared" si="117"/>
        <v>0.5</v>
      </c>
      <c r="AF302" s="177">
        <f t="shared" si="118"/>
        <v>0.4948583309859238</v>
      </c>
      <c r="AG302" s="811">
        <f t="shared" si="124"/>
        <v>2</v>
      </c>
      <c r="AH302" s="176">
        <f t="shared" si="119"/>
        <v>8</v>
      </c>
      <c r="AI302" s="225">
        <f t="shared" si="120"/>
        <v>2.4948583309859238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31.30692699747398</v>
      </c>
      <c r="C303" s="841"/>
      <c r="D303" s="393">
        <f t="shared" si="102"/>
        <v>33.471246194289279</v>
      </c>
      <c r="E303" s="385">
        <f t="shared" si="125"/>
        <v>35.189558225042589</v>
      </c>
      <c r="F303" s="385">
        <f t="shared" si="103"/>
        <v>35.191647666204268</v>
      </c>
      <c r="G303" s="110">
        <f t="shared" si="126"/>
        <v>0.89005805347004507</v>
      </c>
      <c r="H303" s="414" t="b">
        <f>Wh_hp&gt;='2025'!Maxi_hp</f>
        <v>0</v>
      </c>
      <c r="I303" s="390">
        <f>IF(H303,Wh_hp,'2025'!Maxi_hp)</f>
        <v>38.517225515333379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6.4662044079630498E-2</v>
      </c>
      <c r="M303" s="845"/>
      <c r="N303" s="845"/>
      <c r="O303" s="48">
        <f>IF(t&lt;Tnet,'2025'!Resal+('2025'!Salim-'2025'!Resal)*(1-EXP(('2025'!Tnet-t)/('2025'!Tau_j))),Resal+(Salim-Resal)*(1-EXP((Tnet-t)/(Tau_j))))*Salcycl</f>
        <v>4.8830167737953588E-2</v>
      </c>
      <c r="P303" s="169">
        <f>(INDEX(Models!$BJ303:$BT303,,T303)*(1-R303)+INDEX(Models!$BJ303:$BT303,,T303+1)*R303-ERP_i)*Q303*Ramure*Pc/MaxiM</f>
        <v>7.0434688137984742E-5</v>
      </c>
      <c r="Q303" s="305">
        <f t="shared" si="105"/>
        <v>0.5</v>
      </c>
      <c r="R303" s="177">
        <f t="shared" si="106"/>
        <v>0.96997875098657782</v>
      </c>
      <c r="S303" s="811">
        <f t="shared" si="107"/>
        <v>-2</v>
      </c>
      <c r="T303" s="176">
        <f t="shared" si="108"/>
        <v>4</v>
      </c>
      <c r="U303" s="251">
        <f t="shared" si="109"/>
        <v>-1.0300212490134222</v>
      </c>
      <c r="V303" s="383">
        <f t="shared" si="110"/>
        <v>35.173639016056782</v>
      </c>
      <c r="W303" s="402">
        <f t="shared" si="111"/>
        <v>31.30692699747398</v>
      </c>
      <c r="X303" s="157">
        <f t="shared" si="112"/>
        <v>46311</v>
      </c>
      <c r="Y303" s="385">
        <f t="shared" si="113"/>
        <v>30.247756979336973</v>
      </c>
      <c r="Z303" s="385">
        <f t="shared" si="114"/>
        <v>32.338853339457692</v>
      </c>
      <c r="AA303" s="386">
        <f t="shared" si="115"/>
        <v>35.165382908120165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8.0378182602123358E-2</v>
      </c>
      <c r="AD303" s="231">
        <f>(INDEX(Models!$BJ303:$BT303,,AH303)*(1-AF303)+INDEX(Models!$BJ303:$BT303,,AH303+1)*AF303-ERP_i)*AE303*Ramure*Pc/MaxiM</f>
        <v>8.8538030101052744E-4</v>
      </c>
      <c r="AE303" s="305">
        <f t="shared" si="117"/>
        <v>0.5</v>
      </c>
      <c r="AF303" s="177">
        <f t="shared" si="118"/>
        <v>0.49496631736055674</v>
      </c>
      <c r="AG303" s="811">
        <f t="shared" si="124"/>
        <v>2</v>
      </c>
      <c r="AH303" s="176">
        <f t="shared" si="119"/>
        <v>8</v>
      </c>
      <c r="AI303" s="225">
        <f t="shared" si="120"/>
        <v>2.4949663173605567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18.99758102552882</v>
      </c>
      <c r="C304" s="841"/>
      <c r="D304" s="393">
        <f t="shared" si="102"/>
        <v>20.311371959378132</v>
      </c>
      <c r="E304" s="385">
        <f t="shared" si="125"/>
        <v>21.354827363996193</v>
      </c>
      <c r="F304" s="385">
        <f t="shared" si="103"/>
        <v>21.355375183597637</v>
      </c>
      <c r="G304" s="110">
        <f t="shared" si="126"/>
        <v>0.54469075029236091</v>
      </c>
      <c r="H304" s="414" t="b">
        <f>Wh_hp&gt;='2025'!Maxi_hp</f>
        <v>0</v>
      </c>
      <c r="I304" s="390">
        <f>IF(H304,Wh_hp,'2025'!Maxi_hp)</f>
        <v>36.170374756257267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6.4682530381346748E-2</v>
      </c>
      <c r="M304" s="845"/>
      <c r="N304" s="845"/>
      <c r="O304" s="48">
        <f>IF(t&lt;Tnet,'2025'!Resal+('2025'!Salim-'2025'!Resal)*(1-EXP(('2025'!Tnet-t)/('2025'!Tau_j))),Resal+(Salim-Resal)*(1-EXP((Tnet-t)/(Tau_j))))*Salcycl</f>
        <v>4.8862741282437339E-2</v>
      </c>
      <c r="P304" s="169">
        <f>(INDEX(Models!$BJ304:$BT304,,T304)*(1-R304)+INDEX(Models!$BJ304:$BT304,,T304+1)*R304-ERP_i)*Q304*Ramure*Pc/MaxiM</f>
        <v>7.3377803878026048E-5</v>
      </c>
      <c r="Q304" s="305">
        <f t="shared" si="105"/>
        <v>0.5</v>
      </c>
      <c r="R304" s="177">
        <f t="shared" si="106"/>
        <v>0.97008243355182255</v>
      </c>
      <c r="S304" s="811">
        <f t="shared" si="107"/>
        <v>-2</v>
      </c>
      <c r="T304" s="176">
        <f t="shared" si="108"/>
        <v>4</v>
      </c>
      <c r="U304" s="251">
        <f t="shared" si="109"/>
        <v>-1.0299175664481774</v>
      </c>
      <c r="V304" s="383">
        <f t="shared" si="110"/>
        <v>34.876072941376442</v>
      </c>
      <c r="W304" s="402">
        <f t="shared" si="111"/>
        <v>18.99758102552882</v>
      </c>
      <c r="X304" s="157">
        <f t="shared" si="112"/>
        <v>46312</v>
      </c>
      <c r="Y304" s="385">
        <f t="shared" si="113"/>
        <v>18.363501549172899</v>
      </c>
      <c r="Z304" s="385">
        <f t="shared" si="114"/>
        <v>19.633442275658602</v>
      </c>
      <c r="AA304" s="386">
        <f t="shared" si="115"/>
        <v>21.349047840177171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8.0359816389091565E-2</v>
      </c>
      <c r="AD304" s="231">
        <f>(INDEX(Models!$BJ304:$BT304,,AH304)*(1-AF304)+INDEX(Models!$BJ304:$BT304,,AH304+1)*AF304-ERP_i)*AE304*Ramure*Pc/MaxiM</f>
        <v>8.475172545002851E-4</v>
      </c>
      <c r="AE304" s="305">
        <f t="shared" si="117"/>
        <v>0.5</v>
      </c>
      <c r="AF304" s="177">
        <f t="shared" si="118"/>
        <v>0.4950699999258017</v>
      </c>
      <c r="AG304" s="811">
        <f t="shared" si="124"/>
        <v>2</v>
      </c>
      <c r="AH304" s="176">
        <f t="shared" si="119"/>
        <v>8</v>
      </c>
      <c r="AI304" s="225">
        <f t="shared" si="120"/>
        <v>2.4950699999258017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32.247950740523848</v>
      </c>
      <c r="C305" s="841"/>
      <c r="D305" s="393">
        <f t="shared" si="102"/>
        <v>34.478835386263071</v>
      </c>
      <c r="E305" s="385">
        <f t="shared" si="125"/>
        <v>36.251329055387004</v>
      </c>
      <c r="F305" s="385">
        <f t="shared" si="103"/>
        <v>36.253805792120893</v>
      </c>
      <c r="G305" s="110">
        <f t="shared" si="126"/>
        <v>0.93261936732638751</v>
      </c>
      <c r="H305" s="414" t="b">
        <f>Wh_hp&gt;='2025'!Maxi_hp</f>
        <v>0</v>
      </c>
      <c r="I305" s="390">
        <f>IF(H305,Wh_hp,'2025'!Maxi_hp)</f>
        <v>37.794322636082605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6.4703016234360478E-2</v>
      </c>
      <c r="M305" s="845"/>
      <c r="N305" s="845"/>
      <c r="O305" s="48">
        <f>IF(t&lt;Tnet,'2025'!Resal+('2025'!Salim-'2025'!Resal)*(1-EXP(('2025'!Tnet-t)/('2025'!Tau_j))),Resal+(Salim-Resal)*(1-EXP((Tnet-t)/(Tau_j))))*Salcycl</f>
        <v>4.8894584427947613E-2</v>
      </c>
      <c r="P305" s="169">
        <f>(INDEX(Models!$BJ305:$BT305,,T305)*(1-R305)+INDEX(Models!$BJ305:$BT305,,T305+1)*R305-ERP_i)*Q305*Ramure*Pc/MaxiM</f>
        <v>7.5592226891485245E-5</v>
      </c>
      <c r="Q305" s="305">
        <f t="shared" si="105"/>
        <v>0.5</v>
      </c>
      <c r="R305" s="177">
        <f t="shared" si="106"/>
        <v>0.97018198214226326</v>
      </c>
      <c r="S305" s="811">
        <f t="shared" si="107"/>
        <v>-2</v>
      </c>
      <c r="T305" s="176">
        <f t="shared" si="108"/>
        <v>4</v>
      </c>
      <c r="U305" s="251">
        <f t="shared" si="109"/>
        <v>-1.0298180178577367</v>
      </c>
      <c r="V305" s="383">
        <f t="shared" si="110"/>
        <v>34.577574978815022</v>
      </c>
      <c r="W305" s="402">
        <f t="shared" si="111"/>
        <v>32.247950740523848</v>
      </c>
      <c r="X305" s="157">
        <f t="shared" si="112"/>
        <v>46313</v>
      </c>
      <c r="Y305" s="385">
        <f t="shared" si="113"/>
        <v>31.160999474046026</v>
      </c>
      <c r="Z305" s="385">
        <f t="shared" si="114"/>
        <v>33.316689794708182</v>
      </c>
      <c r="AA305" s="386">
        <f t="shared" si="115"/>
        <v>36.227197644002793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8.0340408272689748E-2</v>
      </c>
      <c r="AD305" s="231">
        <f>(INDEX(Models!$BJ305:$BT305,,AH305)*(1-AF305)+INDEX(Models!$BJ305:$BT305,,AH305+1)*AF305-ERP_i)*AE305*Ramure*Pc/MaxiM</f>
        <v>8.1210454958173051E-4</v>
      </c>
      <c r="AE305" s="305">
        <f t="shared" si="117"/>
        <v>0.5</v>
      </c>
      <c r="AF305" s="177">
        <f t="shared" si="118"/>
        <v>0.49516954851624195</v>
      </c>
      <c r="AG305" s="811">
        <f t="shared" si="124"/>
        <v>2</v>
      </c>
      <c r="AH305" s="176">
        <f t="shared" si="119"/>
        <v>8</v>
      </c>
      <c r="AI305" s="225">
        <f t="shared" si="120"/>
        <v>2.495169548516242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14.854039532982668</v>
      </c>
      <c r="C306" s="841"/>
      <c r="D306" s="393">
        <f t="shared" si="102"/>
        <v>15.881976676424744</v>
      </c>
      <c r="E306" s="385">
        <f t="shared" si="125"/>
        <v>16.698986595464337</v>
      </c>
      <c r="F306" s="385">
        <f t="shared" si="103"/>
        <v>16.699231739178931</v>
      </c>
      <c r="G306" s="110">
        <f t="shared" si="126"/>
        <v>0.43330664274717079</v>
      </c>
      <c r="H306" s="414" t="b">
        <f>Wh_hp&gt;='2025'!Maxi_hp</f>
        <v>0</v>
      </c>
      <c r="I306" s="390">
        <f>IF(H306,Wh_hp,'2025'!Maxi_hp)</f>
        <v>37.715287299843339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6.4723501638681347E-2</v>
      </c>
      <c r="M306" s="845"/>
      <c r="N306" s="845"/>
      <c r="O306" s="48">
        <f>IF(t&lt;Tnet,'2025'!Resal+('2025'!Salim-'2025'!Resal)*(1-EXP(('2025'!Tnet-t)/('2025'!Tau_j))),Resal+(Salim-Resal)*(1-EXP((Tnet-t)/(Tau_j))))*Salcycl</f>
        <v>4.8925718597888045E-2</v>
      </c>
      <c r="P306" s="169">
        <f>(INDEX(Models!$BJ306:$BT306,,T306)*(1-R306)+INDEX(Models!$BJ306:$BT306,,T306+1)*R306-ERP_i)*Q306*Ramure*Pc/MaxiM</f>
        <v>7.7069483715654476E-5</v>
      </c>
      <c r="Q306" s="305">
        <f t="shared" si="105"/>
        <v>0.5</v>
      </c>
      <c r="R306" s="177">
        <f t="shared" si="106"/>
        <v>0.97027756002369325</v>
      </c>
      <c r="S306" s="811">
        <f t="shared" si="107"/>
        <v>-2</v>
      </c>
      <c r="T306" s="176">
        <f t="shared" si="108"/>
        <v>4</v>
      </c>
      <c r="U306" s="251">
        <f t="shared" si="109"/>
        <v>-1.0297224399763067</v>
      </c>
      <c r="V306" s="383">
        <f t="shared" si="110"/>
        <v>34.278525453603663</v>
      </c>
      <c r="W306" s="402">
        <f t="shared" si="111"/>
        <v>14.854039532982668</v>
      </c>
      <c r="X306" s="157">
        <f t="shared" si="112"/>
        <v>46314</v>
      </c>
      <c r="Y306" s="385">
        <f t="shared" si="113"/>
        <v>14.361797445319493</v>
      </c>
      <c r="Z306" s="385">
        <f t="shared" si="114"/>
        <v>15.355670190026739</v>
      </c>
      <c r="AA306" s="386">
        <f t="shared" si="115"/>
        <v>16.696753349426796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8.0319995829973484E-2</v>
      </c>
      <c r="AD306" s="231">
        <f>(INDEX(Models!$BJ306:$BT306,,AH306)*(1-AF306)+INDEX(Models!$BJ306:$BT306,,AH306+1)*AF306-ERP_i)*AE306*Ramure*Pc/MaxiM</f>
        <v>7.7916832973149504E-4</v>
      </c>
      <c r="AE306" s="305">
        <f t="shared" si="117"/>
        <v>0.5</v>
      </c>
      <c r="AF306" s="177">
        <f t="shared" si="118"/>
        <v>0.49526512639767217</v>
      </c>
      <c r="AG306" s="811">
        <f t="shared" si="124"/>
        <v>2</v>
      </c>
      <c r="AH306" s="176">
        <f t="shared" si="119"/>
        <v>8</v>
      </c>
      <c r="AI306" s="225">
        <f t="shared" si="120"/>
        <v>2.4952651263976722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6.1536913457197766</v>
      </c>
      <c r="C307" s="841"/>
      <c r="D307" s="393">
        <f t="shared" si="102"/>
        <v>6.5796864789048142</v>
      </c>
      <c r="E307" s="385">
        <f t="shared" si="125"/>
        <v>6.9183840496312765</v>
      </c>
      <c r="F307" s="385">
        <f t="shared" si="103"/>
        <v>6.9183840496312765</v>
      </c>
      <c r="G307" s="110">
        <f t="shared" si="126"/>
        <v>0.18108706662560156</v>
      </c>
      <c r="H307" s="414" t="b">
        <f>Wh_hp&gt;='2025'!Maxi_hp</f>
        <v>0</v>
      </c>
      <c r="I307" s="390">
        <f>IF(H307,Wh_hp,'2025'!Maxi_hp)</f>
        <v>31.908942257613869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6.4743986594319347E-2</v>
      </c>
      <c r="M307" s="845"/>
      <c r="N307" s="845"/>
      <c r="O307" s="48">
        <f>IF(t&lt;Tnet,'2025'!Resal+('2025'!Salim-'2025'!Resal)*(1-EXP(('2025'!Tnet-t)/('2025'!Tau_j))),Resal+(Salim-Resal)*(1-EXP((Tnet-t)/(Tau_j))))*Salcycl</f>
        <v>4.8956167841609437E-2</v>
      </c>
      <c r="P307" s="169">
        <f>(INDEX(Models!$BJ307:$BT307,,T307)*(1-R307)+INDEX(Models!$BJ307:$BT307,,T307+1)*R307-ERP_i)*Q307*Ramure*Pc/MaxiM</f>
        <v>7.7801296198934421E-5</v>
      </c>
      <c r="Q307" s="305">
        <f t="shared" si="105"/>
        <v>0.5</v>
      </c>
      <c r="R307" s="177">
        <f t="shared" si="106"/>
        <v>0.97036932413668664</v>
      </c>
      <c r="S307" s="811">
        <f t="shared" si="107"/>
        <v>-2</v>
      </c>
      <c r="T307" s="176">
        <f t="shared" si="108"/>
        <v>4</v>
      </c>
      <c r="U307" s="251">
        <f t="shared" si="109"/>
        <v>-1.0296306758633134</v>
      </c>
      <c r="V307" s="383">
        <f t="shared" si="110"/>
        <v>33.979304514763996</v>
      </c>
      <c r="W307" s="402">
        <f t="shared" si="111"/>
        <v>6.1536913457197766</v>
      </c>
      <c r="X307" s="157">
        <f t="shared" si="112"/>
        <v>46315</v>
      </c>
      <c r="Y307" s="385">
        <f t="shared" si="113"/>
        <v>5.9508912485833116</v>
      </c>
      <c r="Z307" s="385">
        <f t="shared" si="114"/>
        <v>6.3628473522597151</v>
      </c>
      <c r="AA307" s="386">
        <f t="shared" si="115"/>
        <v>6.9183840496312765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8.0298620803100615E-2</v>
      </c>
      <c r="AD307" s="231">
        <f>(INDEX(Models!$BJ307:$BT307,,AH307)*(1-AF307)+INDEX(Models!$BJ307:$BT307,,AH307+1)*AF307-ERP_i)*AE307*Ramure*Pc/MaxiM</f>
        <v>7.487351741422032E-4</v>
      </c>
      <c r="AE307" s="305">
        <f t="shared" si="117"/>
        <v>0.5</v>
      </c>
      <c r="AF307" s="177">
        <f t="shared" si="118"/>
        <v>0.49535689051066534</v>
      </c>
      <c r="AG307" s="811">
        <f t="shared" si="124"/>
        <v>2</v>
      </c>
      <c r="AH307" s="176">
        <f t="shared" si="119"/>
        <v>8</v>
      </c>
      <c r="AI307" s="225">
        <f t="shared" si="120"/>
        <v>2.4953568905106653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15.58553717477206</v>
      </c>
      <c r="C308" s="841"/>
      <c r="D308" s="393">
        <f t="shared" si="102"/>
        <v>16.6648258039606</v>
      </c>
      <c r="E308" s="385">
        <f t="shared" si="125"/>
        <v>17.523217410245891</v>
      </c>
      <c r="F308" s="385">
        <f t="shared" si="103"/>
        <v>17.523534300720129</v>
      </c>
      <c r="G308" s="110">
        <f t="shared" si="126"/>
        <v>0.46272184034425246</v>
      </c>
      <c r="H308" s="414" t="b">
        <f>Wh_hp&gt;='2025'!Maxi_hp</f>
        <v>0</v>
      </c>
      <c r="I308" s="390">
        <f>IF(H308,Wh_hp,'2025'!Maxi_hp)</f>
        <v>24.59946864863414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6.4764471101284138E-2</v>
      </c>
      <c r="M308" s="845"/>
      <c r="N308" s="845"/>
      <c r="O308" s="48">
        <f>IF(t&lt;Tnet,'2025'!Resal+('2025'!Salim-'2025'!Resal)*(1-EXP(('2025'!Tnet-t)/('2025'!Tau_j))),Resal+(Salim-Resal)*(1-EXP((Tnet-t)/(Tau_j))))*Salcycl</f>
        <v>4.8985958810474253E-2</v>
      </c>
      <c r="P308" s="169">
        <f>(INDEX(Models!$BJ308:$BT308,,T308)*(1-R308)+INDEX(Models!$BJ308:$BT308,,T308+1)*R308-ERP_i)*Q308*Ramure*Pc/MaxiM</f>
        <v>7.7779644095719917E-5</v>
      </c>
      <c r="Q308" s="305">
        <f t="shared" si="105"/>
        <v>0.5</v>
      </c>
      <c r="R308" s="177">
        <f t="shared" si="106"/>
        <v>0.97045742533197199</v>
      </c>
      <c r="S308" s="811">
        <f t="shared" si="107"/>
        <v>-2</v>
      </c>
      <c r="T308" s="176">
        <f t="shared" si="108"/>
        <v>4</v>
      </c>
      <c r="U308" s="251">
        <f t="shared" si="109"/>
        <v>-1.029542574668028</v>
      </c>
      <c r="V308" s="383">
        <f t="shared" si="110"/>
        <v>33.68029214510004</v>
      </c>
      <c r="W308" s="402">
        <f t="shared" si="111"/>
        <v>15.58553717477206</v>
      </c>
      <c r="X308" s="157">
        <f t="shared" si="112"/>
        <v>46316</v>
      </c>
      <c r="Y308" s="385">
        <f t="shared" si="113"/>
        <v>15.070486536137491</v>
      </c>
      <c r="Z308" s="385">
        <f t="shared" si="114"/>
        <v>16.114108233124657</v>
      </c>
      <c r="AA308" s="386">
        <f t="shared" si="115"/>
        <v>17.52059748157269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8.0276329042277814E-2</v>
      </c>
      <c r="AD308" s="231">
        <f>(INDEX(Models!$BJ308:$BT308,,AH308)*(1-AF308)+INDEX(Models!$BJ308:$BT308,,AH308+1)*AF308-ERP_i)*AE308*Ramure*Pc/MaxiM</f>
        <v>7.2083185400726997E-4</v>
      </c>
      <c r="AE308" s="305">
        <f t="shared" si="117"/>
        <v>0.5</v>
      </c>
      <c r="AF308" s="177">
        <f t="shared" si="118"/>
        <v>0.49544499170595069</v>
      </c>
      <c r="AG308" s="811">
        <f t="shared" si="124"/>
        <v>2</v>
      </c>
      <c r="AH308" s="176">
        <f t="shared" si="119"/>
        <v>8</v>
      </c>
      <c r="AI308" s="225">
        <f t="shared" si="120"/>
        <v>2.4954449917059507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31.113843689996695</v>
      </c>
      <c r="C309" s="841"/>
      <c r="D309" s="393">
        <f t="shared" si="102"/>
        <v>33.269186441826307</v>
      </c>
      <c r="E309" s="385">
        <f t="shared" si="125"/>
        <v>34.98392789054013</v>
      </c>
      <c r="F309" s="385">
        <f t="shared" si="103"/>
        <v>34.986360266008234</v>
      </c>
      <c r="G309" s="110">
        <f t="shared" si="126"/>
        <v>0.93205122595015044</v>
      </c>
      <c r="H309" s="414" t="b">
        <f>Wh_hp&gt;='2025'!Maxi_hp</f>
        <v>0</v>
      </c>
      <c r="I309" s="390">
        <f>IF(H309,Wh_hp,'2025'!Maxi_hp)</f>
        <v>34.986494661416046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6.4784955159585711E-2</v>
      </c>
      <c r="M309" s="845"/>
      <c r="N309" s="845"/>
      <c r="O309" s="48">
        <f>IF(t&lt;Tnet,'2025'!Resal+('2025'!Salim-'2025'!Resal)*(1-EXP(('2025'!Tnet-t)/('2025'!Tau_j))),Resal+(Salim-Resal)*(1-EXP((Tnet-t)/(Tau_j))))*Salcycl</f>
        <v>4.9015120717119436E-2</v>
      </c>
      <c r="P309" s="169">
        <f>(INDEX(Models!$BJ309:$BT309,,T309)*(1-R309)+INDEX(Models!$BJ309:$BT309,,T309+1)*R309-ERP_i)*Q309*Ramure*Pc/MaxiM</f>
        <v>7.6996826606354524E-5</v>
      </c>
      <c r="Q309" s="305">
        <f t="shared" si="105"/>
        <v>0.5</v>
      </c>
      <c r="R309" s="177">
        <f t="shared" si="106"/>
        <v>0.97054200859781781</v>
      </c>
      <c r="S309" s="811">
        <f t="shared" si="107"/>
        <v>-2</v>
      </c>
      <c r="T309" s="176">
        <f t="shared" si="108"/>
        <v>4</v>
      </c>
      <c r="U309" s="251">
        <f t="shared" si="109"/>
        <v>-1.0294579914021822</v>
      </c>
      <c r="V309" s="383">
        <f t="shared" si="110"/>
        <v>33.381868168573959</v>
      </c>
      <c r="W309" s="402">
        <f t="shared" si="111"/>
        <v>31.113843689996695</v>
      </c>
      <c r="X309" s="157">
        <f t="shared" si="112"/>
        <v>46317</v>
      </c>
      <c r="Y309" s="385">
        <f t="shared" si="113"/>
        <v>30.07500675242234</v>
      </c>
      <c r="Z309" s="385">
        <f t="shared" si="114"/>
        <v>32.158386371504918</v>
      </c>
      <c r="AA309" s="386">
        <f t="shared" si="115"/>
        <v>34.964389479054418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8.025317042159287E-2</v>
      </c>
      <c r="AD309" s="231">
        <f>(INDEX(Models!$BJ309:$BT309,,AH309)*(1-AF309)+INDEX(Models!$BJ309:$BT309,,AH309+1)*AF309-ERP_i)*AE309*Ramure*Pc/MaxiM</f>
        <v>6.9548509088010967E-4</v>
      </c>
      <c r="AE309" s="305">
        <f t="shared" si="117"/>
        <v>0.5</v>
      </c>
      <c r="AF309" s="177">
        <f t="shared" si="118"/>
        <v>0.49552957497179673</v>
      </c>
      <c r="AG309" s="811">
        <f t="shared" si="124"/>
        <v>2</v>
      </c>
      <c r="AH309" s="176">
        <f t="shared" si="119"/>
        <v>8</v>
      </c>
      <c r="AI309" s="225">
        <f t="shared" si="120"/>
        <v>2.4955295749717967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16.214215600025216</v>
      </c>
      <c r="C310" s="841"/>
      <c r="D310" s="393">
        <f t="shared" si="102"/>
        <v>17.337799290327823</v>
      </c>
      <c r="E310" s="385">
        <f t="shared" si="125"/>
        <v>18.231961891322403</v>
      </c>
      <c r="F310" s="385">
        <f t="shared" si="103"/>
        <v>18.232336519179718</v>
      </c>
      <c r="G310" s="110">
        <f t="shared" si="126"/>
        <v>0.49005934650060584</v>
      </c>
      <c r="H310" s="414" t="b">
        <f>Wh_hp&gt;='2025'!Maxi_hp</f>
        <v>0</v>
      </c>
      <c r="I310" s="390">
        <f>IF(H310,Wh_hp,'2025'!Maxi_hp)</f>
        <v>37.419724893736571</v>
      </c>
      <c r="J310" s="85">
        <f>IF(H310,An,'2025'!An_max)</f>
        <v>2018</v>
      </c>
      <c r="K310" s="197">
        <f t="shared" si="104"/>
        <v>46318</v>
      </c>
      <c r="L310" s="147">
        <f>IF(t&lt;Tvie,1-EXP((T0-t)*PertePVj)+'2025'!Pspv,1-EXP((T0-t)*PertePVj)+Pspv)</f>
        <v>6.4805438769233947E-2</v>
      </c>
      <c r="M310" s="845"/>
      <c r="N310" s="845"/>
      <c r="O310" s="48">
        <f>IF(t&lt;Tnet,'2025'!Resal+('2025'!Salim-'2025'!Resal)*(1-EXP(('2025'!Tnet-t)/('2025'!Tau_j))),Resal+(Salim-Resal)*(1-EXP((Tnet-t)/(Tau_j))))*Salcycl</f>
        <v>4.9043685277784743E-2</v>
      </c>
      <c r="P310" s="169">
        <f>(INDEX(Models!$BJ310:$BT310,,T310)*(1-R310)+INDEX(Models!$BJ310:$BT310,,T310+1)*R310-ERP_i)*Q310*Ramure*Pc/MaxiM</f>
        <v>7.5666705485966619E-5</v>
      </c>
      <c r="Q310" s="305">
        <f t="shared" si="105"/>
        <v>0.5</v>
      </c>
      <c r="R310" s="177">
        <f t="shared" si="106"/>
        <v>0.97062321327963952</v>
      </c>
      <c r="S310" s="811">
        <f t="shared" si="107"/>
        <v>-2</v>
      </c>
      <c r="T310" s="176">
        <f t="shared" si="108"/>
        <v>4</v>
      </c>
      <c r="U310" s="251">
        <f t="shared" si="109"/>
        <v>-1.0293767867203605</v>
      </c>
      <c r="V310" s="383">
        <f t="shared" si="110"/>
        <v>33.084404943599431</v>
      </c>
      <c r="W310" s="402">
        <f t="shared" si="111"/>
        <v>16.214215600025216</v>
      </c>
      <c r="X310" s="157">
        <f t="shared" si="112"/>
        <v>46318</v>
      </c>
      <c r="Y310" s="385">
        <f t="shared" si="113"/>
        <v>15.679941082023349</v>
      </c>
      <c r="Z310" s="385">
        <f t="shared" si="114"/>
        <v>16.766501573092672</v>
      </c>
      <c r="AA310" s="386">
        <f t="shared" si="115"/>
        <v>18.228999605009825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8.0229198727681042E-2</v>
      </c>
      <c r="AD310" s="231">
        <f>(INDEX(Models!$BJ310:$BT310,,AH310)*(1-AF310)+INDEX(Models!$BJ310:$BT310,,AH310+1)*AF310-ERP_i)*AE310*Ramure*Pc/MaxiM</f>
        <v>6.7398432016108924E-4</v>
      </c>
      <c r="AE310" s="305">
        <f t="shared" si="117"/>
        <v>0.5</v>
      </c>
      <c r="AF310" s="177">
        <f t="shared" si="118"/>
        <v>0.49561077965361866</v>
      </c>
      <c r="AG310" s="811">
        <f t="shared" si="124"/>
        <v>2</v>
      </c>
      <c r="AH310" s="176">
        <f t="shared" si="119"/>
        <v>8</v>
      </c>
      <c r="AI310" s="225">
        <f t="shared" si="120"/>
        <v>2.4956107796536187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24.033722551180741</v>
      </c>
      <c r="C311" s="841"/>
      <c r="D311" s="393">
        <f t="shared" si="102"/>
        <v>25.699731327869298</v>
      </c>
      <c r="E311" s="385">
        <f t="shared" si="125"/>
        <v>27.025939775628629</v>
      </c>
      <c r="F311" s="385">
        <f t="shared" si="103"/>
        <v>27.027181276837265</v>
      </c>
      <c r="G311" s="110">
        <f t="shared" si="126"/>
        <v>0.7329768940045045</v>
      </c>
      <c r="H311" s="414" t="b">
        <f>Wh_hp&gt;='2025'!Maxi_hp</f>
        <v>0</v>
      </c>
      <c r="I311" s="390">
        <f>IF(H311,Wh_hp,'2025'!Maxi_hp)</f>
        <v>38.572719008292552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6.4825921930238395E-2</v>
      </c>
      <c r="M311" s="845"/>
      <c r="N311" s="845"/>
      <c r="O311" s="48">
        <f>IF(t&lt;Tnet,'2025'!Resal+('2025'!Salim-'2025'!Resal)*(1-EXP(('2025'!Tnet-t)/('2025'!Tau_j))),Resal+(Salim-Resal)*(1-EXP((Tnet-t)/(Tau_j))))*Salcycl</f>
        <v>4.9071686637712254E-2</v>
      </c>
      <c r="P311" s="169">
        <f>(INDEX(Models!$BJ311:$BT311,,T311)*(1-R311)+INDEX(Models!$BJ311:$BT311,,T311+1)*R311-ERP_i)*Q311*Ramure*Pc/MaxiM</f>
        <v>7.4260673791571091E-5</v>
      </c>
      <c r="Q311" s="305">
        <f t="shared" si="105"/>
        <v>0.5</v>
      </c>
      <c r="R311" s="177">
        <f t="shared" si="106"/>
        <v>0.97070117329203232</v>
      </c>
      <c r="S311" s="811">
        <f t="shared" si="107"/>
        <v>-2</v>
      </c>
      <c r="T311" s="176">
        <f t="shared" si="108"/>
        <v>4</v>
      </c>
      <c r="U311" s="251">
        <f t="shared" si="109"/>
        <v>-1.0292988267079677</v>
      </c>
      <c r="V311" s="383">
        <f t="shared" si="110"/>
        <v>32.7882665223092</v>
      </c>
      <c r="W311" s="402">
        <f t="shared" si="111"/>
        <v>24.033722551180741</v>
      </c>
      <c r="X311" s="157">
        <f t="shared" si="112"/>
        <v>46319</v>
      </c>
      <c r="Y311" s="385">
        <f t="shared" si="113"/>
        <v>23.238508852354705</v>
      </c>
      <c r="Z311" s="385">
        <f t="shared" si="114"/>
        <v>24.849393708944501</v>
      </c>
      <c r="AA311" s="386">
        <f t="shared" si="115"/>
        <v>27.016214951650092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8.0204471521398243E-2</v>
      </c>
      <c r="AD311" s="231">
        <f>(INDEX(Models!$BJ311:$BT311,,AH311)*(1-AF311)+INDEX(Models!$BJ311:$BT311,,AH311+1)*AF311-ERP_i)*AE311*Ramure*Pc/MaxiM</f>
        <v>6.5595320548441521E-4</v>
      </c>
      <c r="AE311" s="305">
        <f t="shared" si="117"/>
        <v>0.5</v>
      </c>
      <c r="AF311" s="177">
        <f t="shared" si="118"/>
        <v>0.49568873966601146</v>
      </c>
      <c r="AG311" s="811">
        <f t="shared" si="124"/>
        <v>2</v>
      </c>
      <c r="AH311" s="176">
        <f t="shared" si="119"/>
        <v>8</v>
      </c>
      <c r="AI311" s="225">
        <f t="shared" si="120"/>
        <v>2.4956887396660115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20.727494021546292</v>
      </c>
      <c r="C312" s="841"/>
      <c r="D312" s="393">
        <f t="shared" si="102"/>
        <v>22.164801722892157</v>
      </c>
      <c r="E312" s="385">
        <f t="shared" si="125"/>
        <v>23.30926719206861</v>
      </c>
      <c r="F312" s="385">
        <f t="shared" si="103"/>
        <v>23.310086081654916</v>
      </c>
      <c r="G312" s="110">
        <f t="shared" si="126"/>
        <v>0.63786607785485727</v>
      </c>
      <c r="H312" s="414" t="b">
        <f>Wh_hp&gt;='2025'!Maxi_hp</f>
        <v>0</v>
      </c>
      <c r="I312" s="390">
        <f>IF(H312,Wh_hp,'2025'!Maxi_hp)</f>
        <v>35.926796289859503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6.4846404642609157E-2</v>
      </c>
      <c r="M312" s="845"/>
      <c r="N312" s="845"/>
      <c r="O312" s="48">
        <f>IF(t&lt;Tnet,'2025'!Resal+('2025'!Salim-'2025'!Resal)*(1-EXP(('2025'!Tnet-t)/('2025'!Tau_j))),Resal+(Salim-Resal)*(1-EXP((Tnet-t)/(Tau_j))))*Salcycl</f>
        <v>4.9099161279762472E-2</v>
      </c>
      <c r="P312" s="169">
        <f>(INDEX(Models!$BJ312:$BT312,,T312)*(1-R312)+INDEX(Models!$BJ312:$BT312,,T312+1)*R312-ERP_i)*Q312*Ramure*Pc/MaxiM</f>
        <v>7.2778659317610314E-5</v>
      </c>
      <c r="Q312" s="305">
        <f t="shared" si="105"/>
        <v>0.5</v>
      </c>
      <c r="R312" s="177">
        <f t="shared" si="106"/>
        <v>0.97077601732344054</v>
      </c>
      <c r="S312" s="811">
        <f t="shared" si="107"/>
        <v>-2</v>
      </c>
      <c r="T312" s="176">
        <f t="shared" si="108"/>
        <v>4</v>
      </c>
      <c r="U312" s="251">
        <f t="shared" si="109"/>
        <v>-1.0292239826765595</v>
      </c>
      <c r="V312" s="383">
        <f t="shared" si="110"/>
        <v>32.493832729030856</v>
      </c>
      <c r="W312" s="402">
        <f t="shared" si="111"/>
        <v>20.727494021546292</v>
      </c>
      <c r="X312" s="157">
        <f t="shared" si="112"/>
        <v>46320</v>
      </c>
      <c r="Y312" s="385">
        <f t="shared" si="113"/>
        <v>20.044518866236192</v>
      </c>
      <c r="Z312" s="385">
        <f t="shared" si="114"/>
        <v>21.434466985688815</v>
      </c>
      <c r="AA312" s="386">
        <f t="shared" si="115"/>
        <v>23.302868873618618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8.0179049972899999E-2</v>
      </c>
      <c r="AD312" s="231">
        <f>(INDEX(Models!$BJ312:$BT312,,AH312)*(1-AF312)+INDEX(Models!$BJ312:$BT312,,AH312+1)*AF312-ERP_i)*AE312*Ramure*Pc/MaxiM</f>
        <v>6.4142801872496395E-4</v>
      </c>
      <c r="AE312" s="305">
        <f t="shared" si="117"/>
        <v>0.5</v>
      </c>
      <c r="AF312" s="177">
        <f t="shared" si="118"/>
        <v>0.49576358369741946</v>
      </c>
      <c r="AG312" s="811">
        <f t="shared" si="124"/>
        <v>2</v>
      </c>
      <c r="AH312" s="176">
        <f t="shared" si="119"/>
        <v>8</v>
      </c>
      <c r="AI312" s="225">
        <f t="shared" si="120"/>
        <v>2.4957635836974195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12.992459122499787</v>
      </c>
      <c r="C313" s="841"/>
      <c r="D313" s="393">
        <f t="shared" si="102"/>
        <v>13.89370020222856</v>
      </c>
      <c r="E313" s="385">
        <f t="shared" si="125"/>
        <v>14.611507269640418</v>
      </c>
      <c r="F313" s="385">
        <f t="shared" si="103"/>
        <v>14.61166109739327</v>
      </c>
      <c r="G313" s="110">
        <f t="shared" si="126"/>
        <v>0.40344944513785697</v>
      </c>
      <c r="H313" s="414" t="b">
        <f>Wh_hp&gt;='2025'!Maxi_hp</f>
        <v>0</v>
      </c>
      <c r="I313" s="390">
        <f>IF(H313,Wh_hp,'2025'!Maxi_hp)</f>
        <v>37.208706699200022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6.4866886906355892E-2</v>
      </c>
      <c r="M313" s="845"/>
      <c r="N313" s="845"/>
      <c r="O313" s="48">
        <f>IF(t&lt;Tnet,'2025'!Resal+('2025'!Salim-'2025'!Resal)*(1-EXP(('2025'!Tnet-t)/('2025'!Tau_j))),Resal+(Salim-Resal)*(1-EXP((Tnet-t)/(Tau_j))))*Salcycl</f>
        <v>4.9126147916533407E-2</v>
      </c>
      <c r="P313" s="169">
        <f>(INDEX(Models!$BJ313:$BT313,,T313)*(1-R313)+INDEX(Models!$BJ313:$BT313,,T313+1)*R313-ERP_i)*Q313*Ramure*Pc/MaxiM</f>
        <v>7.12200358251804E-5</v>
      </c>
      <c r="Q313" s="305">
        <f t="shared" si="105"/>
        <v>0.5</v>
      </c>
      <c r="R313" s="177">
        <f t="shared" si="106"/>
        <v>0.97084786903366993</v>
      </c>
      <c r="S313" s="811">
        <f t="shared" si="107"/>
        <v>-2</v>
      </c>
      <c r="T313" s="176">
        <f t="shared" si="108"/>
        <v>4</v>
      </c>
      <c r="U313" s="251">
        <f t="shared" si="109"/>
        <v>-1.0291521309663301</v>
      </c>
      <c r="V313" s="383">
        <f t="shared" si="110"/>
        <v>32.201483304982638</v>
      </c>
      <c r="W313" s="402">
        <f t="shared" si="111"/>
        <v>12.992459122499787</v>
      </c>
      <c r="X313" s="157">
        <f t="shared" si="112"/>
        <v>46321</v>
      </c>
      <c r="Y313" s="385">
        <f t="shared" si="113"/>
        <v>12.567478439613751</v>
      </c>
      <c r="Z313" s="385">
        <f t="shared" si="114"/>
        <v>13.439240107793344</v>
      </c>
      <c r="AA313" s="386">
        <f t="shared" si="115"/>
        <v>14.610299417590783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8.0152998670751791E-2</v>
      </c>
      <c r="AD313" s="231">
        <f>(INDEX(Models!$BJ313:$BT313,,AH313)*(1-AF313)+INDEX(Models!$BJ313:$BT313,,AH313+1)*AF313-ERP_i)*AE313*Ramure*Pc/MaxiM</f>
        <v>6.3043815253032798E-4</v>
      </c>
      <c r="AE313" s="305">
        <f t="shared" si="117"/>
        <v>0.5</v>
      </c>
      <c r="AF313" s="177">
        <f t="shared" si="118"/>
        <v>0.49583543540764907</v>
      </c>
      <c r="AG313" s="811">
        <f t="shared" si="124"/>
        <v>2</v>
      </c>
      <c r="AH313" s="176">
        <f t="shared" si="119"/>
        <v>8</v>
      </c>
      <c r="AI313" s="225">
        <f t="shared" si="120"/>
        <v>2.4958354354076491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13.877332655624732</v>
      </c>
      <c r="C314" s="841"/>
      <c r="D314" s="393">
        <f t="shared" si="102"/>
        <v>14.840279332609661</v>
      </c>
      <c r="E314" s="385">
        <f t="shared" si="125"/>
        <v>15.607426276997199</v>
      </c>
      <c r="F314" s="385">
        <f t="shared" si="103"/>
        <v>15.607635523889609</v>
      </c>
      <c r="G314" s="110">
        <f t="shared" si="126"/>
        <v>0.43484356674858754</v>
      </c>
      <c r="H314" s="414" t="b">
        <f>Wh_hp&gt;='2025'!Maxi_hp</f>
        <v>0</v>
      </c>
      <c r="I314" s="390">
        <f>IF(H314,Wh_hp,'2025'!Maxi_hp)</f>
        <v>29.570719829876996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6.4887368721488592E-2</v>
      </c>
      <c r="M314" s="845"/>
      <c r="N314" s="845"/>
      <c r="O314" s="48">
        <f>IF(t&lt;Tnet,'2025'!Resal+('2025'!Salim-'2025'!Resal)*(1-EXP(('2025'!Tnet-t)/('2025'!Tau_j))),Resal+(Salim-Resal)*(1-EXP((Tnet-t)/(Tau_j))))*Salcycl</f>
        <v>4.9152687366410056E-2</v>
      </c>
      <c r="P314" s="169">
        <f>(INDEX(Models!$BJ314:$BT314,,T314)*(1-R314)+INDEX(Models!$BJ314:$BT314,,T314+1)*R314-ERP_i)*Q314*Ramure*Pc/MaxiM</f>
        <v>6.9584263504529303E-5</v>
      </c>
      <c r="Q314" s="305">
        <f t="shared" si="105"/>
        <v>0.5</v>
      </c>
      <c r="R314" s="177">
        <f t="shared" si="106"/>
        <v>0.97091684724444738</v>
      </c>
      <c r="S314" s="811">
        <f t="shared" si="107"/>
        <v>-2</v>
      </c>
      <c r="T314" s="176">
        <f t="shared" si="108"/>
        <v>4</v>
      </c>
      <c r="U314" s="251">
        <f t="shared" si="109"/>
        <v>-1.0290831527555526</v>
      </c>
      <c r="V314" s="383">
        <f t="shared" si="110"/>
        <v>31.911597897604146</v>
      </c>
      <c r="W314" s="402">
        <f t="shared" si="111"/>
        <v>13.877332655624732</v>
      </c>
      <c r="X314" s="157">
        <f t="shared" si="112"/>
        <v>46322</v>
      </c>
      <c r="Y314" s="385">
        <f t="shared" si="113"/>
        <v>13.42384924912116</v>
      </c>
      <c r="Z314" s="385">
        <f t="shared" si="114"/>
        <v>14.355328759454045</v>
      </c>
      <c r="AA314" s="386">
        <f t="shared" si="115"/>
        <v>15.605762065247115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8.0126385405919556E-2</v>
      </c>
      <c r="AD314" s="231">
        <f>(INDEX(Models!$BJ314:$BT314,,AH314)*(1-AF314)+INDEX(Models!$BJ314:$BT314,,AH314+1)*AF314-ERP_i)*AE314*Ramure*Pc/MaxiM</f>
        <v>6.2301159335115546E-4</v>
      </c>
      <c r="AE314" s="305">
        <f t="shared" si="117"/>
        <v>0.5</v>
      </c>
      <c r="AF314" s="177">
        <f t="shared" si="118"/>
        <v>0.49590441361842608</v>
      </c>
      <c r="AG314" s="811">
        <f t="shared" si="124"/>
        <v>2</v>
      </c>
      <c r="AH314" s="176">
        <f t="shared" si="119"/>
        <v>8</v>
      </c>
      <c r="AI314" s="225">
        <f t="shared" si="120"/>
        <v>2.4959044136184261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16.387284967207083</v>
      </c>
      <c r="C315" s="841"/>
      <c r="D315" s="393">
        <f t="shared" si="102"/>
        <v>17.524780813045602</v>
      </c>
      <c r="E315" s="385">
        <f t="shared" si="125"/>
        <v>18.431205810476964</v>
      </c>
      <c r="F315" s="385">
        <f t="shared" si="103"/>
        <v>18.431595723692336</v>
      </c>
      <c r="G315" s="110">
        <f t="shared" si="126"/>
        <v>0.51815808455172074</v>
      </c>
      <c r="H315" s="414" t="b">
        <f>Wh_hp&gt;='2025'!Maxi_hp</f>
        <v>0</v>
      </c>
      <c r="I315" s="390">
        <f>IF(H315,Wh_hp,'2025'!Maxi_hp)</f>
        <v>24.903019933810778</v>
      </c>
      <c r="J315" s="85">
        <f>IF(H315,An,'2025'!An_max)</f>
        <v>2020</v>
      </c>
      <c r="K315" s="197">
        <f t="shared" si="104"/>
        <v>46323</v>
      </c>
      <c r="L315" s="147">
        <f>IF(t&lt;Tvie,1-EXP((T0-t)*PertePVj)+'2025'!Pspv,1-EXP((T0-t)*PertePVj)+Pspv)</f>
        <v>6.4907850088016805E-2</v>
      </c>
      <c r="M315" s="845"/>
      <c r="N315" s="845"/>
      <c r="O315" s="48">
        <f>IF(t&lt;Tnet,'2025'!Resal+('2025'!Salim-'2025'!Resal)*(1-EXP(('2025'!Tnet-t)/('2025'!Tau_j))),Resal+(Salim-Resal)*(1-EXP((Tnet-t)/(Tau_j))))*Salcycl</f>
        <v>4.9178822414110056E-2</v>
      </c>
      <c r="P315" s="169">
        <f>(INDEX(Models!$BJ315:$BT315,,T315)*(1-R315)+INDEX(Models!$BJ315:$BT315,,T315+1)*R315-ERP_i)*Q315*Ramure*Pc/MaxiM</f>
        <v>6.7870892164200683E-5</v>
      </c>
      <c r="Q315" s="305">
        <f t="shared" si="105"/>
        <v>0.5</v>
      </c>
      <c r="R315" s="177">
        <f t="shared" si="106"/>
        <v>0.97098306612322949</v>
      </c>
      <c r="S315" s="811">
        <f t="shared" si="107"/>
        <v>-2</v>
      </c>
      <c r="T315" s="176">
        <f t="shared" si="108"/>
        <v>4</v>
      </c>
      <c r="U315" s="251">
        <f t="shared" si="109"/>
        <v>-1.0290169338767705</v>
      </c>
      <c r="V315" s="383">
        <f t="shared" si="110"/>
        <v>31.624556069903942</v>
      </c>
      <c r="W315" s="402">
        <f t="shared" si="111"/>
        <v>16.387284967207083</v>
      </c>
      <c r="X315" s="157">
        <f t="shared" si="112"/>
        <v>46323</v>
      </c>
      <c r="Y315" s="385">
        <f t="shared" si="113"/>
        <v>15.851650303906778</v>
      </c>
      <c r="Z315" s="385">
        <f t="shared" si="114"/>
        <v>16.951965969769756</v>
      </c>
      <c r="AA315" s="386">
        <f t="shared" si="115"/>
        <v>18.428038611535516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8.0099280931708858E-2</v>
      </c>
      <c r="AD315" s="231">
        <f>(INDEX(Models!$BJ315:$BT315,,AH315)*(1-AF315)+INDEX(Models!$BJ315:$BT315,,AH315+1)*AF315-ERP_i)*AE315*Ramure*Pc/MaxiM</f>
        <v>6.1917464218547494E-4</v>
      </c>
      <c r="AE315" s="305">
        <f t="shared" si="117"/>
        <v>0.5</v>
      </c>
      <c r="AF315" s="177">
        <f t="shared" si="118"/>
        <v>0.49597063249720819</v>
      </c>
      <c r="AG315" s="811">
        <f t="shared" si="124"/>
        <v>2</v>
      </c>
      <c r="AH315" s="176">
        <f t="shared" si="119"/>
        <v>8</v>
      </c>
      <c r="AI315" s="225">
        <f t="shared" si="120"/>
        <v>2.4959706324972082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25.73323478805484</v>
      </c>
      <c r="C316" s="841"/>
      <c r="D316" s="393">
        <f t="shared" si="102"/>
        <v>27.520066794172759</v>
      </c>
      <c r="E316" s="385">
        <f t="shared" si="125"/>
        <v>28.944257330588449</v>
      </c>
      <c r="F316" s="385">
        <f t="shared" si="103"/>
        <v>28.945681156316361</v>
      </c>
      <c r="G316" s="110">
        <f t="shared" si="126"/>
        <v>0.82106556332697989</v>
      </c>
      <c r="H316" s="414" t="b">
        <f>Wh_hp&gt;='2025'!Maxi_hp</f>
        <v>0</v>
      </c>
      <c r="I316" s="390">
        <f>IF(H316,Wh_hp,'2025'!Maxi_hp)</f>
        <v>29.923980500554308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6.4928331005950635E-2</v>
      </c>
      <c r="M316" s="845"/>
      <c r="N316" s="845"/>
      <c r="O316" s="48">
        <f>IF(t&lt;Tnet,'2025'!Resal+('2025'!Salim-'2025'!Resal)*(1-EXP(('2025'!Tnet-t)/('2025'!Tau_j))),Resal+(Salim-Resal)*(1-EXP((Tnet-t)/(Tau_j))))*Salcycl</f>
        <v>4.9204597656426916E-2</v>
      </c>
      <c r="P316" s="169">
        <f>(INDEX(Models!$BJ316:$BT316,,T316)*(1-R316)+INDEX(Models!$BJ316:$BT316,,T316+1)*R316-ERP_i)*Q316*Ramure*Pc/MaxiM</f>
        <v>6.6079564358956786E-5</v>
      </c>
      <c r="Q316" s="305">
        <f t="shared" si="105"/>
        <v>0.5</v>
      </c>
      <c r="R316" s="177">
        <f t="shared" si="106"/>
        <v>0.97104663536046565</v>
      </c>
      <c r="S316" s="811">
        <f t="shared" si="107"/>
        <v>-2</v>
      </c>
      <c r="T316" s="176">
        <f t="shared" si="108"/>
        <v>4</v>
      </c>
      <c r="U316" s="251">
        <f t="shared" si="109"/>
        <v>-1.0289533646395344</v>
      </c>
      <c r="V316" s="383">
        <f t="shared" si="110"/>
        <v>31.340737307650844</v>
      </c>
      <c r="W316" s="402">
        <f t="shared" si="111"/>
        <v>25.73323478805484</v>
      </c>
      <c r="X316" s="157">
        <f t="shared" si="112"/>
        <v>46324</v>
      </c>
      <c r="Y316" s="385">
        <f t="shared" si="113"/>
        <v>24.887569075368891</v>
      </c>
      <c r="Z316" s="385">
        <f t="shared" si="114"/>
        <v>26.615680808876341</v>
      </c>
      <c r="AA316" s="386">
        <f t="shared" si="115"/>
        <v>28.932344517754213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8.0071758700932832E-2</v>
      </c>
      <c r="AD316" s="231">
        <f>(INDEX(Models!$BJ316:$BT316,,AH316)*(1-AF316)+INDEX(Models!$BJ316:$BT316,,AH316+1)*AF316-ERP_i)*AE316*Ramure*Pc/MaxiM</f>
        <v>6.1895163777638419E-4</v>
      </c>
      <c r="AE316" s="305">
        <f t="shared" si="117"/>
        <v>0.5</v>
      </c>
      <c r="AF316" s="177">
        <f t="shared" si="118"/>
        <v>0.49603420173444457</v>
      </c>
      <c r="AG316" s="811">
        <f t="shared" si="124"/>
        <v>2</v>
      </c>
      <c r="AH316" s="176">
        <f t="shared" si="119"/>
        <v>8</v>
      </c>
      <c r="AI316" s="225">
        <f t="shared" si="120"/>
        <v>2.4960342017344446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21.287079460012009</v>
      </c>
      <c r="C317" s="841"/>
      <c r="D317" s="393">
        <f t="shared" si="102"/>
        <v>22.765683548938341</v>
      </c>
      <c r="E317" s="385">
        <f t="shared" si="125"/>
        <v>23.944471291331983</v>
      </c>
      <c r="F317" s="385">
        <f t="shared" si="103"/>
        <v>23.945317818536751</v>
      </c>
      <c r="G317" s="110">
        <f t="shared" si="126"/>
        <v>0.68536152797626471</v>
      </c>
      <c r="H317" s="414" t="b">
        <f>Wh_hp&gt;='2025'!Maxi_hp</f>
        <v>0</v>
      </c>
      <c r="I317" s="390">
        <f>IF(H317,Wh_hp,'2025'!Maxi_hp)</f>
        <v>33.09982659368044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6.494881147529985E-2</v>
      </c>
      <c r="M317" s="845"/>
      <c r="N317" s="845"/>
      <c r="O317" s="48">
        <f>IF(t&lt;Tnet,'2025'!Resal+('2025'!Salim-'2025'!Resal)*(1-EXP(('2025'!Tnet-t)/('2025'!Tau_j))),Resal+(Salim-Resal)*(1-EXP((Tnet-t)/(Tau_j))))*Salcycl</f>
        <v>4.9230059334004532E-2</v>
      </c>
      <c r="P317" s="169">
        <f>(INDEX(Models!$BJ317:$BT317,,T317)*(1-R317)+INDEX(Models!$BJ317:$BT317,,T317+1)*R317-ERP_i)*Q317*Ramure*Pc/MaxiM</f>
        <v>6.4213701620227266E-5</v>
      </c>
      <c r="Q317" s="305">
        <f t="shared" si="105"/>
        <v>0.5</v>
      </c>
      <c r="R317" s="177">
        <f t="shared" si="106"/>
        <v>0.97110766034050822</v>
      </c>
      <c r="S317" s="811">
        <f t="shared" si="107"/>
        <v>-2</v>
      </c>
      <c r="T317" s="176">
        <f t="shared" si="108"/>
        <v>4</v>
      </c>
      <c r="U317" s="251">
        <f t="shared" si="109"/>
        <v>-1.0288923396594918</v>
      </c>
      <c r="V317" s="383">
        <f t="shared" si="110"/>
        <v>31.058739364567447</v>
      </c>
      <c r="W317" s="402">
        <f t="shared" si="111"/>
        <v>21.287079460012009</v>
      </c>
      <c r="X317" s="157">
        <f t="shared" si="112"/>
        <v>46325</v>
      </c>
      <c r="Y317" s="385">
        <f t="shared" si="113"/>
        <v>20.590849187561293</v>
      </c>
      <c r="Z317" s="385">
        <f t="shared" si="114"/>
        <v>22.021093005666362</v>
      </c>
      <c r="AA317" s="386">
        <f t="shared" si="115"/>
        <v>23.937112733933887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8.0043894581794006E-2</v>
      </c>
      <c r="AD317" s="231">
        <f>(INDEX(Models!$BJ317:$BT317,,AH317)*(1-AF317)+INDEX(Models!$BJ317:$BT317,,AH317+1)*AF317-ERP_i)*AE317*Ramure*Pc/MaxiM</f>
        <v>6.2240038062476408E-4</v>
      </c>
      <c r="AE317" s="305">
        <f t="shared" si="117"/>
        <v>0.5</v>
      </c>
      <c r="AF317" s="177">
        <f t="shared" si="118"/>
        <v>0.49609522671448714</v>
      </c>
      <c r="AG317" s="811">
        <f t="shared" si="124"/>
        <v>2</v>
      </c>
      <c r="AH317" s="176">
        <f t="shared" si="119"/>
        <v>8</v>
      </c>
      <c r="AI317" s="225">
        <f t="shared" si="120"/>
        <v>2.4960952267144871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20.781844686218932</v>
      </c>
      <c r="C318" s="841"/>
      <c r="D318" s="393">
        <f t="shared" si="102"/>
        <v>22.225841886487814</v>
      </c>
      <c r="E318" s="385">
        <f t="shared" si="125"/>
        <v>23.377296594993823</v>
      </c>
      <c r="F318" s="385">
        <f t="shared" si="103"/>
        <v>23.378079052160498</v>
      </c>
      <c r="G318" s="110">
        <f t="shared" si="126"/>
        <v>0.6752164858321108</v>
      </c>
      <c r="H318" s="414" t="b">
        <f>Wh_hp&gt;='2025'!Maxi_hp</f>
        <v>0</v>
      </c>
      <c r="I318" s="390">
        <f>IF(H318,Wh_hp,'2025'!Maxi_hp)</f>
        <v>33.51042975379562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6.4969291496074111E-2</v>
      </c>
      <c r="M318" s="845"/>
      <c r="N318" s="845"/>
      <c r="O318" s="48">
        <f>IF(t&lt;Tnet,'2025'!Resal+('2025'!Salim-'2025'!Resal)*(1-EXP(('2025'!Tnet-t)/('2025'!Tau_j))),Resal+(Salim-Resal)*(1-EXP((Tnet-t)/(Tau_j))))*Salcycl</f>
        <v>4.9255255150101124E-2</v>
      </c>
      <c r="P318" s="169">
        <f>(INDEX(Models!$BJ318:$BT318,,T318)*(1-R318)+INDEX(Models!$BJ318:$BT318,,T318+1)*R318-ERP_i)*Q318*Ramure*Pc/MaxiM</f>
        <v>6.2437461561152822E-5</v>
      </c>
      <c r="Q318" s="305">
        <f t="shared" si="105"/>
        <v>0.5</v>
      </c>
      <c r="R318" s="177">
        <f t="shared" si="106"/>
        <v>0.97116624230636917</v>
      </c>
      <c r="S318" s="811">
        <f t="shared" si="107"/>
        <v>-2</v>
      </c>
      <c r="T318" s="176">
        <f t="shared" si="108"/>
        <v>4</v>
      </c>
      <c r="U318" s="251">
        <f t="shared" si="109"/>
        <v>-1.0288337576936308</v>
      </c>
      <c r="V318" s="383">
        <f t="shared" si="110"/>
        <v>30.777155324970916</v>
      </c>
      <c r="W318" s="402">
        <f t="shared" si="111"/>
        <v>20.781844686218932</v>
      </c>
      <c r="X318" s="157">
        <f t="shared" si="112"/>
        <v>46326</v>
      </c>
      <c r="Y318" s="385">
        <f t="shared" si="113"/>
        <v>20.103346211530589</v>
      </c>
      <c r="Z318" s="385">
        <f t="shared" si="114"/>
        <v>21.500198901163877</v>
      </c>
      <c r="AA318" s="386">
        <f t="shared" si="115"/>
        <v>23.370181922176968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8.0015766554157E-2</v>
      </c>
      <c r="AD318" s="231">
        <f>(INDEX(Models!$BJ318:$BT318,,AH318)*(1-AF318)+INDEX(Models!$BJ318:$BT318,,AH318+1)*AF318-ERP_i)*AE318*Ramure*Pc/MaxiM</f>
        <v>6.3016452630311015E-4</v>
      </c>
      <c r="AE318" s="305">
        <f t="shared" si="117"/>
        <v>0.5</v>
      </c>
      <c r="AF318" s="177">
        <f t="shared" si="118"/>
        <v>0.49615380868034809</v>
      </c>
      <c r="AG318" s="811">
        <f t="shared" si="124"/>
        <v>2</v>
      </c>
      <c r="AH318" s="176">
        <f t="shared" si="119"/>
        <v>8</v>
      </c>
      <c r="AI318" s="225">
        <f t="shared" si="120"/>
        <v>2.4961538086803481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22.10644235135479</v>
      </c>
      <c r="C319" s="841"/>
      <c r="D319" s="393">
        <f t="shared" si="102"/>
        <v>23.642995196546899</v>
      </c>
      <c r="E319" s="385">
        <f t="shared" si="125"/>
        <v>24.868521770559511</v>
      </c>
      <c r="F319" s="385">
        <f t="shared" si="103"/>
        <v>24.869443181111023</v>
      </c>
      <c r="G319" s="110">
        <f t="shared" si="126"/>
        <v>0.7248705967035759</v>
      </c>
      <c r="H319" s="414" t="b">
        <f>Wh_hp&gt;='2025'!Maxi_hp</f>
        <v>0</v>
      </c>
      <c r="I319" s="390">
        <f>IF(H319,Wh_hp,'2025'!Maxi_hp)</f>
        <v>32.377451552901285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6.4989771068283408E-2</v>
      </c>
      <c r="M319" s="845"/>
      <c r="N319" s="845"/>
      <c r="O319" s="48">
        <f>IF(t&lt;Tnet,'2025'!Resal+('2025'!Salim-'2025'!Resal)*(1-EXP(('2025'!Tnet-t)/('2025'!Tau_j))),Resal+(Salim-Resal)*(1-EXP((Tnet-t)/(Tau_j))))*Salcycl</f>
        <v>4.9280234077420972E-2</v>
      </c>
      <c r="P319" s="169">
        <f>(INDEX(Models!$BJ319:$BT319,,T319)*(1-R319)+INDEX(Models!$BJ319:$BT319,,T319+1)*R319-ERP_i)*Q319*Ramure*Pc/MaxiM</f>
        <v>6.1039463420048954E-5</v>
      </c>
      <c r="Q319" s="305">
        <f t="shared" si="105"/>
        <v>0.5</v>
      </c>
      <c r="R319" s="177">
        <f t="shared" si="106"/>
        <v>0.97122247851851085</v>
      </c>
      <c r="S319" s="811">
        <f t="shared" si="107"/>
        <v>-2</v>
      </c>
      <c r="T319" s="176">
        <f t="shared" si="108"/>
        <v>4</v>
      </c>
      <c r="U319" s="251">
        <f t="shared" si="109"/>
        <v>-1.0287775214814892</v>
      </c>
      <c r="V319" s="383">
        <f t="shared" si="110"/>
        <v>30.496356326885973</v>
      </c>
      <c r="W319" s="402">
        <f t="shared" si="111"/>
        <v>22.10644235135479</v>
      </c>
      <c r="X319" s="157">
        <f t="shared" si="112"/>
        <v>46327</v>
      </c>
      <c r="Y319" s="385">
        <f t="shared" si="113"/>
        <v>21.384912362575566</v>
      </c>
      <c r="Z319" s="385">
        <f t="shared" si="114"/>
        <v>22.871313811196067</v>
      </c>
      <c r="AA319" s="386">
        <f t="shared" si="115"/>
        <v>24.85978470650489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7.998745438807088E-2</v>
      </c>
      <c r="AD319" s="231">
        <f>(INDEX(Models!$BJ319:$BT319,,AH319)*(1-AF319)+INDEX(Models!$BJ319:$BT319,,AH319+1)*AF319-ERP_i)*AE319*Ramure*Pc/MaxiM</f>
        <v>6.3983216433240837E-4</v>
      </c>
      <c r="AE319" s="305">
        <f t="shared" si="117"/>
        <v>0.5</v>
      </c>
      <c r="AF319" s="177">
        <f t="shared" si="118"/>
        <v>0.49621004489248977</v>
      </c>
      <c r="AG319" s="811">
        <f t="shared" si="124"/>
        <v>2</v>
      </c>
      <c r="AH319" s="176">
        <f t="shared" si="119"/>
        <v>8</v>
      </c>
      <c r="AI319" s="225">
        <f t="shared" si="120"/>
        <v>2.4962100448924898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26.568812059471746</v>
      </c>
      <c r="C320" s="841"/>
      <c r="D320" s="393">
        <f t="shared" si="102"/>
        <v>28.416153294649348</v>
      </c>
      <c r="E320" s="385">
        <f t="shared" si="125"/>
        <v>29.889874959048569</v>
      </c>
      <c r="F320" s="385">
        <f t="shared" si="103"/>
        <v>29.891359679384514</v>
      </c>
      <c r="G320" s="110">
        <f t="shared" si="126"/>
        <v>0.87926601156827555</v>
      </c>
      <c r="H320" s="414" t="b">
        <f>Wh_hp&gt;='2025'!Maxi_hp</f>
        <v>0</v>
      </c>
      <c r="I320" s="390">
        <f>IF(H320,Wh_hp,'2025'!Maxi_hp)</f>
        <v>29.891518614278709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6.5010250191937513E-2</v>
      </c>
      <c r="M320" s="845"/>
      <c r="N320" s="845"/>
      <c r="O320" s="48">
        <f>IF(t&lt;Tnet,'2025'!Resal+('2025'!Salim-'2025'!Resal)*(1-EXP(('2025'!Tnet-t)/('2025'!Tau_j))),Resal+(Salim-Resal)*(1-EXP((Tnet-t)/(Tau_j))))*Salcycl</f>
        <v>4.9305046154202219E-2</v>
      </c>
      <c r="P320" s="169">
        <f>(INDEX(Models!$BJ320:$BT320,,T320)*(1-R320)+INDEX(Models!$BJ320:$BT320,,T320+1)*R320-ERP_i)*Q320*Ramure*Pc/MaxiM</f>
        <v>6.0022233952148801E-5</v>
      </c>
      <c r="Q320" s="305">
        <f t="shared" si="105"/>
        <v>0.5</v>
      </c>
      <c r="R320" s="177">
        <f t="shared" si="106"/>
        <v>0.97127646240786492</v>
      </c>
      <c r="S320" s="811">
        <f t="shared" si="107"/>
        <v>-2</v>
      </c>
      <c r="T320" s="176">
        <f t="shared" si="108"/>
        <v>4</v>
      </c>
      <c r="U320" s="251">
        <f t="shared" si="109"/>
        <v>-1.0287235375921351</v>
      </c>
      <c r="V320" s="383">
        <f t="shared" si="110"/>
        <v>30.216722430257725</v>
      </c>
      <c r="W320" s="402">
        <f t="shared" si="111"/>
        <v>26.568812059471746</v>
      </c>
      <c r="X320" s="157">
        <f t="shared" si="112"/>
        <v>46328</v>
      </c>
      <c r="Y320" s="385">
        <f t="shared" si="113"/>
        <v>25.699549206282718</v>
      </c>
      <c r="Z320" s="385">
        <f t="shared" si="114"/>
        <v>27.486450211415043</v>
      </c>
      <c r="AA320" s="386">
        <f t="shared" si="115"/>
        <v>29.875246196319907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7.9959039306565505E-2</v>
      </c>
      <c r="AD320" s="231">
        <f>(INDEX(Models!$BJ320:$BT320,,AH320)*(1-AF320)+INDEX(Models!$BJ320:$BT320,,AH320+1)*AF320-ERP_i)*AE320*Ramure*Pc/MaxiM</f>
        <v>6.5141375575791154E-4</v>
      </c>
      <c r="AE320" s="305">
        <f t="shared" si="117"/>
        <v>0.5</v>
      </c>
      <c r="AF320" s="177">
        <f t="shared" si="118"/>
        <v>0.49626402878184406</v>
      </c>
      <c r="AG320" s="811">
        <f t="shared" si="124"/>
        <v>2</v>
      </c>
      <c r="AH320" s="176">
        <f t="shared" si="119"/>
        <v>8</v>
      </c>
      <c r="AI320" s="225">
        <f t="shared" si="120"/>
        <v>2.4962640287818441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9.1232032250062396</v>
      </c>
      <c r="C321" s="841"/>
      <c r="D321" s="393">
        <f t="shared" si="102"/>
        <v>9.757757293938818</v>
      </c>
      <c r="E321" s="385">
        <f t="shared" si="125"/>
        <v>10.264081803975886</v>
      </c>
      <c r="F321" s="385">
        <f t="shared" si="103"/>
        <v>10.264085923002439</v>
      </c>
      <c r="G321" s="110">
        <f t="shared" si="126"/>
        <v>0.30471213815768594</v>
      </c>
      <c r="H321" s="414" t="b">
        <f>Wh_hp&gt;='2025'!Maxi_hp</f>
        <v>0</v>
      </c>
      <c r="I321" s="390">
        <f>IF(H321,Wh_hp,'2025'!Maxi_hp)</f>
        <v>30.00122544451607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6.5030728867046195E-2</v>
      </c>
      <c r="M321" s="845"/>
      <c r="N321" s="845"/>
      <c r="O321" s="48">
        <f>IF(t&lt;Tnet,'2025'!Resal+('2025'!Salim-'2025'!Resal)*(1-EXP(('2025'!Tnet-t)/('2025'!Tau_j))),Resal+(Salim-Resal)*(1-EXP((Tnet-t)/(Tau_j))))*Salcycl</f>
        <v>4.9329742270851608E-2</v>
      </c>
      <c r="P321" s="169">
        <f>(INDEX(Models!$BJ321:$BT321,,T321)*(1-R321)+INDEX(Models!$BJ321:$BT321,,T321+1)*R321-ERP_i)*Q321*Ramure*Pc/MaxiM</f>
        <v>5.9388288742093225E-5</v>
      </c>
      <c r="Q321" s="305">
        <f t="shared" si="105"/>
        <v>0.5</v>
      </c>
      <c r="R321" s="177">
        <f t="shared" si="106"/>
        <v>0.97132828372325819</v>
      </c>
      <c r="S321" s="811">
        <f t="shared" si="107"/>
        <v>-2</v>
      </c>
      <c r="T321" s="176">
        <f t="shared" si="108"/>
        <v>4</v>
      </c>
      <c r="U321" s="251">
        <f t="shared" si="109"/>
        <v>-1.0286717162767418</v>
      </c>
      <c r="V321" s="383">
        <f t="shared" si="110"/>
        <v>29.938633655042945</v>
      </c>
      <c r="W321" s="402">
        <f t="shared" si="111"/>
        <v>9.1232032250062396</v>
      </c>
      <c r="X321" s="157">
        <f t="shared" si="112"/>
        <v>46329</v>
      </c>
      <c r="Y321" s="385">
        <f t="shared" si="113"/>
        <v>8.82950283733636</v>
      </c>
      <c r="Z321" s="385">
        <f t="shared" si="114"/>
        <v>9.4436289083994858</v>
      </c>
      <c r="AA321" s="386">
        <f t="shared" si="115"/>
        <v>10.264039805810533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7.9930603634896999E-2</v>
      </c>
      <c r="AD321" s="231">
        <f>(INDEX(Models!$BJ321:$BT321,,AH321)*(1-AF321)+INDEX(Models!$BJ321:$BT321,,AH321+1)*AF321-ERP_i)*AE321*Ramure*Pc/MaxiM</f>
        <v>6.6491950808097999E-4</v>
      </c>
      <c r="AE321" s="305">
        <f t="shared" si="117"/>
        <v>0.5</v>
      </c>
      <c r="AF321" s="177">
        <f t="shared" si="118"/>
        <v>0.49631585009723711</v>
      </c>
      <c r="AG321" s="811">
        <f t="shared" si="124"/>
        <v>2</v>
      </c>
      <c r="AH321" s="176">
        <f t="shared" si="119"/>
        <v>8</v>
      </c>
      <c r="AI321" s="225">
        <f t="shared" si="120"/>
        <v>2.4963158500972371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16.000509218808482</v>
      </c>
      <c r="C322" s="841"/>
      <c r="D322" s="393">
        <f t="shared" si="102"/>
        <v>17.113781353810104</v>
      </c>
      <c r="E322" s="385">
        <f t="shared" si="125"/>
        <v>18.002272229339781</v>
      </c>
      <c r="F322" s="385">
        <f t="shared" si="103"/>
        <v>18.002636378600815</v>
      </c>
      <c r="G322" s="110">
        <f t="shared" si="126"/>
        <v>0.53939832349565864</v>
      </c>
      <c r="H322" s="414" t="b">
        <f>Wh_hp&gt;='2025'!Maxi_hp</f>
        <v>0</v>
      </c>
      <c r="I322" s="390">
        <f>IF(H322,Wh_hp,'2025'!Maxi_hp)</f>
        <v>23.180990079496752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6.5051207093619445E-2</v>
      </c>
      <c r="M322" s="845"/>
      <c r="N322" s="845"/>
      <c r="O322" s="48">
        <f>IF(t&lt;Tnet,'2025'!Resal+('2025'!Salim-'2025'!Resal)*(1-EXP(('2025'!Tnet-t)/('2025'!Tau_j))),Resal+(Salim-Resal)*(1-EXP((Tnet-t)/(Tau_j))))*Salcycl</f>
        <v>4.9354373948508043E-2</v>
      </c>
      <c r="P322" s="169">
        <f>(INDEX(Models!$BJ322:$BT322,,T322)*(1-R322)+INDEX(Models!$BJ322:$BT322,,T322+1)*R322-ERP_i)*Q322*Ramure*Pc/MaxiM</f>
        <v>5.9140117234843225E-5</v>
      </c>
      <c r="Q322" s="305">
        <f t="shared" si="105"/>
        <v>0.5</v>
      </c>
      <c r="R322" s="177">
        <f t="shared" si="106"/>
        <v>0.97137802867343059</v>
      </c>
      <c r="S322" s="811">
        <f t="shared" si="107"/>
        <v>-2</v>
      </c>
      <c r="T322" s="176">
        <f t="shared" si="108"/>
        <v>4</v>
      </c>
      <c r="U322" s="251">
        <f t="shared" si="109"/>
        <v>-1.0286219713265694</v>
      </c>
      <c r="V322" s="383">
        <f t="shared" si="110"/>
        <v>29.662469993720624</v>
      </c>
      <c r="W322" s="402">
        <f t="shared" si="111"/>
        <v>16.000509218808482</v>
      </c>
      <c r="X322" s="157">
        <f t="shared" si="112"/>
        <v>46330</v>
      </c>
      <c r="Y322" s="385">
        <f t="shared" si="113"/>
        <v>15.483061539294754</v>
      </c>
      <c r="Z322" s="385">
        <f t="shared" si="114"/>
        <v>16.560331064939</v>
      </c>
      <c r="AA322" s="386">
        <f t="shared" si="115"/>
        <v>17.998447135495425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7.9902230438550534E-2</v>
      </c>
      <c r="AD322" s="231">
        <f>(INDEX(Models!$BJ322:$BT322,,AH322)*(1-AF322)+INDEX(Models!$BJ322:$BT322,,AH322+1)*AF322-ERP_i)*AE322*Ramure*Pc/MaxiM</f>
        <v>6.8035927815368147E-4</v>
      </c>
      <c r="AE322" s="305">
        <f t="shared" si="117"/>
        <v>0.5</v>
      </c>
      <c r="AF322" s="177">
        <f t="shared" si="118"/>
        <v>0.49636559504740951</v>
      </c>
      <c r="AG322" s="811">
        <f t="shared" si="124"/>
        <v>2</v>
      </c>
      <c r="AH322" s="176">
        <f t="shared" si="119"/>
        <v>8</v>
      </c>
      <c r="AI322" s="225">
        <f t="shared" si="120"/>
        <v>2.4963655950474095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27.862295661106042</v>
      </c>
      <c r="C323" s="841"/>
      <c r="D323" s="393">
        <f t="shared" si="102"/>
        <v>29.801531529485789</v>
      </c>
      <c r="E323" s="385">
        <f t="shared" si="125"/>
        <v>31.349540262122069</v>
      </c>
      <c r="F323" s="385">
        <f t="shared" si="103"/>
        <v>31.351260880447779</v>
      </c>
      <c r="G323" s="110">
        <f t="shared" si="126"/>
        <v>0.94806021016642572</v>
      </c>
      <c r="H323" s="414" t="b">
        <f>Wh_hp&gt;='2025'!Maxi_hp</f>
        <v>0</v>
      </c>
      <c r="I323" s="390">
        <f>IF(H323,Wh_hp,'2025'!Maxi_hp)</f>
        <v>31.351331698156191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6.5071684871666924E-2</v>
      </c>
      <c r="M323" s="845"/>
      <c r="N323" s="845"/>
      <c r="O323" s="48">
        <f>IF(t&lt;Tnet,'2025'!Resal+('2025'!Salim-'2025'!Resal)*(1-EXP(('2025'!Tnet-t)/('2025'!Tau_j))),Resal+(Salim-Resal)*(1-EXP((Tnet-t)/(Tau_j))))*Salcycl</f>
        <v>4.9378993110998054E-2</v>
      </c>
      <c r="P323" s="169">
        <f>(INDEX(Models!$BJ323:$BT323,,T323)*(1-R323)+INDEX(Models!$BJ323:$BT323,,T323+1)*R323-ERP_i)*Q323*Ramure*Pc/MaxiM</f>
        <v>5.9280167267693079E-5</v>
      </c>
      <c r="Q323" s="305">
        <f t="shared" si="105"/>
        <v>0.5</v>
      </c>
      <c r="R323" s="177">
        <f t="shared" si="106"/>
        <v>0.97142578006381997</v>
      </c>
      <c r="S323" s="811">
        <f t="shared" si="107"/>
        <v>-2</v>
      </c>
      <c r="T323" s="176">
        <f t="shared" si="108"/>
        <v>4</v>
      </c>
      <c r="U323" s="251">
        <f t="shared" si="109"/>
        <v>-1.02857421993618</v>
      </c>
      <c r="V323" s="383">
        <f t="shared" si="110"/>
        <v>29.388611410085044</v>
      </c>
      <c r="W323" s="402">
        <f t="shared" si="111"/>
        <v>27.862295661106042</v>
      </c>
      <c r="X323" s="157">
        <f t="shared" si="112"/>
        <v>46331</v>
      </c>
      <c r="Y323" s="385">
        <f t="shared" si="113"/>
        <v>26.952558192451395</v>
      </c>
      <c r="Z323" s="385">
        <f t="shared" si="114"/>
        <v>28.828475677038135</v>
      </c>
      <c r="AA323" s="386">
        <f t="shared" si="115"/>
        <v>31.331008770327884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7.987400315242249E-2</v>
      </c>
      <c r="AD323" s="231">
        <f>(INDEX(Models!$BJ323:$BT323,,AH323)*(1-AF323)+INDEX(Models!$BJ323:$BT323,,AH323+1)*AF323-ERP_i)*AE323*Ramure*Pc/MaxiM</f>
        <v>6.9774246704953783E-4</v>
      </c>
      <c r="AE323" s="305">
        <f t="shared" si="117"/>
        <v>0.5</v>
      </c>
      <c r="AF323" s="177">
        <f t="shared" si="118"/>
        <v>0.49641334643779889</v>
      </c>
      <c r="AG323" s="811">
        <f t="shared" si="124"/>
        <v>2</v>
      </c>
      <c r="AH323" s="176">
        <f t="shared" si="119"/>
        <v>8</v>
      </c>
      <c r="AI323" s="225">
        <f t="shared" si="120"/>
        <v>2.4964133464377989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28.704918978543056</v>
      </c>
      <c r="C324" s="841"/>
      <c r="D324" s="393">
        <f t="shared" si="102"/>
        <v>30.703474522288204</v>
      </c>
      <c r="E324" s="385">
        <f t="shared" si="125"/>
        <v>32.299171548572694</v>
      </c>
      <c r="F324" s="385">
        <f t="shared" si="103"/>
        <v>32.301067634508364</v>
      </c>
      <c r="G324" s="110">
        <f t="shared" si="126"/>
        <v>0.98583148857970515</v>
      </c>
      <c r="H324" s="414" t="b">
        <f>Wh_hp&gt;='2025'!Maxi_hp</f>
        <v>0</v>
      </c>
      <c r="I324" s="390">
        <f>IF(H324,Wh_hp,'2025'!Maxi_hp)</f>
        <v>32.301087749670756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6.5092162201198511E-2</v>
      </c>
      <c r="M324" s="845"/>
      <c r="N324" s="845"/>
      <c r="O324" s="48">
        <f>IF(t&lt;Tnet,'2025'!Resal+('2025'!Salim-'2025'!Resal)*(1-EXP(('2025'!Tnet-t)/('2025'!Tau_j))),Resal+(Salim-Resal)*(1-EXP((Tnet-t)/(Tau_j))))*Salcycl</f>
        <v>4.9403651851714733E-2</v>
      </c>
      <c r="P324" s="169">
        <f>(INDEX(Models!$BJ324:$BT324,,T324)*(1-R324)+INDEX(Models!$BJ324:$BT324,,T324+1)*R324-ERP_i)*Q324*Ramure*Pc/MaxiM</f>
        <v>5.9912991075206445E-5</v>
      </c>
      <c r="Q324" s="305">
        <f t="shared" si="105"/>
        <v>0.5</v>
      </c>
      <c r="R324" s="177">
        <f t="shared" si="106"/>
        <v>0.97147161742828914</v>
      </c>
      <c r="S324" s="811">
        <f t="shared" si="107"/>
        <v>-2</v>
      </c>
      <c r="T324" s="176">
        <f t="shared" si="108"/>
        <v>4</v>
      </c>
      <c r="U324" s="251">
        <f t="shared" si="109"/>
        <v>-1.0285283825717109</v>
      </c>
      <c r="V324" s="383">
        <f t="shared" si="110"/>
        <v>29.117434878077585</v>
      </c>
      <c r="W324" s="402">
        <f t="shared" si="111"/>
        <v>28.704918978543056</v>
      </c>
      <c r="X324" s="157">
        <f t="shared" si="112"/>
        <v>46332</v>
      </c>
      <c r="Y324" s="385">
        <f t="shared" si="113"/>
        <v>27.767772037820947</v>
      </c>
      <c r="Z324" s="385">
        <f t="shared" si="114"/>
        <v>29.701079523730296</v>
      </c>
      <c r="AA324" s="386">
        <f t="shared" si="115"/>
        <v>32.278379153595232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7.9846005203698972E-2</v>
      </c>
      <c r="AD324" s="231">
        <f>(INDEX(Models!$BJ324:$BT324,,AH324)*(1-AF324)+INDEX(Models!$BJ324:$BT324,,AH324+1)*AF324-ERP_i)*AE324*Ramure*Pc/MaxiM</f>
        <v>7.1691621613016157E-4</v>
      </c>
      <c r="AE324" s="305">
        <f t="shared" si="117"/>
        <v>0.5</v>
      </c>
      <c r="AF324" s="177">
        <f t="shared" si="118"/>
        <v>0.49645918380226828</v>
      </c>
      <c r="AG324" s="811">
        <f t="shared" si="124"/>
        <v>2</v>
      </c>
      <c r="AH324" s="176">
        <f t="shared" si="119"/>
        <v>8</v>
      </c>
      <c r="AI324" s="225">
        <f t="shared" si="120"/>
        <v>2.4964591838022683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26.528004553346637</v>
      </c>
      <c r="C325" s="841"/>
      <c r="D325" s="393">
        <f t="shared" si="102"/>
        <v>28.375615782530396</v>
      </c>
      <c r="E325" s="385">
        <f t="shared" si="125"/>
        <v>29.851108373228826</v>
      </c>
      <c r="F325" s="385">
        <f t="shared" si="103"/>
        <v>29.85271510504025</v>
      </c>
      <c r="G325" s="110">
        <f t="shared" si="126"/>
        <v>0.91952991134316431</v>
      </c>
      <c r="H325" s="414" t="b">
        <f>Wh_hp&gt;='2025'!Maxi_hp</f>
        <v>0</v>
      </c>
      <c r="I325" s="390">
        <f>IF(H325,Wh_hp,'2025'!Maxi_hp)</f>
        <v>29.852822271446158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6.5112639082223978E-2</v>
      </c>
      <c r="M325" s="845"/>
      <c r="N325" s="845"/>
      <c r="O325" s="48">
        <f>IF(t&lt;Tnet,'2025'!Resal+('2025'!Salim-'2025'!Resal)*(1-EXP(('2025'!Tnet-t)/('2025'!Tau_j))),Resal+(Salim-Resal)*(1-EXP((Tnet-t)/(Tau_j))))*Salcycl</f>
        <v>4.9428402197008073E-2</v>
      </c>
      <c r="P325" s="169">
        <f>(INDEX(Models!$BJ325:$BT325,,T325)*(1-R325)+INDEX(Models!$BJ325:$BT325,,T325+1)*R325-ERP_i)*Q325*Ramure*Pc/MaxiM</f>
        <v>6.0812213359377881E-5</v>
      </c>
      <c r="Q325" s="305">
        <f t="shared" si="105"/>
        <v>0.5</v>
      </c>
      <c r="R325" s="177">
        <f t="shared" si="106"/>
        <v>0.97151561715596024</v>
      </c>
      <c r="S325" s="811">
        <f t="shared" si="107"/>
        <v>-2</v>
      </c>
      <c r="T325" s="176">
        <f t="shared" si="108"/>
        <v>4</v>
      </c>
      <c r="U325" s="251">
        <f t="shared" si="109"/>
        <v>-1.0284843828440398</v>
      </c>
      <c r="V325" s="383">
        <f t="shared" si="110"/>
        <v>28.849327008076365</v>
      </c>
      <c r="W325" s="402">
        <f t="shared" si="111"/>
        <v>26.528004553346637</v>
      </c>
      <c r="X325" s="157">
        <f t="shared" si="112"/>
        <v>46333</v>
      </c>
      <c r="Y325" s="385">
        <f t="shared" si="113"/>
        <v>25.664540562619063</v>
      </c>
      <c r="Z325" s="385">
        <f t="shared" si="114"/>
        <v>27.452013617366976</v>
      </c>
      <c r="AA325" s="386">
        <f t="shared" si="115"/>
        <v>29.833253805225844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7.9818319631020235E-2</v>
      </c>
      <c r="AD325" s="231">
        <f>(INDEX(Models!$BJ325:$BT325,,AH325)*(1-AF325)+INDEX(Models!$BJ325:$BT325,,AH325+1)*AF325-ERP_i)*AE325*Ramure*Pc/MaxiM</f>
        <v>7.3657887903218861E-4</v>
      </c>
      <c r="AE325" s="305">
        <f t="shared" si="117"/>
        <v>0.5</v>
      </c>
      <c r="AF325" s="177">
        <f t="shared" si="118"/>
        <v>0.49650318352993938</v>
      </c>
      <c r="AG325" s="811">
        <f t="shared" si="124"/>
        <v>2</v>
      </c>
      <c r="AH325" s="176">
        <f t="shared" si="119"/>
        <v>8</v>
      </c>
      <c r="AI325" s="225">
        <f t="shared" si="120"/>
        <v>2.4965031835299394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19.972970076394045</v>
      </c>
      <c r="C326" s="841"/>
      <c r="D326" s="393">
        <f t="shared" si="102"/>
        <v>21.364506977259651</v>
      </c>
      <c r="E326" s="385">
        <f t="shared" si="125"/>
        <v>22.476020256955685</v>
      </c>
      <c r="F326" s="385">
        <f t="shared" si="103"/>
        <v>22.476813784510814</v>
      </c>
      <c r="G326" s="110">
        <f t="shared" si="126"/>
        <v>0.69871154446445416</v>
      </c>
      <c r="H326" s="414" t="b">
        <f>Wh_hp&gt;='2025'!Maxi_hp</f>
        <v>0</v>
      </c>
      <c r="I326" s="390">
        <f>IF(H326,Wh_hp,'2025'!Maxi_hp)</f>
        <v>27.215230575971084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6.5133115514753315E-2</v>
      </c>
      <c r="M326" s="845"/>
      <c r="N326" s="845"/>
      <c r="O326" s="48">
        <f>IF(t&lt;Tnet,'2025'!Resal+('2025'!Salim-'2025'!Resal)*(1-EXP(('2025'!Tnet-t)/('2025'!Tau_j))),Resal+(Salim-Resal)*(1-EXP((Tnet-t)/(Tau_j))))*Salcycl</f>
        <v>4.945329586771717E-2</v>
      </c>
      <c r="P326" s="169">
        <f>(INDEX(Models!$BJ326:$BT326,,T326)*(1-R326)+INDEX(Models!$BJ326:$BT326,,T326+1)*R326-ERP_i)*Q326*Ramure*Pc/MaxiM</f>
        <v>6.1979232185503704E-5</v>
      </c>
      <c r="Q326" s="305">
        <f t="shared" si="105"/>
        <v>0.5</v>
      </c>
      <c r="R326" s="177">
        <f t="shared" si="106"/>
        <v>0.97155785261332639</v>
      </c>
      <c r="S326" s="811">
        <f t="shared" si="107"/>
        <v>-2</v>
      </c>
      <c r="T326" s="176">
        <f t="shared" si="108"/>
        <v>4</v>
      </c>
      <c r="U326" s="251">
        <f t="shared" si="109"/>
        <v>-1.0284421473866736</v>
      </c>
      <c r="V326" s="383">
        <f t="shared" si="110"/>
        <v>28.584667646671853</v>
      </c>
      <c r="W326" s="402">
        <f t="shared" si="111"/>
        <v>19.972970076394045</v>
      </c>
      <c r="X326" s="157">
        <f t="shared" si="112"/>
        <v>46334</v>
      </c>
      <c r="Y326" s="385">
        <f t="shared" si="113"/>
        <v>19.327858902506037</v>
      </c>
      <c r="Z326" s="385">
        <f t="shared" si="114"/>
        <v>20.67445025945943</v>
      </c>
      <c r="AA326" s="386">
        <f t="shared" si="115"/>
        <v>22.46712529906112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7.9791028702572903E-2</v>
      </c>
      <c r="AD326" s="231">
        <f>(INDEX(Models!$BJ326:$BT326,,AH326)*(1-AF326)+INDEX(Models!$BJ326:$BT326,,AH326+1)*AF326-ERP_i)*AE326*Ramure*Pc/MaxiM</f>
        <v>7.5672846561075874E-4</v>
      </c>
      <c r="AE326" s="305">
        <f t="shared" si="117"/>
        <v>0.5</v>
      </c>
      <c r="AF326" s="177">
        <f t="shared" si="118"/>
        <v>0.49654541898730509</v>
      </c>
      <c r="AG326" s="811">
        <f t="shared" si="124"/>
        <v>2</v>
      </c>
      <c r="AH326" s="176">
        <f t="shared" si="119"/>
        <v>8</v>
      </c>
      <c r="AI326" s="225">
        <f t="shared" si="120"/>
        <v>2.4965454189873051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9.3394346168543727</v>
      </c>
      <c r="C327" s="841"/>
      <c r="D327" s="393">
        <f t="shared" si="102"/>
        <v>9.9903412281680115</v>
      </c>
      <c r="E327" s="385">
        <f t="shared" si="125"/>
        <v>10.510377734106926</v>
      </c>
      <c r="F327" s="385">
        <f t="shared" si="103"/>
        <v>10.510406049471614</v>
      </c>
      <c r="G327" s="110">
        <f t="shared" si="126"/>
        <v>0.32971760266499767</v>
      </c>
      <c r="H327" s="414" t="b">
        <f>Wh_hp&gt;='2025'!Maxi_hp</f>
        <v>0</v>
      </c>
      <c r="I327" s="390">
        <f>IF(H327,Wh_hp,'2025'!Maxi_hp)</f>
        <v>21.819080346731017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6.5153591498796071E-2</v>
      </c>
      <c r="M327" s="845"/>
      <c r="N327" s="845"/>
      <c r="O327" s="48">
        <f>IF(t&lt;Tnet,'2025'!Resal+('2025'!Salim-'2025'!Resal)*(1-EXP(('2025'!Tnet-t)/('2025'!Tau_j))),Resal+(Salim-Resal)*(1-EXP((Tnet-t)/(Tau_j))))*Salcycl</f>
        <v>4.9478384040504954E-2</v>
      </c>
      <c r="P327" s="169">
        <f>(INDEX(Models!$BJ327:$BT327,,T327)*(1-R327)+INDEX(Models!$BJ327:$BT327,,T327+1)*R327-ERP_i)*Q327*Ramure*Pc/MaxiM</f>
        <v>6.3415354857231505E-5</v>
      </c>
      <c r="Q327" s="305">
        <f t="shared" si="105"/>
        <v>0.5</v>
      </c>
      <c r="R327" s="177">
        <f t="shared" si="106"/>
        <v>0.97159839426179584</v>
      </c>
      <c r="S327" s="811">
        <f t="shared" si="107"/>
        <v>-2</v>
      </c>
      <c r="T327" s="176">
        <f t="shared" si="108"/>
        <v>4</v>
      </c>
      <c r="U327" s="251">
        <f t="shared" si="109"/>
        <v>-1.0284016057382042</v>
      </c>
      <c r="V327" s="383">
        <f t="shared" si="110"/>
        <v>28.323836631754016</v>
      </c>
      <c r="W327" s="402">
        <f t="shared" si="111"/>
        <v>9.3394346168543727</v>
      </c>
      <c r="X327" s="157">
        <f t="shared" si="112"/>
        <v>46335</v>
      </c>
      <c r="Y327" s="385">
        <f t="shared" si="113"/>
        <v>9.0415842660189103</v>
      </c>
      <c r="Z327" s="385">
        <f t="shared" si="114"/>
        <v>9.6717323656565846</v>
      </c>
      <c r="AA327" s="386">
        <f t="shared" si="115"/>
        <v>10.510058952192953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7.976421353578117E-2</v>
      </c>
      <c r="AD327" s="231">
        <f>(INDEX(Models!$BJ327:$BT327,,AH327)*(1-AF327)+INDEX(Models!$BJ327:$BT327,,AH327+1)*AF327-ERP_i)*AE327*Ramure*Pc/MaxiM</f>
        <v>7.7736230274888789E-4</v>
      </c>
      <c r="AE327" s="305">
        <f t="shared" si="117"/>
        <v>0.5</v>
      </c>
      <c r="AF327" s="177">
        <f t="shared" si="118"/>
        <v>0.49658596063577454</v>
      </c>
      <c r="AG327" s="811">
        <f t="shared" si="124"/>
        <v>2</v>
      </c>
      <c r="AH327" s="176">
        <f t="shared" si="119"/>
        <v>8</v>
      </c>
      <c r="AI327" s="225">
        <f t="shared" si="120"/>
        <v>2.4965859606357745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19.395292093683423</v>
      </c>
      <c r="C328" s="841"/>
      <c r="D328" s="393">
        <f t="shared" si="102"/>
        <v>20.747490425467642</v>
      </c>
      <c r="E328" s="385">
        <f t="shared" si="125"/>
        <v>21.828060560530734</v>
      </c>
      <c r="F328" s="385">
        <f t="shared" si="103"/>
        <v>21.828854650041098</v>
      </c>
      <c r="G328" s="110">
        <f t="shared" si="126"/>
        <v>0.69101032673776741</v>
      </c>
      <c r="H328" s="414" t="b">
        <f>Wh_hp&gt;='2025'!Maxi_hp</f>
        <v>0</v>
      </c>
      <c r="I328" s="390">
        <f>IF(H328,Wh_hp,'2025'!Maxi_hp)</f>
        <v>21.829176850256719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6.5174067034362348E-2</v>
      </c>
      <c r="M328" s="845"/>
      <c r="N328" s="845"/>
      <c r="O328" s="48">
        <f>IF(t&lt;Tnet,'2025'!Resal+('2025'!Salim-'2025'!Resal)*(1-EXP(('2025'!Tnet-t)/('2025'!Tau_j))),Resal+(Salim-Resal)*(1-EXP((Tnet-t)/(Tau_j))))*Salcycl</f>
        <v>4.9503717110670239E-2</v>
      </c>
      <c r="P328" s="169">
        <f>(INDEX(Models!$BJ328:$BT328,,T328)*(1-R328)+INDEX(Models!$BJ328:$BT328,,T328+1)*R328-ERP_i)*Q328*Ramure*Pc/MaxiM</f>
        <v>6.5121779705628487E-5</v>
      </c>
      <c r="Q328" s="305">
        <f t="shared" si="105"/>
        <v>0.5</v>
      </c>
      <c r="R328" s="177">
        <f t="shared" si="106"/>
        <v>0.97163730977083107</v>
      </c>
      <c r="S328" s="811">
        <f t="shared" si="107"/>
        <v>-2</v>
      </c>
      <c r="T328" s="176">
        <f t="shared" si="108"/>
        <v>4</v>
      </c>
      <c r="U328" s="251">
        <f t="shared" si="109"/>
        <v>-1.0283626902291689</v>
      </c>
      <c r="V328" s="383">
        <f t="shared" si="110"/>
        <v>28.067213800493356</v>
      </c>
      <c r="W328" s="402">
        <f t="shared" si="111"/>
        <v>19.395292093683423</v>
      </c>
      <c r="X328" s="157">
        <f t="shared" si="112"/>
        <v>46336</v>
      </c>
      <c r="Y328" s="385">
        <f t="shared" si="113"/>
        <v>18.770656208732703</v>
      </c>
      <c r="Z328" s="385">
        <f t="shared" si="114"/>
        <v>20.079306260989952</v>
      </c>
      <c r="AA328" s="386">
        <f t="shared" si="115"/>
        <v>21.819118089445141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7.973795372127393E-2</v>
      </c>
      <c r="AD328" s="231">
        <f>(INDEX(Models!$BJ328:$BT328,,AH328)*(1-AF328)+INDEX(Models!$BJ328:$BT328,,AH328+1)*AF328-ERP_i)*AE328*Ramure*Pc/MaxiM</f>
        <v>7.9847692979736378E-4</v>
      </c>
      <c r="AE328" s="305">
        <f t="shared" si="117"/>
        <v>0.5</v>
      </c>
      <c r="AF328" s="177">
        <f t="shared" si="118"/>
        <v>0.49662487614480977</v>
      </c>
      <c r="AG328" s="811">
        <f t="shared" si="124"/>
        <v>2</v>
      </c>
      <c r="AH328" s="176">
        <f t="shared" si="119"/>
        <v>8</v>
      </c>
      <c r="AI328" s="225">
        <f t="shared" si="120"/>
        <v>2.4966248761448098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26.268700299200731</v>
      </c>
      <c r="C329" s="841"/>
      <c r="D329" s="393">
        <f t="shared" si="102"/>
        <v>28.100713445571149</v>
      </c>
      <c r="E329" s="385">
        <f t="shared" si="125"/>
        <v>29.565051042580858</v>
      </c>
      <c r="F329" s="385">
        <f t="shared" si="103"/>
        <v>29.566877391796751</v>
      </c>
      <c r="G329" s="110">
        <f t="shared" si="126"/>
        <v>0.94439659379081897</v>
      </c>
      <c r="H329" s="414" t="b">
        <f>Wh_hp&gt;='2025'!Maxi_hp</f>
        <v>0</v>
      </c>
      <c r="I329" s="390">
        <f>IF(H329,Wh_hp,'2025'!Maxi_hp)</f>
        <v>29.566958308620773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6.5194542121461807E-2</v>
      </c>
      <c r="M329" s="845"/>
      <c r="N329" s="845"/>
      <c r="O329" s="48">
        <f>IF(t&lt;Tnet,'2025'!Resal+('2025'!Salim-'2025'!Resal)*(1-EXP(('2025'!Tnet-t)/('2025'!Tau_j))),Resal+(Salim-Resal)*(1-EXP((Tnet-t)/(Tau_j))))*Salcycl</f>
        <v>4.9529344458114001E-2</v>
      </c>
      <c r="P329" s="169">
        <f>(INDEX(Models!$BJ329:$BT329,,T329)*(1-R329)+INDEX(Models!$BJ329:$BT329,,T329+1)*R329-ERP_i)*Q329*Ramure*Pc/MaxiM</f>
        <v>6.7099575663990762E-5</v>
      </c>
      <c r="Q329" s="305">
        <f t="shared" si="105"/>
        <v>0.5</v>
      </c>
      <c r="R329" s="177">
        <f t="shared" si="106"/>
        <v>0.97167466412682812</v>
      </c>
      <c r="S329" s="811">
        <f t="shared" si="107"/>
        <v>-2</v>
      </c>
      <c r="T329" s="176">
        <f t="shared" si="108"/>
        <v>4</v>
      </c>
      <c r="U329" s="251">
        <f t="shared" si="109"/>
        <v>-1.0283253358731719</v>
      </c>
      <c r="V329" s="383">
        <f t="shared" si="110"/>
        <v>27.815178988444739</v>
      </c>
      <c r="W329" s="402">
        <f t="shared" si="111"/>
        <v>26.268700299200731</v>
      </c>
      <c r="X329" s="157">
        <f t="shared" si="112"/>
        <v>46337</v>
      </c>
      <c r="Y329" s="385">
        <f t="shared" si="113"/>
        <v>25.416884621845867</v>
      </c>
      <c r="Z329" s="385">
        <f t="shared" si="114"/>
        <v>27.189491040764068</v>
      </c>
      <c r="AA329" s="386">
        <f t="shared" si="115"/>
        <v>29.544556378512766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7.9712326953790241E-2</v>
      </c>
      <c r="AD329" s="231">
        <f>(INDEX(Models!$BJ329:$BT329,,AH329)*(1-AF329)+INDEX(Models!$BJ329:$BT329,,AH329+1)*AF329-ERP_i)*AE329*Ramure*Pc/MaxiM</f>
        <v>8.2006798410297788E-4</v>
      </c>
      <c r="AE329" s="305">
        <f t="shared" si="117"/>
        <v>0.5</v>
      </c>
      <c r="AF329" s="177">
        <f t="shared" si="118"/>
        <v>0.49666223050080704</v>
      </c>
      <c r="AG329" s="811">
        <f t="shared" si="124"/>
        <v>2</v>
      </c>
      <c r="AH329" s="176">
        <f t="shared" si="119"/>
        <v>8</v>
      </c>
      <c r="AI329" s="225">
        <f t="shared" si="120"/>
        <v>2.496662230500807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26.312819308200403</v>
      </c>
      <c r="C330" s="841"/>
      <c r="D330" s="393">
        <f t="shared" si="102"/>
        <v>28.148525896299827</v>
      </c>
      <c r="E330" s="385">
        <f t="shared" si="125"/>
        <v>29.616164220165654</v>
      </c>
      <c r="F330" s="385">
        <f t="shared" si="103"/>
        <v>29.618084613539871</v>
      </c>
      <c r="G330" s="110">
        <f t="shared" si="126"/>
        <v>0.95446146500700768</v>
      </c>
      <c r="H330" s="414" t="b">
        <f>Wh_hp&gt;='2025'!Maxi_hp</f>
        <v>0</v>
      </c>
      <c r="I330" s="390">
        <f>IF(H330,Wh_hp,'2025'!Maxi_hp)</f>
        <v>29.618153223343985</v>
      </c>
      <c r="J330" s="85">
        <f>IF(H330,An,'2025'!An_max)</f>
        <v>2025</v>
      </c>
      <c r="K330" s="197">
        <f t="shared" si="104"/>
        <v>46338</v>
      </c>
      <c r="L330" s="147">
        <f>IF(t&lt;Tvie,1-EXP((T0-t)*PertePVj)+'2025'!Pspv,1-EXP((T0-t)*PertePVj)+Pspv)</f>
        <v>6.5215016760104327E-2</v>
      </c>
      <c r="M330" s="845"/>
      <c r="N330" s="845"/>
      <c r="O330" s="48">
        <f>IF(t&lt;Tnet,'2025'!Resal+('2025'!Salim-'2025'!Resal)*(1-EXP(('2025'!Tnet-t)/('2025'!Tau_j))),Resal+(Salim-Resal)*(1-EXP((Tnet-t)/(Tau_j))))*Salcycl</f>
        <v>4.955531421812253E-2</v>
      </c>
      <c r="P330" s="169">
        <f>(INDEX(Models!$BJ330:$BT330,,T330)*(1-R330)+INDEX(Models!$BJ330:$BT330,,T330+1)*R330-ERP_i)*Q330*Ramure*Pc/MaxiM</f>
        <v>6.9349659301345062E-5</v>
      </c>
      <c r="Q330" s="305">
        <f t="shared" si="105"/>
        <v>0.5</v>
      </c>
      <c r="R330" s="177">
        <f t="shared" si="106"/>
        <v>0.97171051973789124</v>
      </c>
      <c r="S330" s="811">
        <f t="shared" si="107"/>
        <v>-2</v>
      </c>
      <c r="T330" s="176">
        <f t="shared" si="108"/>
        <v>4</v>
      </c>
      <c r="U330" s="251">
        <f t="shared" si="109"/>
        <v>-1.0282894802621088</v>
      </c>
      <c r="V330" s="383">
        <f t="shared" si="110"/>
        <v>27.56811203483468</v>
      </c>
      <c r="W330" s="402">
        <f t="shared" si="111"/>
        <v>26.312819308200403</v>
      </c>
      <c r="X330" s="157">
        <f t="shared" si="112"/>
        <v>46338</v>
      </c>
      <c r="Y330" s="385">
        <f t="shared" si="113"/>
        <v>25.460210139792412</v>
      </c>
      <c r="Z330" s="385">
        <f t="shared" si="114"/>
        <v>27.236434684208561</v>
      </c>
      <c r="AA330" s="386">
        <f t="shared" si="115"/>
        <v>29.594764801517915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7.9687408672644608E-2</v>
      </c>
      <c r="AD330" s="231">
        <f>(INDEX(Models!$BJ330:$BT330,,AH330)*(1-AF330)+INDEX(Models!$BJ330:$BT330,,AH330+1)*AF330-ERP_i)*AE330*Ramure*Pc/MaxiM</f>
        <v>8.4213007626884949E-4</v>
      </c>
      <c r="AE330" s="305">
        <f t="shared" si="117"/>
        <v>0.5</v>
      </c>
      <c r="AF330" s="177">
        <f t="shared" si="118"/>
        <v>0.49669808611187038</v>
      </c>
      <c r="AG330" s="811">
        <f t="shared" si="124"/>
        <v>2</v>
      </c>
      <c r="AH330" s="176">
        <f t="shared" si="119"/>
        <v>8</v>
      </c>
      <c r="AI330" s="225">
        <f t="shared" si="120"/>
        <v>2.4966980861118704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25.417606130351228</v>
      </c>
      <c r="C331" s="841"/>
      <c r="D331" s="393">
        <f t="shared" si="102"/>
        <v>27.191453980416156</v>
      </c>
      <c r="E331" s="385">
        <f t="shared" si="125"/>
        <v>28.609984897832039</v>
      </c>
      <c r="F331" s="385">
        <f t="shared" si="103"/>
        <v>28.611836299774403</v>
      </c>
      <c r="G331" s="110">
        <f t="shared" si="126"/>
        <v>0.93018143976238787</v>
      </c>
      <c r="H331" s="414" t="b">
        <f>Wh_hp&gt;='2025'!Maxi_hp</f>
        <v>0</v>
      </c>
      <c r="I331" s="390">
        <f>IF(H331,Wh_hp,'2025'!Maxi_hp)</f>
        <v>29.179515996539571</v>
      </c>
      <c r="J331" s="85">
        <f>IF(H331,An,'2025'!An_max)</f>
        <v>2020</v>
      </c>
      <c r="K331" s="197">
        <f t="shared" si="104"/>
        <v>46339</v>
      </c>
      <c r="L331" s="147">
        <f>IF(t&lt;Tvie,1-EXP((T0-t)*PertePVj)+'2025'!Pspv,1-EXP((T0-t)*PertePVj)+Pspv)</f>
        <v>6.5235490950299679E-2</v>
      </c>
      <c r="M331" s="845"/>
      <c r="N331" s="845"/>
      <c r="O331" s="48">
        <f>IF(t&lt;Tnet,'2025'!Resal+('2025'!Salim-'2025'!Resal)*(1-EXP(('2025'!Tnet-t)/('2025'!Tau_j))),Resal+(Salim-Resal)*(1-EXP((Tnet-t)/(Tau_j))))*Salcycl</f>
        <v>4.9581673058603171E-2</v>
      </c>
      <c r="P331" s="169">
        <f>(INDEX(Models!$BJ331:$BT331,,T331)*(1-R331)+INDEX(Models!$BJ331:$BT331,,T331+1)*R331-ERP_i)*Q331*Ramure*Pc/MaxiM</f>
        <v>7.1875821237805352E-5</v>
      </c>
      <c r="Q331" s="305">
        <f t="shared" si="105"/>
        <v>0.5</v>
      </c>
      <c r="R331" s="177">
        <f t="shared" si="106"/>
        <v>0.971744936534642</v>
      </c>
      <c r="S331" s="811">
        <f t="shared" si="107"/>
        <v>-2</v>
      </c>
      <c r="T331" s="176">
        <f t="shared" si="108"/>
        <v>4</v>
      </c>
      <c r="U331" s="251">
        <f t="shared" si="109"/>
        <v>-1.028255063465358</v>
      </c>
      <c r="V331" s="383">
        <f t="shared" si="110"/>
        <v>27.325232295389831</v>
      </c>
      <c r="W331" s="402">
        <f t="shared" si="111"/>
        <v>25.417606130351228</v>
      </c>
      <c r="X331" s="157">
        <f t="shared" si="112"/>
        <v>46339</v>
      </c>
      <c r="Y331" s="385">
        <f t="shared" si="113"/>
        <v>24.595547214074056</v>
      </c>
      <c r="Z331" s="385">
        <f t="shared" si="114"/>
        <v>26.312025088627259</v>
      </c>
      <c r="AA331" s="386">
        <f t="shared" si="115"/>
        <v>28.589563232621103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7.9663271714313574E-2</v>
      </c>
      <c r="AD331" s="231">
        <f>(INDEX(Models!$BJ331:$BT331,,AH331)*(1-AF331)+INDEX(Models!$BJ331:$BT331,,AH331+1)*AF331-ERP_i)*AE331*Ramure*Pc/MaxiM</f>
        <v>8.6469337451477242E-4</v>
      </c>
      <c r="AE331" s="305">
        <f t="shared" si="117"/>
        <v>0.5</v>
      </c>
      <c r="AF331" s="177">
        <f t="shared" si="118"/>
        <v>0.49673250290862114</v>
      </c>
      <c r="AG331" s="811">
        <f t="shared" si="124"/>
        <v>2</v>
      </c>
      <c r="AH331" s="176">
        <f t="shared" si="119"/>
        <v>8</v>
      </c>
      <c r="AI331" s="225">
        <f t="shared" si="120"/>
        <v>2.4967325029086211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8.9501310891067742</v>
      </c>
      <c r="C332" s="841"/>
      <c r="D332" s="393">
        <f t="shared" si="102"/>
        <v>9.5749539457165316</v>
      </c>
      <c r="E332" s="385">
        <f t="shared" si="125"/>
        <v>10.074746673161762</v>
      </c>
      <c r="F332" s="385">
        <f t="shared" si="103"/>
        <v>10.07477942220587</v>
      </c>
      <c r="G332" s="110">
        <f t="shared" si="126"/>
        <v>0.33041550234610773</v>
      </c>
      <c r="H332" s="414" t="b">
        <f>Wh_hp&gt;='2025'!Maxi_hp</f>
        <v>0</v>
      </c>
      <c r="I332" s="390">
        <f>IF(H332,Wh_hp,'2025'!Maxi_hp)</f>
        <v>19.900379192311398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6.5255964692057744E-2</v>
      </c>
      <c r="M332" s="845"/>
      <c r="N332" s="845"/>
      <c r="O332" s="48">
        <f>IF(t&lt;Tnet,'2025'!Resal+('2025'!Salim-'2025'!Resal)*(1-EXP(('2025'!Tnet-t)/('2025'!Tau_j))),Resal+(Salim-Resal)*(1-EXP((Tnet-t)/(Tau_j))))*Salcycl</f>
        <v>4.9608465965366041E-2</v>
      </c>
      <c r="P332" s="169">
        <f>(INDEX(Models!$BJ332:$BT332,,T332)*(1-R332)+INDEX(Models!$BJ332:$BT332,,T332+1)*R332-ERP_i)*Q332*Ramure*Pc/MaxiM</f>
        <v>7.4753045621348503E-5</v>
      </c>
      <c r="Q332" s="305">
        <f t="shared" si="105"/>
        <v>0.5</v>
      </c>
      <c r="R332" s="177">
        <f t="shared" si="106"/>
        <v>0.97177797206720373</v>
      </c>
      <c r="S332" s="811">
        <f t="shared" si="107"/>
        <v>-2</v>
      </c>
      <c r="T332" s="176">
        <f t="shared" si="108"/>
        <v>4</v>
      </c>
      <c r="U332" s="251">
        <f t="shared" si="109"/>
        <v>-1.0282220279327963</v>
      </c>
      <c r="V332" s="383">
        <f t="shared" si="110"/>
        <v>27.085566709761704</v>
      </c>
      <c r="W332" s="402">
        <f t="shared" si="111"/>
        <v>8.9501310891067742</v>
      </c>
      <c r="X332" s="157">
        <f t="shared" si="112"/>
        <v>46340</v>
      </c>
      <c r="Y332" s="385">
        <f t="shared" si="113"/>
        <v>8.6670088166264971</v>
      </c>
      <c r="Z332" s="385">
        <f t="shared" si="114"/>
        <v>9.2720664580344021</v>
      </c>
      <c r="AA332" s="386">
        <f t="shared" si="115"/>
        <v>10.07439080010824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7.9639985979620562E-2</v>
      </c>
      <c r="AD332" s="231">
        <f>(INDEX(Models!$BJ332:$BT332,,AH332)*(1-AF332)+INDEX(Models!$BJ332:$BT332,,AH332+1)*AF332-ERP_i)*AE332*Ramure*Pc/MaxiM</f>
        <v>8.8706972018721844E-4</v>
      </c>
      <c r="AE332" s="305">
        <f t="shared" si="117"/>
        <v>0.5</v>
      </c>
      <c r="AF332" s="177">
        <f t="shared" si="118"/>
        <v>0.49676553844118265</v>
      </c>
      <c r="AG332" s="811">
        <f t="shared" si="124"/>
        <v>2</v>
      </c>
      <c r="AH332" s="176">
        <f t="shared" si="119"/>
        <v>8</v>
      </c>
      <c r="AI332" s="225">
        <f t="shared" si="120"/>
        <v>2.4967655384411827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11.638389113130733</v>
      </c>
      <c r="C333" s="841"/>
      <c r="D333" s="393">
        <f t="shared" si="102"/>
        <v>12.451156241366686</v>
      </c>
      <c r="E333" s="385">
        <f t="shared" si="125"/>
        <v>13.101456687192215</v>
      </c>
      <c r="F333" s="385">
        <f t="shared" si="103"/>
        <v>13.101651087974611</v>
      </c>
      <c r="G333" s="110">
        <f t="shared" si="126"/>
        <v>0.43344494811550122</v>
      </c>
      <c r="H333" s="414" t="b">
        <f>Wh_hp&gt;='2025'!Maxi_hp</f>
        <v>0</v>
      </c>
      <c r="I333" s="390">
        <f>IF(H333,Wh_hp,'2025'!Maxi_hp)</f>
        <v>27.219183293094108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6.5276437985388291E-2</v>
      </c>
      <c r="M333" s="845"/>
      <c r="N333" s="845"/>
      <c r="O333" s="48">
        <f>IF(t&lt;Tnet,'2025'!Resal+('2025'!Salim-'2025'!Resal)*(1-EXP(('2025'!Tnet-t)/('2025'!Tau_j))),Resal+(Salim-Resal)*(1-EXP((Tnet-t)/(Tau_j))))*Salcycl</f>
        <v>4.9635736036989883E-2</v>
      </c>
      <c r="P333" s="169">
        <f>(INDEX(Models!$BJ333:$BT333,,T333)*(1-R333)+INDEX(Models!$BJ333:$BT333,,T333+1)*R333-ERP_i)*Q333*Ramure*Pc/MaxiM</f>
        <v>7.7817816734918307E-5</v>
      </c>
      <c r="Q333" s="305">
        <f t="shared" si="105"/>
        <v>0.5</v>
      </c>
      <c r="R333" s="177">
        <f t="shared" si="106"/>
        <v>0.9718096815984989</v>
      </c>
      <c r="S333" s="811">
        <f t="shared" si="107"/>
        <v>-2</v>
      </c>
      <c r="T333" s="176">
        <f t="shared" si="108"/>
        <v>4</v>
      </c>
      <c r="U333" s="251">
        <f t="shared" si="109"/>
        <v>-1.0281903184015011</v>
      </c>
      <c r="V333" s="383">
        <f t="shared" si="110"/>
        <v>26.849213880312643</v>
      </c>
      <c r="W333" s="402">
        <f t="shared" si="111"/>
        <v>11.638389113130733</v>
      </c>
      <c r="X333" s="157">
        <f t="shared" si="112"/>
        <v>46341</v>
      </c>
      <c r="Y333" s="385">
        <f t="shared" si="113"/>
        <v>11.269438161326692</v>
      </c>
      <c r="Z333" s="385">
        <f t="shared" si="114"/>
        <v>12.056439592725839</v>
      </c>
      <c r="AA333" s="386">
        <f t="shared" si="115"/>
        <v>13.099381116000258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7.9617618117890851E-2</v>
      </c>
      <c r="AD333" s="231">
        <f>(INDEX(Models!$BJ333:$BT333,,AH333)*(1-AF333)+INDEX(Models!$BJ333:$BT333,,AH333+1)*AF333-ERP_i)*AE333*Ramure*Pc/MaxiM</f>
        <v>9.0866024774210823E-4</v>
      </c>
      <c r="AE333" s="305">
        <f t="shared" si="117"/>
        <v>0.5</v>
      </c>
      <c r="AF333" s="177">
        <f t="shared" si="118"/>
        <v>0.4967972479724776</v>
      </c>
      <c r="AG333" s="811">
        <f t="shared" si="124"/>
        <v>2</v>
      </c>
      <c r="AH333" s="176">
        <f t="shared" si="119"/>
        <v>8</v>
      </c>
      <c r="AI333" s="225">
        <f t="shared" si="120"/>
        <v>2.4967972479724776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25.83918954689015</v>
      </c>
      <c r="C334" s="841"/>
      <c r="D334" s="393">
        <f t="shared" si="102"/>
        <v>27.64427532794743</v>
      </c>
      <c r="E334" s="385">
        <f t="shared" si="125"/>
        <v>29.088934324356906</v>
      </c>
      <c r="F334" s="385">
        <f t="shared" si="103"/>
        <v>29.09119443418102</v>
      </c>
      <c r="G334" s="110">
        <f t="shared" si="126"/>
        <v>0.9708010994759515</v>
      </c>
      <c r="H334" s="414" t="b">
        <f>Wh_hp&gt;='2025'!Maxi_hp</f>
        <v>0</v>
      </c>
      <c r="I334" s="390">
        <f>IF(H334,Wh_hp,'2025'!Maxi_hp)</f>
        <v>29.091244945223572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6.5296910830301202E-2</v>
      </c>
      <c r="M334" s="845"/>
      <c r="N334" s="845"/>
      <c r="O334" s="48">
        <f>IF(t&lt;Tnet,'2025'!Resal+('2025'!Salim-'2025'!Resal)*(1-EXP(('2025'!Tnet-t)/('2025'!Tau_j))),Resal+(Salim-Resal)*(1-EXP((Tnet-t)/(Tau_j))))*Salcycl</f>
        <v>4.9663524290741272E-2</v>
      </c>
      <c r="P334" s="169">
        <f>(INDEX(Models!$BJ334:$BT334,,T334)*(1-R334)+INDEX(Models!$BJ334:$BT334,,T334+1)*R334-ERP_i)*Q334*Ramure*Pc/MaxiM</f>
        <v>8.1071860357929306E-5</v>
      </c>
      <c r="Q334" s="305">
        <f t="shared" si="105"/>
        <v>0.5</v>
      </c>
      <c r="R334" s="177">
        <f t="shared" si="106"/>
        <v>0.97184011819398841</v>
      </c>
      <c r="S334" s="811">
        <f t="shared" si="107"/>
        <v>-2</v>
      </c>
      <c r="T334" s="176">
        <f t="shared" si="108"/>
        <v>4</v>
      </c>
      <c r="U334" s="251">
        <f t="shared" si="109"/>
        <v>-1.0281598818060116</v>
      </c>
      <c r="V334" s="383">
        <f t="shared" si="110"/>
        <v>26.616267928393185</v>
      </c>
      <c r="W334" s="402">
        <f t="shared" si="111"/>
        <v>25.83918954689015</v>
      </c>
      <c r="X334" s="157">
        <f t="shared" si="112"/>
        <v>46342</v>
      </c>
      <c r="Y334" s="385">
        <f t="shared" si="113"/>
        <v>25.004986288880229</v>
      </c>
      <c r="Z334" s="385">
        <f t="shared" si="114"/>
        <v>26.751795921731976</v>
      </c>
      <c r="AA334" s="386">
        <f t="shared" si="115"/>
        <v>29.065282900233765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7.9596231230323958E-2</v>
      </c>
      <c r="AD334" s="231">
        <f>(INDEX(Models!$BJ334:$BT334,,AH334)*(1-AF334)+INDEX(Models!$BJ334:$BT334,,AH334+1)*AF334-ERP_i)*AE334*Ramure*Pc/MaxiM</f>
        <v>9.2946645309927836E-4</v>
      </c>
      <c r="AE334" s="305">
        <f t="shared" si="117"/>
        <v>0.5</v>
      </c>
      <c r="AF334" s="177">
        <f t="shared" si="118"/>
        <v>0.49682768456796733</v>
      </c>
      <c r="AG334" s="811">
        <f t="shared" si="124"/>
        <v>2</v>
      </c>
      <c r="AH334" s="176">
        <f t="shared" si="119"/>
        <v>8</v>
      </c>
      <c r="AI334" s="225">
        <f t="shared" si="120"/>
        <v>2.4968276845679673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12.094935224123724</v>
      </c>
      <c r="C335" s="841"/>
      <c r="D335" s="393">
        <f t="shared" ref="D335:D379" si="127">Wh/(1-Ppv)</f>
        <v>12.940152097702519</v>
      </c>
      <c r="E335" s="385">
        <f t="shared" si="125"/>
        <v>13.616796154984495</v>
      </c>
      <c r="F335" s="385">
        <f t="shared" ref="F335:F379" si="128">Wh_sa/(1-Pvg*MEDIAN((-Sdif+Wh/Env_an)/Csdif,0,1))</f>
        <v>13.617056532073549</v>
      </c>
      <c r="G335" s="110">
        <f t="shared" si="126"/>
        <v>0.45834029493117051</v>
      </c>
      <c r="H335" s="414" t="b">
        <f>Wh_hp&gt;='2025'!Maxi_hp</f>
        <v>0</v>
      </c>
      <c r="I335" s="390">
        <f>IF(H335,Wh_hp,'2025'!Maxi_hp)</f>
        <v>28.670073792979203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6.5317383226806247E-2</v>
      </c>
      <c r="M335" s="845"/>
      <c r="N335" s="845"/>
      <c r="O335" s="48">
        <f>IF(t&lt;Tnet,'2025'!Resal+('2025'!Salim-'2025'!Resal)*(1-EXP(('2025'!Tnet-t)/('2025'!Tau_j))),Resal+(Salim-Resal)*(1-EXP((Tnet-t)/(Tau_j))))*Salcycl</f>
        <v>4.9691869480934167E-2</v>
      </c>
      <c r="P335" s="169">
        <f>(INDEX(Models!$BJ335:$BT335,,T335)*(1-R335)+INDEX(Models!$BJ335:$BT335,,T335+1)*R335-ERP_i)*Q335*Ramure*Pc/MaxiM</f>
        <v>8.4516967762362531E-5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0.9718693328079826</v>
      </c>
      <c r="S335" s="81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-1.0281306671920174</v>
      </c>
      <c r="V335" s="383">
        <f t="shared" ref="V335:V379" si="135">MaxiM*(1-Ppv)*(1-Pvg)*(1-Psa)</f>
        <v>26.386823038490238</v>
      </c>
      <c r="W335" s="402">
        <f t="shared" ref="W335:W379" si="136">Wh*(A335&gt;Tmaj)</f>
        <v>12.094935224123724</v>
      </c>
      <c r="X335" s="157">
        <f t="shared" ref="X335:X379" si="137">t</f>
        <v>46343</v>
      </c>
      <c r="Y335" s="385">
        <f t="shared" ref="Y335:Y379" si="138">Wh_pvt_s*(1-Ppv)</f>
        <v>11.7122974069066</v>
      </c>
      <c r="Z335" s="385">
        <f t="shared" ref="Z335:Z379" si="139">Wh_sa_s*(1-Psa_s)</f>
        <v>12.53077482850915</v>
      </c>
      <c r="AA335" s="386">
        <f t="shared" ref="AA335:AA379" si="140">Wh_hp*(1-Pvg_s*MEDIAN((-Sdif+Wh/Env_an)/Csdif,0,1))</f>
        <v>13.614131375720333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7.9575884594683677E-2</v>
      </c>
      <c r="AD335" s="231">
        <f>(INDEX(Models!$BJ335:$BT335,,AH335)*(1-AF335)+INDEX(Models!$BJ335:$BT335,,AH335+1)*AF335-ERP_i)*AE335*Ramure*Pc/MaxiM</f>
        <v>9.494896271529321E-4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0.49685689918196152</v>
      </c>
      <c r="AG335" s="81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2.4968568991819615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14.356390862952525</v>
      </c>
      <c r="C336" s="841"/>
      <c r="D336" s="393">
        <f t="shared" si="127"/>
        <v>15.359978942593411</v>
      </c>
      <c r="E336" s="385">
        <f t="shared" si="125"/>
        <v>16.16364861062695</v>
      </c>
      <c r="F336" s="385">
        <f t="shared" si="128"/>
        <v>16.164155020441132</v>
      </c>
      <c r="G336" s="110">
        <f t="shared" si="126"/>
        <v>0.54874009341011309</v>
      </c>
      <c r="H336" s="414" t="b">
        <f>Wh_hp&gt;='2025'!Maxi_hp</f>
        <v>0</v>
      </c>
      <c r="I336" s="390">
        <f>IF(H336,Wh_hp,'2025'!Maxi_hp)</f>
        <v>27.452705708144066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6.5337855174913306E-2</v>
      </c>
      <c r="M336" s="845"/>
      <c r="N336" s="845"/>
      <c r="O336" s="48">
        <f>IF(t&lt;Tnet,'2025'!Resal+('2025'!Salim-'2025'!Resal)*(1-EXP(('2025'!Tnet-t)/('2025'!Tau_j))),Resal+(Salim-Resal)*(1-EXP((Tnet-t)/(Tau_j))))*Salcycl</f>
        <v>4.9720807931023674E-2</v>
      </c>
      <c r="P336" s="169">
        <f>(INDEX(Models!$BJ336:$BT336,,T336)*(1-R336)+INDEX(Models!$BJ336:$BT336,,T336+1)*R336-ERP_i)*Q336*Ramure*Pc/MaxiM</f>
        <v>8.8154991579378106E-5</v>
      </c>
      <c r="Q336" s="305">
        <f t="shared" si="130"/>
        <v>0.5</v>
      </c>
      <c r="R336" s="177">
        <f t="shared" si="131"/>
        <v>0.97189737436664592</v>
      </c>
      <c r="S336" s="811">
        <f t="shared" si="132"/>
        <v>-2</v>
      </c>
      <c r="T336" s="176">
        <f t="shared" si="133"/>
        <v>4</v>
      </c>
      <c r="U336" s="251">
        <f t="shared" si="134"/>
        <v>-1.0281026256333541</v>
      </c>
      <c r="V336" s="383">
        <f t="shared" si="135"/>
        <v>26.160973466875088</v>
      </c>
      <c r="W336" s="402">
        <f t="shared" si="136"/>
        <v>14.356390862952525</v>
      </c>
      <c r="X336" s="157">
        <f t="shared" si="137"/>
        <v>46344</v>
      </c>
      <c r="Y336" s="385">
        <f t="shared" si="138"/>
        <v>13.901292776225656</v>
      </c>
      <c r="Z336" s="385">
        <f t="shared" si="139"/>
        <v>14.873067079042935</v>
      </c>
      <c r="AA336" s="386">
        <f t="shared" si="140"/>
        <v>16.158590108803946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7.9556633413245634E-2</v>
      </c>
      <c r="AD336" s="231">
        <f>(INDEX(Models!$BJ336:$BT336,,AH336)*(1-AF336)+INDEX(Models!$BJ336:$BT336,,AH336+1)*AF336-ERP_i)*AE336*Ramure*Pc/MaxiM</f>
        <v>9.6873070935521259E-4</v>
      </c>
      <c r="AE336" s="305">
        <f t="shared" si="142"/>
        <v>0.5</v>
      </c>
      <c r="AF336" s="177">
        <f t="shared" si="143"/>
        <v>0.49688494074062506</v>
      </c>
      <c r="AG336" s="811">
        <f t="shared" ref="AG336:AG379" si="149">INDEX(Echel_vg,AH336)</f>
        <v>2</v>
      </c>
      <c r="AH336" s="176">
        <f t="shared" si="144"/>
        <v>8</v>
      </c>
      <c r="AI336" s="225">
        <f t="shared" si="145"/>
        <v>2.4968849407406251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7.3525353724474414</v>
      </c>
      <c r="C337" s="841"/>
      <c r="D337" s="393">
        <f t="shared" si="127"/>
        <v>7.8666890020940397</v>
      </c>
      <c r="E337" s="385">
        <f t="shared" si="125"/>
        <v>8.2785499533219369</v>
      </c>
      <c r="F337" s="385">
        <f t="shared" si="128"/>
        <v>8.2785499533219369</v>
      </c>
      <c r="G337" s="110">
        <f t="shared" si="126"/>
        <v>0.28343081380985896</v>
      </c>
      <c r="H337" s="414" t="b">
        <f>Wh_hp&gt;='2025'!Maxi_hp</f>
        <v>0</v>
      </c>
      <c r="I337" s="390">
        <f>IF(H337,Wh_hp,'2025'!Maxi_hp)</f>
        <v>29.080430360791048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6.535832667463215E-2</v>
      </c>
      <c r="M337" s="845"/>
      <c r="N337" s="845"/>
      <c r="O337" s="48">
        <f>IF(t&lt;Tnet,'2025'!Resal+('2025'!Salim-'2025'!Resal)*(1-EXP(('2025'!Tnet-t)/('2025'!Tau_j))),Resal+(Salim-Resal)*(1-EXP((Tnet-t)/(Tau_j))))*Salcycl</f>
        <v>4.9750373380622097E-2</v>
      </c>
      <c r="P337" s="169">
        <f>(INDEX(Models!$BJ337:$BT337,,T337)*(1-R337)+INDEX(Models!$BJ337:$BT337,,T337+1)*R337-ERP_i)*Q337*Ramure*Pc/MaxiM</f>
        <v>9.1987839250790484E-5</v>
      </c>
      <c r="Q337" s="305">
        <f t="shared" si="130"/>
        <v>0.5</v>
      </c>
      <c r="R337" s="177">
        <f t="shared" si="131"/>
        <v>0.97192428984781642</v>
      </c>
      <c r="S337" s="811">
        <f t="shared" si="132"/>
        <v>-2</v>
      </c>
      <c r="T337" s="176">
        <f t="shared" si="133"/>
        <v>4</v>
      </c>
      <c r="U337" s="251">
        <f t="shared" si="134"/>
        <v>-1.0280757101521836</v>
      </c>
      <c r="V337" s="383">
        <f t="shared" si="135"/>
        <v>25.938813531889114</v>
      </c>
      <c r="W337" s="402">
        <f t="shared" si="136"/>
        <v>7.3525353724474414</v>
      </c>
      <c r="X337" s="157">
        <f t="shared" si="137"/>
        <v>46345</v>
      </c>
      <c r="Y337" s="385">
        <f t="shared" si="138"/>
        <v>7.122050183408315</v>
      </c>
      <c r="Z337" s="385">
        <f t="shared" si="139"/>
        <v>7.6200862712110036</v>
      </c>
      <c r="AA337" s="386">
        <f t="shared" si="140"/>
        <v>8.2785499533219369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7.953852858575923E-2</v>
      </c>
      <c r="AD337" s="231">
        <f>(INDEX(Models!$BJ337:$BT337,,AH337)*(1-AF337)+INDEX(Models!$BJ337:$BT337,,AH337+1)*AF337-ERP_i)*AE337*Ramure*Pc/MaxiM</f>
        <v>9.8719014196271956E-4</v>
      </c>
      <c r="AE337" s="305">
        <f t="shared" si="142"/>
        <v>0.5</v>
      </c>
      <c r="AF337" s="177">
        <f t="shared" si="143"/>
        <v>0.49691185622179557</v>
      </c>
      <c r="AG337" s="811">
        <f t="shared" si="149"/>
        <v>2</v>
      </c>
      <c r="AH337" s="176">
        <f t="shared" si="144"/>
        <v>8</v>
      </c>
      <c r="AI337" s="225">
        <f t="shared" si="145"/>
        <v>2.4969118562217956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14.695638629112915</v>
      </c>
      <c r="C338" s="841"/>
      <c r="D338" s="393">
        <f t="shared" si="127"/>
        <v>15.723630700177727</v>
      </c>
      <c r="E338" s="385">
        <f t="shared" si="125"/>
        <v>16.547368584590952</v>
      </c>
      <c r="F338" s="385">
        <f t="shared" si="128"/>
        <v>16.547983260542694</v>
      </c>
      <c r="G338" s="110">
        <f t="shared" si="126"/>
        <v>0.57132672647274607</v>
      </c>
      <c r="H338" s="414" t="b">
        <f>Wh_hp&gt;='2025'!Maxi_hp</f>
        <v>0</v>
      </c>
      <c r="I338" s="390">
        <f>IF(H338,Wh_hp,'2025'!Maxi_hp)</f>
        <v>30.110087627610774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6.5378797725972548E-2</v>
      </c>
      <c r="M338" s="845"/>
      <c r="N338" s="845"/>
      <c r="O338" s="48">
        <f>IF(t&lt;Tnet,'2025'!Resal+('2025'!Salim-'2025'!Resal)*(1-EXP(('2025'!Tnet-t)/('2025'!Tau_j))),Resal+(Salim-Resal)*(1-EXP((Tnet-t)/(Tau_j))))*Salcycl</f>
        <v>4.9780596848510168E-2</v>
      </c>
      <c r="P338" s="169">
        <f>(INDEX(Models!$BJ338:$BT338,,T338)*(1-R338)+INDEX(Models!$BJ338:$BT338,,T338+1)*R338-ERP_i)*Q338*Ramure*Pc/MaxiM</f>
        <v>9.5819291615217121E-5</v>
      </c>
      <c r="Q338" s="305">
        <f t="shared" si="130"/>
        <v>0.5</v>
      </c>
      <c r="R338" s="177">
        <f t="shared" si="131"/>
        <v>0.97195012435775552</v>
      </c>
      <c r="S338" s="811">
        <f t="shared" si="132"/>
        <v>-2</v>
      </c>
      <c r="T338" s="176">
        <f t="shared" si="133"/>
        <v>4</v>
      </c>
      <c r="U338" s="251">
        <f t="shared" si="134"/>
        <v>-1.0280498756422445</v>
      </c>
      <c r="V338" s="383">
        <f t="shared" si="135"/>
        <v>25.72044271866681</v>
      </c>
      <c r="W338" s="402">
        <f t="shared" si="136"/>
        <v>14.695638629112915</v>
      </c>
      <c r="X338" s="157">
        <f t="shared" si="137"/>
        <v>46346</v>
      </c>
      <c r="Y338" s="385">
        <f t="shared" si="138"/>
        <v>14.230664090744751</v>
      </c>
      <c r="Z338" s="385">
        <f t="shared" si="139"/>
        <v>15.226130175647752</v>
      </c>
      <c r="AA338" s="386">
        <f t="shared" si="140"/>
        <v>16.541540191200408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7.9521616508988216E-2</v>
      </c>
      <c r="AD338" s="231">
        <f>(INDEX(Models!$BJ338:$BT338,,AH338)*(1-AF338)+INDEX(Models!$BJ338:$BT338,,AH338+1)*AF338-ERP_i)*AE338*Ramure*Pc/MaxiM</f>
        <v>1.0043834291169405E-3</v>
      </c>
      <c r="AE338" s="305">
        <f t="shared" si="142"/>
        <v>0.5</v>
      </c>
      <c r="AF338" s="177">
        <f t="shared" si="143"/>
        <v>0.49693769073173444</v>
      </c>
      <c r="AG338" s="811">
        <f t="shared" si="149"/>
        <v>2</v>
      </c>
      <c r="AH338" s="176">
        <f t="shared" si="144"/>
        <v>8</v>
      </c>
      <c r="AI338" s="225">
        <f t="shared" si="145"/>
        <v>2.4969376907317344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3.1057256613884978</v>
      </c>
      <c r="C339" s="841"/>
      <c r="D339" s="393">
        <f t="shared" si="127"/>
        <v>3.3230507489925625</v>
      </c>
      <c r="E339" s="385">
        <f t="shared" si="125"/>
        <v>3.4972542519392213</v>
      </c>
      <c r="F339" s="385">
        <f t="shared" si="128"/>
        <v>3.4972542519392213</v>
      </c>
      <c r="G339" s="110">
        <f t="shared" si="126"/>
        <v>0.12175259187002564</v>
      </c>
      <c r="H339" s="414" t="b">
        <f>Wh_hp&gt;='2025'!Maxi_hp</f>
        <v>0</v>
      </c>
      <c r="I339" s="390">
        <f>IF(H339,Wh_hp,'2025'!Maxi_hp)</f>
        <v>29.084066217541494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6.5399268328944493E-2</v>
      </c>
      <c r="M339" s="845"/>
      <c r="N339" s="845"/>
      <c r="O339" s="48">
        <f>IF(t&lt;Tnet,'2025'!Resal+('2025'!Salim-'2025'!Resal)*(1-EXP(('2025'!Tnet-t)/('2025'!Tau_j))),Resal+(Salim-Resal)*(1-EXP((Tnet-t)/(Tau_j))))*Salcycl</f>
        <v>4.9811506512591426E-2</v>
      </c>
      <c r="P339" s="169">
        <f>(INDEX(Models!$BJ339:$BT339,,T339)*(1-R339)+INDEX(Models!$BJ339:$BT339,,T339+1)*R339-ERP_i)*Q339*Ramure*Pc/MaxiM</f>
        <v>9.9544660261363129E-5</v>
      </c>
      <c r="Q339" s="305">
        <f t="shared" si="130"/>
        <v>0.5</v>
      </c>
      <c r="R339" s="177">
        <f t="shared" si="131"/>
        <v>0.97197492120494067</v>
      </c>
      <c r="S339" s="811">
        <f t="shared" si="132"/>
        <v>-2</v>
      </c>
      <c r="T339" s="176">
        <f t="shared" si="133"/>
        <v>4</v>
      </c>
      <c r="U339" s="251">
        <f t="shared" si="134"/>
        <v>-1.0280250787950593</v>
      </c>
      <c r="V339" s="383">
        <f t="shared" si="135"/>
        <v>25.505958068619933</v>
      </c>
      <c r="W339" s="402">
        <f t="shared" si="136"/>
        <v>3.1057256613884978</v>
      </c>
      <c r="X339" s="157">
        <f t="shared" si="137"/>
        <v>46347</v>
      </c>
      <c r="Y339" s="385">
        <f t="shared" si="138"/>
        <v>3.0086683287528895</v>
      </c>
      <c r="Z339" s="385">
        <f t="shared" si="139"/>
        <v>3.2192017690521433</v>
      </c>
      <c r="AA339" s="386">
        <f t="shared" si="140"/>
        <v>3.4972542519392213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7.9505938904184115E-2</v>
      </c>
      <c r="AD339" s="231">
        <f>(INDEX(Models!$BJ339:$BT339,,AH339)*(1-AF339)+INDEX(Models!$BJ339:$BT339,,AH339+1)*AF339-ERP_i)*AE339*Ramure*Pc/MaxiM</f>
        <v>1.0204732876572488E-3</v>
      </c>
      <c r="AE339" s="305">
        <f t="shared" si="142"/>
        <v>0.5</v>
      </c>
      <c r="AF339" s="177">
        <f t="shared" si="143"/>
        <v>0.49696248757891937</v>
      </c>
      <c r="AG339" s="811">
        <f t="shared" si="149"/>
        <v>2</v>
      </c>
      <c r="AH339" s="176">
        <f t="shared" si="144"/>
        <v>8</v>
      </c>
      <c r="AI339" s="225">
        <f t="shared" si="145"/>
        <v>2.4969624875789194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7.7207770338487771</v>
      </c>
      <c r="C340" s="841"/>
      <c r="D340" s="393">
        <f t="shared" si="127"/>
        <v>8.2612241578065291</v>
      </c>
      <c r="E340" s="385">
        <f t="shared" si="125"/>
        <v>8.6945897018095906</v>
      </c>
      <c r="F340" s="385">
        <f t="shared" si="128"/>
        <v>8.6945963956211401</v>
      </c>
      <c r="G340" s="110">
        <f t="shared" si="126"/>
        <v>0.30519264390944234</v>
      </c>
      <c r="H340" s="414" t="b">
        <f>Wh_hp&gt;='2025'!Maxi_hp</f>
        <v>0</v>
      </c>
      <c r="I340" s="390">
        <f>IF(H340,Wh_hp,'2025'!Maxi_hp)</f>
        <v>29.591035421411469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6.5419738483557643E-2</v>
      </c>
      <c r="M340" s="845"/>
      <c r="N340" s="845"/>
      <c r="O340" s="48">
        <f>IF(t&lt;Tnet,'2025'!Resal+('2025'!Salim-'2025'!Resal)*(1-EXP(('2025'!Tnet-t)/('2025'!Tau_j))),Resal+(Salim-Resal)*(1-EXP((Tnet-t)/(Tau_j))))*Salcycl</f>
        <v>4.9843127607604627E-2</v>
      </c>
      <c r="P340" s="169">
        <f>(INDEX(Models!$BJ340:$BT340,,T340)*(1-R340)+INDEX(Models!$BJ340:$BT340,,T340+1)*R340-ERP_i)*Q340*Ramure*Pc/MaxiM</f>
        <v>1.0316383736066833E-4</v>
      </c>
      <c r="Q340" s="305">
        <f t="shared" si="130"/>
        <v>0.5</v>
      </c>
      <c r="R340" s="177">
        <f t="shared" si="131"/>
        <v>0.97199872197100934</v>
      </c>
      <c r="S340" s="811">
        <f t="shared" si="132"/>
        <v>-2</v>
      </c>
      <c r="T340" s="176">
        <f t="shared" si="133"/>
        <v>4</v>
      </c>
      <c r="U340" s="251">
        <f t="shared" si="134"/>
        <v>-1.0280012780289907</v>
      </c>
      <c r="V340" s="383">
        <f t="shared" si="135"/>
        <v>25.295453958026464</v>
      </c>
      <c r="W340" s="402">
        <f t="shared" si="136"/>
        <v>7.7207770338487771</v>
      </c>
      <c r="X340" s="157">
        <f t="shared" si="137"/>
        <v>46348</v>
      </c>
      <c r="Y340" s="385">
        <f t="shared" si="138"/>
        <v>7.4798082230116805</v>
      </c>
      <c r="Z340" s="385">
        <f t="shared" si="139"/>
        <v>8.0033877570611267</v>
      </c>
      <c r="AA340" s="386">
        <f t="shared" si="140"/>
        <v>8.6945292098258022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7.949153267362738E-2</v>
      </c>
      <c r="AD340" s="231">
        <f>(INDEX(Models!$BJ340:$BT340,,AH340)*(1-AF340)+INDEX(Models!$BJ340:$BT340,,AH340+1)*AF340-ERP_i)*AE340*Ramure*Pc/MaxiM</f>
        <v>1.0354555714507103E-3</v>
      </c>
      <c r="AE340" s="305">
        <f t="shared" si="142"/>
        <v>0.5</v>
      </c>
      <c r="AF340" s="177">
        <f t="shared" si="143"/>
        <v>0.49698628834498804</v>
      </c>
      <c r="AG340" s="811">
        <f t="shared" si="149"/>
        <v>2</v>
      </c>
      <c r="AH340" s="176">
        <f t="shared" si="144"/>
        <v>8</v>
      </c>
      <c r="AI340" s="225">
        <f t="shared" si="145"/>
        <v>2.496986288344988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11.571175555199552</v>
      </c>
      <c r="C341" s="841"/>
      <c r="D341" s="393">
        <f t="shared" si="127"/>
        <v>12.381418135683946</v>
      </c>
      <c r="E341" s="385">
        <f t="shared" si="125"/>
        <v>13.031363685039794</v>
      </c>
      <c r="F341" s="385">
        <f t="shared" si="128"/>
        <v>13.0316838299727</v>
      </c>
      <c r="G341" s="110">
        <f t="shared" si="126"/>
        <v>0.46116680509894642</v>
      </c>
      <c r="H341" s="414" t="b">
        <f>Wh_hp&gt;='2025'!Maxi_hp</f>
        <v>0</v>
      </c>
      <c r="I341" s="390">
        <f>IF(H341,Wh_hp,'2025'!Maxi_hp)</f>
        <v>29.56301535081597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6.544020818982188E-2</v>
      </c>
      <c r="M341" s="845"/>
      <c r="N341" s="845"/>
      <c r="O341" s="48">
        <f>IF(t&lt;Tnet,'2025'!Resal+('2025'!Salim-'2025'!Resal)*(1-EXP(('2025'!Tnet-t)/('2025'!Tau_j))),Resal+(Salim-Resal)*(1-EXP((Tnet-t)/(Tau_j))))*Salcycl</f>
        <v>4.987548234126838E-2</v>
      </c>
      <c r="P341" s="169">
        <f>(INDEX(Models!$BJ341:$BT341,,T341)*(1-R341)+INDEX(Models!$BJ341:$BT341,,T341+1)*R341-ERP_i)*Q341*Ramure*Pc/MaxiM</f>
        <v>1.0667594646383907E-4</v>
      </c>
      <c r="Q341" s="305">
        <f t="shared" si="130"/>
        <v>0.5</v>
      </c>
      <c r="R341" s="177">
        <f t="shared" si="131"/>
        <v>0.97202156657895888</v>
      </c>
      <c r="S341" s="811">
        <f t="shared" si="132"/>
        <v>-2</v>
      </c>
      <c r="T341" s="176">
        <f t="shared" si="133"/>
        <v>4</v>
      </c>
      <c r="U341" s="251">
        <f t="shared" si="134"/>
        <v>-1.0279784334210411</v>
      </c>
      <c r="V341" s="383">
        <f t="shared" si="135"/>
        <v>25.089024845133419</v>
      </c>
      <c r="W341" s="402">
        <f t="shared" si="136"/>
        <v>11.571175555199552</v>
      </c>
      <c r="X341" s="157">
        <f t="shared" si="137"/>
        <v>46349</v>
      </c>
      <c r="Y341" s="385">
        <f t="shared" si="138"/>
        <v>11.208219732385098</v>
      </c>
      <c r="Z341" s="385">
        <f t="shared" si="139"/>
        <v>11.993047240643156</v>
      </c>
      <c r="AA341" s="386">
        <f t="shared" si="140"/>
        <v>13.02853472284187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7.9478429787140883E-2</v>
      </c>
      <c r="AD341" s="231">
        <f>(INDEX(Models!$BJ341:$BT341,,AH341)*(1-AF341)+INDEX(Models!$BJ341:$BT341,,AH341+1)*AF341-ERP_i)*AE341*Ramure*Pc/MaxiM</f>
        <v>1.0493184466456086E-3</v>
      </c>
      <c r="AE341" s="305">
        <f t="shared" si="142"/>
        <v>0.5</v>
      </c>
      <c r="AF341" s="177">
        <f t="shared" si="143"/>
        <v>0.4970091329529378</v>
      </c>
      <c r="AG341" s="811">
        <f t="shared" si="149"/>
        <v>2</v>
      </c>
      <c r="AH341" s="176">
        <f t="shared" si="144"/>
        <v>8</v>
      </c>
      <c r="AI341" s="225">
        <f t="shared" si="145"/>
        <v>2.4970091329529378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12.736079464478646</v>
      </c>
      <c r="C342" s="841"/>
      <c r="D342" s="393">
        <f t="shared" si="127"/>
        <v>13.628190015264479</v>
      </c>
      <c r="E342" s="385">
        <f t="shared" si="125"/>
        <v>14.344082968624248</v>
      </c>
      <c r="F342" s="385">
        <f t="shared" si="128"/>
        <v>14.344560657711536</v>
      </c>
      <c r="G342" s="110">
        <f t="shared" si="126"/>
        <v>0.51172185056651365</v>
      </c>
      <c r="H342" s="414" t="b">
        <f>Wh_hp&gt;='2025'!Maxi_hp</f>
        <v>0</v>
      </c>
      <c r="I342" s="390">
        <f>IF(H342,Wh_hp,'2025'!Maxi_hp)</f>
        <v>27.223770958160259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6.5460677447746973E-2</v>
      </c>
      <c r="M342" s="845"/>
      <c r="N342" s="845"/>
      <c r="O342" s="48">
        <f>IF(t&lt;Tnet,'2025'!Resal+('2025'!Salim-'2025'!Resal)*(1-EXP(('2025'!Tnet-t)/('2025'!Tau_j))),Resal+(Salim-Resal)*(1-EXP((Tnet-t)/(Tau_j))))*Salcycl</f>
        <v>4.9908589829387263E-2</v>
      </c>
      <c r="P342" s="169">
        <f>(INDEX(Models!$BJ342:$BT342,,T342)*(1-R342)+INDEX(Models!$BJ342:$BT342,,T342+1)*R342-ERP_i)*Q342*Ramure*Pc/MaxiM</f>
        <v>1.1008035796251379E-4</v>
      </c>
      <c r="Q342" s="305">
        <f t="shared" si="130"/>
        <v>0.5</v>
      </c>
      <c r="R342" s="177">
        <f t="shared" si="131"/>
        <v>0.97204349335870699</v>
      </c>
      <c r="S342" s="811">
        <f t="shared" si="132"/>
        <v>-2</v>
      </c>
      <c r="T342" s="176">
        <f t="shared" si="133"/>
        <v>4</v>
      </c>
      <c r="U342" s="251">
        <f t="shared" si="134"/>
        <v>-1.027956506641293</v>
      </c>
      <c r="V342" s="383">
        <f t="shared" si="135"/>
        <v>24.886765242847392</v>
      </c>
      <c r="W342" s="402">
        <f t="shared" si="136"/>
        <v>12.736079464478646</v>
      </c>
      <c r="X342" s="157">
        <f t="shared" si="137"/>
        <v>46350</v>
      </c>
      <c r="Y342" s="385">
        <f t="shared" si="138"/>
        <v>12.336296499458323</v>
      </c>
      <c r="Z342" s="385">
        <f t="shared" si="139"/>
        <v>13.200403880028881</v>
      </c>
      <c r="AA342" s="386">
        <f t="shared" si="140"/>
        <v>14.3399519238121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7.9466657199244131E-2</v>
      </c>
      <c r="AD342" s="231">
        <f>(INDEX(Models!$BJ342:$BT342,,AH342)*(1-AF342)+INDEX(Models!$BJ342:$BT342,,AH342+1)*AF342-ERP_i)*AE342*Ramure*Pc/MaxiM</f>
        <v>1.062052893614764E-3</v>
      </c>
      <c r="AE342" s="305">
        <f t="shared" si="142"/>
        <v>0.5</v>
      </c>
      <c r="AF342" s="177">
        <f t="shared" si="143"/>
        <v>0.49703105973268569</v>
      </c>
      <c r="AG342" s="811">
        <f t="shared" si="149"/>
        <v>2</v>
      </c>
      <c r="AH342" s="176">
        <f t="shared" si="144"/>
        <v>8</v>
      </c>
      <c r="AI342" s="225">
        <f t="shared" si="145"/>
        <v>2.4970310597326857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4.9316483995808698</v>
      </c>
      <c r="C343" s="841"/>
      <c r="D343" s="393">
        <f t="shared" si="127"/>
        <v>5.2772058903146757</v>
      </c>
      <c r="E343" s="385">
        <f t="shared" si="125"/>
        <v>5.5546171697366447</v>
      </c>
      <c r="F343" s="385">
        <f t="shared" si="128"/>
        <v>5.5546171697366447</v>
      </c>
      <c r="G343" s="110">
        <f t="shared" si="126"/>
        <v>0.19973005225930376</v>
      </c>
      <c r="H343" s="414" t="b">
        <f>Wh_hp&gt;='2025'!Maxi_hp</f>
        <v>0</v>
      </c>
      <c r="I343" s="390">
        <f>IF(H343,Wh_hp,'2025'!Maxi_hp)</f>
        <v>26.38503248912658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6.5481146257342804E-2</v>
      </c>
      <c r="M343" s="845"/>
      <c r="N343" s="845"/>
      <c r="O343" s="48">
        <f>IF(t&lt;Tnet,'2025'!Resal+('2025'!Salim-'2025'!Resal)*(1-EXP(('2025'!Tnet-t)/('2025'!Tau_j))),Resal+(Salim-Resal)*(1-EXP((Tnet-t)/(Tau_j))))*Salcycl</f>
        <v>4.9942466050296966E-2</v>
      </c>
      <c r="P343" s="169">
        <f>(INDEX(Models!$BJ343:$BT343,,T343)*(1-R343)+INDEX(Models!$BJ343:$BT343,,T343+1)*R343-ERP_i)*Q343*Ramure*Pc/MaxiM</f>
        <v>1.1337685618213521E-4</v>
      </c>
      <c r="Q343" s="305">
        <f t="shared" si="130"/>
        <v>0.5</v>
      </c>
      <c r="R343" s="177">
        <f t="shared" si="131"/>
        <v>0.97206453911010415</v>
      </c>
      <c r="S343" s="811">
        <f t="shared" si="132"/>
        <v>-2</v>
      </c>
      <c r="T343" s="176">
        <f t="shared" si="133"/>
        <v>4</v>
      </c>
      <c r="U343" s="251">
        <f t="shared" si="134"/>
        <v>-1.0279354608898958</v>
      </c>
      <c r="V343" s="383">
        <f t="shared" si="135"/>
        <v>24.688769711969222</v>
      </c>
      <c r="W343" s="402">
        <f t="shared" si="136"/>
        <v>4.9316483995808698</v>
      </c>
      <c r="X343" s="157">
        <f t="shared" si="137"/>
        <v>46351</v>
      </c>
      <c r="Y343" s="385">
        <f t="shared" si="138"/>
        <v>4.7784455302079945</v>
      </c>
      <c r="Z343" s="385">
        <f t="shared" si="139"/>
        <v>5.113268192579298</v>
      </c>
      <c r="AA343" s="386">
        <f t="shared" si="140"/>
        <v>5.5546171697366447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7.9456236797372626E-2</v>
      </c>
      <c r="AD343" s="231">
        <f>(INDEX(Models!$BJ343:$BT343,,AH343)*(1-AF343)+INDEX(Models!$BJ343:$BT343,,AH343+1)*AF343-ERP_i)*AE343*Ramure*Pc/MaxiM</f>
        <v>1.0736539714071396E-3</v>
      </c>
      <c r="AE343" s="305">
        <f t="shared" si="142"/>
        <v>0.5</v>
      </c>
      <c r="AF343" s="177">
        <f t="shared" si="143"/>
        <v>0.4970521054840833</v>
      </c>
      <c r="AG343" s="811">
        <f t="shared" si="149"/>
        <v>2</v>
      </c>
      <c r="AH343" s="176">
        <f t="shared" si="144"/>
        <v>8</v>
      </c>
      <c r="AI343" s="225">
        <f t="shared" si="145"/>
        <v>2.4970521054840833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9.8857802364877099</v>
      </c>
      <c r="C344" s="841"/>
      <c r="D344" s="393">
        <f t="shared" si="127"/>
        <v>10.578702318948572</v>
      </c>
      <c r="E344" s="385">
        <f t="shared" si="125"/>
        <v>11.135207987277653</v>
      </c>
      <c r="F344" s="385">
        <f t="shared" si="128"/>
        <v>11.135400056672664</v>
      </c>
      <c r="G344" s="110">
        <f t="shared" si="126"/>
        <v>0.40354132594185205</v>
      </c>
      <c r="H344" s="414" t="b">
        <f>Wh_hp&gt;='2025'!Maxi_hp</f>
        <v>0</v>
      </c>
      <c r="I344" s="390">
        <f>IF(H344,Wh_hp,'2025'!Maxi_hp)</f>
        <v>26.793324525882319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6.5501614618619142E-2</v>
      </c>
      <c r="M344" s="845"/>
      <c r="N344" s="845"/>
      <c r="O344" s="48">
        <f>IF(t&lt;Tnet,'2025'!Resal+('2025'!Salim-'2025'!Resal)*(1-EXP(('2025'!Tnet-t)/('2025'!Tau_j))),Resal+(Salim-Resal)*(1-EXP((Tnet-t)/(Tau_j))))*Salcycl</f>
        <v>4.99771238188731E-2</v>
      </c>
      <c r="P344" s="169">
        <f>(INDEX(Models!$BJ344:$BT344,,T344)*(1-R344)+INDEX(Models!$BJ344:$BT344,,T344+1)*R344-ERP_i)*Q344*Ramure*Pc/MaxiM</f>
        <v>1.1656510786930827E-4</v>
      </c>
      <c r="Q344" s="305">
        <f t="shared" si="130"/>
        <v>0.5</v>
      </c>
      <c r="R344" s="177">
        <f t="shared" si="131"/>
        <v>0.97208473916350258</v>
      </c>
      <c r="S344" s="811">
        <f t="shared" si="132"/>
        <v>-2</v>
      </c>
      <c r="T344" s="176">
        <f t="shared" si="133"/>
        <v>4</v>
      </c>
      <c r="U344" s="251">
        <f t="shared" si="134"/>
        <v>-1.0279152608364974</v>
      </c>
      <c r="V344" s="383">
        <f t="shared" si="135"/>
        <v>24.495132870764504</v>
      </c>
      <c r="W344" s="402">
        <f t="shared" si="136"/>
        <v>9.8857802364877099</v>
      </c>
      <c r="X344" s="157">
        <f t="shared" si="137"/>
        <v>46352</v>
      </c>
      <c r="Y344" s="385">
        <f t="shared" si="138"/>
        <v>9.5777481882400064</v>
      </c>
      <c r="Z344" s="385">
        <f t="shared" si="139"/>
        <v>10.249079439908506</v>
      </c>
      <c r="AA344" s="386">
        <f t="shared" si="140"/>
        <v>11.133613712488863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7.9447185381342364E-2</v>
      </c>
      <c r="AD344" s="231">
        <f>(INDEX(Models!$BJ344:$BT344,,AH344)*(1-AF344)+INDEX(Models!$BJ344:$BT344,,AH344+1)*AF344-ERP_i)*AE344*Ramure*Pc/MaxiM</f>
        <v>1.0841154701672511E-3</v>
      </c>
      <c r="AE344" s="305">
        <f t="shared" si="142"/>
        <v>0.5</v>
      </c>
      <c r="AF344" s="177">
        <f t="shared" si="143"/>
        <v>0.49707230553748172</v>
      </c>
      <c r="AG344" s="811">
        <f t="shared" si="149"/>
        <v>2</v>
      </c>
      <c r="AH344" s="176">
        <f t="shared" si="144"/>
        <v>8</v>
      </c>
      <c r="AI344" s="225">
        <f t="shared" si="145"/>
        <v>2.4970723055374817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14.062586390432136</v>
      </c>
      <c r="C345" s="841"/>
      <c r="D345" s="393">
        <f t="shared" si="127"/>
        <v>15.048602141962824</v>
      </c>
      <c r="E345" s="385">
        <f t="shared" si="125"/>
        <v>15.840843479374362</v>
      </c>
      <c r="F345" s="385">
        <f t="shared" si="128"/>
        <v>15.841598039317809</v>
      </c>
      <c r="G345" s="110">
        <f t="shared" si="126"/>
        <v>0.57859842597133704</v>
      </c>
      <c r="H345" s="414" t="b">
        <f>Wh_hp&gt;='2025'!Maxi_hp</f>
        <v>0</v>
      </c>
      <c r="I345" s="390">
        <f>IF(H345,Wh_hp,'2025'!Maxi_hp)</f>
        <v>25.130362962848679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6.5522082531585868E-2</v>
      </c>
      <c r="M345" s="845"/>
      <c r="N345" s="845"/>
      <c r="O345" s="48">
        <f>IF(t&lt;Tnet,'2025'!Resal+('2025'!Salim-'2025'!Resal)*(1-EXP(('2025'!Tnet-t)/('2025'!Tau_j))),Resal+(Salim-Resal)*(1-EXP((Tnet-t)/(Tau_j))))*Salcycl</f>
        <v>5.0012572780172876E-2</v>
      </c>
      <c r="P345" s="169">
        <f>(INDEX(Models!$BJ345:$BT345,,T345)*(1-R345)+INDEX(Models!$BJ345:$BT345,,T345+1)*R345-ERP_i)*Q345*Ramure*Pc/MaxiM</f>
        <v>1.1966004715089177E-4</v>
      </c>
      <c r="Q345" s="305">
        <f t="shared" si="130"/>
        <v>0.5</v>
      </c>
      <c r="R345" s="177">
        <f t="shared" si="131"/>
        <v>0.97210412743796315</v>
      </c>
      <c r="S345" s="811">
        <f t="shared" si="132"/>
        <v>-2</v>
      </c>
      <c r="T345" s="176">
        <f t="shared" si="133"/>
        <v>4</v>
      </c>
      <c r="U345" s="251">
        <f t="shared" si="134"/>
        <v>-1.0278958725620368</v>
      </c>
      <c r="V345" s="383">
        <f t="shared" si="135"/>
        <v>24.302820063292646</v>
      </c>
      <c r="W345" s="402">
        <f t="shared" si="136"/>
        <v>14.062586390432136</v>
      </c>
      <c r="X345" s="157">
        <f t="shared" si="137"/>
        <v>46353</v>
      </c>
      <c r="Y345" s="385">
        <f t="shared" si="138"/>
        <v>13.62169871643348</v>
      </c>
      <c r="Z345" s="385">
        <f t="shared" si="139"/>
        <v>14.576801079832794</v>
      </c>
      <c r="AA345" s="386">
        <f t="shared" si="140"/>
        <v>15.834702132223883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7.9439514673991823E-2</v>
      </c>
      <c r="AD345" s="231">
        <f>(INDEX(Models!$BJ345:$BT345,,AH345)*(1-AF345)+INDEX(Models!$BJ345:$BT345,,AH345+1)*AF345-ERP_i)*AE345*Ramure*Pc/MaxiM</f>
        <v>1.0935705972384283E-3</v>
      </c>
      <c r="AE345" s="305">
        <f t="shared" si="142"/>
        <v>0.5</v>
      </c>
      <c r="AF345" s="177">
        <f t="shared" si="143"/>
        <v>0.49709169381194229</v>
      </c>
      <c r="AG345" s="811">
        <f t="shared" si="149"/>
        <v>2</v>
      </c>
      <c r="AH345" s="176">
        <f t="shared" si="144"/>
        <v>8</v>
      </c>
      <c r="AI345" s="225">
        <f t="shared" si="145"/>
        <v>2.4970916938119423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10.193782663185374</v>
      </c>
      <c r="C346" s="841"/>
      <c r="D346" s="393">
        <f t="shared" si="127"/>
        <v>10.90877135512644</v>
      </c>
      <c r="E346" s="385">
        <f t="shared" si="125"/>
        <v>11.483507340341555</v>
      </c>
      <c r="F346" s="385">
        <f t="shared" si="128"/>
        <v>11.483754169234727</v>
      </c>
      <c r="G346" s="110">
        <f t="shared" si="126"/>
        <v>0.42276692001281502</v>
      </c>
      <c r="H346" s="414" t="b">
        <f>Wh_hp&gt;='2025'!Maxi_hp</f>
        <v>0</v>
      </c>
      <c r="I346" s="390">
        <f>IF(H346,Wh_hp,'2025'!Maxi_hp)</f>
        <v>18.630206084198146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6.5542549996252863E-2</v>
      </c>
      <c r="M346" s="845"/>
      <c r="N346" s="845"/>
      <c r="O346" s="48">
        <f>IF(t&lt;Tnet,'2025'!Resal+('2025'!Salim-'2025'!Resal)*(1-EXP(('2025'!Tnet-t)/('2025'!Tau_j))),Resal+(Salim-Resal)*(1-EXP((Tnet-t)/(Tau_j))))*Salcycl</f>
        <v>5.0048819422622459E-2</v>
      </c>
      <c r="P346" s="169">
        <f>(INDEX(Models!$BJ346:$BT346,,T346)*(1-R346)+INDEX(Models!$BJ346:$BT346,,T346+1)*R346-ERP_i)*Q346*Ramure*Pc/MaxiM</f>
        <v>1.2251174269113009E-4</v>
      </c>
      <c r="Q346" s="305">
        <f t="shared" si="130"/>
        <v>0.5</v>
      </c>
      <c r="R346" s="177">
        <f t="shared" si="131"/>
        <v>0.97212273649719805</v>
      </c>
      <c r="S346" s="811">
        <f t="shared" si="132"/>
        <v>-2</v>
      </c>
      <c r="T346" s="176">
        <f t="shared" si="133"/>
        <v>4</v>
      </c>
      <c r="U346" s="251">
        <f t="shared" si="134"/>
        <v>-1.027877263502802</v>
      </c>
      <c r="V346" s="383">
        <f t="shared" si="135"/>
        <v>24.109627321923515</v>
      </c>
      <c r="W346" s="402">
        <f t="shared" si="136"/>
        <v>10.193782663185374</v>
      </c>
      <c r="X346" s="157">
        <f t="shared" si="137"/>
        <v>46354</v>
      </c>
      <c r="Y346" s="385">
        <f t="shared" si="138"/>
        <v>9.876765477020415</v>
      </c>
      <c r="Z346" s="385">
        <f t="shared" si="139"/>
        <v>10.569518683788983</v>
      </c>
      <c r="AA346" s="386">
        <f t="shared" si="140"/>
        <v>11.481534033033514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7.9433231362688178E-2</v>
      </c>
      <c r="AD346" s="231">
        <f>(INDEX(Models!$BJ346:$BT346,,AH346)*(1-AF346)+INDEX(Models!$BJ346:$BT346,,AH346+1)*AF346-ERP_i)*AE346*Ramure*Pc/MaxiM</f>
        <v>1.1019486070999213E-3</v>
      </c>
      <c r="AE346" s="305">
        <f t="shared" si="142"/>
        <v>0.5</v>
      </c>
      <c r="AF346" s="177">
        <f t="shared" si="143"/>
        <v>0.49711030287117675</v>
      </c>
      <c r="AG346" s="811">
        <f t="shared" si="149"/>
        <v>2</v>
      </c>
      <c r="AH346" s="176">
        <f t="shared" si="144"/>
        <v>8</v>
      </c>
      <c r="AI346" s="225">
        <f t="shared" si="145"/>
        <v>2.4971103028711767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14.183368422701117</v>
      </c>
      <c r="C347" s="841"/>
      <c r="D347" s="393">
        <f t="shared" si="127"/>
        <v>15.17851784649754</v>
      </c>
      <c r="E347" s="385">
        <f t="shared" si="125"/>
        <v>15.978831476406032</v>
      </c>
      <c r="F347" s="385">
        <f t="shared" si="128"/>
        <v>15.979667908707416</v>
      </c>
      <c r="G347" s="110">
        <f t="shared" si="126"/>
        <v>0.5929841505089567</v>
      </c>
      <c r="H347" s="414" t="b">
        <f>Wh_hp&gt;='2025'!Maxi_hp</f>
        <v>0</v>
      </c>
      <c r="I347" s="390">
        <f>IF(H347,Wh_hp,'2025'!Maxi_hp)</f>
        <v>26.41641779115476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6.5563017012629787E-2</v>
      </c>
      <c r="M347" s="845"/>
      <c r="N347" s="845"/>
      <c r="O347" s="48">
        <f>IF(t&lt;Tnet,'2025'!Resal+('2025'!Salim-'2025'!Resal)*(1-EXP(('2025'!Tnet-t)/('2025'!Tau_j))),Resal+(Salim-Resal)*(1-EXP((Tnet-t)/(Tau_j))))*Salcycl</f>
        <v>5.0085867110509073E-2</v>
      </c>
      <c r="P347" s="169">
        <f>(INDEX(Models!$BJ347:$BT347,,T347)*(1-R347)+INDEX(Models!$BJ347:$BT347,,T347+1)*R347-ERP_i)*Q347*Ramure*Pc/MaxiM</f>
        <v>1.2504117780995583E-4</v>
      </c>
      <c r="Q347" s="305">
        <f t="shared" si="130"/>
        <v>0.5</v>
      </c>
      <c r="R347" s="177">
        <f t="shared" si="131"/>
        <v>0.97214059760332705</v>
      </c>
      <c r="S347" s="811">
        <f t="shared" si="132"/>
        <v>-2</v>
      </c>
      <c r="T347" s="176">
        <f t="shared" si="133"/>
        <v>4</v>
      </c>
      <c r="U347" s="251">
        <f t="shared" si="134"/>
        <v>-1.0278594023966729</v>
      </c>
      <c r="V347" s="383">
        <f t="shared" si="135"/>
        <v>23.916890964283606</v>
      </c>
      <c r="W347" s="402">
        <f t="shared" si="136"/>
        <v>14.183368422701117</v>
      </c>
      <c r="X347" s="157">
        <f t="shared" si="137"/>
        <v>46355</v>
      </c>
      <c r="Y347" s="385">
        <f t="shared" si="138"/>
        <v>13.739582471668994</v>
      </c>
      <c r="Z347" s="385">
        <f t="shared" si="139"/>
        <v>14.7035944871787</v>
      </c>
      <c r="AA347" s="386">
        <f t="shared" si="140"/>
        <v>15.972243205917843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7.9428337171143143E-2</v>
      </c>
      <c r="AD347" s="231">
        <f>(INDEX(Models!$BJ347:$BT347,,AH347)*(1-AF347)+INDEX(Models!$BJ347:$BT347,,AH347+1)*AF347-ERP_i)*AE347*Ramure*Pc/MaxiM</f>
        <v>1.1099446783218194E-3</v>
      </c>
      <c r="AE347" s="305">
        <f t="shared" si="142"/>
        <v>0.5</v>
      </c>
      <c r="AF347" s="177">
        <f t="shared" si="143"/>
        <v>0.49712816397730597</v>
      </c>
      <c r="AG347" s="811">
        <f t="shared" si="149"/>
        <v>2</v>
      </c>
      <c r="AH347" s="176">
        <f t="shared" si="144"/>
        <v>8</v>
      </c>
      <c r="AI347" s="225">
        <f t="shared" si="145"/>
        <v>2.497128163977306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3.9516361876771771</v>
      </c>
      <c r="C348" s="841"/>
      <c r="D348" s="393">
        <f t="shared" si="127"/>
        <v>4.2289879494211275</v>
      </c>
      <c r="E348" s="385">
        <f t="shared" si="125"/>
        <v>4.4521460544475229</v>
      </c>
      <c r="F348" s="385">
        <f t="shared" si="128"/>
        <v>4.4521460544475229</v>
      </c>
      <c r="G348" s="110">
        <f t="shared" si="126"/>
        <v>0.16653217943463544</v>
      </c>
      <c r="H348" s="414" t="b">
        <f>Wh_hp&gt;='2025'!Maxi_hp</f>
        <v>0</v>
      </c>
      <c r="I348" s="390">
        <f>IF(H348,Wh_hp,'2025'!Maxi_hp)</f>
        <v>25.687652657075112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6.5583483580726409E-2</v>
      </c>
      <c r="M348" s="845"/>
      <c r="N348" s="845"/>
      <c r="O348" s="48">
        <f>IF(t&lt;Tnet,'2025'!Resal+('2025'!Salim-'2025'!Resal)*(1-EXP(('2025'!Tnet-t)/('2025'!Tau_j))),Resal+(Salim-Resal)*(1-EXP((Tnet-t)/(Tau_j))))*Salcycl</f>
        <v>5.0123716135383634E-2</v>
      </c>
      <c r="P348" s="169">
        <f>(INDEX(Models!$BJ348:$BT348,,T348)*(1-R348)+INDEX(Models!$BJ348:$BT348,,T348+1)*R348-ERP_i)*Q348*Ramure*Pc/MaxiM</f>
        <v>1.2724018119926762E-4</v>
      </c>
      <c r="Q348" s="305">
        <f t="shared" si="130"/>
        <v>0.5</v>
      </c>
      <c r="R348" s="177">
        <f t="shared" si="131"/>
        <v>0.97215774076853623</v>
      </c>
      <c r="S348" s="811">
        <f t="shared" si="132"/>
        <v>-2</v>
      </c>
      <c r="T348" s="176">
        <f t="shared" si="133"/>
        <v>4</v>
      </c>
      <c r="U348" s="251">
        <f t="shared" si="134"/>
        <v>-1.0278422592314638</v>
      </c>
      <c r="V348" s="383">
        <f t="shared" si="135"/>
        <v>23.725945304904027</v>
      </c>
      <c r="W348" s="402">
        <f t="shared" si="136"/>
        <v>3.9516361876771771</v>
      </c>
      <c r="X348" s="157">
        <f t="shared" si="137"/>
        <v>46356</v>
      </c>
      <c r="Y348" s="385">
        <f t="shared" si="138"/>
        <v>3.8297389051080959</v>
      </c>
      <c r="Z348" s="385">
        <f t="shared" si="139"/>
        <v>4.0985351155647685</v>
      </c>
      <c r="AA348" s="386">
        <f t="shared" si="140"/>
        <v>4.4521460544475229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7.9424828960745972E-2</v>
      </c>
      <c r="AD348" s="231">
        <f>(INDEX(Models!$BJ348:$BT348,,AH348)*(1-AF348)+INDEX(Models!$BJ348:$BT348,,AH348+1)*AF348-ERP_i)*AE348*Ramure*Pc/MaxiM</f>
        <v>1.1175009369956874E-3</v>
      </c>
      <c r="AE348" s="305">
        <f t="shared" si="142"/>
        <v>0.5</v>
      </c>
      <c r="AF348" s="177">
        <f t="shared" si="143"/>
        <v>0.49714530714251515</v>
      </c>
      <c r="AG348" s="811">
        <f t="shared" si="149"/>
        <v>2</v>
      </c>
      <c r="AH348" s="176">
        <f t="shared" si="144"/>
        <v>8</v>
      </c>
      <c r="AI348" s="225">
        <f t="shared" si="145"/>
        <v>2.4971453071425151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3.4003363373945854</v>
      </c>
      <c r="C349" s="841"/>
      <c r="D349" s="393">
        <f t="shared" si="127"/>
        <v>3.639073962593137</v>
      </c>
      <c r="E349" s="385">
        <f t="shared" si="125"/>
        <v>3.8312589687408458</v>
      </c>
      <c r="F349" s="385">
        <f t="shared" si="128"/>
        <v>3.8312589687408458</v>
      </c>
      <c r="G349" s="110">
        <f t="shared" si="126"/>
        <v>0.14444215248194928</v>
      </c>
      <c r="H349" s="414" t="b">
        <f>Wh_hp&gt;='2025'!Maxi_hp</f>
        <v>0</v>
      </c>
      <c r="I349" s="390">
        <f>IF(H349,Wh_hp,'2025'!Maxi_hp)</f>
        <v>26.512351889003813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6.5603949700552833E-2</v>
      </c>
      <c r="M349" s="845"/>
      <c r="N349" s="845"/>
      <c r="O349" s="48">
        <f>IF(t&lt;Tnet,'2025'!Resal+('2025'!Salim-'2025'!Resal)*(1-EXP(('2025'!Tnet-t)/('2025'!Tau_j))),Resal+(Salim-Resal)*(1-EXP((Tnet-t)/(Tau_j))))*Salcycl</f>
        <v>5.0162363785831748E-2</v>
      </c>
      <c r="P349" s="169">
        <f>(INDEX(Models!$BJ349:$BT349,,T349)*(1-R349)+INDEX(Models!$BJ349:$BT349,,T349+1)*R349-ERP_i)*Q349*Ramure*Pc/MaxiM</f>
        <v>1.2909938319916349E-4</v>
      </c>
      <c r="Q349" s="305">
        <f t="shared" si="130"/>
        <v>0.5</v>
      </c>
      <c r="R349" s="177">
        <f t="shared" si="131"/>
        <v>0.97217419480471179</v>
      </c>
      <c r="S349" s="811">
        <f t="shared" si="132"/>
        <v>-2</v>
      </c>
      <c r="T349" s="176">
        <f t="shared" si="133"/>
        <v>4</v>
      </c>
      <c r="U349" s="251">
        <f t="shared" si="134"/>
        <v>-1.0278258051952882</v>
      </c>
      <c r="V349" s="383">
        <f t="shared" si="135"/>
        <v>23.5381244162478</v>
      </c>
      <c r="W349" s="402">
        <f t="shared" si="136"/>
        <v>3.4003363373945854</v>
      </c>
      <c r="X349" s="157">
        <f t="shared" si="137"/>
        <v>46357</v>
      </c>
      <c r="Y349" s="385">
        <f t="shared" si="138"/>
        <v>3.2955868762183189</v>
      </c>
      <c r="Z349" s="385">
        <f t="shared" si="139"/>
        <v>3.5269700414103609</v>
      </c>
      <c r="AA349" s="386">
        <f t="shared" si="140"/>
        <v>3.8312589687408458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7.9422698860393257E-2</v>
      </c>
      <c r="AD349" s="231">
        <f>(INDEX(Models!$BJ349:$BT349,,AH349)*(1-AF349)+INDEX(Models!$BJ349:$BT349,,AH349+1)*AF349-ERP_i)*AE349*Ramure*Pc/MaxiM</f>
        <v>1.1245543555620085E-3</v>
      </c>
      <c r="AE349" s="305">
        <f t="shared" si="142"/>
        <v>0.5</v>
      </c>
      <c r="AF349" s="177">
        <f t="shared" si="143"/>
        <v>0.49716176117869049</v>
      </c>
      <c r="AG349" s="811">
        <f t="shared" si="149"/>
        <v>2</v>
      </c>
      <c r="AH349" s="176">
        <f t="shared" si="144"/>
        <v>8</v>
      </c>
      <c r="AI349" s="225">
        <f t="shared" si="145"/>
        <v>2.4971617611786905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5.638826727165144</v>
      </c>
      <c r="C350" s="841"/>
      <c r="D350" s="393">
        <f t="shared" si="127"/>
        <v>6.0348609487809206</v>
      </c>
      <c r="E350" s="385">
        <f t="shared" si="125"/>
        <v>6.3538349272084522</v>
      </c>
      <c r="F350" s="385">
        <f t="shared" si="128"/>
        <v>6.3538349272084522</v>
      </c>
      <c r="G350" s="110">
        <f t="shared" si="126"/>
        <v>0.24141073351322623</v>
      </c>
      <c r="H350" s="414" t="b">
        <f>Wh_hp&gt;='2025'!Maxi_hp</f>
        <v>0</v>
      </c>
      <c r="I350" s="390">
        <f>IF(H350,Wh_hp,'2025'!Maxi_hp)</f>
        <v>10.56169638849005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6.5624415372118605E-2</v>
      </c>
      <c r="M350" s="845"/>
      <c r="N350" s="845"/>
      <c r="O350" s="48">
        <f>IF(t&lt;Tnet,'2025'!Resal+('2025'!Salim-'2025'!Resal)*(1-EXP(('2025'!Tnet-t)/('2025'!Tau_j))),Resal+(Salim-Resal)*(1-EXP((Tnet-t)/(Tau_j))))*Salcycl</f>
        <v>5.0201804434927604E-2</v>
      </c>
      <c r="P350" s="169">
        <f>(INDEX(Models!$BJ350:$BT350,,T350)*(1-R350)+INDEX(Models!$BJ350:$BT350,,T350+1)*R350-ERP_i)*Q350*Ramure*Pc/MaxiM</f>
        <v>1.3060836200664351E-4</v>
      </c>
      <c r="Q350" s="305">
        <f t="shared" si="130"/>
        <v>0.5</v>
      </c>
      <c r="R350" s="177">
        <f t="shared" si="131"/>
        <v>0.97218998737113349</v>
      </c>
      <c r="S350" s="811">
        <f t="shared" si="132"/>
        <v>-2</v>
      </c>
      <c r="T350" s="176">
        <f t="shared" si="133"/>
        <v>4</v>
      </c>
      <c r="U350" s="251">
        <f t="shared" si="134"/>
        <v>-1.0278100126288665</v>
      </c>
      <c r="V350" s="383">
        <f t="shared" si="135"/>
        <v>23.354762098569967</v>
      </c>
      <c r="W350" s="402">
        <f t="shared" si="136"/>
        <v>5.638826727165144</v>
      </c>
      <c r="X350" s="157">
        <f t="shared" si="137"/>
        <v>46358</v>
      </c>
      <c r="Y350" s="385">
        <f t="shared" si="138"/>
        <v>5.4653506659127844</v>
      </c>
      <c r="Z350" s="385">
        <f t="shared" si="139"/>
        <v>5.8492010662814788</v>
      </c>
      <c r="AA350" s="386">
        <f t="shared" si="140"/>
        <v>6.3538349272084522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7.9421934423575438E-2</v>
      </c>
      <c r="AD350" s="231">
        <f>(INDEX(Models!$BJ350:$BT350,,AH350)*(1-AF350)+INDEX(Models!$BJ350:$BT350,,AH350+1)*AF350-ERP_i)*AE350*Ramure*Pc/MaxiM</f>
        <v>1.1310368941501578E-3</v>
      </c>
      <c r="AE350" s="305">
        <f t="shared" si="142"/>
        <v>0.5</v>
      </c>
      <c r="AF350" s="177">
        <f t="shared" si="143"/>
        <v>0.49717755374511263</v>
      </c>
      <c r="AG350" s="811">
        <f t="shared" si="149"/>
        <v>2</v>
      </c>
      <c r="AH350" s="176">
        <f t="shared" si="144"/>
        <v>8</v>
      </c>
      <c r="AI350" s="225">
        <f t="shared" si="145"/>
        <v>2.4971775537451126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8.4229134685510836</v>
      </c>
      <c r="C351" s="841"/>
      <c r="D351" s="393">
        <f t="shared" si="127"/>
        <v>9.0146811352826202</v>
      </c>
      <c r="E351" s="385">
        <f t="shared" si="125"/>
        <v>9.4915561823701537</v>
      </c>
      <c r="F351" s="385">
        <f t="shared" si="128"/>
        <v>9.491669474243416</v>
      </c>
      <c r="G351" s="110">
        <f t="shared" si="126"/>
        <v>0.36337034570383503</v>
      </c>
      <c r="H351" s="414" t="b">
        <f>Wh_hp&gt;='2025'!Maxi_hp</f>
        <v>0</v>
      </c>
      <c r="I351" s="390">
        <f>IF(H351,Wh_hp,'2025'!Maxi_hp)</f>
        <v>17.22212353344614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6.5644880595433719E-2</v>
      </c>
      <c r="M351" s="845"/>
      <c r="N351" s="845"/>
      <c r="O351" s="48">
        <f>IF(t&lt;Tnet,'2025'!Resal+('2025'!Salim-'2025'!Resal)*(1-EXP(('2025'!Tnet-t)/('2025'!Tau_j))),Resal+(Salim-Resal)*(1-EXP((Tnet-t)/(Tau_j))))*Salcycl</f>
        <v>5.0242029644547888E-2</v>
      </c>
      <c r="P351" s="169">
        <f>(INDEX(Models!$BJ351:$BT351,,T351)*(1-R351)+INDEX(Models!$BJ351:$BT351,,T351+1)*R351-ERP_i)*Q351*Ramure*Pc/MaxiM</f>
        <v>1.3175581551088427E-4</v>
      </c>
      <c r="Q351" s="305">
        <f t="shared" si="130"/>
        <v>0.5</v>
      </c>
      <c r="R351" s="177">
        <f t="shared" si="131"/>
        <v>0.9722051450202962</v>
      </c>
      <c r="S351" s="811">
        <f t="shared" si="132"/>
        <v>-2</v>
      </c>
      <c r="T351" s="176">
        <f t="shared" si="133"/>
        <v>4</v>
      </c>
      <c r="U351" s="251">
        <f t="shared" si="134"/>
        <v>-1.0277948549797038</v>
      </c>
      <c r="V351" s="383">
        <f t="shared" si="135"/>
        <v>23.177191874693413</v>
      </c>
      <c r="W351" s="402">
        <f t="shared" si="136"/>
        <v>8.4229134685510836</v>
      </c>
      <c r="X351" s="157">
        <f t="shared" si="137"/>
        <v>46359</v>
      </c>
      <c r="Y351" s="385">
        <f t="shared" si="138"/>
        <v>8.1633833698549907</v>
      </c>
      <c r="Z351" s="385">
        <f t="shared" si="139"/>
        <v>8.736917260171106</v>
      </c>
      <c r="AA351" s="386">
        <f t="shared" si="140"/>
        <v>9.4906919175225326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7.9422518811272672E-2</v>
      </c>
      <c r="AD351" s="231">
        <f>(INDEX(Models!$BJ351:$BT351,,AH351)*(1-AF351)+INDEX(Models!$BJ351:$BT351,,AH351+1)*AF351-ERP_i)*AE351*Ramure*Pc/MaxiM</f>
        <v>1.1368757463361971E-3</v>
      </c>
      <c r="AE351" s="305">
        <f t="shared" si="142"/>
        <v>0.5</v>
      </c>
      <c r="AF351" s="177">
        <f t="shared" si="143"/>
        <v>0.49719271139427512</v>
      </c>
      <c r="AG351" s="811">
        <f t="shared" si="149"/>
        <v>2</v>
      </c>
      <c r="AH351" s="176">
        <f t="shared" si="144"/>
        <v>8</v>
      </c>
      <c r="AI351" s="225">
        <f t="shared" si="145"/>
        <v>2.4971927113942751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16.723714615947749</v>
      </c>
      <c r="C352" s="841"/>
      <c r="D352" s="393">
        <f t="shared" si="127"/>
        <v>17.899062753462239</v>
      </c>
      <c r="E352" s="385">
        <f t="shared" si="125"/>
        <v>18.846733591747114</v>
      </c>
      <c r="F352" s="385">
        <f t="shared" si="128"/>
        <v>18.848257667264477</v>
      </c>
      <c r="G352" s="110">
        <f t="shared" si="126"/>
        <v>0.72686722992406094</v>
      </c>
      <c r="H352" s="414" t="b">
        <f>Wh_hp&gt;='2025'!Maxi_hp</f>
        <v>0</v>
      </c>
      <c r="I352" s="390">
        <f>IF(H352,Wh_hp,'2025'!Maxi_hp)</f>
        <v>18.848758214784411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6.5665345370507833E-2</v>
      </c>
      <c r="M352" s="845"/>
      <c r="N352" s="845"/>
      <c r="O352" s="48">
        <f>IF(t&lt;Tnet,'2025'!Resal+('2025'!Salim-'2025'!Resal)*(1-EXP(('2025'!Tnet-t)/('2025'!Tau_j))),Resal+(Salim-Resal)*(1-EXP((Tnet-t)/(Tau_j))))*Salcycl</f>
        <v>5.028302828559409E-2</v>
      </c>
      <c r="P352" s="169">
        <f>(INDEX(Models!$BJ352:$BT352,,T352)*(1-R352)+INDEX(Models!$BJ352:$BT352,,T352+1)*R352-ERP_i)*Q352*Ramure*Pc/MaxiM</f>
        <v>1.325873969466624E-4</v>
      </c>
      <c r="Q352" s="305">
        <f t="shared" si="130"/>
        <v>0.5</v>
      </c>
      <c r="R352" s="177">
        <f t="shared" si="131"/>
        <v>0.97221969324193114</v>
      </c>
      <c r="S352" s="811">
        <f t="shared" si="132"/>
        <v>-2</v>
      </c>
      <c r="T352" s="176">
        <f t="shared" si="133"/>
        <v>4</v>
      </c>
      <c r="U352" s="251">
        <f t="shared" si="134"/>
        <v>-1.0277803067580689</v>
      </c>
      <c r="V352" s="383">
        <f t="shared" si="135"/>
        <v>23.006745645017617</v>
      </c>
      <c r="W352" s="402">
        <f t="shared" si="136"/>
        <v>16.723714615947749</v>
      </c>
      <c r="X352" s="157">
        <f t="shared" si="137"/>
        <v>46360</v>
      </c>
      <c r="Y352" s="385">
        <f t="shared" si="138"/>
        <v>16.200577998491621</v>
      </c>
      <c r="Z352" s="385">
        <f t="shared" si="139"/>
        <v>17.33915992328885</v>
      </c>
      <c r="AA352" s="386">
        <f t="shared" si="140"/>
        <v>18.835129355111491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7.9424430999018372E-2</v>
      </c>
      <c r="AD352" s="231">
        <f>(INDEX(Models!$BJ352:$BT352,,AH352)*(1-AF352)+INDEX(Models!$BJ352:$BT352,,AH352+1)*AF352-ERP_i)*AE352*Ramure*Pc/MaxiM</f>
        <v>1.1421013688863179E-3</v>
      </c>
      <c r="AE352" s="305">
        <f t="shared" si="142"/>
        <v>0.5</v>
      </c>
      <c r="AF352" s="177">
        <f t="shared" si="143"/>
        <v>0.49720725961591006</v>
      </c>
      <c r="AG352" s="811">
        <f t="shared" si="149"/>
        <v>2</v>
      </c>
      <c r="AH352" s="176">
        <f t="shared" si="144"/>
        <v>8</v>
      </c>
      <c r="AI352" s="225">
        <f t="shared" si="145"/>
        <v>2.4972072596159101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22.762883471251747</v>
      </c>
      <c r="C353" s="841"/>
      <c r="D353" s="393">
        <f t="shared" si="127"/>
        <v>24.363199989372148</v>
      </c>
      <c r="E353" s="385">
        <f t="shared" si="125"/>
        <v>25.654244364261945</v>
      </c>
      <c r="F353" s="385">
        <f t="shared" si="128"/>
        <v>25.657646971120109</v>
      </c>
      <c r="G353" s="110">
        <f t="shared" si="126"/>
        <v>0.99641564632997903</v>
      </c>
      <c r="H353" s="414" t="b">
        <f>Wh_hp&gt;='2025'!Maxi_hp</f>
        <v>0</v>
      </c>
      <c r="I353" s="390">
        <f>IF(H353,Wh_hp,'2025'!Maxi_hp)</f>
        <v>25.657655960530157</v>
      </c>
      <c r="J353" s="85">
        <f>IF(H353,An,'2025'!An_max)</f>
        <v>2025</v>
      </c>
      <c r="K353" s="197">
        <f t="shared" si="129"/>
        <v>46361</v>
      </c>
      <c r="L353" s="147">
        <f>IF(t&lt;Tvie,1-EXP((T0-t)*PertePVj)+'2025'!Pspv,1-EXP((T0-t)*PertePVj)+Pspv)</f>
        <v>6.5685809697350939E-2</v>
      </c>
      <c r="M353" s="845"/>
      <c r="N353" s="845"/>
      <c r="O353" s="48">
        <f>IF(t&lt;Tnet,'2025'!Resal+('2025'!Salim-'2025'!Resal)*(1-EXP(('2025'!Tnet-t)/('2025'!Tau_j))),Resal+(Salim-Resal)*(1-EXP((Tnet-t)/(Tau_j))))*Salcycl</f>
        <v>5.032478667305073E-2</v>
      </c>
      <c r="P353" s="169">
        <f>(INDEX(Models!$BJ353:$BT353,,T353)*(1-R353)+INDEX(Models!$BJ353:$BT353,,T353+1)*R353-ERP_i)*Q353*Ramure*Pc/MaxiM</f>
        <v>1.3329812599388968E-4</v>
      </c>
      <c r="Q353" s="305">
        <f t="shared" si="130"/>
        <v>0.5</v>
      </c>
      <c r="R353" s="177">
        <f t="shared" si="131"/>
        <v>0.97223365650530003</v>
      </c>
      <c r="S353" s="811">
        <f t="shared" si="132"/>
        <v>-2</v>
      </c>
      <c r="T353" s="176">
        <f t="shared" si="133"/>
        <v>4</v>
      </c>
      <c r="U353" s="251">
        <f t="shared" si="134"/>
        <v>-1.0277663434947</v>
      </c>
      <c r="V353" s="383">
        <f t="shared" si="135"/>
        <v>22.844751604502054</v>
      </c>
      <c r="W353" s="402">
        <f t="shared" si="136"/>
        <v>22.762883471251747</v>
      </c>
      <c r="X353" s="157">
        <f t="shared" si="137"/>
        <v>46361</v>
      </c>
      <c r="Y353" s="385">
        <f t="shared" si="138"/>
        <v>22.043054268180867</v>
      </c>
      <c r="Z353" s="385">
        <f t="shared" si="139"/>
        <v>23.592764079758371</v>
      </c>
      <c r="AA353" s="386">
        <f t="shared" si="140"/>
        <v>25.628364763949975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7.9427646006309929E-2</v>
      </c>
      <c r="AD353" s="231">
        <f>(INDEX(Models!$BJ353:$BT353,,AH353)*(1-AF353)+INDEX(Models!$BJ353:$BT353,,AH353+1)*AF353-ERP_i)*AE353*Ramure*Pc/MaxiM</f>
        <v>1.1471390917166422E-3</v>
      </c>
      <c r="AE353" s="305">
        <f t="shared" si="142"/>
        <v>0.5</v>
      </c>
      <c r="AF353" s="177">
        <f t="shared" si="143"/>
        <v>0.49722122287927917</v>
      </c>
      <c r="AG353" s="811">
        <f t="shared" si="149"/>
        <v>2</v>
      </c>
      <c r="AH353" s="176">
        <f t="shared" si="144"/>
        <v>8</v>
      </c>
      <c r="AI353" s="225">
        <f t="shared" si="145"/>
        <v>2.4972212228792792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10.542357674740394</v>
      </c>
      <c r="C354" s="841"/>
      <c r="D354" s="393">
        <f t="shared" si="127"/>
        <v>11.283772304766357</v>
      </c>
      <c r="E354" s="385">
        <f t="shared" si="125"/>
        <v>11.882248969176787</v>
      </c>
      <c r="F354" s="385">
        <f t="shared" si="128"/>
        <v>11.882622979211558</v>
      </c>
      <c r="G354" s="110">
        <f t="shared" si="126"/>
        <v>0.46452609361844166</v>
      </c>
      <c r="H354" s="414" t="b">
        <f>Wh_hp&gt;='2025'!Maxi_hp</f>
        <v>0</v>
      </c>
      <c r="I354" s="390">
        <f>IF(H354,Wh_hp,'2025'!Maxi_hp)</f>
        <v>20.632916228723204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6.5706273575972696E-2</v>
      </c>
      <c r="M354" s="845"/>
      <c r="N354" s="845"/>
      <c r="O354" s="48">
        <f>IF(t&lt;Tnet,'2025'!Resal+('2025'!Salim-'2025'!Resal)*(1-EXP(('2025'!Tnet-t)/('2025'!Tau_j))),Resal+(Salim-Resal)*(1-EXP((Tnet-t)/(Tau_j))))*Salcycl</f>
        <v>5.0367288714696395E-2</v>
      </c>
      <c r="P354" s="169">
        <f>(INDEX(Models!$BJ354:$BT354,,T354)*(1-R354)+INDEX(Models!$BJ354:$BT354,,T354+1)*R354-ERP_i)*Q354*Ramure*Pc/MaxiM</f>
        <v>1.3387781834639197E-4</v>
      </c>
      <c r="Q354" s="305">
        <f t="shared" si="130"/>
        <v>0.5</v>
      </c>
      <c r="R354" s="177">
        <f t="shared" si="131"/>
        <v>0.97224705829982305</v>
      </c>
      <c r="S354" s="811">
        <f t="shared" si="132"/>
        <v>-2</v>
      </c>
      <c r="T354" s="176">
        <f t="shared" si="133"/>
        <v>4</v>
      </c>
      <c r="U354" s="251">
        <f t="shared" si="134"/>
        <v>-1.0277529417001769</v>
      </c>
      <c r="V354" s="383">
        <f t="shared" si="135"/>
        <v>22.692542404844698</v>
      </c>
      <c r="W354" s="402">
        <f t="shared" si="136"/>
        <v>10.542357674740394</v>
      </c>
      <c r="X354" s="157">
        <f t="shared" si="137"/>
        <v>46362</v>
      </c>
      <c r="Y354" s="385">
        <f t="shared" si="138"/>
        <v>10.217247865017479</v>
      </c>
      <c r="Z354" s="385">
        <f t="shared" si="139"/>
        <v>10.935798428320391</v>
      </c>
      <c r="AA354" s="386">
        <f t="shared" si="140"/>
        <v>11.879404925849059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7.9432135146384447E-2</v>
      </c>
      <c r="AD354" s="231">
        <f>(INDEX(Models!$BJ354:$BT354,,AH354)*(1-AF354)+INDEX(Models!$BJ354:$BT354,,AH354+1)*AF354-ERP_i)*AE354*Ramure*Pc/MaxiM</f>
        <v>1.1519101720301613E-3</v>
      </c>
      <c r="AE354" s="305">
        <f t="shared" si="142"/>
        <v>0.5</v>
      </c>
      <c r="AF354" s="177">
        <f t="shared" si="143"/>
        <v>0.49723462467380219</v>
      </c>
      <c r="AG354" s="811">
        <f t="shared" si="149"/>
        <v>2</v>
      </c>
      <c r="AH354" s="176">
        <f t="shared" si="144"/>
        <v>8</v>
      </c>
      <c r="AI354" s="225">
        <f t="shared" si="145"/>
        <v>2.4972346246738022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19.128866251724304</v>
      </c>
      <c r="C355" s="841"/>
      <c r="D355" s="393">
        <f t="shared" si="127"/>
        <v>20.474594542533744</v>
      </c>
      <c r="E355" s="385">
        <f t="shared" si="125"/>
        <v>21.561521993529322</v>
      </c>
      <c r="F355" s="385">
        <f t="shared" si="128"/>
        <v>21.563790391707858</v>
      </c>
      <c r="G355" s="110">
        <f t="shared" si="126"/>
        <v>0.84820749221501479</v>
      </c>
      <c r="H355" s="414" t="b">
        <f>Wh_hp&gt;='2025'!Maxi_hp</f>
        <v>0</v>
      </c>
      <c r="I355" s="390">
        <f>IF(H355,Wh_hp,'2025'!Maxi_hp)</f>
        <v>21.564112777516236</v>
      </c>
      <c r="J355" s="85">
        <f>IF(H355,An,'2025'!An_max)</f>
        <v>2025</v>
      </c>
      <c r="K355" s="197">
        <f t="shared" si="129"/>
        <v>46363</v>
      </c>
      <c r="L355" s="147">
        <f>IF(t&lt;Tvie,1-EXP((T0-t)*PertePVj)+'2025'!Pspv,1-EXP((T0-t)*PertePVj)+Pspv)</f>
        <v>6.5726737006382985E-2</v>
      </c>
      <c r="M355" s="845"/>
      <c r="N355" s="845"/>
      <c r="O355" s="48">
        <f>IF(t&lt;Tnet,'2025'!Resal+('2025'!Salim-'2025'!Resal)*(1-EXP(('2025'!Tnet-t)/('2025'!Tau_j))),Resal+(Salim-Resal)*(1-EXP((Tnet-t)/(Tau_j))))*Salcycl</f>
        <v>5.0410516072184844E-2</v>
      </c>
      <c r="P355" s="169">
        <f>(INDEX(Models!$BJ355:$BT355,,T355)*(1-R355)+INDEX(Models!$BJ355:$BT355,,T355+1)*R355-ERP_i)*Q355*Ramure*Pc/MaxiM</f>
        <v>1.343159818778255E-4</v>
      </c>
      <c r="Q355" s="305">
        <f t="shared" si="130"/>
        <v>0.5</v>
      </c>
      <c r="R355" s="177">
        <f t="shared" si="131"/>
        <v>0.97225992117410809</v>
      </c>
      <c r="S355" s="811">
        <f t="shared" si="132"/>
        <v>-2</v>
      </c>
      <c r="T355" s="176">
        <f t="shared" si="133"/>
        <v>4</v>
      </c>
      <c r="U355" s="251">
        <f t="shared" si="134"/>
        <v>-1.0277400788258919</v>
      </c>
      <c r="V355" s="383">
        <f t="shared" si="135"/>
        <v>22.551450338624548</v>
      </c>
      <c r="W355" s="402">
        <f t="shared" si="136"/>
        <v>19.128866251724304</v>
      </c>
      <c r="X355" s="157">
        <f t="shared" si="137"/>
        <v>46363</v>
      </c>
      <c r="Y355" s="385">
        <f t="shared" si="138"/>
        <v>18.529284173141054</v>
      </c>
      <c r="Z355" s="385">
        <f t="shared" si="139"/>
        <v>19.832831471350421</v>
      </c>
      <c r="AA355" s="386">
        <f t="shared" si="140"/>
        <v>21.544261647513551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7.9437866294232037E-2</v>
      </c>
      <c r="AD355" s="231">
        <f>(INDEX(Models!$BJ355:$BT355,,AH355)*(1-AF355)+INDEX(Models!$BJ355:$BT355,,AH355+1)*AF355-ERP_i)*AE355*Ramure*Pc/MaxiM</f>
        <v>1.1563324623163958E-3</v>
      </c>
      <c r="AE355" s="305">
        <f t="shared" si="142"/>
        <v>0.5</v>
      </c>
      <c r="AF355" s="177">
        <f t="shared" si="143"/>
        <v>0.49724748754808701</v>
      </c>
      <c r="AG355" s="811">
        <f t="shared" si="149"/>
        <v>2</v>
      </c>
      <c r="AH355" s="176">
        <f t="shared" si="144"/>
        <v>8</v>
      </c>
      <c r="AI355" s="225">
        <f t="shared" si="145"/>
        <v>2.497247487548087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3.9491032676631699</v>
      </c>
      <c r="C356" s="841"/>
      <c r="D356" s="393">
        <f t="shared" si="127"/>
        <v>4.2270178559967349</v>
      </c>
      <c r="E356" s="385">
        <f t="shared" si="125"/>
        <v>4.45162198756704</v>
      </c>
      <c r="F356" s="385">
        <f t="shared" si="128"/>
        <v>4.45162198756704</v>
      </c>
      <c r="G356" s="110">
        <f t="shared" si="126"/>
        <v>0.17609622433547101</v>
      </c>
      <c r="H356" s="414" t="b">
        <f>Wh_hp&gt;='2025'!Maxi_hp</f>
        <v>0</v>
      </c>
      <c r="I356" s="390">
        <f>IF(H356,Wh_hp,'2025'!Maxi_hp)</f>
        <v>16.757981515209075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6.5747199988591687E-2</v>
      </c>
      <c r="M356" s="845"/>
      <c r="N356" s="845"/>
      <c r="O356" s="48">
        <f>IF(t&lt;Tnet,'2025'!Resal+('2025'!Salim-'2025'!Resal)*(1-EXP(('2025'!Tnet-t)/('2025'!Tau_j))),Resal+(Salim-Resal)*(1-EXP((Tnet-t)/(Tau_j))))*Salcycl</f>
        <v>5.0454448333125193E-2</v>
      </c>
      <c r="P356" s="169">
        <f>(INDEX(Models!$BJ356:$BT356,,T356)*(1-R356)+INDEX(Models!$BJ356:$BT356,,T356+1)*R356-ERP_i)*Q356*Ramure*Pc/MaxiM</f>
        <v>1.3460194616695138E-4</v>
      </c>
      <c r="Q356" s="305">
        <f t="shared" si="130"/>
        <v>0.5</v>
      </c>
      <c r="R356" s="177">
        <f t="shared" si="131"/>
        <v>0.97227226677344225</v>
      </c>
      <c r="S356" s="811">
        <f t="shared" si="132"/>
        <v>-2</v>
      </c>
      <c r="T356" s="176">
        <f t="shared" si="133"/>
        <v>4</v>
      </c>
      <c r="U356" s="251">
        <f t="shared" si="134"/>
        <v>-1.0277277332265577</v>
      </c>
      <c r="V356" s="383">
        <f t="shared" si="135"/>
        <v>22.42280733490075</v>
      </c>
      <c r="W356" s="402">
        <f t="shared" si="136"/>
        <v>3.9491032676631699</v>
      </c>
      <c r="X356" s="157">
        <f t="shared" si="137"/>
        <v>46364</v>
      </c>
      <c r="Y356" s="385">
        <f t="shared" si="138"/>
        <v>3.8285341082716045</v>
      </c>
      <c r="Z356" s="385">
        <f t="shared" si="139"/>
        <v>4.097963750523256</v>
      </c>
      <c r="AA356" s="386">
        <f t="shared" si="140"/>
        <v>4.45162198756704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7.9444804170596281E-2</v>
      </c>
      <c r="AD356" s="231">
        <f>(INDEX(Models!$BJ356:$BT356,,AH356)*(1-AF356)+INDEX(Models!$BJ356:$BT356,,AH356+1)*AF356-ERP_i)*AE356*Ramure*Pc/MaxiM</f>
        <v>1.1603209202317275E-3</v>
      </c>
      <c r="AE356" s="305">
        <f t="shared" si="142"/>
        <v>0.5</v>
      </c>
      <c r="AF356" s="177">
        <f t="shared" si="143"/>
        <v>0.49725983314742095</v>
      </c>
      <c r="AG356" s="811">
        <f t="shared" si="149"/>
        <v>2</v>
      </c>
      <c r="AH356" s="176">
        <f t="shared" si="144"/>
        <v>8</v>
      </c>
      <c r="AI356" s="225">
        <f t="shared" si="145"/>
        <v>2.4972598331474209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4.7781940454844332</v>
      </c>
      <c r="C357" s="841"/>
      <c r="D357" s="393">
        <f t="shared" si="127"/>
        <v>5.1145671732863409</v>
      </c>
      <c r="E357" s="385">
        <f t="shared" si="125"/>
        <v>5.3865846520216891</v>
      </c>
      <c r="F357" s="385">
        <f t="shared" si="128"/>
        <v>5.3865846520216891</v>
      </c>
      <c r="G357" s="110">
        <f t="shared" si="126"/>
        <v>0.21416362267336855</v>
      </c>
      <c r="H357" s="414" t="b">
        <f>Wh_hp&gt;='2025'!Maxi_hp</f>
        <v>0</v>
      </c>
      <c r="I357" s="390">
        <f>IF(H357,Wh_hp,'2025'!Maxi_hp)</f>
        <v>11.880379374635188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6.5767662522608572E-2</v>
      </c>
      <c r="M357" s="845"/>
      <c r="N357" s="845"/>
      <c r="O357" s="48">
        <f>IF(t&lt;Tnet,'2025'!Resal+('2025'!Salim-'2025'!Resal)*(1-EXP(('2025'!Tnet-t)/('2025'!Tau_j))),Resal+(Salim-Resal)*(1-EXP((Tnet-t)/(Tau_j))))*Salcycl</f>
        <v>5.0499063192714189E-2</v>
      </c>
      <c r="P357" s="169">
        <f>(INDEX(Models!$BJ357:$BT357,,T357)*(1-R357)+INDEX(Models!$BJ357:$BT357,,T357+1)*R357-ERP_i)*Q357*Ramure*Pc/MaxiM</f>
        <v>1.3472501224692898E-4</v>
      </c>
      <c r="Q357" s="305">
        <f t="shared" si="130"/>
        <v>0.5</v>
      </c>
      <c r="R357" s="177">
        <f t="shared" si="131"/>
        <v>0.97228411587580221</v>
      </c>
      <c r="S357" s="811">
        <f t="shared" si="132"/>
        <v>-2</v>
      </c>
      <c r="T357" s="176">
        <f t="shared" si="133"/>
        <v>4</v>
      </c>
      <c r="U357" s="251">
        <f t="shared" si="134"/>
        <v>-1.0277158841241978</v>
      </c>
      <c r="V357" s="383">
        <f t="shared" si="135"/>
        <v>22.307944942263202</v>
      </c>
      <c r="W357" s="402">
        <f t="shared" si="136"/>
        <v>4.7781940454844332</v>
      </c>
      <c r="X357" s="157">
        <f t="shared" si="137"/>
        <v>46365</v>
      </c>
      <c r="Y357" s="385">
        <f t="shared" si="138"/>
        <v>4.6324889744291129</v>
      </c>
      <c r="Z357" s="385">
        <f t="shared" si="139"/>
        <v>4.9586048230119415</v>
      </c>
      <c r="AA357" s="386">
        <f t="shared" si="140"/>
        <v>5.3865846520216891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7.9452910639605023E-2</v>
      </c>
      <c r="AD357" s="231">
        <f>(INDEX(Models!$BJ357:$BT357,,AH357)*(1-AF357)+INDEX(Models!$BJ357:$BT357,,AH357+1)*AF357-ERP_i)*AE357*Ramure*Pc/MaxiM</f>
        <v>1.1637882634830963E-3</v>
      </c>
      <c r="AE357" s="305">
        <f t="shared" si="142"/>
        <v>0.5</v>
      </c>
      <c r="AF357" s="177">
        <f t="shared" si="143"/>
        <v>0.49727168224978113</v>
      </c>
      <c r="AG357" s="811">
        <f t="shared" si="149"/>
        <v>2</v>
      </c>
      <c r="AH357" s="176">
        <f t="shared" si="144"/>
        <v>8</v>
      </c>
      <c r="AI357" s="225">
        <f t="shared" si="145"/>
        <v>2.4972716822497811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11.247608314201941</v>
      </c>
      <c r="C358" s="841"/>
      <c r="D358" s="393">
        <f t="shared" si="127"/>
        <v>12.039676020482748</v>
      </c>
      <c r="E358" s="385">
        <f t="shared" si="125"/>
        <v>12.680608990122996</v>
      </c>
      <c r="F358" s="385">
        <f t="shared" si="128"/>
        <v>12.68111270570747</v>
      </c>
      <c r="G358" s="110">
        <f t="shared" si="126"/>
        <v>0.50641398929310244</v>
      </c>
      <c r="H358" s="414" t="b">
        <f>Wh_hp&gt;='2025'!Maxi_hp</f>
        <v>0</v>
      </c>
      <c r="I358" s="390">
        <f>IF(H358,Wh_hp,'2025'!Maxi_hp)</f>
        <v>21.95872257479607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6.578812460844341E-2</v>
      </c>
      <c r="M358" s="845"/>
      <c r="N358" s="845"/>
      <c r="O358" s="48">
        <f>IF(t&lt;Tnet,'2025'!Resal+('2025'!Salim-'2025'!Resal)*(1-EXP(('2025'!Tnet-t)/('2025'!Tau_j))),Resal+(Salim-Resal)*(1-EXP((Tnet-t)/(Tau_j))))*Salcycl</f>
        <v>5.0544336643411653E-2</v>
      </c>
      <c r="P358" s="169">
        <f>(INDEX(Models!$BJ358:$BT358,,T358)*(1-R358)+INDEX(Models!$BJ358:$BT358,,T358+1)*R358-ERP_i)*Q358*Ramure*Pc/MaxiM</f>
        <v>1.3467462171723235E-4</v>
      </c>
      <c r="Q358" s="305">
        <f t="shared" si="130"/>
        <v>0.5</v>
      </c>
      <c r="R358" s="177">
        <f t="shared" si="131"/>
        <v>0.97229548842644675</v>
      </c>
      <c r="S358" s="811">
        <f t="shared" si="132"/>
        <v>-2</v>
      </c>
      <c r="T358" s="176">
        <f t="shared" si="133"/>
        <v>4</v>
      </c>
      <c r="U358" s="251">
        <f t="shared" si="134"/>
        <v>-1.0277045115735532</v>
      </c>
      <c r="V358" s="383">
        <f t="shared" si="135"/>
        <v>22.208194316292118</v>
      </c>
      <c r="W358" s="402">
        <f t="shared" si="136"/>
        <v>11.247608314201941</v>
      </c>
      <c r="X358" s="157">
        <f t="shared" si="137"/>
        <v>46366</v>
      </c>
      <c r="Y358" s="385">
        <f t="shared" si="138"/>
        <v>10.901717738468113</v>
      </c>
      <c r="Z358" s="385">
        <f t="shared" si="139"/>
        <v>11.669427488168967</v>
      </c>
      <c r="AA358" s="386">
        <f t="shared" si="140"/>
        <v>12.676749168986637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7.946214501759323E-2</v>
      </c>
      <c r="AD358" s="231">
        <f>(INDEX(Models!$BJ358:$BT358,,AH358)*(1-AF358)+INDEX(Models!$BJ358:$BT358,,AH358+1)*AF358-ERP_i)*AE358*Ramure*Pc/MaxiM</f>
        <v>1.1666457726191601E-3</v>
      </c>
      <c r="AE358" s="305">
        <f t="shared" si="142"/>
        <v>0.5</v>
      </c>
      <c r="AF358" s="177">
        <f t="shared" si="143"/>
        <v>0.49728305480042589</v>
      </c>
      <c r="AG358" s="811">
        <f t="shared" si="149"/>
        <v>2</v>
      </c>
      <c r="AH358" s="176">
        <f t="shared" si="144"/>
        <v>8</v>
      </c>
      <c r="AI358" s="225">
        <f t="shared" si="145"/>
        <v>2.4972830548004259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15.713414146101456</v>
      </c>
      <c r="C359" s="841"/>
      <c r="D359" s="393">
        <f t="shared" si="127"/>
        <v>16.820336726238679</v>
      </c>
      <c r="E359" s="385">
        <f t="shared" si="125"/>
        <v>17.716625098123988</v>
      </c>
      <c r="F359" s="385">
        <f t="shared" si="128"/>
        <v>17.718021672032453</v>
      </c>
      <c r="G359" s="110">
        <f t="shared" si="126"/>
        <v>0.71029800038433732</v>
      </c>
      <c r="H359" s="414" t="b">
        <f>Wh_hp&gt;='2025'!Maxi_hp</f>
        <v>0</v>
      </c>
      <c r="I359" s="390">
        <f>IF(H359,Wh_hp,'2025'!Maxi_hp)</f>
        <v>18.260406248134906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6.5808586246106082E-2</v>
      </c>
      <c r="M359" s="845"/>
      <c r="N359" s="845"/>
      <c r="O359" s="48">
        <f>IF(t&lt;Tnet,'2025'!Resal+('2025'!Salim-'2025'!Resal)*(1-EXP(('2025'!Tnet-t)/('2025'!Tau_j))),Resal+(Salim-Resal)*(1-EXP((Tnet-t)/(Tau_j))))*Salcycl</f>
        <v>5.0590243171100169E-2</v>
      </c>
      <c r="P359" s="169">
        <f>(INDEX(Models!$BJ359:$BT359,,T359)*(1-R359)+INDEX(Models!$BJ359:$BT359,,T359+1)*R359-ERP_i)*Q359*Ramure*Pc/MaxiM</f>
        <v>1.3446383637137881E-4</v>
      </c>
      <c r="Q359" s="305">
        <f t="shared" si="130"/>
        <v>0.5</v>
      </c>
      <c r="R359" s="177">
        <f t="shared" si="131"/>
        <v>0.97230640357113818</v>
      </c>
      <c r="S359" s="811">
        <f t="shared" si="132"/>
        <v>-2</v>
      </c>
      <c r="T359" s="176">
        <f t="shared" si="133"/>
        <v>4</v>
      </c>
      <c r="U359" s="251">
        <f t="shared" si="134"/>
        <v>-1.0276935964288618</v>
      </c>
      <c r="V359" s="383">
        <f t="shared" si="135"/>
        <v>22.121053063658767</v>
      </c>
      <c r="W359" s="402">
        <f t="shared" si="136"/>
        <v>15.713414146101456</v>
      </c>
      <c r="X359" s="157">
        <f t="shared" si="137"/>
        <v>46367</v>
      </c>
      <c r="Y359" s="385">
        <f t="shared" si="138"/>
        <v>15.22615245514598</v>
      </c>
      <c r="Z359" s="385">
        <f t="shared" si="139"/>
        <v>16.298750160807195</v>
      </c>
      <c r="AA359" s="386">
        <f t="shared" si="140"/>
        <v>17.705880085398565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7.9472464390616906E-2</v>
      </c>
      <c r="AD359" s="231">
        <f>(INDEX(Models!$BJ359:$BT359,,AH359)*(1-AF359)+INDEX(Models!$BJ359:$BT359,,AH359+1)*AF359-ERP_i)*AE359*Ramure*Pc/MaxiM</f>
        <v>1.1690067446722735E-3</v>
      </c>
      <c r="AE359" s="305">
        <f t="shared" si="142"/>
        <v>0.5</v>
      </c>
      <c r="AF359" s="177">
        <f t="shared" si="143"/>
        <v>0.4972939699451171</v>
      </c>
      <c r="AG359" s="811">
        <f t="shared" si="149"/>
        <v>2</v>
      </c>
      <c r="AH359" s="176">
        <f t="shared" si="144"/>
        <v>8</v>
      </c>
      <c r="AI359" s="225">
        <f t="shared" si="145"/>
        <v>2.4972939699451171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5.4724690270020275</v>
      </c>
      <c r="C360" s="841"/>
      <c r="D360" s="393">
        <f t="shared" si="127"/>
        <v>5.8581023226846725</v>
      </c>
      <c r="E360" s="385">
        <f t="shared" si="125"/>
        <v>6.1705594349026702</v>
      </c>
      <c r="F360" s="385">
        <f t="shared" si="128"/>
        <v>6.1705594349026702</v>
      </c>
      <c r="G360" s="110">
        <f t="shared" si="126"/>
        <v>0.24822684894683197</v>
      </c>
      <c r="H360" s="414" t="b">
        <f>Wh_hp&gt;='2025'!Maxi_hp</f>
        <v>0</v>
      </c>
      <c r="I360" s="390">
        <f>IF(H360,Wh_hp,'2025'!Maxi_hp)</f>
        <v>23.792403120855759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6.5829047435606358E-2</v>
      </c>
      <c r="M360" s="845"/>
      <c r="N360" s="845"/>
      <c r="O360" s="48">
        <f>IF(t&lt;Tnet,'2025'!Resal+('2025'!Salim-'2025'!Resal)*(1-EXP(('2025'!Tnet-t)/('2025'!Tau_j))),Resal+(Salim-Resal)*(1-EXP((Tnet-t)/(Tau_j))))*Salcycl</f>
        <v>5.0636755956135843E-2</v>
      </c>
      <c r="P360" s="169">
        <f>(INDEX(Models!$BJ360:$BT360,,T360)*(1-R360)+INDEX(Models!$BJ360:$BT360,,T360+1)*R360-ERP_i)*Q360*Ramure*Pc/MaxiM</f>
        <v>1.3411073843207561E-4</v>
      </c>
      <c r="Q360" s="305">
        <f t="shared" si="130"/>
        <v>0.5</v>
      </c>
      <c r="R360" s="177">
        <f t="shared" si="131"/>
        <v>0.9723168796880528</v>
      </c>
      <c r="S360" s="811">
        <f t="shared" si="132"/>
        <v>-2</v>
      </c>
      <c r="T360" s="176">
        <f t="shared" si="133"/>
        <v>4</v>
      </c>
      <c r="U360" s="251">
        <f t="shared" si="134"/>
        <v>-1.0276831203119472</v>
      </c>
      <c r="V360" s="383">
        <f t="shared" si="135"/>
        <v>22.043284734729752</v>
      </c>
      <c r="W360" s="402">
        <f t="shared" si="136"/>
        <v>5.4724690270020275</v>
      </c>
      <c r="X360" s="157">
        <f t="shared" si="137"/>
        <v>46368</v>
      </c>
      <c r="Y360" s="385">
        <f t="shared" si="138"/>
        <v>5.306184217639923</v>
      </c>
      <c r="Z360" s="385">
        <f t="shared" si="139"/>
        <v>5.68009977517917</v>
      </c>
      <c r="AA360" s="386">
        <f t="shared" si="140"/>
        <v>6.1705594349026702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7.9483823938118592E-2</v>
      </c>
      <c r="AD360" s="231">
        <f>(INDEX(Models!$BJ360:$BT360,,AH360)*(1-AF360)+INDEX(Models!$BJ360:$BT360,,AH360+1)*AF360-ERP_i)*AE360*Ramure*Pc/MaxiM</f>
        <v>1.1710278321072837E-3</v>
      </c>
      <c r="AE360" s="305">
        <f t="shared" si="142"/>
        <v>0.5</v>
      </c>
      <c r="AF360" s="177">
        <f t="shared" si="143"/>
        <v>0.49730444606203195</v>
      </c>
      <c r="AG360" s="811">
        <f t="shared" si="149"/>
        <v>2</v>
      </c>
      <c r="AH360" s="176">
        <f t="shared" si="144"/>
        <v>8</v>
      </c>
      <c r="AI360" s="225">
        <f t="shared" si="145"/>
        <v>2.4973044460620319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5.1948674916282771</v>
      </c>
      <c r="C361" s="841"/>
      <c r="D361" s="393">
        <f t="shared" si="127"/>
        <v>5.5610605968747153</v>
      </c>
      <c r="E361" s="385">
        <f t="shared" ref="E361:E379" si="150">Wh_pvt/(1-Psa)</f>
        <v>5.8579647883961954</v>
      </c>
      <c r="F361" s="385">
        <f t="shared" si="128"/>
        <v>5.8579647883961954</v>
      </c>
      <c r="G361" s="110">
        <f t="shared" ref="G361:G379" si="151">+Wh_hp/MaxiM</f>
        <v>0.23636610944138337</v>
      </c>
      <c r="H361" s="414" t="b">
        <f>Wh_hp&gt;='2025'!Maxi_hp</f>
        <v>0</v>
      </c>
      <c r="I361" s="390">
        <f>IF(H361,Wh_hp,'2025'!Maxi_hp)</f>
        <v>25.480851358483925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6.5849508176954008E-2</v>
      </c>
      <c r="M361" s="845"/>
      <c r="N361" s="845"/>
      <c r="O361" s="48">
        <f>IF(t&lt;Tnet,'2025'!Resal+('2025'!Salim-'2025'!Resal)*(1-EXP(('2025'!Tnet-t)/('2025'!Tau_j))),Resal+(Salim-Resal)*(1-EXP((Tnet-t)/(Tau_j))))*Salcycl</f>
        <v>5.0683847077675426E-2</v>
      </c>
      <c r="P361" s="169">
        <f>(INDEX(Models!$BJ361:$BT361,,T361)*(1-R361)+INDEX(Models!$BJ361:$BT361,,T361+1)*R361-ERP_i)*Q361*Ramure*Pc/MaxiM</f>
        <v>1.3379107626264718E-4</v>
      </c>
      <c r="Q361" s="305">
        <f t="shared" si="130"/>
        <v>0.5</v>
      </c>
      <c r="R361" s="177">
        <f t="shared" si="131"/>
        <v>0.97232693441842866</v>
      </c>
      <c r="S361" s="811">
        <f t="shared" si="132"/>
        <v>-2</v>
      </c>
      <c r="T361" s="176">
        <f t="shared" si="133"/>
        <v>4</v>
      </c>
      <c r="U361" s="251">
        <f t="shared" si="134"/>
        <v>-1.0276730655815713</v>
      </c>
      <c r="V361" s="383">
        <f t="shared" si="135"/>
        <v>21.975115116931082</v>
      </c>
      <c r="W361" s="402">
        <f t="shared" si="136"/>
        <v>5.1948674916282771</v>
      </c>
      <c r="X361" s="157">
        <f t="shared" si="137"/>
        <v>46369</v>
      </c>
      <c r="Y361" s="385">
        <f t="shared" si="138"/>
        <v>5.0372000623293687</v>
      </c>
      <c r="Z361" s="385">
        <f t="shared" si="139"/>
        <v>5.3922789811939147</v>
      </c>
      <c r="AA361" s="386">
        <f t="shared" si="140"/>
        <v>5.8579647883961954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7.9496177260187567E-2</v>
      </c>
      <c r="AD361" s="231">
        <f>(INDEX(Models!$BJ361:$BT361,,AH361)*(1-AF361)+INDEX(Models!$BJ361:$BT361,,AH361+1)*AF361-ERP_i)*AE361*Ramure*Pc/MaxiM</f>
        <v>1.1727672810876923E-3</v>
      </c>
      <c r="AE361" s="305">
        <f t="shared" si="142"/>
        <v>0.5</v>
      </c>
      <c r="AF361" s="177">
        <f t="shared" si="143"/>
        <v>0.4973145007924078</v>
      </c>
      <c r="AG361" s="811">
        <f t="shared" si="149"/>
        <v>2</v>
      </c>
      <c r="AH361" s="176">
        <f t="shared" si="144"/>
        <v>8</v>
      </c>
      <c r="AI361" s="225">
        <f t="shared" si="145"/>
        <v>2.4973145007924078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16.48374408666966</v>
      </c>
      <c r="C362" s="841"/>
      <c r="D362" s="393">
        <f t="shared" si="127"/>
        <v>17.646091582853778</v>
      </c>
      <c r="E362" s="385">
        <f t="shared" si="150"/>
        <v>18.589146647732136</v>
      </c>
      <c r="F362" s="385">
        <f t="shared" si="128"/>
        <v>18.590749632764417</v>
      </c>
      <c r="G362" s="110">
        <f t="shared" si="151"/>
        <v>0.75207075666838175</v>
      </c>
      <c r="H362" s="414" t="b">
        <f>Wh_hp&gt;='2025'!Maxi_hp</f>
        <v>0</v>
      </c>
      <c r="I362" s="390">
        <f>IF(H362,Wh_hp,'2025'!Maxi_hp)</f>
        <v>22.845836803064749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6.5869968470159024E-2</v>
      </c>
      <c r="M362" s="845"/>
      <c r="N362" s="845"/>
      <c r="O362" s="48">
        <f>IF(t&lt;Tnet,'2025'!Resal+('2025'!Salim-'2025'!Resal)*(1-EXP(('2025'!Tnet-t)/('2025'!Tau_j))),Resal+(Salim-Resal)*(1-EXP((Tnet-t)/(Tau_j))))*Salcycl</f>
        <v>5.0731487719658706E-2</v>
      </c>
      <c r="P362" s="169">
        <f>(INDEX(Models!$BJ362:$BT362,,T362)*(1-R362)+INDEX(Models!$BJ362:$BT362,,T362+1)*R362-ERP_i)*Q362*Ramure*Pc/MaxiM</f>
        <v>1.3350269388778645E-4</v>
      </c>
      <c r="Q362" s="305">
        <f t="shared" si="130"/>
        <v>0.5</v>
      </c>
      <c r="R362" s="177">
        <f t="shared" si="131"/>
        <v>0.97233658469599815</v>
      </c>
      <c r="S362" s="811">
        <f t="shared" si="132"/>
        <v>-2</v>
      </c>
      <c r="T362" s="176">
        <f t="shared" si="133"/>
        <v>4</v>
      </c>
      <c r="U362" s="251">
        <f t="shared" si="134"/>
        <v>-1.0276634153040018</v>
      </c>
      <c r="V362" s="383">
        <f t="shared" si="135"/>
        <v>21.916773864457699</v>
      </c>
      <c r="W362" s="402">
        <f t="shared" si="136"/>
        <v>16.48374408666966</v>
      </c>
      <c r="X362" s="157">
        <f t="shared" si="137"/>
        <v>46370</v>
      </c>
      <c r="Y362" s="385">
        <f t="shared" si="138"/>
        <v>15.973278892857136</v>
      </c>
      <c r="Z362" s="385">
        <f t="shared" si="139"/>
        <v>17.099631051040529</v>
      </c>
      <c r="AA362" s="386">
        <f t="shared" si="140"/>
        <v>18.576650838127602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7.9509476705863905E-2</v>
      </c>
      <c r="AD362" s="231">
        <f>(INDEX(Models!$BJ362:$BT362,,AH362)*(1-AF362)+INDEX(Models!$BJ362:$BT362,,AH362+1)*AF362-ERP_i)*AE362*Ramure*Pc/MaxiM</f>
        <v>1.1742012724265428E-3</v>
      </c>
      <c r="AE362" s="305">
        <f t="shared" si="142"/>
        <v>0.5</v>
      </c>
      <c r="AF362" s="177">
        <f t="shared" si="143"/>
        <v>0.49732415106997685</v>
      </c>
      <c r="AG362" s="811">
        <f t="shared" si="149"/>
        <v>2</v>
      </c>
      <c r="AH362" s="176">
        <f t="shared" si="144"/>
        <v>8</v>
      </c>
      <c r="AI362" s="225">
        <f t="shared" si="145"/>
        <v>2.4973241510699768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5.4677747544853386</v>
      </c>
      <c r="C363" s="841"/>
      <c r="D363" s="393">
        <f t="shared" si="127"/>
        <v>5.8534618638192599</v>
      </c>
      <c r="E363" s="385">
        <f t="shared" si="150"/>
        <v>6.1665996244284464</v>
      </c>
      <c r="F363" s="385">
        <f t="shared" si="128"/>
        <v>6.1665996244284464</v>
      </c>
      <c r="G363" s="110">
        <f t="shared" si="151"/>
        <v>0.24999650531430653</v>
      </c>
      <c r="H363" s="414" t="b">
        <f>Wh_hp&gt;='2025'!Maxi_hp</f>
        <v>0</v>
      </c>
      <c r="I363" s="390">
        <f>IF(H363,Wh_hp,'2025'!Maxi_hp)</f>
        <v>25.557265904120406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6.5890428315231064E-2</v>
      </c>
      <c r="M363" s="845"/>
      <c r="N363" s="845"/>
      <c r="O363" s="48">
        <f>IF(t&lt;Tnet,'2025'!Resal+('2025'!Salim-'2025'!Resal)*(1-EXP(('2025'!Tnet-t)/('2025'!Tau_j))),Resal+(Salim-Resal)*(1-EXP((Tnet-t)/(Tau_j))))*Salcycl</f>
        <v>5.077964837683293E-2</v>
      </c>
      <c r="P363" s="169">
        <f>(INDEX(Models!$BJ363:$BT363,,T363)*(1-R363)+INDEX(Models!$BJ363:$BT363,,T363+1)*R363-ERP_i)*Q363*Ramure*Pc/MaxiM</f>
        <v>1.3324339945902774E-4</v>
      </c>
      <c r="Q363" s="305">
        <f t="shared" si="130"/>
        <v>0.5</v>
      </c>
      <c r="R363" s="177">
        <f t="shared" si="131"/>
        <v>0.9723458467752546</v>
      </c>
      <c r="S363" s="811">
        <f t="shared" si="132"/>
        <v>-2</v>
      </c>
      <c r="T363" s="176">
        <f t="shared" si="133"/>
        <v>4</v>
      </c>
      <c r="U363" s="251">
        <f t="shared" si="134"/>
        <v>-1.0276541532247454</v>
      </c>
      <c r="V363" s="383">
        <f t="shared" si="135"/>
        <v>21.868490532362301</v>
      </c>
      <c r="W363" s="402">
        <f t="shared" si="136"/>
        <v>5.4677747544853386</v>
      </c>
      <c r="X363" s="157">
        <f t="shared" si="137"/>
        <v>46371</v>
      </c>
      <c r="Y363" s="385">
        <f t="shared" si="138"/>
        <v>5.3022011279450449</v>
      </c>
      <c r="Z363" s="385">
        <f t="shared" si="139"/>
        <v>5.6762089680570815</v>
      </c>
      <c r="AA363" s="386">
        <f t="shared" si="140"/>
        <v>6.1665996244284464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7.9523673699963368E-2</v>
      </c>
      <c r="AD363" s="231">
        <f>(INDEX(Models!$BJ363:$BT363,,AH363)*(1-AF363)+INDEX(Models!$BJ363:$BT363,,AH363+1)*AF363-ERP_i)*AE363*Ramure*Pc/MaxiM</f>
        <v>1.1753062936461277E-3</v>
      </c>
      <c r="AE363" s="305">
        <f t="shared" si="142"/>
        <v>0.5</v>
      </c>
      <c r="AF363" s="177">
        <f t="shared" si="143"/>
        <v>0.49733341314923329</v>
      </c>
      <c r="AG363" s="811">
        <f t="shared" si="149"/>
        <v>2</v>
      </c>
      <c r="AH363" s="176">
        <f t="shared" si="144"/>
        <v>8</v>
      </c>
      <c r="AI363" s="225">
        <f t="shared" si="145"/>
        <v>2.4973334131492333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4.6591094462078884</v>
      </c>
      <c r="C364" s="841"/>
      <c r="D364" s="393">
        <f t="shared" si="127"/>
        <v>4.987863989546514</v>
      </c>
      <c r="E364" s="385">
        <f t="shared" si="150"/>
        <v>5.2549649179413862</v>
      </c>
      <c r="F364" s="385">
        <f t="shared" si="128"/>
        <v>5.2549649179413862</v>
      </c>
      <c r="G364" s="110">
        <f t="shared" si="151"/>
        <v>0.21339368722051771</v>
      </c>
      <c r="H364" s="414" t="b">
        <f>Wh_hp&gt;='2025'!Maxi_hp</f>
        <v>0</v>
      </c>
      <c r="I364" s="390">
        <f>IF(H364,Wh_hp,'2025'!Maxi_hp)</f>
        <v>25.18523938599883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6.59108877121799E-2</v>
      </c>
      <c r="M364" s="845"/>
      <c r="N364" s="845"/>
      <c r="O364" s="48">
        <f>IF(t&lt;Tnet,'2025'!Resal+('2025'!Salim-'2025'!Resal)*(1-EXP(('2025'!Tnet-t)/('2025'!Tau_j))),Resal+(Salim-Resal)*(1-EXP((Tnet-t)/(Tau_j))))*Salcycl</f>
        <v>5.08282990592272E-2</v>
      </c>
      <c r="P364" s="169">
        <f>(INDEX(Models!$BJ364:$BT364,,T364)*(1-R364)+INDEX(Models!$BJ364:$BT364,,T364+1)*R364-ERP_i)*Q364*Ramure*Pc/MaxiM</f>
        <v>1.3301097499466549E-4</v>
      </c>
      <c r="Q364" s="305">
        <f t="shared" si="130"/>
        <v>0.5</v>
      </c>
      <c r="R364" s="177">
        <f t="shared" si="131"/>
        <v>0.97235473625859981</v>
      </c>
      <c r="S364" s="811">
        <f t="shared" si="132"/>
        <v>-2</v>
      </c>
      <c r="T364" s="176">
        <f t="shared" si="133"/>
        <v>4</v>
      </c>
      <c r="U364" s="251">
        <f t="shared" si="134"/>
        <v>-1.0276452637414002</v>
      </c>
      <c r="V364" s="383">
        <f t="shared" si="135"/>
        <v>21.830494585830134</v>
      </c>
      <c r="W364" s="402">
        <f t="shared" si="136"/>
        <v>4.6591094462078884</v>
      </c>
      <c r="X364" s="157">
        <f t="shared" si="137"/>
        <v>46372</v>
      </c>
      <c r="Y364" s="385">
        <f t="shared" si="138"/>
        <v>4.5181813202162147</v>
      </c>
      <c r="Z364" s="385">
        <f t="shared" si="139"/>
        <v>4.8369917396318298</v>
      </c>
      <c r="AA364" s="386">
        <f t="shared" si="140"/>
        <v>5.2549649179413862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7.9538719065948768E-2</v>
      </c>
      <c r="AD364" s="231">
        <f>(INDEX(Models!$BJ364:$BT364,,AH364)*(1-AF364)+INDEX(Models!$BJ364:$BT364,,AH364+1)*AF364-ERP_i)*AE364*Ramure*Pc/MaxiM</f>
        <v>1.1760593465674699E-3</v>
      </c>
      <c r="AE364" s="305">
        <f t="shared" si="142"/>
        <v>0.5</v>
      </c>
      <c r="AF364" s="177">
        <f t="shared" si="143"/>
        <v>0.49734230263257873</v>
      </c>
      <c r="AG364" s="811">
        <f t="shared" si="149"/>
        <v>2</v>
      </c>
      <c r="AH364" s="176">
        <f t="shared" si="144"/>
        <v>8</v>
      </c>
      <c r="AI364" s="225">
        <f t="shared" si="145"/>
        <v>2.4973423026325787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3.4048038486997618</v>
      </c>
      <c r="C365" s="841"/>
      <c r="D365" s="393">
        <f t="shared" si="127"/>
        <v>3.6451323321136209</v>
      </c>
      <c r="E365" s="385">
        <f t="shared" si="150"/>
        <v>3.8405284718473238</v>
      </c>
      <c r="F365" s="385">
        <f t="shared" si="128"/>
        <v>3.8405284718473238</v>
      </c>
      <c r="G365" s="110">
        <f t="shared" si="151"/>
        <v>0.15614132354771715</v>
      </c>
      <c r="H365" s="414" t="b">
        <f>Wh_hp&gt;='2025'!Maxi_hp</f>
        <v>0</v>
      </c>
      <c r="I365" s="390">
        <f>IF(H365,Wh_hp,'2025'!Maxi_hp)</f>
        <v>25.601732712427946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6.5931346661015522E-2</v>
      </c>
      <c r="M365" s="845"/>
      <c r="N365" s="845"/>
      <c r="O365" s="48">
        <f>IF(t&lt;Tnet,'2025'!Resal+('2025'!Salim-'2025'!Resal)*(1-EXP(('2025'!Tnet-t)/('2025'!Tau_j))),Resal+(Salim-Resal)*(1-EXP((Tnet-t)/(Tau_j))))*Salcycl</f>
        <v>5.087740949352109E-2</v>
      </c>
      <c r="P365" s="169">
        <f>(INDEX(Models!$BJ365:$BT365,,T365)*(1-R365)+INDEX(Models!$BJ365:$BT365,,T365+1)*R365-ERP_i)*Q365*Ramure*Pc/MaxiM</f>
        <v>1.3280318664391324E-4</v>
      </c>
      <c r="Q365" s="305">
        <f t="shared" si="130"/>
        <v>0.5</v>
      </c>
      <c r="R365" s="177">
        <f t="shared" si="131"/>
        <v>0.97236326812241236</v>
      </c>
      <c r="S365" s="811">
        <f t="shared" si="132"/>
        <v>-2</v>
      </c>
      <c r="T365" s="176">
        <f t="shared" si="133"/>
        <v>4</v>
      </c>
      <c r="U365" s="251">
        <f t="shared" si="134"/>
        <v>-1.0276367318775876</v>
      </c>
      <c r="V365" s="383">
        <f t="shared" si="135"/>
        <v>21.803015387264725</v>
      </c>
      <c r="W365" s="402">
        <f t="shared" si="136"/>
        <v>3.4048038486997618</v>
      </c>
      <c r="X365" s="157">
        <f t="shared" si="137"/>
        <v>46373</v>
      </c>
      <c r="Y365" s="385">
        <f t="shared" si="138"/>
        <v>3.3019297997926866</v>
      </c>
      <c r="Z365" s="385">
        <f t="shared" si="139"/>
        <v>3.5349969062652802</v>
      </c>
      <c r="AA365" s="386">
        <f t="shared" si="140"/>
        <v>3.8405284718473238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7.9554563342445594E-2</v>
      </c>
      <c r="AD365" s="231">
        <f>(INDEX(Models!$BJ365:$BT365,,AH365)*(1-AF365)+INDEX(Models!$BJ365:$BT365,,AH365+1)*AF365-ERP_i)*AE365*Ramure*Pc/MaxiM</f>
        <v>1.1764381589604328E-3</v>
      </c>
      <c r="AE365" s="305">
        <f t="shared" si="142"/>
        <v>0.5</v>
      </c>
      <c r="AF365" s="177">
        <f t="shared" si="143"/>
        <v>0.49735083449639106</v>
      </c>
      <c r="AG365" s="811">
        <f t="shared" si="149"/>
        <v>2</v>
      </c>
      <c r="AH365" s="176">
        <f t="shared" si="144"/>
        <v>8</v>
      </c>
      <c r="AI365" s="225">
        <f t="shared" si="145"/>
        <v>2.4973508344963911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20.445521715110921</v>
      </c>
      <c r="C366" s="841"/>
      <c r="D366" s="393">
        <f t="shared" si="127"/>
        <v>21.889150718450285</v>
      </c>
      <c r="E366" s="385">
        <f t="shared" si="150"/>
        <v>23.063715382880538</v>
      </c>
      <c r="F366" s="385">
        <f t="shared" si="128"/>
        <v>23.066505671598293</v>
      </c>
      <c r="G366" s="110">
        <f t="shared" si="151"/>
        <v>0.93844756529714735</v>
      </c>
      <c r="H366" s="414" t="b">
        <f>Wh_hp&gt;='2025'!Maxi_hp</f>
        <v>0</v>
      </c>
      <c r="I366" s="390">
        <f>IF(H366,Wh_hp,'2025'!Maxi_hp)</f>
        <v>25.724211482819697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6.5951805161747701E-2</v>
      </c>
      <c r="M366" s="845"/>
      <c r="N366" s="845"/>
      <c r="O366" s="48">
        <f>IF(t&lt;Tnet,'2025'!Resal+('2025'!Salim-'2025'!Resal)*(1-EXP(('2025'!Tnet-t)/('2025'!Tau_j))),Resal+(Salim-Resal)*(1-EXP((Tnet-t)/(Tau_j))))*Salcycl</f>
        <v>5.0926949319800199E-2</v>
      </c>
      <c r="P366" s="169">
        <f>(INDEX(Models!$BJ366:$BT366,,T366)*(1-R366)+INDEX(Models!$BJ366:$BT366,,T366+1)*R366-ERP_i)*Q366*Ramure*Pc/MaxiM</f>
        <v>1.3262722873566861E-4</v>
      </c>
      <c r="Q366" s="305">
        <f t="shared" si="130"/>
        <v>0.5</v>
      </c>
      <c r="R366" s="177">
        <f t="shared" si="131"/>
        <v>0.97237145674208159</v>
      </c>
      <c r="S366" s="811">
        <f t="shared" si="132"/>
        <v>-2</v>
      </c>
      <c r="T366" s="176">
        <f t="shared" si="133"/>
        <v>4</v>
      </c>
      <c r="U366" s="251">
        <f t="shared" si="134"/>
        <v>-1.0276285432579184</v>
      </c>
      <c r="V366" s="383">
        <f t="shared" si="135"/>
        <v>21.786281988756702</v>
      </c>
      <c r="W366" s="402">
        <f t="shared" si="136"/>
        <v>20.445521715110921</v>
      </c>
      <c r="X366" s="157">
        <f t="shared" si="137"/>
        <v>46374</v>
      </c>
      <c r="Y366" s="385">
        <f t="shared" si="138"/>
        <v>19.809572637247129</v>
      </c>
      <c r="Z366" s="385">
        <f t="shared" si="139"/>
        <v>21.208298187094641</v>
      </c>
      <c r="AA366" s="386">
        <f t="shared" si="140"/>
        <v>23.041757492157927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7.9571157091089501E-2</v>
      </c>
      <c r="AD366" s="231">
        <f>(INDEX(Models!$BJ366:$BT366,,AH366)*(1-AF366)+INDEX(Models!$BJ366:$BT366,,AH366+1)*AF366-ERP_i)*AE366*Ramure*Pc/MaxiM</f>
        <v>1.1763235949543809E-3</v>
      </c>
      <c r="AE366" s="305">
        <f t="shared" si="142"/>
        <v>0.5</v>
      </c>
      <c r="AF366" s="177">
        <f t="shared" si="143"/>
        <v>0.49735902311606051</v>
      </c>
      <c r="AG366" s="811">
        <f t="shared" si="149"/>
        <v>2</v>
      </c>
      <c r="AH366" s="176">
        <f t="shared" si="144"/>
        <v>8</v>
      </c>
      <c r="AI366" s="225">
        <f t="shared" si="145"/>
        <v>2.4973590231160605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16.54569561631881</v>
      </c>
      <c r="C367" s="841"/>
      <c r="D367" s="393">
        <f t="shared" si="127"/>
        <v>17.714351474464319</v>
      </c>
      <c r="E367" s="385">
        <f t="shared" si="150"/>
        <v>18.665879951438768</v>
      </c>
      <c r="F367" s="385">
        <f t="shared" si="128"/>
        <v>18.667503186813068</v>
      </c>
      <c r="G367" s="110">
        <f t="shared" si="151"/>
        <v>0.75962096391854939</v>
      </c>
      <c r="H367" s="414" t="b">
        <f>Wh_hp&gt;='2025'!Maxi_hp</f>
        <v>0</v>
      </c>
      <c r="I367" s="390">
        <f>IF(H367,Wh_hp,'2025'!Maxi_hp)</f>
        <v>25.408167099175618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6.5972263214386206E-2</v>
      </c>
      <c r="M367" s="845"/>
      <c r="N367" s="845"/>
      <c r="O367" s="48">
        <f>IF(t&lt;Tnet,'2025'!Resal+('2025'!Salim-'2025'!Resal)*(1-EXP(('2025'!Tnet-t)/('2025'!Tau_j))),Resal+(Salim-Resal)*(1-EXP((Tnet-t)/(Tau_j))))*Salcycl</f>
        <v>5.0976888282253434E-2</v>
      </c>
      <c r="P367" s="169">
        <f>(INDEX(Models!$BJ367:$BT367,,T367)*(1-R367)+INDEX(Models!$BJ367:$BT367,,T367+1)*R367-ERP_i)*Q367*Ramure*Pc/MaxiM</f>
        <v>1.3242221178934839E-4</v>
      </c>
      <c r="Q367" s="305">
        <f t="shared" si="130"/>
        <v>0.5</v>
      </c>
      <c r="R367" s="177">
        <f t="shared" si="131"/>
        <v>0.97237931591604765</v>
      </c>
      <c r="S367" s="811">
        <f t="shared" si="132"/>
        <v>-2</v>
      </c>
      <c r="T367" s="176">
        <f t="shared" si="133"/>
        <v>4</v>
      </c>
      <c r="U367" s="251">
        <f t="shared" si="134"/>
        <v>-1.0276206840839524</v>
      </c>
      <c r="V367" s="383">
        <f t="shared" si="135"/>
        <v>21.780524830750462</v>
      </c>
      <c r="W367" s="402">
        <f t="shared" si="136"/>
        <v>16.54569561631881</v>
      </c>
      <c r="X367" s="157">
        <f t="shared" si="137"/>
        <v>46375</v>
      </c>
      <c r="Y367" s="385">
        <f t="shared" si="138"/>
        <v>16.035875792435537</v>
      </c>
      <c r="Z367" s="385">
        <f t="shared" si="139"/>
        <v>17.168522047987352</v>
      </c>
      <c r="AA367" s="386">
        <f t="shared" si="140"/>
        <v>18.653092815110693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7.9588451193504189E-2</v>
      </c>
      <c r="AD367" s="231">
        <f>(INDEX(Models!$BJ367:$BT367,,AH367)*(1-AF367)+INDEX(Models!$BJ367:$BT367,,AH367+1)*AF367-ERP_i)*AE367*Ramure*Pc/MaxiM</f>
        <v>1.1755863159137259E-3</v>
      </c>
      <c r="AE367" s="305">
        <f t="shared" si="142"/>
        <v>0.5</v>
      </c>
      <c r="AF367" s="177">
        <f t="shared" si="143"/>
        <v>0.49736688229002679</v>
      </c>
      <c r="AG367" s="811">
        <f t="shared" si="149"/>
        <v>2</v>
      </c>
      <c r="AH367" s="176">
        <f t="shared" si="144"/>
        <v>8</v>
      </c>
      <c r="AI367" s="225">
        <f t="shared" si="145"/>
        <v>2.4973668822900268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4.3495706926995519</v>
      </c>
      <c r="C368" s="841"/>
      <c r="D368" s="393">
        <f t="shared" si="127"/>
        <v>4.656891642764573</v>
      </c>
      <c r="E368" s="385">
        <f t="shared" si="150"/>
        <v>4.9072972641147912</v>
      </c>
      <c r="F368" s="385">
        <f t="shared" si="128"/>
        <v>4.9072972641147912</v>
      </c>
      <c r="G368" s="110">
        <f t="shared" si="151"/>
        <v>0.1996236637713075</v>
      </c>
      <c r="H368" s="414" t="b">
        <f>Wh_hp&gt;='2025'!Maxi_hp</f>
        <v>0</v>
      </c>
      <c r="I368" s="390">
        <f>IF(H368,Wh_hp,'2025'!Maxi_hp)</f>
        <v>22.549218247197125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6.5992720818940809E-2</v>
      </c>
      <c r="M368" s="845"/>
      <c r="N368" s="845"/>
      <c r="O368" s="48">
        <f>IF(t&lt;Tnet,'2025'!Resal+('2025'!Salim-'2025'!Resal)*(1-EXP(('2025'!Tnet-t)/('2025'!Tau_j))),Resal+(Salim-Resal)*(1-EXP((Tnet-t)/(Tau_j))))*Salcycl</f>
        <v>5.1027196412440544E-2</v>
      </c>
      <c r="P368" s="169">
        <f>(INDEX(Models!$BJ368:$BT368,,T368)*(1-R368)+INDEX(Models!$BJ368:$BT368,,T368+1)*R368-ERP_i)*Q368*Ramure*Pc/MaxiM</f>
        <v>1.3218612898898891E-4</v>
      </c>
      <c r="Q368" s="305">
        <f t="shared" si="130"/>
        <v>0.5</v>
      </c>
      <c r="R368" s="177">
        <f t="shared" si="131"/>
        <v>0.97238685888888599</v>
      </c>
      <c r="S368" s="811">
        <f t="shared" si="132"/>
        <v>-2</v>
      </c>
      <c r="T368" s="176">
        <f t="shared" si="133"/>
        <v>4</v>
      </c>
      <c r="U368" s="251">
        <f t="shared" si="134"/>
        <v>-1.027613141111114</v>
      </c>
      <c r="V368" s="383">
        <f t="shared" si="135"/>
        <v>21.785972953433063</v>
      </c>
      <c r="W368" s="402">
        <f t="shared" si="136"/>
        <v>4.3495706926995519</v>
      </c>
      <c r="X368" s="157">
        <f t="shared" si="137"/>
        <v>46376</v>
      </c>
      <c r="Y368" s="385">
        <f t="shared" si="138"/>
        <v>4.2185793161130505</v>
      </c>
      <c r="Z368" s="385">
        <f t="shared" si="139"/>
        <v>4.5166450092465187</v>
      </c>
      <c r="AA368" s="386">
        <f t="shared" si="140"/>
        <v>4.9072972641147912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7.960639713533646E-2</v>
      </c>
      <c r="AD368" s="231">
        <f>(INDEX(Models!$BJ368:$BT368,,AH368)*(1-AF368)+INDEX(Models!$BJ368:$BT368,,AH368+1)*AF368-ERP_i)*AE368*Ramure*Pc/MaxiM</f>
        <v>1.1742085285816961E-3</v>
      </c>
      <c r="AE368" s="305">
        <f t="shared" si="142"/>
        <v>0.5</v>
      </c>
      <c r="AF368" s="177">
        <f t="shared" si="143"/>
        <v>0.49737442526286513</v>
      </c>
      <c r="AG368" s="811">
        <f t="shared" si="149"/>
        <v>2</v>
      </c>
      <c r="AH368" s="176">
        <f t="shared" si="144"/>
        <v>8</v>
      </c>
      <c r="AI368" s="225">
        <f t="shared" si="145"/>
        <v>2.4973744252628651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19.616929675462771</v>
      </c>
      <c r="C369" s="841"/>
      <c r="D369" s="393">
        <f t="shared" si="127"/>
        <v>21.003433038744237</v>
      </c>
      <c r="E369" s="385">
        <f t="shared" si="150"/>
        <v>22.133989506359605</v>
      </c>
      <c r="F369" s="385">
        <f t="shared" si="128"/>
        <v>22.13649144043854</v>
      </c>
      <c r="G369" s="110">
        <f t="shared" si="151"/>
        <v>0.8997243121943318</v>
      </c>
      <c r="H369" s="414" t="b">
        <f>Wh_hp&gt;='2025'!Maxi_hp</f>
        <v>0</v>
      </c>
      <c r="I369" s="390">
        <f>IF(H369,Wh_hp,'2025'!Maxi_hp)</f>
        <v>22.13670613532959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6.6013177975421278E-2</v>
      </c>
      <c r="M369" s="845"/>
      <c r="N369" s="845"/>
      <c r="O369" s="48">
        <f>IF(t&lt;Tnet,'2025'!Resal+('2025'!Salim-'2025'!Resal)*(1-EXP(('2025'!Tnet-t)/('2025'!Tau_j))),Resal+(Salim-Resal)*(1-EXP((Tnet-t)/(Tau_j))))*Salcycl</f>
        <v>5.1077844203844501E-2</v>
      </c>
      <c r="P369" s="169">
        <f>(INDEX(Models!$BJ369:$BT369,,T369)*(1-R369)+INDEX(Models!$BJ369:$BT369,,T369+1)*R369-ERP_i)*Q369*Ramure*Pc/MaxiM</f>
        <v>1.3191711602555801E-4</v>
      </c>
      <c r="Q369" s="305">
        <f t="shared" si="130"/>
        <v>0.5</v>
      </c>
      <c r="R369" s="177">
        <f t="shared" si="131"/>
        <v>0.9723940983734729</v>
      </c>
      <c r="S369" s="811">
        <f t="shared" si="132"/>
        <v>-2</v>
      </c>
      <c r="T369" s="176">
        <f t="shared" si="133"/>
        <v>4</v>
      </c>
      <c r="U369" s="251">
        <f t="shared" si="134"/>
        <v>-1.0276059016265271</v>
      </c>
      <c r="V369" s="383">
        <f t="shared" si="135"/>
        <v>21.802855301781808</v>
      </c>
      <c r="W369" s="402">
        <f t="shared" si="136"/>
        <v>19.616929675462771</v>
      </c>
      <c r="X369" s="157">
        <f t="shared" si="137"/>
        <v>46377</v>
      </c>
      <c r="Y369" s="385">
        <f t="shared" si="138"/>
        <v>19.009819752263471</v>
      </c>
      <c r="Z369" s="385">
        <f t="shared" si="139"/>
        <v>20.353413243086646</v>
      </c>
      <c r="AA369" s="386">
        <f t="shared" si="140"/>
        <v>22.114260032184269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7.9624947275421007E-2</v>
      </c>
      <c r="AD369" s="231">
        <f>(INDEX(Models!$BJ369:$BT369,,AH369)*(1-AF369)+INDEX(Models!$BJ369:$BT369,,AH369+1)*AF369-ERP_i)*AE369*Ramure*Pc/MaxiM</f>
        <v>1.1721744736523797E-3</v>
      </c>
      <c r="AE369" s="305">
        <f t="shared" si="142"/>
        <v>0.5</v>
      </c>
      <c r="AF369" s="177">
        <f t="shared" si="143"/>
        <v>0.49738166474745205</v>
      </c>
      <c r="AG369" s="811">
        <f t="shared" si="149"/>
        <v>2</v>
      </c>
      <c r="AH369" s="176">
        <f t="shared" si="144"/>
        <v>8</v>
      </c>
      <c r="AI369" s="225">
        <f t="shared" si="145"/>
        <v>2.497381664747452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16.212139277196538</v>
      </c>
      <c r="C370" s="841"/>
      <c r="D370" s="393">
        <f t="shared" si="127"/>
        <v>17.358375932208727</v>
      </c>
      <c r="E370" s="385">
        <f t="shared" si="150"/>
        <v>18.29371149951811</v>
      </c>
      <c r="F370" s="385">
        <f t="shared" si="128"/>
        <v>18.295234002018073</v>
      </c>
      <c r="G370" s="110">
        <f t="shared" si="151"/>
        <v>0.74257052215917096</v>
      </c>
      <c r="H370" s="414" t="b">
        <f>Wh_hp&gt;='2025'!Maxi_hp</f>
        <v>0</v>
      </c>
      <c r="I370" s="390">
        <f>IF(H370,Wh_hp,'2025'!Maxi_hp)</f>
        <v>25.041754314682116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6.6033634683837605E-2</v>
      </c>
      <c r="M370" s="845"/>
      <c r="N370" s="845"/>
      <c r="O370" s="48">
        <f>IF(t&lt;Tnet,'2025'!Resal+('2025'!Salim-'2025'!Resal)*(1-EXP(('2025'!Tnet-t)/('2025'!Tau_j))),Resal+(Salim-Resal)*(1-EXP((Tnet-t)/(Tau_j))))*Salcycl</f>
        <v>5.1128802776518226E-2</v>
      </c>
      <c r="P370" s="169">
        <f>(INDEX(Models!$BJ370:$BT370,,T370)*(1-R370)+INDEX(Models!$BJ370:$BT370,,T370+1)*R370-ERP_i)*Q370*Ramure*Pc/MaxiM</f>
        <v>1.3161346834080374E-4</v>
      </c>
      <c r="Q370" s="305">
        <f t="shared" si="130"/>
        <v>0.5</v>
      </c>
      <c r="R370" s="177">
        <f t="shared" si="131"/>
        <v>0.97240104657227033</v>
      </c>
      <c r="S370" s="811">
        <f t="shared" si="132"/>
        <v>-2</v>
      </c>
      <c r="T370" s="176">
        <f t="shared" si="133"/>
        <v>4</v>
      </c>
      <c r="U370" s="251">
        <f t="shared" si="134"/>
        <v>-1.0275989534277297</v>
      </c>
      <c r="V370" s="383">
        <f t="shared" si="135"/>
        <v>21.8314007123507</v>
      </c>
      <c r="W370" s="402">
        <f t="shared" si="136"/>
        <v>16.212139277196538</v>
      </c>
      <c r="X370" s="157">
        <f t="shared" si="137"/>
        <v>46378</v>
      </c>
      <c r="Y370" s="385">
        <f t="shared" si="138"/>
        <v>15.714615847681339</v>
      </c>
      <c r="Z370" s="385">
        <f t="shared" si="139"/>
        <v>16.825676417546035</v>
      </c>
      <c r="AA370" s="386">
        <f t="shared" si="140"/>
        <v>18.281705584401106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7.9644055098307159E-2</v>
      </c>
      <c r="AD370" s="231">
        <f>(INDEX(Models!$BJ370:$BT370,,AH370)*(1-AF370)+INDEX(Models!$BJ370:$BT370,,AH370+1)*AF370-ERP_i)*AE370*Ramure*Pc/MaxiM</f>
        <v>1.1694706338918576E-3</v>
      </c>
      <c r="AE370" s="305">
        <f t="shared" si="142"/>
        <v>0.5</v>
      </c>
      <c r="AF370" s="177">
        <f t="shared" si="143"/>
        <v>0.49738861294624925</v>
      </c>
      <c r="AG370" s="811">
        <f t="shared" si="149"/>
        <v>2</v>
      </c>
      <c r="AH370" s="176">
        <f t="shared" si="144"/>
        <v>8</v>
      </c>
      <c r="AI370" s="225">
        <f t="shared" si="145"/>
        <v>2.4973886129462493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16.74239016791314</v>
      </c>
      <c r="C371" s="841"/>
      <c r="D371" s="393">
        <f t="shared" si="127"/>
        <v>17.92650945367847</v>
      </c>
      <c r="E371" s="385">
        <f t="shared" si="150"/>
        <v>18.893478516022366</v>
      </c>
      <c r="F371" s="385">
        <f t="shared" si="128"/>
        <v>18.895127912221518</v>
      </c>
      <c r="G371" s="110">
        <f t="shared" si="151"/>
        <v>0.76544338991361316</v>
      </c>
      <c r="H371" s="414" t="b">
        <f>Wh_hp&gt;='2025'!Maxi_hp</f>
        <v>0</v>
      </c>
      <c r="I371" s="390">
        <f>IF(H371,Wh_hp,'2025'!Maxi_hp)</f>
        <v>19.829576058520093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6.6054090944199562E-2</v>
      </c>
      <c r="M371" s="845"/>
      <c r="N371" s="845"/>
      <c r="O371" s="48">
        <f>IF(t&lt;Tnet,'2025'!Resal+('2025'!Salim-'2025'!Resal)*(1-EXP(('2025'!Tnet-t)/('2025'!Tau_j))),Resal+(Salim-Resal)*(1-EXP((Tnet-t)/(Tau_j))))*Salcycl</f>
        <v>5.1180044030741577E-2</v>
      </c>
      <c r="P371" s="169">
        <f>(INDEX(Models!$BJ371:$BT371,,T371)*(1-R371)+INDEX(Models!$BJ371:$BT371,,T371+1)*R371-ERP_i)*Q371*Ramure*Pc/MaxiM</f>
        <v>1.3127284920153078E-4</v>
      </c>
      <c r="Q371" s="305">
        <f t="shared" si="130"/>
        <v>0.5</v>
      </c>
      <c r="R371" s="177">
        <f t="shared" si="131"/>
        <v>0.97240104657227033</v>
      </c>
      <c r="S371" s="811">
        <f t="shared" si="132"/>
        <v>-2</v>
      </c>
      <c r="T371" s="176">
        <f t="shared" si="133"/>
        <v>4</v>
      </c>
      <c r="U371" s="251">
        <f t="shared" si="134"/>
        <v>-1.0275989534277297</v>
      </c>
      <c r="V371" s="383">
        <f t="shared" si="135"/>
        <v>21.871837920462553</v>
      </c>
      <c r="W371" s="402">
        <f t="shared" si="136"/>
        <v>16.74239016791314</v>
      </c>
      <c r="X371" s="157">
        <f t="shared" si="137"/>
        <v>46379</v>
      </c>
      <c r="Y371" s="385">
        <f t="shared" si="138"/>
        <v>16.228606796811555</v>
      </c>
      <c r="Z371" s="385">
        <f t="shared" si="139"/>
        <v>17.376388331973459</v>
      </c>
      <c r="AA371" s="386">
        <f t="shared" si="140"/>
        <v>18.880476482814469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7.9663675448555155E-2</v>
      </c>
      <c r="AD371" s="231">
        <f>(INDEX(Models!$BJ371:$BT371,,AH371)*(1-AF371)+INDEX(Models!$BJ371:$BT371,,AH371+1)*AF371-ERP_i)*AE371*Ramure*Pc/MaxiM</f>
        <v>1.1660842216853363E-3</v>
      </c>
      <c r="AE371" s="305">
        <f t="shared" si="142"/>
        <v>0.5</v>
      </c>
      <c r="AF371" s="177">
        <f t="shared" si="143"/>
        <v>0.49738861294624925</v>
      </c>
      <c r="AG371" s="811">
        <f t="shared" si="149"/>
        <v>2</v>
      </c>
      <c r="AH371" s="176">
        <f t="shared" si="144"/>
        <v>8</v>
      </c>
      <c r="AI371" s="225">
        <f t="shared" si="145"/>
        <v>2.4973886129462493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20.120350002798769</v>
      </c>
      <c r="C372" s="841"/>
      <c r="D372" s="393">
        <f t="shared" si="127"/>
        <v>21.54385013592001</v>
      </c>
      <c r="E372" s="385">
        <f t="shared" si="150"/>
        <v>22.707173627830716</v>
      </c>
      <c r="F372" s="385">
        <f t="shared" si="128"/>
        <v>22.709796789656071</v>
      </c>
      <c r="G372" s="110">
        <f t="shared" si="151"/>
        <v>0.91770103089262822</v>
      </c>
      <c r="H372" s="414" t="b">
        <f>Wh_hp&gt;='2025'!Maxi_hp</f>
        <v>0</v>
      </c>
      <c r="I372" s="390">
        <f>IF(H372,Wh_hp,'2025'!Maxi_hp)</f>
        <v>22.709976155997435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6.6074546756516916E-2</v>
      </c>
      <c r="M372" s="845"/>
      <c r="N372" s="845"/>
      <c r="O372" s="48">
        <f>IF(t&lt;Tnet,'2025'!Resal+('2025'!Salim-'2025'!Resal)*(1-EXP(('2025'!Tnet-t)/('2025'!Tau_j))),Resal+(Salim-Resal)*(1-EXP((Tnet-t)/(Tau_j))))*Salcycl</f>
        <v>5.1231540788717882E-2</v>
      </c>
      <c r="P372" s="169">
        <f>(INDEX(Models!$BJ372:$BT372,,T372)*(1-R372)+INDEX(Models!$BJ372:$BT372,,T372+1)*R372-ERP_i)*Q372*Ramure*Pc/MaxiM</f>
        <v>1.3089456684602465E-4</v>
      </c>
      <c r="Q372" s="305">
        <f t="shared" si="130"/>
        <v>0.5</v>
      </c>
      <c r="R372" s="177">
        <f t="shared" si="131"/>
        <v>0.97240104657227033</v>
      </c>
      <c r="S372" s="811">
        <f t="shared" si="132"/>
        <v>-2</v>
      </c>
      <c r="T372" s="176">
        <f t="shared" si="133"/>
        <v>4</v>
      </c>
      <c r="U372" s="251">
        <f t="shared" si="134"/>
        <v>-1.0275989534277297</v>
      </c>
      <c r="V372" s="383">
        <f t="shared" si="135"/>
        <v>21.924395533401498</v>
      </c>
      <c r="W372" s="402">
        <f t="shared" si="136"/>
        <v>20.120350002798769</v>
      </c>
      <c r="X372" s="157">
        <f t="shared" si="137"/>
        <v>46380</v>
      </c>
      <c r="Y372" s="385">
        <f t="shared" si="138"/>
        <v>19.499208525545868</v>
      </c>
      <c r="Z372" s="385">
        <f t="shared" si="139"/>
        <v>20.878763350785604</v>
      </c>
      <c r="AA372" s="386">
        <f t="shared" si="140"/>
        <v>22.686509865828345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7.9683764745394625E-2</v>
      </c>
      <c r="AD372" s="231">
        <f>(INDEX(Models!$BJ372:$BT372,,AH372)*(1-AF372)+INDEX(Models!$BJ372:$BT372,,AH372+1)*AF372-ERP_i)*AE372*Ramure*Pc/MaxiM</f>
        <v>1.1620067729503534E-3</v>
      </c>
      <c r="AE372" s="305">
        <f t="shared" si="142"/>
        <v>0.5</v>
      </c>
      <c r="AF372" s="177">
        <f t="shared" si="143"/>
        <v>0.49738861294624925</v>
      </c>
      <c r="AG372" s="811">
        <f t="shared" si="149"/>
        <v>2</v>
      </c>
      <c r="AH372" s="176">
        <f t="shared" si="144"/>
        <v>8</v>
      </c>
      <c r="AI372" s="225">
        <f t="shared" si="145"/>
        <v>2.4973886129462493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11.971520388691591</v>
      </c>
      <c r="C373" s="841"/>
      <c r="D373" s="393">
        <f t="shared" si="127"/>
        <v>12.818777515783347</v>
      </c>
      <c r="E373" s="385">
        <f t="shared" si="150"/>
        <v>13.51170172177112</v>
      </c>
      <c r="F373" s="385">
        <f t="shared" si="128"/>
        <v>13.512317161919253</v>
      </c>
      <c r="G373" s="110">
        <f t="shared" si="151"/>
        <v>0.54433008260079896</v>
      </c>
      <c r="H373" s="414" t="b">
        <f>Wh_hp&gt;='2025'!Maxi_hp</f>
        <v>0</v>
      </c>
      <c r="I373" s="390">
        <f>IF(H373,Wh_hp,'2025'!Maxi_hp)</f>
        <v>16.332134440633631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6.609500212079944E-2</v>
      </c>
      <c r="M373" s="845"/>
      <c r="N373" s="845"/>
      <c r="O373" s="48">
        <f>IF(t&lt;Tnet,'2025'!Resal+('2025'!Salim-'2025'!Resal)*(1-EXP(('2025'!Tnet-t)/('2025'!Tau_j))),Resal+(Salim-Resal)*(1-EXP((Tnet-t)/(Tau_j))))*Salcycl</f>
        <v>5.1283266923460767E-2</v>
      </c>
      <c r="P373" s="169">
        <f>(INDEX(Models!$BJ373:$BT373,,T373)*(1-R373)+INDEX(Models!$BJ373:$BT373,,T373+1)*R373-ERP_i)*Q373*Ramure*Pc/MaxiM</f>
        <v>1.3046527270518595E-4</v>
      </c>
      <c r="Q373" s="305">
        <f t="shared" si="130"/>
        <v>0.5</v>
      </c>
      <c r="R373" s="177">
        <f t="shared" si="131"/>
        <v>0.97240104657227033</v>
      </c>
      <c r="S373" s="811">
        <f t="shared" si="132"/>
        <v>-2</v>
      </c>
      <c r="T373" s="176">
        <f t="shared" si="133"/>
        <v>4</v>
      </c>
      <c r="U373" s="251">
        <f t="shared" si="134"/>
        <v>-1.0275989534277297</v>
      </c>
      <c r="V373" s="383">
        <f t="shared" si="135"/>
        <v>21.991258832523805</v>
      </c>
      <c r="W373" s="402">
        <f t="shared" si="136"/>
        <v>11.971520388691591</v>
      </c>
      <c r="X373" s="157">
        <f t="shared" si="137"/>
        <v>46381</v>
      </c>
      <c r="Y373" s="385">
        <f t="shared" si="138"/>
        <v>11.60872324499875</v>
      </c>
      <c r="Z373" s="385">
        <f t="shared" si="139"/>
        <v>12.430304229403346</v>
      </c>
      <c r="AA373" s="386">
        <f t="shared" si="140"/>
        <v>13.506858692437078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7.9704281176535177E-2</v>
      </c>
      <c r="AD373" s="231">
        <f>(INDEX(Models!$BJ373:$BT373,,AH373)*(1-AF373)+INDEX(Models!$BJ373:$BT373,,AH373+1)*AF373-ERP_i)*AE373*Ramure*Pc/MaxiM</f>
        <v>1.1571242332922712E-3</v>
      </c>
      <c r="AE373" s="305">
        <f t="shared" si="142"/>
        <v>0.5</v>
      </c>
      <c r="AF373" s="177">
        <f t="shared" si="143"/>
        <v>0.49738861294624925</v>
      </c>
      <c r="AG373" s="811">
        <f t="shared" si="149"/>
        <v>2</v>
      </c>
      <c r="AH373" s="176">
        <f t="shared" si="144"/>
        <v>8</v>
      </c>
      <c r="AI373" s="225">
        <f t="shared" si="145"/>
        <v>2.4973886129462493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20.40028076966426</v>
      </c>
      <c r="C374" s="841"/>
      <c r="D374" s="393">
        <f t="shared" si="127"/>
        <v>21.844542693618337</v>
      </c>
      <c r="E374" s="385">
        <f t="shared" si="150"/>
        <v>23.026618712380319</v>
      </c>
      <c r="F374" s="385">
        <f t="shared" si="128"/>
        <v>23.029287816751701</v>
      </c>
      <c r="G374" s="110">
        <f t="shared" si="151"/>
        <v>0.92417498691758337</v>
      </c>
      <c r="H374" s="414" t="b">
        <f>Wh_hp&gt;='2025'!Maxi_hp</f>
        <v>0</v>
      </c>
      <c r="I374" s="390">
        <f>IF(H374,Wh_hp,'2025'!Maxi_hp)</f>
        <v>24.2954595694269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6.6115457037056902E-2</v>
      </c>
      <c r="M374" s="845"/>
      <c r="N374" s="845"/>
      <c r="O374" s="48">
        <f>IF(t&lt;Tnet,'2025'!Resal+('2025'!Salim-'2025'!Resal)*(1-EXP(('2025'!Tnet-t)/('2025'!Tau_j))),Resal+(Salim-Resal)*(1-EXP((Tnet-t)/(Tau_j))))*Salcycl</f>
        <v>5.1335197474149212E-2</v>
      </c>
      <c r="P374" s="169">
        <f>(INDEX(Models!$BJ374:$BT374,,T374)*(1-R374)+INDEX(Models!$BJ374:$BT374,,T374+1)*R374-ERP_i)*Q374*Ramure*Pc/MaxiM</f>
        <v>1.2997734908423567E-4</v>
      </c>
      <c r="Q374" s="305">
        <f t="shared" si="130"/>
        <v>0.5</v>
      </c>
      <c r="R374" s="177">
        <f t="shared" si="131"/>
        <v>0.97240104657227033</v>
      </c>
      <c r="S374" s="811">
        <f t="shared" si="132"/>
        <v>-2</v>
      </c>
      <c r="T374" s="176">
        <f t="shared" si="133"/>
        <v>4</v>
      </c>
      <c r="U374" s="251">
        <f t="shared" si="134"/>
        <v>-1.0275989534277297</v>
      </c>
      <c r="V374" s="383">
        <f t="shared" si="135"/>
        <v>22.073734792720657</v>
      </c>
      <c r="W374" s="402">
        <f t="shared" si="136"/>
        <v>20.40028076966426</v>
      </c>
      <c r="X374" s="157">
        <f t="shared" si="137"/>
        <v>46382</v>
      </c>
      <c r="Y374" s="385">
        <f t="shared" si="138"/>
        <v>19.771750542664741</v>
      </c>
      <c r="Z374" s="385">
        <f t="shared" si="139"/>
        <v>21.171514928317311</v>
      </c>
      <c r="AA374" s="386">
        <f t="shared" si="140"/>
        <v>23.005644162205389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7.9725184870122465E-2</v>
      </c>
      <c r="AD374" s="231">
        <f>(INDEX(Models!$BJ374:$BT374,,AH374)*(1-AF374)+INDEX(Models!$BJ374:$BT374,,AH374+1)*AF374-ERP_i)*AE374*Ramure*Pc/MaxiM</f>
        <v>1.1513748107957499E-3</v>
      </c>
      <c r="AE374" s="305">
        <f t="shared" si="142"/>
        <v>0.5</v>
      </c>
      <c r="AF374" s="177">
        <f t="shared" si="143"/>
        <v>0.49738861294624925</v>
      </c>
      <c r="AG374" s="811">
        <f t="shared" si="149"/>
        <v>2</v>
      </c>
      <c r="AH374" s="176">
        <f t="shared" si="144"/>
        <v>8</v>
      </c>
      <c r="AI374" s="225">
        <f t="shared" si="145"/>
        <v>2.4973886129462493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7.3519600349613192</v>
      </c>
      <c r="C375" s="841"/>
      <c r="D375" s="393">
        <f t="shared" si="127"/>
        <v>7.8726231424231905</v>
      </c>
      <c r="E375" s="385">
        <f t="shared" si="150"/>
        <v>8.2990910990526903</v>
      </c>
      <c r="F375" s="385">
        <f t="shared" si="128"/>
        <v>8.2991396239338915</v>
      </c>
      <c r="G375" s="110">
        <f t="shared" si="151"/>
        <v>0.33156552944655293</v>
      </c>
      <c r="H375" s="414" t="b">
        <f>Wh_hp&gt;='2025'!Maxi_hp</f>
        <v>0</v>
      </c>
      <c r="I375" s="390">
        <f>IF(H375,Wh_hp,'2025'!Maxi_hp)</f>
        <v>24.678488393426758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6.6135911505299294E-2</v>
      </c>
      <c r="M375" s="845"/>
      <c r="N375" s="845"/>
      <c r="O375" s="48">
        <f>IF(t&lt;Tnet,'2025'!Resal+('2025'!Salim-'2025'!Resal)*(1-EXP(('2025'!Tnet-t)/('2025'!Tau_j))),Resal+(Salim-Resal)*(1-EXP((Tnet-t)/(Tau_j))))*Salcycl</f>
        <v>5.1387308747361568E-2</v>
      </c>
      <c r="P375" s="169">
        <f>(INDEX(Models!$BJ375:$BT375,,T375)*(1-R375)+INDEX(Models!$BJ375:$BT375,,T375+1)*R375-ERP_i)*Q375*Ramure*Pc/MaxiM</f>
        <v>1.2949488130208162E-4</v>
      </c>
      <c r="Q375" s="305">
        <f t="shared" si="130"/>
        <v>0.5</v>
      </c>
      <c r="R375" s="177">
        <f t="shared" si="131"/>
        <v>0.97240104657227033</v>
      </c>
      <c r="S375" s="811">
        <f t="shared" si="132"/>
        <v>-2</v>
      </c>
      <c r="T375" s="176">
        <f t="shared" si="133"/>
        <v>4</v>
      </c>
      <c r="U375" s="251">
        <f t="shared" si="134"/>
        <v>-1.0275989534277297</v>
      </c>
      <c r="V375" s="383">
        <f t="shared" si="135"/>
        <v>22.170733451899995</v>
      </c>
      <c r="W375" s="402">
        <f t="shared" si="136"/>
        <v>7.3519600349613192</v>
      </c>
      <c r="X375" s="157">
        <f t="shared" si="137"/>
        <v>46383</v>
      </c>
      <c r="Y375" s="385">
        <f t="shared" si="138"/>
        <v>7.1318434480249433</v>
      </c>
      <c r="Z375" s="385">
        <f t="shared" si="139"/>
        <v>7.6369179797038678</v>
      </c>
      <c r="AA375" s="386">
        <f t="shared" si="140"/>
        <v>8.2987105895813738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7.9746438044044396E-2</v>
      </c>
      <c r="AD375" s="231">
        <f>(INDEX(Models!$BJ375:$BT375,,AH375)*(1-AF375)+INDEX(Models!$BJ375:$BT375,,AH375+1)*AF375-ERP_i)*AE375*Ramure*Pc/MaxiM</f>
        <v>1.1449333038927054E-3</v>
      </c>
      <c r="AE375" s="305">
        <f t="shared" si="142"/>
        <v>0.5</v>
      </c>
      <c r="AF375" s="177">
        <f t="shared" si="143"/>
        <v>0.49738861294624925</v>
      </c>
      <c r="AG375" s="811">
        <f t="shared" si="149"/>
        <v>2</v>
      </c>
      <c r="AH375" s="176">
        <f t="shared" si="144"/>
        <v>8</v>
      </c>
      <c r="AI375" s="225">
        <f t="shared" si="145"/>
        <v>2.4973886129462493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19.595655396401899</v>
      </c>
      <c r="C376" s="841"/>
      <c r="D376" s="393">
        <f t="shared" si="127"/>
        <v>20.983872109841695</v>
      </c>
      <c r="E376" s="385">
        <f t="shared" si="150"/>
        <v>22.121808618716578</v>
      </c>
      <c r="F376" s="385">
        <f t="shared" si="128"/>
        <v>22.12417149237821</v>
      </c>
      <c r="G376" s="110">
        <f t="shared" si="151"/>
        <v>0.87945215726435044</v>
      </c>
      <c r="H376" s="414" t="b">
        <f>Wh_hp&gt;='2025'!Maxi_hp</f>
        <v>0</v>
      </c>
      <c r="I376" s="390">
        <f>IF(H376,Wh_hp,'2025'!Maxi_hp)</f>
        <v>22.124423768538893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6.6156365525536387E-2</v>
      </c>
      <c r="M376" s="845"/>
      <c r="N376" s="845"/>
      <c r="O376" s="48">
        <f>IF(t&lt;Tnet,'2025'!Resal+('2025'!Salim-'2025'!Resal)*(1-EXP(('2025'!Tnet-t)/('2025'!Tau_j))),Resal+(Salim-Resal)*(1-EXP((Tnet-t)/(Tau_j))))*Salcycl</f>
        <v>5.1439578403734559E-2</v>
      </c>
      <c r="P376" s="169">
        <f>(INDEX(Models!$BJ376:$BT376,,T376)*(1-R376)+INDEX(Models!$BJ376:$BT376,,T376+1)*R376-ERP_i)*Q376*Ramure*Pc/MaxiM</f>
        <v>1.2901472980687034E-4</v>
      </c>
      <c r="Q376" s="305">
        <f t="shared" si="130"/>
        <v>0.5</v>
      </c>
      <c r="R376" s="177">
        <f t="shared" si="131"/>
        <v>0.97240104657227033</v>
      </c>
      <c r="S376" s="811">
        <f t="shared" si="132"/>
        <v>-2</v>
      </c>
      <c r="T376" s="176">
        <f t="shared" si="133"/>
        <v>4</v>
      </c>
      <c r="U376" s="251">
        <f t="shared" si="134"/>
        <v>-1.0275989534277297</v>
      </c>
      <c r="V376" s="383">
        <f t="shared" si="135"/>
        <v>22.28116661789543</v>
      </c>
      <c r="W376" s="402">
        <f t="shared" si="136"/>
        <v>19.595655396401899</v>
      </c>
      <c r="X376" s="157">
        <f t="shared" si="137"/>
        <v>46384</v>
      </c>
      <c r="Y376" s="385">
        <f t="shared" si="138"/>
        <v>18.994558312354108</v>
      </c>
      <c r="Z376" s="385">
        <f t="shared" si="139"/>
        <v>20.340191452976622</v>
      </c>
      <c r="AA376" s="386">
        <f t="shared" si="140"/>
        <v>22.103329993318049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7.9768005132006381E-2</v>
      </c>
      <c r="AD376" s="231">
        <f>(INDEX(Models!$BJ376:$BT376,,AH376)*(1-AF376)+INDEX(Models!$BJ376:$BT376,,AH376+1)*AF376-ERP_i)*AE376*Ramure*Pc/MaxiM</f>
        <v>1.1379619713403825E-3</v>
      </c>
      <c r="AE376" s="305">
        <f t="shared" si="142"/>
        <v>0.5</v>
      </c>
      <c r="AF376" s="177">
        <f t="shared" si="143"/>
        <v>0.49738861294624925</v>
      </c>
      <c r="AG376" s="811">
        <f t="shared" si="149"/>
        <v>2</v>
      </c>
      <c r="AH376" s="176">
        <f t="shared" si="144"/>
        <v>8</v>
      </c>
      <c r="AI376" s="225">
        <f t="shared" si="145"/>
        <v>2.4973886129462493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9.6328335893993948</v>
      </c>
      <c r="C377" s="841"/>
      <c r="D377" s="393">
        <f t="shared" si="127"/>
        <v>10.31547918963903</v>
      </c>
      <c r="E377" s="385">
        <f t="shared" si="150"/>
        <v>10.875479207627059</v>
      </c>
      <c r="F377" s="385">
        <f t="shared" si="128"/>
        <v>10.875738759046609</v>
      </c>
      <c r="G377" s="110">
        <f t="shared" si="151"/>
        <v>0.42991645956686242</v>
      </c>
      <c r="H377" s="414" t="b">
        <f>Wh_hp&gt;='2025'!Maxi_hp</f>
        <v>0</v>
      </c>
      <c r="I377" s="390">
        <f>IF(H377,Wh_hp,'2025'!Maxi_hp)</f>
        <v>24.70046719987749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6.6176819097777839E-2</v>
      </c>
      <c r="M377" s="845"/>
      <c r="N377" s="845"/>
      <c r="O377" s="48">
        <f>IF(t&lt;Tnet,'2025'!Resal+('2025'!Salim-'2025'!Resal)*(1-EXP(('2025'!Tnet-t)/('2025'!Tau_j))),Resal+(Salim-Resal)*(1-EXP((Tnet-t)/(Tau_j))))*Salcycl</f>
        <v>5.1491985529731506E-2</v>
      </c>
      <c r="P377" s="169">
        <f>(INDEX(Models!$BJ377:$BT377,,T377)*(1-R377)+INDEX(Models!$BJ377:$BT377,,T377+1)*R377-ERP_i)*Q377*Ramure*Pc/MaxiM</f>
        <v>1.2854289390186173E-4</v>
      </c>
      <c r="Q377" s="305">
        <f t="shared" si="130"/>
        <v>0.5</v>
      </c>
      <c r="R377" s="177">
        <f t="shared" si="131"/>
        <v>0.97240104657227033</v>
      </c>
      <c r="S377" s="811">
        <f t="shared" si="132"/>
        <v>-2</v>
      </c>
      <c r="T377" s="176">
        <f t="shared" si="133"/>
        <v>4</v>
      </c>
      <c r="U377" s="251">
        <f t="shared" si="134"/>
        <v>-1.0275989534277297</v>
      </c>
      <c r="V377" s="383">
        <f t="shared" si="135"/>
        <v>22.403946180617059</v>
      </c>
      <c r="W377" s="402">
        <f t="shared" si="136"/>
        <v>9.6328335893993948</v>
      </c>
      <c r="X377" s="157">
        <f t="shared" si="137"/>
        <v>46385</v>
      </c>
      <c r="Y377" s="385">
        <f t="shared" si="138"/>
        <v>9.3437082750957181</v>
      </c>
      <c r="Z377" s="385">
        <f t="shared" si="139"/>
        <v>10.005864564283149</v>
      </c>
      <c r="AA377" s="386">
        <f t="shared" si="140"/>
        <v>10.873456020523207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7.9789852886011189E-2</v>
      </c>
      <c r="AD377" s="231">
        <f>(INDEX(Models!$BJ377:$BT377,,AH377)*(1-AF377)+INDEX(Models!$BJ377:$BT377,,AH377+1)*AF377-ERP_i)*AE377*Ramure*Pc/MaxiM</f>
        <v>1.1305267230985725E-3</v>
      </c>
      <c r="AE377" s="305">
        <f t="shared" si="142"/>
        <v>0.5</v>
      </c>
      <c r="AF377" s="177">
        <f t="shared" si="143"/>
        <v>0.49738861294624925</v>
      </c>
      <c r="AG377" s="811">
        <f t="shared" si="149"/>
        <v>2</v>
      </c>
      <c r="AH377" s="176">
        <f t="shared" si="144"/>
        <v>8</v>
      </c>
      <c r="AI377" s="225">
        <f t="shared" si="145"/>
        <v>2.4973886129462493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12.683657805254818</v>
      </c>
      <c r="C378" s="841"/>
      <c r="D378" s="393">
        <f t="shared" si="127"/>
        <v>13.582802264281517</v>
      </c>
      <c r="E378" s="385">
        <f t="shared" si="150"/>
        <v>14.320969636883218</v>
      </c>
      <c r="F378" s="385">
        <f t="shared" si="128"/>
        <v>14.321658236532924</v>
      </c>
      <c r="G378" s="110">
        <f t="shared" si="151"/>
        <v>0.56272303769996856</v>
      </c>
      <c r="H378" s="414" t="b">
        <f>Wh_hp&gt;='2025'!Maxi_hp</f>
        <v>0</v>
      </c>
      <c r="I378" s="390">
        <f>IF(H378,Wh_hp,'2025'!Maxi_hp)</f>
        <v>26.021620495154139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6.6197272222033643E-2</v>
      </c>
      <c r="M378" s="845"/>
      <c r="N378" s="845"/>
      <c r="O378" s="48">
        <f>IF(t&lt;Tnet,'2025'!Resal+('2025'!Salim-'2025'!Resal)*(1-EXP(('2025'!Tnet-t)/('2025'!Tau_j))),Resal+(Salim-Resal)*(1-EXP((Tnet-t)/(Tau_j))))*Salcycl</f>
        <v>5.1544510694343897E-2</v>
      </c>
      <c r="P378" s="169">
        <f>(INDEX(Models!$BJ378:$BT378,,T378)*(1-R378)+INDEX(Models!$BJ378:$BT378,,T378+1)*R378-ERP_i)*Q378*Ramure*Pc/MaxiM</f>
        <v>1.2808520004779572E-4</v>
      </c>
      <c r="Q378" s="305">
        <f t="shared" si="130"/>
        <v>0.5</v>
      </c>
      <c r="R378" s="177">
        <f t="shared" si="131"/>
        <v>0.97240104657227033</v>
      </c>
      <c r="S378" s="811">
        <f t="shared" si="132"/>
        <v>-2</v>
      </c>
      <c r="T378" s="176">
        <f t="shared" si="133"/>
        <v>4</v>
      </c>
      <c r="U378" s="251">
        <f t="shared" si="134"/>
        <v>-1.0275989534277297</v>
      </c>
      <c r="V378" s="383">
        <f t="shared" si="135"/>
        <v>22.537984338448606</v>
      </c>
      <c r="W378" s="402">
        <f t="shared" si="136"/>
        <v>12.683657805254818</v>
      </c>
      <c r="X378" s="157">
        <f t="shared" si="137"/>
        <v>46386</v>
      </c>
      <c r="Y378" s="385">
        <f t="shared" si="138"/>
        <v>12.301043811447581</v>
      </c>
      <c r="Z378" s="385">
        <f t="shared" si="139"/>
        <v>13.173064765744018</v>
      </c>
      <c r="AA378" s="386">
        <f t="shared" si="140"/>
        <v>14.31562252113468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7.981195045509637E-2</v>
      </c>
      <c r="AD378" s="231">
        <f>(INDEX(Models!$BJ378:$BT378,,AH378)*(1-AF378)+INDEX(Models!$BJ378:$BT378,,AH378+1)*AF378-ERP_i)*AE378*Ramure*Pc/MaxiM</f>
        <v>1.1226927207179977E-3</v>
      </c>
      <c r="AE378" s="305">
        <f t="shared" si="142"/>
        <v>0.5</v>
      </c>
      <c r="AF378" s="177">
        <f t="shared" si="143"/>
        <v>0.49738861294624925</v>
      </c>
      <c r="AG378" s="811">
        <f t="shared" si="149"/>
        <v>2</v>
      </c>
      <c r="AH378" s="176">
        <f t="shared" si="144"/>
        <v>8</v>
      </c>
      <c r="AI378" s="225">
        <f t="shared" si="145"/>
        <v>2.4973886129462493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11.770063990254625</v>
      </c>
      <c r="C379" s="841"/>
      <c r="D379" s="393">
        <f t="shared" si="127"/>
        <v>12.604719862532084</v>
      </c>
      <c r="E379" s="385">
        <f t="shared" si="150"/>
        <v>13.290470053249781</v>
      </c>
      <c r="F379" s="385">
        <f t="shared" si="128"/>
        <v>13.291000621065093</v>
      </c>
      <c r="G379" s="110">
        <f t="shared" si="151"/>
        <v>0.51886654364878593</v>
      </c>
      <c r="H379" s="414" t="b">
        <f>Wh_hp&gt;='2025'!Maxi_hp</f>
        <v>0</v>
      </c>
      <c r="I379" s="390">
        <f>IF(H379,Wh_hp,'2025'!Maxi_hp)</f>
        <v>25.489311551615195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6.6217724898313568E-2</v>
      </c>
      <c r="M379" s="845"/>
      <c r="N379" s="845"/>
      <c r="O379" s="48">
        <f>IF(t&lt;Tnet,'2025'!Resal+('2025'!Salim-'2025'!Resal)*(1-EXP(('2025'!Tnet-t)/('2025'!Tau_j))),Resal+(Salim-Resal)*(1-EXP((Tnet-t)/(Tau_j))))*Salcycl</f>
        <v>5.1597135990688082E-2</v>
      </c>
      <c r="P379" s="169">
        <f>(INDEX(Models!$BJ379:$BT379,,T379)*(1-R379)+INDEX(Models!$BJ379:$BT379,,T379+1)*R379-ERP_i)*Q379*Ramure*Pc/MaxiM</f>
        <v>1.2764727816610489E-4</v>
      </c>
      <c r="Q379" s="306">
        <f t="shared" si="130"/>
        <v>0.5</v>
      </c>
      <c r="R379" s="177">
        <f t="shared" si="131"/>
        <v>0.97240104657227033</v>
      </c>
      <c r="S379" s="811">
        <f t="shared" si="132"/>
        <v>-2</v>
      </c>
      <c r="T379" s="176">
        <f t="shared" si="133"/>
        <v>4</v>
      </c>
      <c r="U379" s="307">
        <f t="shared" si="134"/>
        <v>-1.0275989534277297</v>
      </c>
      <c r="V379" s="383">
        <f t="shared" si="135"/>
        <v>22.682193580426123</v>
      </c>
      <c r="W379" s="402">
        <f t="shared" si="136"/>
        <v>11.770063990254625</v>
      </c>
      <c r="X379" s="157">
        <f t="shared" si="137"/>
        <v>46387</v>
      </c>
      <c r="Y379" s="385">
        <f t="shared" si="138"/>
        <v>11.41610516629326</v>
      </c>
      <c r="Z379" s="385">
        <f t="shared" si="139"/>
        <v>12.225660596363404</v>
      </c>
      <c r="AA379" s="386">
        <f t="shared" si="140"/>
        <v>13.286368086027609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7.9834269440395872E-2</v>
      </c>
      <c r="AD379" s="231">
        <f>(INDEX(Models!$BJ379:$BT379,,AH379)*(1-AF379)+INDEX(Models!$BJ379:$BT379,,AH379+1)*AF379-ERP_i)*AE379*Ramure*Pc/MaxiM</f>
        <v>1.1145238581707559E-3</v>
      </c>
      <c r="AE379" s="306">
        <f t="shared" si="142"/>
        <v>0.5</v>
      </c>
      <c r="AF379" s="177">
        <f t="shared" si="143"/>
        <v>0.49738861294624925</v>
      </c>
      <c r="AG379" s="811">
        <f t="shared" si="149"/>
        <v>2</v>
      </c>
      <c r="AH379" s="176">
        <f t="shared" si="144"/>
        <v>8</v>
      </c>
      <c r="AI379" s="222">
        <f t="shared" si="145"/>
        <v>2.4973886129462493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16.727521718765839</v>
      </c>
      <c r="J380" s="85">
        <f>IF(H380,An,'2025'!An_max)</f>
        <v>2024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1.7321728163925161</v>
      </c>
      <c r="C381" s="375"/>
      <c r="D381" s="373">
        <f>MIN(D15:D380)</f>
        <v>1.8406394999196694</v>
      </c>
      <c r="E381" s="373">
        <f>MIN(E15:E380)</f>
        <v>1.8937704034160434</v>
      </c>
      <c r="F381" s="374">
        <f>MIN(F15:F380)</f>
        <v>1.8937704034160434</v>
      </c>
      <c r="G381" s="125">
        <f>+MIN(G15:G380)</f>
        <v>6.8508114272852846E-2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5.8743276379716436E-2</v>
      </c>
      <c r="M381" s="847"/>
      <c r="N381" s="847"/>
      <c r="O381" s="47">
        <f t="shared" si="152"/>
        <v>2.7348642081524471E-2</v>
      </c>
      <c r="P381" s="168">
        <f t="shared" si="152"/>
        <v>1.5111716092327135E-7</v>
      </c>
      <c r="Q381" s="310">
        <f t="shared" si="152"/>
        <v>0.5</v>
      </c>
      <c r="R381" s="311">
        <f t="shared" si="152"/>
        <v>0.47240231960844126</v>
      </c>
      <c r="S381" s="811">
        <f t="shared" si="152"/>
        <v>-2</v>
      </c>
      <c r="T381" s="176">
        <f t="shared" si="152"/>
        <v>4</v>
      </c>
      <c r="U381" s="252">
        <f>MIN(U15:U380)</f>
        <v>-1.5275976803915587</v>
      </c>
      <c r="V381" s="57">
        <f>MIN(V15:V380)</f>
        <v>21.780524830750462</v>
      </c>
      <c r="W381" s="58"/>
      <c r="X381" s="112" t="s">
        <v>7</v>
      </c>
      <c r="Y381" s="373">
        <f>MIN(Y15:Y380)</f>
        <v>1.6597254858109631</v>
      </c>
      <c r="Z381" s="373">
        <f>MIN(Z15:Z380)</f>
        <v>1.7636556002358821</v>
      </c>
      <c r="AA381" s="373">
        <f>MIN(AA15:AA380)</f>
        <v>1.8937704034160434</v>
      </c>
      <c r="AB381" s="200" t="s">
        <v>7</v>
      </c>
      <c r="AC381" s="47">
        <f t="shared" ref="AC381:AH381" si="153">MIN(AC15:AC380)</f>
        <v>6.8389495961606997E-2</v>
      </c>
      <c r="AD381" s="168">
        <f t="shared" si="153"/>
        <v>1.3700489433034485E-5</v>
      </c>
      <c r="AE381" s="310">
        <f t="shared" si="153"/>
        <v>0.5</v>
      </c>
      <c r="AF381" s="311">
        <f t="shared" si="153"/>
        <v>1.3715615505782708E-4</v>
      </c>
      <c r="AG381" s="811">
        <f t="shared" si="153"/>
        <v>1</v>
      </c>
      <c r="AH381" s="176">
        <f t="shared" si="153"/>
        <v>7</v>
      </c>
      <c r="AI381" s="226">
        <f>MIN(AI15:AI380)</f>
        <v>1.9973898859824202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29.361449391547435</v>
      </c>
      <c r="C382" s="375"/>
      <c r="D382" s="375">
        <f>AVERAGE(D15:D380)</f>
        <v>31.314657864134691</v>
      </c>
      <c r="E382" s="375">
        <f>AVERAGE(E15:E380)</f>
        <v>32.659173356627072</v>
      </c>
      <c r="F382" s="376">
        <f>AVERAGE(F15:F380)</f>
        <v>32.659898639772436</v>
      </c>
      <c r="G382" s="126">
        <f>AVERAGE(G15:G380)</f>
        <v>0.67337743149130502</v>
      </c>
      <c r="H382" s="94"/>
      <c r="I382" s="376">
        <f>AVERAGE(I15:I380)</f>
        <v>43.935046677107124</v>
      </c>
      <c r="J382" s="59">
        <f>AVERAGE(J15:J380)</f>
        <v>2020.7404371584701</v>
      </c>
      <c r="K382" s="200" t="s">
        <v>8</v>
      </c>
      <c r="L382" s="147">
        <f t="shared" ref="L382:V382" si="154">AVERAGE(L15:L380)</f>
        <v>6.2485452903560598E-2</v>
      </c>
      <c r="M382" s="845"/>
      <c r="N382" s="845"/>
      <c r="O382" s="48">
        <f t="shared" si="154"/>
        <v>4.114327186815811E-2</v>
      </c>
      <c r="P382" s="169">
        <f t="shared" si="154"/>
        <v>4.0443282443530727E-5</v>
      </c>
      <c r="Q382" s="312">
        <f t="shared" si="154"/>
        <v>0.5</v>
      </c>
      <c r="R382" s="177">
        <f t="shared" si="154"/>
        <v>0.75228591660758526</v>
      </c>
      <c r="S382" s="811">
        <f t="shared" si="154"/>
        <v>-2</v>
      </c>
      <c r="T382" s="176">
        <f t="shared" si="154"/>
        <v>4</v>
      </c>
      <c r="U382" s="251">
        <f>AVERAGE(U15:U380)</f>
        <v>-1.2477140833924163</v>
      </c>
      <c r="V382" s="59">
        <f t="shared" si="154"/>
        <v>42.29701630061647</v>
      </c>
      <c r="X382" s="112" t="s">
        <v>8</v>
      </c>
      <c r="Y382" s="375">
        <f>AVERAGE(Y15:Y380)</f>
        <v>28.274921955230983</v>
      </c>
      <c r="Z382" s="375">
        <f>AVERAGE(Z15:Z380)</f>
        <v>30.156000618063178</v>
      </c>
      <c r="AA382" s="375">
        <f>AVERAGE(AA15:AA380)</f>
        <v>32.650886845776057</v>
      </c>
      <c r="AB382" s="200" t="s">
        <v>8</v>
      </c>
      <c r="AC382" s="48">
        <f t="shared" ref="AC382:AH382" si="155">AVERAGE(AC15:AC380)</f>
        <v>7.6084770220544093E-2</v>
      </c>
      <c r="AD382" s="169">
        <f t="shared" si="155"/>
        <v>4.9806200066191092E-4</v>
      </c>
      <c r="AE382" s="312">
        <f t="shared" si="155"/>
        <v>0.5</v>
      </c>
      <c r="AF382" s="177">
        <f t="shared" si="155"/>
        <v>0.38412279805005717</v>
      </c>
      <c r="AG382" s="811">
        <f t="shared" si="155"/>
        <v>1.893150684931507</v>
      </c>
      <c r="AH382" s="176">
        <f t="shared" si="155"/>
        <v>7.8931506849315065</v>
      </c>
      <c r="AI382" s="225">
        <f>AVERAGE(AI15:AI380)</f>
        <v>2.2772734829815633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56.314099397816115</v>
      </c>
      <c r="C383" s="377"/>
      <c r="D383" s="377">
        <f>MAX(D15:D380)</f>
        <v>60.022885174985007</v>
      </c>
      <c r="E383" s="377">
        <f>MAX(E15:E380)</f>
        <v>62.48734202905333</v>
      </c>
      <c r="F383" s="378">
        <f>MAX(F15:F380)</f>
        <v>62.489249739453903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2026</v>
      </c>
      <c r="K383" s="200" t="s">
        <v>9</v>
      </c>
      <c r="L383" s="148">
        <f t="shared" ref="L383:T383" si="156">MAX(L15:L380)</f>
        <v>6.6217724898313568E-2</v>
      </c>
      <c r="M383" s="848"/>
      <c r="N383" s="848"/>
      <c r="O383" s="49">
        <f t="shared" si="156"/>
        <v>5.1597135990688082E-2</v>
      </c>
      <c r="P383" s="170">
        <f t="shared" si="156"/>
        <v>1.3472501224692898E-4</v>
      </c>
      <c r="Q383" s="313">
        <f t="shared" si="156"/>
        <v>0.5</v>
      </c>
      <c r="R383" s="314">
        <f t="shared" si="156"/>
        <v>0.97240104657227033</v>
      </c>
      <c r="S383" s="812">
        <f t="shared" si="156"/>
        <v>-2</v>
      </c>
      <c r="T383" s="233">
        <f t="shared" si="156"/>
        <v>4</v>
      </c>
      <c r="U383" s="253">
        <f>MAX(U15:U380)</f>
        <v>-1.0275989534277297</v>
      </c>
      <c r="V383" s="60">
        <f>MAX(V15:V380)</f>
        <v>57.45463240532321</v>
      </c>
      <c r="X383" s="112" t="s">
        <v>9</v>
      </c>
      <c r="Y383" s="377">
        <f>MAX(Y15:Y380)</f>
        <v>54.165396667245616</v>
      </c>
      <c r="Z383" s="377">
        <f>MAX(Z15:Z380)</f>
        <v>57.732671202794393</v>
      </c>
      <c r="AA383" s="377">
        <f>MAX(AA15:AA380)</f>
        <v>62.462968415184825</v>
      </c>
      <c r="AB383" s="200" t="s">
        <v>9</v>
      </c>
      <c r="AC383" s="49">
        <f t="shared" ref="AC383:AH383" si="157">MAX(AC15:AC380)</f>
        <v>8.0515525230297494E-2</v>
      </c>
      <c r="AD383" s="170">
        <f t="shared" si="157"/>
        <v>1.1764381589604328E-3</v>
      </c>
      <c r="AE383" s="313">
        <f t="shared" si="157"/>
        <v>0.5</v>
      </c>
      <c r="AF383" s="314">
        <f t="shared" si="157"/>
        <v>0.99999937969646679</v>
      </c>
      <c r="AG383" s="812">
        <f t="shared" si="157"/>
        <v>2</v>
      </c>
      <c r="AH383" s="233">
        <f t="shared" si="157"/>
        <v>8</v>
      </c>
      <c r="AI383" s="227">
        <f>MAX(AI15:AI380)</f>
        <v>2.4973886129462493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4" priority="3" stopIfTrue="1" operator="lessThan">
      <formula>0.01</formula>
    </cfRule>
    <cfRule type="cellIs" dxfId="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'2026'!An+1</f>
        <v>2027</v>
      </c>
      <c r="K1" s="1271"/>
      <c r="L1" s="113" t="str">
        <f>"Calcul pertes et enveloppes en "&amp;TEXT(An,0)</f>
        <v>Calcul pertes et enveloppes en 2027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2027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77.562106277605409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403.73839927820285</v>
      </c>
      <c r="AK4" s="834">
        <f>AM12-AK12</f>
        <v>3.0878914847980461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481.46196707522375</v>
      </c>
      <c r="AA5" s="237">
        <f>Wh_Pvg_s-Wh_Pvg</f>
        <v>3.0878914847980461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2781.7354830279905</v>
      </c>
      <c r="AK5" s="516">
        <f>SUMIF(AK15:AK380,"VRAI",Wh)</f>
        <v>0</v>
      </c>
      <c r="AL5" s="516">
        <f>SUMIF(AJ15:AJ380,"VRAI",Wh_s)</f>
        <v>2703.4782339594208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8022.0970556106222</v>
      </c>
      <c r="AK6" s="516">
        <f>SUMIF(AK15:AK380,"FAUX",Wh)</f>
        <v>10803.832538638611</v>
      </c>
      <c r="AL6" s="516">
        <f>SUMIF(AJ15:AJ380,"FAUX",Wh_s)</f>
        <v>7615.6809881074223</v>
      </c>
      <c r="AM6" s="516">
        <f>SUMIF(AK15:AK380,"FAUX",Wh_s)</f>
        <v>10319.159222066852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2983.4902158893083</v>
      </c>
      <c r="AK7" s="516">
        <f>SUMIF(AK15:AK380,"VRAI",Wh_sa)</f>
        <v>0</v>
      </c>
      <c r="AL7" s="516">
        <f>SUMIF(AJ15:AJ380,"VRAI",Wh_pvt_s)</f>
        <v>2899.5593191814401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8631.9059288887929</v>
      </c>
      <c r="AK8" s="516">
        <f>SUMIF(AK15:AK380,"FAUX",Wh_sa)</f>
        <v>11920.267781564489</v>
      </c>
      <c r="AL8" s="516">
        <f>SUMIF(AJ15:AJ380,"FAUX",Wh_pvt_s)</f>
        <v>8194.6289493257864</v>
      </c>
      <c r="AM8" s="516">
        <f>SUMIF(AK15:AK380,"FAUX",Wh_sa_s)</f>
        <v>11916.678989580441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11615.396144778102</v>
      </c>
      <c r="E9" s="184">
        <f>SUM(E$15:E$380)</f>
        <v>11920.267781564489</v>
      </c>
      <c r="F9" s="184">
        <f>SUM(F$15:F$380)</f>
        <v>11920.757798603372</v>
      </c>
      <c r="H9" s="1272">
        <f>+SUM(Wh)</f>
        <v>10803.832538638611</v>
      </c>
      <c r="I9" s="1273"/>
      <c r="J9" s="1274"/>
      <c r="K9" s="191"/>
      <c r="L9" s="232"/>
      <c r="M9" s="232"/>
      <c r="N9" s="232"/>
      <c r="O9" s="223">
        <f>Tnet_2027</f>
        <v>46507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10319.159222066852</v>
      </c>
      <c r="Y9" s="1267"/>
      <c r="Z9" s="516">
        <f>SUM(Z$15:Z$380)</f>
        <v>11094.188268507229</v>
      </c>
      <c r="AA9" s="516">
        <f>SUM(AA$15:AA$380)</f>
        <v>11916.678989580441</v>
      </c>
      <c r="AB9" s="516">
        <f>F9</f>
        <v>11920.757798603372</v>
      </c>
      <c r="AC9" s="325">
        <f>IF(An_Tnet,Tnet,'2026'!Tnet_s)</f>
        <v>46507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3158.1494145415727</v>
      </c>
      <c r="AK9" s="516">
        <f>SUMIF(AK15:AK380,"VRAI",Wh_hp)</f>
        <v>0</v>
      </c>
      <c r="AL9" s="516">
        <f>SUMIF(AJ15:AJ380,"VRAI",Wh_sa_s)</f>
        <v>3157.4062747155508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5.0000000000000001E-3</v>
      </c>
      <c r="P10" s="421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IF(OR(Inflex,GainD),'2026'!Resal_s+('2026'!Salim-'2026'!Resal_s)*(1-EXP(('2026'!Tnet_s-Tnet)/('2026'!Tau_j))),IF(Acti_net,'2026'!Resal+('2026'!Salim-'2026'!Resal)*(1-EXP(('2026'!Tnet-Tnet)/'2026'!Tau_j)),'2026'!Resal_s))</f>
        <v>5.7763344725898537E-2</v>
      </c>
      <c r="AD10" s="428"/>
      <c r="AE10" s="428"/>
      <c r="AF10" s="260"/>
      <c r="AG10" s="261"/>
      <c r="AH10" s="262"/>
      <c r="AI10" s="473"/>
      <c r="AJ10" s="516">
        <f>SUMIF(AJ15:AJ380,"FAUX",Wh_sa)</f>
        <v>8762.1183670229184</v>
      </c>
      <c r="AK10" s="516">
        <f>SUMIF(AK15:AK380,"FAUX",Wh_hp)</f>
        <v>11920.757798603372</v>
      </c>
      <c r="AL10" s="516">
        <f>SUMIF(AJ15:AJ380,"FAUX",Wh_sa_s)</f>
        <v>8759.2727148648792</v>
      </c>
      <c r="AM10" s="516">
        <f>SUMIF(AK15:AK380,"FAUX",Wh_hp)</f>
        <v>11920.757798603372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811.56360613949073</v>
      </c>
      <c r="E11" s="51">
        <f>(E$9-D$9)*Prod_an/D$9</f>
        <v>283.57036372810734</v>
      </c>
      <c r="F11" s="186">
        <f>(F$9-E$9)*Prod_an/E$9</f>
        <v>0.44412274339649793</v>
      </c>
      <c r="G11" s="185" t="s">
        <v>6</v>
      </c>
      <c r="K11" s="194"/>
      <c r="L11" s="211">
        <f>Tvie_2027</f>
        <v>43259</v>
      </c>
      <c r="M11" s="844"/>
      <c r="N11" s="844"/>
      <c r="O11" s="202">
        <f>IF(An_Tnet,Salim_2027,'2026'!Salim)</f>
        <v>0.105</v>
      </c>
      <c r="P11" s="256">
        <f>Ttai_2027</f>
        <v>45747</v>
      </c>
      <c r="Q11" s="272">
        <f>Dens_2027</f>
        <v>0.5</v>
      </c>
      <c r="R11" s="277"/>
      <c r="S11" s="230"/>
      <c r="T11" s="230"/>
      <c r="U11" s="266">
        <f>Htf_2027</f>
        <v>-0.52759895342772967</v>
      </c>
      <c r="V11" s="428"/>
      <c r="W11" s="519"/>
      <c r="X11" s="526" t="s">
        <v>43</v>
      </c>
      <c r="Y11" s="50">
        <f>Z$9-Prod_an_s</f>
        <v>775.02904644037699</v>
      </c>
      <c r="Z11" s="51">
        <f>(AA$9-Z$9)*Prod_an_s/Z$9</f>
        <v>765.03233080333109</v>
      </c>
      <c r="AA11" s="186">
        <f>(AB$9-AA$9)*Prod_an_s/AA$9</f>
        <v>3.5320142281945439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162.84809239215701</v>
      </c>
      <c r="AK11" s="834">
        <f>IF($AK7=0,0,($AK9-$AK7)*$AK5/$AK7)</f>
        <v>0</v>
      </c>
      <c r="AL11" s="833">
        <f>IF($AL7=0,0,($AL9-$AL7)*$AL5/$AL7)</f>
        <v>240.41019866976242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4.6592603713102587E-2</v>
      </c>
      <c r="K12" s="191"/>
      <c r="L12" s="212">
        <f>Pspv_2027</f>
        <v>0</v>
      </c>
      <c r="M12" s="212"/>
      <c r="N12" s="212"/>
      <c r="O12" s="205">
        <f>IF(An_Tnet,Tau_2027*365,'2026'!Tau_j)</f>
        <v>973.33333333333326</v>
      </c>
      <c r="P12" s="281">
        <f>INDEX(Croivg,MIN(MAX(Ttai-$A$15,0)+1,366))</f>
        <v>2.3909964587625958E-6</v>
      </c>
      <c r="Q12" s="280">
        <f>'2026'!Df</f>
        <v>0.5</v>
      </c>
      <c r="R12" s="278"/>
      <c r="S12" s="279"/>
      <c r="T12" s="279"/>
      <c r="U12" s="267">
        <f>'2026'!Hdf</f>
        <v>-1.0275989534277297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'2026'!Df_s</f>
        <v>0.5</v>
      </c>
      <c r="AF12" s="203"/>
      <c r="AG12" s="203"/>
      <c r="AH12" s="203"/>
      <c r="AI12" s="297">
        <f>'2026'!Hdf_s</f>
        <v>2.4973886129462493</v>
      </c>
      <c r="AJ12" s="833">
        <f>IF($AJ8=0,0,($AJ10-$AJ8)*$AJ6/$AJ8)</f>
        <v>121.01346158832841</v>
      </c>
      <c r="AK12" s="834">
        <f>IF($AK8=0,0,($AK10-$AK8)*$AK6/$AK8)</f>
        <v>0.44412274339649793</v>
      </c>
      <c r="AL12" s="833">
        <f>IF($AL8=0,0,($AL10-$AL8)*$AL6/$AL8)</f>
        <v>524.75186086653127</v>
      </c>
      <c r="AM12" s="834">
        <f>IF($AM8=0,0,($AM10-$AM8)*$AM6/$AM8)</f>
        <v>3.5320142281945439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283.86155398048544</v>
      </c>
      <c r="AK13" s="73">
        <f>+AK11+AK12</f>
        <v>0.44412274339649793</v>
      </c>
      <c r="AL13" s="73">
        <f>+AL11+AL12</f>
        <v>765.16205953629367</v>
      </c>
      <c r="AM13" s="73">
        <f>+AM11+AM12</f>
        <v>3.5320142281945439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2027</v>
      </c>
      <c r="W14" s="838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21.718577256573546</v>
      </c>
      <c r="C15" s="841"/>
      <c r="D15" s="393">
        <f t="shared" ref="D15:D78" si="0">Wh/(1-Ppv)</f>
        <v>23.259225987352021</v>
      </c>
      <c r="E15" s="400">
        <f t="shared" ref="E15:E79" si="1">Wh_pvt/(1-Psa)</f>
        <v>24.525989547486571</v>
      </c>
      <c r="F15" s="400">
        <f t="shared" ref="F15:F78" si="2">Wh_sa/(1-Pvg*MEDIAN((-Sdif+Wh/Env_an)/Csdif,0,1))</f>
        <v>24.528892405175792</v>
      </c>
      <c r="G15" s="123">
        <f>+Wh_hp/MaxiM</f>
        <v>0.9510804141505349</v>
      </c>
      <c r="H15" s="414" t="b">
        <f>Wh_hp&gt;='2026'!Maxi_hp</f>
        <v>0</v>
      </c>
      <c r="I15" s="396">
        <f>IF(H15,Wh_hp,'2026'!Maxi_hp)</f>
        <v>24.529004341448143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6.6238177126627273E-2</v>
      </c>
      <c r="M15" s="845"/>
      <c r="N15" s="845"/>
      <c r="O15" s="48">
        <f>IF(t&lt;Tnet,'2026'!Resal+('2026'!Salim-'2026'!Resal)*(1-EXP(('2026'!Tnet-t)/('2026'!Tau_j))),Resal+(Salim-Resal)*(1-EXP((Tnet-t)/(Tau_j))))*Salcycl</f>
        <v>5.1649845062596851E-2</v>
      </c>
      <c r="P15" s="302">
        <f>(INDEX(Models!$BJ15:$BT15,,T15)*(1-R15)+INDEX(Models!$BJ15:$BT15,,T15+1)*R15-ERP_i)*Q15*Ramure*Pc/MaxiM</f>
        <v>1.2723470152725471E-4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0.97240224207049963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-1.0275977579295004</v>
      </c>
      <c r="V15" s="382">
        <f t="shared" ref="V15:V78" si="9">MaxiM*(1-Ppv)*(1-Pvg)*(1-Psa)</f>
        <v>22.83548670170012</v>
      </c>
      <c r="W15" s="402">
        <f t="shared" ref="W15:W78" si="10">Wh*(A15&gt;Tmaj)</f>
        <v>21.718577256573546</v>
      </c>
      <c r="X15" s="156">
        <f t="shared" ref="X15:X78" si="11">t</f>
        <v>46388</v>
      </c>
      <c r="Y15" s="385">
        <f t="shared" ref="Y15:Y78" si="12">Wh_pvt_s*(1-Ppv)</f>
        <v>21.053410064460454</v>
      </c>
      <c r="Z15" s="385">
        <f>Wh_sa_s*(1-Psa_s)</f>
        <v>22.546873890897448</v>
      </c>
      <c r="AA15" s="386">
        <f t="shared" ref="AA15:AA78" si="13">Wh_hp*(1-Pvg_s*MEDIAN((-Sdif+Wh/Env_an)/Csdif,0,1))</f>
        <v>24.503657144937197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7.9856783926804453E-2</v>
      </c>
      <c r="AD15" s="231">
        <f>(INDEX(Models!$BJ15:$BT15,,AH15)*(1-AF15)+INDEX(Models!$BJ15:$BT15,,AH15+1)*AF15-ERP_i)*AE15*Ramure*Pc/MaxiM</f>
        <v>1.1060827460959842E-3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0.49738980844447855</v>
      </c>
      <c r="AG15" s="81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2.4973898084444786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15.616522963489677</v>
      </c>
      <c r="C16" s="841"/>
      <c r="D16" s="393">
        <f t="shared" si="0"/>
        <v>16.724677139676643</v>
      </c>
      <c r="E16" s="385">
        <f t="shared" si="1"/>
        <v>17.636532112574038</v>
      </c>
      <c r="F16" s="385">
        <f t="shared" si="2"/>
        <v>17.637742174735184</v>
      </c>
      <c r="G16" s="110">
        <f t="shared" ref="G16:G79" si="21">+Wh_hp/MaxiM</f>
        <v>0.67903486805295921</v>
      </c>
      <c r="H16" s="414" t="b">
        <f>Wh_hp&gt;='2026'!Maxi_hp</f>
        <v>0</v>
      </c>
      <c r="I16" s="390">
        <f>IF(H16,Wh_hp,'2026'!Maxi_hp)</f>
        <v>24.297474136240545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6.6258628906984751E-2</v>
      </c>
      <c r="M16" s="845"/>
      <c r="N16" s="845"/>
      <c r="O16" s="48">
        <f>IF(t&lt;Tnet,'2026'!Resal+('2026'!Salim-'2026'!Resal)*(1-EXP(('2026'!Tnet-t)/('2026'!Tau_j))),Resal+(Salim-Resal)*(1-EXP((Tnet-t)/(Tau_j))))*Salcycl</f>
        <v>5.1702623116439347E-2</v>
      </c>
      <c r="P16" s="169">
        <f>(INDEX(Models!$BJ16:$BT16,,T16)*(1-R16)+INDEX(Models!$BJ16:$BT16,,T16+1)*R16-ERP_i)*Q16*Ramure*Pc/MaxiM</f>
        <v>1.2668884424827339E-4</v>
      </c>
      <c r="Q16" s="305">
        <f t="shared" si="4"/>
        <v>0.5</v>
      </c>
      <c r="R16" s="177">
        <f t="shared" si="5"/>
        <v>0.97243145668449404</v>
      </c>
      <c r="S16" s="811">
        <f t="shared" si="6"/>
        <v>-2</v>
      </c>
      <c r="T16" s="176">
        <f t="shared" si="7"/>
        <v>4</v>
      </c>
      <c r="U16" s="251">
        <f t="shared" si="8"/>
        <v>-1.027568543315506</v>
      </c>
      <c r="V16" s="383">
        <f t="shared" si="9"/>
        <v>22.996780563500206</v>
      </c>
      <c r="W16" s="402">
        <f t="shared" si="10"/>
        <v>15.616522963489677</v>
      </c>
      <c r="X16" s="157">
        <f t="shared" si="11"/>
        <v>46389</v>
      </c>
      <c r="Y16" s="385">
        <f t="shared" si="12"/>
        <v>15.144542269246775</v>
      </c>
      <c r="Z16" s="385">
        <f t="shared" ref="Z16:Z78" si="22">Wh_sa_s*(1-Psa_s)</f>
        <v>16.219204522895819</v>
      </c>
      <c r="AA16" s="386">
        <f t="shared" si="13"/>
        <v>17.627260780241066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7.9879470491727278E-2</v>
      </c>
      <c r="AD16" s="231">
        <f>(INDEX(Models!$BJ16:$BT16,,AH16)*(1-AF16)+INDEX(Models!$BJ16:$BT16,,AH16+1)*AF16-ERP_i)*AE16*Ramure*Pc/MaxiM</f>
        <v>1.0973616043936556E-3</v>
      </c>
      <c r="AE16" s="305">
        <f t="shared" si="15"/>
        <v>0.5</v>
      </c>
      <c r="AF16" s="177">
        <f t="shared" ref="AF16:AF78" si="23">(Hp_vg_s-AG16)/(INDEX(Echel_vg,AH16+1)-AG16)</f>
        <v>0.49741902305847274</v>
      </c>
      <c r="AG16" s="811">
        <f t="shared" ref="AG16:AG79" si="24">INDEX(Echel_vg,AH16)</f>
        <v>2</v>
      </c>
      <c r="AH16" s="176">
        <f t="shared" si="16"/>
        <v>8</v>
      </c>
      <c r="AI16" s="225">
        <f t="shared" si="17"/>
        <v>2.4974190230584727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16.805417220259734</v>
      </c>
      <c r="C17" s="841"/>
      <c r="D17" s="393">
        <f t="shared" si="0"/>
        <v>17.998329976979051</v>
      </c>
      <c r="E17" s="385">
        <f t="shared" si="1"/>
        <v>18.98068394729771</v>
      </c>
      <c r="F17" s="385">
        <f t="shared" si="2"/>
        <v>18.982137845183892</v>
      </c>
      <c r="G17" s="110">
        <f t="shared" si="21"/>
        <v>0.72543038376293079</v>
      </c>
      <c r="H17" s="414" t="b">
        <f>Wh_hp&gt;='2026'!Maxi_hp</f>
        <v>0</v>
      </c>
      <c r="I17" s="390">
        <f>IF(H17,Wh_hp,'2026'!Maxi_hp)</f>
        <v>27.383515682442006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6.6279080239395771E-2</v>
      </c>
      <c r="M17" s="845"/>
      <c r="N17" s="845"/>
      <c r="O17" s="48">
        <f>IF(t&lt;Tnet,'2026'!Resal+('2026'!Salim-'2026'!Resal)*(1-EXP(('2026'!Tnet-t)/('2026'!Tau_j))),Resal+(Salim-Resal)*(1-EXP((Tnet-t)/(Tau_j))))*Salcycl</f>
        <v>5.1755456918532998E-2</v>
      </c>
      <c r="P17" s="169">
        <f>(INDEX(Models!$BJ17:$BT17,,T17)*(1-R17)+INDEX(Models!$BJ17:$BT17,,T17+1)*R17-ERP_i)*Q17*Ramure*Pc/MaxiM</f>
        <v>1.2601484703110531E-4</v>
      </c>
      <c r="Q17" s="305">
        <f t="shared" si="4"/>
        <v>0.5</v>
      </c>
      <c r="R17" s="177">
        <f t="shared" si="5"/>
        <v>0.97246189327998356</v>
      </c>
      <c r="S17" s="811">
        <f t="shared" si="6"/>
        <v>-2</v>
      </c>
      <c r="T17" s="176">
        <f t="shared" si="7"/>
        <v>4</v>
      </c>
      <c r="U17" s="251">
        <f t="shared" si="8"/>
        <v>-1.0275381067200164</v>
      </c>
      <c r="V17" s="383">
        <f t="shared" si="9"/>
        <v>23.164988642782482</v>
      </c>
      <c r="W17" s="402">
        <f t="shared" si="10"/>
        <v>16.805417220259734</v>
      </c>
      <c r="X17" s="157">
        <f t="shared" si="11"/>
        <v>46390</v>
      </c>
      <c r="Y17" s="385">
        <f t="shared" si="12"/>
        <v>16.297040790869257</v>
      </c>
      <c r="Z17" s="385">
        <f t="shared" si="22"/>
        <v>17.453867045249066</v>
      </c>
      <c r="AA17" s="386">
        <f t="shared" si="13"/>
        <v>18.969580296353506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7.9902308191594759E-2</v>
      </c>
      <c r="AD17" s="231">
        <f>(INDEX(Models!$BJ17:$BT17,,AH17)*(1-AF17)+INDEX(Models!$BJ17:$BT17,,AH17+1)*AF17-ERP_i)*AE17*Ramure*Pc/MaxiM</f>
        <v>1.0884104103779906E-3</v>
      </c>
      <c r="AE17" s="305">
        <f t="shared" si="15"/>
        <v>0.5</v>
      </c>
      <c r="AF17" s="177">
        <f>(Hp_vg_s-AG17)/(INDEX(Echel_vg,AH17+1)-AG17)</f>
        <v>0.49744945965396248</v>
      </c>
      <c r="AG17" s="811">
        <f>INDEX(Echel_vg,AH17)</f>
        <v>2</v>
      </c>
      <c r="AH17" s="176">
        <f t="shared" si="16"/>
        <v>8</v>
      </c>
      <c r="AI17" s="225">
        <f t="shared" si="17"/>
        <v>2.4974494596539625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17.756966578415849</v>
      </c>
      <c r="C18" s="841"/>
      <c r="D18" s="393">
        <f t="shared" si="0"/>
        <v>19.01784048559966</v>
      </c>
      <c r="E18" s="385">
        <f t="shared" si="1"/>
        <v>20.056958084692464</v>
      </c>
      <c r="F18" s="385">
        <f t="shared" si="2"/>
        <v>20.058611641322234</v>
      </c>
      <c r="G18" s="110">
        <f t="shared" si="21"/>
        <v>0.76079472264137959</v>
      </c>
      <c r="H18" s="414" t="b">
        <f>Wh_hp&gt;='2026'!Maxi_hp</f>
        <v>0</v>
      </c>
      <c r="I18" s="390">
        <f>IF(H18,Wh_hp,'2026'!Maxi_hp)</f>
        <v>24.454097030053351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6.6299531123870103E-2</v>
      </c>
      <c r="M18" s="845"/>
      <c r="N18" s="845"/>
      <c r="O18" s="48">
        <f>IF(t&lt;Tnet,'2026'!Resal+('2026'!Salim-'2026'!Resal)*(1-EXP(('2026'!Tnet-t)/('2026'!Tau_j))),Resal+(Salim-Resal)*(1-EXP((Tnet-t)/(Tau_j))))*Salcycl</f>
        <v>5.1808334778635445E-2</v>
      </c>
      <c r="P18" s="169">
        <f>(INDEX(Models!$BJ18:$BT18,,T18)*(1-R18)+INDEX(Models!$BJ18:$BT18,,T18+1)*R18-ERP_i)*Q18*Ramure*Pc/MaxiM</f>
        <v>1.2522125870838448E-4</v>
      </c>
      <c r="Q18" s="305">
        <f t="shared" si="4"/>
        <v>0.5</v>
      </c>
      <c r="R18" s="177">
        <f t="shared" si="5"/>
        <v>0.97249360281127872</v>
      </c>
      <c r="S18" s="811">
        <f t="shared" si="6"/>
        <v>-2</v>
      </c>
      <c r="T18" s="176">
        <f t="shared" si="7"/>
        <v>4</v>
      </c>
      <c r="U18" s="251">
        <f t="shared" si="8"/>
        <v>-1.0275063971887213</v>
      </c>
      <c r="V18" s="383">
        <f t="shared" si="9"/>
        <v>23.33902464791155</v>
      </c>
      <c r="W18" s="402">
        <f t="shared" si="10"/>
        <v>17.756966578415849</v>
      </c>
      <c r="X18" s="157">
        <f t="shared" si="11"/>
        <v>46391</v>
      </c>
      <c r="Y18" s="385">
        <f t="shared" si="12"/>
        <v>17.21959214867967</v>
      </c>
      <c r="Z18" s="385">
        <f>Wh_sa_s*(1-Psa_s)</f>
        <v>18.442308558981907</v>
      </c>
      <c r="AA18" s="386">
        <f t="shared" si="13"/>
        <v>20.044359581422643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7.9925278527009619E-2</v>
      </c>
      <c r="AD18" s="231">
        <f>(INDEX(Models!$BJ18:$BT18,,AH18)*(1-AF18)+INDEX(Models!$BJ18:$BT18,,AH18+1)*AF18-ERP_i)*AE18*Ramure*Pc/MaxiM</f>
        <v>1.0792862171664325E-3</v>
      </c>
      <c r="AE18" s="305">
        <f t="shared" si="15"/>
        <v>0.5</v>
      </c>
      <c r="AF18" s="177">
        <f t="shared" si="23"/>
        <v>0.49748116918525742</v>
      </c>
      <c r="AG18" s="811">
        <f t="shared" si="24"/>
        <v>2</v>
      </c>
      <c r="AH18" s="176">
        <f t="shared" si="16"/>
        <v>8</v>
      </c>
      <c r="AI18" s="225">
        <f t="shared" si="17"/>
        <v>2.4974811691852574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14.13770524374358</v>
      </c>
      <c r="C19" s="841"/>
      <c r="D19" s="393">
        <f t="shared" si="0"/>
        <v>15.141916892867958</v>
      </c>
      <c r="E19" s="385">
        <f t="shared" si="1"/>
        <v>15.970148712194078</v>
      </c>
      <c r="F19" s="385">
        <f t="shared" si="2"/>
        <v>15.971002882108618</v>
      </c>
      <c r="G19" s="110">
        <f t="shared" si="21"/>
        <v>0.60110648982271864</v>
      </c>
      <c r="H19" s="414" t="b">
        <f>Wh_hp&gt;='2026'!Maxi_hp</f>
        <v>0</v>
      </c>
      <c r="I19" s="390">
        <f>IF(H19,Wh_hp,'2026'!Maxi_hp)</f>
        <v>27.046839831733369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6.6319981560417518E-2</v>
      </c>
      <c r="M19" s="845"/>
      <c r="N19" s="845"/>
      <c r="O19" s="48">
        <f>IF(t&lt;Tnet,'2026'!Resal+('2026'!Salim-'2026'!Resal)*(1-EXP(('2026'!Tnet-t)/('2026'!Tau_j))),Resal+(Salim-Resal)*(1-EXP((Tnet-t)/(Tau_j))))*Salcycl</f>
        <v>5.1861246520122944E-2</v>
      </c>
      <c r="P19" s="169">
        <f>(INDEX(Models!$BJ19:$BT19,,T19)*(1-R19)+INDEX(Models!$BJ19:$BT19,,T19+1)*R19-ERP_i)*Q19*Ramure*Pc/MaxiM</f>
        <v>1.2431644740748134E-4</v>
      </c>
      <c r="Q19" s="305">
        <f t="shared" si="4"/>
        <v>0.5</v>
      </c>
      <c r="R19" s="177">
        <f t="shared" si="5"/>
        <v>0.97252663834384023</v>
      </c>
      <c r="S19" s="811">
        <f t="shared" si="6"/>
        <v>-2</v>
      </c>
      <c r="T19" s="176">
        <f t="shared" si="7"/>
        <v>4</v>
      </c>
      <c r="U19" s="251">
        <f t="shared" si="8"/>
        <v>-1.0274733616561598</v>
      </c>
      <c r="V19" s="383">
        <f t="shared" si="9"/>
        <v>23.517802586938956</v>
      </c>
      <c r="W19" s="402">
        <f t="shared" si="10"/>
        <v>14.13770524374358</v>
      </c>
      <c r="X19" s="157">
        <f t="shared" si="11"/>
        <v>46392</v>
      </c>
      <c r="Y19" s="385">
        <f t="shared" si="12"/>
        <v>13.713315944341872</v>
      </c>
      <c r="Z19" s="385">
        <f t="shared" si="22"/>
        <v>14.68738290796918</v>
      </c>
      <c r="AA19" s="386">
        <f t="shared" si="13"/>
        <v>15.963650685927218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7.9948365387569817E-2</v>
      </c>
      <c r="AD19" s="231">
        <f>(INDEX(Models!$BJ19:$BT19,,AH19)*(1-AF19)+INDEX(Models!$BJ19:$BT19,,AH19+1)*AF19-ERP_i)*AE19*Ramure*Pc/MaxiM</f>
        <v>1.0700434355696161E-3</v>
      </c>
      <c r="AE19" s="305">
        <f t="shared" si="15"/>
        <v>0.5</v>
      </c>
      <c r="AF19" s="177">
        <f t="shared" si="23"/>
        <v>0.49751420471781937</v>
      </c>
      <c r="AG19" s="811">
        <f t="shared" si="24"/>
        <v>2</v>
      </c>
      <c r="AH19" s="176">
        <f t="shared" si="16"/>
        <v>8</v>
      </c>
      <c r="AI19" s="225">
        <f t="shared" si="17"/>
        <v>2.4975142047178194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20.387202779249531</v>
      </c>
      <c r="C20" s="841"/>
      <c r="D20" s="393">
        <f t="shared" si="0"/>
        <v>21.835799115810737</v>
      </c>
      <c r="E20" s="385">
        <f t="shared" si="1"/>
        <v>23.031458475966904</v>
      </c>
      <c r="F20" s="385">
        <f t="shared" si="2"/>
        <v>23.033731536463641</v>
      </c>
      <c r="G20" s="110">
        <f t="shared" si="21"/>
        <v>0.86018974811895965</v>
      </c>
      <c r="H20" s="414" t="b">
        <f>Wh_hp&gt;='2026'!Maxi_hp</f>
        <v>0</v>
      </c>
      <c r="I20" s="390">
        <f>IF(H20,Wh_hp,'2026'!Maxi_hp)</f>
        <v>26.739364860323523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6.6340431549048007E-2</v>
      </c>
      <c r="M20" s="845"/>
      <c r="N20" s="845"/>
      <c r="O20" s="48">
        <f>IF(t&lt;Tnet,'2026'!Resal+('2026'!Salim-'2026'!Resal)*(1-EXP(('2026'!Tnet-t)/('2026'!Tau_j))),Resal+(Salim-Resal)*(1-EXP((Tnet-t)/(Tau_j))))*Salcycl</f>
        <v>5.1914183437571926E-2</v>
      </c>
      <c r="P20" s="169">
        <f>(INDEX(Models!$BJ20:$BT20,,T20)*(1-R20)+INDEX(Models!$BJ20:$BT20,,T20+1)*R20-ERP_i)*Q20*Ramure*Pc/MaxiM</f>
        <v>1.2330853951649382E-4</v>
      </c>
      <c r="Q20" s="305">
        <f t="shared" si="4"/>
        <v>0.5</v>
      </c>
      <c r="R20" s="177">
        <f t="shared" si="5"/>
        <v>0.97256105514059099</v>
      </c>
      <c r="S20" s="811">
        <f t="shared" si="6"/>
        <v>-2</v>
      </c>
      <c r="T20" s="176">
        <f t="shared" si="7"/>
        <v>4</v>
      </c>
      <c r="U20" s="251">
        <f t="shared" si="8"/>
        <v>-1.027438944859409</v>
      </c>
      <c r="V20" s="383">
        <f t="shared" si="9"/>
        <v>23.700236777487472</v>
      </c>
      <c r="W20" s="402">
        <f t="shared" si="10"/>
        <v>20.387202779249531</v>
      </c>
      <c r="X20" s="157">
        <f t="shared" si="11"/>
        <v>46393</v>
      </c>
      <c r="Y20" s="385">
        <f t="shared" si="12"/>
        <v>19.769026151919761</v>
      </c>
      <c r="Z20" s="385">
        <f t="shared" si="22"/>
        <v>21.17369844419721</v>
      </c>
      <c r="AA20" s="386">
        <f t="shared" si="13"/>
        <v>23.01417804933314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7.9971554977574258E-2</v>
      </c>
      <c r="AD20" s="231">
        <f>(INDEX(Models!$BJ20:$BT20,,AH20)*(1-AF20)+INDEX(Models!$BJ20:$BT20,,AH20+1)*AF20-ERP_i)*AE20*Ramure*Pc/MaxiM</f>
        <v>1.0607337305705037E-3</v>
      </c>
      <c r="AE20" s="305">
        <f t="shared" si="15"/>
        <v>0.5</v>
      </c>
      <c r="AF20" s="177">
        <f t="shared" si="23"/>
        <v>0.49754862151457013</v>
      </c>
      <c r="AG20" s="811">
        <f t="shared" si="24"/>
        <v>2</v>
      </c>
      <c r="AH20" s="176">
        <f t="shared" si="16"/>
        <v>8</v>
      </c>
      <c r="AI20" s="225">
        <f t="shared" si="17"/>
        <v>2.4975486215145701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10.425955974973938</v>
      </c>
      <c r="C21" s="841"/>
      <c r="D21" s="393">
        <f t="shared" si="0"/>
        <v>11.167008498040893</v>
      </c>
      <c r="E21" s="385">
        <f t="shared" si="1"/>
        <v>11.779136513622319</v>
      </c>
      <c r="F21" s="385">
        <f t="shared" si="2"/>
        <v>11.779417221812203</v>
      </c>
      <c r="G21" s="110">
        <f t="shared" si="21"/>
        <v>0.43645906400587159</v>
      </c>
      <c r="H21" s="414" t="b">
        <f>Wh_hp&gt;='2026'!Maxi_hp</f>
        <v>0</v>
      </c>
      <c r="I21" s="390">
        <f>IF(H21,Wh_hp,'2026'!Maxi_hp)</f>
        <v>14.932480243717823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6.6360881089771118E-2</v>
      </c>
      <c r="M21" s="845"/>
      <c r="N21" s="845"/>
      <c r="O21" s="48">
        <f>IF(t&lt;Tnet,'2026'!Resal+('2026'!Salim-'2026'!Resal)*(1-EXP(('2026'!Tnet-t)/('2026'!Tau_j))),Resal+(Salim-Resal)*(1-EXP((Tnet-t)/(Tau_j))))*Salcycl</f>
        <v>5.1967138242562397E-2</v>
      </c>
      <c r="P21" s="169">
        <f>(INDEX(Models!$BJ21:$BT21,,T21)*(1-R21)+INDEX(Models!$BJ21:$BT21,,T21+1)*R21-ERP_i)*Q21*Ramure*Pc/MaxiM</f>
        <v>1.2220536872483768E-4</v>
      </c>
      <c r="Q21" s="305">
        <f t="shared" si="4"/>
        <v>0.5</v>
      </c>
      <c r="R21" s="177">
        <f t="shared" si="5"/>
        <v>0.97259691075165411</v>
      </c>
      <c r="S21" s="811">
        <f t="shared" si="6"/>
        <v>-2</v>
      </c>
      <c r="T21" s="176">
        <f t="shared" si="7"/>
        <v>4</v>
      </c>
      <c r="U21" s="251">
        <f t="shared" si="8"/>
        <v>-1.0274030892483459</v>
      </c>
      <c r="V21" s="383">
        <f t="shared" si="9"/>
        <v>23.885241840843257</v>
      </c>
      <c r="W21" s="402">
        <f t="shared" si="10"/>
        <v>10.425955974973938</v>
      </c>
      <c r="X21" s="157">
        <f t="shared" si="11"/>
        <v>46394</v>
      </c>
      <c r="Y21" s="385">
        <f t="shared" si="12"/>
        <v>10.115889076721915</v>
      </c>
      <c r="Z21" s="385">
        <f t="shared" si="22"/>
        <v>10.834902771136539</v>
      </c>
      <c r="AA21" s="386">
        <f t="shared" si="13"/>
        <v>11.77700212113777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7.9994835723967345E-2</v>
      </c>
      <c r="AD21" s="231">
        <f>(INDEX(Models!$BJ21:$BT21,,AH21)*(1-AF21)+INDEX(Models!$BJ21:$BT21,,AH21+1)*AF21-ERP_i)*AE21*Ramure*Pc/MaxiM</f>
        <v>1.051405976256225E-3</v>
      </c>
      <c r="AE21" s="305">
        <f t="shared" si="15"/>
        <v>0.5</v>
      </c>
      <c r="AF21" s="177">
        <f t="shared" si="23"/>
        <v>0.49758447712563303</v>
      </c>
      <c r="AG21" s="811">
        <f t="shared" si="24"/>
        <v>2</v>
      </c>
      <c r="AH21" s="176">
        <f t="shared" si="16"/>
        <v>8</v>
      </c>
      <c r="AI21" s="225">
        <f t="shared" si="17"/>
        <v>2.497584477125633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7.3139523141187395</v>
      </c>
      <c r="C22" s="841"/>
      <c r="D22" s="393">
        <f t="shared" si="0"/>
        <v>7.8339824926050383</v>
      </c>
      <c r="E22" s="385">
        <f t="shared" si="1"/>
        <v>8.2638698709887652</v>
      </c>
      <c r="F22" s="385">
        <f t="shared" si="2"/>
        <v>8.2638753567922389</v>
      </c>
      <c r="G22" s="110">
        <f t="shared" si="21"/>
        <v>0.30380331000741501</v>
      </c>
      <c r="H22" s="414" t="b">
        <f>Wh_hp&gt;='2026'!Maxi_hp</f>
        <v>0</v>
      </c>
      <c r="I22" s="390">
        <f>IF(H22,Wh_hp,'2026'!Maxi_hp)</f>
        <v>20.323342747491672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6.6381330182596954E-2</v>
      </c>
      <c r="M22" s="845"/>
      <c r="N22" s="845"/>
      <c r="O22" s="48">
        <f>IF(t&lt;Tnet,'2026'!Resal+('2026'!Salim-'2026'!Resal)*(1-EXP(('2026'!Tnet-t)/('2026'!Tau_j))),Resal+(Salim-Resal)*(1-EXP((Tnet-t)/(Tau_j))))*Salcycl</f>
        <v>5.2020104998614959E-2</v>
      </c>
      <c r="P22" s="169">
        <f>(INDEX(Models!$BJ22:$BT22,,T22)*(1-R22)+INDEX(Models!$BJ22:$BT22,,T22+1)*R22-ERP_i)*Q22*Ramure*Pc/MaxiM</f>
        <v>1.210144342800061E-4</v>
      </c>
      <c r="Q22" s="305">
        <f t="shared" si="4"/>
        <v>0.5</v>
      </c>
      <c r="R22" s="177">
        <f t="shared" si="5"/>
        <v>0.97263426510765139</v>
      </c>
      <c r="S22" s="811">
        <f t="shared" si="6"/>
        <v>-2</v>
      </c>
      <c r="T22" s="176">
        <f t="shared" si="7"/>
        <v>4</v>
      </c>
      <c r="U22" s="251">
        <f t="shared" si="8"/>
        <v>-1.0273657348923486</v>
      </c>
      <c r="V22" s="383">
        <f t="shared" si="9"/>
        <v>24.071732710123861</v>
      </c>
      <c r="W22" s="402">
        <f t="shared" si="10"/>
        <v>7.3139523141187395</v>
      </c>
      <c r="X22" s="157">
        <f t="shared" si="11"/>
        <v>46395</v>
      </c>
      <c r="Y22" s="385">
        <f t="shared" si="12"/>
        <v>7.0979026727203012</v>
      </c>
      <c r="Z22" s="385">
        <f t="shared" si="22"/>
        <v>7.6025714803973523</v>
      </c>
      <c r="AA22" s="386">
        <f t="shared" si="13"/>
        <v>8.2638281162280869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8.0018198168012741E-2</v>
      </c>
      <c r="AD22" s="231">
        <f>(INDEX(Models!$BJ22:$BT22,,AH22)*(1-AF22)+INDEX(Models!$BJ22:$BT22,,AH22+1)*AF22-ERP_i)*AE22*Ramure*Pc/MaxiM</f>
        <v>1.0421062608614768E-3</v>
      </c>
      <c r="AE22" s="305">
        <f t="shared" si="15"/>
        <v>0.5</v>
      </c>
      <c r="AF22" s="177">
        <f t="shared" si="23"/>
        <v>0.49762183148163031</v>
      </c>
      <c r="AG22" s="811">
        <f t="shared" si="24"/>
        <v>2</v>
      </c>
      <c r="AH22" s="176">
        <f t="shared" si="16"/>
        <v>8</v>
      </c>
      <c r="AI22" s="225">
        <f t="shared" si="17"/>
        <v>2.4976218314816303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2.1588829595569865</v>
      </c>
      <c r="C23" s="841"/>
      <c r="D23" s="393">
        <f t="shared" si="0"/>
        <v>2.312432597446191</v>
      </c>
      <c r="E23" s="385">
        <f t="shared" si="1"/>
        <v>2.4394629441682762</v>
      </c>
      <c r="F23" s="385">
        <f t="shared" si="2"/>
        <v>2.4394629441682762</v>
      </c>
      <c r="G23" s="110">
        <f t="shared" si="21"/>
        <v>8.8971530485705441E-2</v>
      </c>
      <c r="H23" s="414" t="b">
        <f>Wh_hp&gt;='2026'!Maxi_hp</f>
        <v>0</v>
      </c>
      <c r="I23" s="390">
        <f>IF(H23,Wh_hp,'2026'!Maxi_hp)</f>
        <v>26.033603222307448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6.6401778827535063E-2</v>
      </c>
      <c r="M23" s="845"/>
      <c r="N23" s="845"/>
      <c r="O23" s="48">
        <f>IF(t&lt;Tnet,'2026'!Resal+('2026'!Salim-'2026'!Resal)*(1-EXP(('2026'!Tnet-t)/('2026'!Tau_j))),Resal+(Salim-Resal)*(1-EXP((Tnet-t)/(Tau_j))))*Salcycl</f>
        <v>5.2073079046255195E-2</v>
      </c>
      <c r="P23" s="169">
        <f>(INDEX(Models!$BJ23:$BT23,,T23)*(1-R23)+INDEX(Models!$BJ23:$BT23,,T23+1)*R23-ERP_i)*Q23*Ramure*Pc/MaxiM</f>
        <v>1.19726365584047E-4</v>
      </c>
      <c r="Q23" s="305">
        <f t="shared" si="4"/>
        <v>0.5</v>
      </c>
      <c r="R23" s="177">
        <f t="shared" si="5"/>
        <v>0.97267318061668639</v>
      </c>
      <c r="S23" s="811">
        <f t="shared" si="6"/>
        <v>-2</v>
      </c>
      <c r="T23" s="176">
        <f t="shared" si="7"/>
        <v>4</v>
      </c>
      <c r="U23" s="251">
        <f t="shared" si="8"/>
        <v>-1.0273268193833136</v>
      </c>
      <c r="V23" s="383">
        <f t="shared" si="9"/>
        <v>24.261968660787865</v>
      </c>
      <c r="W23" s="402">
        <f t="shared" si="10"/>
        <v>2.1588829595569865</v>
      </c>
      <c r="X23" s="157">
        <f t="shared" si="11"/>
        <v>46396</v>
      </c>
      <c r="Y23" s="385">
        <f t="shared" si="12"/>
        <v>2.0951851816198883</v>
      </c>
      <c r="Z23" s="385">
        <f t="shared" si="22"/>
        <v>2.2442043419798265</v>
      </c>
      <c r="AA23" s="386">
        <f t="shared" si="13"/>
        <v>2.4394629441682762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8.0041634842304185E-2</v>
      </c>
      <c r="AD23" s="231">
        <f>(INDEX(Models!$BJ23:$BT23,,AH23)*(1-AF23)+INDEX(Models!$BJ23:$BT23,,AH23+1)*AF23-ERP_i)*AE23*Ramure*Pc/MaxiM</f>
        <v>1.0327355915574715E-3</v>
      </c>
      <c r="AE23" s="305">
        <f t="shared" si="15"/>
        <v>0.5</v>
      </c>
      <c r="AF23" s="177">
        <f t="shared" si="23"/>
        <v>0.49766074699066554</v>
      </c>
      <c r="AG23" s="811">
        <f t="shared" si="24"/>
        <v>2</v>
      </c>
      <c r="AH23" s="176">
        <f t="shared" si="16"/>
        <v>8</v>
      </c>
      <c r="AI23" s="225">
        <f t="shared" si="17"/>
        <v>2.4976607469906655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1.6757224424882289</v>
      </c>
      <c r="C24" s="841"/>
      <c r="D24" s="393">
        <f t="shared" si="0"/>
        <v>1.7949468067856156</v>
      </c>
      <c r="E24" s="385">
        <f t="shared" si="1"/>
        <v>1.8936556067273833</v>
      </c>
      <c r="F24" s="385">
        <f t="shared" si="2"/>
        <v>1.8936556067273833</v>
      </c>
      <c r="G24" s="110">
        <f t="shared" si="21"/>
        <v>6.8503961443845338E-2</v>
      </c>
      <c r="H24" s="414" t="b">
        <f>Wh_hp&gt;='2026'!Maxi_hp</f>
        <v>0</v>
      </c>
      <c r="I24" s="390">
        <f>IF(H24,Wh_hp,'2026'!Maxi_hp)</f>
        <v>13.230713123965954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6.6422227024595437E-2</v>
      </c>
      <c r="M24" s="845"/>
      <c r="N24" s="845"/>
      <c r="O24" s="48">
        <f>IF(t&lt;Tnet,'2026'!Resal+('2026'!Salim-'2026'!Resal)*(1-EXP(('2026'!Tnet-t)/('2026'!Tau_j))),Resal+(Salim-Resal)*(1-EXP((Tnet-t)/(Tau_j))))*Salcycl</f>
        <v>5.2126056919270712E-2</v>
      </c>
      <c r="P24" s="169">
        <f>(INDEX(Models!$BJ24:$BT24,,T24)*(1-R24)+INDEX(Models!$BJ24:$BT24,,T24+1)*R24-ERP_i)*Q24*Ramure*Pc/MaxiM</f>
        <v>1.1814460025184013E-4</v>
      </c>
      <c r="Q24" s="305">
        <f t="shared" si="4"/>
        <v>0.5</v>
      </c>
      <c r="R24" s="177">
        <f t="shared" si="5"/>
        <v>0.97271372226515607</v>
      </c>
      <c r="S24" s="811">
        <f t="shared" si="6"/>
        <v>-2</v>
      </c>
      <c r="T24" s="176">
        <f t="shared" si="7"/>
        <v>4</v>
      </c>
      <c r="U24" s="251">
        <f t="shared" si="8"/>
        <v>-1.0272862777348439</v>
      </c>
      <c r="V24" s="383">
        <f t="shared" si="9"/>
        <v>24.458796682927648</v>
      </c>
      <c r="W24" s="402">
        <f t="shared" si="10"/>
        <v>1.6757224424882289</v>
      </c>
      <c r="X24" s="157">
        <f t="shared" si="11"/>
        <v>46397</v>
      </c>
      <c r="Y24" s="385">
        <f t="shared" si="12"/>
        <v>1.6263296417802804</v>
      </c>
      <c r="Z24" s="385">
        <f t="shared" si="22"/>
        <v>1.742039805207666</v>
      </c>
      <c r="AA24" s="386">
        <f t="shared" si="13"/>
        <v>1.8936556067273833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8.0065140134820897E-2</v>
      </c>
      <c r="AD24" s="231">
        <f>(INDEX(Models!$BJ24:$BT24,,AH24)*(1-AF24)+INDEX(Models!$BJ24:$BT24,,AH24+1)*AF24-ERP_i)*AE24*Ramure*Pc/MaxiM</f>
        <v>1.0227252765924661E-3</v>
      </c>
      <c r="AE24" s="305">
        <f t="shared" si="15"/>
        <v>0.5</v>
      </c>
      <c r="AF24" s="177">
        <f t="shared" si="23"/>
        <v>0.49770128863913499</v>
      </c>
      <c r="AG24" s="811">
        <f t="shared" si="24"/>
        <v>2</v>
      </c>
      <c r="AH24" s="176">
        <f t="shared" si="16"/>
        <v>8</v>
      </c>
      <c r="AI24" s="225">
        <f t="shared" si="17"/>
        <v>2.497701288639135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24.149157545896831</v>
      </c>
      <c r="C25" s="841"/>
      <c r="D25" s="393">
        <f t="shared" si="0"/>
        <v>25.867889301864988</v>
      </c>
      <c r="E25" s="385">
        <f t="shared" si="1"/>
        <v>27.291957332964937</v>
      </c>
      <c r="F25" s="385">
        <f t="shared" si="2"/>
        <v>27.295035499689565</v>
      </c>
      <c r="G25" s="110">
        <f t="shared" si="21"/>
        <v>0.97920145608642151</v>
      </c>
      <c r="H25" s="414" t="b">
        <f>Wh_hp&gt;='2026'!Maxi_hp</f>
        <v>0</v>
      </c>
      <c r="I25" s="390">
        <f>IF(H25,Wh_hp,'2026'!Maxi_hp)</f>
        <v>27.813177241518638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6.6442674773787735E-2</v>
      </c>
      <c r="M25" s="845"/>
      <c r="N25" s="845"/>
      <c r="O25" s="48">
        <f>IF(t&lt;Tnet,'2026'!Resal+('2026'!Salim-'2026'!Resal)*(1-EXP(('2026'!Tnet-t)/('2026'!Tau_j))),Resal+(Salim-Resal)*(1-EXP((Tnet-t)/(Tau_j))))*Salcycl</f>
        <v>5.2179036253287354E-2</v>
      </c>
      <c r="P25" s="169">
        <f>(INDEX(Models!$BJ25:$BT25,,T25)*(1-R25)+INDEX(Models!$BJ25:$BT25,,T25+1)*R25-ERP_i)*Q25*Ramure*Pc/MaxiM</f>
        <v>1.1622665666703299E-4</v>
      </c>
      <c r="Q25" s="305">
        <f t="shared" si="4"/>
        <v>0.5</v>
      </c>
      <c r="R25" s="177">
        <f t="shared" si="5"/>
        <v>0.97275595772252199</v>
      </c>
      <c r="S25" s="811">
        <f t="shared" si="6"/>
        <v>-2</v>
      </c>
      <c r="T25" s="176">
        <f t="shared" si="7"/>
        <v>4</v>
      </c>
      <c r="U25" s="251">
        <f t="shared" si="8"/>
        <v>-1.027244042277478</v>
      </c>
      <c r="V25" s="383">
        <f t="shared" si="9"/>
        <v>24.66200801116706</v>
      </c>
      <c r="W25" s="402">
        <f t="shared" si="10"/>
        <v>24.149157545896831</v>
      </c>
      <c r="X25" s="157">
        <f t="shared" si="11"/>
        <v>46398</v>
      </c>
      <c r="Y25" s="385">
        <f t="shared" si="12"/>
        <v>23.417683981194976</v>
      </c>
      <c r="Z25" s="385">
        <f t="shared" si="22"/>
        <v>25.084355666665232</v>
      </c>
      <c r="AA25" s="386">
        <f t="shared" si="13"/>
        <v>27.268233299465606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8.0088710141818134E-2</v>
      </c>
      <c r="AD25" s="231">
        <f>(INDEX(Models!$BJ25:$BT25,,AH25)*(1-AF25)+INDEX(Models!$BJ25:$BT25,,AH25+1)*AF25-ERP_i)*AE25*Ramure*Pc/MaxiM</f>
        <v>1.0120082510235797E-3</v>
      </c>
      <c r="AE25" s="305">
        <f t="shared" si="15"/>
        <v>0.5</v>
      </c>
      <c r="AF25" s="177">
        <f t="shared" si="23"/>
        <v>0.49774352409650113</v>
      </c>
      <c r="AG25" s="811">
        <f t="shared" si="24"/>
        <v>2</v>
      </c>
      <c r="AH25" s="176">
        <f t="shared" si="16"/>
        <v>8</v>
      </c>
      <c r="AI25" s="225">
        <f t="shared" si="17"/>
        <v>2.4977435240965011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20.604419658217004</v>
      </c>
      <c r="C26" s="841"/>
      <c r="D26" s="393">
        <f t="shared" si="0"/>
        <v>22.071350522346528</v>
      </c>
      <c r="E26" s="385">
        <f t="shared" si="1"/>
        <v>23.287714807506084</v>
      </c>
      <c r="F26" s="385">
        <f t="shared" si="2"/>
        <v>23.289718818441816</v>
      </c>
      <c r="G26" s="110">
        <f t="shared" si="21"/>
        <v>0.82841537235966123</v>
      </c>
      <c r="H26" s="414" t="b">
        <f>Wh_hp&gt;='2026'!Maxi_hp</f>
        <v>0</v>
      </c>
      <c r="I26" s="390">
        <f>IF(H26,Wh_hp,'2026'!Maxi_hp)</f>
        <v>27.969146072299974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6.646312207512195E-2</v>
      </c>
      <c r="M26" s="845"/>
      <c r="N26" s="845"/>
      <c r="O26" s="48">
        <f>IF(t&lt;Tnet,'2026'!Resal+('2026'!Salim-'2026'!Resal)*(1-EXP(('2026'!Tnet-t)/('2026'!Tau_j))),Resal+(Salim-Resal)*(1-EXP((Tnet-t)/(Tau_j))))*Salcycl</f>
        <v>5.2232015687838036E-2</v>
      </c>
      <c r="P26" s="169">
        <f>(INDEX(Models!$BJ26:$BT26,,T26)*(1-R26)+INDEX(Models!$BJ26:$BT26,,T26+1)*R26-ERP_i)*Q26*Ramure*Pc/MaxiM</f>
        <v>1.1398282497640587E-4</v>
      </c>
      <c r="Q26" s="305">
        <f t="shared" si="4"/>
        <v>0.5</v>
      </c>
      <c r="R26" s="177">
        <f t="shared" si="5"/>
        <v>0.9727999574501931</v>
      </c>
      <c r="S26" s="811">
        <f t="shared" si="6"/>
        <v>-2</v>
      </c>
      <c r="T26" s="176">
        <f t="shared" si="7"/>
        <v>4</v>
      </c>
      <c r="U26" s="251">
        <f t="shared" si="8"/>
        <v>-1.0272000425498069</v>
      </c>
      <c r="V26" s="383">
        <f t="shared" si="9"/>
        <v>24.871392655326353</v>
      </c>
      <c r="W26" s="402">
        <f t="shared" si="10"/>
        <v>20.604419658217004</v>
      </c>
      <c r="X26" s="157">
        <f t="shared" si="11"/>
        <v>46399</v>
      </c>
      <c r="Y26" s="385">
        <f t="shared" si="12"/>
        <v>19.984916395446543</v>
      </c>
      <c r="Z26" s="385">
        <f t="shared" si="22"/>
        <v>21.407741748639022</v>
      </c>
      <c r="AA26" s="386">
        <f t="shared" si="13"/>
        <v>23.272126301906027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8.0112342511406379E-2</v>
      </c>
      <c r="AD26" s="231">
        <f>(INDEX(Models!$BJ26:$BT26,,AH26)*(1-AF26)+INDEX(Models!$BJ26:$BT26,,AH26+1)*AF26-ERP_i)*AE26*Ramure*Pc/MaxiM</f>
        <v>1.0006156640367451E-3</v>
      </c>
      <c r="AE26" s="305">
        <f t="shared" si="15"/>
        <v>0.5</v>
      </c>
      <c r="AF26" s="177">
        <f t="shared" si="23"/>
        <v>0.49778752382417224</v>
      </c>
      <c r="AG26" s="811">
        <f t="shared" si="24"/>
        <v>2</v>
      </c>
      <c r="AH26" s="176">
        <f t="shared" si="16"/>
        <v>8</v>
      </c>
      <c r="AI26" s="225">
        <f t="shared" si="17"/>
        <v>2.4977875238241722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4.9618934057524644</v>
      </c>
      <c r="C27" s="841"/>
      <c r="D27" s="393">
        <f t="shared" si="0"/>
        <v>5.3152716337919443</v>
      </c>
      <c r="E27" s="385">
        <f t="shared" si="1"/>
        <v>5.6085126904406097</v>
      </c>
      <c r="F27" s="385">
        <f t="shared" si="2"/>
        <v>5.6085126904406097</v>
      </c>
      <c r="G27" s="110">
        <f t="shared" si="21"/>
        <v>0.19776744221439319</v>
      </c>
      <c r="H27" s="414" t="b">
        <f>Wh_hp&gt;='2026'!Maxi_hp</f>
        <v>0</v>
      </c>
      <c r="I27" s="390">
        <f>IF(H27,Wh_hp,'2026'!Maxi_hp)</f>
        <v>16.029400800100351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6.6483568928607739E-2</v>
      </c>
      <c r="M27" s="845"/>
      <c r="N27" s="845"/>
      <c r="O27" s="48">
        <f>IF(t&lt;Tnet,'2026'!Resal+('2026'!Salim-'2026'!Resal)*(1-EXP(('2026'!Tnet-t)/('2026'!Tau_j))),Resal+(Salim-Resal)*(1-EXP((Tnet-t)/(Tau_j))))*Salcycl</f>
        <v>5.2284994763135383E-2</v>
      </c>
      <c r="P27" s="169">
        <f>(INDEX(Models!$BJ27:$BT27,,T27)*(1-R27)+INDEX(Models!$BJ27:$BT27,,T27+1)*R27-ERP_i)*Q27*Ramure*Pc/MaxiM</f>
        <v>1.1142350722238254E-4</v>
      </c>
      <c r="Q27" s="305">
        <f t="shared" si="4"/>
        <v>0.5</v>
      </c>
      <c r="R27" s="177">
        <f t="shared" si="5"/>
        <v>0.97284579481466227</v>
      </c>
      <c r="S27" s="811">
        <f t="shared" si="6"/>
        <v>-2</v>
      </c>
      <c r="T27" s="176">
        <f t="shared" si="7"/>
        <v>4</v>
      </c>
      <c r="U27" s="251">
        <f t="shared" si="8"/>
        <v>-1.0271542051853377</v>
      </c>
      <c r="V27" s="383">
        <f t="shared" si="9"/>
        <v>25.086740661834039</v>
      </c>
      <c r="W27" s="402">
        <f t="shared" si="10"/>
        <v>4.9618934057524644</v>
      </c>
      <c r="X27" s="157">
        <f t="shared" si="11"/>
        <v>46400</v>
      </c>
      <c r="Y27" s="385">
        <f t="shared" si="12"/>
        <v>4.8160754135492843</v>
      </c>
      <c r="Z27" s="385">
        <f t="shared" si="22"/>
        <v>5.1590687140042064</v>
      </c>
      <c r="AA27" s="386">
        <f t="shared" si="13"/>
        <v>5.6085126904406097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8.013603627971734E-2</v>
      </c>
      <c r="AD27" s="231">
        <f>(INDEX(Models!$BJ27:$BT27,,AH27)*(1-AF27)+INDEX(Models!$BJ27:$BT27,,AH27+1)*AF27-ERP_i)*AE27*Ramure*Pc/MaxiM</f>
        <v>9.8857853874348965E-4</v>
      </c>
      <c r="AE27" s="305">
        <f t="shared" si="15"/>
        <v>0.5</v>
      </c>
      <c r="AF27" s="177">
        <f t="shared" si="23"/>
        <v>0.49783336118864119</v>
      </c>
      <c r="AG27" s="811">
        <f t="shared" si="24"/>
        <v>2</v>
      </c>
      <c r="AH27" s="176">
        <f t="shared" si="16"/>
        <v>8</v>
      </c>
      <c r="AI27" s="225">
        <f t="shared" si="17"/>
        <v>2.4978333611886412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24.531173479369102</v>
      </c>
      <c r="C28" s="841"/>
      <c r="D28" s="393">
        <f t="shared" si="0"/>
        <v>26.278820565203532</v>
      </c>
      <c r="E28" s="385">
        <f t="shared" si="1"/>
        <v>27.730161005746531</v>
      </c>
      <c r="F28" s="385">
        <f t="shared" si="2"/>
        <v>27.733039689692088</v>
      </c>
      <c r="G28" s="110">
        <f t="shared" si="21"/>
        <v>0.96930653327272809</v>
      </c>
      <c r="H28" s="414" t="b">
        <f>Wh_hp&gt;='2026'!Maxi_hp</f>
        <v>0</v>
      </c>
      <c r="I28" s="390">
        <f>IF(H28,Wh_hp,'2026'!Maxi_hp)</f>
        <v>27.813666688911876</v>
      </c>
      <c r="J28" s="85">
        <f>IF(H28,An,'2026'!An_max)</f>
        <v>2020</v>
      </c>
      <c r="K28" s="197">
        <f t="shared" si="3"/>
        <v>46401</v>
      </c>
      <c r="L28" s="147">
        <f>IF(t&lt;Tvie,1-EXP((T0-t)*PertePVj)+'2026'!Pspv,1-EXP((T0-t)*PertePVj)+Pspv)</f>
        <v>6.6504015334254984E-2</v>
      </c>
      <c r="M28" s="845"/>
      <c r="N28" s="845"/>
      <c r="O28" s="48">
        <f>IF(t&lt;Tnet,'2026'!Resal+('2026'!Salim-'2026'!Resal)*(1-EXP(('2026'!Tnet-t)/('2026'!Tau_j))),Resal+(Salim-Resal)*(1-EXP((Tnet-t)/(Tau_j))))*Salcycl</f>
        <v>5.23379738127824E-2</v>
      </c>
      <c r="P28" s="169">
        <f>(INDEX(Models!$BJ28:$BT28,,T28)*(1-R28)+INDEX(Models!$BJ28:$BT28,,T28+1)*R28-ERP_i)*Q28*Ramure*Pc/MaxiM</f>
        <v>1.085591650789529E-4</v>
      </c>
      <c r="Q28" s="305">
        <f t="shared" si="4"/>
        <v>0.5</v>
      </c>
      <c r="R28" s="177">
        <f t="shared" si="5"/>
        <v>0.97289354620505186</v>
      </c>
      <c r="S28" s="811">
        <f t="shared" si="6"/>
        <v>-2</v>
      </c>
      <c r="T28" s="176">
        <f t="shared" si="7"/>
        <v>4</v>
      </c>
      <c r="U28" s="251">
        <f t="shared" si="8"/>
        <v>-1.0271064537949481</v>
      </c>
      <c r="V28" s="383">
        <f t="shared" si="9"/>
        <v>25.30784212460469</v>
      </c>
      <c r="W28" s="402">
        <f t="shared" si="10"/>
        <v>24.531173479369102</v>
      </c>
      <c r="X28" s="157">
        <f t="shared" si="11"/>
        <v>46401</v>
      </c>
      <c r="Y28" s="385">
        <f t="shared" si="12"/>
        <v>23.791228576101702</v>
      </c>
      <c r="Z28" s="385">
        <f t="shared" si="22"/>
        <v>25.486160590846652</v>
      </c>
      <c r="AA28" s="386">
        <f t="shared" si="13"/>
        <v>27.707160831762973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8.0159791701580982E-2</v>
      </c>
      <c r="AD28" s="231">
        <f>(INDEX(Models!$BJ28:$BT28,,AH28)*(1-AF28)+INDEX(Models!$BJ28:$BT28,,AH28+1)*AF28-ERP_i)*AE28*Ramure*Pc/MaxiM</f>
        <v>9.7592763329213403E-4</v>
      </c>
      <c r="AE28" s="305">
        <f t="shared" si="15"/>
        <v>0.5</v>
      </c>
      <c r="AF28" s="177">
        <f t="shared" si="23"/>
        <v>0.49788111257903056</v>
      </c>
      <c r="AG28" s="811">
        <f t="shared" si="24"/>
        <v>2</v>
      </c>
      <c r="AH28" s="176">
        <f t="shared" si="16"/>
        <v>8</v>
      </c>
      <c r="AI28" s="225">
        <f t="shared" si="17"/>
        <v>2.4978811125790306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26.067928288682594</v>
      </c>
      <c r="C29" s="841"/>
      <c r="D29" s="393">
        <f t="shared" si="0"/>
        <v>27.925668330596654</v>
      </c>
      <c r="E29" s="385">
        <f t="shared" si="1"/>
        <v>29.469609269943895</v>
      </c>
      <c r="F29" s="385">
        <f t="shared" si="2"/>
        <v>29.472715702164702</v>
      </c>
      <c r="G29" s="110">
        <f t="shared" si="21"/>
        <v>1.0208910053719742</v>
      </c>
      <c r="H29" s="414" t="b">
        <f>Wh_hp&gt;='2026'!Maxi_hp</f>
        <v>1</v>
      </c>
      <c r="I29" s="390">
        <f>IF(H29,Wh_hp,'2026'!Maxi_hp)</f>
        <v>29.472715702164702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6.6524461292073456E-2</v>
      </c>
      <c r="M29" s="845"/>
      <c r="N29" s="845"/>
      <c r="O29" s="48">
        <f>IF(t&lt;Tnet,'2026'!Resal+('2026'!Salim-'2026'!Resal)*(1-EXP(('2026'!Tnet-t)/('2026'!Tau_j))),Resal+(Salim-Resal)*(1-EXP((Tnet-t)/(Tau_j))))*Salcycl</f>
        <v>5.239095385366746E-2</v>
      </c>
      <c r="P29" s="169">
        <f>(INDEX(Models!$BJ29:$BT29,,T29)*(1-R29)+INDEX(Models!$BJ29:$BT29,,T29+1)*R29-ERP_i)*Q29*Ramure*Pc/MaxiM</f>
        <v>1.0540027095561374E-4</v>
      </c>
      <c r="Q29" s="305">
        <f t="shared" si="4"/>
        <v>0.5</v>
      </c>
      <c r="R29" s="177">
        <f t="shared" si="5"/>
        <v>0.97294329115522404</v>
      </c>
      <c r="S29" s="811">
        <f t="shared" si="6"/>
        <v>-2</v>
      </c>
      <c r="T29" s="176">
        <f t="shared" si="7"/>
        <v>4</v>
      </c>
      <c r="U29" s="251">
        <f t="shared" si="8"/>
        <v>-1.027056708844776</v>
      </c>
      <c r="V29" s="383">
        <f t="shared" si="9"/>
        <v>25.534487179837992</v>
      </c>
      <c r="W29" s="402">
        <f t="shared" si="10"/>
        <v>26.067928288682594</v>
      </c>
      <c r="X29" s="157">
        <f t="shared" si="11"/>
        <v>46402</v>
      </c>
      <c r="Y29" s="385">
        <f t="shared" si="12"/>
        <v>25.281680984226252</v>
      </c>
      <c r="Z29" s="385">
        <f t="shared" si="22"/>
        <v>27.083388836540891</v>
      </c>
      <c r="AA29" s="386">
        <f t="shared" si="13"/>
        <v>29.444342515822164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8.0183610077643727E-2</v>
      </c>
      <c r="AD29" s="231">
        <f>(INDEX(Models!$BJ29:$BT29,,AH29)*(1-AF29)+INDEX(Models!$BJ29:$BT29,,AH29+1)*AF29-ERP_i)*AE29*Ramure*Pc/MaxiM</f>
        <v>9.6269331368252888E-4</v>
      </c>
      <c r="AE29" s="305">
        <f t="shared" si="15"/>
        <v>0.5</v>
      </c>
      <c r="AF29" s="177">
        <f t="shared" si="23"/>
        <v>0.49793085752920296</v>
      </c>
      <c r="AG29" s="811">
        <f t="shared" si="24"/>
        <v>2</v>
      </c>
      <c r="AH29" s="176">
        <f t="shared" si="16"/>
        <v>8</v>
      </c>
      <c r="AI29" s="225">
        <f t="shared" si="17"/>
        <v>2.497930857529203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25.602692887212715</v>
      </c>
      <c r="C30" s="841"/>
      <c r="D30" s="393">
        <f t="shared" si="0"/>
        <v>27.427878506185401</v>
      </c>
      <c r="E30" s="385">
        <f t="shared" si="1"/>
        <v>28.945916301913016</v>
      </c>
      <c r="F30" s="385">
        <f t="shared" si="2"/>
        <v>28.948842858555938</v>
      </c>
      <c r="G30" s="110">
        <f t="shared" si="21"/>
        <v>0.9936430852905429</v>
      </c>
      <c r="H30" s="414" t="b">
        <f>Wh_hp&gt;='2026'!Maxi_hp</f>
        <v>0</v>
      </c>
      <c r="I30" s="390">
        <f>IF(H30,Wh_hp,'2026'!Maxi_hp)</f>
        <v>29.178076379468706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6.6544906802072923E-2</v>
      </c>
      <c r="M30" s="845"/>
      <c r="N30" s="845"/>
      <c r="O30" s="48">
        <f>IF(t&lt;Tnet,'2026'!Resal+('2026'!Salim-'2026'!Resal)*(1-EXP(('2026'!Tnet-t)/('2026'!Tau_j))),Resal+(Salim-Resal)*(1-EXP((Tnet-t)/(Tau_j))))*Salcycl</f>
        <v>5.2443936474289167E-2</v>
      </c>
      <c r="P30" s="169">
        <f>(INDEX(Models!$BJ30:$BT30,,T30)*(1-R30)+INDEX(Models!$BJ30:$BT30,,T30+1)*R30-ERP_i)*Q30*Ramure*Pc/MaxiM</f>
        <v>1.0202042485071556E-4</v>
      </c>
      <c r="Q30" s="305">
        <f t="shared" si="4"/>
        <v>0.5</v>
      </c>
      <c r="R30" s="177">
        <f t="shared" si="5"/>
        <v>0.97299511247061732</v>
      </c>
      <c r="S30" s="811">
        <f t="shared" si="6"/>
        <v>-2</v>
      </c>
      <c r="T30" s="176">
        <f t="shared" si="7"/>
        <v>4</v>
      </c>
      <c r="U30" s="251">
        <f t="shared" si="8"/>
        <v>-1.0270048875293827</v>
      </c>
      <c r="V30" s="383">
        <f t="shared" si="9"/>
        <v>25.766464384353966</v>
      </c>
      <c r="W30" s="402">
        <f t="shared" si="10"/>
        <v>25.602692887212715</v>
      </c>
      <c r="X30" s="157">
        <f t="shared" si="11"/>
        <v>46403</v>
      </c>
      <c r="Y30" s="385">
        <f t="shared" si="12"/>
        <v>24.831687420254426</v>
      </c>
      <c r="Z30" s="385">
        <f t="shared" si="22"/>
        <v>26.601908973664134</v>
      </c>
      <c r="AA30" s="386">
        <f t="shared" si="13"/>
        <v>28.92164133539114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8.0207493579846439E-2</v>
      </c>
      <c r="AD30" s="231">
        <f>(INDEX(Models!$BJ30:$BT30,,AH30)*(1-AF30)+INDEX(Models!$BJ30:$BT30,,AH30+1)*AF30-ERP_i)*AE30*Ramure*Pc/MaxiM</f>
        <v>9.4825123462808443E-4</v>
      </c>
      <c r="AE30" s="305">
        <f t="shared" si="15"/>
        <v>0.5</v>
      </c>
      <c r="AF30" s="177">
        <f t="shared" si="23"/>
        <v>0.49798267884459646</v>
      </c>
      <c r="AG30" s="811">
        <f t="shared" si="24"/>
        <v>2</v>
      </c>
      <c r="AH30" s="176">
        <f t="shared" si="16"/>
        <v>8</v>
      </c>
      <c r="AI30" s="225">
        <f t="shared" si="17"/>
        <v>2.4979826788445965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13.105679752612495</v>
      </c>
      <c r="C31" s="841"/>
      <c r="D31" s="393">
        <f t="shared" si="0"/>
        <v>14.040275640921694</v>
      </c>
      <c r="E31" s="385">
        <f t="shared" si="1"/>
        <v>14.818184755754036</v>
      </c>
      <c r="F31" s="385">
        <f t="shared" si="2"/>
        <v>14.818610420980558</v>
      </c>
      <c r="G31" s="110">
        <f t="shared" si="21"/>
        <v>0.50396038911727081</v>
      </c>
      <c r="H31" s="414" t="b">
        <f>Wh_hp&gt;='2026'!Maxi_hp</f>
        <v>0</v>
      </c>
      <c r="I31" s="390">
        <f>IF(H31,Wh_hp,'2026'!Maxi_hp)</f>
        <v>14.819141293469157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6.6565351864263378E-2</v>
      </c>
      <c r="M31" s="845"/>
      <c r="N31" s="845"/>
      <c r="O31" s="48">
        <f>IF(t&lt;Tnet,'2026'!Resal+('2026'!Salim-'2026'!Resal)*(1-EXP(('2026'!Tnet-t)/('2026'!Tau_j))),Resal+(Salim-Resal)*(1-EXP((Tnet-t)/(Tau_j))))*Salcycl</f>
        <v>5.2496923722743644E-2</v>
      </c>
      <c r="P31" s="169">
        <f>(INDEX(Models!$BJ31:$BT31,,T31)*(1-R31)+INDEX(Models!$BJ31:$BT31,,T31+1)*R31-ERP_i)*Q31*Ramure*Pc/MaxiM</f>
        <v>9.8568455555982405E-5</v>
      </c>
      <c r="Q31" s="305">
        <f t="shared" si="4"/>
        <v>0.5</v>
      </c>
      <c r="R31" s="177">
        <f t="shared" si="5"/>
        <v>0.97304909635997139</v>
      </c>
      <c r="S31" s="811">
        <f t="shared" si="6"/>
        <v>-2</v>
      </c>
      <c r="T31" s="176">
        <f t="shared" si="7"/>
        <v>4</v>
      </c>
      <c r="U31" s="251">
        <f t="shared" si="8"/>
        <v>-1.0269509036400286</v>
      </c>
      <c r="V31" s="383">
        <f t="shared" si="9"/>
        <v>26.003560327189845</v>
      </c>
      <c r="W31" s="402">
        <f t="shared" si="10"/>
        <v>13.105679752612495</v>
      </c>
      <c r="X31" s="157">
        <f t="shared" si="11"/>
        <v>46404</v>
      </c>
      <c r="Y31" s="385">
        <f t="shared" si="12"/>
        <v>12.718968216474847</v>
      </c>
      <c r="Z31" s="385">
        <f t="shared" si="22"/>
        <v>13.625986823905965</v>
      </c>
      <c r="AA31" s="386">
        <f t="shared" si="13"/>
        <v>14.814582158713726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8.0231445077149618E-2</v>
      </c>
      <c r="AD31" s="231">
        <f>(INDEX(Models!$BJ31:$BT31,,AH31)*(1-AF31)+INDEX(Models!$BJ31:$BT31,,AH31+1)*AF31-ERP_i)*AE31*Ramure*Pc/MaxiM</f>
        <v>9.3279780793713676E-4</v>
      </c>
      <c r="AE31" s="305">
        <f t="shared" si="15"/>
        <v>0.5</v>
      </c>
      <c r="AF31" s="177">
        <f t="shared" si="23"/>
        <v>0.49803666273395031</v>
      </c>
      <c r="AG31" s="811">
        <f t="shared" si="24"/>
        <v>2</v>
      </c>
      <c r="AH31" s="176">
        <f t="shared" si="16"/>
        <v>8</v>
      </c>
      <c r="AI31" s="225">
        <f t="shared" si="17"/>
        <v>2.4980366627339503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3.4601065095143224</v>
      </c>
      <c r="C32" s="841"/>
      <c r="D32" s="393">
        <f t="shared" si="0"/>
        <v>3.7069357809865333</v>
      </c>
      <c r="E32" s="385">
        <f t="shared" si="1"/>
        <v>3.9125394059222303</v>
      </c>
      <c r="F32" s="385">
        <f t="shared" si="2"/>
        <v>3.9125394059222303</v>
      </c>
      <c r="G32" s="110">
        <f t="shared" si="21"/>
        <v>0.13182332296129876</v>
      </c>
      <c r="H32" s="414" t="b">
        <f>Wh_hp&gt;='2026'!Maxi_hp</f>
        <v>0</v>
      </c>
      <c r="I32" s="390">
        <f>IF(H32,Wh_hp,'2026'!Maxi_hp)</f>
        <v>28.469265740450702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6.6585796478654369E-2</v>
      </c>
      <c r="M32" s="845"/>
      <c r="N32" s="845"/>
      <c r="O32" s="48">
        <f>IF(t&lt;Tnet,'2026'!Resal+('2026'!Salim-'2026'!Resal)*(1-EXP(('2026'!Tnet-t)/('2026'!Tau_j))),Resal+(Salim-Resal)*(1-EXP((Tnet-t)/(Tau_j))))*Salcycl</f>
        <v>5.2549917995582153E-2</v>
      </c>
      <c r="P32" s="169">
        <f>(INDEX(Models!$BJ32:$BT32,,T32)*(1-R32)+INDEX(Models!$BJ32:$BT32,,T32+1)*R32-ERP_i)*Q32*Ramure*Pc/MaxiM</f>
        <v>9.5048999560981079E-5</v>
      </c>
      <c r="Q32" s="305">
        <f t="shared" si="4"/>
        <v>0.5</v>
      </c>
      <c r="R32" s="177">
        <f t="shared" si="5"/>
        <v>0.97310533257211307</v>
      </c>
      <c r="S32" s="811">
        <f t="shared" si="6"/>
        <v>-2</v>
      </c>
      <c r="T32" s="176">
        <f t="shared" si="7"/>
        <v>4</v>
      </c>
      <c r="U32" s="251">
        <f t="shared" si="8"/>
        <v>-1.0268946674278869</v>
      </c>
      <c r="V32" s="383">
        <f t="shared" si="9"/>
        <v>26.245565292478283</v>
      </c>
      <c r="W32" s="402">
        <f t="shared" si="10"/>
        <v>3.4601065095143224</v>
      </c>
      <c r="X32" s="157">
        <f t="shared" si="11"/>
        <v>46405</v>
      </c>
      <c r="Y32" s="385">
        <f t="shared" si="12"/>
        <v>3.3589252909847716</v>
      </c>
      <c r="Z32" s="385">
        <f t="shared" si="22"/>
        <v>3.5985367249749145</v>
      </c>
      <c r="AA32" s="386">
        <f t="shared" si="13"/>
        <v>3.9125394059222303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8.0255467963344776E-2</v>
      </c>
      <c r="AD32" s="231">
        <f>(INDEX(Models!$BJ32:$BT32,,AH32)*(1-AF32)+INDEX(Models!$BJ32:$BT32,,AH32+1)*AF32-ERP_i)*AE32*Ramure*Pc/MaxiM</f>
        <v>9.1637542385552087E-4</v>
      </c>
      <c r="AE32" s="305">
        <f t="shared" si="15"/>
        <v>0.5</v>
      </c>
      <c r="AF32" s="177">
        <f t="shared" si="23"/>
        <v>0.49809289894609199</v>
      </c>
      <c r="AG32" s="811">
        <f t="shared" si="24"/>
        <v>2</v>
      </c>
      <c r="AH32" s="176">
        <f t="shared" si="16"/>
        <v>8</v>
      </c>
      <c r="AI32" s="225">
        <f t="shared" si="17"/>
        <v>2.498092898946092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10.008403540373466</v>
      </c>
      <c r="C33" s="841"/>
      <c r="D33" s="393">
        <f t="shared" si="0"/>
        <v>10.722595303500084</v>
      </c>
      <c r="E33" s="385">
        <f t="shared" si="1"/>
        <v>11.317952684980986</v>
      </c>
      <c r="F33" s="385">
        <f t="shared" si="2"/>
        <v>11.31806772178315</v>
      </c>
      <c r="G33" s="110">
        <f t="shared" si="21"/>
        <v>0.37775509482564784</v>
      </c>
      <c r="H33" s="414" t="b">
        <f>Wh_hp&gt;='2026'!Maxi_hp</f>
        <v>0</v>
      </c>
      <c r="I33" s="390">
        <f>IF(H33,Wh_hp,'2026'!Maxi_hp)</f>
        <v>30.474199442688686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6.6606240645255888E-2</v>
      </c>
      <c r="M33" s="845"/>
      <c r="N33" s="845"/>
      <c r="O33" s="48">
        <f>IF(t&lt;Tnet,'2026'!Resal+('2026'!Salim-'2026'!Resal)*(1-EXP(('2026'!Tnet-t)/('2026'!Tau_j))),Resal+(Salim-Resal)*(1-EXP((Tnet-t)/(Tau_j))))*Salcycl</f>
        <v>5.2602921928711209E-2</v>
      </c>
      <c r="P33" s="169">
        <f>(INDEX(Models!$BJ33:$BT33,,T33)*(1-R33)+INDEX(Models!$BJ33:$BT33,,T33+1)*R33-ERP_i)*Q33*Ramure*Pc/MaxiM</f>
        <v>9.1466523684992663E-5</v>
      </c>
      <c r="Q33" s="305">
        <f t="shared" si="4"/>
        <v>0.5</v>
      </c>
      <c r="R33" s="177">
        <f t="shared" si="5"/>
        <v>0.97316391453797402</v>
      </c>
      <c r="S33" s="811">
        <f t="shared" si="6"/>
        <v>-2</v>
      </c>
      <c r="T33" s="176">
        <f t="shared" si="7"/>
        <v>4</v>
      </c>
      <c r="U33" s="251">
        <f t="shared" si="8"/>
        <v>-1.026836085462026</v>
      </c>
      <c r="V33" s="383">
        <f t="shared" si="9"/>
        <v>26.492269623053534</v>
      </c>
      <c r="W33" s="402">
        <f t="shared" si="10"/>
        <v>10.008403540373466</v>
      </c>
      <c r="X33" s="157">
        <f t="shared" si="11"/>
        <v>46406</v>
      </c>
      <c r="Y33" s="385">
        <f t="shared" si="12"/>
        <v>9.7151526214814172</v>
      </c>
      <c r="Z33" s="385">
        <f t="shared" si="22"/>
        <v>10.408418230905584</v>
      </c>
      <c r="AA33" s="386">
        <f t="shared" si="13"/>
        <v>11.316937023471635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8.0279565988726362E-2</v>
      </c>
      <c r="AD33" s="231">
        <f>(INDEX(Models!$BJ33:$BT33,,AH33)*(1-AF33)+INDEX(Models!$BJ33:$BT33,,AH33+1)*AF33-ERP_i)*AE33*Ramure*Pc/MaxiM</f>
        <v>8.9902571998129975E-4</v>
      </c>
      <c r="AE33" s="305">
        <f t="shared" si="15"/>
        <v>0.5</v>
      </c>
      <c r="AF33" s="177">
        <f t="shared" si="23"/>
        <v>0.49815148091195294</v>
      </c>
      <c r="AG33" s="811">
        <f t="shared" si="24"/>
        <v>2</v>
      </c>
      <c r="AH33" s="176">
        <f t="shared" si="16"/>
        <v>8</v>
      </c>
      <c r="AI33" s="225">
        <f t="shared" si="17"/>
        <v>2.4981514809119529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6.2959583576119629</v>
      </c>
      <c r="C34" s="841"/>
      <c r="D34" s="393">
        <f t="shared" si="0"/>
        <v>6.7453807090279039</v>
      </c>
      <c r="E34" s="385">
        <f t="shared" si="1"/>
        <v>7.1203071636534823</v>
      </c>
      <c r="F34" s="385">
        <f t="shared" si="2"/>
        <v>7.1203071636534823</v>
      </c>
      <c r="G34" s="110">
        <f t="shared" si="21"/>
        <v>0.23539977768062706</v>
      </c>
      <c r="H34" s="414" t="b">
        <f>Wh_hp&gt;='2026'!Maxi_hp</f>
        <v>0</v>
      </c>
      <c r="I34" s="390">
        <f>IF(H34,Wh_hp,'2026'!Maxi_hp)</f>
        <v>12.344744575403277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6.6626684364077704E-2</v>
      </c>
      <c r="M34" s="845"/>
      <c r="N34" s="845"/>
      <c r="O34" s="48">
        <f>IF(t&lt;Tnet,'2026'!Resal+('2026'!Salim-'2026'!Resal)*(1-EXP(('2026'!Tnet-t)/('2026'!Tau_j))),Resal+(Salim-Resal)*(1-EXP((Tnet-t)/(Tau_j))))*Salcycl</f>
        <v>5.2655938291459939E-2</v>
      </c>
      <c r="P34" s="169">
        <f>(INDEX(Models!$BJ34:$BT34,,T34)*(1-R34)+INDEX(Models!$BJ34:$BT34,,T34+1)*R34-ERP_i)*Q34*Ramure*Pc/MaxiM</f>
        <v>8.7825808303699385E-5</v>
      </c>
      <c r="Q34" s="305">
        <f t="shared" si="4"/>
        <v>0.5</v>
      </c>
      <c r="R34" s="177">
        <f t="shared" si="5"/>
        <v>0.97322493951801681</v>
      </c>
      <c r="S34" s="811">
        <f t="shared" si="6"/>
        <v>-2</v>
      </c>
      <c r="T34" s="176">
        <f t="shared" si="7"/>
        <v>4</v>
      </c>
      <c r="U34" s="251">
        <f t="shared" si="8"/>
        <v>-1.0267750604819832</v>
      </c>
      <c r="V34" s="383">
        <f t="shared" si="9"/>
        <v>26.743463702507391</v>
      </c>
      <c r="W34" s="402">
        <f t="shared" si="10"/>
        <v>6.2959583576119629</v>
      </c>
      <c r="X34" s="157">
        <f t="shared" si="11"/>
        <v>46407</v>
      </c>
      <c r="Y34" s="385">
        <f t="shared" si="12"/>
        <v>6.1122136815508528</v>
      </c>
      <c r="Z34" s="385">
        <f t="shared" si="22"/>
        <v>6.5485198464094756</v>
      </c>
      <c r="AA34" s="386">
        <f t="shared" si="13"/>
        <v>7.1203071636534823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8.0303743097315847E-2</v>
      </c>
      <c r="AD34" s="231">
        <f>(INDEX(Models!$BJ34:$BT34,,AH34)*(1-AF34)+INDEX(Models!$BJ34:$BT34,,AH34+1)*AF34-ERP_i)*AE34*Ramure*Pc/MaxiM</f>
        <v>8.8079437273946501E-4</v>
      </c>
      <c r="AE34" s="305">
        <f t="shared" si="15"/>
        <v>0.5</v>
      </c>
      <c r="AF34" s="177">
        <f t="shared" si="23"/>
        <v>0.49821250589199551</v>
      </c>
      <c r="AG34" s="811">
        <f t="shared" si="24"/>
        <v>2</v>
      </c>
      <c r="AH34" s="176">
        <f t="shared" si="16"/>
        <v>8</v>
      </c>
      <c r="AI34" s="225">
        <f t="shared" si="17"/>
        <v>2.4982125058919955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20.110578367072726</v>
      </c>
      <c r="C35" s="841"/>
      <c r="D35" s="393">
        <f t="shared" si="0"/>
        <v>21.546597179390272</v>
      </c>
      <c r="E35" s="385">
        <f t="shared" si="1"/>
        <v>22.745488444846629</v>
      </c>
      <c r="F35" s="385">
        <f t="shared" si="2"/>
        <v>22.746704653996339</v>
      </c>
      <c r="G35" s="110">
        <f t="shared" si="21"/>
        <v>0.74484269283756877</v>
      </c>
      <c r="H35" s="414" t="b">
        <f>Wh_hp&gt;='2026'!Maxi_hp</f>
        <v>0</v>
      </c>
      <c r="I35" s="390">
        <f>IF(H35,Wh_hp,'2026'!Maxi_hp)</f>
        <v>22.747062321791933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6.6647127635129588E-2</v>
      </c>
      <c r="M35" s="845"/>
      <c r="N35" s="845"/>
      <c r="O35" s="48">
        <f>IF(t&lt;Tnet,'2026'!Resal+('2026'!Salim-'2026'!Resal)*(1-EXP(('2026'!Tnet-t)/('2026'!Tau_j))),Resal+(Salim-Resal)*(1-EXP((Tnet-t)/(Tau_j))))*Salcycl</f>
        <v>5.2708969884882162E-2</v>
      </c>
      <c r="P35" s="169">
        <f>(INDEX(Models!$BJ35:$BT35,,T35)*(1-R35)+INDEX(Models!$BJ35:$BT35,,T35+1)*R35-ERP_i)*Q35*Ramure*Pc/MaxiM</f>
        <v>8.413158229330854E-5</v>
      </c>
      <c r="Q35" s="305">
        <f t="shared" si="4"/>
        <v>0.5</v>
      </c>
      <c r="R35" s="177">
        <f t="shared" si="5"/>
        <v>0.97328850875525297</v>
      </c>
      <c r="S35" s="811">
        <f t="shared" si="6"/>
        <v>-2</v>
      </c>
      <c r="T35" s="176">
        <f t="shared" si="7"/>
        <v>4</v>
      </c>
      <c r="U35" s="251">
        <f t="shared" si="8"/>
        <v>-1.026711491244747</v>
      </c>
      <c r="V35" s="383">
        <f t="shared" si="9"/>
        <v>26.998937970122117</v>
      </c>
      <c r="W35" s="402">
        <f t="shared" si="10"/>
        <v>20.110578367072726</v>
      </c>
      <c r="X35" s="157">
        <f t="shared" si="11"/>
        <v>46408</v>
      </c>
      <c r="Y35" s="385">
        <f t="shared" si="12"/>
        <v>19.514589250550749</v>
      </c>
      <c r="Z35" s="385">
        <f t="shared" si="22"/>
        <v>20.908050779450562</v>
      </c>
      <c r="AA35" s="386">
        <f t="shared" si="13"/>
        <v>22.734247485864095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8.0328003271233947E-2</v>
      </c>
      <c r="AD35" s="231">
        <f>(INDEX(Models!$BJ35:$BT35,,AH35)*(1-AF35)+INDEX(Models!$BJ35:$BT35,,AH35+1)*AF35-ERP_i)*AE35*Ramure*Pc/MaxiM</f>
        <v>8.6172782544119333E-4</v>
      </c>
      <c r="AE35" s="305">
        <f t="shared" si="15"/>
        <v>0.5</v>
      </c>
      <c r="AF35" s="177">
        <f t="shared" si="23"/>
        <v>0.49827607512923189</v>
      </c>
      <c r="AG35" s="811">
        <f t="shared" si="24"/>
        <v>2</v>
      </c>
      <c r="AH35" s="176">
        <f t="shared" si="16"/>
        <v>8</v>
      </c>
      <c r="AI35" s="225">
        <f t="shared" si="17"/>
        <v>2.4982760751292319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27.13489929143687</v>
      </c>
      <c r="C36" s="841"/>
      <c r="D36" s="393">
        <f t="shared" si="0"/>
        <v>29.073134536603018</v>
      </c>
      <c r="E36" s="385">
        <f t="shared" si="1"/>
        <v>30.692534646444081</v>
      </c>
      <c r="F36" s="385">
        <f t="shared" si="2"/>
        <v>30.694986170980791</v>
      </c>
      <c r="G36" s="110">
        <f t="shared" si="21"/>
        <v>0.9954657131304866</v>
      </c>
      <c r="H36" s="414" t="b">
        <f>Wh_hp&gt;='2026'!Maxi_hp</f>
        <v>0</v>
      </c>
      <c r="I36" s="390">
        <f>IF(H36,Wh_hp,'2026'!Maxi_hp)</f>
        <v>30.694994365394528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6.6667570458421421E-2</v>
      </c>
      <c r="M36" s="845"/>
      <c r="N36" s="845"/>
      <c r="O36" s="48">
        <f>IF(t&lt;Tnet,'2026'!Resal+('2026'!Salim-'2026'!Resal)*(1-EXP(('2026'!Tnet-t)/('2026'!Tau_j))),Resal+(Salim-Resal)*(1-EXP((Tnet-t)/(Tau_j))))*Salcycl</f>
        <v>5.2762019445294642E-2</v>
      </c>
      <c r="P36" s="169">
        <f>(INDEX(Models!$BJ36:$BT36,,T36)*(1-R36)+INDEX(Models!$BJ36:$BT36,,T36+1)*R36-ERP_i)*Q36*Ramure*Pc/MaxiM</f>
        <v>8.0387920574815096E-5</v>
      </c>
      <c r="Q36" s="305">
        <f t="shared" si="4"/>
        <v>0.5</v>
      </c>
      <c r="R36" s="177">
        <f t="shared" si="5"/>
        <v>0.97335472763403508</v>
      </c>
      <c r="S36" s="811">
        <f t="shared" si="6"/>
        <v>-2</v>
      </c>
      <c r="T36" s="176">
        <f t="shared" si="7"/>
        <v>4</v>
      </c>
      <c r="U36" s="251">
        <f t="shared" si="8"/>
        <v>-1.0266452723659649</v>
      </c>
      <c r="V36" s="383">
        <f t="shared" si="9"/>
        <v>27.258482943614659</v>
      </c>
      <c r="W36" s="402">
        <f t="shared" si="10"/>
        <v>27.13489929143687</v>
      </c>
      <c r="X36" s="157">
        <f t="shared" si="11"/>
        <v>46409</v>
      </c>
      <c r="Y36" s="385">
        <f t="shared" si="12"/>
        <v>26.324604867982046</v>
      </c>
      <c r="Z36" s="385">
        <f t="shared" si="22"/>
        <v>28.204961099349998</v>
      </c>
      <c r="AA36" s="386">
        <f t="shared" si="13"/>
        <v>30.669312438430076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8.0352350383705834E-2</v>
      </c>
      <c r="AD36" s="231">
        <f>(INDEX(Models!$BJ36:$BT36,,AH36)*(1-AF36)+INDEX(Models!$BJ36:$BT36,,AH36+1)*AF36-ERP_i)*AE36*Ramure*Pc/MaxiM</f>
        <v>8.4186714929467726E-4</v>
      </c>
      <c r="AE36" s="305">
        <f t="shared" si="15"/>
        <v>0.5</v>
      </c>
      <c r="AF36" s="177">
        <f t="shared" si="23"/>
        <v>0.498342294008014</v>
      </c>
      <c r="AG36" s="811">
        <f t="shared" si="24"/>
        <v>2</v>
      </c>
      <c r="AH36" s="176">
        <f t="shared" si="16"/>
        <v>8</v>
      </c>
      <c r="AI36" s="225">
        <f t="shared" si="17"/>
        <v>2.498342294008014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27.19771910969877</v>
      </c>
      <c r="C37" s="841"/>
      <c r="D37" s="393">
        <f t="shared" si="0"/>
        <v>29.141079814353944</v>
      </c>
      <c r="E37" s="385">
        <f t="shared" si="1"/>
        <v>30.765988238380601</v>
      </c>
      <c r="F37" s="385">
        <f t="shared" si="2"/>
        <v>30.76830486345478</v>
      </c>
      <c r="G37" s="110">
        <f t="shared" si="21"/>
        <v>0.98812755511236461</v>
      </c>
      <c r="H37" s="414" t="b">
        <f>Wh_hp&gt;='2026'!Maxi_hp</f>
        <v>0</v>
      </c>
      <c r="I37" s="390">
        <f>IF(H37,Wh_hp,'2026'!Maxi_hp)</f>
        <v>30.768325353150228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6.6688012833962862E-2</v>
      </c>
      <c r="M37" s="845"/>
      <c r="N37" s="845"/>
      <c r="O37" s="48">
        <f>IF(t&lt;Tnet,'2026'!Resal+('2026'!Salim-'2026'!Resal)*(1-EXP(('2026'!Tnet-t)/('2026'!Tau_j))),Resal+(Salim-Resal)*(1-EXP((Tnet-t)/(Tau_j))))*Salcycl</f>
        <v>5.2815089553976416E-2</v>
      </c>
      <c r="P37" s="169">
        <f>(INDEX(Models!$BJ37:$BT37,,T37)*(1-R37)+INDEX(Models!$BJ37:$BT37,,T37+1)*R37-ERP_i)*Q37*Ramure*Pc/MaxiM</f>
        <v>7.659148035078813E-5</v>
      </c>
      <c r="Q37" s="305">
        <f t="shared" si="4"/>
        <v>0.5</v>
      </c>
      <c r="R37" s="177">
        <f t="shared" si="5"/>
        <v>0.9734237058448123</v>
      </c>
      <c r="S37" s="811">
        <f t="shared" si="6"/>
        <v>-2</v>
      </c>
      <c r="T37" s="176">
        <f t="shared" si="7"/>
        <v>4</v>
      </c>
      <c r="U37" s="251">
        <f t="shared" si="8"/>
        <v>-1.0265762941551877</v>
      </c>
      <c r="V37" s="383">
        <f t="shared" si="9"/>
        <v>27.524466491409239</v>
      </c>
      <c r="W37" s="402">
        <f t="shared" si="10"/>
        <v>27.19771910969877</v>
      </c>
      <c r="X37" s="157">
        <f t="shared" si="11"/>
        <v>46410</v>
      </c>
      <c r="Y37" s="385">
        <f t="shared" si="12"/>
        <v>26.386975461316737</v>
      </c>
      <c r="Z37" s="385">
        <f t="shared" si="22"/>
        <v>28.272406038027739</v>
      </c>
      <c r="AA37" s="386">
        <f t="shared" si="13"/>
        <v>30.743467184183828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8.0376788062061666E-2</v>
      </c>
      <c r="AD37" s="231">
        <f>(INDEX(Models!$BJ37:$BT37,,AH37)*(1-AF37)+INDEX(Models!$BJ37:$BT37,,AH37+1)*AF37-ERP_i)*AE37*Ramure*Pc/MaxiM</f>
        <v>8.2117501232515516E-4</v>
      </c>
      <c r="AE37" s="305">
        <f t="shared" si="15"/>
        <v>0.5</v>
      </c>
      <c r="AF37" s="177">
        <f t="shared" si="23"/>
        <v>0.498411272218791</v>
      </c>
      <c r="AG37" s="811">
        <f t="shared" si="24"/>
        <v>2</v>
      </c>
      <c r="AH37" s="176">
        <f t="shared" si="16"/>
        <v>8</v>
      </c>
      <c r="AI37" s="225">
        <f t="shared" si="17"/>
        <v>2.498411272218791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27.809208108710262</v>
      </c>
      <c r="C38" s="841"/>
      <c r="D38" s="393">
        <f t="shared" si="0"/>
        <v>29.79691421249462</v>
      </c>
      <c r="E38" s="385">
        <f t="shared" si="1"/>
        <v>31.460155454221582</v>
      </c>
      <c r="F38" s="385">
        <f t="shared" si="2"/>
        <v>31.46244680579083</v>
      </c>
      <c r="G38" s="110">
        <f t="shared" si="21"/>
        <v>1.0003758637461395</v>
      </c>
      <c r="H38" s="414" t="b">
        <f>Wh_hp&gt;='2026'!Maxi_hp</f>
        <v>1</v>
      </c>
      <c r="I38" s="390">
        <f>IF(H38,Wh_hp,'2026'!Maxi_hp)</f>
        <v>31.46244680579083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6.6708454761763902E-2</v>
      </c>
      <c r="M38" s="845"/>
      <c r="N38" s="845"/>
      <c r="O38" s="48">
        <f>IF(t&lt;Tnet,'2026'!Resal+('2026'!Salim-'2026'!Resal)*(1-EXP(('2026'!Tnet-t)/('2026'!Tau_j))),Resal+(Salim-Resal)*(1-EXP((Tnet-t)/(Tau_j))))*Salcycl</f>
        <v>5.2868182553871518E-2</v>
      </c>
      <c r="P38" s="169">
        <f>(INDEX(Models!$BJ38:$BT38,,T38)*(1-R38)+INDEX(Models!$BJ38:$BT38,,T38+1)*R38-ERP_i)*Q38*Ramure*Pc/MaxiM</f>
        <v>7.2828142813933288E-5</v>
      </c>
      <c r="Q38" s="305">
        <f t="shared" si="4"/>
        <v>0.5</v>
      </c>
      <c r="R38" s="177">
        <f t="shared" si="5"/>
        <v>0.97349555755504169</v>
      </c>
      <c r="S38" s="811">
        <f t="shared" si="6"/>
        <v>-2</v>
      </c>
      <c r="T38" s="176">
        <f t="shared" si="7"/>
        <v>4</v>
      </c>
      <c r="U38" s="251">
        <f t="shared" si="8"/>
        <v>-1.0265044424449583</v>
      </c>
      <c r="V38" s="383">
        <f t="shared" si="9"/>
        <v>27.798759562802957</v>
      </c>
      <c r="W38" s="402">
        <f t="shared" si="10"/>
        <v>27.809208108710262</v>
      </c>
      <c r="X38" s="157">
        <f t="shared" si="11"/>
        <v>46411</v>
      </c>
      <c r="Y38" s="385">
        <f t="shared" si="12"/>
        <v>26.981171830415864</v>
      </c>
      <c r="Z38" s="385">
        <f t="shared" si="22"/>
        <v>28.909692762220974</v>
      </c>
      <c r="AA38" s="386">
        <f t="shared" si="13"/>
        <v>31.437292568156153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8.0401319561960796E-2</v>
      </c>
      <c r="AD38" s="231">
        <f>(INDEX(Models!$BJ38:$BT38,,AH38)*(1-AF38)+INDEX(Models!$BJ38:$BT38,,AH38+1)*AF38-ERP_i)*AE38*Ramure*Pc/MaxiM</f>
        <v>7.9950036276411939E-4</v>
      </c>
      <c r="AE38" s="305">
        <f t="shared" si="15"/>
        <v>0.5</v>
      </c>
      <c r="AF38" s="177">
        <f t="shared" si="23"/>
        <v>0.49848312392902061</v>
      </c>
      <c r="AG38" s="811">
        <f t="shared" si="24"/>
        <v>2</v>
      </c>
      <c r="AH38" s="176">
        <f t="shared" si="16"/>
        <v>8</v>
      </c>
      <c r="AI38" s="225">
        <f t="shared" si="17"/>
        <v>2.4984831239290206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26.484931445281656</v>
      </c>
      <c r="C39" s="841"/>
      <c r="D39" s="393">
        <f t="shared" si="0"/>
        <v>28.378604393332395</v>
      </c>
      <c r="E39" s="385">
        <f t="shared" si="1"/>
        <v>29.964357141108664</v>
      </c>
      <c r="F39" s="385">
        <f t="shared" si="2"/>
        <v>29.966264255267529</v>
      </c>
      <c r="G39" s="110">
        <f t="shared" si="21"/>
        <v>0.94317660253097091</v>
      </c>
      <c r="H39" s="414" t="b">
        <f>Wh_hp&gt;='2026'!Maxi_hp</f>
        <v>0</v>
      </c>
      <c r="I39" s="390">
        <f>IF(H39,Wh_hp,'2026'!Maxi_hp)</f>
        <v>29.966350611851741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6.6728896241834201E-2</v>
      </c>
      <c r="M39" s="845"/>
      <c r="N39" s="845"/>
      <c r="O39" s="48">
        <f>IF(t&lt;Tnet,'2026'!Resal+('2026'!Salim-'2026'!Resal)*(1-EXP(('2026'!Tnet-t)/('2026'!Tau_j))),Resal+(Salim-Resal)*(1-EXP((Tnet-t)/(Tau_j))))*Salcycl</f>
        <v>5.2921300474047119E-2</v>
      </c>
      <c r="P39" s="169">
        <f>(INDEX(Models!$BJ39:$BT39,,T39)*(1-R39)+INDEX(Models!$BJ39:$BT39,,T39+1)*R39-ERP_i)*Q39*Ramure*Pc/MaxiM</f>
        <v>6.9264117862519487E-5</v>
      </c>
      <c r="Q39" s="305">
        <f t="shared" si="4"/>
        <v>0.5</v>
      </c>
      <c r="R39" s="177">
        <f t="shared" si="5"/>
        <v>0.97357040158644992</v>
      </c>
      <c r="S39" s="811">
        <f t="shared" si="6"/>
        <v>-2</v>
      </c>
      <c r="T39" s="176">
        <f t="shared" si="7"/>
        <v>4</v>
      </c>
      <c r="U39" s="251">
        <f t="shared" si="8"/>
        <v>-1.0264295984135501</v>
      </c>
      <c r="V39" s="383">
        <f t="shared" si="9"/>
        <v>28.08040664321101</v>
      </c>
      <c r="W39" s="402">
        <f t="shared" si="10"/>
        <v>26.484931445281656</v>
      </c>
      <c r="X39" s="157">
        <f t="shared" si="11"/>
        <v>46412</v>
      </c>
      <c r="Y39" s="385">
        <f t="shared" si="12"/>
        <v>25.699036441851558</v>
      </c>
      <c r="Z39" s="385">
        <f t="shared" si="22"/>
        <v>27.536517886779905</v>
      </c>
      <c r="AA39" s="386">
        <f t="shared" si="13"/>
        <v>29.94486177217264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8.0425947653923635E-2</v>
      </c>
      <c r="AD39" s="231">
        <f>(INDEX(Models!$BJ39:$BT39,,AH39)*(1-AF39)+INDEX(Models!$BJ39:$BT39,,AH39+1)*AF39-ERP_i)*AE39*Ramure*Pc/MaxiM</f>
        <v>7.7731272915460621E-4</v>
      </c>
      <c r="AE39" s="305">
        <f t="shared" si="15"/>
        <v>0.5</v>
      </c>
      <c r="AF39" s="177">
        <f t="shared" si="23"/>
        <v>0.49855796796042906</v>
      </c>
      <c r="AG39" s="811">
        <f t="shared" si="24"/>
        <v>2</v>
      </c>
      <c r="AH39" s="176">
        <f t="shared" si="16"/>
        <v>8</v>
      </c>
      <c r="AI39" s="225">
        <f t="shared" si="17"/>
        <v>2.4985579679604291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27.430125630857521</v>
      </c>
      <c r="C40" s="841"/>
      <c r="D40" s="393">
        <f t="shared" si="0"/>
        <v>29.392023736409964</v>
      </c>
      <c r="E40" s="385">
        <f t="shared" si="1"/>
        <v>31.036146363809639</v>
      </c>
      <c r="F40" s="385">
        <f t="shared" si="2"/>
        <v>31.038095080634619</v>
      </c>
      <c r="G40" s="110">
        <f t="shared" si="21"/>
        <v>0.96692041307435572</v>
      </c>
      <c r="H40" s="414" t="b">
        <f>Wh_hp&gt;='2026'!Maxi_hp</f>
        <v>0</v>
      </c>
      <c r="I40" s="390">
        <f>IF(H40,Wh_hp,'2026'!Maxi_hp)</f>
        <v>31.038144615723596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6.6749337274183751E-2</v>
      </c>
      <c r="M40" s="845"/>
      <c r="N40" s="845"/>
      <c r="O40" s="48">
        <f>IF(t&lt;Tnet,'2026'!Resal+('2026'!Salim-'2026'!Resal)*(1-EXP(('2026'!Tnet-t)/('2026'!Tau_j))),Resal+(Salim-Resal)*(1-EXP((Tnet-t)/(Tau_j))))*Salcycl</f>
        <v>5.2974444962562754E-2</v>
      </c>
      <c r="P40" s="169">
        <f>(INDEX(Models!$BJ40:$BT40,,T40)*(1-R40)+INDEX(Models!$BJ40:$BT40,,T40+1)*R40-ERP_i)*Q40*Ramure*Pc/MaxiM</f>
        <v>6.5898532654061996E-5</v>
      </c>
      <c r="Q40" s="305">
        <f t="shared" si="4"/>
        <v>0.5</v>
      </c>
      <c r="R40" s="177">
        <f t="shared" si="5"/>
        <v>0.97364836159884272</v>
      </c>
      <c r="S40" s="811">
        <f t="shared" si="6"/>
        <v>-2</v>
      </c>
      <c r="T40" s="176">
        <f t="shared" si="7"/>
        <v>4</v>
      </c>
      <c r="U40" s="251">
        <f t="shared" si="8"/>
        <v>-1.0263516384011573</v>
      </c>
      <c r="V40" s="383">
        <f t="shared" si="9"/>
        <v>28.368457053122683</v>
      </c>
      <c r="W40" s="402">
        <f t="shared" si="10"/>
        <v>27.430125630857521</v>
      </c>
      <c r="X40" s="157">
        <f t="shared" si="11"/>
        <v>46413</v>
      </c>
      <c r="Y40" s="385">
        <f t="shared" si="12"/>
        <v>26.616811035392118</v>
      </c>
      <c r="Z40" s="385">
        <f t="shared" si="22"/>
        <v>28.520538048856427</v>
      </c>
      <c r="AA40" s="386">
        <f t="shared" si="13"/>
        <v>31.015778336920814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8.0450674523104948E-2</v>
      </c>
      <c r="AD40" s="231">
        <f>(INDEX(Models!$BJ40:$BT40,,AH40)*(1-AF40)+INDEX(Models!$BJ40:$BT40,,AH40+1)*AF40-ERP_i)*AE40*Ramure*Pc/MaxiM</f>
        <v>7.5467130242042816E-4</v>
      </c>
      <c r="AE40" s="305">
        <f t="shared" si="15"/>
        <v>0.5</v>
      </c>
      <c r="AF40" s="177">
        <f t="shared" si="23"/>
        <v>0.49863592797282141</v>
      </c>
      <c r="AG40" s="811">
        <f t="shared" si="24"/>
        <v>2</v>
      </c>
      <c r="AH40" s="176">
        <f t="shared" si="16"/>
        <v>8</v>
      </c>
      <c r="AI40" s="225">
        <f t="shared" si="17"/>
        <v>2.4986359279728214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25.55715330494959</v>
      </c>
      <c r="C41" s="841"/>
      <c r="D41" s="393">
        <f t="shared" si="0"/>
        <v>27.38568972435543</v>
      </c>
      <c r="E41" s="385">
        <f t="shared" si="1"/>
        <v>28.91920632806654</v>
      </c>
      <c r="F41" s="385">
        <f t="shared" si="2"/>
        <v>28.92073977403156</v>
      </c>
      <c r="G41" s="110">
        <f t="shared" si="21"/>
        <v>0.89166633467873146</v>
      </c>
      <c r="H41" s="414" t="b">
        <f>Wh_hp&gt;='2026'!Maxi_hp</f>
        <v>0</v>
      </c>
      <c r="I41" s="390">
        <f>IF(H41,Wh_hp,'2026'!Maxi_hp)</f>
        <v>28.920883648600167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6.6769777858822099E-2</v>
      </c>
      <c r="M41" s="845"/>
      <c r="N41" s="845"/>
      <c r="O41" s="48">
        <f>IF(t&lt;Tnet,'2026'!Resal+('2026'!Salim-'2026'!Resal)*(1-EXP(('2026'!Tnet-t)/('2026'!Tau_j))),Resal+(Salim-Resal)*(1-EXP((Tnet-t)/(Tau_j))))*Salcycl</f>
        <v>5.3027617228305741E-2</v>
      </c>
      <c r="P41" s="169">
        <f>(INDEX(Models!$BJ41:$BT41,,T41)*(1-R41)+INDEX(Models!$BJ41:$BT41,,T41+1)*R41-ERP_i)*Q41*Ramure*Pc/MaxiM</f>
        <v>6.2729800521931284E-5</v>
      </c>
      <c r="Q41" s="305">
        <f t="shared" si="4"/>
        <v>0.5</v>
      </c>
      <c r="R41" s="177">
        <f t="shared" si="5"/>
        <v>0.97372956628066443</v>
      </c>
      <c r="S41" s="811">
        <f t="shared" si="6"/>
        <v>-2</v>
      </c>
      <c r="T41" s="176">
        <f t="shared" si="7"/>
        <v>4</v>
      </c>
      <c r="U41" s="251">
        <f t="shared" si="8"/>
        <v>-1.0262704337193356</v>
      </c>
      <c r="V41" s="383">
        <f t="shared" si="9"/>
        <v>28.661960425516998</v>
      </c>
      <c r="W41" s="402">
        <f t="shared" si="10"/>
        <v>25.55715330494959</v>
      </c>
      <c r="X41" s="157">
        <f t="shared" si="11"/>
        <v>46414</v>
      </c>
      <c r="Y41" s="385">
        <f t="shared" si="12"/>
        <v>24.802350553274586</v>
      </c>
      <c r="Z41" s="385">
        <f t="shared" si="22"/>
        <v>26.576883136477033</v>
      </c>
      <c r="AA41" s="386">
        <f t="shared" si="13"/>
        <v>28.902854883282551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8.0475501683083248E-2</v>
      </c>
      <c r="AD41" s="231">
        <f>(INDEX(Models!$BJ41:$BT41,,AH41)*(1-AF41)+INDEX(Models!$BJ41:$BT41,,AH41+1)*AF41-ERP_i)*AE41*Ramure*Pc/MaxiM</f>
        <v>7.3163036366145266E-4</v>
      </c>
      <c r="AE41" s="305">
        <f t="shared" si="15"/>
        <v>0.5</v>
      </c>
      <c r="AF41" s="177">
        <f t="shared" si="23"/>
        <v>0.49871713265464335</v>
      </c>
      <c r="AG41" s="811">
        <f t="shared" si="24"/>
        <v>2</v>
      </c>
      <c r="AH41" s="176">
        <f t="shared" si="16"/>
        <v>8</v>
      </c>
      <c r="AI41" s="225">
        <f t="shared" si="17"/>
        <v>2.4987171326546433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4.1744984278042283</v>
      </c>
      <c r="C42" s="841"/>
      <c r="D42" s="393">
        <f t="shared" si="0"/>
        <v>4.4732690422926344</v>
      </c>
      <c r="E42" s="385">
        <f t="shared" si="1"/>
        <v>4.7240241060572279</v>
      </c>
      <c r="F42" s="385">
        <f t="shared" si="2"/>
        <v>4.7240241060572279</v>
      </c>
      <c r="G42" s="110">
        <f t="shared" si="21"/>
        <v>0.1441385973066612</v>
      </c>
      <c r="H42" s="414" t="b">
        <f>Wh_hp&gt;='2026'!Maxi_hp</f>
        <v>0</v>
      </c>
      <c r="I42" s="390">
        <f>IF(H42,Wh_hp,'2026'!Maxi_hp)</f>
        <v>18.517028420857695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6.6790217995759238E-2</v>
      </c>
      <c r="M42" s="845"/>
      <c r="N42" s="845"/>
      <c r="O42" s="48">
        <f>IF(t&lt;Tnet,'2026'!Resal+('2026'!Salim-'2026'!Resal)*(1-EXP(('2026'!Tnet-t)/('2026'!Tau_j))),Resal+(Salim-Resal)*(1-EXP((Tnet-t)/(Tau_j))))*Salcycl</f>
        <v>5.3080817992243345E-2</v>
      </c>
      <c r="P42" s="169">
        <f>(INDEX(Models!$BJ42:$BT42,,T42)*(1-R42)+INDEX(Models!$BJ42:$BT42,,T42+1)*R42-ERP_i)*Q42*Ramure*Pc/MaxiM</f>
        <v>5.9755727652618491E-5</v>
      </c>
      <c r="Q42" s="305">
        <f t="shared" si="4"/>
        <v>0.5</v>
      </c>
      <c r="R42" s="177">
        <f t="shared" si="5"/>
        <v>0.97381414954651047</v>
      </c>
      <c r="S42" s="811">
        <f t="shared" si="6"/>
        <v>-2</v>
      </c>
      <c r="T42" s="176">
        <f t="shared" si="7"/>
        <v>4</v>
      </c>
      <c r="U42" s="251">
        <f t="shared" si="8"/>
        <v>-1.0261858504534895</v>
      </c>
      <c r="V42" s="383">
        <f t="shared" si="9"/>
        <v>28.959966696027937</v>
      </c>
      <c r="W42" s="402">
        <f t="shared" si="10"/>
        <v>4.1744984278042283</v>
      </c>
      <c r="X42" s="157">
        <f t="shared" si="11"/>
        <v>46415</v>
      </c>
      <c r="Y42" s="385">
        <f t="shared" si="12"/>
        <v>4.0536189177122468</v>
      </c>
      <c r="Z42" s="385">
        <f t="shared" si="22"/>
        <v>4.3437381346414412</v>
      </c>
      <c r="AA42" s="386">
        <f t="shared" si="13"/>
        <v>4.7240241060572279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8.0500429904279525E-2</v>
      </c>
      <c r="AD42" s="231">
        <f>(INDEX(Models!$BJ42:$BT42,,AH42)*(1-AF42)+INDEX(Models!$BJ42:$BT42,,AH42+1)*AF42-ERP_i)*AE42*Ramure*Pc/MaxiM</f>
        <v>7.0823926655118449E-4</v>
      </c>
      <c r="AE42" s="305">
        <f t="shared" si="15"/>
        <v>0.5</v>
      </c>
      <c r="AF42" s="177">
        <f t="shared" si="23"/>
        <v>0.49880171592048939</v>
      </c>
      <c r="AG42" s="811">
        <f t="shared" si="24"/>
        <v>2</v>
      </c>
      <c r="AH42" s="176">
        <f t="shared" si="16"/>
        <v>8</v>
      </c>
      <c r="AI42" s="225">
        <f t="shared" si="17"/>
        <v>2.4988017159204894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9.1538710371538787</v>
      </c>
      <c r="C43" s="841"/>
      <c r="D43" s="393">
        <f t="shared" si="0"/>
        <v>9.8092322983946136</v>
      </c>
      <c r="E43" s="385">
        <f t="shared" si="1"/>
        <v>10.359684253046808</v>
      </c>
      <c r="F43" s="385">
        <f t="shared" si="2"/>
        <v>10.359695070755169</v>
      </c>
      <c r="G43" s="110">
        <f t="shared" si="21"/>
        <v>0.31281208742811339</v>
      </c>
      <c r="H43" s="414" t="b">
        <f>Wh_hp&gt;='2026'!Maxi_hp</f>
        <v>0</v>
      </c>
      <c r="I43" s="390">
        <f>IF(H43,Wh_hp,'2026'!Maxi_hp)</f>
        <v>20.355528257182332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6.6810657685004826E-2</v>
      </c>
      <c r="M43" s="845"/>
      <c r="N43" s="845"/>
      <c r="O43" s="48">
        <f>IF(t&lt;Tnet,'2026'!Resal+('2026'!Salim-'2026'!Resal)*(1-EXP(('2026'!Tnet-t)/('2026'!Tau_j))),Resal+(Salim-Resal)*(1-EXP((Tnet-t)/(Tau_j))))*Salcycl</f>
        <v>5.3134047448435084E-2</v>
      </c>
      <c r="P43" s="169">
        <f>(INDEX(Models!$BJ43:$BT43,,T43)*(1-R43)+INDEX(Models!$BJ43:$BT43,,T43+1)*R43-ERP_i)*Q43*Ramure*Pc/MaxiM</f>
        <v>5.6973613886005138E-5</v>
      </c>
      <c r="Q43" s="305">
        <f t="shared" si="4"/>
        <v>0.5</v>
      </c>
      <c r="R43" s="177">
        <f t="shared" si="5"/>
        <v>0.97390225074179559</v>
      </c>
      <c r="S43" s="811">
        <f t="shared" si="6"/>
        <v>-2</v>
      </c>
      <c r="T43" s="176">
        <f t="shared" si="7"/>
        <v>4</v>
      </c>
      <c r="U43" s="251">
        <f t="shared" si="8"/>
        <v>-1.0260977492582044</v>
      </c>
      <c r="V43" s="383">
        <f t="shared" si="9"/>
        <v>29.261526117280546</v>
      </c>
      <c r="W43" s="402">
        <f t="shared" si="10"/>
        <v>9.1538710371538787</v>
      </c>
      <c r="X43" s="157">
        <f t="shared" si="11"/>
        <v>46416</v>
      </c>
      <c r="Y43" s="385">
        <f t="shared" si="12"/>
        <v>8.8889610361367115</v>
      </c>
      <c r="Z43" s="385">
        <f t="shared" si="22"/>
        <v>9.5253563591773958</v>
      </c>
      <c r="AA43" s="386">
        <f t="shared" si="13"/>
        <v>10.359565095134633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8.0525459157452739E-2</v>
      </c>
      <c r="AD43" s="231">
        <f>(INDEX(Models!$BJ43:$BT43,,AH43)*(1-AF43)+INDEX(Models!$BJ43:$BT43,,AH43+1)*AF43-ERP_i)*AE43*Ramure*Pc/MaxiM</f>
        <v>6.8454247170402784E-4</v>
      </c>
      <c r="AE43" s="305">
        <f t="shared" si="15"/>
        <v>0.5</v>
      </c>
      <c r="AF43" s="177">
        <f t="shared" si="23"/>
        <v>0.49888981711577474</v>
      </c>
      <c r="AG43" s="811">
        <f t="shared" si="24"/>
        <v>2</v>
      </c>
      <c r="AH43" s="176">
        <f t="shared" si="16"/>
        <v>8</v>
      </c>
      <c r="AI43" s="225">
        <f t="shared" si="17"/>
        <v>2.4988898171157747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4.3540365534924943</v>
      </c>
      <c r="C44" s="841"/>
      <c r="D44" s="393">
        <f t="shared" si="0"/>
        <v>4.6658611738478335</v>
      </c>
      <c r="E44" s="385">
        <f t="shared" si="1"/>
        <v>4.9279664284667222</v>
      </c>
      <c r="F44" s="385">
        <f t="shared" si="2"/>
        <v>4.9279664284667222</v>
      </c>
      <c r="G44" s="110">
        <f t="shared" si="21"/>
        <v>0.14725852464935504</v>
      </c>
      <c r="H44" s="414" t="b">
        <f>Wh_hp&gt;='2026'!Maxi_hp</f>
        <v>0</v>
      </c>
      <c r="I44" s="390">
        <f>IF(H44,Wh_hp,'2026'!Maxi_hp)</f>
        <v>12.271638358981564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6.6831096926568856E-2</v>
      </c>
      <c r="M44" s="845"/>
      <c r="N44" s="845"/>
      <c r="O44" s="48">
        <f>IF(t&lt;Tnet,'2026'!Resal+('2026'!Salim-'2026'!Resal)*(1-EXP(('2026'!Tnet-t)/('2026'!Tau_j))),Resal+(Salim-Resal)*(1-EXP((Tnet-t)/(Tau_j))))*Salcycl</f>
        <v>5.3187305235039915E-2</v>
      </c>
      <c r="P44" s="169">
        <f>(INDEX(Models!$BJ44:$BT44,,T44)*(1-R44)+INDEX(Models!$BJ44:$BT44,,T44+1)*R44-ERP_i)*Q44*Ramure*Pc/MaxiM</f>
        <v>5.4510177201786635E-5</v>
      </c>
      <c r="Q44" s="305">
        <f t="shared" si="4"/>
        <v>0.5</v>
      </c>
      <c r="R44" s="177">
        <f t="shared" si="5"/>
        <v>0.9739940148547892</v>
      </c>
      <c r="S44" s="811">
        <f t="shared" si="6"/>
        <v>-2</v>
      </c>
      <c r="T44" s="176">
        <f t="shared" si="7"/>
        <v>4</v>
      </c>
      <c r="U44" s="251">
        <f t="shared" si="8"/>
        <v>-1.0260059851452108</v>
      </c>
      <c r="V44" s="383">
        <f t="shared" si="9"/>
        <v>29.56568541315675</v>
      </c>
      <c r="W44" s="402">
        <f t="shared" si="10"/>
        <v>4.3540365534924943</v>
      </c>
      <c r="X44" s="157">
        <f t="shared" si="11"/>
        <v>46417</v>
      </c>
      <c r="Y44" s="385">
        <f t="shared" si="12"/>
        <v>4.228203073931172</v>
      </c>
      <c r="Z44" s="385">
        <f t="shared" si="22"/>
        <v>4.5310158321879426</v>
      </c>
      <c r="AA44" s="386">
        <f t="shared" si="13"/>
        <v>4.9279664284667222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8.055058857255358E-2</v>
      </c>
      <c r="AD44" s="231">
        <f>(INDEX(Models!$BJ44:$BT44,,AH44)*(1-AF44)+INDEX(Models!$BJ44:$BT44,,AH44+1)*AF44-ERP_i)*AE44*Ramure*Pc/MaxiM</f>
        <v>6.6105039056752314E-4</v>
      </c>
      <c r="AE44" s="305">
        <f t="shared" si="15"/>
        <v>0.5</v>
      </c>
      <c r="AF44" s="177">
        <f t="shared" si="23"/>
        <v>0.4989815812287679</v>
      </c>
      <c r="AG44" s="811">
        <f t="shared" si="24"/>
        <v>2</v>
      </c>
      <c r="AH44" s="176">
        <f t="shared" si="16"/>
        <v>8</v>
      </c>
      <c r="AI44" s="225">
        <f t="shared" si="17"/>
        <v>2.4989815812287679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8.9053788661486948</v>
      </c>
      <c r="C45" s="841"/>
      <c r="D45" s="393">
        <f t="shared" si="0"/>
        <v>9.5433676494600679</v>
      </c>
      <c r="E45" s="385">
        <f t="shared" si="1"/>
        <v>10.080034645388698</v>
      </c>
      <c r="F45" s="385">
        <f t="shared" si="2"/>
        <v>10.080034645388698</v>
      </c>
      <c r="G45" s="110">
        <f t="shared" si="21"/>
        <v>0.29810735823435075</v>
      </c>
      <c r="H45" s="414" t="b">
        <f>Wh_hp&gt;='2026'!Maxi_hp</f>
        <v>0</v>
      </c>
      <c r="I45" s="390">
        <f>IF(H45,Wh_hp,'2026'!Maxi_hp)</f>
        <v>23.585730416186674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6.6851535720461097E-2</v>
      </c>
      <c r="M45" s="845"/>
      <c r="N45" s="845"/>
      <c r="O45" s="48">
        <f>IF(t&lt;Tnet,'2026'!Resal+('2026'!Salim-'2026'!Resal)*(1-EXP(('2026'!Tnet-t)/('2026'!Tau_j))),Resal+(Salim-Resal)*(1-EXP((Tnet-t)/(Tau_j))))*Salcycl</f>
        <v>5.3240590415444537E-2</v>
      </c>
      <c r="P45" s="169">
        <f>(INDEX(Models!$BJ45:$BT45,,T45)*(1-R45)+INDEX(Models!$BJ45:$BT45,,T45+1)*R45-ERP_i)*Q45*Ramure*Pc/MaxiM</f>
        <v>5.2303527434454805E-5</v>
      </c>
      <c r="Q45" s="305">
        <f t="shared" si="4"/>
        <v>0.5</v>
      </c>
      <c r="R45" s="177">
        <f t="shared" si="5"/>
        <v>0.9740895927362192</v>
      </c>
      <c r="S45" s="811">
        <f t="shared" si="6"/>
        <v>-2</v>
      </c>
      <c r="T45" s="176">
        <f t="shared" si="7"/>
        <v>4</v>
      </c>
      <c r="U45" s="251">
        <f t="shared" si="8"/>
        <v>-1.0259104072637808</v>
      </c>
      <c r="V45" s="383">
        <f t="shared" si="9"/>
        <v>29.871497088040503</v>
      </c>
      <c r="W45" s="402">
        <f t="shared" si="10"/>
        <v>8.9053788661486948</v>
      </c>
      <c r="X45" s="157">
        <f t="shared" si="11"/>
        <v>46418</v>
      </c>
      <c r="Y45" s="385">
        <f t="shared" si="12"/>
        <v>8.6482591148833698</v>
      </c>
      <c r="Z45" s="385">
        <f t="shared" si="22"/>
        <v>9.26782762436466</v>
      </c>
      <c r="AA45" s="386">
        <f t="shared" si="13"/>
        <v>10.080034645388698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8.0575816413051574E-2</v>
      </c>
      <c r="AD45" s="231">
        <f>(INDEX(Models!$BJ45:$BT45,,AH45)*(1-AF45)+INDEX(Models!$BJ45:$BT45,,AH45+1)*AF45-ERP_i)*AE45*Ramure*Pc/MaxiM</f>
        <v>6.3834725228111672E-4</v>
      </c>
      <c r="AE45" s="305">
        <f t="shared" si="15"/>
        <v>0.5</v>
      </c>
      <c r="AF45" s="177">
        <f t="shared" si="23"/>
        <v>0.49907715911019812</v>
      </c>
      <c r="AG45" s="811">
        <f t="shared" si="24"/>
        <v>2</v>
      </c>
      <c r="AH45" s="176">
        <f t="shared" si="16"/>
        <v>8</v>
      </c>
      <c r="AI45" s="225">
        <f t="shared" si="17"/>
        <v>2.4990771591101981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12.928661395251101</v>
      </c>
      <c r="C46" s="841"/>
      <c r="D46" s="393">
        <f t="shared" si="0"/>
        <v>13.855184964914043</v>
      </c>
      <c r="E46" s="385">
        <f t="shared" si="1"/>
        <v>14.635149162365007</v>
      </c>
      <c r="F46" s="385">
        <f t="shared" si="2"/>
        <v>14.635284336523394</v>
      </c>
      <c r="G46" s="110">
        <f t="shared" si="21"/>
        <v>0.42839567189860994</v>
      </c>
      <c r="H46" s="414" t="b">
        <f>Wh_hp&gt;='2026'!Maxi_hp</f>
        <v>0</v>
      </c>
      <c r="I46" s="390">
        <f>IF(H46,Wh_hp,'2026'!Maxi_hp)</f>
        <v>27.944973498874095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6.6871974066691209E-2</v>
      </c>
      <c r="M46" s="845"/>
      <c r="N46" s="845"/>
      <c r="O46" s="48">
        <f>IF(t&lt;Tnet,'2026'!Resal+('2026'!Salim-'2026'!Resal)*(1-EXP(('2026'!Tnet-t)/('2026'!Tau_j))),Resal+(Salim-Resal)*(1-EXP((Tnet-t)/(Tau_j))))*Salcycl</f>
        <v>5.3293901469530648E-2</v>
      </c>
      <c r="P46" s="169">
        <f>(INDEX(Models!$BJ46:$BT46,,T46)*(1-R46)+INDEX(Models!$BJ46:$BT46,,T46+1)*R46-ERP_i)*Q46*Ramure*Pc/MaxiM</f>
        <v>5.0347811143950718E-5</v>
      </c>
      <c r="Q46" s="305">
        <f t="shared" si="4"/>
        <v>0.5</v>
      </c>
      <c r="R46" s="177">
        <f t="shared" si="5"/>
        <v>0.97418914132665968</v>
      </c>
      <c r="S46" s="811">
        <f t="shared" si="6"/>
        <v>-2</v>
      </c>
      <c r="T46" s="176">
        <f t="shared" si="7"/>
        <v>4</v>
      </c>
      <c r="U46" s="251">
        <f t="shared" si="8"/>
        <v>-1.0258108586733403</v>
      </c>
      <c r="V46" s="383">
        <f t="shared" si="9"/>
        <v>30.178012337801171</v>
      </c>
      <c r="W46" s="402">
        <f t="shared" si="10"/>
        <v>12.928661395251101</v>
      </c>
      <c r="X46" s="157">
        <f t="shared" si="11"/>
        <v>46419</v>
      </c>
      <c r="Y46" s="385">
        <f t="shared" si="12"/>
        <v>12.554437083923849</v>
      </c>
      <c r="Z46" s="385">
        <f t="shared" si="22"/>
        <v>13.454142127353832</v>
      </c>
      <c r="AA46" s="386">
        <f t="shared" si="13"/>
        <v>14.633629335058222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8.0601140065688026E-2</v>
      </c>
      <c r="AD46" s="231">
        <f>(INDEX(Models!$BJ46:$BT46,,AH46)*(1-AF46)+INDEX(Models!$BJ46:$BT46,,AH46+1)*AF46-ERP_i)*AE46*Ramure*Pc/MaxiM</f>
        <v>6.1643218056886789E-4</v>
      </c>
      <c r="AE46" s="305">
        <f t="shared" si="15"/>
        <v>0.5</v>
      </c>
      <c r="AF46" s="177">
        <f t="shared" si="23"/>
        <v>0.49917670770063838</v>
      </c>
      <c r="AG46" s="811">
        <f t="shared" si="24"/>
        <v>2</v>
      </c>
      <c r="AH46" s="176">
        <f t="shared" si="16"/>
        <v>8</v>
      </c>
      <c r="AI46" s="225">
        <f t="shared" si="17"/>
        <v>2.4991767077006384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5.19374890002101</v>
      </c>
      <c r="C47" s="841"/>
      <c r="D47" s="393">
        <f t="shared" si="0"/>
        <v>5.5660772312010121</v>
      </c>
      <c r="E47" s="385">
        <f t="shared" si="1"/>
        <v>5.8797453983195638</v>
      </c>
      <c r="F47" s="385">
        <f t="shared" si="2"/>
        <v>5.8797453983195638</v>
      </c>
      <c r="G47" s="110">
        <f t="shared" si="21"/>
        <v>0.17036636048352452</v>
      </c>
      <c r="H47" s="414" t="b">
        <f>Wh_hp&gt;='2026'!Maxi_hp</f>
        <v>0</v>
      </c>
      <c r="I47" s="390">
        <f>IF(H47,Wh_hp,'2026'!Maxi_hp)</f>
        <v>29.540538398179784</v>
      </c>
      <c r="J47" s="85">
        <f>IF(H47,An,'2026'!An_max)</f>
        <v>2020</v>
      </c>
      <c r="K47" s="197">
        <f t="shared" si="3"/>
        <v>46420</v>
      </c>
      <c r="L47" s="147">
        <f>IF(t&lt;Tvie,1-EXP((T0-t)*PertePVj)+'2026'!Pspv,1-EXP((T0-t)*PertePVj)+Pspv)</f>
        <v>6.6892411965269072E-2</v>
      </c>
      <c r="M47" s="845"/>
      <c r="N47" s="845"/>
      <c r="O47" s="48">
        <f>IF(t&lt;Tnet,'2026'!Resal+('2026'!Salim-'2026'!Resal)*(1-EXP(('2026'!Tnet-t)/('2026'!Tau_j))),Resal+(Salim-Resal)*(1-EXP((Tnet-t)/(Tau_j))))*Salcycl</f>
        <v>5.3347236294993002E-2</v>
      </c>
      <c r="P47" s="169">
        <f>(INDEX(Models!$BJ47:$BT47,,T47)*(1-R47)+INDEX(Models!$BJ47:$BT47,,T47+1)*R47-ERP_i)*Q47*Ramure*Pc/MaxiM</f>
        <v>4.8637117164210797E-5</v>
      </c>
      <c r="Q47" s="305">
        <f t="shared" si="4"/>
        <v>0.5</v>
      </c>
      <c r="R47" s="177">
        <f t="shared" si="5"/>
        <v>0.97429282389190441</v>
      </c>
      <c r="S47" s="811">
        <f t="shared" si="6"/>
        <v>-2</v>
      </c>
      <c r="T47" s="176">
        <f t="shared" si="7"/>
        <v>4</v>
      </c>
      <c r="U47" s="251">
        <f t="shared" si="8"/>
        <v>-1.0257071761080956</v>
      </c>
      <c r="V47" s="383">
        <f t="shared" si="9"/>
        <v>30.484282673570881</v>
      </c>
      <c r="W47" s="402">
        <f t="shared" si="10"/>
        <v>5.19374890002101</v>
      </c>
      <c r="X47" s="157">
        <f t="shared" si="11"/>
        <v>46420</v>
      </c>
      <c r="Y47" s="385">
        <f t="shared" si="12"/>
        <v>5.044082684086959</v>
      </c>
      <c r="Z47" s="385">
        <f t="shared" si="22"/>
        <v>5.4056817764289953</v>
      </c>
      <c r="AA47" s="386">
        <f t="shared" si="13"/>
        <v>5.8797453983195638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8.0626556045446593E-2</v>
      </c>
      <c r="AD47" s="231">
        <f>(INDEX(Models!$BJ47:$BT47,,AH47)*(1-AF47)+INDEX(Models!$BJ47:$BT47,,AH47+1)*AF47-ERP_i)*AE47*Ramure*Pc/MaxiM</f>
        <v>5.9530131294150367E-4</v>
      </c>
      <c r="AE47" s="305">
        <f t="shared" si="15"/>
        <v>0.5</v>
      </c>
      <c r="AF47" s="177">
        <f t="shared" si="23"/>
        <v>0.49928039026588333</v>
      </c>
      <c r="AG47" s="811">
        <f t="shared" si="24"/>
        <v>2</v>
      </c>
      <c r="AH47" s="176">
        <f t="shared" si="16"/>
        <v>8</v>
      </c>
      <c r="AI47" s="225">
        <f t="shared" si="17"/>
        <v>2.4992803902658833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9.7896494092492929</v>
      </c>
      <c r="C48" s="841"/>
      <c r="D48" s="393">
        <f t="shared" si="0"/>
        <v>10.491677442052758</v>
      </c>
      <c r="E48" s="385">
        <f t="shared" si="1"/>
        <v>11.083545326361227</v>
      </c>
      <c r="F48" s="385">
        <f t="shared" si="2"/>
        <v>11.08355873566093</v>
      </c>
      <c r="G48" s="110">
        <f t="shared" si="21"/>
        <v>0.31794098812422306</v>
      </c>
      <c r="H48" s="414" t="b">
        <f>Wh_hp&gt;='2026'!Maxi_hp</f>
        <v>0</v>
      </c>
      <c r="I48" s="390">
        <f>IF(H48,Wh_hp,'2026'!Maxi_hp)</f>
        <v>27.40840746637317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6.6912849416204456E-2</v>
      </c>
      <c r="M48" s="845"/>
      <c r="N48" s="845"/>
      <c r="O48" s="48">
        <f>IF(t&lt;Tnet,'2026'!Resal+('2026'!Salim-'2026'!Resal)*(1-EXP(('2026'!Tnet-t)/('2026'!Tau_j))),Resal+(Salim-Resal)*(1-EXP((Tnet-t)/(Tau_j))))*Salcycl</f>
        <v>5.340059221851718E-2</v>
      </c>
      <c r="P48" s="169">
        <f>(INDEX(Models!$BJ48:$BT48,,T48)*(1-R48)+INDEX(Models!$BJ48:$BT48,,T48+1)*R48-ERP_i)*Q48*Ramure*Pc/MaxiM</f>
        <v>4.7165559212007253E-5</v>
      </c>
      <c r="Q48" s="305">
        <f t="shared" si="4"/>
        <v>0.5</v>
      </c>
      <c r="R48" s="177">
        <f t="shared" si="5"/>
        <v>0.97440081026653758</v>
      </c>
      <c r="S48" s="811">
        <f t="shared" si="6"/>
        <v>-2</v>
      </c>
      <c r="T48" s="176">
        <f t="shared" si="7"/>
        <v>4</v>
      </c>
      <c r="U48" s="251">
        <f t="shared" si="8"/>
        <v>-1.0255991897334624</v>
      </c>
      <c r="V48" s="383">
        <f t="shared" si="9"/>
        <v>30.789359925092981</v>
      </c>
      <c r="W48" s="402">
        <f t="shared" si="10"/>
        <v>9.7896494092492929</v>
      </c>
      <c r="X48" s="157">
        <f t="shared" si="11"/>
        <v>46421</v>
      </c>
      <c r="Y48" s="385">
        <f t="shared" si="12"/>
        <v>9.5076883626431599</v>
      </c>
      <c r="Z48" s="385">
        <f t="shared" si="22"/>
        <v>10.189496615288911</v>
      </c>
      <c r="AA48" s="386">
        <f t="shared" si="13"/>
        <v>11.083395276286119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8.065206001538007E-2</v>
      </c>
      <c r="AD48" s="231">
        <f>(INDEX(Models!$BJ48:$BT48,,AH48)*(1-AF48)+INDEX(Models!$BJ48:$BT48,,AH48+1)*AF48-ERP_i)*AE48*Ramure*Pc/MaxiM</f>
        <v>5.7494820699480231E-4</v>
      </c>
      <c r="AE48" s="305">
        <f t="shared" si="15"/>
        <v>0.5</v>
      </c>
      <c r="AF48" s="177">
        <f t="shared" si="23"/>
        <v>0.49938837664051627</v>
      </c>
      <c r="AG48" s="811">
        <f t="shared" si="24"/>
        <v>2</v>
      </c>
      <c r="AH48" s="176">
        <f t="shared" si="16"/>
        <v>8</v>
      </c>
      <c r="AI48" s="225">
        <f t="shared" si="17"/>
        <v>2.4993883766405163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9.6937816474754932</v>
      </c>
      <c r="C49" s="841"/>
      <c r="D49" s="393">
        <f t="shared" si="0"/>
        <v>10.389162432209346</v>
      </c>
      <c r="E49" s="385">
        <f t="shared" si="1"/>
        <v>10.975866000396486</v>
      </c>
      <c r="F49" s="385">
        <f t="shared" si="2"/>
        <v>10.975874479517584</v>
      </c>
      <c r="G49" s="110">
        <f t="shared" si="21"/>
        <v>0.31176031037742369</v>
      </c>
      <c r="H49" s="414" t="b">
        <f>Wh_hp&gt;='2026'!Maxi_hp</f>
        <v>0</v>
      </c>
      <c r="I49" s="390">
        <f>IF(H49,Wh_hp,'2026'!Maxi_hp)</f>
        <v>27.911356460515268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6.6933286419507354E-2</v>
      </c>
      <c r="M49" s="845"/>
      <c r="N49" s="845"/>
      <c r="O49" s="48">
        <f>IF(t&lt;Tnet,'2026'!Resal+('2026'!Salim-'2026'!Resal)*(1-EXP(('2026'!Tnet-t)/('2026'!Tau_j))),Resal+(Salim-Resal)*(1-EXP((Tnet-t)/(Tau_j))))*Salcycl</f>
        <v>5.3453966016526286E-2</v>
      </c>
      <c r="P49" s="169">
        <f>(INDEX(Models!$BJ49:$BT49,,T49)*(1-R49)+INDEX(Models!$BJ49:$BT49,,T49+1)*R49-ERP_i)*Q49*Ramure*Pc/MaxiM</f>
        <v>4.592734968224118E-5</v>
      </c>
      <c r="Q49" s="305">
        <f t="shared" si="4"/>
        <v>0.5</v>
      </c>
      <c r="R49" s="177">
        <f t="shared" si="5"/>
        <v>0.97451327710590352</v>
      </c>
      <c r="S49" s="811">
        <f t="shared" si="6"/>
        <v>-2</v>
      </c>
      <c r="T49" s="176">
        <f t="shared" si="7"/>
        <v>4</v>
      </c>
      <c r="U49" s="251">
        <f t="shared" si="8"/>
        <v>-1.0254867228940965</v>
      </c>
      <c r="V49" s="383">
        <f t="shared" si="9"/>
        <v>31.092296239945192</v>
      </c>
      <c r="W49" s="402">
        <f t="shared" si="10"/>
        <v>9.6937816474754932</v>
      </c>
      <c r="X49" s="157">
        <f t="shared" si="11"/>
        <v>46422</v>
      </c>
      <c r="Y49" s="385">
        <f t="shared" si="12"/>
        <v>9.4148973962293994</v>
      </c>
      <c r="Z49" s="385">
        <f t="shared" si="22"/>
        <v>10.090272495201607</v>
      </c>
      <c r="AA49" s="386">
        <f t="shared" si="13"/>
        <v>10.975771948008505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8.0677646820784002E-2</v>
      </c>
      <c r="AD49" s="231">
        <f>(INDEX(Models!$BJ49:$BT49,,AH49)*(1-AF49)+INDEX(Models!$BJ49:$BT49,,AH49+1)*AF49-ERP_i)*AE49*Ramure*Pc/MaxiM</f>
        <v>5.5536421955891188E-4</v>
      </c>
      <c r="AE49" s="305">
        <f t="shared" si="15"/>
        <v>0.5</v>
      </c>
      <c r="AF49" s="177">
        <f t="shared" si="23"/>
        <v>0.49950084347988222</v>
      </c>
      <c r="AG49" s="811">
        <f t="shared" si="24"/>
        <v>2</v>
      </c>
      <c r="AH49" s="176">
        <f t="shared" si="16"/>
        <v>8</v>
      </c>
      <c r="AI49" s="225">
        <f t="shared" si="17"/>
        <v>2.4995008434798822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9.3791351413857367</v>
      </c>
      <c r="C50" s="841"/>
      <c r="D50" s="393">
        <f t="shared" si="0"/>
        <v>10.052165012964641</v>
      </c>
      <c r="E50" s="385">
        <f t="shared" si="1"/>
        <v>10.620436466002619</v>
      </c>
      <c r="F50" s="385">
        <f t="shared" si="2"/>
        <v>10.620436466002619</v>
      </c>
      <c r="G50" s="110">
        <f t="shared" si="21"/>
        <v>0.29875990103704597</v>
      </c>
      <c r="H50" s="414" t="b">
        <f>Wh_hp&gt;='2026'!Maxi_hp</f>
        <v>0</v>
      </c>
      <c r="I50" s="390">
        <f>IF(H50,Wh_hp,'2026'!Maxi_hp)</f>
        <v>35.533389786711119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6.6953722975187313E-2</v>
      </c>
      <c r="M50" s="845"/>
      <c r="N50" s="845"/>
      <c r="O50" s="48">
        <f>IF(t&lt;Tnet,'2026'!Resal+('2026'!Salim-'2026'!Resal)*(1-EXP(('2026'!Tnet-t)/('2026'!Tau_j))),Resal+(Salim-Resal)*(1-EXP((Tnet-t)/(Tau_j))))*Salcycl</f>
        <v>5.3507353945112142E-2</v>
      </c>
      <c r="P50" s="169">
        <f>(INDEX(Models!$BJ50:$BT50,,T50)*(1-R50)+INDEX(Models!$BJ50:$BT50,,T50+1)*R50-ERP_i)*Q50*Ramure*Pc/MaxiM</f>
        <v>4.4916865322407724E-5</v>
      </c>
      <c r="Q50" s="305">
        <f t="shared" si="4"/>
        <v>0.5</v>
      </c>
      <c r="R50" s="177">
        <f t="shared" si="5"/>
        <v>0.97463040814668433</v>
      </c>
      <c r="S50" s="811">
        <f t="shared" si="6"/>
        <v>-2</v>
      </c>
      <c r="T50" s="176">
        <f t="shared" si="7"/>
        <v>4</v>
      </c>
      <c r="U50" s="251">
        <f t="shared" si="8"/>
        <v>-1.0253695918533157</v>
      </c>
      <c r="V50" s="383">
        <f t="shared" si="9"/>
        <v>31.392144084532941</v>
      </c>
      <c r="W50" s="402">
        <f t="shared" si="10"/>
        <v>9.3791351413857367</v>
      </c>
      <c r="X50" s="157">
        <f t="shared" si="11"/>
        <v>46423</v>
      </c>
      <c r="Y50" s="385">
        <f t="shared" si="12"/>
        <v>9.1096406521909064</v>
      </c>
      <c r="Z50" s="385">
        <f t="shared" si="22"/>
        <v>9.7633320838475974</v>
      </c>
      <c r="AA50" s="386">
        <f t="shared" si="13"/>
        <v>10.620436466002619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8.0703310537069167E-2</v>
      </c>
      <c r="AD50" s="231">
        <f>(INDEX(Models!$BJ50:$BT50,,AH50)*(1-AF50)+INDEX(Models!$BJ50:$BT50,,AH50+1)*AF50-ERP_i)*AE50*Ramure*Pc/MaxiM</f>
        <v>5.3653885781068265E-4</v>
      </c>
      <c r="AE50" s="305">
        <f t="shared" si="15"/>
        <v>0.5</v>
      </c>
      <c r="AF50" s="177">
        <f t="shared" si="23"/>
        <v>0.49961797452066303</v>
      </c>
      <c r="AG50" s="811">
        <f t="shared" si="24"/>
        <v>2</v>
      </c>
      <c r="AH50" s="176">
        <f t="shared" si="16"/>
        <v>8</v>
      </c>
      <c r="AI50" s="225">
        <f t="shared" si="17"/>
        <v>2.499617974520663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21.458326528291988</v>
      </c>
      <c r="C51" s="841"/>
      <c r="D51" s="393">
        <f t="shared" si="0"/>
        <v>22.998641181479048</v>
      </c>
      <c r="E51" s="385">
        <f t="shared" si="1"/>
        <v>24.300176925989945</v>
      </c>
      <c r="F51" s="385">
        <f t="shared" si="2"/>
        <v>24.300754638814201</v>
      </c>
      <c r="G51" s="110">
        <f t="shared" si="21"/>
        <v>0.67712044684787087</v>
      </c>
      <c r="H51" s="414" t="b">
        <f>Wh_hp&gt;='2026'!Maxi_hp</f>
        <v>0</v>
      </c>
      <c r="I51" s="390">
        <f>IF(H51,Wh_hp,'2026'!Maxi_hp)</f>
        <v>37.103452774243969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6.6974159083254325E-2</v>
      </c>
      <c r="M51" s="845"/>
      <c r="N51" s="845"/>
      <c r="O51" s="48">
        <f>IF(t&lt;Tnet,'2026'!Resal+('2026'!Salim-'2026'!Resal)*(1-EXP(('2026'!Tnet-t)/('2026'!Tau_j))),Resal+(Salim-Resal)*(1-EXP((Tnet-t)/(Tau_j))))*Salcycl</f>
        <v>5.356075177867764E-2</v>
      </c>
      <c r="P51" s="169">
        <f>(INDEX(Models!$BJ51:$BT51,,T51)*(1-R51)+INDEX(Models!$BJ51:$BT51,,T51+1)*R51-ERP_i)*Q51*Ramure*Pc/MaxiM</f>
        <v>4.4125977298555839E-5</v>
      </c>
      <c r="Q51" s="305">
        <f t="shared" si="4"/>
        <v>0.5</v>
      </c>
      <c r="R51" s="177">
        <f t="shared" si="5"/>
        <v>0.97475239447627837</v>
      </c>
      <c r="S51" s="811">
        <f t="shared" si="6"/>
        <v>-2</v>
      </c>
      <c r="T51" s="176">
        <f t="shared" si="7"/>
        <v>4</v>
      </c>
      <c r="U51" s="251">
        <f t="shared" si="8"/>
        <v>-1.0252476055237216</v>
      </c>
      <c r="V51" s="383">
        <f t="shared" si="9"/>
        <v>31.689915563274688</v>
      </c>
      <c r="W51" s="402">
        <f t="shared" si="10"/>
        <v>21.458326528291988</v>
      </c>
      <c r="X51" s="157">
        <f t="shared" si="11"/>
        <v>46424</v>
      </c>
      <c r="Y51" s="385">
        <f t="shared" si="12"/>
        <v>20.837022059906477</v>
      </c>
      <c r="Z51" s="385">
        <f t="shared" si="22"/>
        <v>22.332738436732939</v>
      </c>
      <c r="AA51" s="386">
        <f t="shared" si="13"/>
        <v>24.293967196351019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8.0729044530555766E-2</v>
      </c>
      <c r="AD51" s="231">
        <f>(INDEX(Models!$BJ51:$BT51,,AH51)*(1-AF51)+INDEX(Models!$BJ51:$BT51,,AH51+1)*AF51-ERP_i)*AE51*Ramure*Pc/MaxiM</f>
        <v>5.1842804845343032E-4</v>
      </c>
      <c r="AE51" s="305">
        <f t="shared" si="15"/>
        <v>0.5</v>
      </c>
      <c r="AF51" s="177">
        <f t="shared" si="23"/>
        <v>0.49973996085025751</v>
      </c>
      <c r="AG51" s="811">
        <f t="shared" si="24"/>
        <v>2</v>
      </c>
      <c r="AH51" s="176">
        <f t="shared" si="16"/>
        <v>8</v>
      </c>
      <c r="AI51" s="225">
        <f t="shared" si="17"/>
        <v>2.4997399608502575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9.2079166282216889</v>
      </c>
      <c r="C52" s="841"/>
      <c r="D52" s="393">
        <f t="shared" si="0"/>
        <v>9.8690924793650261</v>
      </c>
      <c r="E52" s="385">
        <f t="shared" si="1"/>
        <v>10.428191133681883</v>
      </c>
      <c r="F52" s="385">
        <f t="shared" si="2"/>
        <v>10.428191133681883</v>
      </c>
      <c r="G52" s="110">
        <f t="shared" si="21"/>
        <v>0.28784837674402364</v>
      </c>
      <c r="H52" s="414" t="b">
        <f>Wh_hp&gt;='2026'!Maxi_hp</f>
        <v>0</v>
      </c>
      <c r="I52" s="390">
        <f>IF(H52,Wh_hp,'2026'!Maxi_hp)</f>
        <v>25.358898167859724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6.6994594743718161E-2</v>
      </c>
      <c r="M52" s="845"/>
      <c r="N52" s="845"/>
      <c r="O52" s="48">
        <f>IF(t&lt;Tnet,'2026'!Resal+('2026'!Salim-'2026'!Resal)*(1-EXP(('2026'!Tnet-t)/('2026'!Tau_j))),Resal+(Salim-Resal)*(1-EXP((Tnet-t)/(Tau_j))))*Salcycl</f>
        <v>5.3614154856735506E-2</v>
      </c>
      <c r="P52" s="169">
        <f>(INDEX(Models!$BJ52:$BT52,,T52)*(1-R52)+INDEX(Models!$BJ52:$BT52,,T52+1)*R52-ERP_i)*Q52*Ramure*Pc/MaxiM</f>
        <v>4.3714458474951833E-5</v>
      </c>
      <c r="Q52" s="305">
        <f t="shared" si="4"/>
        <v>0.5</v>
      </c>
      <c r="R52" s="177">
        <f t="shared" si="5"/>
        <v>0.97487943481118</v>
      </c>
      <c r="S52" s="811">
        <f t="shared" si="6"/>
        <v>-2</v>
      </c>
      <c r="T52" s="176">
        <f t="shared" si="7"/>
        <v>4</v>
      </c>
      <c r="U52" s="251">
        <f t="shared" si="8"/>
        <v>-1.02512056518882</v>
      </c>
      <c r="V52" s="383">
        <f t="shared" si="9"/>
        <v>31.987375483171874</v>
      </c>
      <c r="W52" s="402">
        <f t="shared" si="10"/>
        <v>9.2079166282216889</v>
      </c>
      <c r="X52" s="157">
        <f t="shared" si="11"/>
        <v>46425</v>
      </c>
      <c r="Y52" s="385">
        <f t="shared" si="12"/>
        <v>8.9438497242051955</v>
      </c>
      <c r="Z52" s="385">
        <f t="shared" si="22"/>
        <v>9.5860642112233645</v>
      </c>
      <c r="AA52" s="386">
        <f t="shared" si="13"/>
        <v>10.428191133681883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8.0754841531293309E-2</v>
      </c>
      <c r="AD52" s="231">
        <f>(INDEX(Models!$BJ52:$BT52,,AH52)*(1-AF52)+INDEX(Models!$BJ52:$BT52,,AH52+1)*AF52-ERP_i)*AE52*Ramure*Pc/MaxiM</f>
        <v>5.0193845250612009E-4</v>
      </c>
      <c r="AE52" s="305">
        <f t="shared" si="15"/>
        <v>0.5</v>
      </c>
      <c r="AF52" s="177">
        <f t="shared" si="23"/>
        <v>0.4998670011851587</v>
      </c>
      <c r="AG52" s="811">
        <f t="shared" si="24"/>
        <v>2</v>
      </c>
      <c r="AH52" s="176">
        <f t="shared" si="16"/>
        <v>8</v>
      </c>
      <c r="AI52" s="225">
        <f t="shared" si="17"/>
        <v>2.4998670011851587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32.274949248528458</v>
      </c>
      <c r="C53" s="841"/>
      <c r="D53" s="393">
        <f t="shared" si="0"/>
        <v>34.593214558458229</v>
      </c>
      <c r="E53" s="385">
        <f t="shared" si="1"/>
        <v>36.555033969247965</v>
      </c>
      <c r="F53" s="385">
        <f t="shared" si="2"/>
        <v>36.55662704644886</v>
      </c>
      <c r="G53" s="110">
        <f t="shared" si="21"/>
        <v>0.99969746006028293</v>
      </c>
      <c r="H53" s="414" t="b">
        <f>Wh_hp&gt;='2026'!Maxi_hp</f>
        <v>0</v>
      </c>
      <c r="I53" s="390">
        <f>IF(H53,Wh_hp,'2026'!Maxi_hp)</f>
        <v>36.556627398882846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6.7015029956588479E-2</v>
      </c>
      <c r="M53" s="845"/>
      <c r="N53" s="845"/>
      <c r="O53" s="48">
        <f>IF(t&lt;Tnet,'2026'!Resal+('2026'!Salim-'2026'!Resal)*(1-EXP(('2026'!Tnet-t)/('2026'!Tau_j))),Resal+(Salim-Resal)*(1-EXP((Tnet-t)/(Tau_j))))*Salcycl</f>
        <v>5.3667558138233977E-2</v>
      </c>
      <c r="P53" s="169">
        <f>(INDEX(Models!$BJ53:$BT53,,T53)*(1-R53)+INDEX(Models!$BJ53:$BT53,,T53+1)*R53-ERP_i)*Q53*Ramure*Pc/MaxiM</f>
        <v>4.3597183665242245E-5</v>
      </c>
      <c r="Q53" s="305">
        <f t="shared" si="4"/>
        <v>0.5</v>
      </c>
      <c r="R53" s="177">
        <f t="shared" si="5"/>
        <v>0.97501173578454625</v>
      </c>
      <c r="S53" s="811">
        <f t="shared" si="6"/>
        <v>-2</v>
      </c>
      <c r="T53" s="176">
        <f t="shared" si="7"/>
        <v>4</v>
      </c>
      <c r="U53" s="251">
        <f t="shared" si="8"/>
        <v>-1.0249882642154537</v>
      </c>
      <c r="V53" s="383">
        <f t="shared" si="9"/>
        <v>32.284716056442171</v>
      </c>
      <c r="W53" s="402">
        <f t="shared" si="10"/>
        <v>32.274949248528458</v>
      </c>
      <c r="X53" s="157">
        <f t="shared" si="11"/>
        <v>46426</v>
      </c>
      <c r="Y53" s="385">
        <f t="shared" si="12"/>
        <v>31.336347925717831</v>
      </c>
      <c r="Z53" s="385">
        <f t="shared" si="22"/>
        <v>33.587194790779705</v>
      </c>
      <c r="AA53" s="386">
        <f t="shared" si="13"/>
        <v>36.538826546834621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8.0780693716903579E-2</v>
      </c>
      <c r="AD53" s="231">
        <f>(INDEX(Models!$BJ53:$BT53,,AH53)*(1-AF53)+INDEX(Models!$BJ53:$BT53,,AH53+1)*AF53-ERP_i)*AE53*Ramure*Pc/MaxiM</f>
        <v>4.8714001467120593E-4</v>
      </c>
      <c r="AE53" s="305">
        <f t="shared" si="15"/>
        <v>0.5</v>
      </c>
      <c r="AF53" s="177">
        <f t="shared" si="23"/>
        <v>0.49999930215852517</v>
      </c>
      <c r="AG53" s="811">
        <f t="shared" si="24"/>
        <v>2</v>
      </c>
      <c r="AH53" s="176">
        <f t="shared" si="16"/>
        <v>8</v>
      </c>
      <c r="AI53" s="225">
        <f t="shared" si="17"/>
        <v>2.4999993021585252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32.487710968594115</v>
      </c>
      <c r="C54" s="841"/>
      <c r="D54" s="393">
        <f t="shared" si="0"/>
        <v>34.822021352515023</v>
      </c>
      <c r="E54" s="385">
        <f t="shared" si="1"/>
        <v>36.798893078078777</v>
      </c>
      <c r="F54" s="385">
        <f t="shared" si="2"/>
        <v>36.800497019954761</v>
      </c>
      <c r="G54" s="110">
        <f t="shared" si="21"/>
        <v>0.99710203187018409</v>
      </c>
      <c r="H54" s="414" t="b">
        <f>Wh_hp&gt;='2026'!Maxi_hp</f>
        <v>0</v>
      </c>
      <c r="I54" s="390">
        <f>IF(H54,Wh_hp,'2026'!Maxi_hp)</f>
        <v>36.800500431009468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6.7035464721875271E-2</v>
      </c>
      <c r="M54" s="845"/>
      <c r="N54" s="845"/>
      <c r="O54" s="48">
        <f>IF(t&lt;Tnet,'2026'!Resal+('2026'!Salim-'2026'!Resal)*(1-EXP(('2026'!Tnet-t)/('2026'!Tau_j))),Resal+(Salim-Resal)*(1-EXP((Tnet-t)/(Tau_j))))*Salcycl</f>
        <v>5.3720956262713851E-2</v>
      </c>
      <c r="P54" s="169">
        <f>(INDEX(Models!$BJ54:$BT54,,T54)*(1-R54)+INDEX(Models!$BJ54:$BT54,,T54+1)*R54-ERP_i)*Q54*Ramure*Pc/MaxiM</f>
        <v>4.3765966221886767E-5</v>
      </c>
      <c r="Q54" s="305">
        <f t="shared" si="4"/>
        <v>0.5</v>
      </c>
      <c r="R54" s="177">
        <f t="shared" si="5"/>
        <v>0.97514951224313728</v>
      </c>
      <c r="S54" s="811">
        <f t="shared" si="6"/>
        <v>-2</v>
      </c>
      <c r="T54" s="176">
        <f t="shared" si="7"/>
        <v>4</v>
      </c>
      <c r="U54" s="251">
        <f t="shared" si="8"/>
        <v>-1.0248504877568627</v>
      </c>
      <c r="V54" s="383">
        <f t="shared" si="9"/>
        <v>32.582127048072081</v>
      </c>
      <c r="W54" s="402">
        <f t="shared" si="10"/>
        <v>32.487710968594115</v>
      </c>
      <c r="X54" s="157">
        <f t="shared" si="11"/>
        <v>46427</v>
      </c>
      <c r="Y54" s="385">
        <f t="shared" si="12"/>
        <v>31.544284113611415</v>
      </c>
      <c r="Z54" s="385">
        <f t="shared" si="22"/>
        <v>33.810807293128022</v>
      </c>
      <c r="AA54" s="386">
        <f t="shared" si="13"/>
        <v>36.783126411180817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8.0806592806350136E-2</v>
      </c>
      <c r="AD54" s="231">
        <f>(INDEX(Models!$BJ54:$BT54,,AH54)*(1-AF54)+INDEX(Models!$BJ54:$BT54,,AH54+1)*AF54-ERP_i)*AE54*Ramure*Pc/MaxiM</f>
        <v>4.7398318370205718E-4</v>
      </c>
      <c r="AE54" s="305">
        <f t="shared" si="15"/>
        <v>0.5</v>
      </c>
      <c r="AF54" s="177">
        <f t="shared" si="23"/>
        <v>0.50013707861711643</v>
      </c>
      <c r="AG54" s="811">
        <f t="shared" si="24"/>
        <v>2</v>
      </c>
      <c r="AH54" s="176">
        <f t="shared" si="16"/>
        <v>8</v>
      </c>
      <c r="AI54" s="225">
        <f t="shared" si="17"/>
        <v>2.5001370786171164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30.201835056062887</v>
      </c>
      <c r="C55" s="841"/>
      <c r="D55" s="393">
        <f t="shared" si="0"/>
        <v>32.372609489648788</v>
      </c>
      <c r="E55" s="385">
        <f t="shared" si="1"/>
        <v>34.212356504275597</v>
      </c>
      <c r="F55" s="385">
        <f t="shared" si="2"/>
        <v>34.213693186370918</v>
      </c>
      <c r="G55" s="110">
        <f t="shared" si="21"/>
        <v>0.91854820759059275</v>
      </c>
      <c r="H55" s="414" t="b">
        <f>Wh_hp&gt;='2026'!Maxi_hp</f>
        <v>0</v>
      </c>
      <c r="I55" s="390">
        <f>IF(H55,Wh_hp,'2026'!Maxi_hp)</f>
        <v>34.21378321648077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6.7055899039588196E-2</v>
      </c>
      <c r="M55" s="845"/>
      <c r="N55" s="845"/>
      <c r="O55" s="48">
        <f>IF(t&lt;Tnet,'2026'!Resal+('2026'!Salim-'2026'!Resal)*(1-EXP(('2026'!Tnet-t)/('2026'!Tau_j))),Resal+(Salim-Resal)*(1-EXP((Tnet-t)/(Tau_j))))*Salcycl</f>
        <v>5.3774343617543442E-2</v>
      </c>
      <c r="P55" s="169">
        <f>(INDEX(Models!$BJ55:$BT55,,T55)*(1-R55)+INDEX(Models!$BJ55:$BT55,,T55+1)*R55-ERP_i)*Q55*Ramure*Pc/MaxiM</f>
        <v>4.4212934789077948E-5</v>
      </c>
      <c r="Q55" s="305">
        <f t="shared" si="4"/>
        <v>0.5</v>
      </c>
      <c r="R55" s="177">
        <f t="shared" si="5"/>
        <v>0.97529298755379989</v>
      </c>
      <c r="S55" s="811">
        <f t="shared" si="6"/>
        <v>-2</v>
      </c>
      <c r="T55" s="176">
        <f t="shared" si="7"/>
        <v>4</v>
      </c>
      <c r="U55" s="251">
        <f t="shared" si="8"/>
        <v>-1.0247070124462001</v>
      </c>
      <c r="V55" s="383">
        <f t="shared" si="9"/>
        <v>32.879798178200076</v>
      </c>
      <c r="W55" s="402">
        <f t="shared" si="10"/>
        <v>30.201835056062887</v>
      </c>
      <c r="X55" s="157">
        <f t="shared" si="11"/>
        <v>46428</v>
      </c>
      <c r="Y55" s="385">
        <f t="shared" si="12"/>
        <v>29.32734371881066</v>
      </c>
      <c r="Z55" s="385">
        <f t="shared" si="22"/>
        <v>31.435263579693427</v>
      </c>
      <c r="AA55" s="386">
        <f t="shared" si="13"/>
        <v>34.199712904602038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8.0832530162456978E-2</v>
      </c>
      <c r="AD55" s="231">
        <f>(INDEX(Models!$BJ55:$BT55,,AH55)*(1-AF55)+INDEX(Models!$BJ55:$BT55,,AH55+1)*AF55-ERP_i)*AE55*Ramure*Pc/MaxiM</f>
        <v>4.6242056233478015E-4</v>
      </c>
      <c r="AE55" s="305">
        <f t="shared" si="15"/>
        <v>0.5</v>
      </c>
      <c r="AF55" s="177">
        <f t="shared" si="23"/>
        <v>0.50028055392777881</v>
      </c>
      <c r="AG55" s="811">
        <f t="shared" si="24"/>
        <v>2</v>
      </c>
      <c r="AH55" s="176">
        <f t="shared" si="16"/>
        <v>8</v>
      </c>
      <c r="AI55" s="225">
        <f t="shared" si="17"/>
        <v>2.5002805539277788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16.8601803782269</v>
      </c>
      <c r="C56" s="841"/>
      <c r="D56" s="393">
        <f t="shared" si="0"/>
        <v>18.072411466216597</v>
      </c>
      <c r="E56" s="385">
        <f t="shared" si="1"/>
        <v>19.100550440404696</v>
      </c>
      <c r="F56" s="385">
        <f t="shared" si="2"/>
        <v>19.100805665260477</v>
      </c>
      <c r="G56" s="110">
        <f t="shared" si="21"/>
        <v>0.50815869612243758</v>
      </c>
      <c r="H56" s="414" t="b">
        <f>Wh_hp&gt;='2026'!Maxi_hp</f>
        <v>0</v>
      </c>
      <c r="I56" s="390">
        <f>IF(H56,Wh_hp,'2026'!Maxi_hp)</f>
        <v>30.625815125737557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6.7076332909737135E-2</v>
      </c>
      <c r="M56" s="845"/>
      <c r="N56" s="845"/>
      <c r="O56" s="48">
        <f>IF(t&lt;Tnet,'2026'!Resal+('2026'!Salim-'2026'!Resal)*(1-EXP(('2026'!Tnet-t)/('2026'!Tau_j))),Resal+(Salim-Resal)*(1-EXP((Tnet-t)/(Tau_j))))*Salcycl</f>
        <v>5.3827714410428967E-2</v>
      </c>
      <c r="P56" s="169">
        <f>(INDEX(Models!$BJ56:$BT56,,T56)*(1-R56)+INDEX(Models!$BJ56:$BT56,,T56+1)*R56-ERP_i)*Q56*Ramure*Pc/MaxiM</f>
        <v>4.4930504280845019E-5</v>
      </c>
      <c r="Q56" s="305">
        <f t="shared" si="4"/>
        <v>0.5</v>
      </c>
      <c r="R56" s="177">
        <f t="shared" si="5"/>
        <v>0.97544239391966103</v>
      </c>
      <c r="S56" s="811">
        <f t="shared" si="6"/>
        <v>-2</v>
      </c>
      <c r="T56" s="176">
        <f t="shared" si="7"/>
        <v>4</v>
      </c>
      <c r="U56" s="251">
        <f t="shared" si="8"/>
        <v>-1.024557606080339</v>
      </c>
      <c r="V56" s="383">
        <f t="shared" si="9"/>
        <v>33.177919120525161</v>
      </c>
      <c r="W56" s="402">
        <f t="shared" si="10"/>
        <v>16.8601803782269</v>
      </c>
      <c r="X56" s="157">
        <f t="shared" si="11"/>
        <v>46429</v>
      </c>
      <c r="Y56" s="385">
        <f t="shared" si="12"/>
        <v>16.37652447366176</v>
      </c>
      <c r="Z56" s="385">
        <f t="shared" si="22"/>
        <v>17.553981157685957</v>
      </c>
      <c r="AA56" s="386">
        <f t="shared" si="13"/>
        <v>19.098235797772517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8.0858496901932198E-2</v>
      </c>
      <c r="AD56" s="231">
        <f>(INDEX(Models!$BJ56:$BT56,,AH56)*(1-AF56)+INDEX(Models!$BJ56:$BT56,,AH56+1)*AF56-ERP_i)*AE56*Ramure*Pc/MaxiM</f>
        <v>4.5240672902455733E-4</v>
      </c>
      <c r="AE56" s="305">
        <f t="shared" si="15"/>
        <v>0.5</v>
      </c>
      <c r="AF56" s="177">
        <f t="shared" si="23"/>
        <v>0.50042996029364017</v>
      </c>
      <c r="AG56" s="811">
        <f t="shared" si="24"/>
        <v>2</v>
      </c>
      <c r="AH56" s="176">
        <f t="shared" si="16"/>
        <v>8</v>
      </c>
      <c r="AI56" s="225">
        <f t="shared" si="17"/>
        <v>2.5004299602936402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25.615457492060813</v>
      </c>
      <c r="C57" s="841"/>
      <c r="D57" s="393">
        <f t="shared" si="0"/>
        <v>27.457786153612915</v>
      </c>
      <c r="E57" s="385">
        <f t="shared" si="1"/>
        <v>29.021495155055611</v>
      </c>
      <c r="F57" s="385">
        <f t="shared" si="2"/>
        <v>29.022380616635257</v>
      </c>
      <c r="G57" s="110">
        <f t="shared" si="21"/>
        <v>0.7651614001335757</v>
      </c>
      <c r="H57" s="414" t="b">
        <f>Wh_hp&gt;='2026'!Maxi_hp</f>
        <v>0</v>
      </c>
      <c r="I57" s="390">
        <f>IF(H57,Wh_hp,'2026'!Maxi_hp)</f>
        <v>38.463815462769276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6.7096766332331859E-2</v>
      </c>
      <c r="M57" s="845"/>
      <c r="N57" s="845"/>
      <c r="O57" s="48">
        <f>IF(t&lt;Tnet,'2026'!Resal+('2026'!Salim-'2026'!Resal)*(1-EXP(('2026'!Tnet-t)/('2026'!Tau_j))),Resal+(Salim-Resal)*(1-EXP((Tnet-t)/(Tau_j))))*Salcycl</f>
        <v>5.3881062746358781E-2</v>
      </c>
      <c r="P57" s="169">
        <f>(INDEX(Models!$BJ57:$BT57,,T57)*(1-R57)+INDEX(Models!$BJ57:$BT57,,T57+1)*R57-ERP_i)*Q57*Ramure*Pc/MaxiM</f>
        <v>4.5911349261656971E-5</v>
      </c>
      <c r="Q57" s="305">
        <f t="shared" si="4"/>
        <v>0.5</v>
      </c>
      <c r="R57" s="177">
        <f t="shared" si="5"/>
        <v>0.97559797270618387</v>
      </c>
      <c r="S57" s="811">
        <f t="shared" si="6"/>
        <v>-2</v>
      </c>
      <c r="T57" s="176">
        <f t="shared" si="7"/>
        <v>4</v>
      </c>
      <c r="U57" s="251">
        <f t="shared" si="8"/>
        <v>-1.0244020272938161</v>
      </c>
      <c r="V57" s="383">
        <f t="shared" si="9"/>
        <v>33.476679499269984</v>
      </c>
      <c r="W57" s="402">
        <f t="shared" si="10"/>
        <v>25.615457492060813</v>
      </c>
      <c r="X57" s="157">
        <f t="shared" si="11"/>
        <v>46430</v>
      </c>
      <c r="Y57" s="385">
        <f t="shared" si="12"/>
        <v>24.877778702703075</v>
      </c>
      <c r="Z57" s="385">
        <f t="shared" si="22"/>
        <v>26.667051635030976</v>
      </c>
      <c r="AA57" s="386">
        <f t="shared" si="13"/>
        <v>29.013819450489564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8.0884484011600477E-2</v>
      </c>
      <c r="AD57" s="231">
        <f>(INDEX(Models!$BJ57:$BT57,,AH57)*(1-AF57)+INDEX(Models!$BJ57:$BT57,,AH57+1)*AF57-ERP_i)*AE57*Ramure*Pc/MaxiM</f>
        <v>4.4389807309111223E-4</v>
      </c>
      <c r="AE57" s="305">
        <f t="shared" si="15"/>
        <v>0.5</v>
      </c>
      <c r="AF57" s="177">
        <f t="shared" si="23"/>
        <v>0.50058553908016279</v>
      </c>
      <c r="AG57" s="811">
        <f t="shared" si="24"/>
        <v>2</v>
      </c>
      <c r="AH57" s="176">
        <f t="shared" si="16"/>
        <v>8</v>
      </c>
      <c r="AI57" s="225">
        <f t="shared" si="17"/>
        <v>2.5005855390801628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30.280738158894877</v>
      </c>
      <c r="C58" s="841"/>
      <c r="D58" s="393">
        <f t="shared" si="0"/>
        <v>32.45931657911688</v>
      </c>
      <c r="E58" s="385">
        <f t="shared" si="1"/>
        <v>34.309794147293481</v>
      </c>
      <c r="F58" s="385">
        <f t="shared" si="2"/>
        <v>34.311166750582139</v>
      </c>
      <c r="G58" s="110">
        <f t="shared" si="21"/>
        <v>0.89650286511768718</v>
      </c>
      <c r="H58" s="414" t="b">
        <f>Wh_hp&gt;='2026'!Maxi_hp</f>
        <v>0</v>
      </c>
      <c r="I58" s="390">
        <f>IF(H58,Wh_hp,'2026'!Maxi_hp)</f>
        <v>39.79279391744533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6.7117199307382247E-2</v>
      </c>
      <c r="M58" s="845"/>
      <c r="N58" s="845"/>
      <c r="O58" s="48">
        <f>IF(t&lt;Tnet,'2026'!Resal+('2026'!Salim-'2026'!Resal)*(1-EXP(('2026'!Tnet-t)/('2026'!Tau_j))),Resal+(Salim-Resal)*(1-EXP((Tnet-t)/(Tau_j))))*Salcycl</f>
        <v>5.3934382708110157E-2</v>
      </c>
      <c r="P58" s="169">
        <f>(INDEX(Models!$BJ58:$BT58,,T58)*(1-R58)+INDEX(Models!$BJ58:$BT58,,T58+1)*R58-ERP_i)*Q58*Ramure*Pc/MaxiM</f>
        <v>4.6945127640794173E-5</v>
      </c>
      <c r="Q58" s="305">
        <f t="shared" si="4"/>
        <v>0.5</v>
      </c>
      <c r="R58" s="177">
        <f t="shared" si="5"/>
        <v>0.97575997477722298</v>
      </c>
      <c r="S58" s="811">
        <f t="shared" si="6"/>
        <v>-2</v>
      </c>
      <c r="T58" s="176">
        <f t="shared" si="7"/>
        <v>4</v>
      </c>
      <c r="U58" s="251">
        <f t="shared" si="8"/>
        <v>-1.024240025222777</v>
      </c>
      <c r="V58" s="383">
        <f t="shared" si="9"/>
        <v>33.776275752494634</v>
      </c>
      <c r="W58" s="402">
        <f t="shared" si="10"/>
        <v>30.280738158894877</v>
      </c>
      <c r="X58" s="157">
        <f t="shared" si="11"/>
        <v>46431</v>
      </c>
      <c r="Y58" s="385">
        <f t="shared" si="12"/>
        <v>29.407496050697066</v>
      </c>
      <c r="Z58" s="385">
        <f t="shared" si="22"/>
        <v>31.52324818172605</v>
      </c>
      <c r="AA58" s="386">
        <f t="shared" si="13"/>
        <v>34.298343720017805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8.0910482469510672E-2</v>
      </c>
      <c r="AD58" s="231">
        <f>(INDEX(Models!$BJ58:$BT58,,AH58)*(1-AF58)+INDEX(Models!$BJ58:$BT58,,AH58+1)*AF58-ERP_i)*AE58*Ramure*Pc/MaxiM</f>
        <v>4.3856721862745577E-4</v>
      </c>
      <c r="AE58" s="305">
        <f t="shared" si="15"/>
        <v>0.5</v>
      </c>
      <c r="AF58" s="177">
        <f t="shared" si="23"/>
        <v>0.50074754115120212</v>
      </c>
      <c r="AG58" s="811">
        <f t="shared" si="24"/>
        <v>2</v>
      </c>
      <c r="AH58" s="176">
        <f t="shared" si="16"/>
        <v>8</v>
      </c>
      <c r="AI58" s="225">
        <f t="shared" si="17"/>
        <v>2.5007475411512021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14.831015004484245</v>
      </c>
      <c r="C59" s="841"/>
      <c r="D59" s="393">
        <f t="shared" si="0"/>
        <v>15.898395637564604</v>
      </c>
      <c r="E59" s="385">
        <f t="shared" si="1"/>
        <v>16.805695980028169</v>
      </c>
      <c r="F59" s="385">
        <f t="shared" si="2"/>
        <v>16.80585154171337</v>
      </c>
      <c r="G59" s="110">
        <f t="shared" si="21"/>
        <v>0.43520511181066196</v>
      </c>
      <c r="H59" s="414" t="b">
        <f>Wh_hp&gt;='2026'!Maxi_hp</f>
        <v>0</v>
      </c>
      <c r="I59" s="390">
        <f>IF(H59,Wh_hp,'2026'!Maxi_hp)</f>
        <v>40.073233720515397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6.7137631834897959E-2</v>
      </c>
      <c r="M59" s="845"/>
      <c r="N59" s="845"/>
      <c r="O59" s="48">
        <f>IF(t&lt;Tnet,'2026'!Resal+('2026'!Salim-'2026'!Resal)*(1-EXP(('2026'!Tnet-t)/('2026'!Tau_j))),Resal+(Salim-Resal)*(1-EXP((Tnet-t)/(Tau_j))))*Salcycl</f>
        <v>5.3987668439426491E-2</v>
      </c>
      <c r="P59" s="169">
        <f>(INDEX(Models!$BJ59:$BT59,,T59)*(1-R59)+INDEX(Models!$BJ59:$BT59,,T59+1)*R59-ERP_i)*Q59*Ramure*Pc/MaxiM</f>
        <v>4.7917372977953544E-5</v>
      </c>
      <c r="Q59" s="305">
        <f t="shared" si="4"/>
        <v>0.5</v>
      </c>
      <c r="R59" s="177">
        <f t="shared" si="5"/>
        <v>0.97592866084120478</v>
      </c>
      <c r="S59" s="811">
        <f t="shared" si="6"/>
        <v>-2</v>
      </c>
      <c r="T59" s="176">
        <f t="shared" si="7"/>
        <v>4</v>
      </c>
      <c r="U59" s="251">
        <f t="shared" si="8"/>
        <v>-1.0240713391587952</v>
      </c>
      <c r="V59" s="383">
        <f t="shared" si="9"/>
        <v>34.07690124779451</v>
      </c>
      <c r="W59" s="402">
        <f t="shared" si="10"/>
        <v>14.831015004484245</v>
      </c>
      <c r="X59" s="157">
        <f t="shared" si="11"/>
        <v>46432</v>
      </c>
      <c r="Y59" s="385">
        <f t="shared" si="12"/>
        <v>14.407447656178624</v>
      </c>
      <c r="Z59" s="385">
        <f t="shared" si="22"/>
        <v>15.444344361877754</v>
      </c>
      <c r="AA59" s="386">
        <f t="shared" si="13"/>
        <v>16.80443634461885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8.0936483369561413E-2</v>
      </c>
      <c r="AD59" s="231">
        <f>(INDEX(Models!$BJ59:$BT59,,AH59)*(1-AF59)+INDEX(Models!$BJ59:$BT59,,AH59+1)*AF59-ERP_i)*AE59*Ramure*Pc/MaxiM</f>
        <v>4.3592049627962299E-4</v>
      </c>
      <c r="AE59" s="305">
        <f t="shared" si="15"/>
        <v>0.5</v>
      </c>
      <c r="AF59" s="177">
        <f t="shared" si="23"/>
        <v>0.5009162272151837</v>
      </c>
      <c r="AG59" s="811">
        <f t="shared" si="24"/>
        <v>2</v>
      </c>
      <c r="AH59" s="176">
        <f t="shared" si="16"/>
        <v>8</v>
      </c>
      <c r="AI59" s="225">
        <f t="shared" si="17"/>
        <v>2.5009162272151837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18.646962204694258</v>
      </c>
      <c r="C60" s="841"/>
      <c r="D60" s="393">
        <f t="shared" si="0"/>
        <v>19.989412443174015</v>
      </c>
      <c r="E60" s="385">
        <f t="shared" si="1"/>
        <v>21.131371053857041</v>
      </c>
      <c r="F60" s="385">
        <f t="shared" si="2"/>
        <v>21.131728365543601</v>
      </c>
      <c r="G60" s="110">
        <f t="shared" si="21"/>
        <v>0.54238066941104013</v>
      </c>
      <c r="H60" s="414" t="b">
        <f>Wh_hp&gt;='2026'!Maxi_hp</f>
        <v>0</v>
      </c>
      <c r="I60" s="390">
        <f>IF(H60,Wh_hp,'2026'!Maxi_hp)</f>
        <v>40.326165520091415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6.7158063914888988E-2</v>
      </c>
      <c r="M60" s="845"/>
      <c r="N60" s="845"/>
      <c r="O60" s="48">
        <f>IF(t&lt;Tnet,'2026'!Resal+('2026'!Salim-'2026'!Resal)*(1-EXP(('2026'!Tnet-t)/('2026'!Tau_j))),Resal+(Salim-Resal)*(1-EXP((Tnet-t)/(Tau_j))))*Salcycl</f>
        <v>5.4040914229963662E-2</v>
      </c>
      <c r="P60" s="169">
        <f>(INDEX(Models!$BJ60:$BT60,,T60)*(1-R60)+INDEX(Models!$BJ60:$BT60,,T60+1)*R60-ERP_i)*Q60*Ramure*Pc/MaxiM</f>
        <v>4.8829383263441162E-5</v>
      </c>
      <c r="Q60" s="305">
        <f t="shared" si="4"/>
        <v>0.5</v>
      </c>
      <c r="R60" s="177">
        <f t="shared" si="5"/>
        <v>0.97610430180753527</v>
      </c>
      <c r="S60" s="811">
        <f t="shared" si="6"/>
        <v>-2</v>
      </c>
      <c r="T60" s="176">
        <f t="shared" si="7"/>
        <v>4</v>
      </c>
      <c r="U60" s="251">
        <f t="shared" si="8"/>
        <v>-1.0238956981924647</v>
      </c>
      <c r="V60" s="383">
        <f t="shared" si="9"/>
        <v>34.378745452971792</v>
      </c>
      <c r="W60" s="402">
        <f t="shared" si="10"/>
        <v>18.646962204694258</v>
      </c>
      <c r="X60" s="157">
        <f t="shared" si="11"/>
        <v>46433</v>
      </c>
      <c r="Y60" s="385">
        <f t="shared" si="12"/>
        <v>18.11384998674065</v>
      </c>
      <c r="Z60" s="385">
        <f t="shared" si="22"/>
        <v>19.41791989193759</v>
      </c>
      <c r="AA60" s="386">
        <f t="shared" si="13"/>
        <v>21.128538746383946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8.0962478048280453E-2</v>
      </c>
      <c r="AD60" s="231">
        <f>(INDEX(Models!$BJ60:$BT60,,AH60)*(1-AF60)+INDEX(Models!$BJ60:$BT60,,AH60+1)*AF60-ERP_i)*AE60*Ramure*Pc/MaxiM</f>
        <v>4.3588592892382296E-4</v>
      </c>
      <c r="AE60" s="305">
        <f t="shared" si="15"/>
        <v>0.5</v>
      </c>
      <c r="AF60" s="177">
        <f t="shared" si="23"/>
        <v>0.50109186818151397</v>
      </c>
      <c r="AG60" s="811">
        <f t="shared" si="24"/>
        <v>2</v>
      </c>
      <c r="AH60" s="176">
        <f t="shared" si="16"/>
        <v>8</v>
      </c>
      <c r="AI60" s="225">
        <f t="shared" si="17"/>
        <v>2.501091868181514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9.7682277701734233</v>
      </c>
      <c r="C61" s="841"/>
      <c r="D61" s="393">
        <f t="shared" si="0"/>
        <v>10.471700881194057</v>
      </c>
      <c r="E61" s="385">
        <f t="shared" si="1"/>
        <v>11.070552623507613</v>
      </c>
      <c r="F61" s="385">
        <f t="shared" si="2"/>
        <v>11.070552623507613</v>
      </c>
      <c r="G61" s="110">
        <f t="shared" si="21"/>
        <v>0.28163724951545843</v>
      </c>
      <c r="H61" s="414" t="b">
        <f>Wh_hp&gt;='2026'!Maxi_hp</f>
        <v>0</v>
      </c>
      <c r="I61" s="390">
        <f>IF(H61,Wh_hp,'2026'!Maxi_hp)</f>
        <v>40.772992464506032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6.7178495547364991E-2</v>
      </c>
      <c r="M61" s="845"/>
      <c r="N61" s="845"/>
      <c r="O61" s="48">
        <f>IF(t&lt;Tnet,'2026'!Resal+('2026'!Salim-'2026'!Resal)*(1-EXP(('2026'!Tnet-t)/('2026'!Tau_j))),Resal+(Salim-Resal)*(1-EXP((Tnet-t)/(Tau_j))))*Salcycl</f>
        <v>5.4094114601102514E-2</v>
      </c>
      <c r="P61" s="169">
        <f>(INDEX(Models!$BJ61:$BT61,,T61)*(1-R61)+INDEX(Models!$BJ61:$BT61,,T61+1)*R61-ERP_i)*Q61*Ramure*Pc/MaxiM</f>
        <v>4.9682403921263098E-5</v>
      </c>
      <c r="Q61" s="305">
        <f t="shared" si="4"/>
        <v>0.5</v>
      </c>
      <c r="R61" s="177">
        <f t="shared" si="5"/>
        <v>0.97628717915332319</v>
      </c>
      <c r="S61" s="811">
        <f t="shared" si="6"/>
        <v>-2</v>
      </c>
      <c r="T61" s="176">
        <f t="shared" si="7"/>
        <v>4</v>
      </c>
      <c r="U61" s="251">
        <f t="shared" si="8"/>
        <v>-1.0237128208466768</v>
      </c>
      <c r="V61" s="383">
        <f t="shared" si="9"/>
        <v>34.681997775296495</v>
      </c>
      <c r="W61" s="402">
        <f t="shared" si="10"/>
        <v>9.7682277701734233</v>
      </c>
      <c r="X61" s="157">
        <f t="shared" si="11"/>
        <v>46434</v>
      </c>
      <c r="Y61" s="385">
        <f t="shared" si="12"/>
        <v>9.4904939298625912</v>
      </c>
      <c r="Z61" s="385">
        <f t="shared" si="22"/>
        <v>10.173965634970502</v>
      </c>
      <c r="AA61" s="386">
        <f t="shared" si="13"/>
        <v>11.070552623507613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8.0988458212399014E-2</v>
      </c>
      <c r="AD61" s="231">
        <f>(INDEX(Models!$BJ61:$BT61,,AH61)*(1-AF61)+INDEX(Models!$BJ61:$BT61,,AH61+1)*AF61-ERP_i)*AE61*Ramure*Pc/MaxiM</f>
        <v>4.3839369860399906E-4</v>
      </c>
      <c r="AE61" s="305">
        <f t="shared" si="15"/>
        <v>0.5</v>
      </c>
      <c r="AF61" s="177">
        <f t="shared" si="23"/>
        <v>0.50127474552730211</v>
      </c>
      <c r="AG61" s="811">
        <f t="shared" si="24"/>
        <v>2</v>
      </c>
      <c r="AH61" s="176">
        <f t="shared" si="16"/>
        <v>8</v>
      </c>
      <c r="AI61" s="225">
        <f t="shared" si="17"/>
        <v>2.5012747455273021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10.568484518825365</v>
      </c>
      <c r="C62" s="841"/>
      <c r="D62" s="393">
        <f t="shared" si="0"/>
        <v>11.329837434473847</v>
      </c>
      <c r="E62" s="385">
        <f t="shared" si="1"/>
        <v>11.978437031413533</v>
      </c>
      <c r="F62" s="385">
        <f t="shared" si="2"/>
        <v>11.978438819614599</v>
      </c>
      <c r="G62" s="110">
        <f t="shared" si="21"/>
        <v>0.30205501099913573</v>
      </c>
      <c r="H62" s="414" t="b">
        <f>Wh_hp&gt;='2026'!Maxi_hp</f>
        <v>0</v>
      </c>
      <c r="I62" s="390">
        <f>IF(H62,Wh_hp,'2026'!Maxi_hp)</f>
        <v>41.216821259374889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6.719892673233574E-2</v>
      </c>
      <c r="M62" s="845"/>
      <c r="N62" s="845"/>
      <c r="O62" s="48">
        <f>IF(t&lt;Tnet,'2026'!Resal+('2026'!Salim-'2026'!Resal)*(1-EXP(('2026'!Tnet-t)/('2026'!Tau_j))),Resal+(Salim-Resal)*(1-EXP((Tnet-t)/(Tau_j))))*Salcycl</f>
        <v>5.4147264391734021E-2</v>
      </c>
      <c r="P62" s="169">
        <f>(INDEX(Models!$BJ62:$BT62,,T62)*(1-R62)+INDEX(Models!$BJ62:$BT62,,T62+1)*R62-ERP_i)*Q62*Ramure*Pc/MaxiM</f>
        <v>5.0477634321853999E-5</v>
      </c>
      <c r="Q62" s="305">
        <f t="shared" si="4"/>
        <v>0.5</v>
      </c>
      <c r="R62" s="177">
        <f t="shared" si="5"/>
        <v>0.97647758530047968</v>
      </c>
      <c r="S62" s="811">
        <f t="shared" si="6"/>
        <v>-2</v>
      </c>
      <c r="T62" s="176">
        <f t="shared" si="7"/>
        <v>4</v>
      </c>
      <c r="U62" s="251">
        <f t="shared" si="8"/>
        <v>-1.0235224146995203</v>
      </c>
      <c r="V62" s="383">
        <f t="shared" si="9"/>
        <v>34.986847559351972</v>
      </c>
      <c r="W62" s="402">
        <f t="shared" si="10"/>
        <v>10.568484518825365</v>
      </c>
      <c r="X62" s="157">
        <f t="shared" si="11"/>
        <v>46435</v>
      </c>
      <c r="Y62" s="385">
        <f t="shared" si="12"/>
        <v>10.268272497132561</v>
      </c>
      <c r="Z62" s="385">
        <f t="shared" si="22"/>
        <v>11.007998158880884</v>
      </c>
      <c r="AA62" s="386">
        <f t="shared" si="13"/>
        <v>11.978423112750439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8.101441606588318E-2</v>
      </c>
      <c r="AD62" s="231">
        <f>(INDEX(Models!$BJ62:$BT62,,AH62)*(1-AF62)+INDEX(Models!$BJ62:$BT62,,AH62+1)*AF62-ERP_i)*AE62*Ramure*Pc/MaxiM</f>
        <v>4.4337594910401454E-4</v>
      </c>
      <c r="AE62" s="305">
        <f t="shared" si="15"/>
        <v>0.5</v>
      </c>
      <c r="AF62" s="177">
        <f t="shared" si="23"/>
        <v>0.50146515167445838</v>
      </c>
      <c r="AG62" s="811">
        <f t="shared" si="24"/>
        <v>2</v>
      </c>
      <c r="AH62" s="176">
        <f t="shared" si="16"/>
        <v>8</v>
      </c>
      <c r="AI62" s="225">
        <f t="shared" si="17"/>
        <v>2.5014651516744584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26.914539517220888</v>
      </c>
      <c r="C63" s="841"/>
      <c r="D63" s="393">
        <f t="shared" si="0"/>
        <v>28.854093116913948</v>
      </c>
      <c r="E63" s="385">
        <f t="shared" si="1"/>
        <v>30.507616900362695</v>
      </c>
      <c r="F63" s="385">
        <f t="shared" si="2"/>
        <v>30.508649497678881</v>
      </c>
      <c r="G63" s="110">
        <f t="shared" si="21"/>
        <v>0.76257906213880944</v>
      </c>
      <c r="H63" s="414" t="b">
        <f>Wh_hp&gt;='2026'!Maxi_hp</f>
        <v>0</v>
      </c>
      <c r="I63" s="390">
        <f>IF(H63,Wh_hp,'2026'!Maxi_hp)</f>
        <v>40.739227562492772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6.7219357469811225E-2</v>
      </c>
      <c r="M63" s="845"/>
      <c r="N63" s="845"/>
      <c r="O63" s="48">
        <f>IF(t&lt;Tnet,'2026'!Resal+('2026'!Salim-'2026'!Resal)*(1-EXP(('2026'!Tnet-t)/('2026'!Tau_j))),Resal+(Salim-Resal)*(1-EXP((Tnet-t)/(Tau_j))))*Salcycl</f>
        <v>5.4200358843141602E-2</v>
      </c>
      <c r="P63" s="169">
        <f>(INDEX(Models!$BJ63:$BT63,,T63)*(1-R63)+INDEX(Models!$BJ63:$BT63,,T63+1)*R63-ERP_i)*Q63*Ramure*Pc/MaxiM</f>
        <v>5.1216233940369279E-5</v>
      </c>
      <c r="Q63" s="305">
        <f t="shared" si="4"/>
        <v>0.5</v>
      </c>
      <c r="R63" s="177">
        <f t="shared" si="5"/>
        <v>0.97667582400322783</v>
      </c>
      <c r="S63" s="811">
        <f t="shared" si="6"/>
        <v>-2</v>
      </c>
      <c r="T63" s="176">
        <f t="shared" si="7"/>
        <v>4</v>
      </c>
      <c r="U63" s="251">
        <f t="shared" si="8"/>
        <v>-1.0233241759967722</v>
      </c>
      <c r="V63" s="383">
        <f t="shared" si="9"/>
        <v>35.293484082088497</v>
      </c>
      <c r="W63" s="402">
        <f t="shared" si="10"/>
        <v>26.914539517220888</v>
      </c>
      <c r="X63" s="157">
        <f t="shared" si="11"/>
        <v>46436</v>
      </c>
      <c r="Y63" s="385">
        <f t="shared" si="12"/>
        <v>26.143851228025625</v>
      </c>
      <c r="Z63" s="385">
        <f t="shared" si="22"/>
        <v>28.027866398588454</v>
      </c>
      <c r="AA63" s="386">
        <f t="shared" si="13"/>
        <v>30.499561355998623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8.1040344435118927E-2</v>
      </c>
      <c r="AD63" s="231">
        <f>(INDEX(Models!$BJ63:$BT63,,AH63)*(1-AF63)+INDEX(Models!$BJ63:$BT63,,AH63+1)*AF63-ERP_i)*AE63*Ramure*Pc/MaxiM</f>
        <v>4.507666087092898E-4</v>
      </c>
      <c r="AE63" s="305">
        <f t="shared" si="15"/>
        <v>0.5</v>
      </c>
      <c r="AF63" s="177">
        <f t="shared" si="23"/>
        <v>0.50166339037720675</v>
      </c>
      <c r="AG63" s="811">
        <f t="shared" si="24"/>
        <v>2</v>
      </c>
      <c r="AH63" s="176">
        <f t="shared" si="16"/>
        <v>8</v>
      </c>
      <c r="AI63" s="225">
        <f t="shared" si="17"/>
        <v>2.5016633903772068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19.505590787531677</v>
      </c>
      <c r="C64" s="841"/>
      <c r="D64" s="393">
        <f t="shared" si="0"/>
        <v>20.911688268397871</v>
      </c>
      <c r="E64" s="385">
        <f t="shared" si="1"/>
        <v>22.111301408539649</v>
      </c>
      <c r="F64" s="385">
        <f t="shared" si="2"/>
        <v>22.111707780041243</v>
      </c>
      <c r="G64" s="110">
        <f t="shared" si="21"/>
        <v>0.54785922220513505</v>
      </c>
      <c r="H64" s="414" t="b">
        <f>Wh_hp&gt;='2026'!Maxi_hp</f>
        <v>0</v>
      </c>
      <c r="I64" s="390">
        <f>IF(H64,Wh_hp,'2026'!Maxi_hp)</f>
        <v>38.479174675338513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6.7239787759800995E-2</v>
      </c>
      <c r="M64" s="845"/>
      <c r="N64" s="845"/>
      <c r="O64" s="48">
        <f>IF(t&lt;Tnet,'2026'!Resal+('2026'!Salim-'2026'!Resal)*(1-EXP(('2026'!Tnet-t)/('2026'!Tau_j))),Resal+(Salim-Resal)*(1-EXP((Tnet-t)/(Tau_j))))*Salcycl</f>
        <v>5.4253393682131841E-2</v>
      </c>
      <c r="P64" s="169">
        <f>(INDEX(Models!$BJ64:$BT64,,T64)*(1-R64)+INDEX(Models!$BJ64:$BT64,,T64+1)*R64-ERP_i)*Q64*Ramure*Pc/MaxiM</f>
        <v>5.1899328148391522E-5</v>
      </c>
      <c r="Q64" s="305">
        <f t="shared" si="4"/>
        <v>0.5</v>
      </c>
      <c r="R64" s="177">
        <f t="shared" si="5"/>
        <v>0.97688221074603687</v>
      </c>
      <c r="S64" s="811">
        <f t="shared" si="6"/>
        <v>-2</v>
      </c>
      <c r="T64" s="176">
        <f t="shared" si="7"/>
        <v>4</v>
      </c>
      <c r="U64" s="251">
        <f t="shared" si="8"/>
        <v>-1.0231177892539631</v>
      </c>
      <c r="V64" s="383">
        <f t="shared" si="9"/>
        <v>35.602096549429383</v>
      </c>
      <c r="W64" s="402">
        <f t="shared" si="10"/>
        <v>19.505590787531677</v>
      </c>
      <c r="X64" s="157">
        <f t="shared" si="11"/>
        <v>46437</v>
      </c>
      <c r="Y64" s="385">
        <f t="shared" si="12"/>
        <v>18.949845864136133</v>
      </c>
      <c r="Z64" s="385">
        <f t="shared" si="22"/>
        <v>20.315881418895984</v>
      </c>
      <c r="AA64" s="386">
        <f t="shared" si="13"/>
        <v>22.108102057499504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8.1066236890993806E-2</v>
      </c>
      <c r="AD64" s="231">
        <f>(INDEX(Models!$BJ64:$BT64,,AH64)*(1-AF64)+INDEX(Models!$BJ64:$BT64,,AH64+1)*AF64-ERP_i)*AE64*Ramure*Pc/MaxiM</f>
        <v>4.6050123267215003E-4</v>
      </c>
      <c r="AE64" s="305">
        <f t="shared" si="15"/>
        <v>0.5</v>
      </c>
      <c r="AF64" s="177">
        <f t="shared" si="23"/>
        <v>0.50186977712001557</v>
      </c>
      <c r="AG64" s="811">
        <f t="shared" si="24"/>
        <v>2</v>
      </c>
      <c r="AH64" s="176">
        <f t="shared" si="16"/>
        <v>8</v>
      </c>
      <c r="AI64" s="225">
        <f t="shared" si="17"/>
        <v>2.5018697771200156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18.605595364299951</v>
      </c>
      <c r="C65" s="841"/>
      <c r="D65" s="393">
        <f t="shared" si="0"/>
        <v>19.947251865330248</v>
      </c>
      <c r="E65" s="385">
        <f t="shared" si="1"/>
        <v>21.092720867876565</v>
      </c>
      <c r="F65" s="385">
        <f t="shared" si="2"/>
        <v>21.093066039090015</v>
      </c>
      <c r="G65" s="110">
        <f t="shared" si="21"/>
        <v>0.51805513722497953</v>
      </c>
      <c r="H65" s="414" t="b">
        <f>Wh_hp&gt;='2026'!Maxi_hp</f>
        <v>0</v>
      </c>
      <c r="I65" s="390">
        <f>IF(H65,Wh_hp,'2026'!Maxi_hp)</f>
        <v>40.655100676030095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6.7260217602315042E-2</v>
      </c>
      <c r="M65" s="845"/>
      <c r="N65" s="845"/>
      <c r="O65" s="48">
        <f>IF(t&lt;Tnet,'2026'!Resal+('2026'!Salim-'2026'!Resal)*(1-EXP(('2026'!Tnet-t)/('2026'!Tau_j))),Resal+(Salim-Resal)*(1-EXP((Tnet-t)/(Tau_j))))*Salcycl</f>
        <v>5.4306365201600197E-2</v>
      </c>
      <c r="P65" s="169">
        <f>(INDEX(Models!$BJ65:$BT65,,T65)*(1-R65)+INDEX(Models!$BJ65:$BT65,,T65+1)*R65-ERP_i)*Q65*Ramure*Pc/MaxiM</f>
        <v>5.2527805868771745E-5</v>
      </c>
      <c r="Q65" s="305">
        <f t="shared" si="4"/>
        <v>0.5</v>
      </c>
      <c r="R65" s="177">
        <f t="shared" si="5"/>
        <v>0.97709707315194705</v>
      </c>
      <c r="S65" s="811">
        <f t="shared" si="6"/>
        <v>-2</v>
      </c>
      <c r="T65" s="176">
        <f t="shared" si="7"/>
        <v>4</v>
      </c>
      <c r="U65" s="251">
        <f t="shared" si="8"/>
        <v>-1.022902926848053</v>
      </c>
      <c r="V65" s="383">
        <f t="shared" si="9"/>
        <v>35.913016146477538</v>
      </c>
      <c r="W65" s="402">
        <f t="shared" si="10"/>
        <v>18.605595364299951</v>
      </c>
      <c r="X65" s="157">
        <f t="shared" si="11"/>
        <v>46438</v>
      </c>
      <c r="Y65" s="385">
        <f t="shared" si="12"/>
        <v>18.076247073895754</v>
      </c>
      <c r="Z65" s="385">
        <f t="shared" si="22"/>
        <v>19.379732069998411</v>
      </c>
      <c r="AA65" s="386">
        <f t="shared" si="13"/>
        <v>21.089961044090618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8.1092087866677695E-2</v>
      </c>
      <c r="AD65" s="231">
        <f>(INDEX(Models!$BJ65:$BT65,,AH65)*(1-AF65)+INDEX(Models!$BJ65:$BT65,,AH65+1)*AF65-ERP_i)*AE65*Ramure*Pc/MaxiM</f>
        <v>4.7251499602501008E-4</v>
      </c>
      <c r="AE65" s="305">
        <f t="shared" si="15"/>
        <v>0.5</v>
      </c>
      <c r="AF65" s="177">
        <f t="shared" si="23"/>
        <v>0.50208463952592597</v>
      </c>
      <c r="AG65" s="811">
        <f t="shared" si="24"/>
        <v>2</v>
      </c>
      <c r="AH65" s="176">
        <f t="shared" si="16"/>
        <v>8</v>
      </c>
      <c r="AI65" s="225">
        <f t="shared" si="17"/>
        <v>2.502084639525926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20.568485213230517</v>
      </c>
      <c r="C66" s="841"/>
      <c r="D66" s="393">
        <f t="shared" si="0"/>
        <v>22.052169440910451</v>
      </c>
      <c r="E66" s="385">
        <f t="shared" si="1"/>
        <v>23.319817716382609</v>
      </c>
      <c r="F66" s="385">
        <f t="shared" si="2"/>
        <v>23.320288592750948</v>
      </c>
      <c r="G66" s="110">
        <f t="shared" si="21"/>
        <v>0.56775966485866936</v>
      </c>
      <c r="H66" s="414" t="b">
        <f>Wh_hp&gt;='2026'!Maxi_hp</f>
        <v>0</v>
      </c>
      <c r="I66" s="390">
        <f>IF(H66,Wh_hp,'2026'!Maxi_hp)</f>
        <v>38.737384022485628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6.7280646997363136E-2</v>
      </c>
      <c r="M66" s="845"/>
      <c r="N66" s="845"/>
      <c r="O66" s="48">
        <f>IF(t&lt;Tnet,'2026'!Resal+('2026'!Salim-'2026'!Resal)*(1-EXP(('2026'!Tnet-t)/('2026'!Tau_j))),Resal+(Salim-Resal)*(1-EXP((Tnet-t)/(Tau_j))))*Salcycl</f>
        <v>5.4359270337761362E-2</v>
      </c>
      <c r="P66" s="169">
        <f>(INDEX(Models!$BJ66:$BT66,,T66)*(1-R66)+INDEX(Models!$BJ66:$BT66,,T66+1)*R66-ERP_i)*Q66*Ramure*Pc/MaxiM</f>
        <v>5.2783215739631982E-5</v>
      </c>
      <c r="Q66" s="305">
        <f t="shared" si="4"/>
        <v>0.5</v>
      </c>
      <c r="R66" s="177">
        <f t="shared" si="5"/>
        <v>0.97732075140123387</v>
      </c>
      <c r="S66" s="811">
        <f t="shared" si="6"/>
        <v>-2</v>
      </c>
      <c r="T66" s="176">
        <f t="shared" si="7"/>
        <v>4</v>
      </c>
      <c r="U66" s="251">
        <f t="shared" si="8"/>
        <v>-1.0226792485987661</v>
      </c>
      <c r="V66" s="383">
        <f t="shared" si="9"/>
        <v>36.2262698721132</v>
      </c>
      <c r="W66" s="402">
        <f t="shared" si="10"/>
        <v>20.568485213230517</v>
      </c>
      <c r="X66" s="157">
        <f t="shared" si="11"/>
        <v>46439</v>
      </c>
      <c r="Y66" s="385">
        <f t="shared" si="12"/>
        <v>19.983142359451055</v>
      </c>
      <c r="Z66" s="385">
        <f t="shared" si="22"/>
        <v>21.424603547809692</v>
      </c>
      <c r="AA66" s="386">
        <f t="shared" si="13"/>
        <v>23.315943774761582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8.1117892769975608E-2</v>
      </c>
      <c r="AD66" s="231">
        <f>(INDEX(Models!$BJ66:$BT66,,AH66)*(1-AF66)+INDEX(Models!$BJ66:$BT66,,AH66+1)*AF66-ERP_i)*AE66*Ramure*Pc/MaxiM</f>
        <v>4.8703541035770883E-4</v>
      </c>
      <c r="AE66" s="305">
        <f t="shared" si="15"/>
        <v>0.5</v>
      </c>
      <c r="AF66" s="177">
        <f t="shared" si="23"/>
        <v>0.50230831777521256</v>
      </c>
      <c r="AG66" s="811">
        <f t="shared" si="24"/>
        <v>2</v>
      </c>
      <c r="AH66" s="176">
        <f t="shared" si="16"/>
        <v>8</v>
      </c>
      <c r="AI66" s="225">
        <f t="shared" si="17"/>
        <v>2.5023083177752126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31.791767477431264</v>
      </c>
      <c r="C67" s="841"/>
      <c r="D67" s="393">
        <f t="shared" si="0"/>
        <v>34.085776939906722</v>
      </c>
      <c r="E67" s="385">
        <f t="shared" si="1"/>
        <v>36.047179942747313</v>
      </c>
      <c r="F67" s="385">
        <f t="shared" si="2"/>
        <v>36.04872186239573</v>
      </c>
      <c r="G67" s="110">
        <f t="shared" si="21"/>
        <v>0.87000776941779767</v>
      </c>
      <c r="H67" s="414" t="b">
        <f>Wh_hp&gt;='2026'!Maxi_hp</f>
        <v>0</v>
      </c>
      <c r="I67" s="390">
        <f>IF(H67,Wh_hp,'2026'!Maxi_hp)</f>
        <v>40.196901311599696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6.7301075944954936E-2</v>
      </c>
      <c r="M67" s="845"/>
      <c r="N67" s="845"/>
      <c r="O67" s="48">
        <f>IF(t&lt;Tnet,'2026'!Resal+('2026'!Salim-'2026'!Resal)*(1-EXP(('2026'!Tnet-t)/('2026'!Tau_j))),Resal+(Salim-Resal)*(1-EXP((Tnet-t)/(Tau_j))))*Salcycl</f>
        <v>5.4412106743324369E-2</v>
      </c>
      <c r="P67" s="169">
        <f>(INDEX(Models!$BJ67:$BT67,,T67)*(1-R67)+INDEX(Models!$BJ67:$BT67,,T67+1)*R67-ERP_i)*Q67*Ramure*Pc/MaxiM</f>
        <v>5.2527008836445688E-5</v>
      </c>
      <c r="Q67" s="305">
        <f t="shared" si="4"/>
        <v>0.5</v>
      </c>
      <c r="R67" s="177">
        <f t="shared" si="5"/>
        <v>0.977553598660303</v>
      </c>
      <c r="S67" s="811">
        <f t="shared" si="6"/>
        <v>-2</v>
      </c>
      <c r="T67" s="176">
        <f t="shared" si="7"/>
        <v>4</v>
      </c>
      <c r="U67" s="251">
        <f t="shared" si="8"/>
        <v>-1.022446401339697</v>
      </c>
      <c r="V67" s="383">
        <f t="shared" si="9"/>
        <v>36.541578697651744</v>
      </c>
      <c r="W67" s="402">
        <f t="shared" si="10"/>
        <v>31.791767477431264</v>
      </c>
      <c r="X67" s="157">
        <f t="shared" si="11"/>
        <v>46440</v>
      </c>
      <c r="Y67" s="385">
        <f t="shared" si="12"/>
        <v>30.88168509584407</v>
      </c>
      <c r="Z67" s="385">
        <f t="shared" si="22"/>
        <v>33.110025431981228</v>
      </c>
      <c r="AA67" s="386">
        <f t="shared" si="13"/>
        <v>36.033951730461212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8.1143648089206141E-2</v>
      </c>
      <c r="AD67" s="231">
        <f>(INDEX(Models!$BJ67:$BT67,,AH67)*(1-AF67)+INDEX(Models!$BJ67:$BT67,,AH67+1)*AF67-ERP_i)*AE67*Ramure*Pc/MaxiM</f>
        <v>5.0315906632181554E-4</v>
      </c>
      <c r="AE67" s="305">
        <f t="shared" si="15"/>
        <v>0.5</v>
      </c>
      <c r="AF67" s="177">
        <f t="shared" si="23"/>
        <v>0.50254116503428214</v>
      </c>
      <c r="AG67" s="811">
        <f t="shared" si="24"/>
        <v>2</v>
      </c>
      <c r="AH67" s="176">
        <f t="shared" si="16"/>
        <v>8</v>
      </c>
      <c r="AI67" s="225">
        <f t="shared" si="17"/>
        <v>2.5025411650342821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32.895580753393723</v>
      </c>
      <c r="C68" s="841"/>
      <c r="D68" s="393">
        <f t="shared" si="0"/>
        <v>35.270010952512003</v>
      </c>
      <c r="E68" s="385">
        <f t="shared" si="1"/>
        <v>37.30164003429843</v>
      </c>
      <c r="F68" s="385">
        <f t="shared" si="2"/>
        <v>37.303274653409296</v>
      </c>
      <c r="G68" s="110">
        <f t="shared" si="21"/>
        <v>0.89247196457984146</v>
      </c>
      <c r="H68" s="414" t="b">
        <f>Wh_hp&gt;='2026'!Maxi_hp</f>
        <v>0</v>
      </c>
      <c r="I68" s="390">
        <f>IF(H68,Wh_hp,'2026'!Maxi_hp)</f>
        <v>40.899659056750139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6.7321504445100433E-2</v>
      </c>
      <c r="M68" s="845"/>
      <c r="N68" s="845"/>
      <c r="O68" s="48">
        <f>IF(t&lt;Tnet,'2026'!Resal+('2026'!Salim-'2026'!Resal)*(1-EXP(('2026'!Tnet-t)/('2026'!Tau_j))),Resal+(Salim-Resal)*(1-EXP((Tnet-t)/(Tau_j))))*Salcycl</f>
        <v>5.4464872855948747E-2</v>
      </c>
      <c r="P68" s="169">
        <f>(INDEX(Models!$BJ68:$BT68,,T68)*(1-R68)+INDEX(Models!$BJ68:$BT68,,T68+1)*R68-ERP_i)*Q68*Ramure*Pc/MaxiM</f>
        <v>5.177196477801242E-5</v>
      </c>
      <c r="Q68" s="305">
        <f t="shared" si="4"/>
        <v>0.5</v>
      </c>
      <c r="R68" s="177">
        <f t="shared" si="5"/>
        <v>0.97779598152068092</v>
      </c>
      <c r="S68" s="811">
        <f t="shared" si="6"/>
        <v>-2</v>
      </c>
      <c r="T68" s="176">
        <f t="shared" si="7"/>
        <v>4</v>
      </c>
      <c r="U68" s="251">
        <f t="shared" si="8"/>
        <v>-1.0222040184793191</v>
      </c>
      <c r="V68" s="383">
        <f t="shared" si="9"/>
        <v>36.858658259097027</v>
      </c>
      <c r="W68" s="402">
        <f t="shared" si="10"/>
        <v>32.895580753393723</v>
      </c>
      <c r="X68" s="157">
        <f t="shared" si="11"/>
        <v>46441</v>
      </c>
      <c r="Y68" s="385">
        <f t="shared" si="12"/>
        <v>31.953828262573094</v>
      </c>
      <c r="Z68" s="385">
        <f t="shared" si="22"/>
        <v>34.260281988770501</v>
      </c>
      <c r="AA68" s="386">
        <f t="shared" si="13"/>
        <v>37.286829781297961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8.1169351491648972E-2</v>
      </c>
      <c r="AD68" s="231">
        <f>(INDEX(Models!$BJ68:$BT68,,AH68)*(1-AF68)+INDEX(Models!$BJ68:$BT68,,AH68+1)*AF68-ERP_i)*AE68*Ramure*Pc/MaxiM</f>
        <v>5.2084509110711039E-4</v>
      </c>
      <c r="AE68" s="305">
        <f t="shared" si="15"/>
        <v>0.5</v>
      </c>
      <c r="AF68" s="177">
        <f t="shared" si="23"/>
        <v>0.50278354789465984</v>
      </c>
      <c r="AG68" s="811">
        <f t="shared" si="24"/>
        <v>2</v>
      </c>
      <c r="AH68" s="176">
        <f t="shared" si="16"/>
        <v>8</v>
      </c>
      <c r="AI68" s="225">
        <f t="shared" si="17"/>
        <v>2.5027835478946598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20.224340572116411</v>
      </c>
      <c r="C69" s="841"/>
      <c r="D69" s="393">
        <f t="shared" si="0"/>
        <v>21.684625134139967</v>
      </c>
      <c r="E69" s="385">
        <f t="shared" si="1"/>
        <v>22.934984722438752</v>
      </c>
      <c r="F69" s="385">
        <f t="shared" si="2"/>
        <v>22.935388693883059</v>
      </c>
      <c r="G69" s="110">
        <f t="shared" si="21"/>
        <v>0.54398022557130266</v>
      </c>
      <c r="H69" s="414" t="b">
        <f>Wh_hp&gt;='2026'!Maxi_hp</f>
        <v>0</v>
      </c>
      <c r="I69" s="390">
        <f>IF(H69,Wh_hp,'2026'!Maxi_hp)</f>
        <v>41.03378848015074</v>
      </c>
      <c r="J69" s="85">
        <f>IF(H69,An,'2026'!An_max)</f>
        <v>2019</v>
      </c>
      <c r="K69" s="197">
        <f t="shared" si="3"/>
        <v>46442</v>
      </c>
      <c r="L69" s="147">
        <f>IF(t&lt;Tvie,1-EXP((T0-t)*PertePVj)+'2026'!Pspv,1-EXP((T0-t)*PertePVj)+Pspv)</f>
        <v>6.7341932497809398E-2</v>
      </c>
      <c r="M69" s="845"/>
      <c r="N69" s="845"/>
      <c r="O69" s="48">
        <f>IF(t&lt;Tnet,'2026'!Resal+('2026'!Salim-'2026'!Resal)*(1-EXP(('2026'!Tnet-t)/('2026'!Tau_j))),Resal+(Salim-Resal)*(1-EXP((Tnet-t)/(Tau_j))))*Salcycl</f>
        <v>5.4517567961380811E-2</v>
      </c>
      <c r="P69" s="169">
        <f>(INDEX(Models!$BJ69:$BT69,,T69)*(1-R69)+INDEX(Models!$BJ69:$BT69,,T69+1)*R69-ERP_i)*Q69*Ramure*Pc/MaxiM</f>
        <v>5.0530791317477743E-5</v>
      </c>
      <c r="Q69" s="305">
        <f t="shared" si="4"/>
        <v>0.5</v>
      </c>
      <c r="R69" s="177">
        <f t="shared" si="5"/>
        <v>0.97804828044789915</v>
      </c>
      <c r="S69" s="811">
        <f t="shared" si="6"/>
        <v>-2</v>
      </c>
      <c r="T69" s="176">
        <f t="shared" si="7"/>
        <v>4</v>
      </c>
      <c r="U69" s="251">
        <f t="shared" si="8"/>
        <v>-1.0219517195521008</v>
      </c>
      <c r="V69" s="383">
        <f t="shared" si="9"/>
        <v>37.177224241446005</v>
      </c>
      <c r="W69" s="402">
        <f t="shared" si="10"/>
        <v>20.224340572116411</v>
      </c>
      <c r="X69" s="157">
        <f t="shared" si="11"/>
        <v>46442</v>
      </c>
      <c r="Y69" s="385">
        <f t="shared" si="12"/>
        <v>19.65034332510724</v>
      </c>
      <c r="Z69" s="385">
        <f t="shared" si="22"/>
        <v>21.069182811803731</v>
      </c>
      <c r="AA69" s="386">
        <f t="shared" si="13"/>
        <v>22.931071180160064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8.1195001913701978E-2</v>
      </c>
      <c r="AD69" s="231">
        <f>(INDEX(Models!$BJ69:$BT69,,AH69)*(1-AF69)+INDEX(Models!$BJ69:$BT69,,AH69+1)*AF69-ERP_i)*AE69*Ramure*Pc/MaxiM</f>
        <v>5.4005645206118549E-4</v>
      </c>
      <c r="AE69" s="305">
        <f t="shared" si="15"/>
        <v>0.5</v>
      </c>
      <c r="AF69" s="177">
        <f t="shared" si="23"/>
        <v>0.50303584682187807</v>
      </c>
      <c r="AG69" s="811">
        <f t="shared" si="24"/>
        <v>2</v>
      </c>
      <c r="AH69" s="176">
        <f t="shared" si="16"/>
        <v>8</v>
      </c>
      <c r="AI69" s="225">
        <f t="shared" si="17"/>
        <v>2.5030358468218781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29.456940393159492</v>
      </c>
      <c r="C70" s="841"/>
      <c r="D70" s="393">
        <f t="shared" si="0"/>
        <v>31.584550240129264</v>
      </c>
      <c r="E70" s="385">
        <f t="shared" si="1"/>
        <v>33.407609937030642</v>
      </c>
      <c r="F70" s="385">
        <f t="shared" si="2"/>
        <v>33.408741255466808</v>
      </c>
      <c r="G70" s="110">
        <f t="shared" si="21"/>
        <v>0.78556966941939099</v>
      </c>
      <c r="H70" s="414" t="b">
        <f>Wh_hp&gt;='2026'!Maxi_hp</f>
        <v>0</v>
      </c>
      <c r="I70" s="390">
        <f>IF(H70,Wh_hp,'2026'!Maxi_hp)</f>
        <v>42.028165575806206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6.736236010309149E-2</v>
      </c>
      <c r="M70" s="845"/>
      <c r="N70" s="845"/>
      <c r="O70" s="48">
        <f>IF(t&lt;Tnet,'2026'!Resal+('2026'!Salim-'2026'!Resal)*(1-EXP(('2026'!Tnet-t)/('2026'!Tau_j))),Resal+(Salim-Resal)*(1-EXP((Tnet-t)/(Tau_j))))*Salcycl</f>
        <v>5.4570192250736428E-2</v>
      </c>
      <c r="P70" s="169">
        <f>(INDEX(Models!$BJ70:$BT70,,T70)*(1-R70)+INDEX(Models!$BJ70:$BT70,,T70+1)*R70-ERP_i)*Q70*Ramure*Pc/MaxiM</f>
        <v>4.8815836291405693E-5</v>
      </c>
      <c r="Q70" s="305">
        <f t="shared" si="4"/>
        <v>0.5</v>
      </c>
      <c r="R70" s="177">
        <f t="shared" si="5"/>
        <v>0.97831089024003526</v>
      </c>
      <c r="S70" s="811">
        <f t="shared" si="6"/>
        <v>-2</v>
      </c>
      <c r="T70" s="176">
        <f t="shared" si="7"/>
        <v>4</v>
      </c>
      <c r="U70" s="251">
        <f t="shared" si="8"/>
        <v>-1.0216891097599647</v>
      </c>
      <c r="V70" s="383">
        <f t="shared" si="9"/>
        <v>37.49699238470793</v>
      </c>
      <c r="W70" s="402">
        <f t="shared" si="10"/>
        <v>29.456940393159492</v>
      </c>
      <c r="X70" s="157">
        <f t="shared" si="11"/>
        <v>46443</v>
      </c>
      <c r="Y70" s="385">
        <f t="shared" si="12"/>
        <v>28.616422025294945</v>
      </c>
      <c r="Z70" s="385">
        <f t="shared" si="22"/>
        <v>30.68332308404166</v>
      </c>
      <c r="AA70" s="386">
        <f t="shared" si="13"/>
        <v>33.395745564262519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8.1220599641993893E-2</v>
      </c>
      <c r="AD70" s="231">
        <f>(INDEX(Models!$BJ70:$BT70,,AH70)*(1-AF70)+INDEX(Models!$BJ70:$BT70,,AH70+1)*AF70-ERP_i)*AE70*Ramure*Pc/MaxiM</f>
        <v>5.6075770892114797E-4</v>
      </c>
      <c r="AE70" s="305">
        <f t="shared" si="15"/>
        <v>0.5</v>
      </c>
      <c r="AF70" s="177">
        <f t="shared" si="23"/>
        <v>0.50329845661401418</v>
      </c>
      <c r="AG70" s="811">
        <f t="shared" si="24"/>
        <v>2</v>
      </c>
      <c r="AH70" s="176">
        <f t="shared" si="16"/>
        <v>8</v>
      </c>
      <c r="AI70" s="225">
        <f t="shared" si="17"/>
        <v>2.5032984566140142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37.935683701849221</v>
      </c>
      <c r="C71" s="841"/>
      <c r="D71" s="393">
        <f t="shared" si="0"/>
        <v>40.676585402530037</v>
      </c>
      <c r="E71" s="385">
        <f t="shared" si="1"/>
        <v>43.026828991198173</v>
      </c>
      <c r="F71" s="385">
        <f t="shared" si="2"/>
        <v>43.028835815721585</v>
      </c>
      <c r="G71" s="110">
        <f t="shared" si="21"/>
        <v>1.0031203719459276</v>
      </c>
      <c r="H71" s="414" t="b">
        <f>Wh_hp&gt;='2026'!Maxi_hp</f>
        <v>1</v>
      </c>
      <c r="I71" s="390">
        <f>IF(H71,Wh_hp,'2026'!Maxi_hp)</f>
        <v>43.028835815721585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6.73827872609567E-2</v>
      </c>
      <c r="M71" s="845"/>
      <c r="N71" s="845"/>
      <c r="O71" s="48">
        <f>IF(t&lt;Tnet,'2026'!Resal+('2026'!Salim-'2026'!Resal)*(1-EXP(('2026'!Tnet-t)/('2026'!Tau_j))),Resal+(Salim-Resal)*(1-EXP((Tnet-t)/(Tau_j))))*Salcycl</f>
        <v>5.4622746871467558E-2</v>
      </c>
      <c r="P71" s="169">
        <f>(INDEX(Models!$BJ71:$BT71,,T71)*(1-R71)+INDEX(Models!$BJ71:$BT71,,T71+1)*R71-ERP_i)*Q71*Ramure*Pc/MaxiM</f>
        <v>4.6639061582125452E-5</v>
      </c>
      <c r="Q71" s="305">
        <f t="shared" si="4"/>
        <v>0.5</v>
      </c>
      <c r="R71" s="177">
        <f t="shared" si="5"/>
        <v>0.97858422049560057</v>
      </c>
      <c r="S71" s="811">
        <f t="shared" si="6"/>
        <v>-2</v>
      </c>
      <c r="T71" s="176">
        <f t="shared" si="7"/>
        <v>4</v>
      </c>
      <c r="U71" s="251">
        <f t="shared" si="8"/>
        <v>-1.0214157795043994</v>
      </c>
      <c r="V71" s="383">
        <f t="shared" si="9"/>
        <v>37.817678478863662</v>
      </c>
      <c r="W71" s="402">
        <f t="shared" si="10"/>
        <v>37.935683701849221</v>
      </c>
      <c r="X71" s="157">
        <f t="shared" si="11"/>
        <v>46444</v>
      </c>
      <c r="Y71" s="385">
        <f t="shared" si="12"/>
        <v>36.847579605593396</v>
      </c>
      <c r="Z71" s="385">
        <f t="shared" si="22"/>
        <v>39.50986439267421</v>
      </c>
      <c r="AA71" s="386">
        <f t="shared" si="13"/>
        <v>43.003753657421242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8.1246146384807066E-2</v>
      </c>
      <c r="AD71" s="231">
        <f>(INDEX(Models!$BJ71:$BT71,,AH71)*(1-AF71)+INDEX(Models!$BJ71:$BT71,,AH71+1)*AF71-ERP_i)*AE71*Ramure*Pc/MaxiM</f>
        <v>5.8291510390288492E-4</v>
      </c>
      <c r="AE71" s="305">
        <f t="shared" si="15"/>
        <v>0.5</v>
      </c>
      <c r="AF71" s="177">
        <f t="shared" si="23"/>
        <v>0.50357178686957926</v>
      </c>
      <c r="AG71" s="811">
        <f t="shared" si="24"/>
        <v>2</v>
      </c>
      <c r="AH71" s="176">
        <f t="shared" si="16"/>
        <v>8</v>
      </c>
      <c r="AI71" s="225">
        <f t="shared" si="17"/>
        <v>2.5035717868695793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26.437812633686939</v>
      </c>
      <c r="C72" s="841"/>
      <c r="D72" s="393">
        <f t="shared" si="0"/>
        <v>28.348599340848018</v>
      </c>
      <c r="E72" s="385">
        <f t="shared" si="1"/>
        <v>29.988211839566986</v>
      </c>
      <c r="F72" s="385">
        <f t="shared" si="2"/>
        <v>29.988955310525355</v>
      </c>
      <c r="G72" s="110">
        <f t="shared" si="21"/>
        <v>0.69318297827404285</v>
      </c>
      <c r="H72" s="414" t="b">
        <f>Wh_hp&gt;='2026'!Maxi_hp</f>
        <v>0</v>
      </c>
      <c r="I72" s="390">
        <f>IF(H72,Wh_hp,'2026'!Maxi_hp)</f>
        <v>42.246597609719124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6.7403213971414577E-2</v>
      </c>
      <c r="M72" s="845"/>
      <c r="N72" s="845"/>
      <c r="O72" s="48">
        <f>IF(t&lt;Tnet,'2026'!Resal+('2026'!Salim-'2026'!Resal)*(1-EXP(('2026'!Tnet-t)/('2026'!Tau_j))),Resal+(Salim-Resal)*(1-EXP((Tnet-t)/(Tau_j))))*Salcycl</f>
        <v>5.4675233971624493E-2</v>
      </c>
      <c r="P72" s="169">
        <f>(INDEX(Models!$BJ72:$BT72,,T72)*(1-R72)+INDEX(Models!$BJ72:$BT72,,T72+1)*R72-ERP_i)*Q72*Ramure*Pc/MaxiM</f>
        <v>4.4135819211564467E-5</v>
      </c>
      <c r="Q72" s="305">
        <f t="shared" si="4"/>
        <v>0.5</v>
      </c>
      <c r="R72" s="177">
        <f t="shared" si="5"/>
        <v>0.97886869609041072</v>
      </c>
      <c r="S72" s="811">
        <f t="shared" si="6"/>
        <v>-2</v>
      </c>
      <c r="T72" s="176">
        <f t="shared" si="7"/>
        <v>4</v>
      </c>
      <c r="U72" s="251">
        <f t="shared" si="8"/>
        <v>-1.0211313039095893</v>
      </c>
      <c r="V72" s="383">
        <f t="shared" si="9"/>
        <v>38.138993639380523</v>
      </c>
      <c r="W72" s="402">
        <f t="shared" si="10"/>
        <v>26.437812633686939</v>
      </c>
      <c r="X72" s="157">
        <f t="shared" si="11"/>
        <v>46445</v>
      </c>
      <c r="Y72" s="385">
        <f t="shared" si="12"/>
        <v>25.685916317421857</v>
      </c>
      <c r="Z72" s="385">
        <f t="shared" si="22"/>
        <v>27.542359894680729</v>
      </c>
      <c r="AA72" s="386">
        <f t="shared" si="13"/>
        <v>29.978785083510381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8.1271645333279047E-2</v>
      </c>
      <c r="AD72" s="231">
        <f>(INDEX(Models!$BJ72:$BT72,,AH72)*(1-AF72)+INDEX(Models!$BJ72:$BT72,,AH72+1)*AF72-ERP_i)*AE72*Ramure*Pc/MaxiM</f>
        <v>6.0375095465382475E-4</v>
      </c>
      <c r="AE72" s="305">
        <f t="shared" si="15"/>
        <v>0.5</v>
      </c>
      <c r="AF72" s="177">
        <f t="shared" si="23"/>
        <v>0.50385626246438964</v>
      </c>
      <c r="AG72" s="811">
        <f t="shared" si="24"/>
        <v>2</v>
      </c>
      <c r="AH72" s="176">
        <f t="shared" si="16"/>
        <v>8</v>
      </c>
      <c r="AI72" s="225">
        <f t="shared" si="17"/>
        <v>2.5038562624643896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32.669520157815988</v>
      </c>
      <c r="C73" s="841"/>
      <c r="D73" s="393">
        <f t="shared" si="0"/>
        <v>35.03146934373288</v>
      </c>
      <c r="E73" s="385">
        <f t="shared" si="1"/>
        <v>37.0596575615563</v>
      </c>
      <c r="F73" s="385">
        <f t="shared" si="2"/>
        <v>37.060864566632496</v>
      </c>
      <c r="G73" s="110">
        <f t="shared" si="21"/>
        <v>0.8494196338114044</v>
      </c>
      <c r="H73" s="414" t="b">
        <f>Wh_hp&gt;='2026'!Maxi_hp</f>
        <v>0</v>
      </c>
      <c r="I73" s="390">
        <f>IF(H73,Wh_hp,'2026'!Maxi_hp)</f>
        <v>37.061033095129147</v>
      </c>
      <c r="J73" s="85">
        <f>IF(H73,An,'2026'!An_max)</f>
        <v>2026</v>
      </c>
      <c r="K73" s="197">
        <f t="shared" si="3"/>
        <v>46446</v>
      </c>
      <c r="L73" s="147">
        <f>IF(t&lt;Tvie,1-EXP((T0-t)*PertePVj)+'2026'!Pspv,1-EXP((T0-t)*PertePVj)+Pspv)</f>
        <v>6.7423640234475224E-2</v>
      </c>
      <c r="M73" s="845"/>
      <c r="N73" s="845"/>
      <c r="O73" s="48">
        <f>IF(t&lt;Tnet,'2026'!Resal+('2026'!Salim-'2026'!Resal)*(1-EXP(('2026'!Tnet-t)/('2026'!Tau_j))),Resal+(Salim-Resal)*(1-EXP((Tnet-t)/(Tau_j))))*Salcycl</f>
        <v>5.4727656737102559E-2</v>
      </c>
      <c r="P73" s="169">
        <f>(INDEX(Models!$BJ73:$BT73,,T73)*(1-R73)+INDEX(Models!$BJ73:$BT73,,T73+1)*R73-ERP_i)*Q73*Ramure*Pc/MaxiM</f>
        <v>4.1493629233426124E-5</v>
      </c>
      <c r="Q73" s="305">
        <f t="shared" si="4"/>
        <v>0.5</v>
      </c>
      <c r="R73" s="177">
        <f t="shared" si="5"/>
        <v>0.97916475766299826</v>
      </c>
      <c r="S73" s="811">
        <f t="shared" si="6"/>
        <v>-2</v>
      </c>
      <c r="T73" s="176">
        <f t="shared" si="7"/>
        <v>4</v>
      </c>
      <c r="U73" s="251">
        <f t="shared" si="8"/>
        <v>-1.0208352423370017</v>
      </c>
      <c r="V73" s="383">
        <f t="shared" si="9"/>
        <v>38.460646843933326</v>
      </c>
      <c r="W73" s="402">
        <f t="shared" si="10"/>
        <v>32.669520157815988</v>
      </c>
      <c r="X73" s="157">
        <f t="shared" si="11"/>
        <v>46446</v>
      </c>
      <c r="Y73" s="385">
        <f t="shared" si="12"/>
        <v>31.736792240138499</v>
      </c>
      <c r="Z73" s="385">
        <f t="shared" si="22"/>
        <v>34.031306828448876</v>
      </c>
      <c r="AA73" s="386">
        <f t="shared" si="13"/>
        <v>37.042777238804348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8.1297101211968162E-2</v>
      </c>
      <c r="AD73" s="231">
        <f>(INDEX(Models!$BJ73:$BT73,,AH73)*(1-AF73)+INDEX(Models!$BJ73:$BT73,,AH73+1)*AF73-ERP_i)*AE73*Ramure*Pc/MaxiM</f>
        <v>6.2179429857139108E-4</v>
      </c>
      <c r="AE73" s="305">
        <f t="shared" si="15"/>
        <v>0.5</v>
      </c>
      <c r="AF73" s="177">
        <f t="shared" si="23"/>
        <v>0.50415232403697718</v>
      </c>
      <c r="AG73" s="811">
        <f t="shared" si="24"/>
        <v>2</v>
      </c>
      <c r="AH73" s="176">
        <f t="shared" si="16"/>
        <v>8</v>
      </c>
      <c r="AI73" s="225">
        <f t="shared" si="17"/>
        <v>2.5041523240369772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37.924606793998215</v>
      </c>
      <c r="C74" s="841"/>
      <c r="D74" s="393">
        <f t="shared" si="0"/>
        <v>40.667380275377255</v>
      </c>
      <c r="E74" s="385">
        <f t="shared" si="1"/>
        <v>43.024249498506911</v>
      </c>
      <c r="F74" s="385">
        <f t="shared" si="2"/>
        <v>43.025862658568876</v>
      </c>
      <c r="G74" s="110">
        <f t="shared" si="21"/>
        <v>0.97788185834689045</v>
      </c>
      <c r="H74" s="414" t="b">
        <f>Wh_hp&gt;='2026'!Maxi_hp</f>
        <v>0</v>
      </c>
      <c r="I74" s="390">
        <f>IF(H74,Wh_hp,'2026'!Maxi_hp)</f>
        <v>43.025889465210824</v>
      </c>
      <c r="J74" s="85">
        <f>IF(H74,An,'2026'!An_max)</f>
        <v>2026</v>
      </c>
      <c r="K74" s="197">
        <f t="shared" si="3"/>
        <v>46447</v>
      </c>
      <c r="L74" s="147">
        <f>IF(t&lt;Tvie,1-EXP((T0-t)*PertePVj)+'2026'!Pspv,1-EXP((T0-t)*PertePVj)+Pspv)</f>
        <v>6.7444066050148188E-2</v>
      </c>
      <c r="M74" s="845"/>
      <c r="N74" s="845"/>
      <c r="O74" s="48">
        <f>IF(t&lt;Tnet,'2026'!Resal+('2026'!Salim-'2026'!Resal)*(1-EXP(('2026'!Tnet-t)/('2026'!Tau_j))),Resal+(Salim-Resal)*(1-EXP((Tnet-t)/(Tau_j))))*Salcycl</f>
        <v>5.4780019421639174E-2</v>
      </c>
      <c r="P74" s="169">
        <f>(INDEX(Models!$BJ74:$BT74,,T74)*(1-R74)+INDEX(Models!$BJ74:$BT74,,T74+1)*R74-ERP_i)*Q74*Ramure*Pc/MaxiM</f>
        <v>3.8716058466656673E-5</v>
      </c>
      <c r="Q74" s="305">
        <f t="shared" si="4"/>
        <v>0.5</v>
      </c>
      <c r="R74" s="177">
        <f t="shared" si="5"/>
        <v>0.97947286210805706</v>
      </c>
      <c r="S74" s="811">
        <f t="shared" si="6"/>
        <v>-2</v>
      </c>
      <c r="T74" s="176">
        <f t="shared" si="7"/>
        <v>4</v>
      </c>
      <c r="U74" s="251">
        <f t="shared" si="8"/>
        <v>-1.0205271378919429</v>
      </c>
      <c r="V74" s="383">
        <f t="shared" si="9"/>
        <v>38.782354000075827</v>
      </c>
      <c r="W74" s="402">
        <f t="shared" si="10"/>
        <v>37.924606793998215</v>
      </c>
      <c r="X74" s="157">
        <f t="shared" si="11"/>
        <v>46447</v>
      </c>
      <c r="Y74" s="385">
        <f t="shared" si="12"/>
        <v>36.838293946869513</v>
      </c>
      <c r="Z74" s="385">
        <f t="shared" si="22"/>
        <v>39.502503394987237</v>
      </c>
      <c r="AA74" s="386">
        <f t="shared" si="13"/>
        <v>42.99931615683218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8.1322520318484956E-2</v>
      </c>
      <c r="AD74" s="231">
        <f>(INDEX(Models!$BJ74:$BT74,,AH74)*(1-AF74)+INDEX(Models!$BJ74:$BT74,,AH74+1)*AF74-ERP_i)*AE74*Ramure*Pc/MaxiM</f>
        <v>6.3711961234087051E-4</v>
      </c>
      <c r="AE74" s="305">
        <f t="shared" si="15"/>
        <v>0.5</v>
      </c>
      <c r="AF74" s="177">
        <f t="shared" si="23"/>
        <v>0.50446042848203598</v>
      </c>
      <c r="AG74" s="811">
        <f t="shared" si="24"/>
        <v>2</v>
      </c>
      <c r="AH74" s="176">
        <f t="shared" si="16"/>
        <v>8</v>
      </c>
      <c r="AI74" s="225">
        <f t="shared" si="17"/>
        <v>2.504460428482036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10.444024945565424</v>
      </c>
      <c r="C75" s="841"/>
      <c r="D75" s="393">
        <f t="shared" si="0"/>
        <v>11.199600282729634</v>
      </c>
      <c r="E75" s="385">
        <f t="shared" si="1"/>
        <v>11.849326428567828</v>
      </c>
      <c r="F75" s="385">
        <f t="shared" si="2"/>
        <v>11.849326428567828</v>
      </c>
      <c r="G75" s="110">
        <f t="shared" si="21"/>
        <v>0.26707487989580636</v>
      </c>
      <c r="H75" s="414" t="b">
        <f>Wh_hp&gt;='2026'!Maxi_hp</f>
        <v>0</v>
      </c>
      <c r="I75" s="390">
        <f>IF(H75,Wh_hp,'2026'!Maxi_hp)</f>
        <v>29.154269715170336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6.7464491418443462E-2</v>
      </c>
      <c r="M75" s="845"/>
      <c r="N75" s="845"/>
      <c r="O75" s="48">
        <f>IF(t&lt;Tnet,'2026'!Resal+('2026'!Salim-'2026'!Resal)*(1-EXP(('2026'!Tnet-t)/('2026'!Tau_j))),Resal+(Salim-Resal)*(1-EXP((Tnet-t)/(Tau_j))))*Salcycl</f>
        <v>5.483232736940663E-2</v>
      </c>
      <c r="P75" s="169">
        <f>(INDEX(Models!$BJ75:$BT75,,T75)*(1-R75)+INDEX(Models!$BJ75:$BT75,,T75+1)*R75-ERP_i)*Q75*Ramure*Pc/MaxiM</f>
        <v>3.5806466011001918E-5</v>
      </c>
      <c r="Q75" s="305">
        <f t="shared" si="4"/>
        <v>0.5</v>
      </c>
      <c r="R75" s="177">
        <f t="shared" si="5"/>
        <v>0.97979348307731873</v>
      </c>
      <c r="S75" s="811">
        <f t="shared" si="6"/>
        <v>-2</v>
      </c>
      <c r="T75" s="176">
        <f t="shared" si="7"/>
        <v>4</v>
      </c>
      <c r="U75" s="251">
        <f t="shared" si="8"/>
        <v>-1.0202065169226813</v>
      </c>
      <c r="V75" s="383">
        <f t="shared" si="9"/>
        <v>39.10383105298245</v>
      </c>
      <c r="W75" s="402">
        <f t="shared" si="10"/>
        <v>10.444024945565424</v>
      </c>
      <c r="X75" s="157">
        <f t="shared" si="11"/>
        <v>46448</v>
      </c>
      <c r="Y75" s="385">
        <f t="shared" si="12"/>
        <v>10.151029935024519</v>
      </c>
      <c r="Z75" s="385">
        <f t="shared" si="22"/>
        <v>10.885408482155125</v>
      </c>
      <c r="AA75" s="386">
        <f t="shared" si="13"/>
        <v>11.849326428567828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8.1347910552009919E-2</v>
      </c>
      <c r="AD75" s="231">
        <f>(INDEX(Models!$BJ75:$BT75,,AH75)*(1-AF75)+INDEX(Models!$BJ75:$BT75,,AH75+1)*AF75-ERP_i)*AE75*Ramure*Pc/MaxiM</f>
        <v>6.4979975167811749E-4</v>
      </c>
      <c r="AE75" s="305">
        <f t="shared" si="15"/>
        <v>0.5</v>
      </c>
      <c r="AF75" s="177">
        <f t="shared" si="23"/>
        <v>0.50478104945129765</v>
      </c>
      <c r="AG75" s="811">
        <f t="shared" si="24"/>
        <v>2</v>
      </c>
      <c r="AH75" s="176">
        <f t="shared" si="16"/>
        <v>8</v>
      </c>
      <c r="AI75" s="225">
        <f t="shared" si="17"/>
        <v>2.5047810494512976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33.660447913684685</v>
      </c>
      <c r="C76" s="841"/>
      <c r="D76" s="393">
        <f t="shared" si="0"/>
        <v>36.09641120393367</v>
      </c>
      <c r="E76" s="385">
        <f t="shared" si="1"/>
        <v>38.192596066660627</v>
      </c>
      <c r="F76" s="385">
        <f t="shared" si="2"/>
        <v>38.193586183535842</v>
      </c>
      <c r="G76" s="110">
        <f t="shared" si="21"/>
        <v>0.85378296557145517</v>
      </c>
      <c r="H76" s="414" t="b">
        <f>Wh_hp&gt;='2026'!Maxi_hp</f>
        <v>0</v>
      </c>
      <c r="I76" s="390">
        <f>IF(H76,Wh_hp,'2026'!Maxi_hp)</f>
        <v>39.010447727103518</v>
      </c>
      <c r="J76" s="85">
        <f>IF(H76,An,'2026'!An_max)</f>
        <v>2019</v>
      </c>
      <c r="K76" s="197">
        <f t="shared" si="3"/>
        <v>46449</v>
      </c>
      <c r="L76" s="147">
        <f>IF(t&lt;Tvie,1-EXP((T0-t)*PertePVj)+'2026'!Pspv,1-EXP((T0-t)*PertePVj)+Pspv)</f>
        <v>6.7484916339370704E-2</v>
      </c>
      <c r="M76" s="845"/>
      <c r="N76" s="845"/>
      <c r="O76" s="48">
        <f>IF(t&lt;Tnet,'2026'!Resal+('2026'!Salim-'2026'!Resal)*(1-EXP(('2026'!Tnet-t)/('2026'!Tau_j))),Resal+(Salim-Resal)*(1-EXP((Tnet-t)/(Tau_j))))*Salcycl</f>
        <v>5.4884587030122618E-2</v>
      </c>
      <c r="P76" s="169">
        <f>(INDEX(Models!$BJ76:$BT76,,T76)*(1-R76)+INDEX(Models!$BJ76:$BT76,,T76+1)*R76-ERP_i)*Q76*Ramure*Pc/MaxiM</f>
        <v>3.2767996509684977E-5</v>
      </c>
      <c r="Q76" s="305">
        <f t="shared" si="4"/>
        <v>0.5</v>
      </c>
      <c r="R76" s="177">
        <f t="shared" si="5"/>
        <v>0.98012711148717657</v>
      </c>
      <c r="S76" s="811">
        <f t="shared" si="6"/>
        <v>-2</v>
      </c>
      <c r="T76" s="176">
        <f t="shared" si="7"/>
        <v>4</v>
      </c>
      <c r="U76" s="251">
        <f t="shared" si="8"/>
        <v>-1.0198728885128234</v>
      </c>
      <c r="V76" s="383">
        <f t="shared" si="9"/>
        <v>39.42479398281511</v>
      </c>
      <c r="W76" s="402">
        <f t="shared" si="10"/>
        <v>33.660447913684685</v>
      </c>
      <c r="X76" s="157">
        <f t="shared" si="11"/>
        <v>46449</v>
      </c>
      <c r="Y76" s="385">
        <f t="shared" si="12"/>
        <v>32.700815668392643</v>
      </c>
      <c r="Z76" s="385">
        <f t="shared" si="22"/>
        <v>35.067331608218218</v>
      </c>
      <c r="AA76" s="386">
        <f t="shared" si="13"/>
        <v>38.173646487041744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8.1373281430632619E-2</v>
      </c>
      <c r="AD76" s="231">
        <f>(INDEX(Models!$BJ76:$BT76,,AH76)*(1-AF76)+INDEX(Models!$BJ76:$BT76,,AH76+1)*AF76-ERP_i)*AE76*Ramure*Pc/MaxiM</f>
        <v>6.5990583685205306E-4</v>
      </c>
      <c r="AE76" s="305">
        <f t="shared" si="15"/>
        <v>0.5</v>
      </c>
      <c r="AF76" s="177">
        <f t="shared" si="23"/>
        <v>0.50511467786115549</v>
      </c>
      <c r="AG76" s="811">
        <f t="shared" si="24"/>
        <v>2</v>
      </c>
      <c r="AH76" s="176">
        <f t="shared" si="16"/>
        <v>8</v>
      </c>
      <c r="AI76" s="225">
        <f t="shared" si="17"/>
        <v>2.5051146778611555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3.8716750614761417</v>
      </c>
      <c r="C77" s="841"/>
      <c r="D77" s="393">
        <f t="shared" si="0"/>
        <v>4.151954140789857</v>
      </c>
      <c r="E77" s="385">
        <f t="shared" si="1"/>
        <v>4.3933084760927228</v>
      </c>
      <c r="F77" s="385">
        <f t="shared" si="2"/>
        <v>4.3933084760927228</v>
      </c>
      <c r="G77" s="110">
        <f t="shared" si="21"/>
        <v>9.7410100870177374E-2</v>
      </c>
      <c r="H77" s="414" t="b">
        <f>Wh_hp&gt;='2026'!Maxi_hp</f>
        <v>0</v>
      </c>
      <c r="I77" s="390">
        <f>IF(H77,Wh_hp,'2026'!Maxi_hp)</f>
        <v>30.286197485540761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6.7505340812939685E-2</v>
      </c>
      <c r="M77" s="845"/>
      <c r="N77" s="845"/>
      <c r="O77" s="48">
        <f>IF(t&lt;Tnet,'2026'!Resal+('2026'!Salim-'2026'!Resal)*(1-EXP(('2026'!Tnet-t)/('2026'!Tau_j))),Resal+(Salim-Resal)*(1-EXP((Tnet-t)/(Tau_j))))*Salcycl</f>
        <v>5.4936805966677514E-2</v>
      </c>
      <c r="P77" s="169">
        <f>(INDEX(Models!$BJ77:$BT77,,T77)*(1-R77)+INDEX(Models!$BJ77:$BT77,,T77+1)*R77-ERP_i)*Q77*Ramure*Pc/MaxiM</f>
        <v>2.9603573353662603E-5</v>
      </c>
      <c r="Q77" s="305">
        <f t="shared" si="4"/>
        <v>0.5</v>
      </c>
      <c r="R77" s="177">
        <f t="shared" si="5"/>
        <v>0.98047425603227478</v>
      </c>
      <c r="S77" s="811">
        <f t="shared" si="6"/>
        <v>-2</v>
      </c>
      <c r="T77" s="176">
        <f t="shared" si="7"/>
        <v>4</v>
      </c>
      <c r="U77" s="251">
        <f t="shared" si="8"/>
        <v>-1.0195257439677252</v>
      </c>
      <c r="V77" s="383">
        <f t="shared" si="9"/>
        <v>39.744958802776033</v>
      </c>
      <c r="W77" s="402">
        <f t="shared" si="10"/>
        <v>3.8716750614761417</v>
      </c>
      <c r="X77" s="157">
        <f t="shared" si="11"/>
        <v>46450</v>
      </c>
      <c r="Y77" s="385">
        <f t="shared" si="12"/>
        <v>3.7632678783173938</v>
      </c>
      <c r="Z77" s="385">
        <f t="shared" si="22"/>
        <v>4.0356991230364514</v>
      </c>
      <c r="AA77" s="386">
        <f t="shared" si="13"/>
        <v>4.3933084760927228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8.1398644097561396E-2</v>
      </c>
      <c r="AD77" s="231">
        <f>(INDEX(Models!$BJ77:$BT77,,AH77)*(1-AF77)+INDEX(Models!$BJ77:$BT77,,AH77+1)*AF77-ERP_i)*AE77*Ramure*Pc/MaxiM</f>
        <v>6.6750714401626009E-4</v>
      </c>
      <c r="AE77" s="305">
        <f t="shared" si="15"/>
        <v>0.5</v>
      </c>
      <c r="AF77" s="177">
        <f t="shared" si="23"/>
        <v>0.5054618224062537</v>
      </c>
      <c r="AG77" s="811">
        <f t="shared" si="24"/>
        <v>2</v>
      </c>
      <c r="AH77" s="176">
        <f t="shared" si="16"/>
        <v>8</v>
      </c>
      <c r="AI77" s="225">
        <f t="shared" si="17"/>
        <v>2.5054618224062537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12.817488397430793</v>
      </c>
      <c r="C78" s="841"/>
      <c r="D78" s="393">
        <f t="shared" si="0"/>
        <v>13.745675659574598</v>
      </c>
      <c r="E78" s="385">
        <f t="shared" si="1"/>
        <v>14.545519105758531</v>
      </c>
      <c r="F78" s="385">
        <f t="shared" si="2"/>
        <v>14.545530001276456</v>
      </c>
      <c r="G78" s="110">
        <f t="shared" si="21"/>
        <v>0.3199168180879064</v>
      </c>
      <c r="H78" s="414" t="b">
        <f>Wh_hp&gt;='2026'!Maxi_hp</f>
        <v>0</v>
      </c>
      <c r="I78" s="390">
        <f>IF(H78,Wh_hp,'2026'!Maxi_hp)</f>
        <v>44.531611979407565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6.7525764839160396E-2</v>
      </c>
      <c r="M78" s="845"/>
      <c r="N78" s="845"/>
      <c r="O78" s="48">
        <f>IF(t&lt;Tnet,'2026'!Resal+('2026'!Salim-'2026'!Resal)*(1-EXP(('2026'!Tnet-t)/('2026'!Tau_j))),Resal+(Salim-Resal)*(1-EXP((Tnet-t)/(Tau_j))))*Salcycl</f>
        <v>5.4988992855351367E-2</v>
      </c>
      <c r="P78" s="169">
        <f>(INDEX(Models!$BJ78:$BT78,,T78)*(1-R78)+INDEX(Models!$BJ78:$BT78,,T78+1)*R78-ERP_i)*Q78*Ramure*Pc/MaxiM</f>
        <v>2.6315891802061527E-5</v>
      </c>
      <c r="Q78" s="305">
        <f t="shared" si="4"/>
        <v>0.5</v>
      </c>
      <c r="R78" s="177">
        <f t="shared" si="5"/>
        <v>0.98083544370417042</v>
      </c>
      <c r="S78" s="811">
        <f t="shared" si="6"/>
        <v>-2</v>
      </c>
      <c r="T78" s="176">
        <f t="shared" si="7"/>
        <v>4</v>
      </c>
      <c r="U78" s="251">
        <f t="shared" si="8"/>
        <v>-1.0191645562958296</v>
      </c>
      <c r="V78" s="383">
        <f t="shared" si="9"/>
        <v>40.064041556988542</v>
      </c>
      <c r="W78" s="402">
        <f t="shared" si="10"/>
        <v>12.817488397430793</v>
      </c>
      <c r="X78" s="157">
        <f t="shared" si="11"/>
        <v>46451</v>
      </c>
      <c r="Y78" s="385">
        <f t="shared" si="12"/>
        <v>12.458712514963064</v>
      </c>
      <c r="Z78" s="385">
        <f t="shared" si="22"/>
        <v>13.360918774140821</v>
      </c>
      <c r="AA78" s="386">
        <f t="shared" si="13"/>
        <v>14.545251496599237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8.1424011316361275E-2</v>
      </c>
      <c r="AD78" s="231">
        <f>(INDEX(Models!$BJ78:$BT78,,AH78)*(1-AF78)+INDEX(Models!$BJ78:$BT78,,AH78+1)*AF78-ERP_i)*AE78*Ramure*Pc/MaxiM</f>
        <v>6.7267100136517318E-4</v>
      </c>
      <c r="AE78" s="305">
        <f t="shared" si="15"/>
        <v>0.5</v>
      </c>
      <c r="AF78" s="177">
        <f t="shared" si="23"/>
        <v>0.50582301007814934</v>
      </c>
      <c r="AG78" s="811">
        <f t="shared" si="24"/>
        <v>2</v>
      </c>
      <c r="AH78" s="176">
        <f t="shared" si="16"/>
        <v>8</v>
      </c>
      <c r="AI78" s="225">
        <f t="shared" si="17"/>
        <v>2.5058230100781493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15.314752477020647</v>
      </c>
      <c r="C79" s="841"/>
      <c r="D79" s="393">
        <f t="shared" ref="D79:D142" si="25">Wh/(1-Ppv)</f>
        <v>16.424140570607303</v>
      </c>
      <c r="E79" s="385">
        <f t="shared" si="1"/>
        <v>17.380799915884392</v>
      </c>
      <c r="F79" s="385">
        <f t="shared" ref="F79:F142" si="26">Wh_sa/(1-Pvg*MEDIAN((-Sdif+Wh/Env_an)/Csdif,0,1))</f>
        <v>17.38084498452973</v>
      </c>
      <c r="G79" s="110">
        <f t="shared" si="21"/>
        <v>0.3792310560878096</v>
      </c>
      <c r="H79" s="414" t="b">
        <f>Wh_hp&gt;='2026'!Maxi_hp</f>
        <v>0</v>
      </c>
      <c r="I79" s="390">
        <f>IF(H79,Wh_hp,'2026'!Maxi_hp)</f>
        <v>23.382336400970807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6.7546188418042385E-2</v>
      </c>
      <c r="M79" s="845"/>
      <c r="N79" s="845"/>
      <c r="O79" s="48">
        <f>IF(t&lt;Tnet,'2026'!Resal+('2026'!Salim-'2026'!Resal)*(1-EXP(('2026'!Tnet-t)/('2026'!Tau_j))),Resal+(Salim-Resal)*(1-EXP((Tnet-t)/(Tau_j))))*Salcycl</f>
        <v>5.5041157478764507E-2</v>
      </c>
      <c r="P79" s="169">
        <f>(INDEX(Models!$BJ79:$BT79,,T79)*(1-R79)+INDEX(Models!$BJ79:$BT79,,T79+1)*R79-ERP_i)*Q79*Ramure*Pc/MaxiM</f>
        <v>2.2906777011315943E-5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0.9812112203140686</v>
      </c>
      <c r="S79" s="81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-1.0187887796859314</v>
      </c>
      <c r="V79" s="383">
        <f t="shared" ref="V79:V142" si="33">MaxiM*(1-Ppv)*(1-Pvg)*(1-Psa)</f>
        <v>40.382877746968752</v>
      </c>
      <c r="W79" s="402">
        <f t="shared" ref="W79:W142" si="34">Wh*(A79&gt;Tmaj)</f>
        <v>15.314752477020647</v>
      </c>
      <c r="X79" s="157">
        <f t="shared" ref="X79:X142" si="35">t</f>
        <v>46452</v>
      </c>
      <c r="Y79" s="385">
        <f t="shared" ref="Y79:Y142" si="36">Wh_pvt_s*(1-Ppv)</f>
        <v>14.885659965757798</v>
      </c>
      <c r="Z79" s="385">
        <f t="shared" ref="Z79:Z142" si="37">Wh_sa_s*(1-Psa_s)</f>
        <v>15.963964950181802</v>
      </c>
      <c r="AA79" s="386">
        <f t="shared" ref="AA79:AA142" si="38">Wh_hp*(1-Pvg_s*MEDIAN((-Sdif+Wh/Env_an)/Csdif,0,1))</f>
        <v>17.379516061455206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8.1449397455482339E-2</v>
      </c>
      <c r="AD79" s="231">
        <f>(INDEX(Models!$BJ79:$BT79,,AH79)*(1-AF79)+INDEX(Models!$BJ79:$BT79,,AH79+1)*AF79-ERP_i)*AE79*Ramure*Pc/MaxiM</f>
        <v>6.7544396561205252E-4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0.50619878668804752</v>
      </c>
      <c r="AG79" s="81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2.5061987866880475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35.771378459787122</v>
      </c>
      <c r="C80" s="841"/>
      <c r="D80" s="393">
        <f t="shared" si="25"/>
        <v>38.36346799982676</v>
      </c>
      <c r="E80" s="385">
        <f t="shared" ref="E80:E143" si="47">Wh_pvt/(1-Psa)</f>
        <v>40.600271365128052</v>
      </c>
      <c r="F80" s="385">
        <f t="shared" si="26"/>
        <v>40.600927808285867</v>
      </c>
      <c r="G80" s="110">
        <f t="shared" ref="G80:G143" si="48">+Wh_hp/MaxiM</f>
        <v>0.87884974465414079</v>
      </c>
      <c r="H80" s="414" t="b">
        <f>Wh_hp&gt;='2026'!Maxi_hp</f>
        <v>0</v>
      </c>
      <c r="I80" s="390">
        <f>IF(H80,Wh_hp,'2026'!Maxi_hp)</f>
        <v>42.685529835046331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6.7566611549595645E-2</v>
      </c>
      <c r="M80" s="845"/>
      <c r="N80" s="845"/>
      <c r="O80" s="48">
        <f>IF(t&lt;Tnet,'2026'!Resal+('2026'!Salim-'2026'!Resal)*(1-EXP(('2026'!Tnet-t)/('2026'!Tau_j))),Resal+(Salim-Resal)*(1-EXP((Tnet-t)/(Tau_j))))*Salcycl</f>
        <v>5.5093310711772758E-2</v>
      </c>
      <c r="P80" s="169">
        <f>(INDEX(Models!$BJ80:$BT80,,T80)*(1-R80)+INDEX(Models!$BJ80:$BT80,,T80+1)*R80-ERP_i)*Q80*Ramure*Pc/MaxiM</f>
        <v>1.9551997388710928E-5</v>
      </c>
      <c r="Q80" s="305">
        <f t="shared" si="28"/>
        <v>0.5</v>
      </c>
      <c r="R80" s="177">
        <f t="shared" si="29"/>
        <v>0.98160215101850423</v>
      </c>
      <c r="S80" s="811">
        <f t="shared" si="30"/>
        <v>-2</v>
      </c>
      <c r="T80" s="176">
        <f t="shared" si="31"/>
        <v>4</v>
      </c>
      <c r="U80" s="251">
        <f t="shared" si="32"/>
        <v>-1.0183978489814958</v>
      </c>
      <c r="V80" s="383">
        <f t="shared" si="33"/>
        <v>40.702358544961406</v>
      </c>
      <c r="W80" s="402">
        <f t="shared" si="34"/>
        <v>35.771378459787122</v>
      </c>
      <c r="X80" s="157">
        <f t="shared" si="35"/>
        <v>46453</v>
      </c>
      <c r="Y80" s="385">
        <f t="shared" si="36"/>
        <v>34.753840289162071</v>
      </c>
      <c r="Z80" s="385">
        <f t="shared" si="37"/>
        <v>37.272196298031439</v>
      </c>
      <c r="AA80" s="386">
        <f t="shared" si="38"/>
        <v>40.578306449519168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8.1474818462437495E-2</v>
      </c>
      <c r="AD80" s="231">
        <f>(INDEX(Models!$BJ80:$BT80,,AH80)*(1-AF80)+INDEX(Models!$BJ80:$BT80,,AH80+1)*AF80-ERP_i)*AE80*Ramure*Pc/MaxiM</f>
        <v>6.7377158596429421E-4</v>
      </c>
      <c r="AE80" s="305">
        <f t="shared" si="40"/>
        <v>0.5</v>
      </c>
      <c r="AF80" s="177">
        <f t="shared" si="41"/>
        <v>0.50658971739248315</v>
      </c>
      <c r="AG80" s="811">
        <f t="shared" ref="AG80:AG143" si="49">INDEX(Echel_vg,AH80)</f>
        <v>2</v>
      </c>
      <c r="AH80" s="176">
        <f t="shared" si="42"/>
        <v>8</v>
      </c>
      <c r="AI80" s="225">
        <f t="shared" si="43"/>
        <v>2.5065897173924832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30.914595565318269</v>
      </c>
      <c r="C81" s="841"/>
      <c r="D81" s="393">
        <f t="shared" si="25"/>
        <v>33.155475846386942</v>
      </c>
      <c r="E81" s="385">
        <f t="shared" si="47"/>
        <v>35.090561140040506</v>
      </c>
      <c r="F81" s="385">
        <f t="shared" si="26"/>
        <v>35.090937122255966</v>
      </c>
      <c r="G81" s="110">
        <f t="shared" si="48"/>
        <v>0.75360057466208985</v>
      </c>
      <c r="H81" s="414" t="b">
        <f>Wh_hp&gt;='2026'!Maxi_hp</f>
        <v>0</v>
      </c>
      <c r="I81" s="390">
        <f>IF(H81,Wh_hp,'2026'!Maxi_hp)</f>
        <v>35.091040882862927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6.7587034233829946E-2</v>
      </c>
      <c r="M81" s="845"/>
      <c r="N81" s="845"/>
      <c r="O81" s="48">
        <f>IF(t&lt;Tnet,'2026'!Resal+('2026'!Salim-'2026'!Resal)*(1-EXP(('2026'!Tnet-t)/('2026'!Tau_j))),Resal+(Salim-Resal)*(1-EXP((Tnet-t)/(Tau_j))))*Salcycl</f>
        <v>5.5145464500580929E-2</v>
      </c>
      <c r="P81" s="169">
        <f>(INDEX(Models!$BJ81:$BT81,,T81)*(1-R81)+INDEX(Models!$BJ81:$BT81,,T81+1)*R81-ERP_i)*Q81*Ramure*Pc/MaxiM</f>
        <v>1.6534557651435084E-5</v>
      </c>
      <c r="Q81" s="305">
        <f t="shared" si="28"/>
        <v>0.5</v>
      </c>
      <c r="R81" s="177">
        <f t="shared" si="29"/>
        <v>0.98200882084671437</v>
      </c>
      <c r="S81" s="811">
        <f t="shared" si="30"/>
        <v>-2</v>
      </c>
      <c r="T81" s="176">
        <f t="shared" si="31"/>
        <v>4</v>
      </c>
      <c r="U81" s="251">
        <f t="shared" si="32"/>
        <v>-1.0179911791532856</v>
      </c>
      <c r="V81" s="383">
        <f t="shared" si="33"/>
        <v>41.022282464221171</v>
      </c>
      <c r="W81" s="402">
        <f t="shared" si="34"/>
        <v>30.914595565318269</v>
      </c>
      <c r="X81" s="157">
        <f t="shared" si="35"/>
        <v>46454</v>
      </c>
      <c r="Y81" s="385">
        <f t="shared" si="36"/>
        <v>30.039617588233263</v>
      </c>
      <c r="Z81" s="385">
        <f t="shared" si="37"/>
        <v>32.217074076774026</v>
      </c>
      <c r="AA81" s="386">
        <f t="shared" si="38"/>
        <v>35.075758642205031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8.1500291828079982E-2</v>
      </c>
      <c r="AD81" s="231">
        <f>(INDEX(Models!$BJ81:$BT81,,AH81)*(1-AF81)+INDEX(Models!$BJ81:$BT81,,AH81+1)*AF81-ERP_i)*AE81*Ramure*Pc/MaxiM</f>
        <v>6.6750352315734151E-4</v>
      </c>
      <c r="AE81" s="305">
        <f t="shared" si="40"/>
        <v>0.5</v>
      </c>
      <c r="AF81" s="177">
        <f t="shared" si="41"/>
        <v>0.50699638722069329</v>
      </c>
      <c r="AG81" s="811">
        <f t="shared" si="49"/>
        <v>2</v>
      </c>
      <c r="AH81" s="176">
        <f t="shared" si="42"/>
        <v>8</v>
      </c>
      <c r="AI81" s="225">
        <f t="shared" si="43"/>
        <v>2.5069963872206933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27.585425360737261</v>
      </c>
      <c r="C82" s="841"/>
      <c r="D82" s="393">
        <f t="shared" si="25"/>
        <v>29.585634883267414</v>
      </c>
      <c r="E82" s="385">
        <f t="shared" si="47"/>
        <v>31.314098990608478</v>
      </c>
      <c r="F82" s="385">
        <f t="shared" si="26"/>
        <v>31.314326477010074</v>
      </c>
      <c r="G82" s="110">
        <f t="shared" si="48"/>
        <v>0.66723760534619758</v>
      </c>
      <c r="H82" s="414" t="b">
        <f>Wh_hp&gt;='2026'!Maxi_hp</f>
        <v>0</v>
      </c>
      <c r="I82" s="390">
        <f>IF(H82,Wh_hp,'2026'!Maxi_hp)</f>
        <v>44.010087492548095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6.7607456470755056E-2</v>
      </c>
      <c r="M82" s="845"/>
      <c r="N82" s="845"/>
      <c r="O82" s="48">
        <f>IF(t&lt;Tnet,'2026'!Resal+('2026'!Salim-'2026'!Resal)*(1-EXP(('2026'!Tnet-t)/('2026'!Tau_j))),Resal+(Salim-Resal)*(1-EXP((Tnet-t)/(Tau_j))))*Salcycl</f>
        <v>5.5197631835405957E-2</v>
      </c>
      <c r="P82" s="169">
        <f>(INDEX(Models!$BJ82:$BT82,,T82)*(1-R82)+INDEX(Models!$BJ82:$BT82,,T82+1)*R82-ERP_i)*Q82*Ramure*Pc/MaxiM</f>
        <v>1.3847075654567717E-5</v>
      </c>
      <c r="Q82" s="305">
        <f t="shared" si="28"/>
        <v>0.5</v>
      </c>
      <c r="R82" s="177">
        <f t="shared" si="29"/>
        <v>0.98243183522830124</v>
      </c>
      <c r="S82" s="811">
        <f t="shared" si="30"/>
        <v>-2</v>
      </c>
      <c r="T82" s="176">
        <f t="shared" si="31"/>
        <v>4</v>
      </c>
      <c r="U82" s="251">
        <f t="shared" si="32"/>
        <v>-1.0175681647716988</v>
      </c>
      <c r="V82" s="383">
        <f t="shared" si="33"/>
        <v>41.342459655011439</v>
      </c>
      <c r="W82" s="402">
        <f t="shared" si="34"/>
        <v>27.585425360737261</v>
      </c>
      <c r="X82" s="157">
        <f t="shared" si="35"/>
        <v>46455</v>
      </c>
      <c r="Y82" s="385">
        <f t="shared" si="36"/>
        <v>26.807674937863812</v>
      </c>
      <c r="Z82" s="385">
        <f t="shared" si="37"/>
        <v>28.751490049880452</v>
      </c>
      <c r="AA82" s="386">
        <f t="shared" si="38"/>
        <v>31.303537098547846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8.1525836541512769E-2</v>
      </c>
      <c r="AD82" s="231">
        <f>(INDEX(Models!$BJ82:$BT82,,AH82)*(1-AF82)+INDEX(Models!$BJ82:$BT82,,AH82+1)*AF82-ERP_i)*AE82*Ramure*Pc/MaxiM</f>
        <v>6.5674844204572898E-4</v>
      </c>
      <c r="AE82" s="305">
        <f t="shared" si="40"/>
        <v>0.5</v>
      </c>
      <c r="AF82" s="177">
        <f t="shared" si="41"/>
        <v>0.50741940160227994</v>
      </c>
      <c r="AG82" s="811">
        <f t="shared" si="49"/>
        <v>2</v>
      </c>
      <c r="AH82" s="176">
        <f t="shared" si="42"/>
        <v>8</v>
      </c>
      <c r="AI82" s="225">
        <f t="shared" si="43"/>
        <v>2.5074194016022799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23.96386304502655</v>
      </c>
      <c r="C83" s="841"/>
      <c r="D83" s="393">
        <f t="shared" si="25"/>
        <v>25.70203729420265</v>
      </c>
      <c r="E83" s="385">
        <f t="shared" si="47"/>
        <v>27.205115194517727</v>
      </c>
      <c r="F83" s="385">
        <f t="shared" si="26"/>
        <v>27.205237998916868</v>
      </c>
      <c r="G83" s="110">
        <f t="shared" si="48"/>
        <v>0.57518345917437841</v>
      </c>
      <c r="H83" s="414" t="b">
        <f>Wh_hp&gt;='2026'!Maxi_hp</f>
        <v>0</v>
      </c>
      <c r="I83" s="390">
        <f>IF(H83,Wh_hp,'2026'!Maxi_hp)</f>
        <v>43.468612982947825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6.7627878260380636E-2</v>
      </c>
      <c r="M83" s="845"/>
      <c r="N83" s="845"/>
      <c r="O83" s="48">
        <f>IF(t&lt;Tnet,'2026'!Resal+('2026'!Salim-'2026'!Resal)*(1-EXP(('2026'!Tnet-t)/('2026'!Tau_j))),Resal+(Salim-Resal)*(1-EXP((Tnet-t)/(Tau_j))))*Salcycl</f>
        <v>5.5249826717071585E-2</v>
      </c>
      <c r="P83" s="169">
        <f>(INDEX(Models!$BJ83:$BT83,,T83)*(1-R83)+INDEX(Models!$BJ83:$BT83,,T83+1)*R83-ERP_i)*Q83*Ramure*Pc/MaxiM</f>
        <v>1.1482350080494083E-5</v>
      </c>
      <c r="Q83" s="305">
        <f t="shared" si="28"/>
        <v>0.5</v>
      </c>
      <c r="R83" s="177">
        <f t="shared" si="29"/>
        <v>0.98287182051963784</v>
      </c>
      <c r="S83" s="811">
        <f t="shared" si="30"/>
        <v>-2</v>
      </c>
      <c r="T83" s="176">
        <f t="shared" si="31"/>
        <v>4</v>
      </c>
      <c r="U83" s="251">
        <f t="shared" si="32"/>
        <v>-1.0171281794803622</v>
      </c>
      <c r="V83" s="383">
        <f t="shared" si="33"/>
        <v>41.662700262701577</v>
      </c>
      <c r="W83" s="402">
        <f t="shared" si="34"/>
        <v>23.96386304502655</v>
      </c>
      <c r="X83" s="157">
        <f t="shared" si="35"/>
        <v>46456</v>
      </c>
      <c r="Y83" s="385">
        <f t="shared" si="36"/>
        <v>23.290943058463988</v>
      </c>
      <c r="Z83" s="385">
        <f t="shared" si="37"/>
        <v>24.980308307596928</v>
      </c>
      <c r="AA83" s="386">
        <f t="shared" si="38"/>
        <v>27.19837592878239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8.155147303623432E-2</v>
      </c>
      <c r="AD83" s="231">
        <f>(INDEX(Models!$BJ83:$BT83,,AH83)*(1-AF83)+INDEX(Models!$BJ83:$BT83,,AH83+1)*AF83-ERP_i)*AE83*Ramure*Pc/MaxiM</f>
        <v>6.4161131126330294E-4</v>
      </c>
      <c r="AE83" s="305">
        <f t="shared" si="40"/>
        <v>0.5</v>
      </c>
      <c r="AF83" s="177">
        <f t="shared" si="41"/>
        <v>0.50785938689361698</v>
      </c>
      <c r="AG83" s="811">
        <f t="shared" si="49"/>
        <v>2</v>
      </c>
      <c r="AH83" s="176">
        <f t="shared" si="42"/>
        <v>8</v>
      </c>
      <c r="AI83" s="225">
        <f t="shared" si="43"/>
        <v>2.507859386893617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15.206188109853068</v>
      </c>
      <c r="C84" s="841"/>
      <c r="D84" s="393">
        <f t="shared" si="25"/>
        <v>16.309497910899481</v>
      </c>
      <c r="E84" s="385">
        <f t="shared" si="47"/>
        <v>17.264246370636755</v>
      </c>
      <c r="F84" s="385">
        <f t="shared" si="26"/>
        <v>17.264260842003999</v>
      </c>
      <c r="G84" s="110">
        <f t="shared" si="48"/>
        <v>0.3621971899116363</v>
      </c>
      <c r="H84" s="414" t="b">
        <f>Wh_hp&gt;='2026'!Maxi_hp</f>
        <v>0</v>
      </c>
      <c r="I84" s="390">
        <f>IF(H84,Wh_hp,'2026'!Maxi_hp)</f>
        <v>34.137173352401021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6.7648299602716788E-2</v>
      </c>
      <c r="M84" s="845"/>
      <c r="N84" s="845"/>
      <c r="O84" s="48">
        <f>IF(t&lt;Tnet,'2026'!Resal+('2026'!Salim-'2026'!Resal)*(1-EXP(('2026'!Tnet-t)/('2026'!Tau_j))),Resal+(Salim-Resal)*(1-EXP((Tnet-t)/(Tau_j))))*Salcycl</f>
        <v>5.5302064117963609E-2</v>
      </c>
      <c r="P84" s="169">
        <f>(INDEX(Models!$BJ84:$BT84,,T84)*(1-R84)+INDEX(Models!$BJ84:$BT84,,T84+1)*R84-ERP_i)*Q84*Ramure*Pc/MaxiM</f>
        <v>9.4333753450217713E-6</v>
      </c>
      <c r="Q84" s="305">
        <f t="shared" si="28"/>
        <v>0.5</v>
      </c>
      <c r="R84" s="177">
        <f t="shared" si="29"/>
        <v>0.98332942452730276</v>
      </c>
      <c r="S84" s="811">
        <f t="shared" si="30"/>
        <v>-2</v>
      </c>
      <c r="T84" s="176">
        <f t="shared" si="31"/>
        <v>4</v>
      </c>
      <c r="U84" s="251">
        <f t="shared" si="32"/>
        <v>-1.0166705754726972</v>
      </c>
      <c r="V84" s="383">
        <f t="shared" si="33"/>
        <v>41.982814427711752</v>
      </c>
      <c r="W84" s="402">
        <f t="shared" si="34"/>
        <v>15.206188109853068</v>
      </c>
      <c r="X84" s="157">
        <f t="shared" si="35"/>
        <v>46457</v>
      </c>
      <c r="Y84" s="385">
        <f t="shared" si="36"/>
        <v>14.782449043833354</v>
      </c>
      <c r="Z84" s="385">
        <f t="shared" si="37"/>
        <v>15.855013765228748</v>
      </c>
      <c r="AA84" s="386">
        <f t="shared" si="38"/>
        <v>17.263306360096671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8.1577223128190934E-2</v>
      </c>
      <c r="AD84" s="231">
        <f>(INDEX(Models!$BJ84:$BT84,,AH84)*(1-AF84)+INDEX(Models!$BJ84:$BT84,,AH84+1)*AF84-ERP_i)*AE84*Ramure*Pc/MaxiM</f>
        <v>6.2219318609205555E-4</v>
      </c>
      <c r="AE84" s="305">
        <f t="shared" si="40"/>
        <v>0.5</v>
      </c>
      <c r="AF84" s="177">
        <f t="shared" si="41"/>
        <v>0.50831699090128168</v>
      </c>
      <c r="AG84" s="811">
        <f t="shared" si="49"/>
        <v>2</v>
      </c>
      <c r="AH84" s="176">
        <f t="shared" si="42"/>
        <v>8</v>
      </c>
      <c r="AI84" s="225">
        <f t="shared" si="43"/>
        <v>2.5083169909012817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14.128959824155983</v>
      </c>
      <c r="C85" s="841"/>
      <c r="D85" s="393">
        <f t="shared" si="25"/>
        <v>15.154441489616712</v>
      </c>
      <c r="E85" s="385">
        <f t="shared" si="47"/>
        <v>16.04246168819353</v>
      </c>
      <c r="F85" s="385">
        <f t="shared" si="26"/>
        <v>16.042467682430026</v>
      </c>
      <c r="G85" s="110">
        <f t="shared" si="48"/>
        <v>0.3339948915888713</v>
      </c>
      <c r="H85" s="414" t="b">
        <f>Wh_hp&gt;='2026'!Maxi_hp</f>
        <v>0</v>
      </c>
      <c r="I85" s="390">
        <f>IF(H85,Wh_hp,'2026'!Maxi_hp)</f>
        <v>42.294025676295831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6.7668720497773061E-2</v>
      </c>
      <c r="M85" s="845"/>
      <c r="N85" s="845"/>
      <c r="O85" s="48">
        <f>IF(t&lt;Tnet,'2026'!Resal+('2026'!Salim-'2026'!Resal)*(1-EXP(('2026'!Tnet-t)/('2026'!Tau_j))),Resal+(Salim-Resal)*(1-EXP((Tnet-t)/(Tau_j))))*Salcycl</f>
        <v>5.5354359937811716E-2</v>
      </c>
      <c r="P85" s="169">
        <f>(INDEX(Models!$BJ85:$BT85,,T85)*(1-R85)+INDEX(Models!$BJ85:$BT85,,T85+1)*R85-ERP_i)*Q85*Ramure*Pc/MaxiM</f>
        <v>7.6933563411429154E-6</v>
      </c>
      <c r="Q85" s="305">
        <f t="shared" si="28"/>
        <v>0.5</v>
      </c>
      <c r="R85" s="177">
        <f t="shared" si="29"/>
        <v>0.98380531702665808</v>
      </c>
      <c r="S85" s="811">
        <f t="shared" si="30"/>
        <v>-2</v>
      </c>
      <c r="T85" s="176">
        <f t="shared" si="31"/>
        <v>4</v>
      </c>
      <c r="U85" s="251">
        <f t="shared" si="32"/>
        <v>-1.0161946829733419</v>
      </c>
      <c r="V85" s="383">
        <f t="shared" si="33"/>
        <v>42.302612285593128</v>
      </c>
      <c r="W85" s="402">
        <f t="shared" si="34"/>
        <v>14.128959824155983</v>
      </c>
      <c r="X85" s="157">
        <f t="shared" si="35"/>
        <v>46458</v>
      </c>
      <c r="Y85" s="385">
        <f t="shared" si="36"/>
        <v>13.735965975297372</v>
      </c>
      <c r="Z85" s="385">
        <f t="shared" si="37"/>
        <v>14.732924098214344</v>
      </c>
      <c r="AA85" s="386">
        <f t="shared" si="38"/>
        <v>16.042001293531609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8.1603109946456934E-2</v>
      </c>
      <c r="AD85" s="231">
        <f>(INDEX(Models!$BJ85:$BT85,,AH85)*(1-AF85)+INDEX(Models!$BJ85:$BT85,,AH85+1)*AF85-ERP_i)*AE85*Ramure*Pc/MaxiM</f>
        <v>5.9859099505432298E-4</v>
      </c>
      <c r="AE85" s="305">
        <f t="shared" si="40"/>
        <v>0.5</v>
      </c>
      <c r="AF85" s="177">
        <f t="shared" si="41"/>
        <v>0.50879288340063678</v>
      </c>
      <c r="AG85" s="811">
        <f t="shared" si="49"/>
        <v>2</v>
      </c>
      <c r="AH85" s="176">
        <f t="shared" si="42"/>
        <v>8</v>
      </c>
      <c r="AI85" s="225">
        <f t="shared" si="43"/>
        <v>2.5087928834006368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9.5906891053951764</v>
      </c>
      <c r="C86" s="841"/>
      <c r="D86" s="393">
        <f t="shared" si="25"/>
        <v>10.287007828185281</v>
      </c>
      <c r="E86" s="385">
        <f t="shared" si="47"/>
        <v>10.890409835953426</v>
      </c>
      <c r="F86" s="385">
        <f t="shared" si="26"/>
        <v>10.890409835953426</v>
      </c>
      <c r="G86" s="110">
        <f t="shared" si="48"/>
        <v>0.22501644028118004</v>
      </c>
      <c r="H86" s="414" t="b">
        <f>Wh_hp&gt;='2026'!Maxi_hp</f>
        <v>0</v>
      </c>
      <c r="I86" s="390">
        <f>IF(H86,Wh_hp,'2026'!Maxi_hp)</f>
        <v>41.647039184319176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6.7689140945559223E-2</v>
      </c>
      <c r="M86" s="845"/>
      <c r="N86" s="845"/>
      <c r="O86" s="48">
        <f>IF(t&lt;Tnet,'2026'!Resal+('2026'!Salim-'2026'!Resal)*(1-EXP(('2026'!Tnet-t)/('2026'!Tau_j))),Resal+(Salim-Resal)*(1-EXP((Tnet-t)/(Tau_j))))*Salcycl</f>
        <v>5.5406730954796736E-2</v>
      </c>
      <c r="P86" s="169">
        <f>(INDEX(Models!$BJ86:$BT86,,T86)*(1-R86)+INDEX(Models!$BJ86:$BT86,,T86+1)*R86-ERP_i)*Q86*Ramure*Pc/MaxiM</f>
        <v>6.2520759009773473E-6</v>
      </c>
      <c r="Q86" s="305">
        <f t="shared" si="28"/>
        <v>0.5</v>
      </c>
      <c r="R86" s="177">
        <f t="shared" si="29"/>
        <v>0.98430019027350379</v>
      </c>
      <c r="S86" s="811">
        <f t="shared" si="30"/>
        <v>-2</v>
      </c>
      <c r="T86" s="176">
        <f t="shared" si="31"/>
        <v>4</v>
      </c>
      <c r="U86" s="251">
        <f t="shared" si="32"/>
        <v>-1.0156998097264962</v>
      </c>
      <c r="V86" s="383">
        <f t="shared" si="33"/>
        <v>42.621904122625523</v>
      </c>
      <c r="W86" s="402">
        <f t="shared" si="34"/>
        <v>9.5906891053951764</v>
      </c>
      <c r="X86" s="157">
        <f t="shared" si="35"/>
        <v>46459</v>
      </c>
      <c r="Y86" s="385">
        <f t="shared" si="36"/>
        <v>9.324446318946837</v>
      </c>
      <c r="Z86" s="385">
        <f t="shared" si="37"/>
        <v>10.001434852323596</v>
      </c>
      <c r="AA86" s="386">
        <f t="shared" si="38"/>
        <v>10.890409835953426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8.1629157857308773E-2</v>
      </c>
      <c r="AD86" s="231">
        <f>(INDEX(Models!$BJ86:$BT86,,AH86)*(1-AF86)+INDEX(Models!$BJ86:$BT86,,AH86+1)*AF86-ERP_i)*AE86*Ramure*Pc/MaxiM</f>
        <v>5.7144855934934105E-4</v>
      </c>
      <c r="AE86" s="305">
        <f t="shared" si="40"/>
        <v>0.5</v>
      </c>
      <c r="AF86" s="177">
        <f t="shared" si="41"/>
        <v>0.50928775664748294</v>
      </c>
      <c r="AG86" s="811">
        <f t="shared" si="49"/>
        <v>2</v>
      </c>
      <c r="AH86" s="176">
        <f t="shared" si="42"/>
        <v>8</v>
      </c>
      <c r="AI86" s="225">
        <f t="shared" si="43"/>
        <v>2.5092877566474829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13.820937967005008</v>
      </c>
      <c r="C87" s="841"/>
      <c r="D87" s="393">
        <f t="shared" si="25"/>
        <v>14.824712759073718</v>
      </c>
      <c r="E87" s="385">
        <f t="shared" si="47"/>
        <v>15.695153324268684</v>
      </c>
      <c r="F87" s="385">
        <f t="shared" si="26"/>
        <v>15.695155771513452</v>
      </c>
      <c r="G87" s="110">
        <f t="shared" si="48"/>
        <v>0.3218609370798774</v>
      </c>
      <c r="H87" s="414" t="b">
        <f>Wh_hp&gt;='2026'!Maxi_hp</f>
        <v>0</v>
      </c>
      <c r="I87" s="390">
        <f>IF(H87,Wh_hp,'2026'!Maxi_hp)</f>
        <v>41.178376020580401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6.7709560946085268E-2</v>
      </c>
      <c r="M87" s="845"/>
      <c r="N87" s="845"/>
      <c r="O87" s="48">
        <f>IF(t&lt;Tnet,'2026'!Resal+('2026'!Salim-'2026'!Resal)*(1-EXP(('2026'!Tnet-t)/('2026'!Tau_j))),Resal+(Salim-Resal)*(1-EXP((Tnet-t)/(Tau_j))))*Salcycl</f>
        <v>5.5459194772506312E-2</v>
      </c>
      <c r="P87" s="169">
        <f>(INDEX(Models!$BJ87:$BT87,,T87)*(1-R87)+INDEX(Models!$BJ87:$BT87,,T87+1)*R87-ERP_i)*Q87*Ramure*Pc/MaxiM</f>
        <v>4.9924085675999705E-6</v>
      </c>
      <c r="Q87" s="305">
        <f t="shared" si="28"/>
        <v>0.5</v>
      </c>
      <c r="R87" s="177">
        <f t="shared" si="29"/>
        <v>0.98481475950654151</v>
      </c>
      <c r="S87" s="811">
        <f t="shared" si="30"/>
        <v>-2</v>
      </c>
      <c r="T87" s="176">
        <f t="shared" si="31"/>
        <v>4</v>
      </c>
      <c r="U87" s="251">
        <f t="shared" si="32"/>
        <v>-1.0151852404934585</v>
      </c>
      <c r="V87" s="383">
        <f t="shared" si="33"/>
        <v>42.940504826795809</v>
      </c>
      <c r="W87" s="402">
        <f t="shared" si="34"/>
        <v>13.820937967005008</v>
      </c>
      <c r="X87" s="157">
        <f t="shared" si="35"/>
        <v>46460</v>
      </c>
      <c r="Y87" s="385">
        <f t="shared" si="36"/>
        <v>13.437397727574984</v>
      </c>
      <c r="Z87" s="385">
        <f t="shared" si="37"/>
        <v>14.413317100206681</v>
      </c>
      <c r="AA87" s="386">
        <f t="shared" si="38"/>
        <v>15.694889457237192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8.1655392382490061E-2</v>
      </c>
      <c r="AD87" s="231">
        <f>(INDEX(Models!$BJ87:$BT87,,AH87)*(1-AF87)+INDEX(Models!$BJ87:$BT87,,AH87+1)*AF87-ERP_i)*AE87*Ramure*Pc/MaxiM</f>
        <v>5.4328430555465634E-4</v>
      </c>
      <c r="AE87" s="305">
        <f t="shared" si="40"/>
        <v>0.5</v>
      </c>
      <c r="AF87" s="177">
        <f t="shared" si="41"/>
        <v>0.50980232588052043</v>
      </c>
      <c r="AG87" s="811">
        <f t="shared" si="49"/>
        <v>2</v>
      </c>
      <c r="AH87" s="176">
        <f t="shared" si="42"/>
        <v>8</v>
      </c>
      <c r="AI87" s="225">
        <f t="shared" si="43"/>
        <v>2.5098023258805204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13.843915149590149</v>
      </c>
      <c r="C88" s="841"/>
      <c r="D88" s="393">
        <f t="shared" si="25"/>
        <v>14.849683954231953</v>
      </c>
      <c r="E88" s="385">
        <f t="shared" si="47"/>
        <v>15.722465859114115</v>
      </c>
      <c r="F88" s="385">
        <f t="shared" si="26"/>
        <v>15.722467618374207</v>
      </c>
      <c r="G88" s="110">
        <f t="shared" si="48"/>
        <v>0.32002845032894833</v>
      </c>
      <c r="H88" s="414" t="b">
        <f>Wh_hp&gt;='2026'!Maxi_hp</f>
        <v>0</v>
      </c>
      <c r="I88" s="390">
        <f>IF(H88,Wh_hp,'2026'!Maxi_hp)</f>
        <v>31.428093358036886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6.7729980499360964E-2</v>
      </c>
      <c r="M88" s="845"/>
      <c r="N88" s="845"/>
      <c r="O88" s="48">
        <f>IF(t&lt;Tnet,'2026'!Resal+('2026'!Salim-'2026'!Resal)*(1-EXP(('2026'!Tnet-t)/('2026'!Tau_j))),Resal+(Salim-Resal)*(1-EXP((Tnet-t)/(Tau_j))))*Salcycl</f>
        <v>5.5511769763279338E-2</v>
      </c>
      <c r="P88" s="169">
        <f>(INDEX(Models!$BJ88:$BT88,,T88)*(1-R88)+INDEX(Models!$BJ88:$BT88,,T88+1)*R88-ERP_i)*Q88*Ramure*Pc/MaxiM</f>
        <v>3.9105124647650152E-6</v>
      </c>
      <c r="Q88" s="305">
        <f t="shared" si="28"/>
        <v>0.5</v>
      </c>
      <c r="R88" s="177">
        <f t="shared" si="29"/>
        <v>0.98534976343817315</v>
      </c>
      <c r="S88" s="811">
        <f t="shared" si="30"/>
        <v>-2</v>
      </c>
      <c r="T88" s="176">
        <f t="shared" si="31"/>
        <v>4</v>
      </c>
      <c r="U88" s="251">
        <f t="shared" si="32"/>
        <v>-1.0146502365618268</v>
      </c>
      <c r="V88" s="383">
        <f t="shared" si="33"/>
        <v>43.258224534762157</v>
      </c>
      <c r="W88" s="402">
        <f t="shared" si="34"/>
        <v>13.843915149590149</v>
      </c>
      <c r="X88" s="157">
        <f t="shared" si="35"/>
        <v>46461</v>
      </c>
      <c r="Y88" s="385">
        <f t="shared" si="36"/>
        <v>13.460128650244094</v>
      </c>
      <c r="Z88" s="385">
        <f t="shared" si="37"/>
        <v>14.438015133699006</v>
      </c>
      <c r="AA88" s="386">
        <f t="shared" si="38"/>
        <v>15.7222363276226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8.1681840112486415E-2</v>
      </c>
      <c r="AD88" s="231">
        <f>(INDEX(Models!$BJ88:$BT88,,AH88)*(1-AF88)+INDEX(Models!$BJ88:$BT88,,AH88+1)*AF88-ERP_i)*AE88*Ramure*Pc/MaxiM</f>
        <v>5.1411691294945151E-4</v>
      </c>
      <c r="AE88" s="305">
        <f t="shared" si="40"/>
        <v>0.5</v>
      </c>
      <c r="AF88" s="177">
        <f t="shared" si="41"/>
        <v>0.51033732981215207</v>
      </c>
      <c r="AG88" s="811">
        <f t="shared" si="49"/>
        <v>2</v>
      </c>
      <c r="AH88" s="176">
        <f t="shared" si="42"/>
        <v>8</v>
      </c>
      <c r="AI88" s="225">
        <f t="shared" si="43"/>
        <v>2.5103373298121521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12.47805674275719</v>
      </c>
      <c r="C89" s="841"/>
      <c r="D89" s="393">
        <f t="shared" si="25"/>
        <v>13.384888271848503</v>
      </c>
      <c r="E89" s="385">
        <f t="shared" si="47"/>
        <v>14.172368486423476</v>
      </c>
      <c r="F89" s="385">
        <f t="shared" si="26"/>
        <v>14.172368486423476</v>
      </c>
      <c r="G89" s="110">
        <f t="shared" si="48"/>
        <v>0.28635813041261177</v>
      </c>
      <c r="H89" s="414" t="b">
        <f>Wh_hp&gt;='2026'!Maxi_hp</f>
        <v>0</v>
      </c>
      <c r="I89" s="390">
        <f>IF(H89,Wh_hp,'2026'!Maxi_hp)</f>
        <v>50.491533478793343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6.7750399605395972E-2</v>
      </c>
      <c r="M89" s="845"/>
      <c r="N89" s="845"/>
      <c r="O89" s="48">
        <f>IF(t&lt;Tnet,'2026'!Resal+('2026'!Salim-'2026'!Resal)*(1-EXP(('2026'!Tnet-t)/('2026'!Tau_j))),Resal+(Salim-Resal)*(1-EXP((Tnet-t)/(Tau_j))))*Salcycl</f>
        <v>5.556447500848892E-2</v>
      </c>
      <c r="P89" s="169">
        <f>(INDEX(Models!$BJ89:$BT89,,T89)*(1-R89)+INDEX(Models!$BJ89:$BT89,,T89+1)*R89-ERP_i)*Q89*Ramure*Pc/MaxiM</f>
        <v>3.0026910655356092E-6</v>
      </c>
      <c r="Q89" s="305">
        <f t="shared" si="28"/>
        <v>0.5</v>
      </c>
      <c r="R89" s="177">
        <f t="shared" si="29"/>
        <v>0.98590596473094494</v>
      </c>
      <c r="S89" s="811">
        <f t="shared" si="30"/>
        <v>-2</v>
      </c>
      <c r="T89" s="176">
        <f t="shared" si="31"/>
        <v>4</v>
      </c>
      <c r="U89" s="251">
        <f t="shared" si="32"/>
        <v>-1.0140940352690551</v>
      </c>
      <c r="V89" s="383">
        <f t="shared" si="33"/>
        <v>43.574873383298694</v>
      </c>
      <c r="W89" s="402">
        <f t="shared" si="34"/>
        <v>12.47805674275719</v>
      </c>
      <c r="X89" s="157">
        <f t="shared" si="35"/>
        <v>46462</v>
      </c>
      <c r="Y89" s="385">
        <f t="shared" si="36"/>
        <v>12.1326366735591</v>
      </c>
      <c r="Z89" s="385">
        <f t="shared" si="37"/>
        <v>13.014365110399167</v>
      </c>
      <c r="AA89" s="386">
        <f t="shared" si="38"/>
        <v>14.172368486423476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8.1708528615638681E-2</v>
      </c>
      <c r="AD89" s="231">
        <f>(INDEX(Models!$BJ89:$BT89,,AH89)*(1-AF89)+INDEX(Models!$BJ89:$BT89,,AH89+1)*AF89-ERP_i)*AE89*Ramure*Pc/MaxiM</f>
        <v>4.8396300055837124E-4</v>
      </c>
      <c r="AE89" s="305">
        <f t="shared" si="40"/>
        <v>0.5</v>
      </c>
      <c r="AF89" s="177">
        <f t="shared" si="41"/>
        <v>0.51089353110492386</v>
      </c>
      <c r="AG89" s="811">
        <f t="shared" si="49"/>
        <v>2</v>
      </c>
      <c r="AH89" s="176">
        <f t="shared" si="42"/>
        <v>8</v>
      </c>
      <c r="AI89" s="225">
        <f t="shared" si="43"/>
        <v>2.5108935311049239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10.409694468676543</v>
      </c>
      <c r="C90" s="841"/>
      <c r="D90" s="393">
        <f t="shared" si="25"/>
        <v>11.166454207423342</v>
      </c>
      <c r="E90" s="385">
        <f t="shared" si="47"/>
        <v>11.824077849943572</v>
      </c>
      <c r="F90" s="385">
        <f t="shared" si="26"/>
        <v>11.824077849943572</v>
      </c>
      <c r="G90" s="110">
        <f t="shared" si="48"/>
        <v>0.23717495700084204</v>
      </c>
      <c r="H90" s="414" t="b">
        <f>Wh_hp&gt;='2026'!Maxi_hp</f>
        <v>0</v>
      </c>
      <c r="I90" s="390">
        <f>IF(H90,Wh_hp,'2026'!Maxi_hp)</f>
        <v>27.136616542417517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6.7770818264200061E-2</v>
      </c>
      <c r="M90" s="845"/>
      <c r="N90" s="845"/>
      <c r="O90" s="48">
        <f>IF(t&lt;Tnet,'2026'!Resal+('2026'!Salim-'2026'!Resal)*(1-EXP(('2026'!Tnet-t)/('2026'!Tau_j))),Resal+(Salim-Resal)*(1-EXP((Tnet-t)/(Tau_j))))*Salcycl</f>
        <v>5.5617330236316799E-2</v>
      </c>
      <c r="P90" s="169">
        <f>(INDEX(Models!$BJ90:$BT90,,T90)*(1-R90)+INDEX(Models!$BJ90:$BT90,,T90+1)*R90-ERP_i)*Q90*Ramure*Pc/MaxiM</f>
        <v>2.2654014482856802E-6</v>
      </c>
      <c r="Q90" s="305">
        <f t="shared" si="28"/>
        <v>0.5</v>
      </c>
      <c r="R90" s="177">
        <f t="shared" si="29"/>
        <v>0.98648415045670923</v>
      </c>
      <c r="S90" s="811">
        <f t="shared" si="30"/>
        <v>-2</v>
      </c>
      <c r="T90" s="176">
        <f t="shared" si="31"/>
        <v>4</v>
      </c>
      <c r="U90" s="251">
        <f t="shared" si="32"/>
        <v>-1.0135158495432908</v>
      </c>
      <c r="V90" s="383">
        <f t="shared" si="33"/>
        <v>43.890261510630985</v>
      </c>
      <c r="W90" s="402">
        <f t="shared" si="34"/>
        <v>10.409694468676543</v>
      </c>
      <c r="X90" s="157">
        <f t="shared" si="35"/>
        <v>46463</v>
      </c>
      <c r="Y90" s="385">
        <f t="shared" si="36"/>
        <v>10.121800552502272</v>
      </c>
      <c r="Z90" s="385">
        <f t="shared" si="37"/>
        <v>10.857631096310026</v>
      </c>
      <c r="AA90" s="386">
        <f t="shared" si="38"/>
        <v>11.824077849943572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8.1735486343923067E-2</v>
      </c>
      <c r="AD90" s="231">
        <f>(INDEX(Models!$BJ90:$BT90,,AH90)*(1-AF90)+INDEX(Models!$BJ90:$BT90,,AH90+1)*AF90-ERP_i)*AE90*Ramure*Pc/MaxiM</f>
        <v>4.5283705914391106E-4</v>
      </c>
      <c r="AE90" s="305">
        <f t="shared" si="40"/>
        <v>0.5</v>
      </c>
      <c r="AF90" s="177">
        <f t="shared" si="41"/>
        <v>0.51147171683068837</v>
      </c>
      <c r="AG90" s="811">
        <f t="shared" si="49"/>
        <v>2</v>
      </c>
      <c r="AH90" s="176">
        <f t="shared" si="42"/>
        <v>8</v>
      </c>
      <c r="AI90" s="225">
        <f t="shared" si="43"/>
        <v>2.5114717168306884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13.879179450354096</v>
      </c>
      <c r="C91" s="841"/>
      <c r="D91" s="393">
        <f t="shared" si="25"/>
        <v>14.888488494662756</v>
      </c>
      <c r="E91" s="385">
        <f t="shared" si="47"/>
        <v>15.766198366680216</v>
      </c>
      <c r="F91" s="385">
        <f t="shared" si="26"/>
        <v>15.766198900425975</v>
      </c>
      <c r="G91" s="110">
        <f t="shared" si="48"/>
        <v>0.31397823479681713</v>
      </c>
      <c r="H91" s="414" t="b">
        <f>Wh_hp&gt;='2026'!Maxi_hp</f>
        <v>0</v>
      </c>
      <c r="I91" s="390">
        <f>IF(H91,Wh_hp,'2026'!Maxi_hp)</f>
        <v>35.441978382349127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6.7791236475783223E-2</v>
      </c>
      <c r="M91" s="845"/>
      <c r="N91" s="845"/>
      <c r="O91" s="48">
        <f>IF(t&lt;Tnet,'2026'!Resal+('2026'!Salim-'2026'!Resal)*(1-EXP(('2026'!Tnet-t)/('2026'!Tau_j))),Resal+(Salim-Resal)*(1-EXP((Tnet-t)/(Tau_j))))*Salcycl</f>
        <v>5.5670355757567049E-2</v>
      </c>
      <c r="P91" s="169">
        <f>(INDEX(Models!$BJ91:$BT91,,T91)*(1-R91)+INDEX(Models!$BJ91:$BT91,,T91+1)*R91-ERP_i)*Q91*Ramure*Pc/MaxiM</f>
        <v>1.6952624294172006E-6</v>
      </c>
      <c r="Q91" s="305">
        <f t="shared" si="28"/>
        <v>0.5</v>
      </c>
      <c r="R91" s="177">
        <f t="shared" si="29"/>
        <v>0.9870851325353347</v>
      </c>
      <c r="S91" s="811">
        <f t="shared" si="30"/>
        <v>-2</v>
      </c>
      <c r="T91" s="176">
        <f t="shared" si="31"/>
        <v>4</v>
      </c>
      <c r="U91" s="251">
        <f t="shared" si="32"/>
        <v>-1.0129148674646653</v>
      </c>
      <c r="V91" s="383">
        <f t="shared" si="33"/>
        <v>44.20419905967799</v>
      </c>
      <c r="W91" s="402">
        <f t="shared" si="34"/>
        <v>13.879179450354096</v>
      </c>
      <c r="X91" s="157">
        <f t="shared" si="35"/>
        <v>46464</v>
      </c>
      <c r="Y91" s="385">
        <f t="shared" si="36"/>
        <v>13.495576573190217</v>
      </c>
      <c r="Z91" s="385">
        <f t="shared" si="37"/>
        <v>14.476989598521008</v>
      </c>
      <c r="AA91" s="386">
        <f t="shared" si="38"/>
        <v>15.766066428743201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8.1762742536214988E-2</v>
      </c>
      <c r="AD91" s="231">
        <f>(INDEX(Models!$BJ91:$BT91,,AH91)*(1-AF91)+INDEX(Models!$BJ91:$BT91,,AH91+1)*AF91-ERP_i)*AE91*Ramure*Pc/MaxiM</f>
        <v>4.2075138467583272E-4</v>
      </c>
      <c r="AE91" s="305">
        <f t="shared" si="40"/>
        <v>0.5</v>
      </c>
      <c r="AF91" s="177">
        <f t="shared" si="41"/>
        <v>0.5120726989093134</v>
      </c>
      <c r="AG91" s="811">
        <f t="shared" si="49"/>
        <v>2</v>
      </c>
      <c r="AH91" s="176">
        <f t="shared" si="42"/>
        <v>8</v>
      </c>
      <c r="AI91" s="225">
        <f t="shared" si="43"/>
        <v>2.5120726989093134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28.166845274827963</v>
      </c>
      <c r="C92" s="841"/>
      <c r="D92" s="393">
        <f t="shared" si="25"/>
        <v>30.215830741660493</v>
      </c>
      <c r="E92" s="385">
        <f t="shared" si="47"/>
        <v>31.998925164805478</v>
      </c>
      <c r="F92" s="385">
        <f t="shared" si="26"/>
        <v>31.998944771361046</v>
      </c>
      <c r="G92" s="110">
        <f t="shared" si="48"/>
        <v>0.6327278344485886</v>
      </c>
      <c r="H92" s="414" t="b">
        <f>Wh_hp&gt;='2026'!Maxi_hp</f>
        <v>0</v>
      </c>
      <c r="I92" s="390">
        <f>IF(H92,Wh_hp,'2026'!Maxi_hp)</f>
        <v>46.110957889709681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6.7811654240155117E-2</v>
      </c>
      <c r="M92" s="845"/>
      <c r="N92" s="845"/>
      <c r="O92" s="48">
        <f>IF(t&lt;Tnet,'2026'!Resal+('2026'!Salim-'2026'!Resal)*(1-EXP(('2026'!Tnet-t)/('2026'!Tau_j))),Resal+(Salim-Resal)*(1-EXP((Tnet-t)/(Tau_j))))*Salcycl</f>
        <v>5.5723572400055113E-2</v>
      </c>
      <c r="P92" s="169">
        <f>(INDEX(Models!$BJ92:$BT92,,T92)*(1-R92)+INDEX(Models!$BJ92:$BT92,,T92+1)*R92-ERP_i)*Q92*Ramure*Pc/MaxiM</f>
        <v>1.2890625628868469E-6</v>
      </c>
      <c r="Q92" s="305">
        <f t="shared" si="28"/>
        <v>0.5</v>
      </c>
      <c r="R92" s="177">
        <f t="shared" si="29"/>
        <v>0.98770974814954116</v>
      </c>
      <c r="S92" s="811">
        <f t="shared" si="30"/>
        <v>-2</v>
      </c>
      <c r="T92" s="176">
        <f t="shared" si="31"/>
        <v>4</v>
      </c>
      <c r="U92" s="251">
        <f t="shared" si="32"/>
        <v>-1.0122902518504588</v>
      </c>
      <c r="V92" s="383">
        <f t="shared" si="33"/>
        <v>44.5164961789133</v>
      </c>
      <c r="W92" s="402">
        <f t="shared" si="34"/>
        <v>28.166845274827963</v>
      </c>
      <c r="X92" s="157">
        <f t="shared" si="35"/>
        <v>46465</v>
      </c>
      <c r="Y92" s="385">
        <f t="shared" si="36"/>
        <v>27.384268556576156</v>
      </c>
      <c r="Z92" s="385">
        <f t="shared" si="37"/>
        <v>29.376325804904486</v>
      </c>
      <c r="AA92" s="386">
        <f t="shared" si="38"/>
        <v>31.99304763666796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8.1790327119832987E-2</v>
      </c>
      <c r="AD92" s="231">
        <f>(INDEX(Models!$BJ92:$BT92,,AH92)*(1-AF92)+INDEX(Models!$BJ92:$BT92,,AH92+1)*AF92-ERP_i)*AE92*Ramure*Pc/MaxiM</f>
        <v>3.8771601339393876E-4</v>
      </c>
      <c r="AE92" s="305">
        <f t="shared" si="40"/>
        <v>0.5</v>
      </c>
      <c r="AF92" s="177">
        <f t="shared" si="41"/>
        <v>0.5126973145235203</v>
      </c>
      <c r="AG92" s="811">
        <f t="shared" si="49"/>
        <v>2</v>
      </c>
      <c r="AH92" s="176">
        <f t="shared" si="42"/>
        <v>8</v>
      </c>
      <c r="AI92" s="225">
        <f t="shared" si="43"/>
        <v>2.5126973145235203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29.092406015674332</v>
      </c>
      <c r="C93" s="841"/>
      <c r="D93" s="393">
        <f t="shared" si="25"/>
        <v>31.209404580435994</v>
      </c>
      <c r="E93" s="385">
        <f t="shared" si="47"/>
        <v>33.053001915968373</v>
      </c>
      <c r="F93" s="385">
        <f t="shared" si="26"/>
        <v>33.053019113438623</v>
      </c>
      <c r="G93" s="110">
        <f t="shared" si="48"/>
        <v>0.64895664366280392</v>
      </c>
      <c r="H93" s="414" t="b">
        <f>Wh_hp&gt;='2026'!Maxi_hp</f>
        <v>0</v>
      </c>
      <c r="I93" s="390">
        <f>IF(H93,Wh_hp,'2026'!Maxi_hp)</f>
        <v>51.145293953169229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6.7832071557325624E-2</v>
      </c>
      <c r="M93" s="845"/>
      <c r="N93" s="845"/>
      <c r="O93" s="48">
        <f>IF(t&lt;Tnet,'2026'!Resal+('2026'!Salim-'2026'!Resal)*(1-EXP(('2026'!Tnet-t)/('2026'!Tau_j))),Resal+(Salim-Resal)*(1-EXP((Tnet-t)/(Tau_j))))*Salcycl</f>
        <v>5.5777001442090218E-2</v>
      </c>
      <c r="P93" s="169">
        <f>(INDEX(Models!$BJ93:$BT93,,T93)*(1-R93)+INDEX(Models!$BJ93:$BT93,,T93+1)*R93-ERP_i)*Q93*Ramure*Pc/MaxiM</f>
        <v>1.0437093598319162E-6</v>
      </c>
      <c r="Q93" s="305">
        <f t="shared" si="28"/>
        <v>0.5</v>
      </c>
      <c r="R93" s="177">
        <f t="shared" si="29"/>
        <v>0.98835886013216268</v>
      </c>
      <c r="S93" s="811">
        <f t="shared" si="30"/>
        <v>-2</v>
      </c>
      <c r="T93" s="176">
        <f t="shared" si="31"/>
        <v>4</v>
      </c>
      <c r="U93" s="251">
        <f t="shared" si="32"/>
        <v>-1.0116411398678373</v>
      </c>
      <c r="V93" s="383">
        <f t="shared" si="33"/>
        <v>44.829482943904345</v>
      </c>
      <c r="W93" s="402">
        <f t="shared" si="34"/>
        <v>29.092406015674332</v>
      </c>
      <c r="X93" s="157">
        <f t="shared" si="35"/>
        <v>46466</v>
      </c>
      <c r="Y93" s="385">
        <f t="shared" si="36"/>
        <v>28.285076082919851</v>
      </c>
      <c r="Z93" s="385">
        <f t="shared" si="37"/>
        <v>30.343326797537745</v>
      </c>
      <c r="AA93" s="386">
        <f t="shared" si="38"/>
        <v>33.047190797113544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8.1818270611127411E-2</v>
      </c>
      <c r="AD93" s="231">
        <f>(INDEX(Models!$BJ93:$BT93,,AH93)*(1-AF93)+INDEX(Models!$BJ93:$BT93,,AH93+1)*AF93-ERP_i)*AE93*Ramure*Pc/MaxiM</f>
        <v>3.5371878613219443E-4</v>
      </c>
      <c r="AE93" s="305">
        <f t="shared" si="40"/>
        <v>0.5</v>
      </c>
      <c r="AF93" s="177">
        <f t="shared" si="41"/>
        <v>0.51334642650614182</v>
      </c>
      <c r="AG93" s="811">
        <f t="shared" si="49"/>
        <v>2</v>
      </c>
      <c r="AH93" s="176">
        <f t="shared" si="42"/>
        <v>8</v>
      </c>
      <c r="AI93" s="225">
        <f t="shared" si="43"/>
        <v>2.5133464265061418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42.418866541344009</v>
      </c>
      <c r="C94" s="841"/>
      <c r="D94" s="393">
        <f t="shared" si="25"/>
        <v>45.506602779828242</v>
      </c>
      <c r="E94" s="385">
        <f t="shared" si="47"/>
        <v>48.19750130724659</v>
      </c>
      <c r="F94" s="385">
        <f t="shared" si="26"/>
        <v>48.197543603815717</v>
      </c>
      <c r="G94" s="110">
        <f t="shared" si="48"/>
        <v>0.93961407849416145</v>
      </c>
      <c r="H94" s="414" t="b">
        <f>Wh_hp&gt;='2026'!Maxi_hp</f>
        <v>0</v>
      </c>
      <c r="I94" s="390">
        <f>IF(H94,Wh_hp,'2026'!Maxi_hp)</f>
        <v>51.378117175877115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6.7852488427304403E-2</v>
      </c>
      <c r="M94" s="845"/>
      <c r="N94" s="845"/>
      <c r="O94" s="48">
        <f>IF(t&lt;Tnet,'2026'!Resal+('2026'!Salim-'2026'!Resal)*(1-EXP(('2026'!Tnet-t)/('2026'!Tau_j))),Resal+(Salim-Resal)*(1-EXP((Tnet-t)/(Tau_j))))*Salcycl</f>
        <v>5.5830664545544945E-2</v>
      </c>
      <c r="P94" s="169">
        <f>(INDEX(Models!$BJ94:$BT94,,T94)*(1-R94)+INDEX(Models!$BJ94:$BT94,,T94+1)*R94-ERP_i)*Q94*Ramure*Pc/MaxiM</f>
        <v>9.6041781885096804E-7</v>
      </c>
      <c r="Q94" s="305">
        <f t="shared" si="28"/>
        <v>0.5</v>
      </c>
      <c r="R94" s="177">
        <f t="shared" si="29"/>
        <v>0.98903335732186304</v>
      </c>
      <c r="S94" s="811">
        <f t="shared" si="30"/>
        <v>-2</v>
      </c>
      <c r="T94" s="176">
        <f t="shared" si="31"/>
        <v>4</v>
      </c>
      <c r="U94" s="251">
        <f t="shared" si="32"/>
        <v>-1.010966642678137</v>
      </c>
      <c r="V94" s="383">
        <f t="shared" si="33"/>
        <v>45.144984518410034</v>
      </c>
      <c r="W94" s="402">
        <f t="shared" si="34"/>
        <v>42.418866541344009</v>
      </c>
      <c r="X94" s="157">
        <f t="shared" si="35"/>
        <v>46467</v>
      </c>
      <c r="Y94" s="385">
        <f t="shared" si="36"/>
        <v>41.238025399042563</v>
      </c>
      <c r="Z94" s="385">
        <f t="shared" si="37"/>
        <v>44.239806347245207</v>
      </c>
      <c r="AA94" s="386">
        <f t="shared" si="38"/>
        <v>48.183458821523999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8.1846604015839708E-2</v>
      </c>
      <c r="AD94" s="231">
        <f>(INDEX(Models!$BJ94:$BT94,,AH94)*(1-AF94)+INDEX(Models!$BJ94:$BT94,,AH94+1)*AF94-ERP_i)*AE94*Ramure*Pc/MaxiM</f>
        <v>3.1981969615264236E-4</v>
      </c>
      <c r="AE94" s="305">
        <f t="shared" si="40"/>
        <v>0.5</v>
      </c>
      <c r="AF94" s="177">
        <f t="shared" si="41"/>
        <v>0.51402092369584196</v>
      </c>
      <c r="AG94" s="811">
        <f t="shared" si="49"/>
        <v>2</v>
      </c>
      <c r="AH94" s="176">
        <f t="shared" si="42"/>
        <v>8</v>
      </c>
      <c r="AI94" s="225">
        <f t="shared" si="43"/>
        <v>2.514020923695842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39.915725892969995</v>
      </c>
      <c r="C95" s="841"/>
      <c r="D95" s="393">
        <f t="shared" si="25"/>
        <v>42.822192489266726</v>
      </c>
      <c r="E95" s="385">
        <f t="shared" si="47"/>
        <v>45.356946565481735</v>
      </c>
      <c r="F95" s="385">
        <f t="shared" si="26"/>
        <v>45.356979476575773</v>
      </c>
      <c r="G95" s="110">
        <f t="shared" si="48"/>
        <v>0.87800065853345965</v>
      </c>
      <c r="H95" s="414" t="b">
        <f>Wh_hp&gt;='2026'!Maxi_hp</f>
        <v>0</v>
      </c>
      <c r="I95" s="390">
        <f>IF(H95,Wh_hp,'2026'!Maxi_hp)</f>
        <v>50.23936086110939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6.7872904850101445E-2</v>
      </c>
      <c r="M95" s="845"/>
      <c r="N95" s="845"/>
      <c r="O95" s="48">
        <f>IF(t&lt;Tnet,'2026'!Resal+('2026'!Salim-'2026'!Resal)*(1-EXP(('2026'!Tnet-t)/('2026'!Tau_j))),Resal+(Salim-Resal)*(1-EXP((Tnet-t)/(Tau_j))))*Salcycl</f>
        <v>5.5884583688974553E-2</v>
      </c>
      <c r="P95" s="169">
        <f>(INDEX(Models!$BJ95:$BT95,,T95)*(1-R95)+INDEX(Models!$BJ95:$BT95,,T95+1)*R95-ERP_i)*Q95*Ramure*Pc/MaxiM</f>
        <v>8.7875498150200744E-7</v>
      </c>
      <c r="Q95" s="305">
        <f t="shared" si="28"/>
        <v>0.5</v>
      </c>
      <c r="R95" s="177">
        <f t="shared" si="29"/>
        <v>0.98973415488303762</v>
      </c>
      <c r="S95" s="811">
        <f t="shared" si="30"/>
        <v>-2</v>
      </c>
      <c r="T95" s="176">
        <f t="shared" si="31"/>
        <v>4</v>
      </c>
      <c r="U95" s="251">
        <f t="shared" si="32"/>
        <v>-1.0102658451169624</v>
      </c>
      <c r="V95" s="383">
        <f t="shared" si="33"/>
        <v>45.462061322831595</v>
      </c>
      <c r="W95" s="402">
        <f t="shared" si="34"/>
        <v>39.915725892969995</v>
      </c>
      <c r="X95" s="157">
        <f t="shared" si="35"/>
        <v>46468</v>
      </c>
      <c r="Y95" s="385">
        <f t="shared" si="36"/>
        <v>38.807676365084006</v>
      </c>
      <c r="Z95" s="385">
        <f t="shared" si="37"/>
        <v>41.633460251301045</v>
      </c>
      <c r="AA95" s="386">
        <f t="shared" si="38"/>
        <v>45.346196344003218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8.1875358729909448E-2</v>
      </c>
      <c r="AD95" s="231">
        <f>(INDEX(Models!$BJ95:$BT95,,AH95)*(1-AF95)+INDEX(Models!$BJ95:$BT95,,AH95+1)*AF95-ERP_i)*AE95*Ramure*Pc/MaxiM</f>
        <v>2.8791906623107366E-4</v>
      </c>
      <c r="AE95" s="305">
        <f t="shared" si="40"/>
        <v>0.5</v>
      </c>
      <c r="AF95" s="177">
        <f t="shared" si="41"/>
        <v>0.51472172125701654</v>
      </c>
      <c r="AG95" s="811">
        <f t="shared" si="49"/>
        <v>2</v>
      </c>
      <c r="AH95" s="176">
        <f t="shared" si="42"/>
        <v>8</v>
      </c>
      <c r="AI95" s="225">
        <f t="shared" si="43"/>
        <v>2.5147217212570165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45.80016381910179</v>
      </c>
      <c r="C96" s="841"/>
      <c r="D96" s="393">
        <f t="shared" si="25"/>
        <v>49.13618241602434</v>
      </c>
      <c r="E96" s="385">
        <f t="shared" si="47"/>
        <v>52.04766537634071</v>
      </c>
      <c r="F96" s="385">
        <f t="shared" si="26"/>
        <v>52.047706946675831</v>
      </c>
      <c r="G96" s="110">
        <f t="shared" si="48"/>
        <v>1.0004455446389742</v>
      </c>
      <c r="H96" s="414" t="b">
        <f>Wh_hp&gt;='2026'!Maxi_hp</f>
        <v>1</v>
      </c>
      <c r="I96" s="390">
        <f>IF(H96,Wh_hp,'2026'!Maxi_hp)</f>
        <v>52.047706946675831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6.78933208257263E-2</v>
      </c>
      <c r="M96" s="845"/>
      <c r="N96" s="845"/>
      <c r="O96" s="48">
        <f>IF(t&lt;Tnet,'2026'!Resal+('2026'!Salim-'2026'!Resal)*(1-EXP(('2026'!Tnet-t)/('2026'!Tau_j))),Resal+(Salim-Resal)*(1-EXP((Tnet-t)/(Tau_j))))*Salcycl</f>
        <v>5.5938781101214204E-2</v>
      </c>
      <c r="P96" s="169">
        <f>(INDEX(Models!$BJ96:$BT96,,T96)*(1-R96)+INDEX(Models!$BJ96:$BT96,,T96+1)*R96-ERP_i)*Q96*Ramure*Pc/MaxiM</f>
        <v>7.9869676415558363E-7</v>
      </c>
      <c r="Q96" s="305">
        <f t="shared" si="28"/>
        <v>0.5</v>
      </c>
      <c r="R96" s="177">
        <f t="shared" si="29"/>
        <v>0.99046219458533225</v>
      </c>
      <c r="S96" s="811">
        <f t="shared" si="30"/>
        <v>-2</v>
      </c>
      <c r="T96" s="176">
        <f t="shared" si="31"/>
        <v>4</v>
      </c>
      <c r="U96" s="251">
        <f t="shared" si="32"/>
        <v>-1.0095378054146678</v>
      </c>
      <c r="V96" s="383">
        <f t="shared" si="33"/>
        <v>45.779766889390736</v>
      </c>
      <c r="W96" s="402">
        <f t="shared" si="34"/>
        <v>45.80016381910179</v>
      </c>
      <c r="X96" s="157">
        <f t="shared" si="35"/>
        <v>46469</v>
      </c>
      <c r="Y96" s="385">
        <f t="shared" si="36"/>
        <v>44.529005331914938</v>
      </c>
      <c r="Z96" s="385">
        <f t="shared" si="37"/>
        <v>47.772434557986315</v>
      </c>
      <c r="AA96" s="386">
        <f t="shared" si="38"/>
        <v>52.034279674842296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8.1904566441351315E-2</v>
      </c>
      <c r="AD96" s="231">
        <f>(INDEX(Models!$BJ96:$BT96,,AH96)*(1-AF96)+INDEX(Models!$BJ96:$BT96,,AH96+1)*AF96-ERP_i)*AE96*Ramure*Pc/MaxiM</f>
        <v>2.5798008444994882E-4</v>
      </c>
      <c r="AE96" s="305">
        <f t="shared" si="40"/>
        <v>0.5</v>
      </c>
      <c r="AF96" s="177">
        <f t="shared" si="41"/>
        <v>0.51544976095931139</v>
      </c>
      <c r="AG96" s="811">
        <f t="shared" si="49"/>
        <v>2</v>
      </c>
      <c r="AH96" s="176">
        <f t="shared" si="42"/>
        <v>8</v>
      </c>
      <c r="AI96" s="225">
        <f t="shared" si="43"/>
        <v>2.5154497609593114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44.820213082859091</v>
      </c>
      <c r="C97" s="841"/>
      <c r="D97" s="393">
        <f t="shared" si="25"/>
        <v>48.085906670855721</v>
      </c>
      <c r="E97" s="385">
        <f t="shared" si="47"/>
        <v>50.938097802834932</v>
      </c>
      <c r="F97" s="385">
        <f t="shared" si="26"/>
        <v>50.938133037287656</v>
      </c>
      <c r="G97" s="110">
        <f t="shared" si="48"/>
        <v>0.97229887170393114</v>
      </c>
      <c r="H97" s="414" t="b">
        <f>Wh_hp&gt;='2026'!Maxi_hp</f>
        <v>0</v>
      </c>
      <c r="I97" s="390">
        <f>IF(H97,Wh_hp,'2026'!Maxi_hp)</f>
        <v>51.495753799818651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6.7913736354188958E-2</v>
      </c>
      <c r="M97" s="845"/>
      <c r="N97" s="845"/>
      <c r="O97" s="48">
        <f>IF(t&lt;Tnet,'2026'!Resal+('2026'!Salim-'2026'!Resal)*(1-EXP(('2026'!Tnet-t)/('2026'!Tau_j))),Resal+(Salim-Resal)*(1-EXP((Tnet-t)/(Tau_j))))*Salcycl</f>
        <v>5.5993279195841385E-2</v>
      </c>
      <c r="P97" s="169">
        <f>(INDEX(Models!$BJ97:$BT97,,T97)*(1-R97)+INDEX(Models!$BJ97:$BT97,,T97+1)*R97-ERP_i)*Q97*Ramure*Pc/MaxiM</f>
        <v>7.2021165739667595E-7</v>
      </c>
      <c r="Q97" s="305">
        <f t="shared" si="28"/>
        <v>0.5</v>
      </c>
      <c r="R97" s="177">
        <f t="shared" si="29"/>
        <v>0.99121844503789203</v>
      </c>
      <c r="S97" s="811">
        <f t="shared" si="30"/>
        <v>-2</v>
      </c>
      <c r="T97" s="176">
        <f t="shared" si="31"/>
        <v>4</v>
      </c>
      <c r="U97" s="251">
        <f t="shared" si="32"/>
        <v>-1.008781554962108</v>
      </c>
      <c r="V97" s="383">
        <f t="shared" si="33"/>
        <v>46.097155010468931</v>
      </c>
      <c r="W97" s="402">
        <f t="shared" si="34"/>
        <v>44.820213082859091</v>
      </c>
      <c r="X97" s="157">
        <f t="shared" si="35"/>
        <v>46470</v>
      </c>
      <c r="Y97" s="385">
        <f t="shared" si="36"/>
        <v>43.578972052927888</v>
      </c>
      <c r="Z97" s="385">
        <f t="shared" si="37"/>
        <v>46.754226247762531</v>
      </c>
      <c r="AA97" s="386">
        <f t="shared" si="38"/>
        <v>50.926882641928316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8.1934259033762655E-2</v>
      </c>
      <c r="AD97" s="231">
        <f>(INDEX(Models!$BJ97:$BT97,,AH97)*(1-AF97)+INDEX(Models!$BJ97:$BT97,,AH97+1)*AF97-ERP_i)*AE97*Ramure*Pc/MaxiM</f>
        <v>2.2996428954744205E-4</v>
      </c>
      <c r="AE97" s="305">
        <f t="shared" si="40"/>
        <v>0.5</v>
      </c>
      <c r="AF97" s="177">
        <f t="shared" si="41"/>
        <v>0.51620601141187095</v>
      </c>
      <c r="AG97" s="811">
        <f t="shared" si="49"/>
        <v>2</v>
      </c>
      <c r="AH97" s="176">
        <f t="shared" si="42"/>
        <v>8</v>
      </c>
      <c r="AI97" s="225">
        <f t="shared" si="43"/>
        <v>2.5162060114118709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39.260937145038525</v>
      </c>
      <c r="C98" s="841"/>
      <c r="D98" s="393">
        <f t="shared" si="25"/>
        <v>42.122492960669391</v>
      </c>
      <c r="E98" s="385">
        <f t="shared" si="47"/>
        <v>44.623558661502464</v>
      </c>
      <c r="F98" s="385">
        <f t="shared" si="26"/>
        <v>44.62358104695808</v>
      </c>
      <c r="G98" s="110">
        <f t="shared" si="48"/>
        <v>0.84589866960014259</v>
      </c>
      <c r="H98" s="414" t="b">
        <f>Wh_hp&gt;='2026'!Maxi_hp</f>
        <v>0</v>
      </c>
      <c r="I98" s="390">
        <f>IF(H98,Wh_hp,'2026'!Maxi_hp)</f>
        <v>48.049790210842104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6.793415143549919E-2</v>
      </c>
      <c r="M98" s="845"/>
      <c r="N98" s="845"/>
      <c r="O98" s="48">
        <f>IF(t&lt;Tnet,'2026'!Resal+('2026'!Salim-'2026'!Resal)*(1-EXP(('2026'!Tnet-t)/('2026'!Tau_j))),Resal+(Salim-Resal)*(1-EXP((Tnet-t)/(Tau_j))))*Salcycl</f>
        <v>5.6048100506846957E-2</v>
      </c>
      <c r="P98" s="169">
        <f>(INDEX(Models!$BJ98:$BT98,,T98)*(1-R98)+INDEX(Models!$BJ98:$BT98,,T98+1)*R98-ERP_i)*Q98*Ramure*Pc/MaxiM</f>
        <v>6.4326130489133983E-7</v>
      </c>
      <c r="Q98" s="305">
        <f t="shared" si="28"/>
        <v>0.5</v>
      </c>
      <c r="R98" s="177">
        <f t="shared" si="29"/>
        <v>0.99200390187313925</v>
      </c>
      <c r="S98" s="811">
        <f t="shared" si="30"/>
        <v>-2</v>
      </c>
      <c r="T98" s="176">
        <f t="shared" si="31"/>
        <v>4</v>
      </c>
      <c r="U98" s="251">
        <f t="shared" si="32"/>
        <v>-1.0079960981268608</v>
      </c>
      <c r="V98" s="383">
        <f t="shared" si="33"/>
        <v>46.413279741690253</v>
      </c>
      <c r="W98" s="402">
        <f t="shared" si="34"/>
        <v>39.260937145038525</v>
      </c>
      <c r="X98" s="157">
        <f t="shared" si="35"/>
        <v>46471</v>
      </c>
      <c r="Y98" s="385">
        <f t="shared" si="36"/>
        <v>38.17697069948219</v>
      </c>
      <c r="Z98" s="385">
        <f t="shared" si="37"/>
        <v>40.959521001954478</v>
      </c>
      <c r="AA98" s="386">
        <f t="shared" si="38"/>
        <v>44.616487702464831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8.1964468491954545E-2</v>
      </c>
      <c r="AD98" s="231">
        <f>(INDEX(Models!$BJ98:$BT98,,AH98)*(1-AF98)+INDEX(Models!$BJ98:$BT98,,AH98+1)*AF98-ERP_i)*AE98*Ramure*Pc/MaxiM</f>
        <v>2.0383208245223591E-4</v>
      </c>
      <c r="AE98" s="305">
        <f t="shared" si="40"/>
        <v>0.5</v>
      </c>
      <c r="AF98" s="177">
        <f t="shared" si="41"/>
        <v>0.51699146824711839</v>
      </c>
      <c r="AG98" s="811">
        <f t="shared" si="49"/>
        <v>2</v>
      </c>
      <c r="AH98" s="176">
        <f t="shared" si="42"/>
        <v>8</v>
      </c>
      <c r="AI98" s="225">
        <f t="shared" si="43"/>
        <v>2.5169914682471184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44.186716055459591</v>
      </c>
      <c r="C99" s="841"/>
      <c r="D99" s="393">
        <f t="shared" si="25"/>
        <v>47.408328442884013</v>
      </c>
      <c r="E99" s="385">
        <f t="shared" si="47"/>
        <v>50.226181336212015</v>
      </c>
      <c r="F99" s="385">
        <f t="shared" si="26"/>
        <v>50.22620763970157</v>
      </c>
      <c r="G99" s="110">
        <f t="shared" si="48"/>
        <v>0.94563163311851617</v>
      </c>
      <c r="H99" s="414" t="b">
        <f>Wh_hp&gt;='2026'!Maxi_hp</f>
        <v>0</v>
      </c>
      <c r="I99" s="390">
        <f>IF(H99,Wh_hp,'2026'!Maxi_hp)</f>
        <v>54.932815887950575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6.7954566069666655E-2</v>
      </c>
      <c r="M99" s="845"/>
      <c r="N99" s="845"/>
      <c r="O99" s="48">
        <f>IF(t&lt;Tnet,'2026'!Resal+('2026'!Salim-'2026'!Resal)*(1-EXP(('2026'!Tnet-t)/('2026'!Tau_j))),Resal+(Salim-Resal)*(1-EXP((Tnet-t)/(Tau_j))))*Salcycl</f>
        <v>5.6103267625810797E-2</v>
      </c>
      <c r="P99" s="169">
        <f>(INDEX(Models!$BJ99:$BT99,,T99)*(1-R99)+INDEX(Models!$BJ99:$BT99,,T99+1)*R99-ERP_i)*Q99*Ramure*Pc/MaxiM</f>
        <v>5.6780105028984619E-7</v>
      </c>
      <c r="Q99" s="305">
        <f t="shared" si="28"/>
        <v>0.5</v>
      </c>
      <c r="R99" s="177">
        <f t="shared" si="29"/>
        <v>0.99281958787454294</v>
      </c>
      <c r="S99" s="811">
        <f t="shared" si="30"/>
        <v>-2</v>
      </c>
      <c r="T99" s="176">
        <f t="shared" si="31"/>
        <v>4</v>
      </c>
      <c r="U99" s="251">
        <f t="shared" si="32"/>
        <v>-1.0071804121254571</v>
      </c>
      <c r="V99" s="383">
        <f t="shared" si="33"/>
        <v>46.727195410204423</v>
      </c>
      <c r="W99" s="402">
        <f t="shared" si="34"/>
        <v>44.186716055459591</v>
      </c>
      <c r="X99" s="157">
        <f t="shared" si="35"/>
        <v>46472</v>
      </c>
      <c r="Y99" s="385">
        <f t="shared" si="36"/>
        <v>42.967539599455293</v>
      </c>
      <c r="Z99" s="385">
        <f t="shared" si="37"/>
        <v>46.10026296493497</v>
      </c>
      <c r="AA99" s="386">
        <f t="shared" si="38"/>
        <v>50.21789026733088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8.19952268101279E-2</v>
      </c>
      <c r="AD99" s="231">
        <f>(INDEX(Models!$BJ99:$BT99,,AH99)*(1-AF99)+INDEX(Models!$BJ99:$BT99,,AH99+1)*AF99-ERP_i)*AE99*Ramure*Pc/MaxiM</f>
        <v>1.7954320310282988E-4</v>
      </c>
      <c r="AE99" s="305">
        <f t="shared" si="40"/>
        <v>0.5</v>
      </c>
      <c r="AF99" s="177">
        <f t="shared" si="41"/>
        <v>0.51780715424852186</v>
      </c>
      <c r="AG99" s="811">
        <f t="shared" si="49"/>
        <v>2</v>
      </c>
      <c r="AH99" s="176">
        <f t="shared" si="42"/>
        <v>8</v>
      </c>
      <c r="AI99" s="225">
        <f t="shared" si="43"/>
        <v>2.5178071542485219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43.040774676796062</v>
      </c>
      <c r="C100" s="841"/>
      <c r="D100" s="393">
        <f t="shared" si="25"/>
        <v>46.179849000888929</v>
      </c>
      <c r="E100" s="385">
        <f t="shared" si="47"/>
        <v>48.927562342650454</v>
      </c>
      <c r="F100" s="385">
        <f t="shared" si="26"/>
        <v>48.927583814778899</v>
      </c>
      <c r="G100" s="110">
        <f t="shared" si="48"/>
        <v>0.91502215241876006</v>
      </c>
      <c r="H100" s="414" t="b">
        <f>Wh_hp&gt;='2026'!Maxi_hp</f>
        <v>0</v>
      </c>
      <c r="I100" s="390">
        <f>IF(H100,Wh_hp,'2026'!Maxi_hp)</f>
        <v>54.175577399192605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6.7974980256701234E-2</v>
      </c>
      <c r="M100" s="845"/>
      <c r="N100" s="845"/>
      <c r="O100" s="48">
        <f>IF(t&lt;Tnet,'2026'!Resal+('2026'!Salim-'2026'!Resal)*(1-EXP(('2026'!Tnet-t)/('2026'!Tau_j))),Resal+(Salim-Resal)*(1-EXP((Tnet-t)/(Tau_j))))*Salcycl</f>
        <v>5.6158803140828509E-2</v>
      </c>
      <c r="P100" s="169">
        <f>(INDEX(Models!$BJ100:$BT100,,T100)*(1-R100)+INDEX(Models!$BJ100:$BT100,,T100+1)*R100-ERP_i)*Q100*Ramure*Pc/MaxiM</f>
        <v>4.9949203684152825E-7</v>
      </c>
      <c r="Q100" s="305">
        <f t="shared" si="28"/>
        <v>0.5</v>
      </c>
      <c r="R100" s="177">
        <f t="shared" si="29"/>
        <v>0.99366655304250751</v>
      </c>
      <c r="S100" s="811">
        <f t="shared" si="30"/>
        <v>-2</v>
      </c>
      <c r="T100" s="176">
        <f t="shared" si="31"/>
        <v>4</v>
      </c>
      <c r="U100" s="251">
        <f t="shared" si="32"/>
        <v>-1.0063334469574925</v>
      </c>
      <c r="V100" s="383">
        <f t="shared" si="33"/>
        <v>47.037956352388143</v>
      </c>
      <c r="W100" s="402">
        <f t="shared" si="34"/>
        <v>43.040774676796062</v>
      </c>
      <c r="X100" s="157">
        <f t="shared" si="35"/>
        <v>46473</v>
      </c>
      <c r="Y100" s="385">
        <f t="shared" si="36"/>
        <v>41.855378393565459</v>
      </c>
      <c r="Z100" s="385">
        <f t="shared" si="37"/>
        <v>44.907998719919988</v>
      </c>
      <c r="AA100" s="386">
        <f t="shared" si="38"/>
        <v>48.920804297667537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8.2026565902941842E-2</v>
      </c>
      <c r="AD100" s="231">
        <f>(INDEX(Models!$BJ100:$BT100,,AH100)*(1-AF100)+INDEX(Models!$BJ100:$BT100,,AH100+1)*AF100-ERP_i)*AE100*Ramure*Pc/MaxiM</f>
        <v>1.5770745871754365E-4</v>
      </c>
      <c r="AE100" s="305">
        <f t="shared" si="40"/>
        <v>0.5</v>
      </c>
      <c r="AF100" s="177">
        <f t="shared" si="41"/>
        <v>0.51865411941648665</v>
      </c>
      <c r="AG100" s="811">
        <f t="shared" si="49"/>
        <v>2</v>
      </c>
      <c r="AH100" s="176">
        <f t="shared" si="42"/>
        <v>8</v>
      </c>
      <c r="AI100" s="225">
        <f t="shared" si="43"/>
        <v>2.5186541194164866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33.699239979804808</v>
      </c>
      <c r="C101" s="841"/>
      <c r="D101" s="393">
        <f t="shared" si="25"/>
        <v>36.157804116777442</v>
      </c>
      <c r="E101" s="385">
        <f t="shared" si="47"/>
        <v>38.311473223762398</v>
      </c>
      <c r="F101" s="385">
        <f t="shared" si="26"/>
        <v>38.311483175174004</v>
      </c>
      <c r="G101" s="110">
        <f t="shared" si="48"/>
        <v>0.71178595957560953</v>
      </c>
      <c r="H101" s="414" t="b">
        <f>Wh_hp&gt;='2026'!Maxi_hp</f>
        <v>0</v>
      </c>
      <c r="I101" s="390">
        <f>IF(H101,Wh_hp,'2026'!Maxi_hp)</f>
        <v>52.923988977147388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6.7995393996612807E-2</v>
      </c>
      <c r="M101" s="845"/>
      <c r="N101" s="845"/>
      <c r="O101" s="48">
        <f>IF(t&lt;Tnet,'2026'!Resal+('2026'!Salim-'2026'!Resal)*(1-EXP(('2026'!Tnet-t)/('2026'!Tau_j))),Resal+(Salim-Resal)*(1-EXP((Tnet-t)/(Tau_j))))*Salcycl</f>
        <v>5.6214729577383042E-2</v>
      </c>
      <c r="P101" s="169">
        <f>(INDEX(Models!$BJ101:$BT101,,T101)*(1-R101)+INDEX(Models!$BJ101:$BT101,,T101+1)*R101-ERP_i)*Q101*Ramure*Pc/MaxiM</f>
        <v>4.415522407713179E-7</v>
      </c>
      <c r="Q101" s="305">
        <f t="shared" si="28"/>
        <v>0.5</v>
      </c>
      <c r="R101" s="177">
        <f t="shared" si="29"/>
        <v>0.99454587459217181</v>
      </c>
      <c r="S101" s="811">
        <f t="shared" si="30"/>
        <v>-2</v>
      </c>
      <c r="T101" s="176">
        <f t="shared" si="31"/>
        <v>4</v>
      </c>
      <c r="U101" s="251">
        <f t="shared" si="32"/>
        <v>-1.0054541254078282</v>
      </c>
      <c r="V101" s="383">
        <f t="shared" si="33"/>
        <v>47.344617296612412</v>
      </c>
      <c r="W101" s="402">
        <f t="shared" si="34"/>
        <v>33.699239979804808</v>
      </c>
      <c r="X101" s="157">
        <f t="shared" si="35"/>
        <v>46474</v>
      </c>
      <c r="Y101" s="385">
        <f t="shared" si="36"/>
        <v>32.773801424824015</v>
      </c>
      <c r="Z101" s="385">
        <f t="shared" si="37"/>
        <v>35.164849201083136</v>
      </c>
      <c r="AA101" s="386">
        <f t="shared" si="38"/>
        <v>38.308377900156046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8.2058517519743454E-2</v>
      </c>
      <c r="AD101" s="231">
        <f>(INDEX(Models!$BJ101:$BT101,,AH101)*(1-AF101)+INDEX(Models!$BJ101:$BT101,,AH101+1)*AF101-ERP_i)*AE101*Ramure*Pc/MaxiM</f>
        <v>1.3778358258399148E-4</v>
      </c>
      <c r="AE101" s="305">
        <f t="shared" si="40"/>
        <v>0.5</v>
      </c>
      <c r="AF101" s="177">
        <f t="shared" si="41"/>
        <v>0.51953344096615073</v>
      </c>
      <c r="AG101" s="811">
        <f t="shared" si="49"/>
        <v>2</v>
      </c>
      <c r="AH101" s="176">
        <f t="shared" si="42"/>
        <v>8</v>
      </c>
      <c r="AI101" s="225">
        <f t="shared" si="43"/>
        <v>2.5195334409661507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26.542004683100433</v>
      </c>
      <c r="C102" s="841"/>
      <c r="D102" s="393">
        <f t="shared" si="25"/>
        <v>28.479028819046267</v>
      </c>
      <c r="E102" s="385">
        <f t="shared" si="47"/>
        <v>30.177128086100637</v>
      </c>
      <c r="F102" s="385">
        <f t="shared" si="26"/>
        <v>30.177132450376359</v>
      </c>
      <c r="G102" s="110">
        <f t="shared" si="48"/>
        <v>0.55706393062496851</v>
      </c>
      <c r="H102" s="414" t="b">
        <f>Wh_hp&gt;='2026'!Maxi_hp</f>
        <v>0</v>
      </c>
      <c r="I102" s="390">
        <f>IF(H102,Wh_hp,'2026'!Maxi_hp)</f>
        <v>54.418783965233558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6.8015807289411034E-2</v>
      </c>
      <c r="M102" s="845"/>
      <c r="N102" s="845"/>
      <c r="O102" s="48">
        <f>IF(t&lt;Tnet,'2026'!Resal+('2026'!Salim-'2026'!Resal)*(1-EXP(('2026'!Tnet-t)/('2026'!Tau_j))),Resal+(Salim-Resal)*(1-EXP((Tnet-t)/(Tau_j))))*Salcycl</f>
        <v>5.6271069341303673E-2</v>
      </c>
      <c r="P102" s="169">
        <f>(INDEX(Models!$BJ102:$BT102,,T102)*(1-R102)+INDEX(Models!$BJ102:$BT102,,T102+1)*R102-ERP_i)*Q102*Ramure*Pc/MaxiM</f>
        <v>3.9381374770548113E-7</v>
      </c>
      <c r="Q102" s="305">
        <f t="shared" si="28"/>
        <v>0.5</v>
      </c>
      <c r="R102" s="177">
        <f t="shared" si="29"/>
        <v>0.99545865687655821</v>
      </c>
      <c r="S102" s="811">
        <f t="shared" si="30"/>
        <v>-2</v>
      </c>
      <c r="T102" s="176">
        <f t="shared" si="31"/>
        <v>4</v>
      </c>
      <c r="U102" s="251">
        <f t="shared" si="32"/>
        <v>-1.0045413431234418</v>
      </c>
      <c r="V102" s="383">
        <f t="shared" si="33"/>
        <v>47.646233421130326</v>
      </c>
      <c r="W102" s="402">
        <f t="shared" si="34"/>
        <v>26.542004683100433</v>
      </c>
      <c r="X102" s="157">
        <f t="shared" si="35"/>
        <v>46475</v>
      </c>
      <c r="Y102" s="385">
        <f t="shared" si="36"/>
        <v>25.81469471395474</v>
      </c>
      <c r="Z102" s="385">
        <f t="shared" si="37"/>
        <v>27.698640079801258</v>
      </c>
      <c r="AA102" s="386">
        <f t="shared" si="38"/>
        <v>30.175805547783412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8.2091113162151036E-2</v>
      </c>
      <c r="AD102" s="231">
        <f>(INDEX(Models!$BJ102:$BT102,,AH102)*(1-AF102)+INDEX(Models!$BJ102:$BT102,,AH102+1)*AF102-ERP_i)*AE102*Ramure*Pc/MaxiM</f>
        <v>1.1973406727401405E-4</v>
      </c>
      <c r="AE102" s="305">
        <f t="shared" si="40"/>
        <v>0.5</v>
      </c>
      <c r="AF102" s="177">
        <f t="shared" si="41"/>
        <v>0.52044622325053691</v>
      </c>
      <c r="AG102" s="811">
        <f t="shared" si="49"/>
        <v>2</v>
      </c>
      <c r="AH102" s="176">
        <f t="shared" si="42"/>
        <v>8</v>
      </c>
      <c r="AI102" s="225">
        <f t="shared" si="43"/>
        <v>2.5204462232505369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7.464325726792258</v>
      </c>
      <c r="C103" s="841"/>
      <c r="D103" s="393">
        <f t="shared" si="25"/>
        <v>8.0092444449658267</v>
      </c>
      <c r="E103" s="385">
        <f t="shared" si="47"/>
        <v>8.4873167017556508</v>
      </c>
      <c r="F103" s="385">
        <f t="shared" si="26"/>
        <v>8.4873167017556508</v>
      </c>
      <c r="G103" s="110">
        <f t="shared" si="48"/>
        <v>0.1556953158800492</v>
      </c>
      <c r="H103" s="414" t="b">
        <f>Wh_hp&gt;='2026'!Maxi_hp</f>
        <v>0</v>
      </c>
      <c r="I103" s="390">
        <f>IF(H103,Wh_hp,'2026'!Maxi_hp)</f>
        <v>55.483183570295765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6.8036220135105796E-2</v>
      </c>
      <c r="M103" s="845"/>
      <c r="N103" s="845"/>
      <c r="O103" s="48">
        <f>IF(t&lt;Tnet,'2026'!Resal+('2026'!Salim-'2026'!Resal)*(1-EXP(('2026'!Tnet-t)/('2026'!Tau_j))),Resal+(Salim-Resal)*(1-EXP((Tnet-t)/(Tau_j))))*Salcycl</f>
        <v>5.6327844663900929E-2</v>
      </c>
      <c r="P103" s="169">
        <f>(INDEX(Models!$BJ103:$BT103,,T103)*(1-R103)+INDEX(Models!$BJ103:$BT103,,T103+1)*R103-ERP_i)*Q103*Ramure*Pc/MaxiM</f>
        <v>3.5612187024127394E-7</v>
      </c>
      <c r="Q103" s="305">
        <f t="shared" si="28"/>
        <v>0.5</v>
      </c>
      <c r="R103" s="177">
        <f t="shared" si="29"/>
        <v>0.99640603122817639</v>
      </c>
      <c r="S103" s="811">
        <f t="shared" si="30"/>
        <v>-2</v>
      </c>
      <c r="T103" s="176">
        <f t="shared" si="31"/>
        <v>4</v>
      </c>
      <c r="U103" s="251">
        <f t="shared" si="32"/>
        <v>-1.0035939687718236</v>
      </c>
      <c r="V103" s="383">
        <f t="shared" si="33"/>
        <v>47.941860205565114</v>
      </c>
      <c r="W103" s="402">
        <f t="shared" si="34"/>
        <v>7.464325726792258</v>
      </c>
      <c r="X103" s="157">
        <f t="shared" si="35"/>
        <v>46476</v>
      </c>
      <c r="Y103" s="385">
        <f t="shared" si="36"/>
        <v>7.2602784088991337</v>
      </c>
      <c r="Z103" s="385">
        <f t="shared" si="37"/>
        <v>7.7903010457677322</v>
      </c>
      <c r="AA103" s="386">
        <f t="shared" si="38"/>
        <v>8.4873167017556508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8.2124384005104537E-2</v>
      </c>
      <c r="AD103" s="231">
        <f>(INDEX(Models!$BJ103:$BT103,,AH103)*(1-AF103)+INDEX(Models!$BJ103:$BT103,,AH103+1)*AF103-ERP_i)*AE103*Ramure*Pc/MaxiM</f>
        <v>1.0352286830393386E-4</v>
      </c>
      <c r="AE103" s="305">
        <f t="shared" si="40"/>
        <v>0.5</v>
      </c>
      <c r="AF103" s="177">
        <f t="shared" si="41"/>
        <v>0.52139359760215553</v>
      </c>
      <c r="AG103" s="811">
        <f t="shared" si="49"/>
        <v>2</v>
      </c>
      <c r="AH103" s="176">
        <f t="shared" si="42"/>
        <v>8</v>
      </c>
      <c r="AI103" s="225">
        <f t="shared" si="43"/>
        <v>2.5213935976021555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27.20190931114001</v>
      </c>
      <c r="C104" s="841"/>
      <c r="D104" s="393">
        <f t="shared" si="25"/>
        <v>29.188371590748897</v>
      </c>
      <c r="E104" s="385">
        <f t="shared" si="47"/>
        <v>30.932503181428132</v>
      </c>
      <c r="F104" s="385">
        <f t="shared" si="26"/>
        <v>30.932507011763384</v>
      </c>
      <c r="G104" s="110">
        <f t="shared" si="48"/>
        <v>0.56399733800997243</v>
      </c>
      <c r="H104" s="414" t="b">
        <f>Wh_hp&gt;='2026'!Maxi_hp</f>
        <v>0</v>
      </c>
      <c r="I104" s="390">
        <f>IF(H104,Wh_hp,'2026'!Maxi_hp)</f>
        <v>49.250450204262727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6.8056632533706862E-2</v>
      </c>
      <c r="M104" s="845"/>
      <c r="N104" s="845"/>
      <c r="O104" s="48">
        <f>IF(t&lt;Tnet,'2026'!Resal+('2026'!Salim-'2026'!Resal)*(1-EXP(('2026'!Tnet-t)/('2026'!Tau_j))),Resal+(Salim-Resal)*(1-EXP((Tnet-t)/(Tau_j))))*Salcycl</f>
        <v>5.6385077549314211E-2</v>
      </c>
      <c r="P104" s="169">
        <f>(INDEX(Models!$BJ104:$BT104,,T104)*(1-R104)+INDEX(Models!$BJ104:$BT104,,T104+1)*R104-ERP_i)*Q104*Ramure*Pc/MaxiM</f>
        <v>3.2833710901355002E-7</v>
      </c>
      <c r="Q104" s="305">
        <f t="shared" si="28"/>
        <v>0.5</v>
      </c>
      <c r="R104" s="177">
        <f t="shared" si="29"/>
        <v>0.99738915571184084</v>
      </c>
      <c r="S104" s="811">
        <f t="shared" si="30"/>
        <v>-2</v>
      </c>
      <c r="T104" s="176">
        <f t="shared" si="31"/>
        <v>4</v>
      </c>
      <c r="U104" s="251">
        <f t="shared" si="32"/>
        <v>-1.0026108442881592</v>
      </c>
      <c r="V104" s="383">
        <f t="shared" si="33"/>
        <v>48.230553435062305</v>
      </c>
      <c r="W104" s="402">
        <f t="shared" si="34"/>
        <v>27.20190931114001</v>
      </c>
      <c r="X104" s="157">
        <f t="shared" si="35"/>
        <v>46477</v>
      </c>
      <c r="Y104" s="385">
        <f t="shared" si="36"/>
        <v>26.45804809752169</v>
      </c>
      <c r="Z104" s="385">
        <f t="shared" si="37"/>
        <v>28.390188740174317</v>
      </c>
      <c r="AA104" s="386">
        <f t="shared" si="38"/>
        <v>30.931467399520088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8.2158360821420376E-2</v>
      </c>
      <c r="AD104" s="231">
        <f>(INDEX(Models!$BJ104:$BT104,,AH104)*(1-AF104)+INDEX(Models!$BJ104:$BT104,,AH104+1)*AF104-ERP_i)*AE104*Ramure*Pc/MaxiM</f>
        <v>8.9115770821723578E-5</v>
      </c>
      <c r="AE104" s="305">
        <f t="shared" si="40"/>
        <v>0.5</v>
      </c>
      <c r="AF104" s="177">
        <f t="shared" si="41"/>
        <v>0.52237672208581953</v>
      </c>
      <c r="AG104" s="811">
        <f t="shared" si="49"/>
        <v>2</v>
      </c>
      <c r="AH104" s="176">
        <f t="shared" si="42"/>
        <v>8</v>
      </c>
      <c r="AI104" s="225">
        <f t="shared" si="43"/>
        <v>2.5223767220858195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29.768738766839974</v>
      </c>
      <c r="C105" s="841"/>
      <c r="D105" s="393">
        <f t="shared" si="25"/>
        <v>31.943347452361341</v>
      </c>
      <c r="E105" s="385">
        <f t="shared" si="47"/>
        <v>33.854171325784854</v>
      </c>
      <c r="F105" s="385">
        <f t="shared" si="26"/>
        <v>33.854176033233287</v>
      </c>
      <c r="G105" s="110">
        <f t="shared" si="48"/>
        <v>0.61364447450832538</v>
      </c>
      <c r="H105" s="414" t="b">
        <f>Wh_hp&gt;='2026'!Maxi_hp</f>
        <v>0</v>
      </c>
      <c r="I105" s="390">
        <f>IF(H105,Wh_hp,'2026'!Maxi_hp)</f>
        <v>50.405835504746996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6.8077044485223892E-2</v>
      </c>
      <c r="M105" s="845"/>
      <c r="N105" s="845"/>
      <c r="O105" s="48">
        <f>IF(t&lt;Tnet,'2026'!Resal+('2026'!Salim-'2026'!Resal)*(1-EXP(('2026'!Tnet-t)/('2026'!Tau_j))),Resal+(Salim-Resal)*(1-EXP((Tnet-t)/(Tau_j))))*Salcycl</f>
        <v>5.6442789724058119E-2</v>
      </c>
      <c r="P105" s="169">
        <f>(INDEX(Models!$BJ105:$BT105,,T105)*(1-R105)+INDEX(Models!$BJ105:$BT105,,T105+1)*R105-ERP_i)*Q105*Ramure*Pc/MaxiM</f>
        <v>3.1033701351468605E-7</v>
      </c>
      <c r="Q105" s="305">
        <f t="shared" si="28"/>
        <v>0.5</v>
      </c>
      <c r="R105" s="177">
        <f t="shared" si="29"/>
        <v>0.9984092147811261</v>
      </c>
      <c r="S105" s="811">
        <f t="shared" si="30"/>
        <v>-2</v>
      </c>
      <c r="T105" s="176">
        <f t="shared" si="31"/>
        <v>4</v>
      </c>
      <c r="U105" s="251">
        <f t="shared" si="32"/>
        <v>-1.0015907852188739</v>
      </c>
      <c r="V105" s="383">
        <f t="shared" si="33"/>
        <v>48.511369212140174</v>
      </c>
      <c r="W105" s="402">
        <f t="shared" si="34"/>
        <v>29.768738766839974</v>
      </c>
      <c r="X105" s="157">
        <f t="shared" si="35"/>
        <v>46478</v>
      </c>
      <c r="Y105" s="385">
        <f t="shared" si="36"/>
        <v>28.955342450220758</v>
      </c>
      <c r="Z105" s="385">
        <f t="shared" si="37"/>
        <v>31.070532471459931</v>
      </c>
      <c r="AA105" s="386">
        <f t="shared" si="38"/>
        <v>33.853015910240423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8.2193073909813744E-2</v>
      </c>
      <c r="AD105" s="231">
        <f>(INDEX(Models!$BJ105:$BT105,,AH105)*(1-AF105)+INDEX(Models!$BJ105:$BT105,,AH105+1)*AF105-ERP_i)*AE105*Ramure*Pc/MaxiM</f>
        <v>7.6480732667872728E-5</v>
      </c>
      <c r="AE105" s="305">
        <f t="shared" si="40"/>
        <v>0.5</v>
      </c>
      <c r="AF105" s="177">
        <f t="shared" si="41"/>
        <v>0.52339678115510502</v>
      </c>
      <c r="AG105" s="811">
        <f t="shared" si="49"/>
        <v>2</v>
      </c>
      <c r="AH105" s="176">
        <f t="shared" si="42"/>
        <v>8</v>
      </c>
      <c r="AI105" s="225">
        <f t="shared" si="43"/>
        <v>2.523396781155105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20.294543026757516</v>
      </c>
      <c r="C106" s="841"/>
      <c r="D106" s="393">
        <f t="shared" si="25"/>
        <v>21.777537959519172</v>
      </c>
      <c r="E106" s="385">
        <f t="shared" si="47"/>
        <v>23.081675782667293</v>
      </c>
      <c r="F106" s="385">
        <f t="shared" si="26"/>
        <v>23.081676938010474</v>
      </c>
      <c r="G106" s="110">
        <f t="shared" si="48"/>
        <v>0.4160134984978282</v>
      </c>
      <c r="H106" s="414" t="b">
        <f>Wh_hp&gt;='2026'!Maxi_hp</f>
        <v>0</v>
      </c>
      <c r="I106" s="390">
        <f>IF(H106,Wh_hp,'2026'!Maxi_hp)</f>
        <v>45.758995612636852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6.8097455989666877E-2</v>
      </c>
      <c r="M106" s="845"/>
      <c r="N106" s="845"/>
      <c r="O106" s="48">
        <f>IF(t&lt;Tnet,'2026'!Resal+('2026'!Salim-'2026'!Resal)*(1-EXP(('2026'!Tnet-t)/('2026'!Tau_j))),Resal+(Salim-Resal)*(1-EXP((Tnet-t)/(Tau_j))))*Salcycl</f>
        <v>5.6501002588704413E-2</v>
      </c>
      <c r="P106" s="169">
        <f>(INDEX(Models!$BJ106:$BT106,,T106)*(1-R106)+INDEX(Models!$BJ106:$BT106,,T106+1)*R106-ERP_i)*Q106*Ramure*Pc/MaxiM</f>
        <v>3.0201796105361953E-7</v>
      </c>
      <c r="Q106" s="305">
        <f t="shared" si="28"/>
        <v>0.5</v>
      </c>
      <c r="R106" s="177">
        <f t="shared" si="29"/>
        <v>0.99946741883056545</v>
      </c>
      <c r="S106" s="811">
        <f t="shared" si="30"/>
        <v>-2</v>
      </c>
      <c r="T106" s="176">
        <f t="shared" si="31"/>
        <v>4</v>
      </c>
      <c r="U106" s="251">
        <f t="shared" si="32"/>
        <v>-1.0005325811694346</v>
      </c>
      <c r="V106" s="383">
        <f t="shared" si="33"/>
        <v>48.783363969092754</v>
      </c>
      <c r="W106" s="402">
        <f t="shared" si="34"/>
        <v>20.294543026757516</v>
      </c>
      <c r="X106" s="157">
        <f t="shared" si="35"/>
        <v>46479</v>
      </c>
      <c r="Y106" s="385">
        <f t="shared" si="36"/>
        <v>19.740933098503117</v>
      </c>
      <c r="Z106" s="385">
        <f t="shared" si="37"/>
        <v>21.183473771356315</v>
      </c>
      <c r="AA106" s="386">
        <f t="shared" si="38"/>
        <v>23.081426036086864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8.2228553026280835E-2</v>
      </c>
      <c r="AD106" s="231">
        <f>(INDEX(Models!$BJ106:$BT106,,AH106)*(1-AF106)+INDEX(Models!$BJ106:$BT106,,AH106+1)*AF106-ERP_i)*AE106*Ramure*Pc/MaxiM</f>
        <v>6.5588206733950227E-5</v>
      </c>
      <c r="AE106" s="305">
        <f t="shared" si="40"/>
        <v>0.5</v>
      </c>
      <c r="AF106" s="177">
        <f t="shared" si="41"/>
        <v>0.52445498520454414</v>
      </c>
      <c r="AG106" s="811">
        <f t="shared" si="49"/>
        <v>2</v>
      </c>
      <c r="AH106" s="176">
        <f t="shared" si="42"/>
        <v>8</v>
      </c>
      <c r="AI106" s="225">
        <f t="shared" si="43"/>
        <v>2.5244549852045441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21.986911836186724</v>
      </c>
      <c r="C107" s="841"/>
      <c r="D107" s="393">
        <f t="shared" si="25"/>
        <v>23.594090989291157</v>
      </c>
      <c r="E107" s="385">
        <f t="shared" si="47"/>
        <v>25.008569083702969</v>
      </c>
      <c r="F107" s="385">
        <f t="shared" si="26"/>
        <v>25.008570691661266</v>
      </c>
      <c r="G107" s="110">
        <f t="shared" si="48"/>
        <v>0.44827180377748865</v>
      </c>
      <c r="H107" s="414" t="b">
        <f>Wh_hp&gt;='2026'!Maxi_hp</f>
        <v>0</v>
      </c>
      <c r="I107" s="390">
        <f>IF(H107,Wh_hp,'2026'!Maxi_hp)</f>
        <v>53.35954700357199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6.8117867047045588E-2</v>
      </c>
      <c r="M107" s="845"/>
      <c r="N107" s="845"/>
      <c r="O107" s="48">
        <f>IF(t&lt;Tnet,'2026'!Resal+('2026'!Salim-'2026'!Resal)*(1-EXP(('2026'!Tnet-t)/('2026'!Tau_j))),Resal+(Salim-Resal)*(1-EXP((Tnet-t)/(Tau_j))))*Salcycl</f>
        <v>5.6559737171590796E-2</v>
      </c>
      <c r="P107" s="169">
        <f>(INDEX(Models!$BJ107:$BT107,,T107)*(1-R107)+INDEX(Models!$BJ107:$BT107,,T107+1)*R107-ERP_i)*Q107*Ramure*Pc/MaxiM</f>
        <v>3.0354638418467145E-7</v>
      </c>
      <c r="Q107" s="305">
        <f t="shared" si="28"/>
        <v>0.5</v>
      </c>
      <c r="R107" s="177">
        <f t="shared" si="29"/>
        <v>5.6500363537892451E-4</v>
      </c>
      <c r="S107" s="811">
        <f t="shared" si="30"/>
        <v>-1</v>
      </c>
      <c r="T107" s="176">
        <f t="shared" si="31"/>
        <v>5</v>
      </c>
      <c r="U107" s="251">
        <f t="shared" si="32"/>
        <v>-0.99943499636462108</v>
      </c>
      <c r="V107" s="383">
        <f t="shared" si="33"/>
        <v>49.048158707589423</v>
      </c>
      <c r="W107" s="402">
        <f t="shared" si="34"/>
        <v>21.986911836186724</v>
      </c>
      <c r="X107" s="157">
        <f t="shared" si="35"/>
        <v>46480</v>
      </c>
      <c r="Y107" s="385">
        <f t="shared" si="36"/>
        <v>21.387599542618254</v>
      </c>
      <c r="Z107" s="385">
        <f t="shared" si="37"/>
        <v>22.95097071433818</v>
      </c>
      <c r="AA107" s="386">
        <f t="shared" si="38"/>
        <v>25.008271882271529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8.2264827318667244E-2</v>
      </c>
      <c r="AD107" s="231">
        <f>(INDEX(Models!$BJ107:$BT107,,AH107)*(1-AF107)+INDEX(Models!$BJ107:$BT107,,AH107+1)*AF107-ERP_i)*AE107*Ramure*Pc/MaxiM</f>
        <v>5.6408496485851278E-5</v>
      </c>
      <c r="AE107" s="305">
        <f t="shared" si="40"/>
        <v>0.5</v>
      </c>
      <c r="AF107" s="177">
        <f t="shared" si="41"/>
        <v>0.52555257000935773</v>
      </c>
      <c r="AG107" s="811">
        <f t="shared" si="49"/>
        <v>2</v>
      </c>
      <c r="AH107" s="176">
        <f t="shared" si="42"/>
        <v>8</v>
      </c>
      <c r="AI107" s="225">
        <f t="shared" si="43"/>
        <v>2.5255525700093577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46.239786556776387</v>
      </c>
      <c r="C108" s="841"/>
      <c r="D108" s="393">
        <f t="shared" si="25"/>
        <v>49.620866967829777</v>
      </c>
      <c r="E108" s="385">
        <f t="shared" si="47"/>
        <v>52.598968718529385</v>
      </c>
      <c r="F108" s="385">
        <f t="shared" si="26"/>
        <v>52.598984315461671</v>
      </c>
      <c r="G108" s="110">
        <f t="shared" si="48"/>
        <v>0.93777565058868617</v>
      </c>
      <c r="H108" s="414" t="b">
        <f>Wh_hp&gt;='2026'!Maxi_hp</f>
        <v>0</v>
      </c>
      <c r="I108" s="390">
        <f>IF(H108,Wh_hp,'2026'!Maxi_hp)</f>
        <v>56.536713073450201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6.8138277657369684E-2</v>
      </c>
      <c r="M108" s="845"/>
      <c r="N108" s="845"/>
      <c r="O108" s="48">
        <f>IF(t&lt;Tnet,'2026'!Resal+('2026'!Salim-'2026'!Resal)*(1-EXP(('2026'!Tnet-t)/('2026'!Tau_j))),Resal+(Salim-Resal)*(1-EXP((Tnet-t)/(Tau_j))))*Salcycl</f>
        <v>5.6619014084405263E-2</v>
      </c>
      <c r="P108" s="169">
        <f>(INDEX(Models!$BJ108:$BT108,,T108)*(1-R108)+INDEX(Models!$BJ108:$BT108,,T108+1)*R108-ERP_i)*Q108*Ramure*Pc/MaxiM</f>
        <v>3.2545572506840798E-7</v>
      </c>
      <c r="Q108" s="305">
        <f t="shared" si="28"/>
        <v>0.5</v>
      </c>
      <c r="R108" s="177">
        <f t="shared" si="29"/>
        <v>1.7032296702316208E-3</v>
      </c>
      <c r="S108" s="811">
        <f t="shared" si="30"/>
        <v>-1</v>
      </c>
      <c r="T108" s="176">
        <f t="shared" si="31"/>
        <v>5</v>
      </c>
      <c r="U108" s="251">
        <f t="shared" si="32"/>
        <v>-0.99829677032976838</v>
      </c>
      <c r="V108" s="383">
        <f t="shared" si="33"/>
        <v>49.307939686869418</v>
      </c>
      <c r="W108" s="402">
        <f t="shared" si="34"/>
        <v>46.239786556776387</v>
      </c>
      <c r="X108" s="157">
        <f t="shared" si="35"/>
        <v>46481</v>
      </c>
      <c r="Y108" s="385">
        <f t="shared" si="36"/>
        <v>44.978933792257436</v>
      </c>
      <c r="Z108" s="385">
        <f t="shared" si="37"/>
        <v>48.267819906996266</v>
      </c>
      <c r="AA108" s="386">
        <f t="shared" si="38"/>
        <v>52.596623264020302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8.2301925264187739E-2</v>
      </c>
      <c r="AD108" s="231">
        <f>(INDEX(Models!$BJ108:$BT108,,AH108)*(1-AF108)+INDEX(Models!$BJ108:$BT108,,AH108+1)*AF108-ERP_i)*AE108*Ramure*Pc/MaxiM</f>
        <v>4.9267233770739875E-5</v>
      </c>
      <c r="AE108" s="305">
        <f t="shared" si="40"/>
        <v>0.5</v>
      </c>
      <c r="AF108" s="177">
        <f t="shared" si="41"/>
        <v>0.52669079604421043</v>
      </c>
      <c r="AG108" s="811">
        <f t="shared" si="49"/>
        <v>2</v>
      </c>
      <c r="AH108" s="176">
        <f t="shared" si="42"/>
        <v>8</v>
      </c>
      <c r="AI108" s="225">
        <f t="shared" si="43"/>
        <v>2.5266907960442104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49.149791532119437</v>
      </c>
      <c r="C109" s="841"/>
      <c r="D109" s="393">
        <f t="shared" si="25"/>
        <v>52.744808466551014</v>
      </c>
      <c r="E109" s="385">
        <f t="shared" si="47"/>
        <v>55.913946868572992</v>
      </c>
      <c r="F109" s="385">
        <f t="shared" si="26"/>
        <v>55.913966952815791</v>
      </c>
      <c r="G109" s="110">
        <f t="shared" si="48"/>
        <v>0.9916707143981971</v>
      </c>
      <c r="H109" s="414" t="b">
        <f>Wh_hp&gt;='2026'!Maxi_hp</f>
        <v>0</v>
      </c>
      <c r="I109" s="390">
        <f>IF(H109,Wh_hp,'2026'!Maxi_hp)</f>
        <v>58.623693621493487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6.8158687820649044E-2</v>
      </c>
      <c r="M109" s="845"/>
      <c r="N109" s="845"/>
      <c r="O109" s="48">
        <f>IF(t&lt;Tnet,'2026'!Resal+('2026'!Salim-'2026'!Resal)*(1-EXP(('2026'!Tnet-t)/('2026'!Tau_j))),Resal+(Salim-Resal)*(1-EXP((Tnet-t)/(Tau_j))))*Salcycl</f>
        <v>5.667885347945676E-2</v>
      </c>
      <c r="P109" s="169">
        <f>(INDEX(Models!$BJ109:$BT109,,T109)*(1-R109)+INDEX(Models!$BJ109:$BT109,,T109+1)*R109-ERP_i)*Q109*Ramure*Pc/MaxiM</f>
        <v>3.6352460139208708E-7</v>
      </c>
      <c r="Q109" s="305">
        <f t="shared" si="28"/>
        <v>0.5</v>
      </c>
      <c r="R109" s="177">
        <f t="shared" si="29"/>
        <v>2.883381298250276E-3</v>
      </c>
      <c r="S109" s="811">
        <f t="shared" si="30"/>
        <v>-1</v>
      </c>
      <c r="T109" s="176">
        <f t="shared" si="31"/>
        <v>5</v>
      </c>
      <c r="U109" s="251">
        <f t="shared" si="32"/>
        <v>-0.99711661870174972</v>
      </c>
      <c r="V109" s="383">
        <f t="shared" si="33"/>
        <v>49.562612473985823</v>
      </c>
      <c r="W109" s="402">
        <f t="shared" si="34"/>
        <v>49.149791532119437</v>
      </c>
      <c r="X109" s="157">
        <f t="shared" si="35"/>
        <v>46482</v>
      </c>
      <c r="Y109" s="385">
        <f t="shared" si="36"/>
        <v>47.810755828526005</v>
      </c>
      <c r="Z109" s="385">
        <f t="shared" si="37"/>
        <v>51.307830210605538</v>
      </c>
      <c r="AA109" s="386">
        <f t="shared" si="38"/>
        <v>55.911582939030048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8.2339874609609329E-2</v>
      </c>
      <c r="AD109" s="231">
        <f>(INDEX(Models!$BJ109:$BT109,,AH109)*(1-AF109)+INDEX(Models!$BJ109:$BT109,,AH109+1)*AF109-ERP_i)*AE109*Ramure*Pc/MaxiM</f>
        <v>4.3150626584565149E-5</v>
      </c>
      <c r="AE109" s="305">
        <f t="shared" si="40"/>
        <v>0.5</v>
      </c>
      <c r="AF109" s="177">
        <f t="shared" si="41"/>
        <v>0.5278709476722292</v>
      </c>
      <c r="AG109" s="811">
        <f t="shared" si="49"/>
        <v>2</v>
      </c>
      <c r="AH109" s="176">
        <f t="shared" si="42"/>
        <v>8</v>
      </c>
      <c r="AI109" s="225">
        <f t="shared" si="43"/>
        <v>2.5278709476722292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10.767414836883116</v>
      </c>
      <c r="C110" s="841"/>
      <c r="D110" s="393">
        <f t="shared" si="25"/>
        <v>11.555240721067028</v>
      </c>
      <c r="E110" s="385">
        <f t="shared" si="47"/>
        <v>12.25031469551543</v>
      </c>
      <c r="F110" s="385">
        <f t="shared" si="26"/>
        <v>12.25031469551543</v>
      </c>
      <c r="G110" s="110">
        <f t="shared" si="48"/>
        <v>0.21616061408729145</v>
      </c>
      <c r="H110" s="414" t="b">
        <f>Wh_hp&gt;='2026'!Maxi_hp</f>
        <v>0</v>
      </c>
      <c r="I110" s="390">
        <f>IF(H110,Wh_hp,'2026'!Maxi_hp)</f>
        <v>59.354429100482541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6.817909753689344E-2</v>
      </c>
      <c r="M110" s="845"/>
      <c r="N110" s="845"/>
      <c r="O110" s="48">
        <f>IF(t&lt;Tnet,'2026'!Resal+('2026'!Salim-'2026'!Resal)*(1-EXP(('2026'!Tnet-t)/('2026'!Tau_j))),Resal+(Salim-Resal)*(1-EXP((Tnet-t)/(Tau_j))))*Salcycl</f>
        <v>5.6739275008408793E-2</v>
      </c>
      <c r="P110" s="169">
        <f>(INDEX(Models!$BJ110:$BT110,,T110)*(1-R110)+INDEX(Models!$BJ110:$BT110,,T110+1)*R110-ERP_i)*Q110*Ramure*Pc/MaxiM</f>
        <v>4.1773852225174838E-7</v>
      </c>
      <c r="Q110" s="305">
        <f t="shared" si="28"/>
        <v>0.5</v>
      </c>
      <c r="R110" s="177">
        <f t="shared" si="29"/>
        <v>4.1067658212905478E-3</v>
      </c>
      <c r="S110" s="811">
        <f t="shared" si="30"/>
        <v>-1</v>
      </c>
      <c r="T110" s="176">
        <f t="shared" si="31"/>
        <v>5</v>
      </c>
      <c r="U110" s="251">
        <f t="shared" si="32"/>
        <v>-0.99589323417870945</v>
      </c>
      <c r="V110" s="383">
        <f t="shared" si="33"/>
        <v>49.812082484975669</v>
      </c>
      <c r="W110" s="402">
        <f t="shared" si="34"/>
        <v>10.767414836883116</v>
      </c>
      <c r="X110" s="157">
        <f t="shared" si="35"/>
        <v>46483</v>
      </c>
      <c r="Y110" s="385">
        <f t="shared" si="36"/>
        <v>10.474738228324762</v>
      </c>
      <c r="Z110" s="385">
        <f t="shared" si="37"/>
        <v>11.241149667963676</v>
      </c>
      <c r="AA110" s="386">
        <f t="shared" si="38"/>
        <v>12.25031469551543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8.2378702313760752E-2</v>
      </c>
      <c r="AD110" s="231">
        <f>(INDEX(Models!$BJ110:$BT110,,AH110)*(1-AF110)+INDEX(Models!$BJ110:$BT110,,AH110+1)*AF110-ERP_i)*AE110*Ramure*Pc/MaxiM</f>
        <v>3.8047324677343194E-5</v>
      </c>
      <c r="AE110" s="305">
        <f t="shared" si="40"/>
        <v>0.5</v>
      </c>
      <c r="AF110" s="177">
        <f t="shared" si="41"/>
        <v>0.52909433219526925</v>
      </c>
      <c r="AG110" s="811">
        <f t="shared" si="49"/>
        <v>2</v>
      </c>
      <c r="AH110" s="176">
        <f t="shared" si="42"/>
        <v>8</v>
      </c>
      <c r="AI110" s="225">
        <f t="shared" si="43"/>
        <v>2.5290943321952692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36.807220978397687</v>
      </c>
      <c r="C111" s="841"/>
      <c r="D111" s="393">
        <f t="shared" si="25"/>
        <v>39.501182117038127</v>
      </c>
      <c r="E111" s="385">
        <f t="shared" si="47"/>
        <v>41.879977298718146</v>
      </c>
      <c r="F111" s="385">
        <f t="shared" si="26"/>
        <v>41.879990011399947</v>
      </c>
      <c r="G111" s="110">
        <f t="shared" si="48"/>
        <v>0.73531697575611332</v>
      </c>
      <c r="H111" s="414" t="b">
        <f>Wh_hp&gt;='2026'!Maxi_hp</f>
        <v>0</v>
      </c>
      <c r="I111" s="390">
        <f>IF(H111,Wh_hp,'2026'!Maxi_hp)</f>
        <v>56.351753523847592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6.8199506806112753E-2</v>
      </c>
      <c r="M111" s="845"/>
      <c r="N111" s="845"/>
      <c r="O111" s="48">
        <f>IF(t&lt;Tnet,'2026'!Resal+('2026'!Salim-'2026'!Resal)*(1-EXP(('2026'!Tnet-t)/('2026'!Tau_j))),Resal+(Salim-Resal)*(1-EXP((Tnet-t)/(Tau_j))))*Salcycl</f>
        <v>5.6800297782225201E-2</v>
      </c>
      <c r="P111" s="169">
        <f>(INDEX(Models!$BJ111:$BT111,,T111)*(1-R111)+INDEX(Models!$BJ111:$BT111,,T111+1)*R111-ERP_i)*Q111*Ramure*Pc/MaxiM</f>
        <v>4.8811584824298192E-7</v>
      </c>
      <c r="Q111" s="305">
        <f t="shared" si="28"/>
        <v>0.5</v>
      </c>
      <c r="R111" s="177">
        <f t="shared" si="29"/>
        <v>5.3747123822395215E-3</v>
      </c>
      <c r="S111" s="811">
        <f t="shared" si="30"/>
        <v>-1</v>
      </c>
      <c r="T111" s="176">
        <f t="shared" si="31"/>
        <v>5</v>
      </c>
      <c r="U111" s="251">
        <f t="shared" si="32"/>
        <v>-0.99462528761776048</v>
      </c>
      <c r="V111" s="383">
        <f t="shared" si="33"/>
        <v>50.056255191444457</v>
      </c>
      <c r="W111" s="402">
        <f t="shared" si="34"/>
        <v>36.807220978397687</v>
      </c>
      <c r="X111" s="157">
        <f t="shared" si="35"/>
        <v>46484</v>
      </c>
      <c r="Y111" s="385">
        <f t="shared" si="36"/>
        <v>35.80675927858627</v>
      </c>
      <c r="Z111" s="385">
        <f t="shared" si="37"/>
        <v>38.427495520906177</v>
      </c>
      <c r="AA111" s="386">
        <f t="shared" si="38"/>
        <v>41.879105864154241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8.2418434491993722E-2</v>
      </c>
      <c r="AD111" s="231">
        <f>(INDEX(Models!$BJ111:$BT111,,AH111)*(1-AF111)+INDEX(Models!$BJ111:$BT111,,AH111+1)*AF111-ERP_i)*AE111*Ramure*Pc/MaxiM</f>
        <v>3.3947698012044749E-5</v>
      </c>
      <c r="AE111" s="305">
        <f t="shared" si="40"/>
        <v>0.5</v>
      </c>
      <c r="AF111" s="177">
        <f t="shared" si="41"/>
        <v>0.53036227875621833</v>
      </c>
      <c r="AG111" s="811">
        <f t="shared" si="49"/>
        <v>2</v>
      </c>
      <c r="AH111" s="176">
        <f t="shared" si="42"/>
        <v>8</v>
      </c>
      <c r="AI111" s="225">
        <f t="shared" si="43"/>
        <v>2.5303622787562183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30.31934390290796</v>
      </c>
      <c r="C112" s="841"/>
      <c r="D112" s="393">
        <f t="shared" si="25"/>
        <v>32.539162846942425</v>
      </c>
      <c r="E112" s="385">
        <f t="shared" si="47"/>
        <v>34.500954036780783</v>
      </c>
      <c r="F112" s="385">
        <f t="shared" si="26"/>
        <v>34.500962614647364</v>
      </c>
      <c r="G112" s="110">
        <f t="shared" si="48"/>
        <v>0.60282955036618302</v>
      </c>
      <c r="H112" s="414" t="b">
        <f>Wh_hp&gt;='2026'!Maxi_hp</f>
        <v>0</v>
      </c>
      <c r="I112" s="390">
        <f>IF(H112,Wh_hp,'2026'!Maxi_hp)</f>
        <v>55.793489046232402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6.8219915628316641E-2</v>
      </c>
      <c r="M112" s="845"/>
      <c r="N112" s="845"/>
      <c r="O112" s="48">
        <f>IF(t&lt;Tnet,'2026'!Resal+('2026'!Salim-'2026'!Resal)*(1-EXP(('2026'!Tnet-t)/('2026'!Tau_j))),Resal+(Salim-Resal)*(1-EXP((Tnet-t)/(Tau_j))))*Salcycl</f>
        <v>5.686194033205387E-2</v>
      </c>
      <c r="P112" s="169">
        <f>(INDEX(Models!$BJ112:$BT112,,T112)*(1-R112)+INDEX(Models!$BJ112:$BT112,,T112+1)*R112-ERP_i)*Q112*Ramure*Pc/MaxiM</f>
        <v>5.7470844747046351E-7</v>
      </c>
      <c r="Q112" s="305">
        <f t="shared" si="28"/>
        <v>0.5</v>
      </c>
      <c r="R112" s="177">
        <f t="shared" si="29"/>
        <v>6.6885707099830771E-3</v>
      </c>
      <c r="S112" s="811">
        <f t="shared" si="30"/>
        <v>-1</v>
      </c>
      <c r="T112" s="176">
        <f t="shared" si="31"/>
        <v>5</v>
      </c>
      <c r="U112" s="251">
        <f t="shared" si="32"/>
        <v>-0.99331142929001692</v>
      </c>
      <c r="V112" s="383">
        <f t="shared" si="33"/>
        <v>50.295036130708965</v>
      </c>
      <c r="W112" s="402">
        <f t="shared" si="34"/>
        <v>30.31934390290796</v>
      </c>
      <c r="X112" s="157">
        <f t="shared" si="35"/>
        <v>46485</v>
      </c>
      <c r="Y112" s="385">
        <f t="shared" si="36"/>
        <v>29.496078149147856</v>
      </c>
      <c r="Z112" s="385">
        <f t="shared" si="37"/>
        <v>31.655622011966063</v>
      </c>
      <c r="AA112" s="386">
        <f t="shared" si="38"/>
        <v>34.500502251681382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8.2459096362189219E-2</v>
      </c>
      <c r="AD112" s="231">
        <f>(INDEX(Models!$BJ112:$BT112,,AH112)*(1-AF112)+INDEX(Models!$BJ112:$BT112,,AH112+1)*AF112-ERP_i)*AE112*Ramure*Pc/MaxiM</f>
        <v>3.0843856454808179E-5</v>
      </c>
      <c r="AE112" s="305">
        <f t="shared" si="40"/>
        <v>0.5</v>
      </c>
      <c r="AF112" s="177">
        <f t="shared" si="41"/>
        <v>0.531676137083962</v>
      </c>
      <c r="AG112" s="811">
        <f t="shared" si="49"/>
        <v>2</v>
      </c>
      <c r="AH112" s="176">
        <f t="shared" si="42"/>
        <v>8</v>
      </c>
      <c r="AI112" s="225">
        <f t="shared" si="43"/>
        <v>2.531676137083962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33.759695912203448</v>
      </c>
      <c r="C113" s="841"/>
      <c r="D113" s="393">
        <f t="shared" si="25"/>
        <v>36.232192465400061</v>
      </c>
      <c r="E113" s="385">
        <f t="shared" si="47"/>
        <v>38.419174000341862</v>
      </c>
      <c r="F113" s="385">
        <f t="shared" si="26"/>
        <v>38.419187691210226</v>
      </c>
      <c r="G113" s="110">
        <f t="shared" si="48"/>
        <v>0.66813378681208646</v>
      </c>
      <c r="H113" s="414" t="b">
        <f>Wh_hp&gt;='2026'!Maxi_hp</f>
        <v>0</v>
      </c>
      <c r="I113" s="390">
        <f>IF(H113,Wh_hp,'2026'!Maxi_hp)</f>
        <v>41.648731192226585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6.8240324003514874E-2</v>
      </c>
      <c r="M113" s="845"/>
      <c r="N113" s="845"/>
      <c r="O113" s="48">
        <f>IF(t&lt;Tnet,'2026'!Resal+('2026'!Salim-'2026'!Resal)*(1-EXP(('2026'!Tnet-t)/('2026'!Tau_j))),Resal+(Salim-Resal)*(1-EXP((Tnet-t)/(Tau_j))))*Salcycl</f>
        <v>5.6924220570758174E-2</v>
      </c>
      <c r="P113" s="169">
        <f>(INDEX(Models!$BJ113:$BT113,,T113)*(1-R113)+INDEX(Models!$BJ113:$BT113,,T113+1)*R113-ERP_i)*Q113*Ramure*Pc/MaxiM</f>
        <v>6.7760238363638215E-7</v>
      </c>
      <c r="Q113" s="305">
        <f t="shared" si="28"/>
        <v>0.5</v>
      </c>
      <c r="R113" s="177">
        <f t="shared" si="29"/>
        <v>8.0497096975491456E-3</v>
      </c>
      <c r="S113" s="811">
        <f t="shared" si="30"/>
        <v>-1</v>
      </c>
      <c r="T113" s="176">
        <f t="shared" si="31"/>
        <v>5</v>
      </c>
      <c r="U113" s="251">
        <f t="shared" si="32"/>
        <v>-0.99195029030245085</v>
      </c>
      <c r="V113" s="383">
        <f t="shared" si="33"/>
        <v>50.528330902205141</v>
      </c>
      <c r="W113" s="402">
        <f t="shared" si="34"/>
        <v>33.759695912203448</v>
      </c>
      <c r="X113" s="157">
        <f t="shared" si="35"/>
        <v>46486</v>
      </c>
      <c r="Y113" s="385">
        <f t="shared" si="36"/>
        <v>32.843638520605687</v>
      </c>
      <c r="Z113" s="385">
        <f t="shared" si="37"/>
        <v>35.249044755537994</v>
      </c>
      <c r="AA113" s="386">
        <f t="shared" si="38"/>
        <v>38.418607211943467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8.2500712191880946E-2</v>
      </c>
      <c r="AD113" s="231">
        <f>(INDEX(Models!$BJ113:$BT113,,AH113)*(1-AF113)+INDEX(Models!$BJ113:$BT113,,AH113+1)*AF113-ERP_i)*AE113*Ramure*Pc/MaxiM</f>
        <v>2.8729670349870616E-5</v>
      </c>
      <c r="AE113" s="305">
        <f t="shared" si="40"/>
        <v>0.5</v>
      </c>
      <c r="AF113" s="177">
        <f t="shared" si="41"/>
        <v>0.53303727607152807</v>
      </c>
      <c r="AG113" s="811">
        <f t="shared" si="49"/>
        <v>2</v>
      </c>
      <c r="AH113" s="176">
        <f t="shared" si="42"/>
        <v>8</v>
      </c>
      <c r="AI113" s="225">
        <f t="shared" si="43"/>
        <v>2.5330372760715281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50.836832402798727</v>
      </c>
      <c r="C114" s="841"/>
      <c r="D114" s="393">
        <f t="shared" si="25"/>
        <v>54.561221304105366</v>
      </c>
      <c r="E114" s="385">
        <f t="shared" si="47"/>
        <v>57.858407377024264</v>
      </c>
      <c r="F114" s="385">
        <f t="shared" si="26"/>
        <v>57.858455433856136</v>
      </c>
      <c r="G114" s="110">
        <f t="shared" si="48"/>
        <v>1.0015917105821721</v>
      </c>
      <c r="H114" s="414" t="b">
        <f>Wh_hp&gt;='2026'!Maxi_hp</f>
        <v>0</v>
      </c>
      <c r="I114" s="390">
        <f>IF(H114,Wh_hp,'2026'!Maxi_hp)</f>
        <v>58.06042842516851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6.8260731931717333E-2</v>
      </c>
      <c r="M114" s="845"/>
      <c r="N114" s="845"/>
      <c r="O114" s="48">
        <f>IF(t&lt;Tnet,'2026'!Resal+('2026'!Salim-'2026'!Resal)*(1-EXP(('2026'!Tnet-t)/('2026'!Tau_j))),Resal+(Salim-Resal)*(1-EXP((Tnet-t)/(Tau_j))))*Salcycl</f>
        <v>5.6987155754795654E-2</v>
      </c>
      <c r="P114" s="169">
        <f>(INDEX(Models!$BJ114:$BT114,,T114)*(1-R114)+INDEX(Models!$BJ114:$BT114,,T114+1)*R114-ERP_i)*Q114*Ramure*Pc/MaxiM</f>
        <v>8.3059306560749349E-7</v>
      </c>
      <c r="Q114" s="305">
        <f t="shared" si="28"/>
        <v>0.5</v>
      </c>
      <c r="R114" s="177">
        <f t="shared" si="29"/>
        <v>9.4595158038917049E-3</v>
      </c>
      <c r="S114" s="811">
        <f t="shared" si="30"/>
        <v>-1</v>
      </c>
      <c r="T114" s="176">
        <f t="shared" si="31"/>
        <v>5</v>
      </c>
      <c r="U114" s="251">
        <f t="shared" si="32"/>
        <v>-0.9905404841961083</v>
      </c>
      <c r="V114" s="383">
        <f t="shared" si="33"/>
        <v>50.75604347129628</v>
      </c>
      <c r="W114" s="402">
        <f t="shared" si="34"/>
        <v>50.836832402798727</v>
      </c>
      <c r="X114" s="157">
        <f t="shared" si="35"/>
        <v>46487</v>
      </c>
      <c r="Y114" s="385">
        <f t="shared" si="36"/>
        <v>49.457792970341053</v>
      </c>
      <c r="Z114" s="385">
        <f t="shared" si="37"/>
        <v>53.081151203253278</v>
      </c>
      <c r="AA114" s="386">
        <f t="shared" si="38"/>
        <v>57.856846548478465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8.2543305246054438E-2</v>
      </c>
      <c r="AD114" s="231">
        <f>(INDEX(Models!$BJ114:$BT114,,AH114)*(1-AF114)+INDEX(Models!$BJ114:$BT114,,AH114+1)*AF114-ERP_i)*AE114*Ramure*Pc/MaxiM</f>
        <v>2.7807264566784079E-5</v>
      </c>
      <c r="AE114" s="305">
        <f t="shared" si="40"/>
        <v>0.5</v>
      </c>
      <c r="AF114" s="177">
        <f t="shared" si="41"/>
        <v>0.5344470821778704</v>
      </c>
      <c r="AG114" s="811">
        <f t="shared" si="49"/>
        <v>2</v>
      </c>
      <c r="AH114" s="176">
        <f t="shared" si="42"/>
        <v>8</v>
      </c>
      <c r="AI114" s="225">
        <f t="shared" si="43"/>
        <v>2.5344470821778704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42.690376438483419</v>
      </c>
      <c r="C115" s="841"/>
      <c r="D115" s="393">
        <f t="shared" si="25"/>
        <v>45.818946298440999</v>
      </c>
      <c r="E115" s="385">
        <f t="shared" si="47"/>
        <v>48.591105940444479</v>
      </c>
      <c r="F115" s="385">
        <f t="shared" si="26"/>
        <v>48.591144298745476</v>
      </c>
      <c r="G115" s="110">
        <f t="shared" si="48"/>
        <v>0.83742593621171113</v>
      </c>
      <c r="H115" s="414" t="b">
        <f>Wh_hp&gt;='2026'!Maxi_hp</f>
        <v>0</v>
      </c>
      <c r="I115" s="390">
        <f>IF(H115,Wh_hp,'2026'!Maxi_hp)</f>
        <v>59.123099904366789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6.82811394129339E-2</v>
      </c>
      <c r="M115" s="845"/>
      <c r="N115" s="845"/>
      <c r="O115" s="48">
        <f>IF(t&lt;Tnet,'2026'!Resal+('2026'!Salim-'2026'!Resal)*(1-EXP(('2026'!Tnet-t)/('2026'!Tau_j))),Resal+(Salim-Resal)*(1-EXP((Tnet-t)/(Tau_j))))*Salcycl</f>
        <v>5.7050762446139193E-2</v>
      </c>
      <c r="P115" s="169">
        <f>(INDEX(Models!$BJ115:$BT115,,T115)*(1-R115)+INDEX(Models!$BJ115:$BT115,,T115+1)*R115-ERP_i)*Q115*Ramure*Pc/MaxiM</f>
        <v>1.0282092176043214E-6</v>
      </c>
      <c r="Q115" s="305">
        <f t="shared" si="28"/>
        <v>0.5</v>
      </c>
      <c r="R115" s="177">
        <f t="shared" si="29"/>
        <v>1.0919391269788803E-2</v>
      </c>
      <c r="S115" s="811">
        <f t="shared" si="30"/>
        <v>-1</v>
      </c>
      <c r="T115" s="176">
        <f t="shared" si="31"/>
        <v>5</v>
      </c>
      <c r="U115" s="251">
        <f t="shared" si="32"/>
        <v>-0.9890806087302112</v>
      </c>
      <c r="V115" s="383">
        <f t="shared" si="33"/>
        <v>50.978079849230014</v>
      </c>
      <c r="W115" s="402">
        <f t="shared" si="34"/>
        <v>42.690376438483419</v>
      </c>
      <c r="X115" s="157">
        <f t="shared" si="35"/>
        <v>46488</v>
      </c>
      <c r="Y115" s="385">
        <f t="shared" si="36"/>
        <v>41.533430210402031</v>
      </c>
      <c r="Z115" s="385">
        <f t="shared" si="37"/>
        <v>44.577213113655617</v>
      </c>
      <c r="AA115" s="386">
        <f t="shared" si="38"/>
        <v>48.590120419697122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8.2586897735177883E-2</v>
      </c>
      <c r="AD115" s="231">
        <f>(INDEX(Models!$BJ115:$BT115,,AH115)*(1-AF115)+INDEX(Models!$BJ115:$BT115,,AH115+1)*AF115-ERP_i)*AE115*Ramure*Pc/MaxiM</f>
        <v>2.7445477192583034E-5</v>
      </c>
      <c r="AE115" s="305">
        <f t="shared" si="40"/>
        <v>0.5</v>
      </c>
      <c r="AF115" s="177">
        <f t="shared" si="41"/>
        <v>0.53590695764376761</v>
      </c>
      <c r="AG115" s="811">
        <f t="shared" si="49"/>
        <v>2</v>
      </c>
      <c r="AH115" s="176">
        <f t="shared" si="42"/>
        <v>8</v>
      </c>
      <c r="AI115" s="225">
        <f t="shared" si="43"/>
        <v>2.5359069576437676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34.621133962269653</v>
      </c>
      <c r="C116" s="841"/>
      <c r="D116" s="393">
        <f t="shared" si="25"/>
        <v>37.159162205593042</v>
      </c>
      <c r="E116" s="385">
        <f t="shared" si="47"/>
        <v>39.410070614375023</v>
      </c>
      <c r="F116" s="385">
        <f t="shared" si="26"/>
        <v>39.41009753203295</v>
      </c>
      <c r="G116" s="110">
        <f t="shared" si="48"/>
        <v>0.6762683074746354</v>
      </c>
      <c r="H116" s="414" t="b">
        <f>Wh_hp&gt;='2026'!Maxi_hp</f>
        <v>0</v>
      </c>
      <c r="I116" s="390">
        <f>IF(H116,Wh_hp,'2026'!Maxi_hp)</f>
        <v>58.323508945597986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6.8301546447174122E-2</v>
      </c>
      <c r="M116" s="845"/>
      <c r="N116" s="845"/>
      <c r="O116" s="48">
        <f>IF(t&lt;Tnet,'2026'!Resal+('2026'!Salim-'2026'!Resal)*(1-EXP(('2026'!Tnet-t)/('2026'!Tau_j))),Resal+(Salim-Resal)*(1-EXP((Tnet-t)/(Tau_j))))*Salcycl</f>
        <v>5.7115056473939635E-2</v>
      </c>
      <c r="P116" s="169">
        <f>(INDEX(Models!$BJ116:$BT116,,T116)*(1-R116)+INDEX(Models!$BJ116:$BT116,,T116+1)*R116-ERP_i)*Q116*Ramure*Pc/MaxiM</f>
        <v>1.270661003066277E-6</v>
      </c>
      <c r="Q116" s="305">
        <f t="shared" si="28"/>
        <v>0.5</v>
      </c>
      <c r="R116" s="177">
        <f t="shared" si="29"/>
        <v>1.2430752138417156E-2</v>
      </c>
      <c r="S116" s="811">
        <f t="shared" si="30"/>
        <v>-1</v>
      </c>
      <c r="T116" s="176">
        <f t="shared" si="31"/>
        <v>5</v>
      </c>
      <c r="U116" s="251">
        <f t="shared" si="32"/>
        <v>-0.98756924786158284</v>
      </c>
      <c r="V116" s="383">
        <f t="shared" si="33"/>
        <v>51.194345845575604</v>
      </c>
      <c r="W116" s="402">
        <f t="shared" si="34"/>
        <v>34.621133962269653</v>
      </c>
      <c r="X116" s="157">
        <f t="shared" si="35"/>
        <v>46489</v>
      </c>
      <c r="Y116" s="385">
        <f t="shared" si="36"/>
        <v>33.683735587013231</v>
      </c>
      <c r="Z116" s="385">
        <f t="shared" si="37"/>
        <v>36.153044430381698</v>
      </c>
      <c r="AA116" s="386">
        <f t="shared" si="38"/>
        <v>39.409511940455026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8.2631510763026439E-2</v>
      </c>
      <c r="AD116" s="231">
        <f>(INDEX(Models!$BJ116:$BT116,,AH116)*(1-AF116)+INDEX(Models!$BJ116:$BT116,,AH116+1)*AF116-ERP_i)*AE116*Ramure*Pc/MaxiM</f>
        <v>2.7643132395156798E-5</v>
      </c>
      <c r="AE116" s="305">
        <f t="shared" si="40"/>
        <v>0.5</v>
      </c>
      <c r="AF116" s="177">
        <f t="shared" si="41"/>
        <v>0.53741831851239619</v>
      </c>
      <c r="AG116" s="811">
        <f t="shared" si="49"/>
        <v>2</v>
      </c>
      <c r="AH116" s="176">
        <f t="shared" si="42"/>
        <v>8</v>
      </c>
      <c r="AI116" s="225">
        <f t="shared" si="43"/>
        <v>2.5374183185123962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6.9422841994093272</v>
      </c>
      <c r="C117" s="841"/>
      <c r="D117" s="393">
        <f t="shared" si="25"/>
        <v>7.4513768162941512</v>
      </c>
      <c r="E117" s="385">
        <f t="shared" si="47"/>
        <v>7.9032871962236362</v>
      </c>
      <c r="F117" s="385">
        <f t="shared" si="26"/>
        <v>7.9032871962236362</v>
      </c>
      <c r="G117" s="110">
        <f t="shared" si="48"/>
        <v>0.13505121101152318</v>
      </c>
      <c r="H117" s="414" t="b">
        <f>Wh_hp&gt;='2026'!Maxi_hp</f>
        <v>0</v>
      </c>
      <c r="I117" s="390">
        <f>IF(H117,Wh_hp,'2026'!Maxi_hp)</f>
        <v>59.034851740298983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6.8321953034447991E-2</v>
      </c>
      <c r="M117" s="845"/>
      <c r="N117" s="845"/>
      <c r="O117" s="48">
        <f>IF(t&lt;Tnet,'2026'!Resal+('2026'!Salim-'2026'!Resal)*(1-EXP(('2026'!Tnet-t)/('2026'!Tau_j))),Resal+(Salim-Resal)*(1-EXP((Tnet-t)/(Tau_j))))*Salcycl</f>
        <v>5.7180052895637892E-2</v>
      </c>
      <c r="P117" s="169">
        <f>(INDEX(Models!$BJ117:$BT117,,T117)*(1-R117)+INDEX(Models!$BJ117:$BT117,,T117+1)*R117-ERP_i)*Q117*Ramure*Pc/MaxiM</f>
        <v>1.558248160472432E-6</v>
      </c>
      <c r="Q117" s="305">
        <f t="shared" si="28"/>
        <v>0.5</v>
      </c>
      <c r="R117" s="177">
        <f t="shared" si="29"/>
        <v>1.3995026071338623E-2</v>
      </c>
      <c r="S117" s="811">
        <f t="shared" si="30"/>
        <v>-1</v>
      </c>
      <c r="T117" s="176">
        <f t="shared" si="31"/>
        <v>5</v>
      </c>
      <c r="U117" s="251">
        <f t="shared" si="32"/>
        <v>-0.98600497392866138</v>
      </c>
      <c r="V117" s="383">
        <f t="shared" si="33"/>
        <v>51.404747351842687</v>
      </c>
      <c r="W117" s="402">
        <f t="shared" si="34"/>
        <v>6.9422841994093272</v>
      </c>
      <c r="X117" s="157">
        <f t="shared" si="35"/>
        <v>46490</v>
      </c>
      <c r="Y117" s="385">
        <f t="shared" si="36"/>
        <v>6.7545408301739043</v>
      </c>
      <c r="Z117" s="385">
        <f t="shared" si="37"/>
        <v>7.2498658223978181</v>
      </c>
      <c r="AA117" s="386">
        <f t="shared" si="38"/>
        <v>7.9032871962236362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8.2677164273877973E-2</v>
      </c>
      <c r="AD117" s="231">
        <f>(INDEX(Models!$BJ117:$BT117,,AH117)*(1-AF117)+INDEX(Models!$BJ117:$BT117,,AH117+1)*AF117-ERP_i)*AE117*Ramure*Pc/MaxiM</f>
        <v>2.8400067694529133E-5</v>
      </c>
      <c r="AE117" s="305">
        <f t="shared" si="40"/>
        <v>0.5</v>
      </c>
      <c r="AF117" s="177">
        <f t="shared" si="41"/>
        <v>0.53898259244531754</v>
      </c>
      <c r="AG117" s="811">
        <f t="shared" si="49"/>
        <v>2</v>
      </c>
      <c r="AH117" s="176">
        <f t="shared" si="42"/>
        <v>8</v>
      </c>
      <c r="AI117" s="225">
        <f t="shared" si="43"/>
        <v>2.5389825924453175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37.52714880360174</v>
      </c>
      <c r="C118" s="841"/>
      <c r="D118" s="393">
        <f t="shared" si="25"/>
        <v>40.279977492978325</v>
      </c>
      <c r="E118" s="385">
        <f t="shared" si="47"/>
        <v>42.725851593631575</v>
      </c>
      <c r="F118" s="385">
        <f t="shared" si="26"/>
        <v>42.72590090406193</v>
      </c>
      <c r="G118" s="110">
        <f t="shared" si="48"/>
        <v>0.72714028034147105</v>
      </c>
      <c r="H118" s="414" t="b">
        <f>Wh_hp&gt;='2026'!Maxi_hp</f>
        <v>0</v>
      </c>
      <c r="I118" s="390">
        <f>IF(H118,Wh_hp,'2026'!Maxi_hp)</f>
        <v>57.514245582008527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6.8342359174765277E-2</v>
      </c>
      <c r="M118" s="845"/>
      <c r="N118" s="845"/>
      <c r="O118" s="48">
        <f>IF(t&lt;Tnet,'2026'!Resal+('2026'!Salim-'2026'!Resal)*(1-EXP(('2026'!Tnet-t)/('2026'!Tau_j))),Resal+(Salim-Resal)*(1-EXP((Tnet-t)/(Tau_j))))*Salcycl</f>
        <v>5.724576595725038E-2</v>
      </c>
      <c r="P118" s="169">
        <f>(INDEX(Models!$BJ118:$BT118,,T118)*(1-R118)+INDEX(Models!$BJ118:$BT118,,T118+1)*R118-ERP_i)*Q118*Ramure*Pc/MaxiM</f>
        <v>1.8913614395255545E-6</v>
      </c>
      <c r="Q118" s="305">
        <f t="shared" si="28"/>
        <v>0.5</v>
      </c>
      <c r="R118" s="177">
        <f t="shared" si="29"/>
        <v>1.5613649950902198E-2</v>
      </c>
      <c r="S118" s="811">
        <f t="shared" si="30"/>
        <v>-1</v>
      </c>
      <c r="T118" s="176">
        <f t="shared" si="31"/>
        <v>5</v>
      </c>
      <c r="U118" s="251">
        <f t="shared" si="32"/>
        <v>-0.9843863500490978</v>
      </c>
      <c r="V118" s="383">
        <f t="shared" si="33"/>
        <v>51.609190346377432</v>
      </c>
      <c r="W118" s="402">
        <f t="shared" si="34"/>
        <v>37.52714880360174</v>
      </c>
      <c r="X118" s="157">
        <f t="shared" si="35"/>
        <v>46491</v>
      </c>
      <c r="Y118" s="385">
        <f t="shared" si="36"/>
        <v>36.512350560727228</v>
      </c>
      <c r="Z118" s="385">
        <f t="shared" si="37"/>
        <v>39.190738057368016</v>
      </c>
      <c r="AA118" s="386">
        <f t="shared" si="38"/>
        <v>42.725126136649422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8.2723876998683138E-2</v>
      </c>
      <c r="AD118" s="231">
        <f>(INDEX(Models!$BJ118:$BT118,,AH118)*(1-AF118)+INDEX(Models!$BJ118:$BT118,,AH118+1)*AF118-ERP_i)*AE118*Ramure*Pc/MaxiM</f>
        <v>2.9717144996315827E-5</v>
      </c>
      <c r="AE118" s="305">
        <f t="shared" si="40"/>
        <v>0.5</v>
      </c>
      <c r="AF118" s="177">
        <f t="shared" si="41"/>
        <v>0.54060121632488123</v>
      </c>
      <c r="AG118" s="811">
        <f t="shared" si="49"/>
        <v>2</v>
      </c>
      <c r="AH118" s="176">
        <f t="shared" si="42"/>
        <v>8</v>
      </c>
      <c r="AI118" s="225">
        <f t="shared" si="43"/>
        <v>2.5406012163248812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43.006720516301741</v>
      </c>
      <c r="C119" s="841"/>
      <c r="D119" s="393">
        <f t="shared" si="25"/>
        <v>46.162517871255488</v>
      </c>
      <c r="E119" s="385">
        <f t="shared" si="47"/>
        <v>48.969041833946946</v>
      </c>
      <c r="F119" s="385">
        <f t="shared" si="26"/>
        <v>48.969126035539915</v>
      </c>
      <c r="G119" s="110">
        <f t="shared" si="48"/>
        <v>0.83012362423309916</v>
      </c>
      <c r="H119" s="414" t="b">
        <f>Wh_hp&gt;='2026'!Maxi_hp</f>
        <v>0</v>
      </c>
      <c r="I119" s="390">
        <f>IF(H119,Wh_hp,'2026'!Maxi_hp)</f>
        <v>58.00017289991299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6.8362764868135639E-2</v>
      </c>
      <c r="M119" s="845"/>
      <c r="N119" s="845"/>
      <c r="O119" s="48">
        <f>IF(t&lt;Tnet,'2026'!Resal+('2026'!Salim-'2026'!Resal)*(1-EXP(('2026'!Tnet-t)/('2026'!Tau_j))),Resal+(Salim-Resal)*(1-EXP((Tnet-t)/(Tau_j))))*Salcycl</f>
        <v>5.7312209052574954E-2</v>
      </c>
      <c r="P119" s="169">
        <f>(INDEX(Models!$BJ119:$BT119,,T119)*(1-R119)+INDEX(Models!$BJ119:$BT119,,T119+1)*R119-ERP_i)*Q119*Ramure*Pc/MaxiM</f>
        <v>2.2704840824865122E-6</v>
      </c>
      <c r="Q119" s="305">
        <f t="shared" si="28"/>
        <v>0.5</v>
      </c>
      <c r="R119" s="177">
        <f t="shared" si="29"/>
        <v>1.7288067260433748E-2</v>
      </c>
      <c r="S119" s="811">
        <f t="shared" si="30"/>
        <v>-1</v>
      </c>
      <c r="T119" s="176">
        <f t="shared" si="31"/>
        <v>5</v>
      </c>
      <c r="U119" s="251">
        <f t="shared" si="32"/>
        <v>-0.98271193273956625</v>
      </c>
      <c r="V119" s="383">
        <f t="shared" si="33"/>
        <v>51.807580900078982</v>
      </c>
      <c r="W119" s="402">
        <f t="shared" si="34"/>
        <v>43.006720516301741</v>
      </c>
      <c r="X119" s="157">
        <f t="shared" si="35"/>
        <v>46492</v>
      </c>
      <c r="Y119" s="385">
        <f t="shared" si="36"/>
        <v>41.844295526018762</v>
      </c>
      <c r="Z119" s="385">
        <f t="shared" si="37"/>
        <v>44.914795102726977</v>
      </c>
      <c r="AA119" s="386">
        <f t="shared" si="38"/>
        <v>48.967954278554465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8.2771666399847371E-2</v>
      </c>
      <c r="AD119" s="231">
        <f>(INDEX(Models!$BJ119:$BT119,,AH119)*(1-AF119)+INDEX(Models!$BJ119:$BT119,,AH119+1)*AF119-ERP_i)*AE119*Ramure*Pc/MaxiM</f>
        <v>3.1596261901262091E-5</v>
      </c>
      <c r="AE119" s="305">
        <f t="shared" si="40"/>
        <v>0.5</v>
      </c>
      <c r="AF119" s="177">
        <f t="shared" si="41"/>
        <v>0.54227563363441256</v>
      </c>
      <c r="AG119" s="811">
        <f t="shared" si="49"/>
        <v>2</v>
      </c>
      <c r="AH119" s="176">
        <f t="shared" si="42"/>
        <v>8</v>
      </c>
      <c r="AI119" s="225">
        <f t="shared" si="43"/>
        <v>2.5422756336344126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41.499581930596428</v>
      </c>
      <c r="C120" s="841"/>
      <c r="D120" s="393">
        <f t="shared" si="25"/>
        <v>44.545762377113761</v>
      </c>
      <c r="E120" s="385">
        <f t="shared" si="47"/>
        <v>47.257361154377719</v>
      </c>
      <c r="F120" s="385">
        <f t="shared" si="26"/>
        <v>47.257451814237442</v>
      </c>
      <c r="G120" s="110">
        <f t="shared" si="48"/>
        <v>0.79807094560459602</v>
      </c>
      <c r="H120" s="414" t="b">
        <f>Wh_hp&gt;='2026'!Maxi_hp</f>
        <v>0</v>
      </c>
      <c r="I120" s="390">
        <f>IF(H120,Wh_hp,'2026'!Maxi_hp)</f>
        <v>52.848516926149152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6.8383170114568959E-2</v>
      </c>
      <c r="M120" s="845"/>
      <c r="N120" s="845"/>
      <c r="O120" s="48">
        <f>IF(t&lt;Tnet,'2026'!Resal+('2026'!Salim-'2026'!Resal)*(1-EXP(('2026'!Tnet-t)/('2026'!Tau_j))),Resal+(Salim-Resal)*(1-EXP((Tnet-t)/(Tau_j))))*Salcycl</f>
        <v>5.7379394681092356E-2</v>
      </c>
      <c r="P120" s="169">
        <f>(INDEX(Models!$BJ120:$BT120,,T120)*(1-R120)+INDEX(Models!$BJ120:$BT120,,T120+1)*R120-ERP_i)*Q120*Ramure*Pc/MaxiM</f>
        <v>2.6961933484201577E-6</v>
      </c>
      <c r="Q120" s="305">
        <f t="shared" si="28"/>
        <v>0.5</v>
      </c>
      <c r="R120" s="177">
        <f t="shared" si="29"/>
        <v>1.9019725234076135E-2</v>
      </c>
      <c r="S120" s="811">
        <f t="shared" si="30"/>
        <v>-1</v>
      </c>
      <c r="T120" s="176">
        <f t="shared" si="31"/>
        <v>5</v>
      </c>
      <c r="U120" s="251">
        <f t="shared" si="32"/>
        <v>-0.98098027476592387</v>
      </c>
      <c r="V120" s="383">
        <f t="shared" si="33"/>
        <v>51.999825180979556</v>
      </c>
      <c r="W120" s="402">
        <f t="shared" si="34"/>
        <v>41.499581930596428</v>
      </c>
      <c r="X120" s="157">
        <f t="shared" si="35"/>
        <v>46493</v>
      </c>
      <c r="Y120" s="385">
        <f t="shared" si="36"/>
        <v>40.378615412292461</v>
      </c>
      <c r="Z120" s="385">
        <f t="shared" si="37"/>
        <v>43.342513914500842</v>
      </c>
      <c r="AA120" s="386">
        <f t="shared" si="38"/>
        <v>47.256307202497858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8.282054861430517E-2</v>
      </c>
      <c r="AD120" s="231">
        <f>(INDEX(Models!$BJ120:$BT120,,AH120)*(1-AF120)+INDEX(Models!$BJ120:$BT120,,AH120+1)*AF120-ERP_i)*AE120*Ramure*Pc/MaxiM</f>
        <v>3.4040363267380714E-5</v>
      </c>
      <c r="AE120" s="305">
        <f t="shared" si="40"/>
        <v>0.5</v>
      </c>
      <c r="AF120" s="177">
        <f t="shared" si="41"/>
        <v>0.54400729160805517</v>
      </c>
      <c r="AG120" s="811">
        <f t="shared" si="49"/>
        <v>2</v>
      </c>
      <c r="AH120" s="176">
        <f t="shared" si="42"/>
        <v>8</v>
      </c>
      <c r="AI120" s="225">
        <f t="shared" si="43"/>
        <v>2.5440072916080552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50.689889208254179</v>
      </c>
      <c r="C121" s="841"/>
      <c r="D121" s="393">
        <f t="shared" si="25"/>
        <v>54.411854579174495</v>
      </c>
      <c r="E121" s="385">
        <f t="shared" si="47"/>
        <v>57.728184923003795</v>
      </c>
      <c r="F121" s="385">
        <f t="shared" si="26"/>
        <v>57.728360384644844</v>
      </c>
      <c r="G121" s="110">
        <f t="shared" si="48"/>
        <v>0.97134125179270692</v>
      </c>
      <c r="H121" s="414" t="b">
        <f>Wh_hp&gt;='2026'!Maxi_hp</f>
        <v>0</v>
      </c>
      <c r="I121" s="390">
        <f>IF(H121,Wh_hp,'2026'!Maxi_hp)</f>
        <v>57.728367700537426</v>
      </c>
      <c r="J121" s="85">
        <f>IF(H121,An,'2026'!An_max)</f>
        <v>2025</v>
      </c>
      <c r="K121" s="197">
        <f t="shared" si="27"/>
        <v>46494</v>
      </c>
      <c r="L121" s="147">
        <f>IF(t&lt;Tvie,1-EXP((T0-t)*PertePVj)+'2026'!Pspv,1-EXP((T0-t)*PertePVj)+Pspv)</f>
        <v>6.8403574914075005E-2</v>
      </c>
      <c r="M121" s="845"/>
      <c r="N121" s="845"/>
      <c r="O121" s="48">
        <f>IF(t&lt;Tnet,'2026'!Resal+('2026'!Salim-'2026'!Resal)*(1-EXP(('2026'!Tnet-t)/('2026'!Tau_j))),Resal+(Salim-Resal)*(1-EXP((Tnet-t)/(Tau_j))))*Salcycl</f>
        <v>5.7447334404373329E-2</v>
      </c>
      <c r="P121" s="169">
        <f>(INDEX(Models!$BJ121:$BT121,,T121)*(1-R121)+INDEX(Models!$BJ121:$BT121,,T121+1)*R121-ERP_i)*Q121*Ramure*Pc/MaxiM</f>
        <v>3.1691849774542071E-6</v>
      </c>
      <c r="Q121" s="305">
        <f t="shared" si="28"/>
        <v>0.5</v>
      </c>
      <c r="R121" s="177">
        <f t="shared" si="29"/>
        <v>2.0810071768752936E-2</v>
      </c>
      <c r="S121" s="811">
        <f t="shared" si="30"/>
        <v>-1</v>
      </c>
      <c r="T121" s="176">
        <f t="shared" si="31"/>
        <v>5</v>
      </c>
      <c r="U121" s="251">
        <f t="shared" si="32"/>
        <v>-0.97918992823124706</v>
      </c>
      <c r="V121" s="383">
        <f t="shared" si="33"/>
        <v>52.185452370838632</v>
      </c>
      <c r="W121" s="402">
        <f t="shared" si="34"/>
        <v>50.689889208254179</v>
      </c>
      <c r="X121" s="157">
        <f t="shared" si="35"/>
        <v>46494</v>
      </c>
      <c r="Y121" s="385">
        <f t="shared" si="36"/>
        <v>49.32104244012762</v>
      </c>
      <c r="Z121" s="385">
        <f t="shared" si="37"/>
        <v>52.942498609930297</v>
      </c>
      <c r="AA121" s="386">
        <f t="shared" si="38"/>
        <v>57.726308908730871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8.2870538394618262E-2</v>
      </c>
      <c r="AD121" s="231">
        <f>(INDEX(Models!$BJ121:$BT121,,AH121)*(1-AF121)+INDEX(Models!$BJ121:$BT121,,AH121+1)*AF121-ERP_i)*AE121*Ramure*Pc/MaxiM</f>
        <v>3.7053720740590324E-5</v>
      </c>
      <c r="AE121" s="305">
        <f t="shared" si="40"/>
        <v>0.5</v>
      </c>
      <c r="AF121" s="177">
        <f t="shared" si="41"/>
        <v>0.54579763814273186</v>
      </c>
      <c r="AG121" s="811">
        <f t="shared" si="49"/>
        <v>2</v>
      </c>
      <c r="AH121" s="176">
        <f t="shared" si="42"/>
        <v>8</v>
      </c>
      <c r="AI121" s="225">
        <f t="shared" si="43"/>
        <v>2.5457976381427319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35.063384778375443</v>
      </c>
      <c r="C122" s="841"/>
      <c r="D122" s="393">
        <f t="shared" si="25"/>
        <v>37.638779871956721</v>
      </c>
      <c r="E122" s="385">
        <f t="shared" si="47"/>
        <v>39.935724555001897</v>
      </c>
      <c r="F122" s="385">
        <f t="shared" si="26"/>
        <v>39.935803563608829</v>
      </c>
      <c r="G122" s="110">
        <f t="shared" si="48"/>
        <v>0.66960434386005496</v>
      </c>
      <c r="H122" s="414" t="b">
        <f>Wh_hp&gt;='2026'!Maxi_hp</f>
        <v>0</v>
      </c>
      <c r="I122" s="390">
        <f>IF(H122,Wh_hp,'2026'!Maxi_hp)</f>
        <v>42.565319321773202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6.8423979266663548E-2</v>
      </c>
      <c r="M122" s="845"/>
      <c r="N122" s="845"/>
      <c r="O122" s="48">
        <f>IF(t&lt;Tnet,'2026'!Resal+('2026'!Salim-'2026'!Resal)*(1-EXP(('2026'!Tnet-t)/('2026'!Tau_j))),Resal+(Salim-Resal)*(1-EXP((Tnet-t)/(Tau_j))))*Salcycl</f>
        <v>5.7516038800840739E-2</v>
      </c>
      <c r="P122" s="169">
        <f>(INDEX(Models!$BJ122:$BT122,,T122)*(1-R122)+INDEX(Models!$BJ122:$BT122,,T122+1)*R122-ERP_i)*Q122*Ramure*Pc/MaxiM</f>
        <v>3.7468953094736611E-6</v>
      </c>
      <c r="Q122" s="305">
        <f t="shared" si="28"/>
        <v>0.5</v>
      </c>
      <c r="R122" s="177">
        <f t="shared" si="29"/>
        <v>2.2660552091475772E-2</v>
      </c>
      <c r="S122" s="811">
        <f t="shared" si="30"/>
        <v>-1</v>
      </c>
      <c r="T122" s="176">
        <f t="shared" si="31"/>
        <v>5</v>
      </c>
      <c r="U122" s="251">
        <f t="shared" si="32"/>
        <v>-0.97733944790852423</v>
      </c>
      <c r="V122" s="383">
        <f t="shared" si="33"/>
        <v>52.364240301000372</v>
      </c>
      <c r="W122" s="402">
        <f t="shared" si="34"/>
        <v>35.063384778375443</v>
      </c>
      <c r="X122" s="157">
        <f t="shared" si="35"/>
        <v>46495</v>
      </c>
      <c r="Y122" s="385">
        <f t="shared" si="36"/>
        <v>34.117546896709875</v>
      </c>
      <c r="Z122" s="385">
        <f t="shared" si="37"/>
        <v>36.623470481617325</v>
      </c>
      <c r="AA122" s="386">
        <f t="shared" si="38"/>
        <v>39.934941702194578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8.2921649047888138E-2</v>
      </c>
      <c r="AD122" s="231">
        <f>(INDEX(Models!$BJ122:$BT122,,AH122)*(1-AF122)+INDEX(Models!$BJ122:$BT122,,AH122+1)*AF122-ERP_i)*AE122*Ramure*Pc/MaxiM</f>
        <v>4.0872818998424571E-5</v>
      </c>
      <c r="AE122" s="305">
        <f t="shared" si="40"/>
        <v>0.5</v>
      </c>
      <c r="AF122" s="177">
        <f t="shared" si="41"/>
        <v>0.54764811846545491</v>
      </c>
      <c r="AG122" s="811">
        <f t="shared" si="49"/>
        <v>2</v>
      </c>
      <c r="AH122" s="176">
        <f t="shared" si="42"/>
        <v>8</v>
      </c>
      <c r="AI122" s="225">
        <f t="shared" si="43"/>
        <v>2.5476481184654549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8.3821488715727011</v>
      </c>
      <c r="C123" s="841"/>
      <c r="D123" s="393">
        <f t="shared" si="25"/>
        <v>8.9980122712560053</v>
      </c>
      <c r="E123" s="385">
        <f t="shared" si="47"/>
        <v>9.5478289410525328</v>
      </c>
      <c r="F123" s="385">
        <f t="shared" si="26"/>
        <v>9.5478289410525328</v>
      </c>
      <c r="G123" s="110">
        <f t="shared" si="48"/>
        <v>0.15954843033841309</v>
      </c>
      <c r="H123" s="414" t="b">
        <f>Wh_hp&gt;='2026'!Maxi_hp</f>
        <v>0</v>
      </c>
      <c r="I123" s="390">
        <f>IF(H123,Wh_hp,'2026'!Maxi_hp)</f>
        <v>57.730407119667383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6.844438317234447E-2</v>
      </c>
      <c r="M123" s="845"/>
      <c r="N123" s="845"/>
      <c r="O123" s="48">
        <f>IF(t&lt;Tnet,'2026'!Resal+('2026'!Salim-'2026'!Resal)*(1-EXP(('2026'!Tnet-t)/('2026'!Tau_j))),Resal+(Salim-Resal)*(1-EXP((Tnet-t)/(Tau_j))))*Salcycl</f>
        <v>5.7585517418781582E-2</v>
      </c>
      <c r="P123" s="169">
        <f>(INDEX(Models!$BJ123:$BT123,,T123)*(1-R123)+INDEX(Models!$BJ123:$BT123,,T123+1)*R123-ERP_i)*Q123*Ramure*Pc/MaxiM</f>
        <v>4.419750002280147E-6</v>
      </c>
      <c r="Q123" s="305">
        <f t="shared" si="28"/>
        <v>0.5</v>
      </c>
      <c r="R123" s="177">
        <f t="shared" si="29"/>
        <v>2.4572605176112705E-2</v>
      </c>
      <c r="S123" s="811">
        <f t="shared" si="30"/>
        <v>-1</v>
      </c>
      <c r="T123" s="176">
        <f t="shared" si="31"/>
        <v>5</v>
      </c>
      <c r="U123" s="251">
        <f t="shared" si="32"/>
        <v>-0.97542739482388729</v>
      </c>
      <c r="V123" s="383">
        <f t="shared" si="33"/>
        <v>52.536473137286123</v>
      </c>
      <c r="W123" s="402">
        <f t="shared" si="34"/>
        <v>8.3821488715727011</v>
      </c>
      <c r="X123" s="157">
        <f t="shared" si="35"/>
        <v>46496</v>
      </c>
      <c r="Y123" s="385">
        <f t="shared" si="36"/>
        <v>8.1563361931796976</v>
      </c>
      <c r="Z123" s="385">
        <f t="shared" si="37"/>
        <v>8.7556084101081417</v>
      </c>
      <c r="AA123" s="386">
        <f t="shared" si="38"/>
        <v>9.5478289410525328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8.2973892372338418E-2</v>
      </c>
      <c r="AD123" s="231">
        <f>(INDEX(Models!$BJ123:$BT123,,AH123)*(1-AF123)+INDEX(Models!$BJ123:$BT123,,AH123+1)*AF123-ERP_i)*AE123*Ramure*Pc/MaxiM</f>
        <v>4.5152782691118254E-5</v>
      </c>
      <c r="AE123" s="305">
        <f t="shared" si="40"/>
        <v>0.5</v>
      </c>
      <c r="AF123" s="177">
        <f t="shared" si="41"/>
        <v>0.54956017155009151</v>
      </c>
      <c r="AG123" s="811">
        <f t="shared" si="49"/>
        <v>2</v>
      </c>
      <c r="AH123" s="176">
        <f t="shared" si="42"/>
        <v>8</v>
      </c>
      <c r="AI123" s="225">
        <f t="shared" si="43"/>
        <v>2.5495601715500915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9.5921067141956176</v>
      </c>
      <c r="C124" s="841"/>
      <c r="D124" s="393">
        <f t="shared" si="25"/>
        <v>10.297095135573047</v>
      </c>
      <c r="E124" s="385">
        <f t="shared" si="47"/>
        <v>10.927105937646514</v>
      </c>
      <c r="F124" s="385">
        <f t="shared" si="26"/>
        <v>10.927105937646514</v>
      </c>
      <c r="G124" s="110">
        <f t="shared" si="48"/>
        <v>0.18200405804442701</v>
      </c>
      <c r="H124" s="414" t="b">
        <f>Wh_hp&gt;='2026'!Maxi_hp</f>
        <v>0</v>
      </c>
      <c r="I124" s="390">
        <f>IF(H124,Wh_hp,'2026'!Maxi_hp)</f>
        <v>54.953153725787914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6.8464786631127428E-2</v>
      </c>
      <c r="M124" s="845"/>
      <c r="N124" s="845"/>
      <c r="O124" s="48">
        <f>IF(t&lt;Tnet,'2026'!Resal+('2026'!Salim-'2026'!Resal)*(1-EXP(('2026'!Tnet-t)/('2026'!Tau_j))),Resal+(Salim-Resal)*(1-EXP((Tnet-t)/(Tau_j))))*Salcycl</f>
        <v>5.7655778727552121E-2</v>
      </c>
      <c r="P124" s="169">
        <f>(INDEX(Models!$BJ124:$BT124,,T124)*(1-R124)+INDEX(Models!$BJ124:$BT124,,T124+1)*R124-ERP_i)*Q124*Ramure*Pc/MaxiM</f>
        <v>5.1891536114036355E-6</v>
      </c>
      <c r="Q124" s="305">
        <f t="shared" si="28"/>
        <v>0.5</v>
      </c>
      <c r="R124" s="177">
        <f t="shared" si="29"/>
        <v>2.6547659904781917E-2</v>
      </c>
      <c r="S124" s="811">
        <f t="shared" si="30"/>
        <v>-1</v>
      </c>
      <c r="T124" s="176">
        <f t="shared" si="31"/>
        <v>5</v>
      </c>
      <c r="U124" s="251">
        <f t="shared" si="32"/>
        <v>-0.97345234009521808</v>
      </c>
      <c r="V124" s="383">
        <f t="shared" si="33"/>
        <v>52.702434453076911</v>
      </c>
      <c r="W124" s="402">
        <f t="shared" si="34"/>
        <v>9.5921067141956176</v>
      </c>
      <c r="X124" s="157">
        <f t="shared" si="35"/>
        <v>46497</v>
      </c>
      <c r="Y124" s="385">
        <f t="shared" si="36"/>
        <v>9.3338506240107417</v>
      </c>
      <c r="Z124" s="385">
        <f t="shared" si="37"/>
        <v>10.019858068762765</v>
      </c>
      <c r="AA124" s="386">
        <f t="shared" si="38"/>
        <v>10.927105937646514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8.3027278591494391E-2</v>
      </c>
      <c r="AD124" s="231">
        <f>(INDEX(Models!$BJ124:$BT124,,AH124)*(1-AF124)+INDEX(Models!$BJ124:$BT124,,AH124+1)*AF124-ERP_i)*AE124*Ramure*Pc/MaxiM</f>
        <v>4.989898169523563E-5</v>
      </c>
      <c r="AE124" s="305">
        <f t="shared" si="40"/>
        <v>0.5</v>
      </c>
      <c r="AF124" s="177">
        <f t="shared" si="41"/>
        <v>0.55153522627876095</v>
      </c>
      <c r="AG124" s="811">
        <f t="shared" si="49"/>
        <v>2</v>
      </c>
      <c r="AH124" s="176">
        <f t="shared" si="42"/>
        <v>8</v>
      </c>
      <c r="AI124" s="225">
        <f t="shared" si="43"/>
        <v>2.5515352262787609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8.8665898384043391</v>
      </c>
      <c r="C125" s="841"/>
      <c r="D125" s="393">
        <f t="shared" si="25"/>
        <v>9.5184636248633119</v>
      </c>
      <c r="E125" s="385">
        <f t="shared" si="47"/>
        <v>10.101596785929759</v>
      </c>
      <c r="F125" s="385">
        <f t="shared" si="26"/>
        <v>10.101596785929759</v>
      </c>
      <c r="G125" s="110">
        <f t="shared" si="48"/>
        <v>0.1677285713276295</v>
      </c>
      <c r="H125" s="414" t="b">
        <f>Wh_hp&gt;='2026'!Maxi_hp</f>
        <v>0</v>
      </c>
      <c r="I125" s="390">
        <f>IF(H125,Wh_hp,'2026'!Maxi_hp)</f>
        <v>55.659407422413302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6.8485189643022304E-2</v>
      </c>
      <c r="M125" s="845"/>
      <c r="N125" s="845"/>
      <c r="O125" s="48">
        <f>IF(t&lt;Tnet,'2026'!Resal+('2026'!Salim-'2026'!Resal)*(1-EXP(('2026'!Tnet-t)/('2026'!Tau_j))),Resal+(Salim-Resal)*(1-EXP((Tnet-t)/(Tau_j))))*Salcycl</f>
        <v>5.7726830066972899E-2</v>
      </c>
      <c r="P125" s="169">
        <f>(INDEX(Models!$BJ125:$BT125,,T125)*(1-R125)+INDEX(Models!$BJ125:$BT125,,T125+1)*R125-ERP_i)*Q125*Ramure*Pc/MaxiM</f>
        <v>6.0567028727517411E-6</v>
      </c>
      <c r="Q125" s="305">
        <f t="shared" si="28"/>
        <v>0.5</v>
      </c>
      <c r="R125" s="177">
        <f t="shared" si="29"/>
        <v>2.8587130970255004E-2</v>
      </c>
      <c r="S125" s="811">
        <f t="shared" si="30"/>
        <v>-1</v>
      </c>
      <c r="T125" s="176">
        <f t="shared" si="31"/>
        <v>5</v>
      </c>
      <c r="U125" s="251">
        <f t="shared" si="32"/>
        <v>-0.971412869029745</v>
      </c>
      <c r="V125" s="383">
        <f t="shared" si="33"/>
        <v>52.862407793272794</v>
      </c>
      <c r="W125" s="402">
        <f t="shared" si="34"/>
        <v>8.8665898384043391</v>
      </c>
      <c r="X125" s="157">
        <f t="shared" si="35"/>
        <v>46498</v>
      </c>
      <c r="Y125" s="385">
        <f t="shared" si="36"/>
        <v>8.6280048183319131</v>
      </c>
      <c r="Z125" s="385">
        <f t="shared" si="37"/>
        <v>9.2623377775662679</v>
      </c>
      <c r="AA125" s="386">
        <f t="shared" si="38"/>
        <v>10.101596785929759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8.3081816285963117E-2</v>
      </c>
      <c r="AD125" s="231">
        <f>(INDEX(Models!$BJ125:$BT125,,AH125)*(1-AF125)+INDEX(Models!$BJ125:$BT125,,AH125+1)*AF125-ERP_i)*AE125*Ramure*Pc/MaxiM</f>
        <v>5.5117613690068456E-5</v>
      </c>
      <c r="AE125" s="305">
        <f t="shared" si="40"/>
        <v>0.5</v>
      </c>
      <c r="AF125" s="177">
        <f t="shared" si="41"/>
        <v>0.5535746973442337</v>
      </c>
      <c r="AG125" s="811">
        <f t="shared" si="49"/>
        <v>2</v>
      </c>
      <c r="AH125" s="176">
        <f t="shared" si="42"/>
        <v>8</v>
      </c>
      <c r="AI125" s="225">
        <f t="shared" si="43"/>
        <v>2.5535746973442337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25.948865779498046</v>
      </c>
      <c r="C126" s="841"/>
      <c r="D126" s="393">
        <f t="shared" si="25"/>
        <v>27.857242687058015</v>
      </c>
      <c r="E126" s="385">
        <f t="shared" si="47"/>
        <v>29.566125651310337</v>
      </c>
      <c r="F126" s="385">
        <f t="shared" si="26"/>
        <v>29.566181857085997</v>
      </c>
      <c r="G126" s="110">
        <f t="shared" si="48"/>
        <v>0.48944472692755553</v>
      </c>
      <c r="H126" s="414" t="b">
        <f>Wh_hp&gt;='2026'!Maxi_hp</f>
        <v>0</v>
      </c>
      <c r="I126" s="390">
        <f>IF(H126,Wh_hp,'2026'!Maxi_hp)</f>
        <v>61.619887493232405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6.8505592208038868E-2</v>
      </c>
      <c r="M126" s="845"/>
      <c r="N126" s="845"/>
      <c r="O126" s="48">
        <f>IF(t&lt;Tnet,'2026'!Resal+('2026'!Salim-'2026'!Resal)*(1-EXP(('2026'!Tnet-t)/('2026'!Tau_j))),Resal+(Salim-Resal)*(1-EXP((Tnet-t)/(Tau_j))))*Salcycl</f>
        <v>5.7798677594965396E-2</v>
      </c>
      <c r="P126" s="169">
        <f>(INDEX(Models!$BJ126:$BT126,,T126)*(1-R126)+INDEX(Models!$BJ126:$BT126,,T126+1)*R126-ERP_i)*Q126*Ramure*Pc/MaxiM</f>
        <v>7.0241774083910139E-6</v>
      </c>
      <c r="Q126" s="305">
        <f t="shared" si="28"/>
        <v>0.5</v>
      </c>
      <c r="R126" s="177">
        <f t="shared" si="29"/>
        <v>3.0692414517137445E-2</v>
      </c>
      <c r="S126" s="811">
        <f t="shared" si="30"/>
        <v>-1</v>
      </c>
      <c r="T126" s="176">
        <f t="shared" si="31"/>
        <v>5</v>
      </c>
      <c r="U126" s="251">
        <f t="shared" si="32"/>
        <v>-0.96930758548286255</v>
      </c>
      <c r="V126" s="383">
        <f t="shared" si="33"/>
        <v>53.016676677467487</v>
      </c>
      <c r="W126" s="402">
        <f t="shared" si="34"/>
        <v>25.948865779498046</v>
      </c>
      <c r="X126" s="157">
        <f t="shared" si="35"/>
        <v>46499</v>
      </c>
      <c r="Y126" s="385">
        <f t="shared" si="36"/>
        <v>25.250649416604627</v>
      </c>
      <c r="Z126" s="385">
        <f t="shared" si="37"/>
        <v>27.107676874259965</v>
      </c>
      <c r="AA126" s="386">
        <f t="shared" si="38"/>
        <v>29.565695225396386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8.3137512322897344E-2</v>
      </c>
      <c r="AD126" s="231">
        <f>(INDEX(Models!$BJ126:$BT126,,AH126)*(1-AF126)+INDEX(Models!$BJ126:$BT126,,AH126+1)*AF126-ERP_i)*AE126*Ramure*Pc/MaxiM</f>
        <v>6.0815588439442754E-5</v>
      </c>
      <c r="AE126" s="305">
        <f t="shared" si="40"/>
        <v>0.5</v>
      </c>
      <c r="AF126" s="177">
        <f t="shared" si="41"/>
        <v>0.55567998089111637</v>
      </c>
      <c r="AG126" s="811">
        <f t="shared" si="49"/>
        <v>2</v>
      </c>
      <c r="AH126" s="176">
        <f t="shared" si="42"/>
        <v>8</v>
      </c>
      <c r="AI126" s="225">
        <f t="shared" si="43"/>
        <v>2.5556799808911164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8.978765965844774</v>
      </c>
      <c r="C127" s="841"/>
      <c r="D127" s="393">
        <f t="shared" si="25"/>
        <v>9.6393092143775725</v>
      </c>
      <c r="E127" s="385">
        <f t="shared" si="47"/>
        <v>10.231414755525241</v>
      </c>
      <c r="F127" s="385">
        <f t="shared" si="26"/>
        <v>10.231414755525241</v>
      </c>
      <c r="G127" s="110">
        <f t="shared" si="48"/>
        <v>0.1688818715502963</v>
      </c>
      <c r="H127" s="414" t="b">
        <f>Wh_hp&gt;='2026'!Maxi_hp</f>
        <v>0</v>
      </c>
      <c r="I127" s="390">
        <f>IF(H127,Wh_hp,'2026'!Maxi_hp)</f>
        <v>61.960154457717145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6.852599432618689E-2</v>
      </c>
      <c r="M127" s="845"/>
      <c r="N127" s="845"/>
      <c r="O127" s="48">
        <f>IF(t&lt;Tnet,'2026'!Resal+('2026'!Salim-'2026'!Resal)*(1-EXP(('2026'!Tnet-t)/('2026'!Tau_j))),Resal+(Salim-Resal)*(1-EXP((Tnet-t)/(Tau_j))))*Salcycl</f>
        <v>5.7871326233541333E-2</v>
      </c>
      <c r="P127" s="169">
        <f>(INDEX(Models!$BJ127:$BT127,,T127)*(1-R127)+INDEX(Models!$BJ127:$BT127,,T127+1)*R127-ERP_i)*Q127*Ramure*Pc/MaxiM</f>
        <v>8.0935159313768703E-6</v>
      </c>
      <c r="Q127" s="305">
        <f t="shared" si="28"/>
        <v>0.5</v>
      </c>
      <c r="R127" s="177">
        <f t="shared" si="29"/>
        <v>3.2864883521170785E-2</v>
      </c>
      <c r="S127" s="811">
        <f t="shared" si="30"/>
        <v>-1</v>
      </c>
      <c r="T127" s="176">
        <f t="shared" si="31"/>
        <v>5</v>
      </c>
      <c r="U127" s="251">
        <f t="shared" si="32"/>
        <v>-0.96713511647882922</v>
      </c>
      <c r="V127" s="383">
        <f t="shared" si="33"/>
        <v>53.165524597975313</v>
      </c>
      <c r="W127" s="402">
        <f t="shared" si="34"/>
        <v>8.978765965844774</v>
      </c>
      <c r="X127" s="157">
        <f t="shared" si="35"/>
        <v>46500</v>
      </c>
      <c r="Y127" s="385">
        <f t="shared" si="36"/>
        <v>8.7374298236967789</v>
      </c>
      <c r="Z127" s="385">
        <f t="shared" si="37"/>
        <v>9.3802186324848265</v>
      </c>
      <c r="AA127" s="386">
        <f t="shared" si="38"/>
        <v>10.231414755525241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8.3194371783310392E-2</v>
      </c>
      <c r="AD127" s="231">
        <f>(INDEX(Models!$BJ127:$BT127,,AH127)*(1-AF127)+INDEX(Models!$BJ127:$BT127,,AH127+1)*AF127-ERP_i)*AE127*Ramure*Pc/MaxiM</f>
        <v>6.7000321627714766E-5</v>
      </c>
      <c r="AE127" s="305">
        <f t="shared" si="40"/>
        <v>0.5</v>
      </c>
      <c r="AF127" s="177">
        <f t="shared" si="41"/>
        <v>0.55785244989514959</v>
      </c>
      <c r="AG127" s="811">
        <f t="shared" si="49"/>
        <v>2</v>
      </c>
      <c r="AH127" s="176">
        <f t="shared" si="42"/>
        <v>8</v>
      </c>
      <c r="AI127" s="225">
        <f t="shared" si="43"/>
        <v>2.5578524498951496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28.490254417576899</v>
      </c>
      <c r="C128" s="841"/>
      <c r="D128" s="393">
        <f t="shared" si="25"/>
        <v>30.58687442418195</v>
      </c>
      <c r="E128" s="385">
        <f t="shared" si="47"/>
        <v>32.468239400687068</v>
      </c>
      <c r="F128" s="385">
        <f t="shared" si="26"/>
        <v>32.468341132238365</v>
      </c>
      <c r="G128" s="110">
        <f t="shared" si="48"/>
        <v>0.53443047259083998</v>
      </c>
      <c r="H128" s="414" t="b">
        <f>Wh_hp&gt;='2026'!Maxi_hp</f>
        <v>0</v>
      </c>
      <c r="I128" s="390">
        <f>IF(H128,Wh_hp,'2026'!Maxi_hp)</f>
        <v>59.446721075347604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6.8546395997476139E-2</v>
      </c>
      <c r="M128" s="845"/>
      <c r="N128" s="845"/>
      <c r="O128" s="48">
        <f>IF(t&lt;Tnet,'2026'!Resal+('2026'!Salim-'2026'!Resal)*(1-EXP(('2026'!Tnet-t)/('2026'!Tau_j))),Resal+(Salim-Resal)*(1-EXP((Tnet-t)/(Tau_j))))*Salcycl</f>
        <v>5.7944779613313659E-2</v>
      </c>
      <c r="P128" s="169">
        <f>(INDEX(Models!$BJ128:$BT128,,T128)*(1-R128)+INDEX(Models!$BJ128:$BT128,,T128+1)*R128-ERP_i)*Q128*Ramure*Pc/MaxiM</f>
        <v>9.3556374400337773E-6</v>
      </c>
      <c r="Q128" s="305">
        <f t="shared" si="28"/>
        <v>0.5</v>
      </c>
      <c r="R128" s="177">
        <f t="shared" si="29"/>
        <v>3.5105882907752295E-2</v>
      </c>
      <c r="S128" s="811">
        <f t="shared" si="30"/>
        <v>-1</v>
      </c>
      <c r="T128" s="176">
        <f t="shared" si="31"/>
        <v>5</v>
      </c>
      <c r="U128" s="251">
        <f t="shared" si="32"/>
        <v>-0.96489411709224771</v>
      </c>
      <c r="V128" s="383">
        <f t="shared" si="33"/>
        <v>53.30923029446857</v>
      </c>
      <c r="W128" s="402">
        <f t="shared" si="34"/>
        <v>28.490254417576899</v>
      </c>
      <c r="X128" s="157">
        <f t="shared" si="35"/>
        <v>46501</v>
      </c>
      <c r="Y128" s="385">
        <f t="shared" si="36"/>
        <v>27.724284867089722</v>
      </c>
      <c r="Z128" s="385">
        <f t="shared" si="37"/>
        <v>29.764536578050109</v>
      </c>
      <c r="AA128" s="386">
        <f t="shared" si="38"/>
        <v>32.467536876521095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8.3252397887493002E-2</v>
      </c>
      <c r="AD128" s="231">
        <f>(INDEX(Models!$BJ128:$BT128,,AH128)*(1-AF128)+INDEX(Models!$BJ128:$BT128,,AH128+1)*AF128-ERP_i)*AE128*Ramure*Pc/MaxiM</f>
        <v>7.3962549513067666E-5</v>
      </c>
      <c r="AE128" s="305">
        <f t="shared" si="40"/>
        <v>0.5</v>
      </c>
      <c r="AF128" s="177">
        <f t="shared" si="41"/>
        <v>0.5600934492817311</v>
      </c>
      <c r="AG128" s="811">
        <f t="shared" si="49"/>
        <v>2</v>
      </c>
      <c r="AH128" s="176">
        <f t="shared" si="42"/>
        <v>8</v>
      </c>
      <c r="AI128" s="225">
        <f t="shared" si="43"/>
        <v>2.5600934492817311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43.843449456499677</v>
      </c>
      <c r="C129" s="841"/>
      <c r="D129" s="393">
        <f t="shared" si="25"/>
        <v>47.070954015524286</v>
      </c>
      <c r="E129" s="385">
        <f t="shared" si="47"/>
        <v>49.970175635356568</v>
      </c>
      <c r="F129" s="385">
        <f t="shared" si="26"/>
        <v>49.970576000569153</v>
      </c>
      <c r="G129" s="110">
        <f t="shared" si="48"/>
        <v>0.82029754807008648</v>
      </c>
      <c r="H129" s="414" t="b">
        <f>Wh_hp&gt;='2026'!Maxi_hp</f>
        <v>0</v>
      </c>
      <c r="I129" s="390">
        <f>IF(H129,Wh_hp,'2026'!Maxi_hp)</f>
        <v>54.184367462537033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6.8566797221916498E-2</v>
      </c>
      <c r="M129" s="845"/>
      <c r="N129" s="845"/>
      <c r="O129" s="48">
        <f>IF(t&lt;Tnet,'2026'!Resal+('2026'!Salim-'2026'!Resal)*(1-EXP(('2026'!Tnet-t)/('2026'!Tau_j))),Resal+(Salim-Resal)*(1-EXP((Tnet-t)/(Tau_j))))*Salcycl</f>
        <v>5.8019040016760018E-2</v>
      </c>
      <c r="P129" s="169">
        <f>(INDEX(Models!$BJ129:$BT129,,T129)*(1-R129)+INDEX(Models!$BJ129:$BT129,,T129+1)*R129-ERP_i)*Q129*Ramure*Pc/MaxiM</f>
        <v>1.0779195419996941E-5</v>
      </c>
      <c r="Q129" s="305">
        <f t="shared" si="28"/>
        <v>0.5</v>
      </c>
      <c r="R129" s="177">
        <f t="shared" si="29"/>
        <v>3.741672441271815E-2</v>
      </c>
      <c r="S129" s="811">
        <f t="shared" si="30"/>
        <v>-1</v>
      </c>
      <c r="T129" s="176">
        <f t="shared" si="31"/>
        <v>5</v>
      </c>
      <c r="U129" s="251">
        <f t="shared" si="32"/>
        <v>-0.96258327558728185</v>
      </c>
      <c r="V129" s="383">
        <f t="shared" si="33"/>
        <v>53.44807897588565</v>
      </c>
      <c r="W129" s="402">
        <f t="shared" si="34"/>
        <v>43.843449456499677</v>
      </c>
      <c r="X129" s="157">
        <f t="shared" si="35"/>
        <v>46502</v>
      </c>
      <c r="Y129" s="385">
        <f t="shared" si="36"/>
        <v>42.663993066911225</v>
      </c>
      <c r="Z129" s="385">
        <f t="shared" si="37"/>
        <v>45.804672777030085</v>
      </c>
      <c r="AA129" s="386">
        <f t="shared" si="38"/>
        <v>49.967548812918089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8.3311591918869152E-2</v>
      </c>
      <c r="AD129" s="231">
        <f>(INDEX(Models!$BJ129:$BT129,,AH129)*(1-AF129)+INDEX(Models!$BJ129:$BT129,,AH129+1)*AF129-ERP_i)*AE129*Ramure*Pc/MaxiM</f>
        <v>8.1502204083073703E-5</v>
      </c>
      <c r="AE129" s="305">
        <f t="shared" si="40"/>
        <v>0.5</v>
      </c>
      <c r="AF129" s="177">
        <f t="shared" si="41"/>
        <v>0.56240429078669685</v>
      </c>
      <c r="AG129" s="811">
        <f t="shared" si="49"/>
        <v>2</v>
      </c>
      <c r="AH129" s="176">
        <f t="shared" si="42"/>
        <v>8</v>
      </c>
      <c r="AI129" s="225">
        <f t="shared" si="43"/>
        <v>2.5624042907866968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51.040538717555876</v>
      </c>
      <c r="C130" s="841"/>
      <c r="D130" s="393">
        <f t="shared" si="25"/>
        <v>54.799052158110065</v>
      </c>
      <c r="E130" s="385">
        <f t="shared" si="47"/>
        <v>58.178903691111074</v>
      </c>
      <c r="F130" s="385">
        <f t="shared" si="26"/>
        <v>58.179574466484375</v>
      </c>
      <c r="G130" s="110">
        <f t="shared" si="48"/>
        <v>0.95256165737512499</v>
      </c>
      <c r="H130" s="414" t="b">
        <f>Wh_hp&gt;='2026'!Maxi_hp</f>
        <v>0</v>
      </c>
      <c r="I130" s="390">
        <f>IF(H130,Wh_hp,'2026'!Maxi_hp)</f>
        <v>58.179621239228936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6.8587197999517624E-2</v>
      </c>
      <c r="M130" s="845"/>
      <c r="N130" s="845"/>
      <c r="O130" s="48">
        <f>IF(t&lt;Tnet,'2026'!Resal+('2026'!Salim-'2026'!Resal)*(1-EXP(('2026'!Tnet-t)/('2026'!Tau_j))),Resal+(Salim-Resal)*(1-EXP((Tnet-t)/(Tau_j))))*Salcycl</f>
        <v>5.8094108320528595E-2</v>
      </c>
      <c r="P130" s="169">
        <f>(INDEX(Models!$BJ130:$BT130,,T130)*(1-R130)+INDEX(Models!$BJ130:$BT130,,T130+1)*R130-ERP_i)*Q130*Ramure*Pc/MaxiM</f>
        <v>1.2367517272245932E-5</v>
      </c>
      <c r="Q130" s="305">
        <f t="shared" si="28"/>
        <v>0.5</v>
      </c>
      <c r="R130" s="177">
        <f t="shared" si="29"/>
        <v>3.9798681190577057E-2</v>
      </c>
      <c r="S130" s="811">
        <f t="shared" si="30"/>
        <v>-1</v>
      </c>
      <c r="T130" s="176">
        <f t="shared" si="31"/>
        <v>5</v>
      </c>
      <c r="U130" s="251">
        <f t="shared" si="32"/>
        <v>-0.96020131880942294</v>
      </c>
      <c r="V130" s="383">
        <f t="shared" si="33"/>
        <v>53.582354006948052</v>
      </c>
      <c r="W130" s="402">
        <f t="shared" si="34"/>
        <v>51.040538717555876</v>
      </c>
      <c r="X130" s="157">
        <f t="shared" si="35"/>
        <v>46503</v>
      </c>
      <c r="Y130" s="385">
        <f t="shared" si="36"/>
        <v>49.667190720183569</v>
      </c>
      <c r="Z130" s="385">
        <f t="shared" si="37"/>
        <v>53.324573823237877</v>
      </c>
      <c r="AA130" s="386">
        <f t="shared" si="38"/>
        <v>58.174713294336726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8.3371953146712086E-2</v>
      </c>
      <c r="AD130" s="231">
        <f>(INDEX(Models!$BJ130:$BT130,,AH130)*(1-AF130)+INDEX(Models!$BJ130:$BT130,,AH130+1)*AF130-ERP_i)*AE130*Ramure*Pc/MaxiM</f>
        <v>8.9628559562692734E-5</v>
      </c>
      <c r="AE130" s="305">
        <f t="shared" si="40"/>
        <v>0.5</v>
      </c>
      <c r="AF130" s="177">
        <f t="shared" si="41"/>
        <v>0.5647862475645562</v>
      </c>
      <c r="AG130" s="811">
        <f t="shared" si="49"/>
        <v>2</v>
      </c>
      <c r="AH130" s="176">
        <f t="shared" si="42"/>
        <v>8</v>
      </c>
      <c r="AI130" s="225">
        <f t="shared" si="43"/>
        <v>2.5647862475645562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38.44738720386534</v>
      </c>
      <c r="C131" s="841"/>
      <c r="D131" s="393">
        <f t="shared" si="25"/>
        <v>41.279472685133108</v>
      </c>
      <c r="E131" s="385">
        <f t="shared" si="47"/>
        <v>43.829005214437579</v>
      </c>
      <c r="F131" s="385">
        <f t="shared" si="26"/>
        <v>43.829372934201565</v>
      </c>
      <c r="G131" s="110">
        <f t="shared" si="48"/>
        <v>0.71579766658742683</v>
      </c>
      <c r="H131" s="414" t="b">
        <f>Wh_hp&gt;='2026'!Maxi_hp</f>
        <v>0</v>
      </c>
      <c r="I131" s="390">
        <f>IF(H131,Wh_hp,'2026'!Maxi_hp)</f>
        <v>43.829613466532599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6.8607598330289399E-2</v>
      </c>
      <c r="M131" s="845"/>
      <c r="N131" s="845"/>
      <c r="O131" s="48">
        <f>IF(t&lt;Tnet,'2026'!Resal+('2026'!Salim-'2026'!Resal)*(1-EXP(('2026'!Tnet-t)/('2026'!Tau_j))),Resal+(Salim-Resal)*(1-EXP((Tnet-t)/(Tau_j))))*Salcycl</f>
        <v>5.8169983937135676E-2</v>
      </c>
      <c r="P131" s="169">
        <f>(INDEX(Models!$BJ131:$BT131,,T131)*(1-R131)+INDEX(Models!$BJ131:$BT131,,T131+1)*R131-ERP_i)*Q131*Ramure*Pc/MaxiM</f>
        <v>1.4124185748540156E-5</v>
      </c>
      <c r="Q131" s="305">
        <f t="shared" si="28"/>
        <v>0.5</v>
      </c>
      <c r="R131" s="177">
        <f t="shared" si="29"/>
        <v>4.2252982177712006E-2</v>
      </c>
      <c r="S131" s="811">
        <f t="shared" si="30"/>
        <v>-1</v>
      </c>
      <c r="T131" s="176">
        <f t="shared" si="31"/>
        <v>5</v>
      </c>
      <c r="U131" s="251">
        <f t="shared" si="32"/>
        <v>-0.95774701782228799</v>
      </c>
      <c r="V131" s="383">
        <f t="shared" si="33"/>
        <v>53.71233873008196</v>
      </c>
      <c r="W131" s="402">
        <f t="shared" si="34"/>
        <v>38.44738720386534</v>
      </c>
      <c r="X131" s="157">
        <f t="shared" si="35"/>
        <v>46504</v>
      </c>
      <c r="Y131" s="385">
        <f t="shared" si="36"/>
        <v>37.414208770082034</v>
      </c>
      <c r="Z131" s="385">
        <f t="shared" si="37"/>
        <v>40.170188959035357</v>
      </c>
      <c r="AA131" s="386">
        <f t="shared" si="38"/>
        <v>43.826812378193836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8.3433478748224973E-2</v>
      </c>
      <c r="AD131" s="231">
        <f>(INDEX(Models!$BJ131:$BT131,,AH131)*(1-AF131)+INDEX(Models!$BJ131:$BT131,,AH131+1)*AF131-ERP_i)*AE131*Ramure*Pc/MaxiM</f>
        <v>9.8351441001000821E-5</v>
      </c>
      <c r="AE131" s="305">
        <f t="shared" si="40"/>
        <v>0.5</v>
      </c>
      <c r="AF131" s="177">
        <f t="shared" si="41"/>
        <v>0.56724054855169115</v>
      </c>
      <c r="AG131" s="811">
        <f t="shared" si="49"/>
        <v>2</v>
      </c>
      <c r="AH131" s="176">
        <f t="shared" si="42"/>
        <v>8</v>
      </c>
      <c r="AI131" s="225">
        <f t="shared" si="43"/>
        <v>2.5672405485516911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19.13752976056686</v>
      </c>
      <c r="C132" s="841"/>
      <c r="D132" s="393">
        <f t="shared" si="25"/>
        <v>20.547675605315252</v>
      </c>
      <c r="E132" s="385">
        <f t="shared" si="47"/>
        <v>21.81853234424872</v>
      </c>
      <c r="F132" s="385">
        <f t="shared" si="26"/>
        <v>21.818560095878432</v>
      </c>
      <c r="G132" s="110">
        <f t="shared" si="48"/>
        <v>0.35545775093801257</v>
      </c>
      <c r="H132" s="414" t="b">
        <f>Wh_hp&gt;='2026'!Maxi_hp</f>
        <v>0</v>
      </c>
      <c r="I132" s="390">
        <f>IF(H132,Wh_hp,'2026'!Maxi_hp)</f>
        <v>46.870510731346037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6.8627998214241592E-2</v>
      </c>
      <c r="M132" s="845"/>
      <c r="N132" s="845"/>
      <c r="O132" s="48">
        <f>IF(t&lt;Tnet,'2026'!Resal+('2026'!Salim-'2026'!Resal)*(1-EXP(('2026'!Tnet-t)/('2026'!Tau_j))),Resal+(Salim-Resal)*(1-EXP((Tnet-t)/(Tau_j))))*Salcycl</f>
        <v>5.8246664756461446E-2</v>
      </c>
      <c r="P132" s="169">
        <f>(INDEX(Models!$BJ132:$BT132,,T132)*(1-R132)+INDEX(Models!$BJ132:$BT132,,T132+1)*R132-ERP_i)*Q132*Ramure*Pc/MaxiM</f>
        <v>1.6053031182132167E-5</v>
      </c>
      <c r="Q132" s="305">
        <f t="shared" si="28"/>
        <v>0.5</v>
      </c>
      <c r="R132" s="177">
        <f t="shared" si="29"/>
        <v>4.4780806220589331E-2</v>
      </c>
      <c r="S132" s="811">
        <f t="shared" si="30"/>
        <v>-1</v>
      </c>
      <c r="T132" s="176">
        <f t="shared" si="31"/>
        <v>5</v>
      </c>
      <c r="U132" s="251">
        <f t="shared" si="32"/>
        <v>-0.95521919377941067</v>
      </c>
      <c r="V132" s="383">
        <f t="shared" si="33"/>
        <v>53.838316469108271</v>
      </c>
      <c r="W132" s="402">
        <f t="shared" si="34"/>
        <v>19.13752976056686</v>
      </c>
      <c r="X132" s="157">
        <f t="shared" si="35"/>
        <v>46505</v>
      </c>
      <c r="Y132" s="385">
        <f t="shared" si="36"/>
        <v>18.624295183023818</v>
      </c>
      <c r="Z132" s="385">
        <f t="shared" si="37"/>
        <v>19.996623419336935</v>
      </c>
      <c r="AA132" s="386">
        <f t="shared" si="38"/>
        <v>21.818373942363298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8.3496163730569811E-2</v>
      </c>
      <c r="AD132" s="231">
        <f>(INDEX(Models!$BJ132:$BT132,,AH132)*(1-AF132)+INDEX(Models!$BJ132:$BT132,,AH132+1)*AF132-ERP_i)*AE132*Ramure*Pc/MaxiM</f>
        <v>1.076811781496745E-4</v>
      </c>
      <c r="AE132" s="305">
        <f t="shared" si="40"/>
        <v>0.5</v>
      </c>
      <c r="AF132" s="177">
        <f t="shared" si="41"/>
        <v>0.56976837259456836</v>
      </c>
      <c r="AG132" s="811">
        <f t="shared" si="49"/>
        <v>2</v>
      </c>
      <c r="AH132" s="176">
        <f t="shared" si="42"/>
        <v>8</v>
      </c>
      <c r="AI132" s="225">
        <f t="shared" si="43"/>
        <v>2.5697683725945684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38.511683347609761</v>
      </c>
      <c r="C133" s="841"/>
      <c r="D133" s="393">
        <f t="shared" si="25"/>
        <v>41.35031630427622</v>
      </c>
      <c r="E133" s="385">
        <f t="shared" si="47"/>
        <v>43.911411953895232</v>
      </c>
      <c r="F133" s="385">
        <f t="shared" si="26"/>
        <v>43.911883192611811</v>
      </c>
      <c r="G133" s="110">
        <f t="shared" si="48"/>
        <v>0.71369514725896233</v>
      </c>
      <c r="H133" s="414" t="b">
        <f>Wh_hp&gt;='2026'!Maxi_hp</f>
        <v>0</v>
      </c>
      <c r="I133" s="390">
        <f>IF(H133,Wh_hp,'2026'!Maxi_hp)</f>
        <v>52.731591737433121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6.8648397651383863E-2</v>
      </c>
      <c r="M133" s="845"/>
      <c r="N133" s="845"/>
      <c r="O133" s="48">
        <f>IF(t&lt;Tnet,'2026'!Resal+('2026'!Salim-'2026'!Resal)*(1-EXP(('2026'!Tnet-t)/('2026'!Tau_j))),Resal+(Salim-Resal)*(1-EXP((Tnet-t)/(Tau_j))))*Salcycl</f>
        <v>5.8324147087504954E-2</v>
      </c>
      <c r="P133" s="169">
        <f>(INDEX(Models!$BJ133:$BT133,,T133)*(1-R133)+INDEX(Models!$BJ133:$BT133,,T133+1)*R133-ERP_i)*Q133*Ramure*Pc/MaxiM</f>
        <v>1.815812289439279E-5</v>
      </c>
      <c r="Q133" s="305">
        <f t="shared" si="28"/>
        <v>0.5</v>
      </c>
      <c r="R133" s="177">
        <f t="shared" si="29"/>
        <v>4.7383275981721429E-2</v>
      </c>
      <c r="S133" s="811">
        <f t="shared" si="30"/>
        <v>-1</v>
      </c>
      <c r="T133" s="176">
        <f t="shared" si="31"/>
        <v>5</v>
      </c>
      <c r="U133" s="251">
        <f t="shared" si="32"/>
        <v>-0.95261672401827857</v>
      </c>
      <c r="V133" s="383">
        <f t="shared" si="33"/>
        <v>53.960570531052483</v>
      </c>
      <c r="W133" s="402">
        <f t="shared" si="34"/>
        <v>38.511683347609761</v>
      </c>
      <c r="X133" s="157">
        <f t="shared" si="35"/>
        <v>46506</v>
      </c>
      <c r="Y133" s="385">
        <f t="shared" si="36"/>
        <v>37.477410206488827</v>
      </c>
      <c r="Z133" s="385">
        <f t="shared" si="37"/>
        <v>40.239808587842617</v>
      </c>
      <c r="AA133" s="386">
        <f t="shared" si="38"/>
        <v>43.908830502072121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8.3560000853503888E-2</v>
      </c>
      <c r="AD133" s="231">
        <f>(INDEX(Models!$BJ133:$BT133,,AH133)*(1-AF133)+INDEX(Models!$BJ133:$BT133,,AH133+1)*AF133-ERP_i)*AE133*Ramure*Pc/MaxiM</f>
        <v>1.1762855645889476E-4</v>
      </c>
      <c r="AE133" s="305">
        <f t="shared" si="40"/>
        <v>0.5</v>
      </c>
      <c r="AF133" s="177">
        <f t="shared" si="41"/>
        <v>0.57237084235570057</v>
      </c>
      <c r="AG133" s="811">
        <f t="shared" si="49"/>
        <v>2</v>
      </c>
      <c r="AH133" s="176">
        <f t="shared" si="42"/>
        <v>8</v>
      </c>
      <c r="AI133" s="225">
        <f t="shared" si="43"/>
        <v>2.5723708423557006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43.256057918383959</v>
      </c>
      <c r="C134" s="841"/>
      <c r="D134" s="393">
        <f t="shared" si="25"/>
        <v>46.445408209676174</v>
      </c>
      <c r="E134" s="385">
        <f t="shared" si="47"/>
        <v>46.681397560788668</v>
      </c>
      <c r="F134" s="385">
        <f t="shared" si="26"/>
        <v>46.682020584984862</v>
      </c>
      <c r="G134" s="110">
        <f t="shared" si="48"/>
        <v>0.75696973199509821</v>
      </c>
      <c r="H134" s="414" t="b">
        <f>Wh_hp&gt;='2026'!Maxi_hp</f>
        <v>0</v>
      </c>
      <c r="I134" s="390">
        <f>IF(H134,Wh_hp,'2026'!Maxi_hp)</f>
        <v>62.081683557920357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6.8668796641726204E-2</v>
      </c>
      <c r="M134" s="845"/>
      <c r="N134" s="845"/>
      <c r="O134" s="48">
        <f>IF(t&lt;Tnet,'2026'!Resal+('2026'!Salim-'2026'!Resal)*(1-EXP(('2026'!Tnet-t)/('2026'!Tau_j))),Resal+(Salim-Resal)*(1-EXP((Tnet-t)/(Tau_j))))*Salcycl</f>
        <v>5.0553188945380769E-3</v>
      </c>
      <c r="P134" s="169">
        <f>(INDEX(Models!$BJ134:$BT134,,T134)*(1-R134)+INDEX(Models!$BJ134:$BT134,,T134+1)*R134-ERP_i)*Q134*Ramure*Pc/MaxiM</f>
        <v>2.0443759659042557E-5</v>
      </c>
      <c r="Q134" s="305">
        <f t="shared" si="28"/>
        <v>0.5</v>
      </c>
      <c r="R134" s="177">
        <f t="shared" si="29"/>
        <v>5.0061451639000554E-2</v>
      </c>
      <c r="S134" s="811">
        <f t="shared" si="30"/>
        <v>-1</v>
      </c>
      <c r="T134" s="176">
        <f t="shared" si="31"/>
        <v>5</v>
      </c>
      <c r="U134" s="251">
        <f t="shared" si="32"/>
        <v>-0.94993854836099945</v>
      </c>
      <c r="V134" s="383">
        <f t="shared" si="33"/>
        <v>57.143303186892126</v>
      </c>
      <c r="W134" s="402">
        <f t="shared" si="34"/>
        <v>43.256057918383959</v>
      </c>
      <c r="X134" s="157">
        <f t="shared" si="35"/>
        <v>46507</v>
      </c>
      <c r="Y134" s="385">
        <f t="shared" si="36"/>
        <v>40.933867641475281</v>
      </c>
      <c r="Z134" s="385">
        <f t="shared" si="37"/>
        <v>43.951998487619051</v>
      </c>
      <c r="AA134" s="386">
        <f t="shared" si="38"/>
        <v>46.678113540881206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5.8402425600910246E-2</v>
      </c>
      <c r="AD134" s="231">
        <f>(INDEX(Models!$BJ134:$BT134,,AH134)*(1-AF134)+INDEX(Models!$BJ134:$BT134,,AH134+1)*AF134-ERP_i)*AE134*Ramure*Pc/MaxiM</f>
        <v>1.2820476495183805E-4</v>
      </c>
      <c r="AE134" s="305">
        <f t="shared" si="40"/>
        <v>0.5</v>
      </c>
      <c r="AF134" s="177">
        <f t="shared" si="41"/>
        <v>0.57504901801297947</v>
      </c>
      <c r="AG134" s="811">
        <f t="shared" si="49"/>
        <v>2</v>
      </c>
      <c r="AH134" s="176">
        <f t="shared" si="42"/>
        <v>8</v>
      </c>
      <c r="AI134" s="225">
        <f t="shared" si="43"/>
        <v>2.5750490180129795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46.881152553759023</v>
      </c>
      <c r="C135" s="841"/>
      <c r="D135" s="393">
        <f t="shared" si="25"/>
        <v>50.338890423466871</v>
      </c>
      <c r="E135" s="385">
        <f t="shared" si="47"/>
        <v>50.600077503553592</v>
      </c>
      <c r="F135" s="385">
        <f t="shared" si="26"/>
        <v>50.600936694992427</v>
      </c>
      <c r="G135" s="110">
        <f t="shared" si="48"/>
        <v>0.81869069089024438</v>
      </c>
      <c r="H135" s="414" t="b">
        <f>Wh_hp&gt;='2026'!Maxi_hp</f>
        <v>0</v>
      </c>
      <c r="I135" s="390">
        <f>IF(H135,Wh_hp,'2026'!Maxi_hp)</f>
        <v>57.93362071879104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6.8689195185278273E-2</v>
      </c>
      <c r="M135" s="845"/>
      <c r="N135" s="845"/>
      <c r="O135" s="48">
        <f>IF(t&lt;Tnet,'2026'!Resal+('2026'!Salim-'2026'!Resal)*(1-EXP(('2026'!Tnet-t)/('2026'!Tau_j))),Resal+(Salim-Resal)*(1-EXP((Tnet-t)/(Tau_j))))*Salcycl</f>
        <v>5.1617920954443782E-3</v>
      </c>
      <c r="P135" s="169">
        <f>(INDEX(Models!$BJ135:$BT135,,T135)*(1-R135)+INDEX(Models!$BJ135:$BT135,,T135+1)*R135-ERP_i)*Q135*Ramure*Pc/MaxiM</f>
        <v>2.2914843871676053E-5</v>
      </c>
      <c r="Q135" s="305">
        <f t="shared" si="28"/>
        <v>0.5</v>
      </c>
      <c r="R135" s="177">
        <f t="shared" si="29"/>
        <v>5.2816324397060521E-2</v>
      </c>
      <c r="S135" s="811">
        <f t="shared" si="30"/>
        <v>-1</v>
      </c>
      <c r="T135" s="176">
        <f t="shared" si="31"/>
        <v>5</v>
      </c>
      <c r="U135" s="251">
        <f t="shared" si="32"/>
        <v>-0.94718367560293948</v>
      </c>
      <c r="V135" s="383">
        <f t="shared" si="33"/>
        <v>57.263231189529471</v>
      </c>
      <c r="W135" s="402">
        <f t="shared" si="34"/>
        <v>46.881152553759023</v>
      </c>
      <c r="X135" s="157">
        <f t="shared" si="35"/>
        <v>46508</v>
      </c>
      <c r="Y135" s="385">
        <f t="shared" si="36"/>
        <v>44.364663186544391</v>
      </c>
      <c r="Z135" s="385">
        <f t="shared" si="37"/>
        <v>47.636796391909634</v>
      </c>
      <c r="AA135" s="386">
        <f t="shared" si="38"/>
        <v>50.595709007888125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5.8481493272822434E-2</v>
      </c>
      <c r="AD135" s="231">
        <f>(INDEX(Models!$BJ135:$BT135,,AH135)*(1-AF135)+INDEX(Models!$BJ135:$BT135,,AH135+1)*AF135-ERP_i)*AE135*Ramure*Pc/MaxiM</f>
        <v>1.3942368183637418E-4</v>
      </c>
      <c r="AE135" s="305">
        <f t="shared" si="40"/>
        <v>0.5</v>
      </c>
      <c r="AF135" s="177">
        <f t="shared" si="41"/>
        <v>0.57780389077103944</v>
      </c>
      <c r="AG135" s="811">
        <f t="shared" si="49"/>
        <v>2</v>
      </c>
      <c r="AH135" s="176">
        <f t="shared" si="42"/>
        <v>8</v>
      </c>
      <c r="AI135" s="225">
        <f t="shared" si="43"/>
        <v>2.5778038907710394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30.137282237315791</v>
      </c>
      <c r="C136" s="841"/>
      <c r="D136" s="393">
        <f t="shared" si="25"/>
        <v>32.360778141724317</v>
      </c>
      <c r="E136" s="385">
        <f t="shared" si="47"/>
        <v>32.53216851823386</v>
      </c>
      <c r="F136" s="385">
        <f t="shared" si="26"/>
        <v>32.532437189758767</v>
      </c>
      <c r="G136" s="110">
        <f t="shared" si="48"/>
        <v>0.52523101365381664</v>
      </c>
      <c r="H136" s="414" t="b">
        <f>Wh_hp&gt;='2026'!Maxi_hp</f>
        <v>0</v>
      </c>
      <c r="I136" s="390">
        <f>IF(H136,Wh_hp,'2026'!Maxi_hp)</f>
        <v>50.847443819946974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6.8709593282049841E-2</v>
      </c>
      <c r="M136" s="845"/>
      <c r="N136" s="845"/>
      <c r="O136" s="48">
        <f>IF(t&lt;Tnet,'2026'!Resal+('2026'!Salim-'2026'!Resal)*(1-EXP(('2026'!Tnet-t)/('2026'!Tau_j))),Resal+(Salim-Resal)*(1-EXP((Tnet-t)/(Tau_j))))*Salcycl</f>
        <v>5.2683354450682512E-3</v>
      </c>
      <c r="P136" s="169">
        <f>(INDEX(Models!$BJ136:$BT136,,T136)*(1-R136)+INDEX(Models!$BJ136:$BT136,,T136+1)*R136-ERP_i)*Q136*Ramure*Pc/MaxiM</f>
        <v>2.566594500431579E-5</v>
      </c>
      <c r="Q136" s="305">
        <f t="shared" si="28"/>
        <v>0.5</v>
      </c>
      <c r="R136" s="177">
        <f t="shared" si="29"/>
        <v>5.5648809832495649E-2</v>
      </c>
      <c r="S136" s="811">
        <f t="shared" si="30"/>
        <v>-1</v>
      </c>
      <c r="T136" s="176">
        <f t="shared" si="31"/>
        <v>5</v>
      </c>
      <c r="U136" s="251">
        <f t="shared" si="32"/>
        <v>-0.94435119016750435</v>
      </c>
      <c r="V136" s="383">
        <f t="shared" si="33"/>
        <v>57.378099995404455</v>
      </c>
      <c r="W136" s="402">
        <f t="shared" si="34"/>
        <v>30.137282237315791</v>
      </c>
      <c r="X136" s="157">
        <f t="shared" si="35"/>
        <v>46509</v>
      </c>
      <c r="Y136" s="385">
        <f t="shared" si="36"/>
        <v>28.521510716197881</v>
      </c>
      <c r="Z136" s="385">
        <f t="shared" si="37"/>
        <v>30.625796755185391</v>
      </c>
      <c r="AA136" s="386">
        <f t="shared" si="38"/>
        <v>32.530846777073435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5.8561341330673651E-2</v>
      </c>
      <c r="AD136" s="231">
        <f>(INDEX(Models!$BJ136:$BT136,,AH136)*(1-AF136)+INDEX(Models!$BJ136:$BT136,,AH136+1)*AF136-ERP_i)*AE136*Ramure*Pc/MaxiM</f>
        <v>1.5193066898406055E-4</v>
      </c>
      <c r="AE136" s="305">
        <f t="shared" si="40"/>
        <v>0.5</v>
      </c>
      <c r="AF136" s="177">
        <f t="shared" si="41"/>
        <v>0.58063637620647457</v>
      </c>
      <c r="AG136" s="811">
        <f t="shared" si="49"/>
        <v>2</v>
      </c>
      <c r="AH136" s="176">
        <f t="shared" si="42"/>
        <v>8</v>
      </c>
      <c r="AI136" s="225">
        <f t="shared" si="43"/>
        <v>2.5806363762064746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35.908338568336085</v>
      </c>
      <c r="C137" s="841"/>
      <c r="D137" s="393">
        <f t="shared" si="25"/>
        <v>38.558461261170137</v>
      </c>
      <c r="E137" s="385">
        <f t="shared" si="47"/>
        <v>38.766831113296249</v>
      </c>
      <c r="F137" s="385">
        <f t="shared" si="26"/>
        <v>38.767346078580196</v>
      </c>
      <c r="G137" s="110">
        <f t="shared" si="48"/>
        <v>0.62461345636557009</v>
      </c>
      <c r="H137" s="414" t="b">
        <f>Wh_hp&gt;='2026'!Maxi_hp</f>
        <v>0</v>
      </c>
      <c r="I137" s="390">
        <f>IF(H137,Wh_hp,'2026'!Maxi_hp)</f>
        <v>60.514631083164147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6.8729990932050788E-2</v>
      </c>
      <c r="M137" s="845"/>
      <c r="N137" s="845"/>
      <c r="O137" s="48">
        <f>IF(t&lt;Tnet,'2026'!Resal+('2026'!Salim-'2026'!Resal)*(1-EXP(('2026'!Tnet-t)/('2026'!Tau_j))),Resal+(Salim-Resal)*(1-EXP((Tnet-t)/(Tau_j))))*Salcycl</f>
        <v>5.3749518890812914E-3</v>
      </c>
      <c r="P137" s="169">
        <f>(INDEX(Models!$BJ137:$BT137,,T137)*(1-R137)+INDEX(Models!$BJ137:$BT137,,T137+1)*R137-ERP_i)*Q137*Ramure*Pc/MaxiM</f>
        <v>2.8643795605638876E-5</v>
      </c>
      <c r="Q137" s="305">
        <f t="shared" si="28"/>
        <v>0.5</v>
      </c>
      <c r="R137" s="177">
        <f t="shared" si="29"/>
        <v>5.8559741098059392E-2</v>
      </c>
      <c r="S137" s="811">
        <f t="shared" si="30"/>
        <v>-1</v>
      </c>
      <c r="T137" s="176">
        <f t="shared" si="31"/>
        <v>5</v>
      </c>
      <c r="U137" s="251">
        <f t="shared" si="32"/>
        <v>-0.94144025890194061</v>
      </c>
      <c r="V137" s="383">
        <f t="shared" si="33"/>
        <v>57.488013797442889</v>
      </c>
      <c r="W137" s="402">
        <f t="shared" si="34"/>
        <v>35.908338568336085</v>
      </c>
      <c r="X137" s="157">
        <f t="shared" si="35"/>
        <v>46510</v>
      </c>
      <c r="Y137" s="385">
        <f t="shared" si="36"/>
        <v>33.983115390154445</v>
      </c>
      <c r="Z137" s="385">
        <f t="shared" si="37"/>
        <v>36.491151931507012</v>
      </c>
      <c r="AA137" s="386">
        <f t="shared" si="38"/>
        <v>38.764370568880494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5.8641959201535185E-2</v>
      </c>
      <c r="AD137" s="231">
        <f>(INDEX(Models!$BJ137:$BT137,,AH137)*(1-AF137)+INDEX(Models!$BJ137:$BT137,,AH137+1)*AF137-ERP_i)*AE137*Ramure*Pc/MaxiM</f>
        <v>1.6550609199862567E-4</v>
      </c>
      <c r="AE137" s="305">
        <f t="shared" si="40"/>
        <v>0.5</v>
      </c>
      <c r="AF137" s="177">
        <f t="shared" si="41"/>
        <v>0.58354730747203831</v>
      </c>
      <c r="AG137" s="811">
        <f t="shared" si="49"/>
        <v>2</v>
      </c>
      <c r="AH137" s="176">
        <f t="shared" si="42"/>
        <v>8</v>
      </c>
      <c r="AI137" s="225">
        <f t="shared" si="43"/>
        <v>2.5835473074720383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19.918429852400049</v>
      </c>
      <c r="C138" s="841"/>
      <c r="D138" s="393">
        <f t="shared" si="25"/>
        <v>21.388926876990499</v>
      </c>
      <c r="E138" s="385">
        <f t="shared" si="47"/>
        <v>21.506819607976652</v>
      </c>
      <c r="F138" s="385">
        <f t="shared" si="26"/>
        <v>21.506864480160861</v>
      </c>
      <c r="G138" s="110">
        <f t="shared" si="48"/>
        <v>0.34583736818322025</v>
      </c>
      <c r="H138" s="414" t="b">
        <f>Wh_hp&gt;='2026'!Maxi_hp</f>
        <v>0</v>
      </c>
      <c r="I138" s="390">
        <f>IF(H138,Wh_hp,'2026'!Maxi_hp)</f>
        <v>57.253924122877009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6.8750388135290885E-2</v>
      </c>
      <c r="M138" s="845"/>
      <c r="N138" s="845"/>
      <c r="O138" s="48">
        <f>IF(t&lt;Tnet,'2026'!Resal+('2026'!Salim-'2026'!Resal)*(1-EXP(('2026'!Tnet-t)/('2026'!Tau_j))),Resal+(Salim-Resal)*(1-EXP((Tnet-t)/(Tau_j))))*Salcycl</f>
        <v>5.4816441080124297E-3</v>
      </c>
      <c r="P138" s="169">
        <f>(INDEX(Models!$BJ138:$BT138,,T138)*(1-R138)+INDEX(Models!$BJ138:$BT138,,T138+1)*R138-ERP_i)*Q138*Ramure*Pc/MaxiM</f>
        <v>3.1855244416697763E-5</v>
      </c>
      <c r="Q138" s="305">
        <f t="shared" si="28"/>
        <v>0.5</v>
      </c>
      <c r="R138" s="177">
        <f t="shared" si="29"/>
        <v>6.1549862014349865E-2</v>
      </c>
      <c r="S138" s="811">
        <f t="shared" si="30"/>
        <v>-1</v>
      </c>
      <c r="T138" s="176">
        <f t="shared" si="31"/>
        <v>5</v>
      </c>
      <c r="U138" s="251">
        <f t="shared" si="32"/>
        <v>-0.93845013798565013</v>
      </c>
      <c r="V138" s="383">
        <f t="shared" si="33"/>
        <v>57.593073320562013</v>
      </c>
      <c r="W138" s="402">
        <f t="shared" si="34"/>
        <v>19.918429852400049</v>
      </c>
      <c r="X138" s="157">
        <f t="shared" si="35"/>
        <v>46511</v>
      </c>
      <c r="Y138" s="385">
        <f t="shared" si="36"/>
        <v>18.851910570739044</v>
      </c>
      <c r="Z138" s="385">
        <f t="shared" si="37"/>
        <v>20.243670795191512</v>
      </c>
      <c r="AA138" s="386">
        <f t="shared" si="38"/>
        <v>21.506610687791284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5.8723334463700969E-2</v>
      </c>
      <c r="AD138" s="231">
        <f>(INDEX(Models!$BJ138:$BT138,,AH138)*(1-AF138)+INDEX(Models!$BJ138:$BT138,,AH138+1)*AF138-ERP_i)*AE138*Ramure*Pc/MaxiM</f>
        <v>1.8016992278092938E-4</v>
      </c>
      <c r="AE138" s="305">
        <f t="shared" si="40"/>
        <v>0.5</v>
      </c>
      <c r="AF138" s="177">
        <f t="shared" si="41"/>
        <v>0.58653742838832867</v>
      </c>
      <c r="AG138" s="811">
        <f t="shared" si="49"/>
        <v>2</v>
      </c>
      <c r="AH138" s="176">
        <f t="shared" si="42"/>
        <v>8</v>
      </c>
      <c r="AI138" s="225">
        <f t="shared" si="43"/>
        <v>2.5865374283883287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41.749336377431554</v>
      </c>
      <c r="C139" s="841"/>
      <c r="D139" s="393">
        <f t="shared" si="25"/>
        <v>44.832502782443072</v>
      </c>
      <c r="E139" s="385">
        <f t="shared" si="47"/>
        <v>45.084453395435084</v>
      </c>
      <c r="F139" s="385">
        <f t="shared" si="26"/>
        <v>45.085416788631775</v>
      </c>
      <c r="G139" s="110">
        <f t="shared" si="48"/>
        <v>0.72363163606501091</v>
      </c>
      <c r="H139" s="414" t="b">
        <f>Wh_hp&gt;='2026'!Maxi_hp</f>
        <v>0</v>
      </c>
      <c r="I139" s="390">
        <f>IF(H139,Wh_hp,'2026'!Maxi_hp)</f>
        <v>60.369568048217943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6.8770784891779901E-2</v>
      </c>
      <c r="M139" s="845"/>
      <c r="N139" s="845"/>
      <c r="O139" s="48">
        <f>IF(t&lt;Tnet,'2026'!Resal+('2026'!Salim-'2026'!Resal)*(1-EXP(('2026'!Tnet-t)/('2026'!Tau_j))),Resal+(Salim-Resal)*(1-EXP((Tnet-t)/(Tau_j))))*Salcycl</f>
        <v>5.5884144980566522E-3</v>
      </c>
      <c r="P139" s="169">
        <f>(INDEX(Models!$BJ139:$BT139,,T139)*(1-R139)+INDEX(Models!$BJ139:$BT139,,T139+1)*R139-ERP_i)*Q139*Ramure*Pc/MaxiM</f>
        <v>3.5307486376492473E-5</v>
      </c>
      <c r="Q139" s="305">
        <f t="shared" si="28"/>
        <v>0.5</v>
      </c>
      <c r="R139" s="177">
        <f t="shared" si="29"/>
        <v>6.461982008092626E-2</v>
      </c>
      <c r="S139" s="811">
        <f t="shared" si="30"/>
        <v>-1</v>
      </c>
      <c r="T139" s="176">
        <f t="shared" si="31"/>
        <v>5</v>
      </c>
      <c r="U139" s="251">
        <f t="shared" si="32"/>
        <v>-0.93538017991907374</v>
      </c>
      <c r="V139" s="383">
        <f t="shared" si="33"/>
        <v>57.693379237993369</v>
      </c>
      <c r="W139" s="402">
        <f t="shared" si="34"/>
        <v>41.749336377431554</v>
      </c>
      <c r="X139" s="157">
        <f t="shared" si="35"/>
        <v>46512</v>
      </c>
      <c r="Y139" s="385">
        <f t="shared" si="36"/>
        <v>39.511232741645316</v>
      </c>
      <c r="Z139" s="385">
        <f t="shared" si="37"/>
        <v>42.429116377167823</v>
      </c>
      <c r="AA139" s="386">
        <f t="shared" si="38"/>
        <v>45.080070324983041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5.8805452802190489E-2</v>
      </c>
      <c r="AD139" s="231">
        <f>(INDEX(Models!$BJ139:$BT139,,AH139)*(1-AF139)+INDEX(Models!$BJ139:$BT139,,AH139+1)*AF139-ERP_i)*AE139*Ramure*Pc/MaxiM</f>
        <v>1.9594304079495296E-4</v>
      </c>
      <c r="AE139" s="305">
        <f t="shared" si="40"/>
        <v>0.5</v>
      </c>
      <c r="AF139" s="177">
        <f t="shared" si="41"/>
        <v>0.58960738645490496</v>
      </c>
      <c r="AG139" s="811">
        <f t="shared" si="49"/>
        <v>2</v>
      </c>
      <c r="AH139" s="176">
        <f t="shared" si="42"/>
        <v>8</v>
      </c>
      <c r="AI139" s="225">
        <f t="shared" si="43"/>
        <v>2.589607386454905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38.192250725477287</v>
      </c>
      <c r="C140" s="841"/>
      <c r="D140" s="393">
        <f t="shared" si="25"/>
        <v>41.013626540560779</v>
      </c>
      <c r="E140" s="385">
        <f t="shared" si="47"/>
        <v>41.248547958318504</v>
      </c>
      <c r="F140" s="385">
        <f t="shared" si="26"/>
        <v>41.24937752193707</v>
      </c>
      <c r="G140" s="110">
        <f t="shared" si="48"/>
        <v>0.66087850151283933</v>
      </c>
      <c r="H140" s="414" t="b">
        <f>Wh_hp&gt;='2026'!Maxi_hp</f>
        <v>0</v>
      </c>
      <c r="I140" s="390">
        <f>IF(H140,Wh_hp,'2026'!Maxi_hp)</f>
        <v>64.189889106761925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6.8791181201527496E-2</v>
      </c>
      <c r="M140" s="845"/>
      <c r="N140" s="845"/>
      <c r="O140" s="48">
        <f>IF(t&lt;Tnet,'2026'!Resal+('2026'!Salim-'2026'!Resal)*(1-EXP(('2026'!Tnet-t)/('2026'!Tau_j))),Resal+(Salim-Resal)*(1-EXP((Tnet-t)/(Tau_j))))*Salcycl</f>
        <v>5.6952651520027226E-3</v>
      </c>
      <c r="P140" s="169">
        <f>(INDEX(Models!$BJ140:$BT140,,T140)*(1-R140)+INDEX(Models!$BJ140:$BT140,,T140+1)*R140-ERP_i)*Q140*Ramure*Pc/MaxiM</f>
        <v>3.9008055130377548E-5</v>
      </c>
      <c r="Q140" s="305">
        <f t="shared" si="28"/>
        <v>0.5</v>
      </c>
      <c r="R140" s="177">
        <f t="shared" si="29"/>
        <v>6.7770159442267608E-2</v>
      </c>
      <c r="S140" s="811">
        <f t="shared" si="30"/>
        <v>-1</v>
      </c>
      <c r="T140" s="176">
        <f t="shared" si="31"/>
        <v>5</v>
      </c>
      <c r="U140" s="251">
        <f t="shared" si="32"/>
        <v>-0.93222984055773239</v>
      </c>
      <c r="V140" s="383">
        <f t="shared" si="33"/>
        <v>57.789032174673999</v>
      </c>
      <c r="W140" s="402">
        <f t="shared" si="34"/>
        <v>38.192250725477287</v>
      </c>
      <c r="X140" s="157">
        <f t="shared" si="35"/>
        <v>46513</v>
      </c>
      <c r="Y140" s="385">
        <f t="shared" si="36"/>
        <v>36.145812627250081</v>
      </c>
      <c r="Z140" s="385">
        <f t="shared" si="37"/>
        <v>38.816011937997523</v>
      </c>
      <c r="AA140" s="386">
        <f t="shared" si="38"/>
        <v>41.244851014203732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5.8888297968873224E-2</v>
      </c>
      <c r="AD140" s="231">
        <f>(INDEX(Models!$BJ140:$BT140,,AH140)*(1-AF140)+INDEX(Models!$BJ140:$BT140,,AH140+1)*AF140-ERP_i)*AE140*Ramure*Pc/MaxiM</f>
        <v>2.128471635673205E-4</v>
      </c>
      <c r="AE140" s="305">
        <f t="shared" si="40"/>
        <v>0.5</v>
      </c>
      <c r="AF140" s="177">
        <f t="shared" si="41"/>
        <v>0.59275772581624642</v>
      </c>
      <c r="AG140" s="811">
        <f t="shared" si="49"/>
        <v>2</v>
      </c>
      <c r="AH140" s="176">
        <f t="shared" si="42"/>
        <v>8</v>
      </c>
      <c r="AI140" s="225">
        <f t="shared" si="43"/>
        <v>2.5927577258162464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51.931353526869579</v>
      </c>
      <c r="C141" s="841"/>
      <c r="D141" s="393">
        <f t="shared" si="25"/>
        <v>55.768899449117299</v>
      </c>
      <c r="E141" s="385">
        <f t="shared" si="47"/>
        <v>56.094370082066476</v>
      </c>
      <c r="F141" s="385">
        <f t="shared" si="26"/>
        <v>56.096426380784756</v>
      </c>
      <c r="G141" s="110">
        <f t="shared" si="48"/>
        <v>0.89721677350606888</v>
      </c>
      <c r="H141" s="414" t="b">
        <f>Wh_hp&gt;='2026'!Maxi_hp</f>
        <v>0</v>
      </c>
      <c r="I141" s="390">
        <f>IF(H141,Wh_hp,'2026'!Maxi_hp)</f>
        <v>60.114108347336412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6.8811577064543661E-2</v>
      </c>
      <c r="M141" s="845"/>
      <c r="N141" s="845"/>
      <c r="O141" s="48">
        <f>IF(t&lt;Tnet,'2026'!Resal+('2026'!Salim-'2026'!Resal)*(1-EXP(('2026'!Tnet-t)/('2026'!Tau_j))),Resal+(Salim-Resal)*(1-EXP((Tnet-t)/(Tau_j))))*Salcycl</f>
        <v>5.8021978404073629E-3</v>
      </c>
      <c r="P141" s="169">
        <f>(INDEX(Models!$BJ141:$BT141,,T141)*(1-R141)+INDEX(Models!$BJ141:$BT141,,T141+1)*R141-ERP_i)*Q141*Ramure*Pc/MaxiM</f>
        <v>4.2964814045892886E-5</v>
      </c>
      <c r="Q141" s="305">
        <f t="shared" si="28"/>
        <v>0.5</v>
      </c>
      <c r="R141" s="177">
        <f t="shared" si="29"/>
        <v>7.1001313847419922E-2</v>
      </c>
      <c r="S141" s="811">
        <f t="shared" si="30"/>
        <v>-1</v>
      </c>
      <c r="T141" s="176">
        <f t="shared" si="31"/>
        <v>5</v>
      </c>
      <c r="U141" s="251">
        <f t="shared" si="32"/>
        <v>-0.92899868615258008</v>
      </c>
      <c r="V141" s="383">
        <f t="shared" si="33"/>
        <v>57.880132704944586</v>
      </c>
      <c r="W141" s="402">
        <f t="shared" si="34"/>
        <v>51.931353526869579</v>
      </c>
      <c r="X141" s="157">
        <f t="shared" si="35"/>
        <v>46514</v>
      </c>
      <c r="Y141" s="385">
        <f t="shared" si="36"/>
        <v>49.146185137340254</v>
      </c>
      <c r="Z141" s="385">
        <f t="shared" si="37"/>
        <v>52.777916828489964</v>
      </c>
      <c r="AA141" s="386">
        <f t="shared" si="38"/>
        <v>56.085375263771837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5.8971851747924665E-2</v>
      </c>
      <c r="AD141" s="231">
        <f>(INDEX(Models!$BJ141:$BT141,,AH141)*(1-AF141)+INDEX(Models!$BJ141:$BT141,,AH141+1)*AF141-ERP_i)*AE141*Ramure*Pc/MaxiM</f>
        <v>2.3090477236494388E-4</v>
      </c>
      <c r="AE141" s="305">
        <f t="shared" si="40"/>
        <v>0.5</v>
      </c>
      <c r="AF141" s="177">
        <f t="shared" si="41"/>
        <v>0.59598888022139906</v>
      </c>
      <c r="AG141" s="811">
        <f t="shared" si="49"/>
        <v>2</v>
      </c>
      <c r="AH141" s="176">
        <f t="shared" si="42"/>
        <v>8</v>
      </c>
      <c r="AI141" s="225">
        <f t="shared" si="43"/>
        <v>2.5959888802213991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49.421118334217361</v>
      </c>
      <c r="C142" s="841"/>
      <c r="D142" s="393">
        <f t="shared" si="25"/>
        <v>53.074329093843758</v>
      </c>
      <c r="E142" s="385">
        <f t="shared" si="47"/>
        <v>53.389820971017556</v>
      </c>
      <c r="F142" s="385">
        <f t="shared" si="26"/>
        <v>53.391798449554877</v>
      </c>
      <c r="G142" s="110">
        <f t="shared" si="48"/>
        <v>0.85256789478458872</v>
      </c>
      <c r="H142" s="414" t="b">
        <f>Wh_hp&gt;='2026'!Maxi_hp</f>
        <v>0</v>
      </c>
      <c r="I142" s="390">
        <f>IF(H142,Wh_hp,'2026'!Maxi_hp)</f>
        <v>60.745186891784464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6.8831972480838055E-2</v>
      </c>
      <c r="M142" s="845"/>
      <c r="N142" s="845"/>
      <c r="O142" s="48">
        <f>IF(t&lt;Tnet,'2026'!Resal+('2026'!Salim-'2026'!Resal)*(1-EXP(('2026'!Tnet-t)/('2026'!Tau_j))),Resal+(Salim-Resal)*(1-EXP((Tnet-t)/(Tau_j))))*Salcycl</f>
        <v>5.9092139931516598E-3</v>
      </c>
      <c r="P142" s="169">
        <f>(INDEX(Models!$BJ142:$BT142,,T142)*(1-R142)+INDEX(Models!$BJ142:$BT142,,T142+1)*R142-ERP_i)*Q142*Ramure*Pc/MaxiM</f>
        <v>4.6918379007782665E-5</v>
      </c>
      <c r="Q142" s="305">
        <f t="shared" si="28"/>
        <v>0.5</v>
      </c>
      <c r="R142" s="177">
        <f t="shared" si="29"/>
        <v>7.4313599645552841E-2</v>
      </c>
      <c r="S142" s="811">
        <f t="shared" si="30"/>
        <v>-1</v>
      </c>
      <c r="T142" s="176">
        <f t="shared" si="31"/>
        <v>5</v>
      </c>
      <c r="U142" s="251">
        <f t="shared" si="32"/>
        <v>-0.92568640035444716</v>
      </c>
      <c r="V142" s="383">
        <f t="shared" si="33"/>
        <v>57.96679686821917</v>
      </c>
      <c r="W142" s="402">
        <f t="shared" si="34"/>
        <v>49.421118334217361</v>
      </c>
      <c r="X142" s="157">
        <f t="shared" si="35"/>
        <v>46515</v>
      </c>
      <c r="Y142" s="385">
        <f t="shared" si="36"/>
        <v>46.77141933616457</v>
      </c>
      <c r="Z142" s="385">
        <f t="shared" si="37"/>
        <v>50.228764255119458</v>
      </c>
      <c r="AA142" s="386">
        <f t="shared" si="38"/>
        <v>53.381252517766761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5.9056093927321529E-2</v>
      </c>
      <c r="AD142" s="231">
        <f>(INDEX(Models!$BJ142:$BT142,,AH142)*(1-AF142)+INDEX(Models!$BJ142:$BT142,,AH142+1)*AF142-ERP_i)*AE142*Ramure*Pc/MaxiM</f>
        <v>2.5021663461134735E-4</v>
      </c>
      <c r="AE142" s="305">
        <f t="shared" si="40"/>
        <v>0.5</v>
      </c>
      <c r="AF142" s="177">
        <f t="shared" si="41"/>
        <v>0.59930116601953198</v>
      </c>
      <c r="AG142" s="811">
        <f t="shared" si="49"/>
        <v>2</v>
      </c>
      <c r="AH142" s="176">
        <f t="shared" si="42"/>
        <v>8</v>
      </c>
      <c r="AI142" s="225">
        <f t="shared" si="43"/>
        <v>2.599301166019532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51.715521425072779</v>
      </c>
      <c r="C143" s="841"/>
      <c r="D143" s="393">
        <f t="shared" ref="D143:D206" si="50">Wh/(1-Ppv)</f>
        <v>55.539550998449386</v>
      </c>
      <c r="E143" s="385">
        <f t="shared" si="47"/>
        <v>55.875716894341458</v>
      </c>
      <c r="F143" s="385">
        <f t="shared" ref="F143:F206" si="51">Wh_sa/(1-Pvg*MEDIAN((-Sdif+Wh/Env_an)/Csdif,0,1))</f>
        <v>55.878111781446442</v>
      </c>
      <c r="G143" s="110">
        <f t="shared" si="48"/>
        <v>0.89088520375303293</v>
      </c>
      <c r="H143" s="414" t="b">
        <f>Wh_hp&gt;='2026'!Maxi_hp</f>
        <v>0</v>
      </c>
      <c r="I143" s="390">
        <f>IF(H143,Wh_hp,'2026'!Maxi_hp)</f>
        <v>55.878521599636208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6.8852367450420449E-2</v>
      </c>
      <c r="M143" s="845"/>
      <c r="N143" s="845"/>
      <c r="O143" s="48">
        <f>IF(t&lt;Tnet,'2026'!Resal+('2026'!Salim-'2026'!Resal)*(1-EXP(('2026'!Tnet-t)/('2026'!Tau_j))),Resal+(Salim-Resal)*(1-EXP((Tnet-t)/(Tau_j))))*Salcycl</f>
        <v>6.0163146815233751E-3</v>
      </c>
      <c r="P143" s="169">
        <f>(INDEX(Models!$BJ143:$BT143,,T143)*(1-R143)+INDEX(Models!$BJ143:$BT143,,T143+1)*R143-ERP_i)*Q143*Ramure*Pc/MaxiM</f>
        <v>5.0773028192187459E-5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7.770720886289828E-2</v>
      </c>
      <c r="S143" s="811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-0.92229279113710172</v>
      </c>
      <c r="V143" s="383">
        <f t="shared" ref="V143:V206" si="58">MaxiM*(1-Ppv)*(1-Pvg)*(1-Psa)</f>
        <v>58.049131266473509</v>
      </c>
      <c r="W143" s="402">
        <f t="shared" ref="W143:W206" si="59">Wh*(A143&gt;Tmaj)</f>
        <v>51.715521425072779</v>
      </c>
      <c r="X143" s="157">
        <f t="shared" ref="X143:X206" si="60">t</f>
        <v>46516</v>
      </c>
      <c r="Y143" s="385">
        <f t="shared" ref="Y143:Y206" si="61">Wh_pvt_s*(1-Ppv)</f>
        <v>48.94244104135413</v>
      </c>
      <c r="Z143" s="385">
        <f t="shared" ref="Z143:Z206" si="62">Wh_sa_s*(1-Psa_s)</f>
        <v>52.56141918907597</v>
      </c>
      <c r="AA143" s="386">
        <f t="shared" ref="AA143:AA206" si="63">Wh_hp*(1-Pvg_s*MEDIAN((-Sdif+Wh/Env_an)/Csdif,0,1))</f>
        <v>55.865352105135344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5.9141002277074445E-2</v>
      </c>
      <c r="AD143" s="231">
        <f>(INDEX(Models!$BJ143:$BT143,,AH143)*(1-AF143)+INDEX(Models!$BJ143:$BT143,,AH143+1)*AF143-ERP_i)*AE143*Ramure*Pc/MaxiM</f>
        <v>2.7051271173456515E-4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0.60269477523687698</v>
      </c>
      <c r="AG143" s="81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2.602694775236877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51.384091378962502</v>
      </c>
      <c r="C144" s="841"/>
      <c r="D144" s="393">
        <f t="shared" si="50"/>
        <v>55.184822525285313</v>
      </c>
      <c r="E144" s="385">
        <f t="shared" ref="E144:E169" si="72">Wh_pvt/(1-Psa)</f>
        <v>55.524828848105741</v>
      </c>
      <c r="F144" s="385">
        <f t="shared" si="51"/>
        <v>55.52735488165424</v>
      </c>
      <c r="G144" s="110">
        <f t="shared" ref="G144:G169" si="73">+Wh_hp/MaxiM</f>
        <v>0.88398536904174452</v>
      </c>
      <c r="H144" s="414" t="b">
        <f>Wh_hp&gt;='2026'!Maxi_hp</f>
        <v>0</v>
      </c>
      <c r="I144" s="390">
        <f>IF(H144,Wh_hp,'2026'!Maxi_hp)</f>
        <v>55.527818496822988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6.8872761973300611E-2</v>
      </c>
      <c r="M144" s="845"/>
      <c r="N144" s="845"/>
      <c r="O144" s="48">
        <f>IF(t&lt;Tnet,'2026'!Resal+('2026'!Salim-'2026'!Resal)*(1-EXP(('2026'!Tnet-t)/('2026'!Tau_j))),Resal+(Salim-Resal)*(1-EXP((Tnet-t)/(Tau_j))))*Salcycl</f>
        <v>6.1235006009753628E-3</v>
      </c>
      <c r="P144" s="169">
        <f>(INDEX(Models!$BJ144:$BT144,,T144)*(1-R144)+INDEX(Models!$BJ144:$BT144,,T144+1)*R144-ERP_i)*Q144*Ramure*Pc/MaxiM</f>
        <v>5.452833801080865E-5</v>
      </c>
      <c r="Q144" s="305">
        <f t="shared" si="53"/>
        <v>0.5</v>
      </c>
      <c r="R144" s="177">
        <f t="shared" si="54"/>
        <v>8.1182202409616488E-2</v>
      </c>
      <c r="S144" s="811">
        <f t="shared" si="55"/>
        <v>-1</v>
      </c>
      <c r="T144" s="176">
        <f t="shared" si="56"/>
        <v>5</v>
      </c>
      <c r="U144" s="251">
        <f t="shared" si="57"/>
        <v>-0.91881779759038351</v>
      </c>
      <c r="V144" s="383">
        <f t="shared" si="58"/>
        <v>58.12723696309628</v>
      </c>
      <c r="W144" s="402">
        <f t="shared" si="59"/>
        <v>51.384091378962502</v>
      </c>
      <c r="X144" s="157">
        <f t="shared" si="60"/>
        <v>46517</v>
      </c>
      <c r="Y144" s="385">
        <f t="shared" si="61"/>
        <v>48.628998238253196</v>
      </c>
      <c r="Z144" s="385">
        <f t="shared" si="62"/>
        <v>52.225943192587387</v>
      </c>
      <c r="AA144" s="386">
        <f t="shared" si="63"/>
        <v>55.513836336801567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5.9226552534877776E-2</v>
      </c>
      <c r="AD144" s="231">
        <f>(INDEX(Models!$BJ144:$BT144,,AH144)*(1-AF144)+INDEX(Models!$BJ144:$BT144,,AH144+1)*AF144-ERP_i)*AE144*Ramure*Pc/MaxiM</f>
        <v>2.918186829230097E-4</v>
      </c>
      <c r="AE144" s="305">
        <f t="shared" si="65"/>
        <v>0.5</v>
      </c>
      <c r="AF144" s="177">
        <f t="shared" si="66"/>
        <v>0.60616976878359541</v>
      </c>
      <c r="AG144" s="811">
        <f t="shared" ref="AG144:AG207" si="74">INDEX(Echel_vg,AH144)</f>
        <v>2</v>
      </c>
      <c r="AH144" s="176">
        <f t="shared" si="67"/>
        <v>8</v>
      </c>
      <c r="AI144" s="225">
        <f t="shared" si="68"/>
        <v>2.6061697687835954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55.465911990577624</v>
      </c>
      <c r="C145" s="841"/>
      <c r="D145" s="393">
        <f t="shared" si="50"/>
        <v>59.569868217535785</v>
      </c>
      <c r="E145" s="385">
        <f t="shared" si="72"/>
        <v>59.943361640108691</v>
      </c>
      <c r="F145" s="385">
        <f t="shared" si="51"/>
        <v>59.946615374512227</v>
      </c>
      <c r="G145" s="110">
        <f t="shared" si="73"/>
        <v>0.95299892458327762</v>
      </c>
      <c r="H145" s="414" t="b">
        <f>Wh_hp&gt;='2026'!Maxi_hp</f>
        <v>0</v>
      </c>
      <c r="I145" s="390">
        <f>IF(H145,Wh_hp,'2026'!Maxi_hp)</f>
        <v>59.946831074462033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6.8893156049488535E-2</v>
      </c>
      <c r="M145" s="845"/>
      <c r="N145" s="845"/>
      <c r="O145" s="48">
        <f>IF(t&lt;Tnet,'2026'!Resal+('2026'!Salim-'2026'!Resal)*(1-EXP(('2026'!Tnet-t)/('2026'!Tau_j))),Resal+(Salim-Resal)*(1-EXP((Tnet-t)/(Tau_j))))*Salcycl</f>
        <v>6.2307720547156772E-3</v>
      </c>
      <c r="P145" s="169">
        <f>(INDEX(Models!$BJ145:$BT145,,T145)*(1-R145)+INDEX(Models!$BJ145:$BT145,,T145+1)*R145-ERP_i)*Q145*Ramure*Pc/MaxiM</f>
        <v>5.8183592069562514E-5</v>
      </c>
      <c r="Q145" s="305">
        <f t="shared" si="53"/>
        <v>0.5</v>
      </c>
      <c r="R145" s="177">
        <f t="shared" si="54"/>
        <v>8.473850346798073E-2</v>
      </c>
      <c r="S145" s="811">
        <f t="shared" si="55"/>
        <v>-1</v>
      </c>
      <c r="T145" s="176">
        <f t="shared" si="56"/>
        <v>5</v>
      </c>
      <c r="U145" s="251">
        <f t="shared" si="57"/>
        <v>-0.91526149653201927</v>
      </c>
      <c r="V145" s="383">
        <f t="shared" si="58"/>
        <v>58.20121500288716</v>
      </c>
      <c r="W145" s="402">
        <f t="shared" si="59"/>
        <v>55.465911990577624</v>
      </c>
      <c r="X145" s="157">
        <f t="shared" si="60"/>
        <v>46518</v>
      </c>
      <c r="Y145" s="385">
        <f t="shared" si="61"/>
        <v>52.490675547446052</v>
      </c>
      <c r="Z145" s="385">
        <f t="shared" si="62"/>
        <v>56.374492238439551</v>
      </c>
      <c r="AA145" s="386">
        <f t="shared" si="63"/>
        <v>59.929046922525394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5.9312718399828213E-2</v>
      </c>
      <c r="AD145" s="231">
        <f>(INDEX(Models!$BJ145:$BT145,,AH145)*(1-AF145)+INDEX(Models!$BJ145:$BT145,,AH145+1)*AF145-ERP_i)*AE145*Ramure*Pc/MaxiM</f>
        <v>3.14160750977036E-4</v>
      </c>
      <c r="AE145" s="305">
        <f t="shared" si="65"/>
        <v>0.5</v>
      </c>
      <c r="AF145" s="177">
        <f t="shared" si="66"/>
        <v>0.60972606984195954</v>
      </c>
      <c r="AG145" s="811">
        <f t="shared" si="74"/>
        <v>2</v>
      </c>
      <c r="AH145" s="176">
        <f t="shared" si="67"/>
        <v>8</v>
      </c>
      <c r="AI145" s="225">
        <f t="shared" si="68"/>
        <v>2.6097260698419595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40.442380699989251</v>
      </c>
      <c r="C146" s="841"/>
      <c r="D146" s="393">
        <f t="shared" si="50"/>
        <v>43.435688153389115</v>
      </c>
      <c r="E146" s="385">
        <f t="shared" si="72"/>
        <v>43.712745168513706</v>
      </c>
      <c r="F146" s="385">
        <f t="shared" si="51"/>
        <v>43.714264364580274</v>
      </c>
      <c r="G146" s="110">
        <f t="shared" si="73"/>
        <v>0.69401887433568088</v>
      </c>
      <c r="H146" s="414" t="b">
        <f>Wh_hp&gt;='2026'!Maxi_hp</f>
        <v>0</v>
      </c>
      <c r="I146" s="390">
        <f>IF(H146,Wh_hp,'2026'!Maxi_hp)</f>
        <v>59.238727729135654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6.8913549678993768E-2</v>
      </c>
      <c r="M146" s="845"/>
      <c r="N146" s="845"/>
      <c r="O146" s="48">
        <f>IF(t&lt;Tnet,'2026'!Resal+('2026'!Salim-'2026'!Resal)*(1-EXP(('2026'!Tnet-t)/('2026'!Tau_j))),Resal+(Salim-Resal)*(1-EXP((Tnet-t)/(Tau_j))))*Salcycl</f>
        <v>6.3381289382885798E-3</v>
      </c>
      <c r="P146" s="169">
        <f>(INDEX(Models!$BJ146:$BT146,,T146)*(1-R146)+INDEX(Models!$BJ146:$BT146,,T146+1)*R146-ERP_i)*Q146*Ramure*Pc/MaxiM</f>
        <v>6.1737782131055487E-5</v>
      </c>
      <c r="Q146" s="305">
        <f t="shared" si="53"/>
        <v>0.5</v>
      </c>
      <c r="R146" s="177">
        <f t="shared" si="54"/>
        <v>8.8375891115809457E-2</v>
      </c>
      <c r="S146" s="811">
        <f t="shared" si="55"/>
        <v>-1</v>
      </c>
      <c r="T146" s="176">
        <f t="shared" si="56"/>
        <v>5</v>
      </c>
      <c r="U146" s="251">
        <f t="shared" si="57"/>
        <v>-0.91162410888419054</v>
      </c>
      <c r="V146" s="383">
        <f t="shared" si="58"/>
        <v>58.271166424123528</v>
      </c>
      <c r="W146" s="402">
        <f t="shared" si="59"/>
        <v>40.442380699989251</v>
      </c>
      <c r="X146" s="157">
        <f t="shared" si="60"/>
        <v>46519</v>
      </c>
      <c r="Y146" s="385">
        <f t="shared" si="61"/>
        <v>38.27682152830446</v>
      </c>
      <c r="Z146" s="385">
        <f t="shared" si="62"/>
        <v>41.109847012710738</v>
      </c>
      <c r="AA146" s="386">
        <f t="shared" si="63"/>
        <v>43.705957809519724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5.9399471534828642E-2</v>
      </c>
      <c r="AD146" s="231">
        <f>(INDEX(Models!$BJ146:$BT146,,AH146)*(1-AF146)+INDEX(Models!$BJ146:$BT146,,AH146+1)*AF146-ERP_i)*AE146*Ramure*Pc/MaxiM</f>
        <v>3.3756557028675376E-4</v>
      </c>
      <c r="AE146" s="305">
        <f t="shared" si="65"/>
        <v>0.5</v>
      </c>
      <c r="AF146" s="177">
        <f t="shared" si="66"/>
        <v>0.61336345748978838</v>
      </c>
      <c r="AG146" s="811">
        <f t="shared" si="74"/>
        <v>2</v>
      </c>
      <c r="AH146" s="176">
        <f t="shared" si="67"/>
        <v>8</v>
      </c>
      <c r="AI146" s="225">
        <f t="shared" si="68"/>
        <v>2.6133634574897884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41.136847252704619</v>
      </c>
      <c r="C147" s="841"/>
      <c r="D147" s="393">
        <f t="shared" si="50"/>
        <v>44.182522751551396</v>
      </c>
      <c r="E147" s="385">
        <f t="shared" si="72"/>
        <v>44.469151814667306</v>
      </c>
      <c r="F147" s="385">
        <f t="shared" si="51"/>
        <v>44.470829762009807</v>
      </c>
      <c r="G147" s="110">
        <f t="shared" si="73"/>
        <v>0.70513708460233748</v>
      </c>
      <c r="H147" s="414" t="b">
        <f>Wh_hp&gt;='2026'!Maxi_hp</f>
        <v>0</v>
      </c>
      <c r="I147" s="390">
        <f>IF(H147,Wh_hp,'2026'!Maxi_hp)</f>
        <v>65.408960512497771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6.8933942861826192E-2</v>
      </c>
      <c r="M147" s="845"/>
      <c r="N147" s="845"/>
      <c r="O147" s="48">
        <f>IF(t&lt;Tnet,'2026'!Resal+('2026'!Salim-'2026'!Resal)*(1-EXP(('2026'!Tnet-t)/('2026'!Tau_j))),Resal+(Salim-Resal)*(1-EXP((Tnet-t)/(Tau_j))))*Salcycl</f>
        <v>6.4455707253083085E-3</v>
      </c>
      <c r="P147" s="169">
        <f>(INDEX(Models!$BJ147:$BT147,,T147)*(1-R147)+INDEX(Models!$BJ147:$BT147,,T147+1)*R147-ERP_i)*Q147*Ramure*Pc/MaxiM</f>
        <v>6.5189609594246692E-5</v>
      </c>
      <c r="Q147" s="305">
        <f t="shared" si="53"/>
        <v>0.5</v>
      </c>
      <c r="R147" s="177">
        <f t="shared" si="54"/>
        <v>9.2093994241261634E-2</v>
      </c>
      <c r="S147" s="811">
        <f t="shared" si="55"/>
        <v>-1</v>
      </c>
      <c r="T147" s="176">
        <f t="shared" si="56"/>
        <v>5</v>
      </c>
      <c r="U147" s="251">
        <f t="shared" si="57"/>
        <v>-0.90790600575873837</v>
      </c>
      <c r="V147" s="383">
        <f t="shared" si="58"/>
        <v>58.337192249268867</v>
      </c>
      <c r="W147" s="402">
        <f t="shared" si="59"/>
        <v>41.136847252704619</v>
      </c>
      <c r="X147" s="157">
        <f t="shared" si="60"/>
        <v>46520</v>
      </c>
      <c r="Y147" s="385">
        <f t="shared" si="61"/>
        <v>38.934052593982571</v>
      </c>
      <c r="Z147" s="385">
        <f t="shared" si="62"/>
        <v>41.816638352873177</v>
      </c>
      <c r="AA147" s="386">
        <f t="shared" si="63"/>
        <v>44.461510517677233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5.9486781578248243E-2</v>
      </c>
      <c r="AD147" s="231">
        <f>(INDEX(Models!$BJ147:$BT147,,AH147)*(1-AF147)+INDEX(Models!$BJ147:$BT147,,AH147+1)*AF147-ERP_i)*AE147*Ramure*Pc/MaxiM</f>
        <v>3.6206016980747259E-4</v>
      </c>
      <c r="AE147" s="305">
        <f t="shared" si="65"/>
        <v>0.5</v>
      </c>
      <c r="AF147" s="177">
        <f t="shared" si="66"/>
        <v>0.61708156061524067</v>
      </c>
      <c r="AG147" s="811">
        <f t="shared" si="74"/>
        <v>2</v>
      </c>
      <c r="AH147" s="176">
        <f t="shared" si="67"/>
        <v>8</v>
      </c>
      <c r="AI147" s="225">
        <f t="shared" si="68"/>
        <v>2.6170815606152407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49.769949757525843</v>
      </c>
      <c r="C148" s="841"/>
      <c r="D148" s="393">
        <f t="shared" si="50"/>
        <v>53.455970700956193</v>
      </c>
      <c r="E148" s="385">
        <f t="shared" si="72"/>
        <v>53.808583538967476</v>
      </c>
      <c r="F148" s="385">
        <f t="shared" si="51"/>
        <v>53.8114931058062</v>
      </c>
      <c r="G148" s="110">
        <f t="shared" si="73"/>
        <v>0.85222168718507818</v>
      </c>
      <c r="H148" s="414" t="b">
        <f>Wh_hp&gt;='2026'!Maxi_hp</f>
        <v>0</v>
      </c>
      <c r="I148" s="390">
        <f>IF(H148,Wh_hp,'2026'!Maxi_hp)</f>
        <v>63.832836981428784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6.8954335597995575E-2</v>
      </c>
      <c r="M148" s="845"/>
      <c r="N148" s="845"/>
      <c r="O148" s="48">
        <f>IF(t&lt;Tnet,'2026'!Resal+('2026'!Salim-'2026'!Resal)*(1-EXP(('2026'!Tnet-t)/('2026'!Tau_j))),Resal+(Salim-Resal)*(1-EXP((Tnet-t)/(Tau_j))))*Salcycl</f>
        <v>6.5530964545076125E-3</v>
      </c>
      <c r="P148" s="169">
        <f>(INDEX(Models!$BJ148:$BT148,,T148)*(1-R148)+INDEX(Models!$BJ148:$BT148,,T148+1)*R148-ERP_i)*Q148*Ramure*Pc/MaxiM</f>
        <v>6.8537487528248293E-5</v>
      </c>
      <c r="Q148" s="305">
        <f t="shared" si="53"/>
        <v>0.5</v>
      </c>
      <c r="R148" s="177">
        <f t="shared" si="54"/>
        <v>9.5892285806864042E-2</v>
      </c>
      <c r="S148" s="811">
        <f t="shared" si="55"/>
        <v>-1</v>
      </c>
      <c r="T148" s="176">
        <f t="shared" si="56"/>
        <v>5</v>
      </c>
      <c r="U148" s="251">
        <f t="shared" si="57"/>
        <v>-0.90410771419313596</v>
      </c>
      <c r="V148" s="383">
        <f t="shared" si="58"/>
        <v>58.39939349326535</v>
      </c>
      <c r="W148" s="402">
        <f t="shared" si="59"/>
        <v>49.769949757525843</v>
      </c>
      <c r="X148" s="157">
        <f t="shared" si="60"/>
        <v>46521</v>
      </c>
      <c r="Y148" s="385">
        <f t="shared" si="61"/>
        <v>47.101802187042487</v>
      </c>
      <c r="Z148" s="385">
        <f t="shared" si="62"/>
        <v>50.590216987149837</v>
      </c>
      <c r="AA148" s="386">
        <f t="shared" si="63"/>
        <v>53.795035583647376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5.9574616165357405E-2</v>
      </c>
      <c r="AD148" s="231">
        <f>(INDEX(Models!$BJ148:$BT148,,AH148)*(1-AF148)+INDEX(Models!$BJ148:$BT148,,AH148+1)*AF148-ERP_i)*AE148*Ramure*Pc/MaxiM</f>
        <v>3.8767187084161466E-4</v>
      </c>
      <c r="AE148" s="305">
        <f t="shared" si="65"/>
        <v>0.5</v>
      </c>
      <c r="AF148" s="177">
        <f t="shared" si="66"/>
        <v>0.62087985218084274</v>
      </c>
      <c r="AG148" s="811">
        <f t="shared" si="74"/>
        <v>2</v>
      </c>
      <c r="AH148" s="176">
        <f t="shared" si="67"/>
        <v>8</v>
      </c>
      <c r="AI148" s="225">
        <f t="shared" si="68"/>
        <v>2.6208798521808427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52.654472928424788</v>
      </c>
      <c r="C149" s="841"/>
      <c r="D149" s="393">
        <f t="shared" si="50"/>
        <v>56.555363753931452</v>
      </c>
      <c r="E149" s="385">
        <f t="shared" si="72"/>
        <v>56.934588234416765</v>
      </c>
      <c r="F149" s="385">
        <f t="shared" si="51"/>
        <v>56.938095704530291</v>
      </c>
      <c r="G149" s="110">
        <f t="shared" si="73"/>
        <v>0.90072640378552737</v>
      </c>
      <c r="H149" s="414" t="b">
        <f>Wh_hp&gt;='2026'!Maxi_hp</f>
        <v>0</v>
      </c>
      <c r="I149" s="390">
        <f>IF(H149,Wh_hp,'2026'!Maxi_hp)</f>
        <v>64.337487236928794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6.8974727887511689E-2</v>
      </c>
      <c r="M149" s="845"/>
      <c r="N149" s="845"/>
      <c r="O149" s="48">
        <f>IF(t&lt;Tnet,'2026'!Resal+('2026'!Salim-'2026'!Resal)*(1-EXP(('2026'!Tnet-t)/('2026'!Tau_j))),Resal+(Salim-Resal)*(1-EXP((Tnet-t)/(Tau_j))))*Salcycl</f>
        <v>6.6607047182625414E-3</v>
      </c>
      <c r="P149" s="169">
        <f>(INDEX(Models!$BJ149:$BT149,,T149)*(1-R149)+INDEX(Models!$BJ149:$BT149,,T149+1)*R149-ERP_i)*Q149*Ramure*Pc/MaxiM</f>
        <v>7.1780376417150834E-5</v>
      </c>
      <c r="Q149" s="305">
        <f t="shared" si="53"/>
        <v>0.5</v>
      </c>
      <c r="R149" s="177">
        <f t="shared" si="54"/>
        <v>9.9770077521903588E-2</v>
      </c>
      <c r="S149" s="811">
        <f t="shared" si="55"/>
        <v>-1</v>
      </c>
      <c r="T149" s="176">
        <f t="shared" si="56"/>
        <v>5</v>
      </c>
      <c r="U149" s="251">
        <f t="shared" si="57"/>
        <v>-0.90022992247809641</v>
      </c>
      <c r="V149" s="383">
        <f t="shared" si="58"/>
        <v>58.457192671274079</v>
      </c>
      <c r="W149" s="402">
        <f t="shared" si="59"/>
        <v>52.654472928424788</v>
      </c>
      <c r="X149" s="157">
        <f t="shared" si="60"/>
        <v>46522</v>
      </c>
      <c r="Y149" s="385">
        <f t="shared" si="61"/>
        <v>49.830296317915192</v>
      </c>
      <c r="Z149" s="385">
        <f t="shared" si="62"/>
        <v>53.5219588667563</v>
      </c>
      <c r="AA149" s="386">
        <f t="shared" si="63"/>
        <v>56.917844885744628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5.9662940959994873E-2</v>
      </c>
      <c r="AD149" s="231">
        <f>(INDEX(Models!$BJ149:$BT149,,AH149)*(1-AF149)+INDEX(Models!$BJ149:$BT149,,AH149+1)*AF149-ERP_i)*AE149*Ramure*Pc/MaxiM</f>
        <v>4.1443300958861611E-4</v>
      </c>
      <c r="AE149" s="305">
        <f t="shared" si="65"/>
        <v>0.5</v>
      </c>
      <c r="AF149" s="177">
        <f t="shared" si="66"/>
        <v>0.62475764389588262</v>
      </c>
      <c r="AG149" s="811">
        <f t="shared" si="74"/>
        <v>2</v>
      </c>
      <c r="AH149" s="176">
        <f t="shared" si="67"/>
        <v>8</v>
      </c>
      <c r="AI149" s="225">
        <f t="shared" si="68"/>
        <v>2.6247576438958826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50.190662038328021</v>
      </c>
      <c r="C150" s="841"/>
      <c r="D150" s="393">
        <f t="shared" si="50"/>
        <v>53.910202945222998</v>
      </c>
      <c r="E150" s="385">
        <f t="shared" si="72"/>
        <v>54.277574938926364</v>
      </c>
      <c r="F150" s="385">
        <f t="shared" si="51"/>
        <v>54.280798000148181</v>
      </c>
      <c r="G150" s="110">
        <f t="shared" si="73"/>
        <v>0.85779891356447058</v>
      </c>
      <c r="H150" s="414" t="b">
        <f>Wh_hp&gt;='2026'!Maxi_hp</f>
        <v>0</v>
      </c>
      <c r="I150" s="390">
        <f>IF(H150,Wh_hp,'2026'!Maxi_hp)</f>
        <v>55.759884023555387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6.8995119730384302E-2</v>
      </c>
      <c r="M150" s="845"/>
      <c r="N150" s="845"/>
      <c r="O150" s="48">
        <f>IF(t&lt;Tnet,'2026'!Resal+('2026'!Salim-'2026'!Resal)*(1-EXP(('2026'!Tnet-t)/('2026'!Tau_j))),Resal+(Salim-Resal)*(1-EXP((Tnet-t)/(Tau_j))))*Salcycl</f>
        <v>6.7683936527514407E-3</v>
      </c>
      <c r="P150" s="169">
        <f>(INDEX(Models!$BJ150:$BT150,,T150)*(1-R150)+INDEX(Models!$BJ150:$BT150,,T150+1)*R150-ERP_i)*Q150*Ramure*Pc/MaxiM</f>
        <v>7.4513094181385899E-5</v>
      </c>
      <c r="Q150" s="305">
        <f t="shared" si="53"/>
        <v>0.5</v>
      </c>
      <c r="R150" s="177">
        <f t="shared" si="54"/>
        <v>0.10372651498302976</v>
      </c>
      <c r="S150" s="811">
        <f t="shared" si="55"/>
        <v>-1</v>
      </c>
      <c r="T150" s="176">
        <f t="shared" si="56"/>
        <v>5</v>
      </c>
      <c r="U150" s="251">
        <f t="shared" si="57"/>
        <v>-0.89627348501697024</v>
      </c>
      <c r="V150" s="383">
        <f t="shared" si="58"/>
        <v>58.510102469203019</v>
      </c>
      <c r="W150" s="402">
        <f t="shared" si="59"/>
        <v>50.190662038328021</v>
      </c>
      <c r="X150" s="157">
        <f t="shared" si="60"/>
        <v>46523</v>
      </c>
      <c r="Y150" s="385">
        <f t="shared" si="61"/>
        <v>47.499423159926565</v>
      </c>
      <c r="Z150" s="385">
        <f t="shared" si="62"/>
        <v>51.019521128794622</v>
      </c>
      <c r="AA150" s="386">
        <f t="shared" si="63"/>
        <v>54.261754259572292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5.9751719696856435E-2</v>
      </c>
      <c r="AD150" s="231">
        <f>(INDEX(Models!$BJ150:$BT150,,AH150)*(1-AF150)+INDEX(Models!$BJ150:$BT150,,AH150+1)*AF150-ERP_i)*AE150*Ramure*Pc/MaxiM</f>
        <v>4.4026716758891116E-4</v>
      </c>
      <c r="AE150" s="305">
        <f t="shared" si="65"/>
        <v>0.5</v>
      </c>
      <c r="AF150" s="177">
        <f t="shared" si="66"/>
        <v>0.62871408135700868</v>
      </c>
      <c r="AG150" s="811">
        <f t="shared" si="74"/>
        <v>2</v>
      </c>
      <c r="AH150" s="176">
        <f t="shared" si="67"/>
        <v>8</v>
      </c>
      <c r="AI150" s="225">
        <f t="shared" si="68"/>
        <v>2.6287140813570087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53.44699119578366</v>
      </c>
      <c r="C151" s="841"/>
      <c r="D151" s="393">
        <f t="shared" si="50"/>
        <v>57.409110285459313</v>
      </c>
      <c r="E151" s="385">
        <f t="shared" si="72"/>
        <v>57.806597754428864</v>
      </c>
      <c r="F151" s="385">
        <f t="shared" si="51"/>
        <v>57.810474637779308</v>
      </c>
      <c r="G151" s="110">
        <f t="shared" si="73"/>
        <v>0.91270499020875395</v>
      </c>
      <c r="H151" s="414" t="b">
        <f>Wh_hp&gt;='2026'!Maxi_hp</f>
        <v>0</v>
      </c>
      <c r="I151" s="390">
        <f>IF(H151,Wh_hp,'2026'!Maxi_hp)</f>
        <v>59.143869986274652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6.9015511126623186E-2</v>
      </c>
      <c r="M151" s="845"/>
      <c r="N151" s="845"/>
      <c r="O151" s="48">
        <f>IF(t&lt;Tnet,'2026'!Resal+('2026'!Salim-'2026'!Resal)*(1-EXP(('2026'!Tnet-t)/('2026'!Tau_j))),Resal+(Salim-Resal)*(1-EXP((Tnet-t)/(Tau_j))))*Salcycl</f>
        <v>6.8761609299017564E-3</v>
      </c>
      <c r="P151" s="169">
        <f>(INDEX(Models!$BJ151:$BT151,,T151)*(1-R151)+INDEX(Models!$BJ151:$BT151,,T151+1)*R151-ERP_i)*Q151*Ramure*Pc/MaxiM</f>
        <v>7.6615500045148149E-5</v>
      </c>
      <c r="Q151" s="305">
        <f t="shared" si="53"/>
        <v>0.5</v>
      </c>
      <c r="R151" s="177">
        <f t="shared" si="54"/>
        <v>0.1077605733430036</v>
      </c>
      <c r="S151" s="811">
        <f t="shared" si="55"/>
        <v>-1</v>
      </c>
      <c r="T151" s="176">
        <f t="shared" si="56"/>
        <v>5</v>
      </c>
      <c r="U151" s="251">
        <f t="shared" si="57"/>
        <v>-0.8922394266569964</v>
      </c>
      <c r="V151" s="383">
        <f t="shared" si="58"/>
        <v>58.55833059594201</v>
      </c>
      <c r="W151" s="402">
        <f t="shared" si="59"/>
        <v>53.44699119578366</v>
      </c>
      <c r="X151" s="157">
        <f t="shared" si="60"/>
        <v>46524</v>
      </c>
      <c r="Y151" s="385">
        <f t="shared" si="61"/>
        <v>50.579406014584066</v>
      </c>
      <c r="Z151" s="385">
        <f t="shared" si="62"/>
        <v>54.328945991132805</v>
      </c>
      <c r="AA151" s="386">
        <f t="shared" si="63"/>
        <v>57.786971177233816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5.9840914234718712E-2</v>
      </c>
      <c r="AD151" s="231">
        <f>(INDEX(Models!$BJ151:$BT151,,AH151)*(1-AF151)+INDEX(Models!$BJ151:$BT151,,AH151+1)*AF151-ERP_i)*AE151*Ramure*Pc/MaxiM</f>
        <v>4.6447860812708178E-4</v>
      </c>
      <c r="AE151" s="305">
        <f t="shared" si="65"/>
        <v>0.5</v>
      </c>
      <c r="AF151" s="177">
        <f t="shared" si="66"/>
        <v>0.63274813971698229</v>
      </c>
      <c r="AG151" s="811">
        <f t="shared" si="74"/>
        <v>2</v>
      </c>
      <c r="AH151" s="176">
        <f t="shared" si="67"/>
        <v>8</v>
      </c>
      <c r="AI151" s="225">
        <f t="shared" si="68"/>
        <v>2.6327481397169823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51.414323763139784</v>
      </c>
      <c r="C152" s="841"/>
      <c r="D152" s="393">
        <f t="shared" si="50"/>
        <v>55.226967267378114</v>
      </c>
      <c r="E152" s="385">
        <f t="shared" si="72"/>
        <v>55.6153853271312</v>
      </c>
      <c r="F152" s="385">
        <f t="shared" si="51"/>
        <v>55.61896653793665</v>
      </c>
      <c r="G152" s="110">
        <f t="shared" si="73"/>
        <v>0.87733441269469004</v>
      </c>
      <c r="H152" s="414" t="b">
        <f>Wh_hp&gt;='2026'!Maxi_hp</f>
        <v>0</v>
      </c>
      <c r="I152" s="390">
        <f>IF(H152,Wh_hp,'2026'!Maxi_hp)</f>
        <v>63.972000087795209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6.903590207623822E-2</v>
      </c>
      <c r="M152" s="845"/>
      <c r="N152" s="845"/>
      <c r="O152" s="48">
        <f>IF(t&lt;Tnet,'2026'!Resal+('2026'!Salim-'2026'!Resal)*(1-EXP(('2026'!Tnet-t)/('2026'!Tau_j))),Resal+(Salim-Resal)*(1-EXP((Tnet-t)/(Tau_j))))*Salcycl</f>
        <v>6.9840037512714078E-3</v>
      </c>
      <c r="P152" s="169">
        <f>(INDEX(Models!$BJ152:$BT152,,T152)*(1-R152)+INDEX(Models!$BJ152:$BT152,,T152+1)*R152-ERP_i)*Q152*Ramure*Pc/MaxiM</f>
        <v>7.8067188344375154E-5</v>
      </c>
      <c r="Q152" s="305">
        <f t="shared" si="53"/>
        <v>0.5</v>
      </c>
      <c r="R152" s="177">
        <f t="shared" si="54"/>
        <v>0.1118710535669607</v>
      </c>
      <c r="S152" s="811">
        <f t="shared" si="55"/>
        <v>-1</v>
      </c>
      <c r="T152" s="176">
        <f t="shared" si="56"/>
        <v>5</v>
      </c>
      <c r="U152" s="251">
        <f t="shared" si="57"/>
        <v>-0.8881289464330393</v>
      </c>
      <c r="V152" s="383">
        <f t="shared" si="58"/>
        <v>58.602078846125799</v>
      </c>
      <c r="W152" s="402">
        <f t="shared" si="59"/>
        <v>51.414323763139784</v>
      </c>
      <c r="X152" s="157">
        <f t="shared" si="60"/>
        <v>46525</v>
      </c>
      <c r="Y152" s="385">
        <f t="shared" si="61"/>
        <v>48.656551544744701</v>
      </c>
      <c r="Z152" s="385">
        <f t="shared" si="62"/>
        <v>52.264691681729353</v>
      </c>
      <c r="AA152" s="386">
        <f t="shared" si="63"/>
        <v>55.596624320541657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5.9930484620830372E-2</v>
      </c>
      <c r="AD152" s="231">
        <f>(INDEX(Models!$BJ152:$BT152,,AH152)*(1-AF152)+INDEX(Models!$BJ152:$BT152,,AH152+1)*AF152-ERP_i)*AE152*Ramure*Pc/MaxiM</f>
        <v>4.8704033025689388E-4</v>
      </c>
      <c r="AE152" s="305">
        <f t="shared" si="65"/>
        <v>0.5</v>
      </c>
      <c r="AF152" s="177">
        <f t="shared" si="66"/>
        <v>0.63685861994093962</v>
      </c>
      <c r="AG152" s="811">
        <f t="shared" si="74"/>
        <v>2</v>
      </c>
      <c r="AH152" s="176">
        <f t="shared" si="67"/>
        <v>8</v>
      </c>
      <c r="AI152" s="225">
        <f t="shared" si="68"/>
        <v>2.6368586199409396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54.265206866449418</v>
      </c>
      <c r="C153" s="841"/>
      <c r="D153" s="393">
        <f t="shared" si="50"/>
        <v>58.290535113873482</v>
      </c>
      <c r="E153" s="385">
        <f t="shared" si="72"/>
        <v>58.706879539149789</v>
      </c>
      <c r="F153" s="385">
        <f t="shared" si="51"/>
        <v>58.711015179199933</v>
      </c>
      <c r="G153" s="110">
        <f t="shared" si="73"/>
        <v>0.92536352824369994</v>
      </c>
      <c r="H153" s="414" t="b">
        <f>Wh_hp&gt;='2026'!Maxi_hp</f>
        <v>0</v>
      </c>
      <c r="I153" s="390">
        <f>IF(H153,Wh_hp,'2026'!Maxi_hp)</f>
        <v>63.050548226982031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6.9056292579239176E-2</v>
      </c>
      <c r="M153" s="845"/>
      <c r="N153" s="845"/>
      <c r="O153" s="48">
        <f>IF(t&lt;Tnet,'2026'!Resal+('2026'!Salim-'2026'!Resal)*(1-EXP(('2026'!Tnet-t)/('2026'!Tau_j))),Resal+(Salim-Resal)*(1-EXP((Tnet-t)/(Tau_j))))*Salcycl</f>
        <v>7.0919188440029691E-3</v>
      </c>
      <c r="P153" s="169">
        <f>(INDEX(Models!$BJ153:$BT153,,T153)*(1-R153)+INDEX(Models!$BJ153:$BT153,,T153+1)*R153-ERP_i)*Q153*Ramure*Pc/MaxiM</f>
        <v>7.8846647280551556E-5</v>
      </c>
      <c r="Q153" s="305">
        <f t="shared" si="53"/>
        <v>0.5</v>
      </c>
      <c r="R153" s="177">
        <f t="shared" si="54"/>
        <v>0.11605657933425717</v>
      </c>
      <c r="S153" s="811">
        <f t="shared" si="55"/>
        <v>-1</v>
      </c>
      <c r="T153" s="176">
        <f t="shared" si="56"/>
        <v>5</v>
      </c>
      <c r="U153" s="251">
        <f t="shared" si="57"/>
        <v>-0.88394342066574283</v>
      </c>
      <c r="V153" s="383">
        <f t="shared" si="58"/>
        <v>58.641548994542653</v>
      </c>
      <c r="W153" s="402">
        <f t="shared" si="59"/>
        <v>54.265206866449418</v>
      </c>
      <c r="X153" s="157">
        <f t="shared" si="60"/>
        <v>46526</v>
      </c>
      <c r="Y153" s="385">
        <f t="shared" si="61"/>
        <v>51.352823661816174</v>
      </c>
      <c r="Z153" s="385">
        <f t="shared" si="62"/>
        <v>55.162114800789041</v>
      </c>
      <c r="AA153" s="386">
        <f t="shared" si="63"/>
        <v>58.684373751343827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6.002038916661577E-2</v>
      </c>
      <c r="AD153" s="231">
        <f>(INDEX(Models!$BJ153:$BT153,,AH153)*(1-AF153)+INDEX(Models!$BJ153:$BT153,,AH153+1)*AF153-ERP_i)*AE153*Ramure*Pc/MaxiM</f>
        <v>5.0792313638250389E-4</v>
      </c>
      <c r="AE153" s="305">
        <f t="shared" si="65"/>
        <v>0.5</v>
      </c>
      <c r="AF153" s="177">
        <f t="shared" si="66"/>
        <v>0.64104414570823609</v>
      </c>
      <c r="AG153" s="811">
        <f t="shared" si="74"/>
        <v>2</v>
      </c>
      <c r="AH153" s="176">
        <f t="shared" si="67"/>
        <v>8</v>
      </c>
      <c r="AI153" s="225">
        <f t="shared" si="68"/>
        <v>2.6410441457082361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49.16203916227996</v>
      </c>
      <c r="C154" s="841"/>
      <c r="D154" s="393">
        <f t="shared" si="50"/>
        <v>52.809977197120617</v>
      </c>
      <c r="E154" s="385">
        <f t="shared" si="72"/>
        <v>53.19296133020228</v>
      </c>
      <c r="F154" s="385">
        <f t="shared" si="51"/>
        <v>53.196187498139956</v>
      </c>
      <c r="G154" s="110">
        <f t="shared" si="73"/>
        <v>0.83782722581544722</v>
      </c>
      <c r="H154" s="414" t="b">
        <f>Wh_hp&gt;='2026'!Maxi_hp</f>
        <v>0</v>
      </c>
      <c r="I154" s="390">
        <f>IF(H154,Wh_hp,'2026'!Maxi_hp)</f>
        <v>62.803447200223168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6.9076682635635711E-2</v>
      </c>
      <c r="M154" s="845"/>
      <c r="N154" s="845"/>
      <c r="O154" s="48">
        <f>IF(t&lt;Tnet,'2026'!Resal+('2026'!Salim-'2026'!Resal)*(1-EXP(('2026'!Tnet-t)/('2026'!Tau_j))),Resal+(Salim-Resal)*(1-EXP((Tnet-t)/(Tau_j))))*Salcycl</f>
        <v>7.1999024589782532E-3</v>
      </c>
      <c r="P154" s="169">
        <f>(INDEX(Models!$BJ154:$BT154,,T154)*(1-R154)+INDEX(Models!$BJ154:$BT154,,T154+1)*R154-ERP_i)*Q154*Ramure*Pc/MaxiM</f>
        <v>7.8931316819807023E-5</v>
      </c>
      <c r="Q154" s="305">
        <f t="shared" si="53"/>
        <v>0.5</v>
      </c>
      <c r="R154" s="177">
        <f t="shared" si="54"/>
        <v>0.12031559464191777</v>
      </c>
      <c r="S154" s="811">
        <f t="shared" si="55"/>
        <v>-1</v>
      </c>
      <c r="T154" s="176">
        <f t="shared" si="56"/>
        <v>5</v>
      </c>
      <c r="U154" s="251">
        <f t="shared" si="57"/>
        <v>-0.87968440535808223</v>
      </c>
      <c r="V154" s="383">
        <f t="shared" si="58"/>
        <v>58.67694278612003</v>
      </c>
      <c r="W154" s="402">
        <f t="shared" si="59"/>
        <v>49.16203916227996</v>
      </c>
      <c r="X154" s="157">
        <f t="shared" si="60"/>
        <v>46527</v>
      </c>
      <c r="Y154" s="385">
        <f t="shared" si="61"/>
        <v>46.525950454857345</v>
      </c>
      <c r="Z154" s="385">
        <f t="shared" si="62"/>
        <v>49.978284555791227</v>
      </c>
      <c r="AA154" s="386">
        <f t="shared" si="63"/>
        <v>53.174643456380856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6.0110584534743584E-2</v>
      </c>
      <c r="AD154" s="231">
        <f>(INDEX(Models!$BJ154:$BT154,,AH154)*(1-AF154)+INDEX(Models!$BJ154:$BT154,,AH154+1)*AF154-ERP_i)*AE154*Ramure*Pc/MaxiM</f>
        <v>5.2709580484217261E-4</v>
      </c>
      <c r="AE154" s="305">
        <f t="shared" si="65"/>
        <v>0.5</v>
      </c>
      <c r="AF154" s="177">
        <f t="shared" si="66"/>
        <v>0.6453031610158968</v>
      </c>
      <c r="AG154" s="811">
        <f t="shared" si="74"/>
        <v>2</v>
      </c>
      <c r="AH154" s="176">
        <f t="shared" si="67"/>
        <v>8</v>
      </c>
      <c r="AI154" s="225">
        <f t="shared" si="68"/>
        <v>2.6453031610158968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49.079280291253404</v>
      </c>
      <c r="C155" s="841"/>
      <c r="D155" s="393">
        <f t="shared" si="50"/>
        <v>52.722232176922994</v>
      </c>
      <c r="E155" s="385">
        <f t="shared" si="72"/>
        <v>53.110360052387129</v>
      </c>
      <c r="F155" s="385">
        <f t="shared" si="51"/>
        <v>53.113544301680548</v>
      </c>
      <c r="G155" s="110">
        <f t="shared" si="73"/>
        <v>0.83596773297495386</v>
      </c>
      <c r="H155" s="414" t="b">
        <f>Wh_hp&gt;='2026'!Maxi_hp</f>
        <v>0</v>
      </c>
      <c r="I155" s="390">
        <f>IF(H155,Wh_hp,'2026'!Maxi_hp)</f>
        <v>61.178268574854386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6.9097072245437707E-2</v>
      </c>
      <c r="M155" s="845"/>
      <c r="N155" s="845"/>
      <c r="O155" s="48">
        <f>IF(t&lt;Tnet,'2026'!Resal+('2026'!Salim-'2026'!Resal)*(1-EXP(('2026'!Tnet-t)/('2026'!Tau_j))),Resal+(Salim-Resal)*(1-EXP((Tnet-t)/(Tau_j))))*Salcycl</f>
        <v>7.3079503712891137E-3</v>
      </c>
      <c r="P155" s="169">
        <f>(INDEX(Models!$BJ155:$BT155,,T155)*(1-R155)+INDEX(Models!$BJ155:$BT155,,T155+1)*R155-ERP_i)*Q155*Ramure*Pc/MaxiM</f>
        <v>7.8297653236457506E-5</v>
      </c>
      <c r="Q155" s="305">
        <f t="shared" si="53"/>
        <v>0.5</v>
      </c>
      <c r="R155" s="177">
        <f t="shared" si="54"/>
        <v>0.12464636216286062</v>
      </c>
      <c r="S155" s="811">
        <f t="shared" si="55"/>
        <v>-1</v>
      </c>
      <c r="T155" s="176">
        <f t="shared" si="56"/>
        <v>5</v>
      </c>
      <c r="U155" s="251">
        <f t="shared" si="57"/>
        <v>-0.87535363783713938</v>
      </c>
      <c r="V155" s="383">
        <f t="shared" si="58"/>
        <v>58.708461938237036</v>
      </c>
      <c r="W155" s="402">
        <f t="shared" si="59"/>
        <v>49.079280291253404</v>
      </c>
      <c r="X155" s="157">
        <f t="shared" si="60"/>
        <v>46528</v>
      </c>
      <c r="Y155" s="385">
        <f t="shared" si="61"/>
        <v>46.447627387987048</v>
      </c>
      <c r="Z155" s="385">
        <f t="shared" si="62"/>
        <v>49.895242568442349</v>
      </c>
      <c r="AA155" s="386">
        <f t="shared" si="63"/>
        <v>53.091399267494772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6.0201025837517713E-2</v>
      </c>
      <c r="AD155" s="231">
        <f>(INDEX(Models!$BJ155:$BT155,,AH155)*(1-AF155)+INDEX(Models!$BJ155:$BT155,,AH155+1)*AF155-ERP_i)*AE155*Ramure*Pc/MaxiM</f>
        <v>5.4452527042165406E-4</v>
      </c>
      <c r="AE155" s="305">
        <f t="shared" si="65"/>
        <v>0.5</v>
      </c>
      <c r="AF155" s="177">
        <f t="shared" si="66"/>
        <v>0.64963392853683954</v>
      </c>
      <c r="AG155" s="811">
        <f t="shared" si="74"/>
        <v>2</v>
      </c>
      <c r="AH155" s="176">
        <f t="shared" si="67"/>
        <v>8</v>
      </c>
      <c r="AI155" s="225">
        <f t="shared" si="68"/>
        <v>2.6496339285368395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37.144928543812576</v>
      </c>
      <c r="C156" s="841"/>
      <c r="D156" s="393">
        <f t="shared" si="50"/>
        <v>39.902916859974638</v>
      </c>
      <c r="E156" s="385">
        <f t="shared" si="72"/>
        <v>40.201050175035142</v>
      </c>
      <c r="F156" s="385">
        <f t="shared" si="51"/>
        <v>40.202521015003128</v>
      </c>
      <c r="G156" s="110">
        <f t="shared" si="73"/>
        <v>0.63237597683840541</v>
      </c>
      <c r="H156" s="414" t="b">
        <f>Wh_hp&gt;='2026'!Maxi_hp</f>
        <v>0</v>
      </c>
      <c r="I156" s="390">
        <f>IF(H156,Wh_hp,'2026'!Maxi_hp)</f>
        <v>62.875998222350205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6.9117461408654934E-2</v>
      </c>
      <c r="M156" s="845"/>
      <c r="N156" s="845"/>
      <c r="O156" s="48">
        <f>IF(t&lt;Tnet,'2026'!Resal+('2026'!Salim-'2026'!Resal)*(1-EXP(('2026'!Tnet-t)/('2026'!Tau_j))),Resal+(Salim-Resal)*(1-EXP((Tnet-t)/(Tau_j))))*Salcycl</f>
        <v>7.4160578831257646E-3</v>
      </c>
      <c r="P156" s="169">
        <f>(INDEX(Models!$BJ156:$BT156,,T156)*(1-R156)+INDEX(Models!$BJ156:$BT156,,T156+1)*R156-ERP_i)*Q156*Ramure*Pc/MaxiM</f>
        <v>7.7045471238814319E-5</v>
      </c>
      <c r="Q156" s="305">
        <f t="shared" si="53"/>
        <v>0.5</v>
      </c>
      <c r="R156" s="177">
        <f t="shared" si="54"/>
        <v>0.12904696240841629</v>
      </c>
      <c r="S156" s="811">
        <f t="shared" si="55"/>
        <v>-1</v>
      </c>
      <c r="T156" s="176">
        <f t="shared" si="56"/>
        <v>5</v>
      </c>
      <c r="U156" s="251">
        <f t="shared" si="57"/>
        <v>-0.87095303759158371</v>
      </c>
      <c r="V156" s="383">
        <f t="shared" si="58"/>
        <v>58.736300834217559</v>
      </c>
      <c r="W156" s="402">
        <f t="shared" si="59"/>
        <v>37.144928543812576</v>
      </c>
      <c r="X156" s="157">
        <f t="shared" si="60"/>
        <v>46529</v>
      </c>
      <c r="Y156" s="385">
        <f t="shared" si="61"/>
        <v>35.158157155477291</v>
      </c>
      <c r="Z156" s="385">
        <f t="shared" si="62"/>
        <v>37.768628906371212</v>
      </c>
      <c r="AA156" s="386">
        <f t="shared" si="63"/>
        <v>40.191863336579026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6.0291666746448105E-2</v>
      </c>
      <c r="AD156" s="231">
        <f>(INDEX(Models!$BJ156:$BT156,,AH156)*(1-AF156)+INDEX(Models!$BJ156:$BT156,,AH156+1)*AF156-ERP_i)*AE156*Ramure*Pc/MaxiM</f>
        <v>5.5827001874407664E-4</v>
      </c>
      <c r="AE156" s="305">
        <f t="shared" si="65"/>
        <v>0.5</v>
      </c>
      <c r="AF156" s="177">
        <f t="shared" si="66"/>
        <v>0.65403452878239499</v>
      </c>
      <c r="AG156" s="811">
        <f t="shared" si="74"/>
        <v>2</v>
      </c>
      <c r="AH156" s="176">
        <f t="shared" si="67"/>
        <v>8</v>
      </c>
      <c r="AI156" s="225">
        <f t="shared" si="68"/>
        <v>2.654034528782395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19.365791158674853</v>
      </c>
      <c r="C157" s="841"/>
      <c r="D157" s="393">
        <f t="shared" si="50"/>
        <v>20.80414501898219</v>
      </c>
      <c r="E157" s="385">
        <f t="shared" si="72"/>
        <v>20.961866712154169</v>
      </c>
      <c r="F157" s="385">
        <f t="shared" si="51"/>
        <v>20.96193353139083</v>
      </c>
      <c r="G157" s="110">
        <f t="shared" si="73"/>
        <v>0.32954696544669115</v>
      </c>
      <c r="H157" s="414" t="b">
        <f>Wh_hp&gt;='2026'!Maxi_hp</f>
        <v>0</v>
      </c>
      <c r="I157" s="390">
        <f>IF(H157,Wh_hp,'2026'!Maxi_hp)</f>
        <v>58.76828057791041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6.9137850125297162E-2</v>
      </c>
      <c r="M157" s="845"/>
      <c r="N157" s="845"/>
      <c r="O157" s="48">
        <f>IF(t&lt;Tnet,'2026'!Resal+('2026'!Salim-'2026'!Resal)*(1-EXP(('2026'!Tnet-t)/('2026'!Tau_j))),Resal+(Salim-Resal)*(1-EXP((Tnet-t)/(Tau_j))))*Salcycl</f>
        <v>7.5242198291684608E-3</v>
      </c>
      <c r="P157" s="169">
        <f>(INDEX(Models!$BJ157:$BT157,,T157)*(1-R157)+INDEX(Models!$BJ157:$BT157,,T157+1)*R157-ERP_i)*Q157*Ramure*Pc/MaxiM</f>
        <v>7.5458014836270513E-5</v>
      </c>
      <c r="Q157" s="305">
        <f t="shared" si="53"/>
        <v>0.5</v>
      </c>
      <c r="R157" s="177">
        <f t="shared" si="54"/>
        <v>0.13351529374018856</v>
      </c>
      <c r="S157" s="811">
        <f t="shared" si="55"/>
        <v>-1</v>
      </c>
      <c r="T157" s="176">
        <f t="shared" si="56"/>
        <v>5</v>
      </c>
      <c r="U157" s="251">
        <f t="shared" si="57"/>
        <v>-0.86648470625981144</v>
      </c>
      <c r="V157" s="383">
        <f t="shared" si="58"/>
        <v>58.76064297878721</v>
      </c>
      <c r="W157" s="402">
        <f t="shared" si="59"/>
        <v>19.365791158674853</v>
      </c>
      <c r="X157" s="157">
        <f t="shared" si="60"/>
        <v>46530</v>
      </c>
      <c r="Y157" s="385">
        <f t="shared" si="61"/>
        <v>18.334007449222661</v>
      </c>
      <c r="Z157" s="385">
        <f t="shared" si="62"/>
        <v>19.695727720469115</v>
      </c>
      <c r="AA157" s="386">
        <f t="shared" si="63"/>
        <v>20.961430447916051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6.0382459612758392E-2</v>
      </c>
      <c r="AD157" s="231">
        <f>(INDEX(Models!$BJ157:$BT157,,AH157)*(1-AF157)+INDEX(Models!$BJ157:$BT157,,AH157+1)*AF157-ERP_i)*AE157*Ramure*Pc/MaxiM</f>
        <v>5.6812502209506682E-4</v>
      </c>
      <c r="AE157" s="305">
        <f t="shared" si="65"/>
        <v>0.5</v>
      </c>
      <c r="AF157" s="177">
        <f t="shared" si="66"/>
        <v>0.65850286011416737</v>
      </c>
      <c r="AG157" s="811">
        <f t="shared" si="74"/>
        <v>2</v>
      </c>
      <c r="AH157" s="176">
        <f t="shared" si="67"/>
        <v>8</v>
      </c>
      <c r="AI157" s="225">
        <f t="shared" si="68"/>
        <v>2.6585028601141674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16.791171892345385</v>
      </c>
      <c r="C158" s="841"/>
      <c r="D158" s="393">
        <f t="shared" si="50"/>
        <v>18.038696355221564</v>
      </c>
      <c r="E158" s="385">
        <f t="shared" si="72"/>
        <v>18.17743436118857</v>
      </c>
      <c r="F158" s="385">
        <f t="shared" si="51"/>
        <v>18.17743436118857</v>
      </c>
      <c r="G158" s="110">
        <f t="shared" si="73"/>
        <v>0.28563210075566842</v>
      </c>
      <c r="H158" s="414" t="b">
        <f>Wh_hp&gt;='2026'!Maxi_hp</f>
        <v>0</v>
      </c>
      <c r="I158" s="390">
        <f>IF(H158,Wh_hp,'2026'!Maxi_hp)</f>
        <v>30.554357090064354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6.9158238395374161E-2</v>
      </c>
      <c r="M158" s="845"/>
      <c r="N158" s="845"/>
      <c r="O158" s="48">
        <f>IF(t&lt;Tnet,'2026'!Resal+('2026'!Salim-'2026'!Resal)*(1-EXP(('2026'!Tnet-t)/('2026'!Tau_j))),Resal+(Salim-Resal)*(1-EXP((Tnet-t)/(Tau_j))))*Salcycl</f>
        <v>7.6324305845512572E-3</v>
      </c>
      <c r="P158" s="169">
        <f>(INDEX(Models!$BJ158:$BT158,,T158)*(1-R158)+INDEX(Models!$BJ158:$BT158,,T158+1)*R158-ERP_i)*Q158*Ramure*Pc/MaxiM</f>
        <v>7.3521101996289374E-5</v>
      </c>
      <c r="Q158" s="305">
        <f t="shared" si="53"/>
        <v>0.5</v>
      </c>
      <c r="R158" s="177">
        <f t="shared" si="54"/>
        <v>0.13804907327101812</v>
      </c>
      <c r="S158" s="811">
        <f t="shared" si="55"/>
        <v>-1</v>
      </c>
      <c r="T158" s="176">
        <f t="shared" si="56"/>
        <v>5</v>
      </c>
      <c r="U158" s="251">
        <f t="shared" si="57"/>
        <v>-0.86195092672898188</v>
      </c>
      <c r="V158" s="383">
        <f t="shared" si="58"/>
        <v>58.781689251539241</v>
      </c>
      <c r="W158" s="402">
        <f t="shared" si="59"/>
        <v>16.791171892345385</v>
      </c>
      <c r="X158" s="157">
        <f t="shared" si="60"/>
        <v>46531</v>
      </c>
      <c r="Y158" s="385">
        <f t="shared" si="61"/>
        <v>15.89708679504405</v>
      </c>
      <c r="Z158" s="385">
        <f t="shared" si="62"/>
        <v>17.078183909196291</v>
      </c>
      <c r="AA158" s="386">
        <f t="shared" si="63"/>
        <v>18.17743436118857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6.0473355598485115E-2</v>
      </c>
      <c r="AD158" s="231">
        <f>(INDEX(Models!$BJ158:$BT158,,AH158)*(1-AF158)+INDEX(Models!$BJ158:$BT158,,AH158+1)*AF158-ERP_i)*AE158*Ramure*Pc/MaxiM</f>
        <v>5.7398776060041737E-4</v>
      </c>
      <c r="AE158" s="305">
        <f t="shared" si="65"/>
        <v>0.5</v>
      </c>
      <c r="AF158" s="177">
        <f t="shared" si="66"/>
        <v>0.66303663964499693</v>
      </c>
      <c r="AG158" s="811">
        <f t="shared" si="74"/>
        <v>2</v>
      </c>
      <c r="AH158" s="176">
        <f t="shared" si="67"/>
        <v>8</v>
      </c>
      <c r="AI158" s="225">
        <f t="shared" si="68"/>
        <v>2.6630366396449969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39.38264614042307</v>
      </c>
      <c r="C159" s="841"/>
      <c r="D159" s="393">
        <f t="shared" si="50"/>
        <v>42.309563628138662</v>
      </c>
      <c r="E159" s="385">
        <f t="shared" si="72"/>
        <v>42.639623482613615</v>
      </c>
      <c r="F159" s="385">
        <f t="shared" si="51"/>
        <v>42.641227753332252</v>
      </c>
      <c r="G159" s="110">
        <f t="shared" si="73"/>
        <v>0.66975448505604795</v>
      </c>
      <c r="H159" s="414" t="b">
        <f>Wh_hp&gt;='2026'!Maxi_hp</f>
        <v>0</v>
      </c>
      <c r="I159" s="390">
        <f>IF(H159,Wh_hp,'2026'!Maxi_hp)</f>
        <v>59.691953884707942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6.91786262188957E-2</v>
      </c>
      <c r="M159" s="845"/>
      <c r="N159" s="845"/>
      <c r="O159" s="48">
        <f>IF(t&lt;Tnet,'2026'!Resal+('2026'!Salim-'2026'!Resal)*(1-EXP(('2026'!Tnet-t)/('2026'!Tau_j))),Resal+(Salim-Resal)*(1-EXP((Tnet-t)/(Tau_j))))*Salcycl</f>
        <v>7.7406840754477048E-3</v>
      </c>
      <c r="P159" s="169">
        <f>(INDEX(Models!$BJ159:$BT159,,T159)*(1-R159)+INDEX(Models!$BJ159:$BT159,,T159+1)*R159-ERP_i)*Q159*Ramure*Pc/MaxiM</f>
        <v>7.1220679707005753E-5</v>
      </c>
      <c r="Q159" s="305">
        <f t="shared" si="53"/>
        <v>0.5</v>
      </c>
      <c r="R159" s="177">
        <f t="shared" si="54"/>
        <v>0.14264583868873515</v>
      </c>
      <c r="S159" s="811">
        <f t="shared" si="55"/>
        <v>-1</v>
      </c>
      <c r="T159" s="176">
        <f t="shared" si="56"/>
        <v>5</v>
      </c>
      <c r="U159" s="251">
        <f t="shared" si="57"/>
        <v>-0.85735416131126485</v>
      </c>
      <c r="V159" s="383">
        <f t="shared" si="58"/>
        <v>58.799640443114072</v>
      </c>
      <c r="W159" s="402">
        <f t="shared" si="59"/>
        <v>39.38264614042307</v>
      </c>
      <c r="X159" s="157">
        <f t="shared" si="60"/>
        <v>46532</v>
      </c>
      <c r="Y159" s="385">
        <f t="shared" si="61"/>
        <v>37.276145390531944</v>
      </c>
      <c r="Z159" s="385">
        <f t="shared" si="62"/>
        <v>40.046507783885453</v>
      </c>
      <c r="AA159" s="386">
        <f t="shared" si="63"/>
        <v>42.628258633620717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6.0564304817721355E-2</v>
      </c>
      <c r="AD159" s="231">
        <f>(INDEX(Models!$BJ159:$BT159,,AH159)*(1-AF159)+INDEX(Models!$BJ159:$BT159,,AH159+1)*AF159-ERP_i)*AE159*Ramure*Pc/MaxiM</f>
        <v>5.7575664152318946E-4</v>
      </c>
      <c r="AE159" s="305">
        <f t="shared" si="65"/>
        <v>0.5</v>
      </c>
      <c r="AF159" s="177">
        <f t="shared" si="66"/>
        <v>0.66763340506271396</v>
      </c>
      <c r="AG159" s="811">
        <f t="shared" si="74"/>
        <v>2</v>
      </c>
      <c r="AH159" s="176">
        <f t="shared" si="67"/>
        <v>8</v>
      </c>
      <c r="AI159" s="225">
        <f t="shared" si="68"/>
        <v>2.667633405062714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23.879421288589754</v>
      </c>
      <c r="C160" s="841"/>
      <c r="D160" s="393">
        <f t="shared" si="50"/>
        <v>25.65470131358666</v>
      </c>
      <c r="E160" s="385">
        <f t="shared" si="72"/>
        <v>25.857657388761545</v>
      </c>
      <c r="F160" s="385">
        <f t="shared" si="51"/>
        <v>25.85792580349689</v>
      </c>
      <c r="G160" s="110">
        <f t="shared" si="73"/>
        <v>0.40598750825694419</v>
      </c>
      <c r="H160" s="414" t="b">
        <f>Wh_hp&gt;='2026'!Maxi_hp</f>
        <v>0</v>
      </c>
      <c r="I160" s="390">
        <f>IF(H160,Wh_hp,'2026'!Maxi_hp)</f>
        <v>61.991403277896538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6.919901359587155E-2</v>
      </c>
      <c r="M160" s="845"/>
      <c r="N160" s="845"/>
      <c r="O160" s="48">
        <f>IF(t&lt;Tnet,'2026'!Resal+('2026'!Salim-'2026'!Resal)*(1-EXP(('2026'!Tnet-t)/('2026'!Tau_j))),Resal+(Salim-Resal)*(1-EXP((Tnet-t)/(Tau_j))))*Salcycl</f>
        <v>7.8489737923086115E-3</v>
      </c>
      <c r="P160" s="169">
        <f>(INDEX(Models!$BJ160:$BT160,,T160)*(1-R160)+INDEX(Models!$BJ160:$BT160,,T160+1)*R160-ERP_i)*Q160*Ramure*Pc/MaxiM</f>
        <v>6.854239479521446E-5</v>
      </c>
      <c r="Q160" s="305">
        <f t="shared" si="53"/>
        <v>0.5</v>
      </c>
      <c r="R160" s="177">
        <f t="shared" si="54"/>
        <v>0.14730295102956747</v>
      </c>
      <c r="S160" s="811">
        <f t="shared" si="55"/>
        <v>-1</v>
      </c>
      <c r="T160" s="176">
        <f t="shared" si="56"/>
        <v>5</v>
      </c>
      <c r="U160" s="251">
        <f t="shared" si="57"/>
        <v>-0.85269704897043253</v>
      </c>
      <c r="V160" s="383">
        <f t="shared" si="58"/>
        <v>58.814697282442637</v>
      </c>
      <c r="W160" s="402">
        <f t="shared" si="59"/>
        <v>23.879421288589754</v>
      </c>
      <c r="X160" s="157">
        <f t="shared" si="60"/>
        <v>46533</v>
      </c>
      <c r="Y160" s="385">
        <f t="shared" si="61"/>
        <v>22.6067337248288</v>
      </c>
      <c r="Z160" s="385">
        <f t="shared" si="62"/>
        <v>24.28739768762296</v>
      </c>
      <c r="AA160" s="386">
        <f t="shared" si="63"/>
        <v>25.855680627757337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6.0655256487456358E-2</v>
      </c>
      <c r="AD160" s="231">
        <f>(INDEX(Models!$BJ160:$BT160,,AH160)*(1-AF160)+INDEX(Models!$BJ160:$BT160,,AH160+1)*AF160-ERP_i)*AE160*Ramure*Pc/MaxiM</f>
        <v>5.7332814357928898E-4</v>
      </c>
      <c r="AE160" s="305">
        <f t="shared" si="65"/>
        <v>0.5</v>
      </c>
      <c r="AF160" s="177">
        <f t="shared" si="66"/>
        <v>0.67229051740354651</v>
      </c>
      <c r="AG160" s="811">
        <f t="shared" si="74"/>
        <v>2</v>
      </c>
      <c r="AH160" s="176">
        <f t="shared" si="67"/>
        <v>8</v>
      </c>
      <c r="AI160" s="225">
        <f t="shared" si="68"/>
        <v>2.6722905174035465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44.417922349248812</v>
      </c>
      <c r="C161" s="841"/>
      <c r="D161" s="393">
        <f t="shared" si="50"/>
        <v>47.721151874421324</v>
      </c>
      <c r="E161" s="385">
        <f t="shared" si="72"/>
        <v>48.103928921960872</v>
      </c>
      <c r="F161" s="385">
        <f t="shared" si="51"/>
        <v>48.105976414178294</v>
      </c>
      <c r="G161" s="110">
        <f t="shared" si="73"/>
        <v>0.75504205695135718</v>
      </c>
      <c r="H161" s="414" t="b">
        <f>Wh_hp&gt;='2026'!Maxi_hp</f>
        <v>0</v>
      </c>
      <c r="I161" s="390">
        <f>IF(H161,Wh_hp,'2026'!Maxi_hp)</f>
        <v>62.096546618278133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6.9219400526311592E-2</v>
      </c>
      <c r="M161" s="845"/>
      <c r="N161" s="845"/>
      <c r="O161" s="48">
        <f>IF(t&lt;Tnet,'2026'!Resal+('2026'!Salim-'2026'!Resal)*(1-EXP(('2026'!Tnet-t)/('2026'!Tau_j))),Resal+(Salim-Resal)*(1-EXP((Tnet-t)/(Tau_j))))*Salcycl</f>
        <v>7.9572928057608638E-3</v>
      </c>
      <c r="P161" s="169">
        <f>(INDEX(Models!$BJ161:$BT161,,T161)*(1-R161)+INDEX(Models!$BJ161:$BT161,,T161+1)*R161-ERP_i)*Q161*Ramure*Pc/MaxiM</f>
        <v>6.5471639750445216E-5</v>
      </c>
      <c r="Q161" s="305">
        <f t="shared" si="53"/>
        <v>0.5</v>
      </c>
      <c r="R161" s="177">
        <f t="shared" si="54"/>
        <v>0.15201759842054341</v>
      </c>
      <c r="S161" s="811">
        <f t="shared" si="55"/>
        <v>-1</v>
      </c>
      <c r="T161" s="176">
        <f t="shared" si="56"/>
        <v>5</v>
      </c>
      <c r="U161" s="251">
        <f t="shared" si="57"/>
        <v>-0.84798240157945659</v>
      </c>
      <c r="V161" s="383">
        <f t="shared" si="58"/>
        <v>58.827060431435342</v>
      </c>
      <c r="W161" s="402">
        <f t="shared" si="59"/>
        <v>44.417922349248812</v>
      </c>
      <c r="X161" s="157">
        <f t="shared" si="60"/>
        <v>46534</v>
      </c>
      <c r="Y161" s="385">
        <f t="shared" si="61"/>
        <v>42.040642091321928</v>
      </c>
      <c r="Z161" s="385">
        <f t="shared" si="62"/>
        <v>45.167080314194223</v>
      </c>
      <c r="AA161" s="386">
        <f t="shared" si="63"/>
        <v>48.088257238647167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6.074615908736393E-2</v>
      </c>
      <c r="AD161" s="231">
        <f>(INDEX(Models!$BJ161:$BT161,,AH161)*(1-AF161)+INDEX(Models!$BJ161:$BT161,,AH161+1)*AF161-ERP_i)*AE161*Ramure*Pc/MaxiM</f>
        <v>5.6659725843044779E-4</v>
      </c>
      <c r="AE161" s="305">
        <f t="shared" si="65"/>
        <v>0.5</v>
      </c>
      <c r="AF161" s="177">
        <f t="shared" si="66"/>
        <v>0.67700516479452233</v>
      </c>
      <c r="AG161" s="811">
        <f t="shared" si="74"/>
        <v>2</v>
      </c>
      <c r="AH161" s="176">
        <f t="shared" si="67"/>
        <v>8</v>
      </c>
      <c r="AI161" s="225">
        <f t="shared" si="68"/>
        <v>2.6770051647945223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53.518981676430521</v>
      </c>
      <c r="C162" s="841"/>
      <c r="D162" s="393">
        <f t="shared" si="50"/>
        <v>57.500289472535165</v>
      </c>
      <c r="E162" s="385">
        <f t="shared" si="72"/>
        <v>57.967836815607455</v>
      </c>
      <c r="F162" s="385">
        <f t="shared" si="51"/>
        <v>57.970966606669357</v>
      </c>
      <c r="G162" s="110">
        <f t="shared" si="73"/>
        <v>0.90960818000859955</v>
      </c>
      <c r="H162" s="414" t="b">
        <f>Wh_hp&gt;='2026'!Maxi_hp</f>
        <v>0</v>
      </c>
      <c r="I162" s="390">
        <f>IF(H162,Wh_hp,'2026'!Maxi_hp)</f>
        <v>61.293375317013549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6.9239787010225484E-2</v>
      </c>
      <c r="M162" s="845"/>
      <c r="N162" s="845"/>
      <c r="O162" s="48">
        <f>IF(t&lt;Tnet,'2026'!Resal+('2026'!Salim-'2026'!Resal)*(1-EXP(('2026'!Tnet-t)/('2026'!Tau_j))),Resal+(Salim-Resal)*(1-EXP((Tnet-t)/(Tau_j))))*Salcycl</f>
        <v>8.0656337851545377E-3</v>
      </c>
      <c r="P162" s="169">
        <f>(INDEX(Models!$BJ162:$BT162,,T162)*(1-R162)+INDEX(Models!$BJ162:$BT162,,T162+1)*R162-ERP_i)*Q162*Ramure*Pc/MaxiM</f>
        <v>6.1993601988242797E-5</v>
      </c>
      <c r="Q162" s="305">
        <f t="shared" si="53"/>
        <v>0.5</v>
      </c>
      <c r="R162" s="177">
        <f t="shared" si="54"/>
        <v>0.15678680080208574</v>
      </c>
      <c r="S162" s="811">
        <f t="shared" si="55"/>
        <v>-1</v>
      </c>
      <c r="T162" s="176">
        <f t="shared" si="56"/>
        <v>5</v>
      </c>
      <c r="U162" s="251">
        <f t="shared" si="57"/>
        <v>-0.84321319919791426</v>
      </c>
      <c r="V162" s="383">
        <f t="shared" si="58"/>
        <v>58.836930480834376</v>
      </c>
      <c r="W162" s="402">
        <f t="shared" si="59"/>
        <v>53.518981676430521</v>
      </c>
      <c r="X162" s="157">
        <f t="shared" si="60"/>
        <v>46535</v>
      </c>
      <c r="Y162" s="385">
        <f t="shared" si="61"/>
        <v>50.649972022505246</v>
      </c>
      <c r="Z162" s="385">
        <f t="shared" si="62"/>
        <v>54.417852542072183</v>
      </c>
      <c r="AA162" s="386">
        <f t="shared" si="63"/>
        <v>57.94292391729374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6.0836960527797211E-2</v>
      </c>
      <c r="AD162" s="231">
        <f>(INDEX(Models!$BJ162:$BT162,,AH162)*(1-AF162)+INDEX(Models!$BJ162:$BT162,,AH162+1)*AF162-ERP_i)*AE162*Ramure*Pc/MaxiM</f>
        <v>5.5545794893279755E-4</v>
      </c>
      <c r="AE162" s="305">
        <f t="shared" si="65"/>
        <v>0.5</v>
      </c>
      <c r="AF162" s="177">
        <f t="shared" si="66"/>
        <v>0.68177436717606454</v>
      </c>
      <c r="AG162" s="811">
        <f t="shared" si="74"/>
        <v>2</v>
      </c>
      <c r="AH162" s="176">
        <f t="shared" si="67"/>
        <v>8</v>
      </c>
      <c r="AI162" s="225">
        <f t="shared" si="68"/>
        <v>2.6817743671760645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57.682524135362591</v>
      </c>
      <c r="C163" s="841"/>
      <c r="D163" s="393">
        <f t="shared" si="50"/>
        <v>61.974917656891058</v>
      </c>
      <c r="E163" s="385">
        <f t="shared" si="72"/>
        <v>62.485674877227495</v>
      </c>
      <c r="F163" s="385">
        <f t="shared" si="51"/>
        <v>62.48920271690799</v>
      </c>
      <c r="G163" s="110">
        <f t="shared" si="73"/>
        <v>0.9802563892214049</v>
      </c>
      <c r="H163" s="414" t="b">
        <f>Wh_hp&gt;='2026'!Maxi_hp</f>
        <v>0</v>
      </c>
      <c r="I163" s="390">
        <f>IF(H163,Wh_hp,'2026'!Maxi_hp)</f>
        <v>62.489291504318835</v>
      </c>
      <c r="J163" s="85">
        <f>IF(H163,An,'2026'!An_max)</f>
        <v>2025</v>
      </c>
      <c r="K163" s="197">
        <f t="shared" si="52"/>
        <v>46536</v>
      </c>
      <c r="L163" s="147">
        <f>IF(t&lt;Tvie,1-EXP((T0-t)*PertePVj)+'2026'!Pspv,1-EXP((T0-t)*PertePVj)+Pspv)</f>
        <v>6.9260173047623108E-2</v>
      </c>
      <c r="M163" s="845"/>
      <c r="N163" s="845"/>
      <c r="O163" s="48">
        <f>IF(t&lt;Tnet,'2026'!Resal+('2026'!Salim-'2026'!Resal)*(1-EXP(('2026'!Tnet-t)/('2026'!Tau_j))),Resal+(Salim-Resal)*(1-EXP((Tnet-t)/(Tau_j))))*Salcycl</f>
        <v>8.1739890197229745E-3</v>
      </c>
      <c r="P163" s="169">
        <f>(INDEX(Models!$BJ163:$BT163,,T163)*(1-R163)+INDEX(Models!$BJ163:$BT163,,T163+1)*R163-ERP_i)*Q163*Ramure*Pc/MaxiM</f>
        <v>5.8093593595359052E-5</v>
      </c>
      <c r="Q163" s="305">
        <f t="shared" si="53"/>
        <v>0.5</v>
      </c>
      <c r="R163" s="177">
        <f t="shared" si="54"/>
        <v>0.16160741563330772</v>
      </c>
      <c r="S163" s="811">
        <f t="shared" si="55"/>
        <v>-1</v>
      </c>
      <c r="T163" s="176">
        <f t="shared" si="56"/>
        <v>5</v>
      </c>
      <c r="U163" s="251">
        <f t="shared" si="57"/>
        <v>-0.83839258436669228</v>
      </c>
      <c r="V163" s="383">
        <f t="shared" si="58"/>
        <v>58.844227139867009</v>
      </c>
      <c r="W163" s="402">
        <f t="shared" si="59"/>
        <v>57.682524135362591</v>
      </c>
      <c r="X163" s="157">
        <f t="shared" si="60"/>
        <v>46536</v>
      </c>
      <c r="Y163" s="385">
        <f t="shared" si="61"/>
        <v>54.588916136730845</v>
      </c>
      <c r="Z163" s="385">
        <f t="shared" si="62"/>
        <v>58.65110158171408</v>
      </c>
      <c r="AA163" s="386">
        <f t="shared" si="63"/>
        <v>62.45642199863768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6.092760832515514E-2</v>
      </c>
      <c r="AD163" s="231">
        <f>(INDEX(Models!$BJ163:$BT163,,AH163)*(1-AF163)+INDEX(Models!$BJ163:$BT163,,AH163+1)*AF163-ERP_i)*AE163*Ramure*Pc/MaxiM</f>
        <v>5.3980619796569157E-4</v>
      </c>
      <c r="AE163" s="305">
        <f t="shared" si="65"/>
        <v>0.5</v>
      </c>
      <c r="AF163" s="177">
        <f t="shared" si="66"/>
        <v>0.68659498200728653</v>
      </c>
      <c r="AG163" s="811">
        <f t="shared" si="74"/>
        <v>2</v>
      </c>
      <c r="AH163" s="176">
        <f t="shared" si="67"/>
        <v>8</v>
      </c>
      <c r="AI163" s="225">
        <f t="shared" si="68"/>
        <v>2.6865949820072865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49.12032826599728</v>
      </c>
      <c r="C164" s="841"/>
      <c r="D164" s="393">
        <f t="shared" si="50"/>
        <v>52.776729573997628</v>
      </c>
      <c r="E164" s="385">
        <f t="shared" si="72"/>
        <v>53.217495521568644</v>
      </c>
      <c r="F164" s="385">
        <f t="shared" si="51"/>
        <v>53.219691120629491</v>
      </c>
      <c r="G164" s="110">
        <f t="shared" si="73"/>
        <v>0.83467837925978472</v>
      </c>
      <c r="H164" s="414" t="b">
        <f>Wh_hp&gt;='2026'!Maxi_hp</f>
        <v>0</v>
      </c>
      <c r="I164" s="390">
        <f>IF(H164,Wh_hp,'2026'!Maxi_hp)</f>
        <v>57.223999787813696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6.9280558638514123E-2</v>
      </c>
      <c r="M164" s="845"/>
      <c r="N164" s="845"/>
      <c r="O164" s="48">
        <f>IF(t&lt;Tnet,'2026'!Resal+('2026'!Salim-'2026'!Resal)*(1-EXP(('2026'!Tnet-t)/('2026'!Tau_j))),Resal+(Salim-Resal)*(1-EXP((Tnet-t)/(Tau_j))))*Salcycl</f>
        <v>8.2823504422973038E-3</v>
      </c>
      <c r="P164" s="169">
        <f>(INDEX(Models!$BJ164:$BT164,,T164)*(1-R164)+INDEX(Models!$BJ164:$BT164,,T164+1)*R164-ERP_i)*Q164*Ramure*Pc/MaxiM</f>
        <v>5.4010407736475476E-5</v>
      </c>
      <c r="Q164" s="305">
        <f t="shared" si="53"/>
        <v>0.5</v>
      </c>
      <c r="R164" s="177">
        <f t="shared" si="54"/>
        <v>0.16647614457339532</v>
      </c>
      <c r="S164" s="811">
        <f t="shared" si="55"/>
        <v>-1</v>
      </c>
      <c r="T164" s="176">
        <f t="shared" si="56"/>
        <v>5</v>
      </c>
      <c r="U164" s="251">
        <f t="shared" si="57"/>
        <v>-0.83352385542660468</v>
      </c>
      <c r="V164" s="383">
        <f t="shared" si="58"/>
        <v>58.848657075558684</v>
      </c>
      <c r="W164" s="402">
        <f t="shared" si="59"/>
        <v>49.12032826599728</v>
      </c>
      <c r="X164" s="157">
        <f t="shared" si="60"/>
        <v>46537</v>
      </c>
      <c r="Y164" s="385">
        <f t="shared" si="61"/>
        <v>46.491724967931148</v>
      </c>
      <c r="Z164" s="385">
        <f t="shared" si="62"/>
        <v>49.95245925014909</v>
      </c>
      <c r="AA164" s="386">
        <f t="shared" si="63"/>
        <v>53.198529789249193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6.1018049783700824E-2</v>
      </c>
      <c r="AD164" s="231">
        <f>(INDEX(Models!$BJ164:$BT164,,AH164)*(1-AF164)+INDEX(Models!$BJ164:$BT164,,AH164+1)*AF164-ERP_i)*AE164*Ramure*Pc/MaxiM</f>
        <v>5.2055594141879992E-4</v>
      </c>
      <c r="AE164" s="305">
        <f t="shared" si="65"/>
        <v>0.5</v>
      </c>
      <c r="AF164" s="177">
        <f t="shared" si="66"/>
        <v>0.69146371094737402</v>
      </c>
      <c r="AG164" s="811">
        <f t="shared" si="74"/>
        <v>2</v>
      </c>
      <c r="AH164" s="176">
        <f t="shared" si="67"/>
        <v>8</v>
      </c>
      <c r="AI164" s="225">
        <f t="shared" si="68"/>
        <v>2.691463710947374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52.164473847635186</v>
      </c>
      <c r="C165" s="841"/>
      <c r="D165" s="393">
        <f t="shared" si="50"/>
        <v>56.04870177870631</v>
      </c>
      <c r="E165" s="385">
        <f t="shared" si="72"/>
        <v>56.522969605532644</v>
      </c>
      <c r="F165" s="385">
        <f t="shared" si="51"/>
        <v>56.52534746726441</v>
      </c>
      <c r="G165" s="110">
        <f t="shared" si="73"/>
        <v>0.8863885219545492</v>
      </c>
      <c r="H165" s="414" t="b">
        <f>Wh_hp&gt;='2026'!Maxi_hp</f>
        <v>0</v>
      </c>
      <c r="I165" s="390">
        <f>IF(H165,Wh_hp,'2026'!Maxi_hp)</f>
        <v>63.126585406149495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6.9300943782908409E-2</v>
      </c>
      <c r="M165" s="845"/>
      <c r="N165" s="845"/>
      <c r="O165" s="48">
        <f>IF(t&lt;Tnet,'2026'!Resal+('2026'!Salim-'2026'!Resal)*(1-EXP(('2026'!Tnet-t)/('2026'!Tau_j))),Resal+(Salim-Resal)*(1-EXP((Tnet-t)/(Tau_j))))*Salcycl</f>
        <v>8.3907096554939591E-3</v>
      </c>
      <c r="P165" s="169">
        <f>(INDEX(Models!$BJ165:$BT165,,T165)*(1-R165)+INDEX(Models!$BJ165:$BT165,,T165+1)*R165-ERP_i)*Q165*Ramure*Pc/MaxiM</f>
        <v>5.021697937590406E-5</v>
      </c>
      <c r="Q165" s="305">
        <f t="shared" si="53"/>
        <v>0.5</v>
      </c>
      <c r="R165" s="177">
        <f t="shared" si="54"/>
        <v>0.17138954112302196</v>
      </c>
      <c r="S165" s="811">
        <f t="shared" si="55"/>
        <v>-1</v>
      </c>
      <c r="T165" s="176">
        <f t="shared" si="56"/>
        <v>5</v>
      </c>
      <c r="U165" s="251">
        <f t="shared" si="57"/>
        <v>-0.82861045887697804</v>
      </c>
      <c r="V165" s="383">
        <f t="shared" si="58"/>
        <v>58.850094972475503</v>
      </c>
      <c r="W165" s="402">
        <f t="shared" si="59"/>
        <v>52.164473847635186</v>
      </c>
      <c r="X165" s="157">
        <f t="shared" si="60"/>
        <v>46538</v>
      </c>
      <c r="Y165" s="385">
        <f t="shared" si="61"/>
        <v>49.372613693065624</v>
      </c>
      <c r="Z165" s="385">
        <f t="shared" si="62"/>
        <v>53.048956441134656</v>
      </c>
      <c r="AA165" s="386">
        <f t="shared" si="63"/>
        <v>56.501673845184825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6.1108232182831408E-2</v>
      </c>
      <c r="AD165" s="231">
        <f>(INDEX(Models!$BJ165:$BT165,,AH165)*(1-AF165)+INDEX(Models!$BJ165:$BT165,,AH165+1)*AF165-ERP_i)*AE165*Ramure*Pc/MaxiM</f>
        <v>4.9995244712544888E-4</v>
      </c>
      <c r="AE165" s="305">
        <f t="shared" si="65"/>
        <v>0.5</v>
      </c>
      <c r="AF165" s="177">
        <f t="shared" si="66"/>
        <v>0.69637710749700066</v>
      </c>
      <c r="AG165" s="811">
        <f t="shared" si="74"/>
        <v>2</v>
      </c>
      <c r="AH165" s="176">
        <f t="shared" si="67"/>
        <v>8</v>
      </c>
      <c r="AI165" s="225">
        <f t="shared" si="68"/>
        <v>2.6963771074970007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54.496758794741609</v>
      </c>
      <c r="C166" s="841"/>
      <c r="D166" s="393">
        <f t="shared" si="50"/>
        <v>58.555933924846862</v>
      </c>
      <c r="E166" s="385">
        <f t="shared" si="72"/>
        <v>59.057870186572657</v>
      </c>
      <c r="F166" s="385">
        <f t="shared" si="51"/>
        <v>59.060338183852842</v>
      </c>
      <c r="G166" s="110">
        <f t="shared" si="73"/>
        <v>0.92604811939528198</v>
      </c>
      <c r="H166" s="414" t="b">
        <f>Wh_hp&gt;='2026'!Maxi_hp</f>
        <v>0</v>
      </c>
      <c r="I166" s="390">
        <f>IF(H166,Wh_hp,'2026'!Maxi_hp)</f>
        <v>64.729267905613341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6.9321328480815736E-2</v>
      </c>
      <c r="M166" s="845"/>
      <c r="N166" s="845"/>
      <c r="O166" s="48">
        <f>IF(t&lt;Tnet,'2026'!Resal+('2026'!Salim-'2026'!Resal)*(1-EXP(('2026'!Tnet-t)/('2026'!Tau_j))),Resal+(Salim-Resal)*(1-EXP((Tnet-t)/(Tau_j))))*Salcycl</f>
        <v>8.4990579602701212E-3</v>
      </c>
      <c r="P166" s="169">
        <f>(INDEX(Models!$BJ166:$BT166,,T166)*(1-R166)+INDEX(Models!$BJ166:$BT166,,T166+1)*R166-ERP_i)*Q166*Ramure*Pc/MaxiM</f>
        <v>4.6723557374834417E-5</v>
      </c>
      <c r="Q166" s="305">
        <f t="shared" si="53"/>
        <v>0.5</v>
      </c>
      <c r="R166" s="177">
        <f t="shared" si="54"/>
        <v>0.17634401920010423</v>
      </c>
      <c r="S166" s="811">
        <f t="shared" si="55"/>
        <v>-1</v>
      </c>
      <c r="T166" s="176">
        <f t="shared" si="56"/>
        <v>5</v>
      </c>
      <c r="U166" s="251">
        <f t="shared" si="57"/>
        <v>-0.82365598079989577</v>
      </c>
      <c r="V166" s="383">
        <f t="shared" si="58"/>
        <v>58.848442813449473</v>
      </c>
      <c r="W166" s="402">
        <f t="shared" si="59"/>
        <v>54.496758794741609</v>
      </c>
      <c r="X166" s="157">
        <f t="shared" si="60"/>
        <v>46539</v>
      </c>
      <c r="Y166" s="385">
        <f t="shared" si="61"/>
        <v>51.580311906905123</v>
      </c>
      <c r="Z166" s="385">
        <f t="shared" si="62"/>
        <v>55.422256344081148</v>
      </c>
      <c r="AA166" s="386">
        <f t="shared" si="63"/>
        <v>59.035091981961479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6.1198102968726707E-2</v>
      </c>
      <c r="AD166" s="231">
        <f>(INDEX(Models!$BJ166:$BT166,,AH166)*(1-AF166)+INDEX(Models!$BJ166:$BT166,,AH166+1)*AF166-ERP_i)*AE166*Ramure*Pc/MaxiM</f>
        <v>4.7795529275506657E-4</v>
      </c>
      <c r="AE166" s="305">
        <f t="shared" si="65"/>
        <v>0.5</v>
      </c>
      <c r="AF166" s="177">
        <f t="shared" si="66"/>
        <v>0.70133158557408315</v>
      </c>
      <c r="AG166" s="811">
        <f t="shared" si="74"/>
        <v>2</v>
      </c>
      <c r="AH166" s="176">
        <f t="shared" si="67"/>
        <v>8</v>
      </c>
      <c r="AI166" s="225">
        <f t="shared" si="68"/>
        <v>2.7013315855740831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43.777897571796515</v>
      </c>
      <c r="C167" s="841"/>
      <c r="D167" s="393">
        <f t="shared" si="50"/>
        <v>47.039711751045139</v>
      </c>
      <c r="E167" s="385">
        <f t="shared" si="72"/>
        <v>47.448116018942066</v>
      </c>
      <c r="F167" s="385">
        <f t="shared" si="51"/>
        <v>47.449426353018389</v>
      </c>
      <c r="G167" s="110">
        <f t="shared" si="73"/>
        <v>0.7439585344004418</v>
      </c>
      <c r="H167" s="414" t="b">
        <f>Wh_hp&gt;='2026'!Maxi_hp</f>
        <v>0</v>
      </c>
      <c r="I167" s="390">
        <f>IF(H167,Wh_hp,'2026'!Maxi_hp)</f>
        <v>63.739845271535835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6.9341712732245875E-2</v>
      </c>
      <c r="M167" s="845"/>
      <c r="N167" s="845"/>
      <c r="O167" s="48">
        <f>IF(t&lt;Tnet,'2026'!Resal+('2026'!Salim-'2026'!Resal)*(1-EXP(('2026'!Tnet-t)/('2026'!Tau_j))),Resal+(Salim-Resal)*(1-EXP((Tnet-t)/(Tau_j))))*Salcycl</f>
        <v>8.607386386719389E-3</v>
      </c>
      <c r="P167" s="169">
        <f>(INDEX(Models!$BJ167:$BT167,,T167)*(1-R167)+INDEX(Models!$BJ167:$BT167,,T167+1)*R167-ERP_i)*Q167*Ramure*Pc/MaxiM</f>
        <v>4.3540670217473344E-5</v>
      </c>
      <c r="Q167" s="305">
        <f t="shared" si="53"/>
        <v>0.5</v>
      </c>
      <c r="R167" s="177">
        <f t="shared" si="54"/>
        <v>0.18133586261451684</v>
      </c>
      <c r="S167" s="811">
        <f t="shared" si="55"/>
        <v>-1</v>
      </c>
      <c r="T167" s="176">
        <f t="shared" si="56"/>
        <v>5</v>
      </c>
      <c r="U167" s="251">
        <f t="shared" si="57"/>
        <v>-0.81866413738548316</v>
      </c>
      <c r="V167" s="383">
        <f t="shared" si="58"/>
        <v>58.843602637377693</v>
      </c>
      <c r="W167" s="402">
        <f t="shared" si="59"/>
        <v>43.777897571796515</v>
      </c>
      <c r="X167" s="157">
        <f t="shared" si="60"/>
        <v>46540</v>
      </c>
      <c r="Y167" s="385">
        <f t="shared" si="61"/>
        <v>41.440839960537382</v>
      </c>
      <c r="Z167" s="385">
        <f t="shared" si="62"/>
        <v>44.528524086107112</v>
      </c>
      <c r="AA167" s="386">
        <f t="shared" si="63"/>
        <v>47.435747688063692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6.1287609949239368E-2</v>
      </c>
      <c r="AD167" s="231">
        <f>(INDEX(Models!$BJ167:$BT167,,AH167)*(1-AF167)+INDEX(Models!$BJ167:$BT167,,AH167+1)*AF167-ERP_i)*AE167*Ramure*Pc/MaxiM</f>
        <v>4.5452396497233535E-4</v>
      </c>
      <c r="AE167" s="305">
        <f t="shared" si="65"/>
        <v>0.5</v>
      </c>
      <c r="AF167" s="177">
        <f t="shared" si="66"/>
        <v>0.70632342898849565</v>
      </c>
      <c r="AG167" s="811">
        <f t="shared" si="74"/>
        <v>2</v>
      </c>
      <c r="AH167" s="176">
        <f t="shared" si="67"/>
        <v>8</v>
      </c>
      <c r="AI167" s="225">
        <f t="shared" si="68"/>
        <v>2.7063234289884956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53.351162112886136</v>
      </c>
      <c r="C168" s="841"/>
      <c r="D168" s="393">
        <f t="shared" si="50"/>
        <v>57.327519021493643</v>
      </c>
      <c r="E168" s="385">
        <f t="shared" si="72"/>
        <v>57.831560729915026</v>
      </c>
      <c r="F168" s="385">
        <f t="shared" si="51"/>
        <v>57.83360006602318</v>
      </c>
      <c r="G168" s="110">
        <f t="shared" si="73"/>
        <v>0.90678067452916167</v>
      </c>
      <c r="H168" s="414" t="b">
        <f>Wh_hp&gt;='2026'!Maxi_hp</f>
        <v>0</v>
      </c>
      <c r="I168" s="390">
        <f>IF(H168,Wh_hp,'2026'!Maxi_hp)</f>
        <v>57.833866819527671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6.9362096537208595E-2</v>
      </c>
      <c r="M168" s="845"/>
      <c r="N168" s="845"/>
      <c r="O168" s="48">
        <f>IF(t&lt;Tnet,'2026'!Resal+('2026'!Salim-'2026'!Resal)*(1-EXP(('2026'!Tnet-t)/('2026'!Tau_j))),Resal+(Salim-Resal)*(1-EXP((Tnet-t)/(Tau_j))))*Salcycl</f>
        <v>8.7156857269572556E-3</v>
      </c>
      <c r="P168" s="169">
        <f>(INDEX(Models!$BJ168:$BT168,,T168)*(1-R168)+INDEX(Models!$BJ168:$BT168,,T168+1)*R168-ERP_i)*Q168*Ramure*Pc/MaxiM</f>
        <v>4.067910275054384E-5</v>
      </c>
      <c r="Q168" s="305">
        <f t="shared" si="53"/>
        <v>0.5</v>
      </c>
      <c r="R168" s="177">
        <f t="shared" si="54"/>
        <v>0.18636123539678873</v>
      </c>
      <c r="S168" s="811">
        <f t="shared" si="55"/>
        <v>-1</v>
      </c>
      <c r="T168" s="176">
        <f t="shared" si="56"/>
        <v>5</v>
      </c>
      <c r="U168" s="251">
        <f t="shared" si="57"/>
        <v>-0.81363876460321127</v>
      </c>
      <c r="V168" s="383">
        <f t="shared" si="58"/>
        <v>58.835476537670552</v>
      </c>
      <c r="W168" s="402">
        <f t="shared" si="59"/>
        <v>53.351162112886136</v>
      </c>
      <c r="X168" s="157">
        <f t="shared" si="60"/>
        <v>46541</v>
      </c>
      <c r="Y168" s="385">
        <f t="shared" si="61"/>
        <v>50.499901274527012</v>
      </c>
      <c r="Z168" s="385">
        <f t="shared" si="62"/>
        <v>54.263748646625039</v>
      </c>
      <c r="AA168" s="386">
        <f t="shared" si="63"/>
        <v>57.812062339399823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6.1376701490833192E-2</v>
      </c>
      <c r="AD168" s="231">
        <f>(INDEX(Models!$BJ168:$BT168,,AH168)*(1-AF168)+INDEX(Models!$BJ168:$BT168,,AH168+1)*AF168-ERP_i)*AE168*Ramure*Pc/MaxiM</f>
        <v>4.2961794812566519E-4</v>
      </c>
      <c r="AE168" s="305">
        <f t="shared" si="65"/>
        <v>0.5</v>
      </c>
      <c r="AF168" s="177">
        <f t="shared" si="66"/>
        <v>0.71134880177076765</v>
      </c>
      <c r="AG168" s="811">
        <f t="shared" si="74"/>
        <v>2</v>
      </c>
      <c r="AH168" s="176">
        <f t="shared" si="67"/>
        <v>8</v>
      </c>
      <c r="AI168" s="225">
        <f t="shared" si="68"/>
        <v>2.7113488017707676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24.091836763982943</v>
      </c>
      <c r="C169" s="841"/>
      <c r="D169" s="393">
        <f t="shared" si="50"/>
        <v>25.888011179161097</v>
      </c>
      <c r="E169" s="385">
        <f t="shared" si="72"/>
        <v>26.118479244502268</v>
      </c>
      <c r="F169" s="385">
        <f t="shared" si="51"/>
        <v>26.118635196281463</v>
      </c>
      <c r="G169" s="110">
        <f t="shared" si="73"/>
        <v>0.40954500138039968</v>
      </c>
      <c r="H169" s="414" t="b">
        <f>Wh_hp&gt;='2026'!Maxi_hp</f>
        <v>0</v>
      </c>
      <c r="I169" s="390">
        <f>IF(H169,Wh_hp,'2026'!Maxi_hp)</f>
        <v>59.953702782585943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6.9382479895713556E-2</v>
      </c>
      <c r="M169" s="845"/>
      <c r="N169" s="845"/>
      <c r="O169" s="48">
        <f>IF(t&lt;Tnet,'2026'!Resal+('2026'!Salim-'2026'!Resal)*(1-EXP(('2026'!Tnet-t)/('2026'!Tau_j))),Resal+(Salim-Resal)*(1-EXP((Tnet-t)/(Tau_j))))*Salcycl</f>
        <v>8.8239465699245945E-3</v>
      </c>
      <c r="P169" s="169">
        <f>(INDEX(Models!$BJ169:$BT169,,T169)*(1-R169)+INDEX(Models!$BJ169:$BT169,,T169+1)*R169-ERP_i)*Q169*Ramure*Pc/MaxiM</f>
        <v>3.8149871788796321E-5</v>
      </c>
      <c r="Q169" s="305">
        <f t="shared" si="53"/>
        <v>0.5</v>
      </c>
      <c r="R169" s="177">
        <f t="shared" si="54"/>
        <v>0.19141619292644851</v>
      </c>
      <c r="S169" s="811">
        <f t="shared" si="55"/>
        <v>-1</v>
      </c>
      <c r="T169" s="176">
        <f t="shared" si="56"/>
        <v>5</v>
      </c>
      <c r="U169" s="251">
        <f t="shared" si="57"/>
        <v>-0.80858380707355149</v>
      </c>
      <c r="V169" s="383">
        <f t="shared" si="58"/>
        <v>58.823966664558334</v>
      </c>
      <c r="W169" s="402">
        <f t="shared" si="59"/>
        <v>24.091836763982943</v>
      </c>
      <c r="X169" s="157">
        <f t="shared" si="60"/>
        <v>46542</v>
      </c>
      <c r="Y169" s="385">
        <f t="shared" si="61"/>
        <v>22.811015459203901</v>
      </c>
      <c r="Z169" s="385">
        <f t="shared" si="62"/>
        <v>24.511697841931518</v>
      </c>
      <c r="AA169" s="386">
        <f t="shared" si="63"/>
        <v>26.116986979470848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6.1465326716330648E-2</v>
      </c>
      <c r="AD169" s="231">
        <f>(INDEX(Models!$BJ169:$BT169,,AH169)*(1-AF169)+INDEX(Models!$BJ169:$BT169,,AH169+1)*AF169-ERP_i)*AE169*Ramure*Pc/MaxiM</f>
        <v>4.0319681077211056E-4</v>
      </c>
      <c r="AE169" s="305">
        <f t="shared" si="65"/>
        <v>0.5</v>
      </c>
      <c r="AF169" s="177">
        <f t="shared" si="66"/>
        <v>0.71640375930042755</v>
      </c>
      <c r="AG169" s="811">
        <f t="shared" si="74"/>
        <v>2</v>
      </c>
      <c r="AH169" s="176">
        <f t="shared" si="67"/>
        <v>8</v>
      </c>
      <c r="AI169" s="225">
        <f t="shared" si="68"/>
        <v>2.7164037593004275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33.233788332306268</v>
      </c>
      <c r="C170" s="841"/>
      <c r="D170" s="393">
        <f t="shared" si="50"/>
        <v>35.712325993800384</v>
      </c>
      <c r="E170" s="385">
        <f t="shared" ref="E170:E232" si="75">Wh_pvt/(1-Psa)</f>
        <v>36.034189112566438</v>
      </c>
      <c r="F170" s="385">
        <f t="shared" si="51"/>
        <v>36.034680415032625</v>
      </c>
      <c r="G170" s="110">
        <f t="shared" ref="G170:G232" si="76">+Wh_hp/MaxiM</f>
        <v>0.56510160371471563</v>
      </c>
      <c r="H170" s="414" t="b">
        <f>Wh_hp&gt;='2026'!Maxi_hp</f>
        <v>0</v>
      </c>
      <c r="I170" s="390">
        <f>IF(H170,Wh_hp,'2026'!Maxi_hp)</f>
        <v>43.180770881481472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6.9402862807770749E-2</v>
      </c>
      <c r="M170" s="845"/>
      <c r="N170" s="845"/>
      <c r="O170" s="48">
        <f>IF(t&lt;Tnet,'2026'!Resal+('2026'!Salim-'2026'!Resal)*(1-EXP(('2026'!Tnet-t)/('2026'!Tau_j))),Resal+(Salim-Resal)*(1-EXP((Tnet-t)/(Tau_j))))*Salcycl</f>
        <v>8.9321593379162439E-3</v>
      </c>
      <c r="P170" s="169">
        <f>(INDEX(Models!$BJ170:$BT170,,T170)*(1-R170)+INDEX(Models!$BJ170:$BT170,,T170+1)*R170-ERP_i)*Q170*Ramure*Pc/MaxiM</f>
        <v>3.5999233144025175E-5</v>
      </c>
      <c r="Q170" s="305">
        <f t="shared" si="53"/>
        <v>0.5</v>
      </c>
      <c r="R170" s="177">
        <f t="shared" si="54"/>
        <v>0.19649669379672052</v>
      </c>
      <c r="S170" s="811">
        <f t="shared" si="55"/>
        <v>-1</v>
      </c>
      <c r="T170" s="176">
        <f t="shared" si="56"/>
        <v>5</v>
      </c>
      <c r="U170" s="251">
        <f t="shared" si="57"/>
        <v>-0.80350330620327948</v>
      </c>
      <c r="V170" s="383">
        <f t="shared" si="58"/>
        <v>58.808973160728634</v>
      </c>
      <c r="W170" s="402">
        <f t="shared" si="59"/>
        <v>33.233788332306268</v>
      </c>
      <c r="X170" s="157">
        <f t="shared" si="60"/>
        <v>46543</v>
      </c>
      <c r="Y170" s="385">
        <f t="shared" si="61"/>
        <v>31.465163588230453</v>
      </c>
      <c r="Z170" s="385">
        <f t="shared" si="62"/>
        <v>33.811799253075542</v>
      </c>
      <c r="AA170" s="386">
        <f t="shared" si="63"/>
        <v>36.029541307314894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6.1553435702193987E-2</v>
      </c>
      <c r="AD170" s="231">
        <f>(INDEX(Models!$BJ170:$BT170,,AH170)*(1-AF170)+INDEX(Models!$BJ170:$BT170,,AH170+1)*AF170-ERP_i)*AE170*Ramure*Pc/MaxiM</f>
        <v>3.7655812786250334E-4</v>
      </c>
      <c r="AE170" s="305">
        <f t="shared" si="65"/>
        <v>0.5</v>
      </c>
      <c r="AF170" s="177">
        <f t="shared" si="66"/>
        <v>0.72148426017069944</v>
      </c>
      <c r="AG170" s="811">
        <f t="shared" si="74"/>
        <v>2</v>
      </c>
      <c r="AH170" s="176">
        <f t="shared" si="67"/>
        <v>8</v>
      </c>
      <c r="AI170" s="225">
        <f t="shared" si="68"/>
        <v>2.7214842601706994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46.80498592525602</v>
      </c>
      <c r="C171" s="841"/>
      <c r="D171" s="393">
        <f t="shared" si="50"/>
        <v>50.296749502416539</v>
      </c>
      <c r="E171" s="385">
        <f t="shared" si="75"/>
        <v>50.755596044391417</v>
      </c>
      <c r="F171" s="385">
        <f t="shared" si="51"/>
        <v>50.756822767485332</v>
      </c>
      <c r="G171" s="110">
        <f t="shared" si="76"/>
        <v>0.79612514890629016</v>
      </c>
      <c r="H171" s="414" t="b">
        <f>Wh_hp&gt;='2026'!Maxi_hp</f>
        <v>0</v>
      </c>
      <c r="I171" s="390">
        <f>IF(H171,Wh_hp,'2026'!Maxi_hp)</f>
        <v>62.343880742671914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6.9423245273389944E-2</v>
      </c>
      <c r="M171" s="845"/>
      <c r="N171" s="845"/>
      <c r="O171" s="48">
        <f>IF(t&lt;Tnet,'2026'!Resal+('2026'!Salim-'2026'!Resal)*(1-EXP(('2026'!Tnet-t)/('2026'!Tau_j))),Resal+(Salim-Resal)*(1-EXP((Tnet-t)/(Tau_j))))*Salcycl</f>
        <v>9.0403143246227547E-3</v>
      </c>
      <c r="P171" s="169">
        <f>(INDEX(Models!$BJ171:$BT171,,T171)*(1-R171)+INDEX(Models!$BJ171:$BT171,,T171+1)*R171-ERP_i)*Q171*Ramure*Pc/MaxiM</f>
        <v>3.4099812345728012E-5</v>
      </c>
      <c r="Q171" s="305">
        <f t="shared" si="53"/>
        <v>0.5</v>
      </c>
      <c r="R171" s="177">
        <f t="shared" si="54"/>
        <v>0.20159861234386045</v>
      </c>
      <c r="S171" s="811">
        <f t="shared" si="55"/>
        <v>-1</v>
      </c>
      <c r="T171" s="176">
        <f t="shared" si="56"/>
        <v>5</v>
      </c>
      <c r="U171" s="251">
        <f t="shared" si="57"/>
        <v>-0.79840138765613955</v>
      </c>
      <c r="V171" s="383">
        <f t="shared" si="58"/>
        <v>58.790406445115075</v>
      </c>
      <c r="W171" s="402">
        <f t="shared" si="59"/>
        <v>46.80498592525602</v>
      </c>
      <c r="X171" s="157">
        <f t="shared" si="60"/>
        <v>46544</v>
      </c>
      <c r="Y171" s="385">
        <f t="shared" si="61"/>
        <v>44.310569976782524</v>
      </c>
      <c r="Z171" s="385">
        <f t="shared" si="62"/>
        <v>47.616244175151706</v>
      </c>
      <c r="AA171" s="386">
        <f t="shared" si="63"/>
        <v>50.744164167155482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6.1640979674039871E-2</v>
      </c>
      <c r="AD171" s="231">
        <f>(INDEX(Models!$BJ171:$BT171,,AH171)*(1-AF171)+INDEX(Models!$BJ171:$BT171,,AH171+1)*AF171-ERP_i)*AE171*Ramure*Pc/MaxiM</f>
        <v>3.5187720680364908E-4</v>
      </c>
      <c r="AE171" s="305">
        <f t="shared" si="65"/>
        <v>0.5</v>
      </c>
      <c r="AF171" s="177">
        <f t="shared" si="66"/>
        <v>0.72658617871783937</v>
      </c>
      <c r="AG171" s="811">
        <f t="shared" si="74"/>
        <v>2</v>
      </c>
      <c r="AH171" s="176">
        <f t="shared" si="67"/>
        <v>8</v>
      </c>
      <c r="AI171" s="225">
        <f t="shared" si="68"/>
        <v>2.7265861787178394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24.400596081599808</v>
      </c>
      <c r="C172" s="841"/>
      <c r="D172" s="393">
        <f t="shared" si="50"/>
        <v>26.221513061704339</v>
      </c>
      <c r="E172" s="385">
        <f t="shared" si="75"/>
        <v>26.463612823155646</v>
      </c>
      <c r="F172" s="385">
        <f t="shared" si="51"/>
        <v>26.46375419927303</v>
      </c>
      <c r="G172" s="110">
        <f t="shared" si="76"/>
        <v>0.41518963071131365</v>
      </c>
      <c r="H172" s="414" t="b">
        <f>Wh_hp&gt;='2026'!Maxi_hp</f>
        <v>0</v>
      </c>
      <c r="I172" s="390">
        <f>IF(H172,Wh_hp,'2026'!Maxi_hp)</f>
        <v>54.813719171232592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6.944362729258069E-2</v>
      </c>
      <c r="M172" s="845"/>
      <c r="N172" s="845"/>
      <c r="O172" s="48">
        <f>IF(t&lt;Tnet,'2026'!Resal+('2026'!Salim-'2026'!Resal)*(1-EXP(('2026'!Tnet-t)/('2026'!Tau_j))),Resal+(Salim-Resal)*(1-EXP((Tnet-t)/(Tau_j))))*Salcycl</f>
        <v>9.1484017344552315E-3</v>
      </c>
      <c r="P172" s="169">
        <f>(INDEX(Models!$BJ172:$BT172,,T172)*(1-R172)+INDEX(Models!$BJ172:$BT172,,T172+1)*R172-ERP_i)*Q172*Ramure*Pc/MaxiM</f>
        <v>3.2461366620850174E-5</v>
      </c>
      <c r="Q172" s="305">
        <f t="shared" si="53"/>
        <v>0.5</v>
      </c>
      <c r="R172" s="177">
        <f t="shared" si="54"/>
        <v>0.2067177517616865</v>
      </c>
      <c r="S172" s="811">
        <f t="shared" si="55"/>
        <v>-1</v>
      </c>
      <c r="T172" s="176">
        <f t="shared" si="56"/>
        <v>5</v>
      </c>
      <c r="U172" s="251">
        <f t="shared" si="57"/>
        <v>-0.7932822482383135</v>
      </c>
      <c r="V172" s="383">
        <f t="shared" si="58"/>
        <v>58.768168929864629</v>
      </c>
      <c r="W172" s="402">
        <f t="shared" si="59"/>
        <v>24.400596081599808</v>
      </c>
      <c r="X172" s="157">
        <f t="shared" si="60"/>
        <v>46545</v>
      </c>
      <c r="Y172" s="385">
        <f t="shared" si="61"/>
        <v>23.104650810303689</v>
      </c>
      <c r="Z172" s="385">
        <f t="shared" si="62"/>
        <v>24.828856679667414</v>
      </c>
      <c r="AA172" s="386">
        <f t="shared" si="63"/>
        <v>26.462320446297898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6.1727911199072734E-2</v>
      </c>
      <c r="AD172" s="231">
        <f>(INDEX(Models!$BJ172:$BT172,,AH172)*(1-AF172)+INDEX(Models!$BJ172:$BT172,,AH172+1)*AF172-ERP_i)*AE172*Ramure*Pc/MaxiM</f>
        <v>3.2920398317723301E-4</v>
      </c>
      <c r="AE172" s="305">
        <f t="shared" si="65"/>
        <v>0.5</v>
      </c>
      <c r="AF172" s="177">
        <f t="shared" si="66"/>
        <v>0.73170531813566519</v>
      </c>
      <c r="AG172" s="811">
        <f t="shared" si="74"/>
        <v>2</v>
      </c>
      <c r="AH172" s="176">
        <f t="shared" si="67"/>
        <v>8</v>
      </c>
      <c r="AI172" s="225">
        <f t="shared" si="68"/>
        <v>2.7317053181356652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19.948727344307169</v>
      </c>
      <c r="C173" s="841"/>
      <c r="D173" s="393">
        <f t="shared" si="50"/>
        <v>21.437889060027363</v>
      </c>
      <c r="E173" s="385">
        <f t="shared" si="75"/>
        <v>21.638180972039333</v>
      </c>
      <c r="F173" s="385">
        <f t="shared" si="51"/>
        <v>21.638219032299691</v>
      </c>
      <c r="G173" s="110">
        <f t="shared" si="76"/>
        <v>0.3395881442786689</v>
      </c>
      <c r="H173" s="414" t="b">
        <f>Wh_hp&gt;='2026'!Maxi_hp</f>
        <v>0</v>
      </c>
      <c r="I173" s="390">
        <f>IF(H173,Wh_hp,'2026'!Maxi_hp)</f>
        <v>64.469263284236831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6.9464008865352977E-2</v>
      </c>
      <c r="M173" s="845"/>
      <c r="N173" s="845"/>
      <c r="O173" s="48">
        <f>IF(t&lt;Tnet,'2026'!Resal+('2026'!Salim-'2026'!Resal)*(1-EXP(('2026'!Tnet-t)/('2026'!Tau_j))),Resal+(Salim-Resal)*(1-EXP((Tnet-t)/(Tau_j))))*Salcycl</f>
        <v>9.2564117229070302E-3</v>
      </c>
      <c r="P173" s="169">
        <f>(INDEX(Models!$BJ173:$BT173,,T173)*(1-R173)+INDEX(Models!$BJ173:$BT173,,T173+1)*R173-ERP_i)*Q173*Ramure*Pc/MaxiM</f>
        <v>3.1093804555834487E-5</v>
      </c>
      <c r="Q173" s="305">
        <f t="shared" si="53"/>
        <v>0.5</v>
      </c>
      <c r="R173" s="177">
        <f t="shared" si="54"/>
        <v>0.2118498577149529</v>
      </c>
      <c r="S173" s="811">
        <f t="shared" si="55"/>
        <v>-1</v>
      </c>
      <c r="T173" s="176">
        <f t="shared" si="56"/>
        <v>5</v>
      </c>
      <c r="U173" s="251">
        <f t="shared" si="57"/>
        <v>-0.7881501422850471</v>
      </c>
      <c r="V173" s="383">
        <f t="shared" si="58"/>
        <v>58.742163076312416</v>
      </c>
      <c r="W173" s="402">
        <f t="shared" si="59"/>
        <v>19.948727344307169</v>
      </c>
      <c r="X173" s="157">
        <f t="shared" si="60"/>
        <v>46546</v>
      </c>
      <c r="Y173" s="385">
        <f t="shared" si="61"/>
        <v>18.890174477250007</v>
      </c>
      <c r="Z173" s="385">
        <f t="shared" si="62"/>
        <v>20.300315793499092</v>
      </c>
      <c r="AA173" s="386">
        <f t="shared" si="63"/>
        <v>21.637841305409633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6.1814184374120146E-2</v>
      </c>
      <c r="AD173" s="231">
        <f>(INDEX(Models!$BJ173:$BT173,,AH173)*(1-AF173)+INDEX(Models!$BJ173:$BT173,,AH173+1)*AF173-ERP_i)*AE173*Ramure*Pc/MaxiM</f>
        <v>3.0858869549691586E-4</v>
      </c>
      <c r="AE173" s="305">
        <f t="shared" si="65"/>
        <v>0.5</v>
      </c>
      <c r="AF173" s="177">
        <f t="shared" si="66"/>
        <v>0.73683742408893194</v>
      </c>
      <c r="AG173" s="811">
        <f t="shared" si="74"/>
        <v>2</v>
      </c>
      <c r="AH173" s="176">
        <f t="shared" si="67"/>
        <v>8</v>
      </c>
      <c r="AI173" s="225">
        <f t="shared" si="68"/>
        <v>2.7368374240889319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45.586143325919004</v>
      </c>
      <c r="C174" s="841"/>
      <c r="D174" s="393">
        <f t="shared" si="50"/>
        <v>48.990197300949298</v>
      </c>
      <c r="E174" s="385">
        <f t="shared" si="75"/>
        <v>49.453294489595528</v>
      </c>
      <c r="F174" s="385">
        <f t="shared" si="51"/>
        <v>49.454304515612577</v>
      </c>
      <c r="G174" s="110">
        <f t="shared" si="76"/>
        <v>0.77642526546196822</v>
      </c>
      <c r="H174" s="414" t="b">
        <f>Wh_hp&gt;='2026'!Maxi_hp</f>
        <v>0</v>
      </c>
      <c r="I174" s="390">
        <f>IF(H174,Wh_hp,'2026'!Maxi_hp)</f>
        <v>60.601331416290115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6.9484389991716466E-2</v>
      </c>
      <c r="M174" s="845"/>
      <c r="N174" s="845"/>
      <c r="O174" s="48">
        <f>IF(t&lt;Tnet,'2026'!Resal+('2026'!Salim-'2026'!Resal)*(1-EXP(('2026'!Tnet-t)/('2026'!Tau_j))),Resal+(Salim-Resal)*(1-EXP((Tnet-t)/(Tau_j))))*Salcycl</f>
        <v>9.364334437691654E-3</v>
      </c>
      <c r="P174" s="169">
        <f>(INDEX(Models!$BJ174:$BT174,,T174)*(1-R174)+INDEX(Models!$BJ174:$BT174,,T174+1)*R174-ERP_i)*Q174*Ramure*Pc/MaxiM</f>
        <v>3.0007162789156445E-5</v>
      </c>
      <c r="Q174" s="305">
        <f t="shared" si="53"/>
        <v>0.5</v>
      </c>
      <c r="R174" s="177">
        <f t="shared" si="54"/>
        <v>0.21699063235925875</v>
      </c>
      <c r="S174" s="811">
        <f t="shared" si="55"/>
        <v>-1</v>
      </c>
      <c r="T174" s="176">
        <f t="shared" si="56"/>
        <v>5</v>
      </c>
      <c r="U174" s="251">
        <f t="shared" si="57"/>
        <v>-0.78300936764074125</v>
      </c>
      <c r="V174" s="383">
        <f t="shared" si="58"/>
        <v>58.712291393540369</v>
      </c>
      <c r="W174" s="402">
        <f t="shared" si="59"/>
        <v>45.586143325919004</v>
      </c>
      <c r="X174" s="157">
        <f t="shared" si="60"/>
        <v>46547</v>
      </c>
      <c r="Y174" s="385">
        <f t="shared" si="61"/>
        <v>43.160976096914396</v>
      </c>
      <c r="Z174" s="385">
        <f t="shared" si="62"/>
        <v>46.383935565068249</v>
      </c>
      <c r="AA174" s="386">
        <f t="shared" si="63"/>
        <v>49.444540509060339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6.1899755007962035E-2</v>
      </c>
      <c r="AD174" s="231">
        <f>(INDEX(Models!$BJ174:$BT174,,AH174)*(1-AF174)+INDEX(Models!$BJ174:$BT174,,AH174+1)*AF174-ERP_i)*AE174*Ramure*Pc/MaxiM</f>
        <v>2.9008176932196781E-4</v>
      </c>
      <c r="AE174" s="305">
        <f t="shared" si="65"/>
        <v>0.5</v>
      </c>
      <c r="AF174" s="177">
        <f t="shared" si="66"/>
        <v>0.74197819873323789</v>
      </c>
      <c r="AG174" s="811">
        <f t="shared" si="74"/>
        <v>2</v>
      </c>
      <c r="AH174" s="176">
        <f t="shared" si="67"/>
        <v>8</v>
      </c>
      <c r="AI174" s="225">
        <f t="shared" si="68"/>
        <v>2.7419781987332379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55.631747308662213</v>
      </c>
      <c r="C175" s="841"/>
      <c r="D175" s="393">
        <f t="shared" si="50"/>
        <v>59.787246140767614</v>
      </c>
      <c r="E175" s="385">
        <f t="shared" si="75"/>
        <v>60.358976022735867</v>
      </c>
      <c r="F175" s="385">
        <f t="shared" si="51"/>
        <v>60.360608465132231</v>
      </c>
      <c r="G175" s="110">
        <f t="shared" si="76"/>
        <v>0.94807583809283524</v>
      </c>
      <c r="H175" s="414" t="b">
        <f>Wh_hp&gt;='2026'!Maxi_hp</f>
        <v>0</v>
      </c>
      <c r="I175" s="390">
        <f>IF(H175,Wh_hp,'2026'!Maxi_hp)</f>
        <v>61.199848181326935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6.9504770671681038E-2</v>
      </c>
      <c r="M175" s="845"/>
      <c r="N175" s="845"/>
      <c r="O175" s="48">
        <f>IF(t&lt;Tnet,'2026'!Resal+('2026'!Salim-'2026'!Resal)*(1-EXP(('2026'!Tnet-t)/('2026'!Tau_j))),Resal+(Salim-Resal)*(1-EXP((Tnet-t)/(Tau_j))))*Salcycl</f>
        <v>9.472160060384309E-3</v>
      </c>
      <c r="P175" s="169">
        <f>(INDEX(Models!$BJ175:$BT175,,T175)*(1-R175)+INDEX(Models!$BJ175:$BT175,,T175+1)*R175-ERP_i)*Q175*Ramure*Pc/MaxiM</f>
        <v>2.9211582808272287E-5</v>
      </c>
      <c r="Q175" s="305">
        <f t="shared" si="53"/>
        <v>0.5</v>
      </c>
      <c r="R175" s="177">
        <f t="shared" si="54"/>
        <v>0.22213574867027031</v>
      </c>
      <c r="S175" s="811">
        <f t="shared" si="55"/>
        <v>-1</v>
      </c>
      <c r="T175" s="176">
        <f t="shared" si="56"/>
        <v>5</v>
      </c>
      <c r="U175" s="251">
        <f t="shared" si="57"/>
        <v>-0.77786425132972969</v>
      </c>
      <c r="V175" s="383">
        <f t="shared" si="58"/>
        <v>58.678456437692269</v>
      </c>
      <c r="W175" s="402">
        <f t="shared" si="59"/>
        <v>55.631747308662213</v>
      </c>
      <c r="X175" s="157">
        <f t="shared" si="60"/>
        <v>46548</v>
      </c>
      <c r="Y175" s="385">
        <f t="shared" si="61"/>
        <v>52.670526572797193</v>
      </c>
      <c r="Z175" s="385">
        <f t="shared" si="62"/>
        <v>56.604832472722713</v>
      </c>
      <c r="AA175" s="386">
        <f t="shared" si="63"/>
        <v>60.345311296479359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6.1984580796667063E-2</v>
      </c>
      <c r="AD175" s="231">
        <f>(INDEX(Models!$BJ175:$BT175,,AH175)*(1-AF175)+INDEX(Models!$BJ175:$BT175,,AH175+1)*AF175-ERP_i)*AE175*Ramure*Pc/MaxiM</f>
        <v>2.7373370713181444E-4</v>
      </c>
      <c r="AE175" s="305">
        <f t="shared" si="65"/>
        <v>0.5</v>
      </c>
      <c r="AF175" s="177">
        <f t="shared" si="66"/>
        <v>0.74712331504424911</v>
      </c>
      <c r="AG175" s="811">
        <f t="shared" si="74"/>
        <v>2</v>
      </c>
      <c r="AH175" s="176">
        <f t="shared" si="67"/>
        <v>8</v>
      </c>
      <c r="AI175" s="225">
        <f t="shared" si="68"/>
        <v>2.7471233150442491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54.394577466679344</v>
      </c>
      <c r="C176" s="841"/>
      <c r="D176" s="393">
        <f t="shared" si="50"/>
        <v>58.458944397690786</v>
      </c>
      <c r="E176" s="385">
        <f t="shared" si="75"/>
        <v>59.024390911718818</v>
      </c>
      <c r="F176" s="385">
        <f t="shared" si="51"/>
        <v>59.025910640949775</v>
      </c>
      <c r="G176" s="110">
        <f t="shared" si="76"/>
        <v>0.92759030827548439</v>
      </c>
      <c r="H176" s="414" t="b">
        <f>Wh_hp&gt;='2026'!Maxi_hp</f>
        <v>0</v>
      </c>
      <c r="I176" s="390">
        <f>IF(H176,Wh_hp,'2026'!Maxi_hp)</f>
        <v>59.026055065675486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6.952515090525635E-2</v>
      </c>
      <c r="M176" s="845"/>
      <c r="N176" s="845"/>
      <c r="O176" s="48">
        <f>IF(t&lt;Tnet,'2026'!Resal+('2026'!Salim-'2026'!Resal)*(1-EXP(('2026'!Tnet-t)/('2026'!Tau_j))),Resal+(Salim-Resal)*(1-EXP((Tnet-t)/(Tau_j))))*Salcycl</f>
        <v>9.5798788482841842E-3</v>
      </c>
      <c r="P176" s="169">
        <f>(INDEX(Models!$BJ176:$BT176,,T176)*(1-R176)+INDEX(Models!$BJ176:$BT176,,T176+1)*R176-ERP_i)*Q176*Ramure*Pc/MaxiM</f>
        <v>2.8717288145670901E-5</v>
      </c>
      <c r="Q176" s="305">
        <f t="shared" si="53"/>
        <v>0.5</v>
      </c>
      <c r="R176" s="177">
        <f t="shared" si="54"/>
        <v>0.22728086498128186</v>
      </c>
      <c r="S176" s="811">
        <f t="shared" si="55"/>
        <v>-1</v>
      </c>
      <c r="T176" s="176">
        <f t="shared" si="56"/>
        <v>5</v>
      </c>
      <c r="U176" s="251">
        <f t="shared" si="57"/>
        <v>-0.77271913501871814</v>
      </c>
      <c r="V176" s="383">
        <f t="shared" si="58"/>
        <v>58.640560816165944</v>
      </c>
      <c r="W176" s="402">
        <f t="shared" si="59"/>
        <v>54.394577466679344</v>
      </c>
      <c r="X176" s="157">
        <f t="shared" si="60"/>
        <v>46549</v>
      </c>
      <c r="Y176" s="385">
        <f t="shared" si="61"/>
        <v>51.501195363151268</v>
      </c>
      <c r="Z176" s="385">
        <f t="shared" si="62"/>
        <v>55.349368565154272</v>
      </c>
      <c r="AA176" s="386">
        <f t="shared" si="63"/>
        <v>59.012172780830355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6.2068621490681958E-2</v>
      </c>
      <c r="AD176" s="231">
        <f>(INDEX(Models!$BJ176:$BT176,,AH176)*(1-AF176)+INDEX(Models!$BJ176:$BT176,,AH176+1)*AF176-ERP_i)*AE176*Ramure*Pc/MaxiM</f>
        <v>2.5959498542177931E-4</v>
      </c>
      <c r="AE176" s="305">
        <f t="shared" si="65"/>
        <v>0.5</v>
      </c>
      <c r="AF176" s="177">
        <f t="shared" si="66"/>
        <v>0.75226843135526078</v>
      </c>
      <c r="AG176" s="811">
        <f t="shared" si="74"/>
        <v>2</v>
      </c>
      <c r="AH176" s="176">
        <f t="shared" si="67"/>
        <v>8</v>
      </c>
      <c r="AI176" s="225">
        <f t="shared" si="68"/>
        <v>2.7522684313552608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41.620620073697829</v>
      </c>
      <c r="C177" s="841"/>
      <c r="D177" s="393">
        <f t="shared" si="50"/>
        <v>44.731495679388004</v>
      </c>
      <c r="E177" s="385">
        <f t="shared" si="75"/>
        <v>45.169070196664997</v>
      </c>
      <c r="F177" s="385">
        <f t="shared" si="51"/>
        <v>45.169825638690057</v>
      </c>
      <c r="G177" s="110">
        <f t="shared" si="76"/>
        <v>0.71026658893577199</v>
      </c>
      <c r="H177" s="414" t="b">
        <f>Wh_hp&gt;='2026'!Maxi_hp</f>
        <v>0</v>
      </c>
      <c r="I177" s="390">
        <f>IF(H177,Wh_hp,'2026'!Maxi_hp)</f>
        <v>58.244062693126686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6.9545530692452284E-2</v>
      </c>
      <c r="M177" s="845"/>
      <c r="N177" s="845"/>
      <c r="O177" s="48">
        <f>IF(t&lt;Tnet,'2026'!Resal+('2026'!Salim-'2026'!Resal)*(1-EXP(('2026'!Tnet-t)/('2026'!Tau_j))),Resal+(Salim-Resal)*(1-EXP((Tnet-t)/(Tau_j))))*Salcycl</f>
        <v>9.6874811762075949E-3</v>
      </c>
      <c r="P177" s="169">
        <f>(INDEX(Models!$BJ177:$BT177,,T177)*(1-R177)+INDEX(Models!$BJ177:$BT177,,T177+1)*R177-ERP_i)*Q177*Ramure*Pc/MaxiM</f>
        <v>2.8534859348783581E-5</v>
      </c>
      <c r="Q177" s="305">
        <f t="shared" si="53"/>
        <v>0.5</v>
      </c>
      <c r="R177" s="177">
        <f t="shared" si="54"/>
        <v>0.23242163962558782</v>
      </c>
      <c r="S177" s="811">
        <f t="shared" si="55"/>
        <v>-1</v>
      </c>
      <c r="T177" s="176">
        <f t="shared" si="56"/>
        <v>5</v>
      </c>
      <c r="U177" s="251">
        <f t="shared" si="57"/>
        <v>-0.76757836037441218</v>
      </c>
      <c r="V177" s="383">
        <f t="shared" si="58"/>
        <v>58.597897125770565</v>
      </c>
      <c r="W177" s="402">
        <f t="shared" si="59"/>
        <v>41.620620073697829</v>
      </c>
      <c r="X177" s="157">
        <f t="shared" si="60"/>
        <v>46550</v>
      </c>
      <c r="Y177" s="385">
        <f t="shared" si="61"/>
        <v>39.41059684040912</v>
      </c>
      <c r="Z177" s="385">
        <f t="shared" si="62"/>
        <v>42.356287320258481</v>
      </c>
      <c r="AA177" s="386">
        <f t="shared" si="63"/>
        <v>45.16326744988725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6.2151839052463825E-2</v>
      </c>
      <c r="AD177" s="231">
        <f>(INDEX(Models!$BJ177:$BT177,,AH177)*(1-AF177)+INDEX(Models!$BJ177:$BT177,,AH177+1)*AF177-ERP_i)*AE177*Ramure*Pc/MaxiM</f>
        <v>2.4771853942800055E-4</v>
      </c>
      <c r="AE177" s="305">
        <f t="shared" si="65"/>
        <v>0.5</v>
      </c>
      <c r="AF177" s="177">
        <f t="shared" si="66"/>
        <v>0.75740920599956674</v>
      </c>
      <c r="AG177" s="811">
        <f t="shared" si="74"/>
        <v>2</v>
      </c>
      <c r="AH177" s="176">
        <f t="shared" si="67"/>
        <v>8</v>
      </c>
      <c r="AI177" s="225">
        <f t="shared" si="68"/>
        <v>2.7574092059995667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52.698561317508343</v>
      </c>
      <c r="C178" s="841"/>
      <c r="D178" s="393">
        <f t="shared" si="50"/>
        <v>56.638682831787904</v>
      </c>
      <c r="E178" s="385">
        <f t="shared" si="75"/>
        <v>57.198944062380555</v>
      </c>
      <c r="F178" s="385">
        <f t="shared" si="51"/>
        <v>57.200349823557673</v>
      </c>
      <c r="G178" s="110">
        <f t="shared" si="76"/>
        <v>0.90005578267041753</v>
      </c>
      <c r="H178" s="414" t="b">
        <f>Wh_hp&gt;='2026'!Maxi_hp</f>
        <v>0</v>
      </c>
      <c r="I178" s="390">
        <f>IF(H178,Wh_hp,'2026'!Maxi_hp)</f>
        <v>66.115436428019962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6.9565910033278611E-2</v>
      </c>
      <c r="M178" s="845"/>
      <c r="N178" s="845"/>
      <c r="O178" s="48">
        <f>IF(t&lt;Tnet,'2026'!Resal+('2026'!Salim-'2026'!Resal)*(1-EXP(('2026'!Tnet-t)/('2026'!Tau_j))),Resal+(Salim-Resal)*(1-EXP((Tnet-t)/(Tau_j))))*Salcycl</f>
        <v>9.7949575779166676E-3</v>
      </c>
      <c r="P178" s="169">
        <f>(INDEX(Models!$BJ178:$BT178,,T178)*(1-R178)+INDEX(Models!$BJ178:$BT178,,T178+1)*R178-ERP_i)*Q178*Ramure*Pc/MaxiM</f>
        <v>2.8669268276019722E-5</v>
      </c>
      <c r="Q178" s="305">
        <f t="shared" si="53"/>
        <v>0.5</v>
      </c>
      <c r="R178" s="177">
        <f t="shared" si="54"/>
        <v>0.23755374557885434</v>
      </c>
      <c r="S178" s="811">
        <f t="shared" si="55"/>
        <v>-1</v>
      </c>
      <c r="T178" s="176">
        <f t="shared" si="56"/>
        <v>5</v>
      </c>
      <c r="U178" s="251">
        <f t="shared" si="57"/>
        <v>-0.76244625442114566</v>
      </c>
      <c r="V178" s="383">
        <f t="shared" si="58"/>
        <v>58.550088363924601</v>
      </c>
      <c r="W178" s="402">
        <f t="shared" si="59"/>
        <v>52.698561317508343</v>
      </c>
      <c r="X178" s="157">
        <f t="shared" si="60"/>
        <v>46551</v>
      </c>
      <c r="Y178" s="385">
        <f t="shared" si="61"/>
        <v>49.898782374911256</v>
      </c>
      <c r="Z178" s="385">
        <f t="shared" si="62"/>
        <v>53.629572382387636</v>
      </c>
      <c r="AA178" s="386">
        <f t="shared" si="63"/>
        <v>57.188662944173068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6.2234197803501291E-2</v>
      </c>
      <c r="AD178" s="231">
        <f>(INDEX(Models!$BJ178:$BT178,,AH178)*(1-AF178)+INDEX(Models!$BJ178:$BT178,,AH178+1)*AF178-ERP_i)*AE178*Ramure*Pc/MaxiM</f>
        <v>2.3834367162763883E-4</v>
      </c>
      <c r="AE178" s="305">
        <f t="shared" si="65"/>
        <v>0.5</v>
      </c>
      <c r="AF178" s="177">
        <f t="shared" si="66"/>
        <v>0.76254131195283303</v>
      </c>
      <c r="AG178" s="811">
        <f t="shared" si="74"/>
        <v>2</v>
      </c>
      <c r="AH178" s="176">
        <f t="shared" si="67"/>
        <v>8</v>
      </c>
      <c r="AI178" s="225">
        <f t="shared" si="68"/>
        <v>2.762541311952833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48.063226179862113</v>
      </c>
      <c r="C179" s="841"/>
      <c r="D179" s="393">
        <f t="shared" si="50"/>
        <v>51.657908313143473</v>
      </c>
      <c r="E179" s="385">
        <f t="shared" si="75"/>
        <v>52.174556359286377</v>
      </c>
      <c r="F179" s="385">
        <f t="shared" si="51"/>
        <v>52.175677373978367</v>
      </c>
      <c r="G179" s="110">
        <f t="shared" si="76"/>
        <v>0.82162198933757213</v>
      </c>
      <c r="H179" s="414" t="b">
        <f>Wh_hp&gt;='2026'!Maxi_hp</f>
        <v>0</v>
      </c>
      <c r="I179" s="390">
        <f>IF(H179,Wh_hp,'2026'!Maxi_hp)</f>
        <v>57.514759839675243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6.9586288927744988E-2</v>
      </c>
      <c r="M179" s="845"/>
      <c r="N179" s="845"/>
      <c r="O179" s="48">
        <f>IF(t&lt;Tnet,'2026'!Resal+('2026'!Salim-'2026'!Resal)*(1-EXP(('2026'!Tnet-t)/('2026'!Tau_j))),Resal+(Salim-Resal)*(1-EXP((Tnet-t)/(Tau_j))))*Salcycl</f>
        <v>9.902298786886558E-3</v>
      </c>
      <c r="P179" s="169">
        <f>(INDEX(Models!$BJ179:$BT179,,T179)*(1-R179)+INDEX(Models!$BJ179:$BT179,,T179+1)*R179-ERP_i)*Q179*Ramure*Pc/MaxiM</f>
        <v>2.8832369260446813E-5</v>
      </c>
      <c r="Q179" s="305">
        <f t="shared" si="53"/>
        <v>0.5</v>
      </c>
      <c r="R179" s="177">
        <f t="shared" si="54"/>
        <v>0.24267288499668016</v>
      </c>
      <c r="S179" s="811">
        <f t="shared" si="55"/>
        <v>-1</v>
      </c>
      <c r="T179" s="176">
        <f t="shared" si="56"/>
        <v>5</v>
      </c>
      <c r="U179" s="251">
        <f t="shared" si="57"/>
        <v>-0.75732711500331984</v>
      </c>
      <c r="V179" s="383">
        <f t="shared" si="58"/>
        <v>58.497549574374581</v>
      </c>
      <c r="W179" s="402">
        <f t="shared" si="59"/>
        <v>48.063226179862113</v>
      </c>
      <c r="X179" s="157">
        <f t="shared" si="60"/>
        <v>46552</v>
      </c>
      <c r="Y179" s="385">
        <f t="shared" si="61"/>
        <v>45.512037976227553</v>
      </c>
      <c r="Z179" s="385">
        <f t="shared" si="62"/>
        <v>48.915914968382417</v>
      </c>
      <c r="AA179" s="386">
        <f t="shared" si="63"/>
        <v>52.166718712870598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6.2315664559637045E-2</v>
      </c>
      <c r="AD179" s="231">
        <f>(INDEX(Models!$BJ179:$BT179,,AH179)*(1-AF179)+INDEX(Models!$BJ179:$BT179,,AH179+1)*AF179-ERP_i)*AE179*Ramure*Pc/MaxiM</f>
        <v>2.3041573583726339E-4</v>
      </c>
      <c r="AE179" s="305">
        <f t="shared" si="65"/>
        <v>0.5</v>
      </c>
      <c r="AF179" s="177">
        <f t="shared" si="66"/>
        <v>0.7676604513706593</v>
      </c>
      <c r="AG179" s="811">
        <f t="shared" si="74"/>
        <v>2</v>
      </c>
      <c r="AH179" s="176">
        <f t="shared" si="67"/>
        <v>8</v>
      </c>
      <c r="AI179" s="225">
        <f t="shared" si="68"/>
        <v>2.7676604513706593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52.42831838493958</v>
      </c>
      <c r="C180" s="841"/>
      <c r="D180" s="393">
        <f t="shared" si="50"/>
        <v>56.350703026931114</v>
      </c>
      <c r="E180" s="385">
        <f t="shared" si="75"/>
        <v>56.920448010870437</v>
      </c>
      <c r="F180" s="385">
        <f t="shared" si="51"/>
        <v>56.921857355796426</v>
      </c>
      <c r="G180" s="110">
        <f t="shared" si="76"/>
        <v>0.89711646011122048</v>
      </c>
      <c r="H180" s="414" t="b">
        <f>Wh_hp&gt;='2026'!Maxi_hp</f>
        <v>0</v>
      </c>
      <c r="I180" s="390">
        <f>IF(H180,Wh_hp,'2026'!Maxi_hp)</f>
        <v>56.922054125427849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6.9606667375861297E-2</v>
      </c>
      <c r="M180" s="845"/>
      <c r="N180" s="845"/>
      <c r="O180" s="48">
        <f>IF(t&lt;Tnet,'2026'!Resal+('2026'!Salim-'2026'!Resal)*(1-EXP(('2026'!Tnet-t)/('2026'!Tau_j))),Resal+(Salim-Resal)*(1-EXP((Tnet-t)/(Tau_j))))*Salcycl</f>
        <v>1.0009495776113989E-2</v>
      </c>
      <c r="P180" s="169">
        <f>(INDEX(Models!$BJ180:$BT180,,T180)*(1-R180)+INDEX(Models!$BJ180:$BT180,,T180+1)*R180-ERP_i)*Q180*Ramure*Pc/MaxiM</f>
        <v>2.9025148275177334E-5</v>
      </c>
      <c r="Q180" s="305">
        <f t="shared" si="53"/>
        <v>0.5</v>
      </c>
      <c r="R180" s="177">
        <f t="shared" si="54"/>
        <v>0.24777480354382031</v>
      </c>
      <c r="S180" s="811">
        <f t="shared" si="55"/>
        <v>-1</v>
      </c>
      <c r="T180" s="176">
        <f t="shared" si="56"/>
        <v>5</v>
      </c>
      <c r="U180" s="251">
        <f t="shared" si="57"/>
        <v>-0.75222519645617969</v>
      </c>
      <c r="V180" s="383">
        <f t="shared" si="58"/>
        <v>58.44067861743023</v>
      </c>
      <c r="W180" s="402">
        <f t="shared" si="59"/>
        <v>52.42831838493958</v>
      </c>
      <c r="X180" s="157">
        <f t="shared" si="60"/>
        <v>46553</v>
      </c>
      <c r="Y180" s="385">
        <f t="shared" si="61"/>
        <v>49.645744259413689</v>
      </c>
      <c r="Z180" s="385">
        <f t="shared" si="62"/>
        <v>53.359952741051757</v>
      </c>
      <c r="AA180" s="386">
        <f t="shared" si="63"/>
        <v>56.910982271224086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6.2396208753680932E-2</v>
      </c>
      <c r="AD180" s="231">
        <f>(INDEX(Models!$BJ180:$BT180,,AH180)*(1-AF180)+INDEX(Models!$BJ180:$BT180,,AH180+1)*AF180-ERP_i)*AE180*Ramure*Pc/MaxiM</f>
        <v>2.2396997101077929E-4</v>
      </c>
      <c r="AE180" s="305">
        <f t="shared" si="65"/>
        <v>0.5</v>
      </c>
      <c r="AF180" s="177">
        <f t="shared" si="66"/>
        <v>0.77276236991779923</v>
      </c>
      <c r="AG180" s="811">
        <f t="shared" si="74"/>
        <v>2</v>
      </c>
      <c r="AH180" s="176">
        <f t="shared" si="67"/>
        <v>8</v>
      </c>
      <c r="AI180" s="225">
        <f t="shared" si="68"/>
        <v>2.7727623699177992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50.385866162543749</v>
      </c>
      <c r="C181" s="841"/>
      <c r="D181" s="393">
        <f t="shared" si="50"/>
        <v>54.156632468960055</v>
      </c>
      <c r="E181" s="385">
        <f t="shared" si="75"/>
        <v>54.710109468680344</v>
      </c>
      <c r="F181" s="385">
        <f t="shared" si="51"/>
        <v>54.711396670417415</v>
      </c>
      <c r="G181" s="110">
        <f t="shared" si="76"/>
        <v>0.86306418935193963</v>
      </c>
      <c r="H181" s="414" t="b">
        <f>Wh_hp&gt;='2026'!Maxi_hp</f>
        <v>0</v>
      </c>
      <c r="I181" s="390">
        <f>IF(H181,Wh_hp,'2026'!Maxi_hp)</f>
        <v>64.761857489550721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6.9627045377637309E-2</v>
      </c>
      <c r="M181" s="845"/>
      <c r="N181" s="845"/>
      <c r="O181" s="48">
        <f>IF(t&lt;Tnet,'2026'!Resal+('2026'!Salim-'2026'!Resal)*(1-EXP(('2026'!Tnet-t)/('2026'!Tau_j))),Resal+(Salim-Resal)*(1-EXP((Tnet-t)/(Tau_j))))*Salcycl</f>
        <v>1.011653979667396E-2</v>
      </c>
      <c r="P181" s="169">
        <f>(INDEX(Models!$BJ181:$BT181,,T181)*(1-R181)+INDEX(Models!$BJ181:$BT181,,T181+1)*R181-ERP_i)*Q181*Ramure*Pc/MaxiM</f>
        <v>2.9248603795578401E-5</v>
      </c>
      <c r="Q181" s="305">
        <f t="shared" si="53"/>
        <v>0.5</v>
      </c>
      <c r="R181" s="177">
        <f t="shared" si="54"/>
        <v>0.25285530441409221</v>
      </c>
      <c r="S181" s="811">
        <f t="shared" si="55"/>
        <v>-1</v>
      </c>
      <c r="T181" s="176">
        <f t="shared" si="56"/>
        <v>5</v>
      </c>
      <c r="U181" s="251">
        <f t="shared" si="57"/>
        <v>-0.74714469558590779</v>
      </c>
      <c r="V181" s="383">
        <f t="shared" si="58"/>
        <v>58.379873126017479</v>
      </c>
      <c r="W181" s="402">
        <f t="shared" si="59"/>
        <v>50.385866162543749</v>
      </c>
      <c r="X181" s="157">
        <f t="shared" si="60"/>
        <v>46554</v>
      </c>
      <c r="Y181" s="385">
        <f t="shared" si="61"/>
        <v>47.713451940885385</v>
      </c>
      <c r="Z181" s="385">
        <f t="shared" si="62"/>
        <v>51.284220702924685</v>
      </c>
      <c r="AA181" s="386">
        <f t="shared" si="63"/>
        <v>54.701756863563965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6.2475802544390467E-2</v>
      </c>
      <c r="AD181" s="231">
        <f>(INDEX(Models!$BJ181:$BT181,,AH181)*(1-AF181)+INDEX(Models!$BJ181:$BT181,,AH181+1)*AF181-ERP_i)*AE181*Ramure*Pc/MaxiM</f>
        <v>2.1904172687385053E-4</v>
      </c>
      <c r="AE181" s="305">
        <f t="shared" si="65"/>
        <v>0.5</v>
      </c>
      <c r="AF181" s="177">
        <f t="shared" si="66"/>
        <v>0.77784287078807113</v>
      </c>
      <c r="AG181" s="811">
        <f t="shared" si="74"/>
        <v>2</v>
      </c>
      <c r="AH181" s="176">
        <f t="shared" si="67"/>
        <v>8</v>
      </c>
      <c r="AI181" s="225">
        <f t="shared" si="68"/>
        <v>2.7778428707880711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50.454445344006722</v>
      </c>
      <c r="C182" s="841"/>
      <c r="D182" s="393">
        <f t="shared" si="50"/>
        <v>54.231531773762903</v>
      </c>
      <c r="E182" s="385">
        <f t="shared" si="75"/>
        <v>54.791690369224945</v>
      </c>
      <c r="F182" s="385">
        <f t="shared" si="51"/>
        <v>54.792995650967022</v>
      </c>
      <c r="G182" s="110">
        <f t="shared" si="76"/>
        <v>0.86519248363861923</v>
      </c>
      <c r="H182" s="414" t="b">
        <f>Wh_hp&gt;='2026'!Maxi_hp</f>
        <v>0</v>
      </c>
      <c r="I182" s="390">
        <f>IF(H182,Wh_hp,'2026'!Maxi_hp)</f>
        <v>62.682408537874828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6.9647422933082792E-2</v>
      </c>
      <c r="M182" s="845"/>
      <c r="N182" s="845"/>
      <c r="O182" s="48">
        <f>IF(t&lt;Tnet,'2026'!Resal+('2026'!Salim-'2026'!Resal)*(1-EXP(('2026'!Tnet-t)/('2026'!Tau_j))),Resal+(Salim-Resal)*(1-EXP((Tnet-t)/(Tau_j))))*Salcycl</f>
        <v>1.022342241473664E-2</v>
      </c>
      <c r="P182" s="169">
        <f>(INDEX(Models!$BJ182:$BT182,,T182)*(1-R182)+INDEX(Models!$BJ182:$BT182,,T182+1)*R182-ERP_i)*Q182*Ramure*Pc/MaxiM</f>
        <v>2.9503742118462865E-5</v>
      </c>
      <c r="Q182" s="305">
        <f t="shared" si="53"/>
        <v>0.5</v>
      </c>
      <c r="R182" s="177">
        <f t="shared" si="54"/>
        <v>0.25791026194375188</v>
      </c>
      <c r="S182" s="811">
        <f t="shared" si="55"/>
        <v>-1</v>
      </c>
      <c r="T182" s="176">
        <f t="shared" si="56"/>
        <v>5</v>
      </c>
      <c r="U182" s="251">
        <f t="shared" si="57"/>
        <v>-0.74208973805624812</v>
      </c>
      <c r="V182" s="383">
        <f t="shared" si="58"/>
        <v>58.31553050322924</v>
      </c>
      <c r="W182" s="402">
        <f t="shared" si="59"/>
        <v>50.454445344006722</v>
      </c>
      <c r="X182" s="157">
        <f t="shared" si="60"/>
        <v>46555</v>
      </c>
      <c r="Y182" s="385">
        <f t="shared" si="61"/>
        <v>47.779658683036658</v>
      </c>
      <c r="Z182" s="385">
        <f t="shared" si="62"/>
        <v>51.356507049907407</v>
      </c>
      <c r="AA182" s="386">
        <f t="shared" si="63"/>
        <v>54.783454309758042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6.2554420910990699E-2</v>
      </c>
      <c r="AD182" s="231">
        <f>(INDEX(Models!$BJ182:$BT182,,AH182)*(1-AF182)+INDEX(Models!$BJ182:$BT182,,AH182+1)*AF182-ERP_i)*AE182*Ramure*Pc/MaxiM</f>
        <v>2.1566628982822836E-4</v>
      </c>
      <c r="AE182" s="305">
        <f t="shared" si="65"/>
        <v>0.5</v>
      </c>
      <c r="AF182" s="177">
        <f t="shared" si="66"/>
        <v>0.78289782831773103</v>
      </c>
      <c r="AG182" s="811">
        <f t="shared" si="74"/>
        <v>2</v>
      </c>
      <c r="AH182" s="176">
        <f t="shared" si="67"/>
        <v>8</v>
      </c>
      <c r="AI182" s="225">
        <f t="shared" si="68"/>
        <v>2.782897828317731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53.759519236972579</v>
      </c>
      <c r="C183" s="841"/>
      <c r="D183" s="393">
        <f t="shared" si="50"/>
        <v>57.785293510653027</v>
      </c>
      <c r="E183" s="385">
        <f t="shared" si="75"/>
        <v>58.388454156455346</v>
      </c>
      <c r="F183" s="385">
        <f t="shared" si="51"/>
        <v>58.390002191856034</v>
      </c>
      <c r="G183" s="110">
        <f t="shared" si="76"/>
        <v>0.92293810422063038</v>
      </c>
      <c r="H183" s="414" t="b">
        <f>Wh_hp&gt;='2026'!Maxi_hp</f>
        <v>0</v>
      </c>
      <c r="I183" s="390">
        <f>IF(H183,Wh_hp,'2026'!Maxi_hp)</f>
        <v>60.904385564297691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6.9667800042207517E-2</v>
      </c>
      <c r="M183" s="845"/>
      <c r="N183" s="845"/>
      <c r="O183" s="48">
        <f>IF(t&lt;Tnet,'2026'!Resal+('2026'!Salim-'2026'!Resal)*(1-EXP(('2026'!Tnet-t)/('2026'!Tau_j))),Resal+(Salim-Resal)*(1-EXP((Tnet-t)/(Tau_j))))*Salcycl</f>
        <v>1.0330135546766067E-2</v>
      </c>
      <c r="P183" s="169">
        <f>(INDEX(Models!$BJ183:$BT183,,T183)*(1-R183)+INDEX(Models!$BJ183:$BT183,,T183+1)*R183-ERP_i)*Q183*Ramure*Pc/MaxiM</f>
        <v>2.9791572632772353E-5</v>
      </c>
      <c r="Q183" s="305">
        <f t="shared" si="53"/>
        <v>0.5</v>
      </c>
      <c r="R183" s="177">
        <f t="shared" si="54"/>
        <v>0.26293563472602388</v>
      </c>
      <c r="S183" s="811">
        <f t="shared" si="55"/>
        <v>-1</v>
      </c>
      <c r="T183" s="176">
        <f t="shared" si="56"/>
        <v>5</v>
      </c>
      <c r="U183" s="251">
        <f t="shared" si="57"/>
        <v>-0.73706436527397612</v>
      </c>
      <c r="V183" s="383">
        <f t="shared" si="58"/>
        <v>58.248047922061055</v>
      </c>
      <c r="W183" s="402">
        <f t="shared" si="59"/>
        <v>53.759519236972579</v>
      </c>
      <c r="X183" s="157">
        <f t="shared" si="60"/>
        <v>46556</v>
      </c>
      <c r="Y183" s="385">
        <f t="shared" si="61"/>
        <v>50.910103439217337</v>
      </c>
      <c r="Z183" s="385">
        <f t="shared" si="62"/>
        <v>54.722499599097006</v>
      </c>
      <c r="AA183" s="386">
        <f t="shared" si="63"/>
        <v>58.378888585267035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6.2632041732510566E-2</v>
      </c>
      <c r="AD183" s="231">
        <f>(INDEX(Models!$BJ183:$BT183,,AH183)*(1-AF183)+INDEX(Models!$BJ183:$BT183,,AH183+1)*AF183-ERP_i)*AE183*Ramure*Pc/MaxiM</f>
        <v>2.1387871218012772E-4</v>
      </c>
      <c r="AE183" s="305">
        <f t="shared" si="65"/>
        <v>0.5</v>
      </c>
      <c r="AF183" s="177">
        <f t="shared" si="66"/>
        <v>0.78792320110000258</v>
      </c>
      <c r="AG183" s="811">
        <f t="shared" si="74"/>
        <v>2</v>
      </c>
      <c r="AH183" s="176">
        <f t="shared" si="67"/>
        <v>8</v>
      </c>
      <c r="AI183" s="225">
        <f t="shared" si="68"/>
        <v>2.7879232011000026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54.856329783473726</v>
      </c>
      <c r="C184" s="841"/>
      <c r="D184" s="393">
        <f t="shared" si="50"/>
        <v>58.965530061935105</v>
      </c>
      <c r="E184" s="385">
        <f t="shared" si="75"/>
        <v>59.587424435864335</v>
      </c>
      <c r="F184" s="385">
        <f t="shared" si="51"/>
        <v>59.589072185907298</v>
      </c>
      <c r="G184" s="110">
        <f t="shared" si="76"/>
        <v>0.94290560521751199</v>
      </c>
      <c r="H184" s="414" t="b">
        <f>Wh_hp&gt;='2026'!Maxi_hp</f>
        <v>0</v>
      </c>
      <c r="I184" s="390">
        <f>IF(H184,Wh_hp,'2026'!Maxi_hp)</f>
        <v>59.589188986618893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6.9688176705021254E-2</v>
      </c>
      <c r="M184" s="845"/>
      <c r="N184" s="845"/>
      <c r="O184" s="48">
        <f>IF(t&lt;Tnet,'2026'!Resal+('2026'!Salim-'2026'!Resal)*(1-EXP(('2026'!Tnet-t)/('2026'!Tau_j))),Resal+(Salim-Resal)*(1-EXP((Tnet-t)/(Tau_j))))*Salcycl</f>
        <v>1.0436671492633347E-2</v>
      </c>
      <c r="P184" s="169">
        <f>(INDEX(Models!$BJ184:$BT184,,T184)*(1-R184)+INDEX(Models!$BJ184:$BT184,,T184+1)*R184-ERP_i)*Q184*Ramure*Pc/MaxiM</f>
        <v>3.0107449869624641E-5</v>
      </c>
      <c r="Q184" s="305">
        <f t="shared" si="53"/>
        <v>0.5</v>
      </c>
      <c r="R184" s="177">
        <f t="shared" si="54"/>
        <v>0.26792747814043638</v>
      </c>
      <c r="S184" s="811">
        <f t="shared" si="55"/>
        <v>-1</v>
      </c>
      <c r="T184" s="176">
        <f t="shared" si="56"/>
        <v>5</v>
      </c>
      <c r="U184" s="251">
        <f t="shared" si="57"/>
        <v>-0.73207252185956362</v>
      </c>
      <c r="V184" s="383">
        <f t="shared" si="58"/>
        <v>58.177822650338335</v>
      </c>
      <c r="W184" s="402">
        <f t="shared" si="59"/>
        <v>54.856329783473726</v>
      </c>
      <c r="X184" s="157">
        <f t="shared" si="60"/>
        <v>46557</v>
      </c>
      <c r="Y184" s="385">
        <f t="shared" si="61"/>
        <v>51.949867356760969</v>
      </c>
      <c r="Z184" s="385">
        <f t="shared" si="62"/>
        <v>55.841349164804669</v>
      </c>
      <c r="AA184" s="386">
        <f t="shared" si="63"/>
        <v>59.577365050512299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6.2708645851324032E-2</v>
      </c>
      <c r="AD184" s="231">
        <f>(INDEX(Models!$BJ184:$BT184,,AH184)*(1-AF184)+INDEX(Models!$BJ184:$BT184,,AH184+1)*AF184-ERP_i)*AE184*Ramure*Pc/MaxiM</f>
        <v>2.1391108046235524E-4</v>
      </c>
      <c r="AE184" s="305">
        <f t="shared" si="65"/>
        <v>0.5</v>
      </c>
      <c r="AF184" s="177">
        <f t="shared" si="66"/>
        <v>0.79291504451441508</v>
      </c>
      <c r="AG184" s="811">
        <f t="shared" si="74"/>
        <v>2</v>
      </c>
      <c r="AH184" s="176">
        <f t="shared" si="67"/>
        <v>8</v>
      </c>
      <c r="AI184" s="225">
        <f t="shared" si="68"/>
        <v>2.7929150445144151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30.549718403778463</v>
      </c>
      <c r="C185" s="841"/>
      <c r="D185" s="393">
        <f t="shared" si="50"/>
        <v>32.838868399487417</v>
      </c>
      <c r="E185" s="385">
        <f t="shared" si="75"/>
        <v>33.188778452943275</v>
      </c>
      <c r="F185" s="385">
        <f t="shared" si="51"/>
        <v>33.189103968093448</v>
      </c>
      <c r="G185" s="110">
        <f t="shared" si="76"/>
        <v>0.52575433343599776</v>
      </c>
      <c r="H185" s="414" t="b">
        <f>Wh_hp&gt;='2026'!Maxi_hp</f>
        <v>0</v>
      </c>
      <c r="I185" s="390">
        <f>IF(H185,Wh_hp,'2026'!Maxi_hp)</f>
        <v>58.208712843769881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6.9708552921533773E-2</v>
      </c>
      <c r="M185" s="845"/>
      <c r="N185" s="845"/>
      <c r="O185" s="48">
        <f>IF(t&lt;Tnet,'2026'!Resal+('2026'!Salim-'2026'!Resal)*(1-EXP(('2026'!Tnet-t)/('2026'!Tau_j))),Resal+(Salim-Resal)*(1-EXP((Tnet-t)/(Tau_j))))*Salcycl</f>
        <v>1.0543022966391395E-2</v>
      </c>
      <c r="P185" s="169">
        <f>(INDEX(Models!$BJ185:$BT185,,T185)*(1-R185)+INDEX(Models!$BJ185:$BT185,,T185+1)*R185-ERP_i)*Q185*Ramure*Pc/MaxiM</f>
        <v>3.0410025601716956E-5</v>
      </c>
      <c r="Q185" s="305">
        <f t="shared" si="53"/>
        <v>0.5</v>
      </c>
      <c r="R185" s="177">
        <f t="shared" si="54"/>
        <v>0.27288195621751865</v>
      </c>
      <c r="S185" s="811">
        <f t="shared" si="55"/>
        <v>-1</v>
      </c>
      <c r="T185" s="176">
        <f t="shared" si="56"/>
        <v>5</v>
      </c>
      <c r="U185" s="251">
        <f t="shared" si="57"/>
        <v>-0.72711804378248135</v>
      </c>
      <c r="V185" s="383">
        <f t="shared" si="58"/>
        <v>58.105253852266898</v>
      </c>
      <c r="W185" s="402">
        <f t="shared" si="59"/>
        <v>30.549718403778463</v>
      </c>
      <c r="X185" s="157">
        <f t="shared" si="60"/>
        <v>46558</v>
      </c>
      <c r="Y185" s="385">
        <f t="shared" si="61"/>
        <v>28.935042923802673</v>
      </c>
      <c r="Z185" s="385">
        <f t="shared" si="62"/>
        <v>31.103202135923887</v>
      </c>
      <c r="AA185" s="386">
        <f t="shared" si="63"/>
        <v>33.186810021870556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6.2784217120402441E-2</v>
      </c>
      <c r="AD185" s="231">
        <f>(INDEX(Models!$BJ185:$BT185,,AH185)*(1-AF185)+INDEX(Models!$BJ185:$BT185,,AH185+1)*AF185-ERP_i)*AE185*Ramure*Pc/MaxiM</f>
        <v>2.1430327691657401E-4</v>
      </c>
      <c r="AE185" s="305">
        <f t="shared" si="65"/>
        <v>0.5</v>
      </c>
      <c r="AF185" s="177">
        <f t="shared" si="66"/>
        <v>0.79786952259149757</v>
      </c>
      <c r="AG185" s="811">
        <f t="shared" si="74"/>
        <v>2</v>
      </c>
      <c r="AH185" s="176">
        <f t="shared" si="67"/>
        <v>8</v>
      </c>
      <c r="AI185" s="225">
        <f t="shared" si="68"/>
        <v>2.7978695225914976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22.814395874426726</v>
      </c>
      <c r="C186" s="841"/>
      <c r="D186" s="393">
        <f t="shared" si="50"/>
        <v>24.524460211734542</v>
      </c>
      <c r="E186" s="385">
        <f t="shared" si="75"/>
        <v>24.788436814744234</v>
      </c>
      <c r="F186" s="385">
        <f t="shared" si="51"/>
        <v>24.788538071919515</v>
      </c>
      <c r="G186" s="110">
        <f t="shared" si="76"/>
        <v>0.39313283695809315</v>
      </c>
      <c r="H186" s="414" t="b">
        <f>Wh_hp&gt;='2026'!Maxi_hp</f>
        <v>0</v>
      </c>
      <c r="I186" s="390">
        <f>IF(H186,Wh_hp,'2026'!Maxi_hp)</f>
        <v>54.428674381419142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6.9728928691754843E-2</v>
      </c>
      <c r="M186" s="845"/>
      <c r="N186" s="845"/>
      <c r="O186" s="48">
        <f>IF(t&lt;Tnet,'2026'!Resal+('2026'!Salim-'2026'!Resal)*(1-EXP(('2026'!Tnet-t)/('2026'!Tau_j))),Resal+(Salim-Resal)*(1-EXP((Tnet-t)/(Tau_j))))*Salcycl</f>
        <v>1.064918312447511E-2</v>
      </c>
      <c r="P186" s="169">
        <f>(INDEX(Models!$BJ186:$BT186,,T186)*(1-R186)+INDEX(Models!$BJ186:$BT186,,T186+1)*R186-ERP_i)*Q186*Ramure*Pc/MaxiM</f>
        <v>3.0698793837784756E-5</v>
      </c>
      <c r="Q186" s="305">
        <f t="shared" si="53"/>
        <v>0.5</v>
      </c>
      <c r="R186" s="177">
        <f t="shared" si="54"/>
        <v>0.2777953527671454</v>
      </c>
      <c r="S186" s="811">
        <f t="shared" si="55"/>
        <v>-1</v>
      </c>
      <c r="T186" s="176">
        <f t="shared" si="56"/>
        <v>5</v>
      </c>
      <c r="U186" s="251">
        <f t="shared" si="57"/>
        <v>-0.7222046472328546</v>
      </c>
      <c r="V186" s="383">
        <f t="shared" si="58"/>
        <v>58.030738076112577</v>
      </c>
      <c r="W186" s="402">
        <f t="shared" si="59"/>
        <v>22.814395874426726</v>
      </c>
      <c r="X186" s="157">
        <f t="shared" si="60"/>
        <v>46559</v>
      </c>
      <c r="Y186" s="385">
        <f t="shared" si="61"/>
        <v>21.609915083972673</v>
      </c>
      <c r="Z186" s="385">
        <f t="shared" si="62"/>
        <v>23.229696967339354</v>
      </c>
      <c r="AA186" s="386">
        <f t="shared" si="63"/>
        <v>24.787828707563957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6.2858742433908307E-2</v>
      </c>
      <c r="AD186" s="231">
        <f>(INDEX(Models!$BJ186:$BT186,,AH186)*(1-AF186)+INDEX(Models!$BJ186:$BT186,,AH186+1)*AF186-ERP_i)*AE186*Ramure*Pc/MaxiM</f>
        <v>2.1506258738475425E-4</v>
      </c>
      <c r="AE186" s="305">
        <f t="shared" si="65"/>
        <v>0.5</v>
      </c>
      <c r="AF186" s="177">
        <f t="shared" si="66"/>
        <v>0.80278291914112421</v>
      </c>
      <c r="AG186" s="811">
        <f t="shared" si="74"/>
        <v>2</v>
      </c>
      <c r="AH186" s="176">
        <f t="shared" si="67"/>
        <v>8</v>
      </c>
      <c r="AI186" s="225">
        <f t="shared" si="68"/>
        <v>2.8027829191411242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38.160193256652178</v>
      </c>
      <c r="C187" s="841"/>
      <c r="D187" s="393">
        <f t="shared" si="50"/>
        <v>41.021407907977505</v>
      </c>
      <c r="E187" s="385">
        <f t="shared" si="75"/>
        <v>41.467395786950327</v>
      </c>
      <c r="F187" s="385">
        <f t="shared" si="51"/>
        <v>41.468053490028225</v>
      </c>
      <c r="G187" s="110">
        <f t="shared" si="76"/>
        <v>0.65843900872995853</v>
      </c>
      <c r="H187" s="414" t="b">
        <f>Wh_hp&gt;='2026'!Maxi_hp</f>
        <v>0</v>
      </c>
      <c r="I187" s="390">
        <f>IF(H187,Wh_hp,'2026'!Maxi_hp)</f>
        <v>63.004166310746122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6.9749304015694236E-2</v>
      </c>
      <c r="M187" s="845"/>
      <c r="N187" s="845"/>
      <c r="O187" s="48">
        <f>IF(t&lt;Tnet,'2026'!Resal+('2026'!Salim-'2026'!Resal)*(1-EXP(('2026'!Tnet-t)/('2026'!Tau_j))),Resal+(Salim-Resal)*(1-EXP((Tnet-t)/(Tau_j))))*Salcycl</f>
        <v>1.075514559110983E-2</v>
      </c>
      <c r="P187" s="169">
        <f>(INDEX(Models!$BJ187:$BT187,,T187)*(1-R187)+INDEX(Models!$BJ187:$BT187,,T187+1)*R187-ERP_i)*Q187*Ramure*Pc/MaxiM</f>
        <v>3.0973261534878826E-5</v>
      </c>
      <c r="Q187" s="305">
        <f t="shared" si="53"/>
        <v>0.5</v>
      </c>
      <c r="R187" s="177">
        <f t="shared" si="54"/>
        <v>0.28266408170723301</v>
      </c>
      <c r="S187" s="811">
        <f t="shared" si="55"/>
        <v>-1</v>
      </c>
      <c r="T187" s="176">
        <f t="shared" si="56"/>
        <v>5</v>
      </c>
      <c r="U187" s="251">
        <f t="shared" si="57"/>
        <v>-0.71733591829276699</v>
      </c>
      <c r="V187" s="383">
        <f t="shared" si="58"/>
        <v>57.954671632082153</v>
      </c>
      <c r="W187" s="402">
        <f t="shared" si="59"/>
        <v>38.160193256652178</v>
      </c>
      <c r="X187" s="157">
        <f t="shared" si="60"/>
        <v>46560</v>
      </c>
      <c r="Y187" s="385">
        <f t="shared" si="61"/>
        <v>36.144030544148045</v>
      </c>
      <c r="Z187" s="385">
        <f t="shared" si="62"/>
        <v>38.854075251084609</v>
      </c>
      <c r="AA187" s="386">
        <f t="shared" si="63"/>
        <v>41.463462662896404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6.2932211740887894E-2</v>
      </c>
      <c r="AD187" s="231">
        <f>(INDEX(Models!$BJ187:$BT187,,AH187)*(1-AF187)+INDEX(Models!$BJ187:$BT187,,AH187+1)*AF187-ERP_i)*AE187*Ramure*Pc/MaxiM</f>
        <v>2.1619617452713752E-4</v>
      </c>
      <c r="AE187" s="305">
        <f t="shared" si="65"/>
        <v>0.5</v>
      </c>
      <c r="AF187" s="177">
        <f t="shared" si="66"/>
        <v>0.8076516480812117</v>
      </c>
      <c r="AG187" s="811">
        <f t="shared" si="74"/>
        <v>2</v>
      </c>
      <c r="AH187" s="176">
        <f t="shared" si="67"/>
        <v>8</v>
      </c>
      <c r="AI187" s="225">
        <f t="shared" si="68"/>
        <v>2.8076516480812117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40.757158172440754</v>
      </c>
      <c r="C188" s="841"/>
      <c r="D188" s="393">
        <f t="shared" si="50"/>
        <v>43.814050399856299</v>
      </c>
      <c r="E188" s="385">
        <f t="shared" si="75"/>
        <v>44.295135636970535</v>
      </c>
      <c r="F188" s="385">
        <f t="shared" si="51"/>
        <v>44.295934492152064</v>
      </c>
      <c r="G188" s="110">
        <f t="shared" si="76"/>
        <v>0.70418824284485571</v>
      </c>
      <c r="H188" s="414" t="b">
        <f>Wh_hp&gt;='2026'!Maxi_hp</f>
        <v>0</v>
      </c>
      <c r="I188" s="390">
        <f>IF(H188,Wh_hp,'2026'!Maxi_hp)</f>
        <v>55.386626209177535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6.9769678893361831E-2</v>
      </c>
      <c r="M188" s="845"/>
      <c r="N188" s="845"/>
      <c r="O188" s="48">
        <f>IF(t&lt;Tnet,'2026'!Resal+('2026'!Salim-'2026'!Resal)*(1-EXP(('2026'!Tnet-t)/('2026'!Tau_j))),Resal+(Salim-Resal)*(1-EXP((Tnet-t)/(Tau_j))))*Salcycl</f>
        <v>1.0860904480732719E-2</v>
      </c>
      <c r="P188" s="169">
        <f>(INDEX(Models!$BJ188:$BT188,,T188)*(1-R188)+INDEX(Models!$BJ188:$BT188,,T188+1)*R188-ERP_i)*Q188*Ramure*Pc/MaxiM</f>
        <v>3.1232630648060651E-5</v>
      </c>
      <c r="Q188" s="305">
        <f t="shared" si="53"/>
        <v>0.5</v>
      </c>
      <c r="R188" s="177">
        <f t="shared" si="54"/>
        <v>0.28748469653845499</v>
      </c>
      <c r="S188" s="811">
        <f t="shared" si="55"/>
        <v>-1</v>
      </c>
      <c r="T188" s="176">
        <f t="shared" si="56"/>
        <v>5</v>
      </c>
      <c r="U188" s="251">
        <f t="shared" si="57"/>
        <v>-0.71251530346154501</v>
      </c>
      <c r="V188" s="383">
        <f t="shared" si="58"/>
        <v>57.877450608841414</v>
      </c>
      <c r="W188" s="402">
        <f t="shared" si="59"/>
        <v>40.757158172440754</v>
      </c>
      <c r="X188" s="157">
        <f t="shared" si="60"/>
        <v>46561</v>
      </c>
      <c r="Y188" s="385">
        <f t="shared" si="61"/>
        <v>38.604435937872864</v>
      </c>
      <c r="Z188" s="385">
        <f t="shared" si="62"/>
        <v>41.499868432527037</v>
      </c>
      <c r="AA188" s="386">
        <f t="shared" si="63"/>
        <v>44.290366026996125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6.3004618041950886E-2</v>
      </c>
      <c r="AD188" s="231">
        <f>(INDEX(Models!$BJ188:$BT188,,AH188)*(1-AF188)+INDEX(Models!$BJ188:$BT188,,AH188+1)*AF188-ERP_i)*AE188*Ramure*Pc/MaxiM</f>
        <v>2.1770881570656563E-4</v>
      </c>
      <c r="AE188" s="305">
        <f t="shared" si="65"/>
        <v>0.5</v>
      </c>
      <c r="AF188" s="177">
        <f t="shared" si="66"/>
        <v>0.81247226291243368</v>
      </c>
      <c r="AG188" s="811">
        <f t="shared" si="74"/>
        <v>2</v>
      </c>
      <c r="AH188" s="176">
        <f t="shared" si="67"/>
        <v>8</v>
      </c>
      <c r="AI188" s="225">
        <f t="shared" si="68"/>
        <v>2.8124722629124337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38.952451403271198</v>
      </c>
      <c r="C189" s="841"/>
      <c r="D189" s="393">
        <f t="shared" si="50"/>
        <v>41.874903125359495</v>
      </c>
      <c r="E189" s="385">
        <f t="shared" si="75"/>
        <v>42.339214187812523</v>
      </c>
      <c r="F189" s="385">
        <f t="shared" si="51"/>
        <v>42.339926083260494</v>
      </c>
      <c r="G189" s="110">
        <f t="shared" si="76"/>
        <v>0.67391413246480425</v>
      </c>
      <c r="H189" s="414" t="b">
        <f>Wh_hp&gt;='2026'!Maxi_hp</f>
        <v>0</v>
      </c>
      <c r="I189" s="390">
        <f>IF(H189,Wh_hp,'2026'!Maxi_hp)</f>
        <v>62.031075143124923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6.9790053324767176E-2</v>
      </c>
      <c r="M189" s="845"/>
      <c r="N189" s="845"/>
      <c r="O189" s="48">
        <f>IF(t&lt;Tnet,'2026'!Resal+('2026'!Salim-'2026'!Resal)*(1-EXP(('2026'!Tnet-t)/('2026'!Tau_j))),Resal+(Salim-Resal)*(1-EXP((Tnet-t)/(Tau_j))))*Salcycl</f>
        <v>1.0966454417254766E-2</v>
      </c>
      <c r="P189" s="169">
        <f>(INDEX(Models!$BJ189:$BT189,,T189)*(1-R189)+INDEX(Models!$BJ189:$BT189,,T189+1)*R189-ERP_i)*Q189*Ramure*Pc/MaxiM</f>
        <v>3.1476091814984592E-5</v>
      </c>
      <c r="Q189" s="305">
        <f t="shared" si="53"/>
        <v>0.5</v>
      </c>
      <c r="R189" s="177">
        <f t="shared" si="54"/>
        <v>0.29225389891999731</v>
      </c>
      <c r="S189" s="811">
        <f t="shared" si="55"/>
        <v>-1</v>
      </c>
      <c r="T189" s="176">
        <f t="shared" si="56"/>
        <v>5</v>
      </c>
      <c r="U189" s="251">
        <f t="shared" si="57"/>
        <v>-0.70774610108000269</v>
      </c>
      <c r="V189" s="383">
        <f t="shared" si="58"/>
        <v>57.799470860421422</v>
      </c>
      <c r="W189" s="402">
        <f t="shared" si="59"/>
        <v>38.952451403271198</v>
      </c>
      <c r="X189" s="157">
        <f t="shared" si="60"/>
        <v>46562</v>
      </c>
      <c r="Y189" s="385">
        <f t="shared" si="61"/>
        <v>36.8964437644971</v>
      </c>
      <c r="Z189" s="385">
        <f t="shared" si="62"/>
        <v>39.66464118812403</v>
      </c>
      <c r="AA189" s="386">
        <f t="shared" si="63"/>
        <v>42.334959274541582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6.3075957368957894E-2</v>
      </c>
      <c r="AD189" s="231">
        <f>(INDEX(Models!$BJ189:$BT189,,AH189)*(1-AF189)+INDEX(Models!$BJ189:$BT189,,AH189+1)*AF189-ERP_i)*AE189*Ramure*Pc/MaxiM</f>
        <v>2.1960489803567738E-4</v>
      </c>
      <c r="AE189" s="305">
        <f t="shared" si="65"/>
        <v>0.5</v>
      </c>
      <c r="AF189" s="177">
        <f t="shared" si="66"/>
        <v>0.81724146529397634</v>
      </c>
      <c r="AG189" s="811">
        <f t="shared" si="74"/>
        <v>2</v>
      </c>
      <c r="AH189" s="176">
        <f t="shared" si="67"/>
        <v>8</v>
      </c>
      <c r="AI189" s="225">
        <f t="shared" si="68"/>
        <v>2.8172414652939763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34.279072365130226</v>
      </c>
      <c r="C190" s="841"/>
      <c r="D190" s="393">
        <f t="shared" si="50"/>
        <v>36.851705686182008</v>
      </c>
      <c r="E190" s="385">
        <f t="shared" si="75"/>
        <v>37.26428807878581</v>
      </c>
      <c r="F190" s="385">
        <f t="shared" si="51"/>
        <v>37.264784058774907</v>
      </c>
      <c r="G190" s="110">
        <f t="shared" si="76"/>
        <v>0.59386299333249837</v>
      </c>
      <c r="H190" s="414" t="b">
        <f>Wh_hp&gt;='2026'!Maxi_hp</f>
        <v>0</v>
      </c>
      <c r="I190" s="390">
        <f>IF(H190,Wh_hp,'2026'!Maxi_hp)</f>
        <v>59.517932616441065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6.9810427309920264E-2</v>
      </c>
      <c r="M190" s="845"/>
      <c r="N190" s="845"/>
      <c r="O190" s="48">
        <f>IF(t&lt;Tnet,'2026'!Resal+('2026'!Salim-'2026'!Resal)*(1-EXP(('2026'!Tnet-t)/('2026'!Tau_j))),Resal+(Salim-Resal)*(1-EXP((Tnet-t)/(Tau_j))))*Salcycl</f>
        <v>1.1071790550016869E-2</v>
      </c>
      <c r="P190" s="169">
        <f>(INDEX(Models!$BJ190:$BT190,,T190)*(1-R190)+INDEX(Models!$BJ190:$BT190,,T190+1)*R190-ERP_i)*Q190*Ramure*Pc/MaxiM</f>
        <v>3.1703159397721345E-5</v>
      </c>
      <c r="Q190" s="305">
        <f t="shared" si="53"/>
        <v>0.5</v>
      </c>
      <c r="R190" s="177">
        <f t="shared" si="54"/>
        <v>0.29696854631097325</v>
      </c>
      <c r="S190" s="811">
        <f t="shared" si="55"/>
        <v>-1</v>
      </c>
      <c r="T190" s="176">
        <f t="shared" si="56"/>
        <v>5</v>
      </c>
      <c r="U190" s="251">
        <f t="shared" si="57"/>
        <v>-0.70303145368902675</v>
      </c>
      <c r="V190" s="383">
        <f t="shared" si="58"/>
        <v>57.721127984080262</v>
      </c>
      <c r="W190" s="402">
        <f t="shared" si="59"/>
        <v>34.279072365130226</v>
      </c>
      <c r="X190" s="157">
        <f t="shared" si="60"/>
        <v>46563</v>
      </c>
      <c r="Y190" s="385">
        <f t="shared" si="61"/>
        <v>32.471430903622156</v>
      </c>
      <c r="Z190" s="385">
        <f t="shared" si="62"/>
        <v>34.90840131621318</v>
      </c>
      <c r="AA190" s="386">
        <f t="shared" si="63"/>
        <v>37.261312690834501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6.3146228747869182E-2</v>
      </c>
      <c r="AD190" s="231">
        <f>(INDEX(Models!$BJ190:$BT190,,AH190)*(1-AF190)+INDEX(Models!$BJ190:$BT190,,AH190+1)*AF190-ERP_i)*AE190*Ramure*Pc/MaxiM</f>
        <v>2.2189066809751549E-4</v>
      </c>
      <c r="AE190" s="305">
        <f t="shared" si="65"/>
        <v>0.5</v>
      </c>
      <c r="AF190" s="177">
        <f t="shared" si="66"/>
        <v>0.82195611268495217</v>
      </c>
      <c r="AG190" s="811">
        <f t="shared" si="74"/>
        <v>2</v>
      </c>
      <c r="AH190" s="176">
        <f t="shared" si="67"/>
        <v>8</v>
      </c>
      <c r="AI190" s="225">
        <f t="shared" si="68"/>
        <v>2.8219561126849522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11.5013686930532</v>
      </c>
      <c r="C191" s="841"/>
      <c r="D191" s="393">
        <f t="shared" si="50"/>
        <v>12.3648135237641</v>
      </c>
      <c r="E191" s="385">
        <f t="shared" si="75"/>
        <v>12.504576026674844</v>
      </c>
      <c r="F191" s="385">
        <f t="shared" si="51"/>
        <v>12.504576026674844</v>
      </c>
      <c r="G191" s="110">
        <f t="shared" si="76"/>
        <v>0.1995252695444206</v>
      </c>
      <c r="H191" s="414" t="b">
        <f>Wh_hp&gt;='2026'!Maxi_hp</f>
        <v>0</v>
      </c>
      <c r="I191" s="390">
        <f>IF(H191,Wh_hp,'2026'!Maxi_hp)</f>
        <v>61.557220620707511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6.9830800848830754E-2</v>
      </c>
      <c r="M191" s="845"/>
      <c r="N191" s="845"/>
      <c r="O191" s="48">
        <f>IF(t&lt;Tnet,'2026'!Resal+('2026'!Salim-'2026'!Resal)*(1-EXP(('2026'!Tnet-t)/('2026'!Tau_j))),Resal+(Salim-Resal)*(1-EXP((Tnet-t)/(Tau_j))))*Salcycl</f>
        <v>1.1176908566320122E-2</v>
      </c>
      <c r="P191" s="169">
        <f>(INDEX(Models!$BJ191:$BT191,,T191)*(1-R191)+INDEX(Models!$BJ191:$BT191,,T191+1)*R191-ERP_i)*Q191*Ramure*Pc/MaxiM</f>
        <v>3.1913913907943468E-5</v>
      </c>
      <c r="Q191" s="305">
        <f t="shared" si="53"/>
        <v>0.5</v>
      </c>
      <c r="R191" s="177">
        <f t="shared" si="54"/>
        <v>0.30162565865180546</v>
      </c>
      <c r="S191" s="811">
        <f t="shared" si="55"/>
        <v>-1</v>
      </c>
      <c r="T191" s="176">
        <f t="shared" si="56"/>
        <v>5</v>
      </c>
      <c r="U191" s="251">
        <f t="shared" si="57"/>
        <v>-0.69837434134819454</v>
      </c>
      <c r="V191" s="383">
        <f t="shared" si="58"/>
        <v>57.641829857558079</v>
      </c>
      <c r="W191" s="402">
        <f t="shared" si="59"/>
        <v>11.5013686930532</v>
      </c>
      <c r="X191" s="157">
        <f t="shared" si="60"/>
        <v>46564</v>
      </c>
      <c r="Y191" s="385">
        <f t="shared" si="61"/>
        <v>10.896089271376297</v>
      </c>
      <c r="Z191" s="385">
        <f t="shared" si="62"/>
        <v>11.714093824348925</v>
      </c>
      <c r="AA191" s="386">
        <f t="shared" si="63"/>
        <v>12.504576026674844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6.3215434145040758E-2</v>
      </c>
      <c r="AD191" s="231">
        <f>(INDEX(Models!$BJ191:$BT191,,AH191)*(1-AF191)+INDEX(Models!$BJ191:$BT191,,AH191+1)*AF191-ERP_i)*AE191*Ramure*Pc/MaxiM</f>
        <v>2.2457590180911561E-4</v>
      </c>
      <c r="AE191" s="305">
        <f t="shared" si="65"/>
        <v>0.5</v>
      </c>
      <c r="AF191" s="177">
        <f t="shared" si="66"/>
        <v>0.82661322502578427</v>
      </c>
      <c r="AG191" s="811">
        <f t="shared" si="74"/>
        <v>2</v>
      </c>
      <c r="AH191" s="176">
        <f t="shared" si="67"/>
        <v>8</v>
      </c>
      <c r="AI191" s="225">
        <f t="shared" si="68"/>
        <v>2.8266132250257843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12.554403364321232</v>
      </c>
      <c r="C192" s="841"/>
      <c r="D192" s="393">
        <f t="shared" si="50"/>
        <v>13.497198526305253</v>
      </c>
      <c r="E192" s="385">
        <f t="shared" si="75"/>
        <v>13.651208797887938</v>
      </c>
      <c r="F192" s="385">
        <f t="shared" si="51"/>
        <v>13.651208797887938</v>
      </c>
      <c r="G192" s="110">
        <f t="shared" si="76"/>
        <v>0.21810012052915409</v>
      </c>
      <c r="H192" s="414" t="b">
        <f>Wh_hp&gt;='2026'!Maxi_hp</f>
        <v>0</v>
      </c>
      <c r="I192" s="390">
        <f>IF(H192,Wh_hp,'2026'!Maxi_hp)</f>
        <v>61.321800192772599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6.9851173941508526E-2</v>
      </c>
      <c r="M192" s="845"/>
      <c r="N192" s="845"/>
      <c r="O192" s="48">
        <f>IF(t&lt;Tnet,'2026'!Resal+('2026'!Salim-'2026'!Resal)*(1-EXP(('2026'!Tnet-t)/('2026'!Tau_j))),Resal+(Salim-Resal)*(1-EXP((Tnet-t)/(Tau_j))))*Salcycl</f>
        <v>1.1281804700438852E-2</v>
      </c>
      <c r="P192" s="169">
        <f>(INDEX(Models!$BJ192:$BT192,,T192)*(1-R192)+INDEX(Models!$BJ192:$BT192,,T192+1)*R192-ERP_i)*Q192*Ramure*Pc/MaxiM</f>
        <v>3.2154096884063635E-5</v>
      </c>
      <c r="Q192" s="305">
        <f t="shared" si="53"/>
        <v>0.5</v>
      </c>
      <c r="R192" s="177">
        <f t="shared" si="54"/>
        <v>0.3062224240695226</v>
      </c>
      <c r="S192" s="811">
        <f t="shared" si="55"/>
        <v>-1</v>
      </c>
      <c r="T192" s="176">
        <f t="shared" si="56"/>
        <v>5</v>
      </c>
      <c r="U192" s="251">
        <f t="shared" si="57"/>
        <v>-0.6937775759304774</v>
      </c>
      <c r="V192" s="383">
        <f t="shared" si="58"/>
        <v>57.560718711941313</v>
      </c>
      <c r="W192" s="402">
        <f t="shared" si="59"/>
        <v>12.554403364321232</v>
      </c>
      <c r="X192" s="157">
        <f t="shared" si="60"/>
        <v>46565</v>
      </c>
      <c r="Y192" s="385">
        <f t="shared" si="61"/>
        <v>11.894102738970854</v>
      </c>
      <c r="Z192" s="385">
        <f t="shared" si="62"/>
        <v>12.787311455707741</v>
      </c>
      <c r="AA192" s="386">
        <f t="shared" si="63"/>
        <v>13.651208797887938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6.32835783973838E-2</v>
      </c>
      <c r="AD192" s="231">
        <f>(INDEX(Models!$BJ192:$BT192,,AH192)*(1-AF192)+INDEX(Models!$BJ192:$BT192,,AH192+1)*AF192-ERP_i)*AE192*Ramure*Pc/MaxiM</f>
        <v>2.2923712152338961E-4</v>
      </c>
      <c r="AE192" s="305">
        <f t="shared" si="65"/>
        <v>0.5</v>
      </c>
      <c r="AF192" s="177">
        <f t="shared" si="66"/>
        <v>0.83120999044350175</v>
      </c>
      <c r="AG192" s="811">
        <f t="shared" si="74"/>
        <v>2</v>
      </c>
      <c r="AH192" s="176">
        <f t="shared" si="67"/>
        <v>8</v>
      </c>
      <c r="AI192" s="225">
        <f t="shared" si="68"/>
        <v>2.8312099904435017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56.991946871038664</v>
      </c>
      <c r="C193" s="841"/>
      <c r="D193" s="393">
        <f t="shared" si="50"/>
        <v>61.273200128404042</v>
      </c>
      <c r="E193" s="385">
        <f t="shared" si="75"/>
        <v>61.978921615714128</v>
      </c>
      <c r="F193" s="385">
        <f t="shared" si="51"/>
        <v>61.980907426502718</v>
      </c>
      <c r="G193" s="110">
        <f t="shared" si="76"/>
        <v>0.99154681477025097</v>
      </c>
      <c r="H193" s="414" t="b">
        <f>Wh_hp&gt;='2026'!Maxi_hp</f>
        <v>0</v>
      </c>
      <c r="I193" s="390">
        <f>IF(H193,Wh_hp,'2026'!Maxi_hp)</f>
        <v>61.980926256380272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6.987154658796324E-2</v>
      </c>
      <c r="M193" s="845"/>
      <c r="N193" s="845"/>
      <c r="O193" s="48">
        <f>IF(t&lt;Tnet,'2026'!Resal+('2026'!Salim-'2026'!Resal)*(1-EXP(('2026'!Tnet-t)/('2026'!Tau_j))),Resal+(Salim-Resal)*(1-EXP((Tnet-t)/(Tau_j))))*Salcycl</f>
        <v>1.1386475739054439E-2</v>
      </c>
      <c r="P193" s="169">
        <f>(INDEX(Models!$BJ193:$BT193,,T193)*(1-R193)+INDEX(Models!$BJ193:$BT193,,T193+1)*R193-ERP_i)*Q193*Ramure*Pc/MaxiM</f>
        <v>3.2430686830630543E-5</v>
      </c>
      <c r="Q193" s="305">
        <f t="shared" si="53"/>
        <v>0.5</v>
      </c>
      <c r="R193" s="177">
        <f t="shared" si="54"/>
        <v>0.31075620360035217</v>
      </c>
      <c r="S193" s="811">
        <f t="shared" si="55"/>
        <v>-1</v>
      </c>
      <c r="T193" s="176">
        <f t="shared" si="56"/>
        <v>5</v>
      </c>
      <c r="U193" s="251">
        <f t="shared" si="57"/>
        <v>-0.68924379639964783</v>
      </c>
      <c r="V193" s="383">
        <f t="shared" si="58"/>
        <v>57.477794999187893</v>
      </c>
      <c r="W193" s="402">
        <f t="shared" si="59"/>
        <v>56.991946871038664</v>
      </c>
      <c r="X193" s="157">
        <f t="shared" si="60"/>
        <v>46566</v>
      </c>
      <c r="Y193" s="385">
        <f t="shared" si="61"/>
        <v>53.985452919357499</v>
      </c>
      <c r="Z193" s="385">
        <f t="shared" si="62"/>
        <v>58.040857390524891</v>
      </c>
      <c r="AA193" s="386">
        <f t="shared" si="63"/>
        <v>61.966475048270063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6.3350669126930811E-2</v>
      </c>
      <c r="AD193" s="231">
        <f>(INDEX(Models!$BJ193:$BT193,,AH193)*(1-AF193)+INDEX(Models!$BJ193:$BT193,,AH193+1)*AF193-ERP_i)*AE193*Ramure*Pc/MaxiM</f>
        <v>2.3569815481560137E-4</v>
      </c>
      <c r="AE193" s="305">
        <f t="shared" si="65"/>
        <v>0.5</v>
      </c>
      <c r="AF193" s="177">
        <f t="shared" si="66"/>
        <v>0.83574376997433086</v>
      </c>
      <c r="AG193" s="811">
        <f t="shared" si="74"/>
        <v>2</v>
      </c>
      <c r="AH193" s="176">
        <f t="shared" si="67"/>
        <v>8</v>
      </c>
      <c r="AI193" s="225">
        <f t="shared" si="68"/>
        <v>2.8357437699743309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54.107282337901552</v>
      </c>
      <c r="C194" s="841"/>
      <c r="D194" s="393">
        <f t="shared" si="50"/>
        <v>58.173112814381362</v>
      </c>
      <c r="E194" s="385">
        <f t="shared" si="75"/>
        <v>58.849345882478019</v>
      </c>
      <c r="F194" s="385">
        <f t="shared" si="51"/>
        <v>58.851115345213969</v>
      </c>
      <c r="G194" s="110">
        <f t="shared" si="76"/>
        <v>0.94274704869437176</v>
      </c>
      <c r="H194" s="414" t="b">
        <f>Wh_hp&gt;='2026'!Maxi_hp</f>
        <v>0</v>
      </c>
      <c r="I194" s="390">
        <f>IF(H194,Wh_hp,'2026'!Maxi_hp)</f>
        <v>58.851237306209754</v>
      </c>
      <c r="J194" s="85">
        <f>IF(H194,An,'2026'!An_max)</f>
        <v>2025</v>
      </c>
      <c r="K194" s="197">
        <f t="shared" si="52"/>
        <v>46567</v>
      </c>
      <c r="L194" s="147">
        <f>IF(t&lt;Tvie,1-EXP((T0-t)*PertePVj)+'2026'!Pspv,1-EXP((T0-t)*PertePVj)+Pspv)</f>
        <v>6.9891918788204666E-2</v>
      </c>
      <c r="M194" s="845"/>
      <c r="N194" s="845"/>
      <c r="O194" s="48">
        <f>IF(t&lt;Tnet,'2026'!Resal+('2026'!Salim-'2026'!Resal)*(1-EXP(('2026'!Tnet-t)/('2026'!Tau_j))),Resal+(Salim-Resal)*(1-EXP((Tnet-t)/(Tau_j))))*Salcycl</f>
        <v>1.1490919023077866E-2</v>
      </c>
      <c r="P194" s="169">
        <f>(INDEX(Models!$BJ194:$BT194,,T194)*(1-R194)+INDEX(Models!$BJ194:$BT194,,T194+1)*R194-ERP_i)*Q194*Ramure*Pc/MaxiM</f>
        <v>3.2744847027193614E-5</v>
      </c>
      <c r="Q194" s="305">
        <f t="shared" si="53"/>
        <v>0.5</v>
      </c>
      <c r="R194" s="177">
        <f t="shared" si="54"/>
        <v>0.31522453493212443</v>
      </c>
      <c r="S194" s="811">
        <f t="shared" si="55"/>
        <v>-1</v>
      </c>
      <c r="T194" s="176">
        <f t="shared" si="56"/>
        <v>5</v>
      </c>
      <c r="U194" s="251">
        <f t="shared" si="57"/>
        <v>-0.68477546506787557</v>
      </c>
      <c r="V194" s="383">
        <f t="shared" si="58"/>
        <v>57.393059468934567</v>
      </c>
      <c r="W194" s="402">
        <f t="shared" si="59"/>
        <v>54.107282337901552</v>
      </c>
      <c r="X194" s="157">
        <f t="shared" si="60"/>
        <v>46567</v>
      </c>
      <c r="Y194" s="385">
        <f t="shared" si="61"/>
        <v>51.25511480432769</v>
      </c>
      <c r="Z194" s="385">
        <f t="shared" si="62"/>
        <v>55.106622380433187</v>
      </c>
      <c r="AA194" s="386">
        <f t="shared" si="63"/>
        <v>58.837930763365364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6.3416716640474116E-2</v>
      </c>
      <c r="AD194" s="231">
        <f>(INDEX(Models!$BJ194:$BT194,,AH194)*(1-AF194)+INDEX(Models!$BJ194:$BT194,,AH194+1)*AF194-ERP_i)*AE194*Ramure*Pc/MaxiM</f>
        <v>2.4398768449779458E-4</v>
      </c>
      <c r="AE194" s="305">
        <f t="shared" si="65"/>
        <v>0.5</v>
      </c>
      <c r="AF194" s="177">
        <f t="shared" si="66"/>
        <v>0.84021210130610324</v>
      </c>
      <c r="AG194" s="811">
        <f t="shared" si="74"/>
        <v>2</v>
      </c>
      <c r="AH194" s="176">
        <f t="shared" si="67"/>
        <v>8</v>
      </c>
      <c r="AI194" s="225">
        <f t="shared" si="68"/>
        <v>2.8402121013061032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13.452653563686685</v>
      </c>
      <c r="C195" s="841"/>
      <c r="D195" s="393">
        <f t="shared" si="50"/>
        <v>14.463854781534103</v>
      </c>
      <c r="E195" s="385">
        <f t="shared" si="75"/>
        <v>14.633532529362865</v>
      </c>
      <c r="F195" s="385">
        <f t="shared" si="51"/>
        <v>14.633532529362865</v>
      </c>
      <c r="G195" s="110">
        <f t="shared" si="76"/>
        <v>0.23474135216416342</v>
      </c>
      <c r="H195" s="414" t="b">
        <f>Wh_hp&gt;='2026'!Maxi_hp</f>
        <v>0</v>
      </c>
      <c r="I195" s="390">
        <f>IF(H195,Wh_hp,'2026'!Maxi_hp)</f>
        <v>52.467807817786799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6.9912290542242683E-2</v>
      </c>
      <c r="M195" s="845"/>
      <c r="N195" s="845"/>
      <c r="O195" s="48">
        <f>IF(t&lt;Tnet,'2026'!Resal+('2026'!Salim-'2026'!Resal)*(1-EXP(('2026'!Tnet-t)/('2026'!Tau_j))),Resal+(Salim-Resal)*(1-EXP((Tnet-t)/(Tau_j))))*Salcycl</f>
        <v>1.1595132445859992E-2</v>
      </c>
      <c r="P195" s="169">
        <f>(INDEX(Models!$BJ195:$BT195,,T195)*(1-R195)+INDEX(Models!$BJ195:$BT195,,T195+1)*R195-ERP_i)*Q195*Ramure*Pc/MaxiM</f>
        <v>3.3097720272174008E-5</v>
      </c>
      <c r="Q195" s="305">
        <f t="shared" si="53"/>
        <v>0.5</v>
      </c>
      <c r="R195" s="177">
        <f t="shared" si="54"/>
        <v>0.31962513517767999</v>
      </c>
      <c r="S195" s="811">
        <f t="shared" si="55"/>
        <v>-1</v>
      </c>
      <c r="T195" s="176">
        <f t="shared" si="56"/>
        <v>5</v>
      </c>
      <c r="U195" s="251">
        <f t="shared" si="57"/>
        <v>-0.68037486482232001</v>
      </c>
      <c r="V195" s="383">
        <f t="shared" si="58"/>
        <v>57.306512838498442</v>
      </c>
      <c r="W195" s="402">
        <f t="shared" si="59"/>
        <v>13.452653563686685</v>
      </c>
      <c r="X195" s="157">
        <f t="shared" si="60"/>
        <v>46568</v>
      </c>
      <c r="Y195" s="385">
        <f t="shared" si="61"/>
        <v>12.746452597129098</v>
      </c>
      <c r="Z195" s="385">
        <f t="shared" si="62"/>
        <v>13.704570512559833</v>
      </c>
      <c r="AA195" s="386">
        <f t="shared" si="63"/>
        <v>14.633532529362865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6.3481733815059824E-2</v>
      </c>
      <c r="AD195" s="231">
        <f>(INDEX(Models!$BJ195:$BT195,,AH195)*(1-AF195)+INDEX(Models!$BJ195:$BT195,,AH195+1)*AF195-ERP_i)*AE195*Ramure*Pc/MaxiM</f>
        <v>2.5413327206413882E-4</v>
      </c>
      <c r="AE195" s="305">
        <f t="shared" si="65"/>
        <v>0.5</v>
      </c>
      <c r="AF195" s="177">
        <f t="shared" si="66"/>
        <v>0.84461270155165913</v>
      </c>
      <c r="AG195" s="811">
        <f t="shared" si="74"/>
        <v>2</v>
      </c>
      <c r="AH195" s="176">
        <f t="shared" si="67"/>
        <v>8</v>
      </c>
      <c r="AI195" s="225">
        <f t="shared" si="68"/>
        <v>2.8446127015516591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48.427181587618271</v>
      </c>
      <c r="C196" s="841"/>
      <c r="D196" s="393">
        <f t="shared" si="50"/>
        <v>52.068468164842201</v>
      </c>
      <c r="E196" s="385">
        <f t="shared" si="75"/>
        <v>52.684834068271265</v>
      </c>
      <c r="F196" s="385">
        <f t="shared" si="51"/>
        <v>52.686211274064142</v>
      </c>
      <c r="G196" s="110">
        <f t="shared" si="76"/>
        <v>0.84635418487880831</v>
      </c>
      <c r="H196" s="414" t="b">
        <f>Wh_hp&gt;='2026'!Maxi_hp</f>
        <v>0</v>
      </c>
      <c r="I196" s="390">
        <f>IF(H196,Wh_hp,'2026'!Maxi_hp)</f>
        <v>60.470455322225597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6.9932661850087063E-2</v>
      </c>
      <c r="M196" s="845"/>
      <c r="N196" s="845"/>
      <c r="O196" s="48">
        <f>IF(t&lt;Tnet,'2026'!Resal+('2026'!Salim-'2026'!Resal)*(1-EXP(('2026'!Tnet-t)/('2026'!Tau_j))),Resal+(Salim-Resal)*(1-EXP((Tnet-t)/(Tau_j))))*Salcycl</f>
        <v>1.1699114447818989E-2</v>
      </c>
      <c r="P196" s="169">
        <f>(INDEX(Models!$BJ196:$BT196,,T196)*(1-R196)+INDEX(Models!$BJ196:$BT196,,T196+1)*R196-ERP_i)*Q196*Ramure*Pc/MaxiM</f>
        <v>3.3490427584509899E-5</v>
      </c>
      <c r="Q196" s="305">
        <f t="shared" si="53"/>
        <v>0.5</v>
      </c>
      <c r="R196" s="177">
        <f t="shared" si="54"/>
        <v>0.32395590269862296</v>
      </c>
      <c r="S196" s="811">
        <f t="shared" si="55"/>
        <v>-1</v>
      </c>
      <c r="T196" s="176">
        <f t="shared" si="56"/>
        <v>5</v>
      </c>
      <c r="U196" s="251">
        <f t="shared" si="57"/>
        <v>-0.67604409730137704</v>
      </c>
      <c r="V196" s="383">
        <f t="shared" si="58"/>
        <v>57.218155793649942</v>
      </c>
      <c r="W196" s="402">
        <f t="shared" si="59"/>
        <v>48.427181587618271</v>
      </c>
      <c r="X196" s="157">
        <f t="shared" si="60"/>
        <v>46569</v>
      </c>
      <c r="Y196" s="385">
        <f t="shared" si="61"/>
        <v>45.878340763181953</v>
      </c>
      <c r="Z196" s="385">
        <f t="shared" si="62"/>
        <v>49.3279775359524</v>
      </c>
      <c r="AA196" s="386">
        <f t="shared" si="63"/>
        <v>52.675266086870266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6.3545735970229902E-2</v>
      </c>
      <c r="AD196" s="231">
        <f>(INDEX(Models!$BJ196:$BT196,,AH196)*(1-AF196)+INDEX(Models!$BJ196:$BT196,,AH196+1)*AF196-ERP_i)*AE196*Ramure*Pc/MaxiM</f>
        <v>2.661613834411683E-4</v>
      </c>
      <c r="AE196" s="305">
        <f t="shared" si="65"/>
        <v>0.5</v>
      </c>
      <c r="AF196" s="177">
        <f t="shared" si="66"/>
        <v>0.84894346907260188</v>
      </c>
      <c r="AG196" s="811">
        <f t="shared" si="74"/>
        <v>2</v>
      </c>
      <c r="AH196" s="176">
        <f t="shared" si="67"/>
        <v>8</v>
      </c>
      <c r="AI196" s="225">
        <f t="shared" si="68"/>
        <v>2.8489434690726019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53.946013574188314</v>
      </c>
      <c r="C197" s="841"/>
      <c r="D197" s="393">
        <f t="shared" si="50"/>
        <v>58.003536887474894</v>
      </c>
      <c r="E197" s="385">
        <f t="shared" si="75"/>
        <v>58.696321588932207</v>
      </c>
      <c r="F197" s="385">
        <f t="shared" si="51"/>
        <v>58.698154422731108</v>
      </c>
      <c r="G197" s="110">
        <f t="shared" si="76"/>
        <v>0.94429838873295002</v>
      </c>
      <c r="H197" s="414" t="b">
        <f>Wh_hp&gt;='2026'!Maxi_hp</f>
        <v>0</v>
      </c>
      <c r="I197" s="390">
        <f>IF(H197,Wh_hp,'2026'!Maxi_hp)</f>
        <v>58.698276244050234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6.9953032711747465E-2</v>
      </c>
      <c r="M197" s="845"/>
      <c r="N197" s="845"/>
      <c r="O197" s="48">
        <f>IF(t&lt;Tnet,'2026'!Resal+('2026'!Salim-'2026'!Resal)*(1-EXP(('2026'!Tnet-t)/('2026'!Tau_j))),Resal+(Salim-Resal)*(1-EXP((Tnet-t)/(Tau_j))))*Salcycl</f>
        <v>1.1802864007545391E-2</v>
      </c>
      <c r="P197" s="169">
        <f>(INDEX(Models!$BJ197:$BT197,,T197)*(1-R197)+INDEX(Models!$BJ197:$BT197,,T197+1)*R197-ERP_i)*Q197*Ramure*Pc/MaxiM</f>
        <v>3.3924067219114792E-5</v>
      </c>
      <c r="Q197" s="305">
        <f t="shared" si="53"/>
        <v>0.5</v>
      </c>
      <c r="R197" s="177">
        <f t="shared" si="54"/>
        <v>0.32821491800628355</v>
      </c>
      <c r="S197" s="811">
        <f t="shared" si="55"/>
        <v>-1</v>
      </c>
      <c r="T197" s="176">
        <f t="shared" si="56"/>
        <v>5</v>
      </c>
      <c r="U197" s="251">
        <f t="shared" si="57"/>
        <v>-0.67178508199371645</v>
      </c>
      <c r="V197" s="383">
        <f t="shared" si="58"/>
        <v>57.127988985914435</v>
      </c>
      <c r="W197" s="402">
        <f t="shared" si="59"/>
        <v>53.946013574188314</v>
      </c>
      <c r="X197" s="157">
        <f t="shared" si="60"/>
        <v>46570</v>
      </c>
      <c r="Y197" s="385">
        <f t="shared" si="61"/>
        <v>51.106330432667065</v>
      </c>
      <c r="Z197" s="385">
        <f t="shared" si="62"/>
        <v>54.950268352229905</v>
      </c>
      <c r="AA197" s="386">
        <f t="shared" si="63"/>
        <v>58.683021448696145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6.3608740728007887E-2</v>
      </c>
      <c r="AD197" s="231">
        <f>(INDEX(Models!$BJ197:$BT197,,AH197)*(1-AF197)+INDEX(Models!$BJ197:$BT197,,AH197+1)*AF197-ERP_i)*AE197*Ramure*Pc/MaxiM</f>
        <v>2.8009742547044277E-4</v>
      </c>
      <c r="AE197" s="305">
        <f t="shared" si="65"/>
        <v>0.5</v>
      </c>
      <c r="AF197" s="177">
        <f t="shared" si="66"/>
        <v>0.85320248438026258</v>
      </c>
      <c r="AG197" s="811">
        <f t="shared" si="74"/>
        <v>2</v>
      </c>
      <c r="AH197" s="176">
        <f t="shared" si="67"/>
        <v>8</v>
      </c>
      <c r="AI197" s="225">
        <f t="shared" si="68"/>
        <v>2.8532024843802626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44.951342886912286</v>
      </c>
      <c r="C198" s="841"/>
      <c r="D198" s="393">
        <f t="shared" si="50"/>
        <v>48.333395021241444</v>
      </c>
      <c r="E198" s="385">
        <f t="shared" si="75"/>
        <v>48.915805216951739</v>
      </c>
      <c r="F198" s="385">
        <f t="shared" si="51"/>
        <v>48.916990577391296</v>
      </c>
      <c r="G198" s="110">
        <f t="shared" si="76"/>
        <v>0.78811409553091039</v>
      </c>
      <c r="H198" s="414" t="b">
        <f>Wh_hp&gt;='2026'!Maxi_hp</f>
        <v>0</v>
      </c>
      <c r="I198" s="390">
        <f>IF(H198,Wh_hp,'2026'!Maxi_hp)</f>
        <v>53.763656051916264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6.9973403127233658E-2</v>
      </c>
      <c r="M198" s="845"/>
      <c r="N198" s="845"/>
      <c r="O198" s="48">
        <f>IF(t&lt;Tnet,'2026'!Resal+('2026'!Salim-'2026'!Resal)*(1-EXP(('2026'!Tnet-t)/('2026'!Tau_j))),Resal+(Salim-Resal)*(1-EXP((Tnet-t)/(Tau_j))))*Salcycl</f>
        <v>1.1906380629475263E-2</v>
      </c>
      <c r="P198" s="169">
        <f>(INDEX(Models!$BJ198:$BT198,,T198)*(1-R198)+INDEX(Models!$BJ198:$BT198,,T198+1)*R198-ERP_i)*Q198*Ramure*Pc/MaxiM</f>
        <v>3.4750416402996412E-5</v>
      </c>
      <c r="Q198" s="305">
        <f t="shared" si="53"/>
        <v>0.5</v>
      </c>
      <c r="R198" s="177">
        <f t="shared" si="54"/>
        <v>0.33240044377358002</v>
      </c>
      <c r="S198" s="811">
        <f t="shared" si="55"/>
        <v>-1</v>
      </c>
      <c r="T198" s="176">
        <f t="shared" si="56"/>
        <v>5</v>
      </c>
      <c r="U198" s="251">
        <f t="shared" si="57"/>
        <v>-0.66759955622641998</v>
      </c>
      <c r="V198" s="383">
        <f t="shared" si="58"/>
        <v>57.03599303326402</v>
      </c>
      <c r="W198" s="402">
        <f t="shared" si="59"/>
        <v>44.951342886912286</v>
      </c>
      <c r="X198" s="157">
        <f t="shared" si="60"/>
        <v>46571</v>
      </c>
      <c r="Y198" s="385">
        <f t="shared" si="61"/>
        <v>42.588630919483549</v>
      </c>
      <c r="Z198" s="385">
        <f t="shared" si="62"/>
        <v>45.792917173217091</v>
      </c>
      <c r="AA198" s="386">
        <f t="shared" si="63"/>
        <v>48.906854129332686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6.3670767861716909E-2</v>
      </c>
      <c r="AD198" s="231">
        <f>(INDEX(Models!$BJ198:$BT198,,AH198)*(1-AF198)+INDEX(Models!$BJ198:$BT198,,AH198+1)*AF198-ERP_i)*AE198*Ramure*Pc/MaxiM</f>
        <v>2.9716344423928265E-4</v>
      </c>
      <c r="AE198" s="305">
        <f t="shared" si="65"/>
        <v>0.5</v>
      </c>
      <c r="AF198" s="177">
        <f t="shared" si="66"/>
        <v>0.85738801014755905</v>
      </c>
      <c r="AG198" s="811">
        <f t="shared" si="74"/>
        <v>2</v>
      </c>
      <c r="AH198" s="176">
        <f t="shared" si="67"/>
        <v>8</v>
      </c>
      <c r="AI198" s="225">
        <f t="shared" si="68"/>
        <v>2.8573880101475591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42.657676652688728</v>
      </c>
      <c r="C199" s="841"/>
      <c r="D199" s="393">
        <f t="shared" si="50"/>
        <v>45.868162404376626</v>
      </c>
      <c r="E199" s="385">
        <f t="shared" si="75"/>
        <v>46.425719714343387</v>
      </c>
      <c r="F199" s="385">
        <f t="shared" si="51"/>
        <v>46.426791620086398</v>
      </c>
      <c r="G199" s="110">
        <f t="shared" si="76"/>
        <v>0.74913070813066818</v>
      </c>
      <c r="H199" s="414" t="b">
        <f>Wh_hp&gt;='2026'!Maxi_hp</f>
        <v>0</v>
      </c>
      <c r="I199" s="390">
        <f>IF(H199,Wh_hp,'2026'!Maxi_hp)</f>
        <v>58.995697367701958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6.9993773096555523E-2</v>
      </c>
      <c r="M199" s="845"/>
      <c r="N199" s="845"/>
      <c r="O199" s="48">
        <f>IF(t&lt;Tnet,'2026'!Resal+('2026'!Salim-'2026'!Resal)*(1-EXP(('2026'!Tnet-t)/('2026'!Tau_j))),Resal+(Salim-Resal)*(1-EXP((Tnet-t)/(Tau_j))))*Salcycl</f>
        <v>1.2009664328251658E-2</v>
      </c>
      <c r="P199" s="169">
        <f>(INDEX(Models!$BJ199:$BT199,,T199)*(1-R199)+INDEX(Models!$BJ199:$BT199,,T199+1)*R199-ERP_i)*Q199*Ramure*Pc/MaxiM</f>
        <v>3.5983539000618597E-5</v>
      </c>
      <c r="Q199" s="305">
        <f t="shared" si="53"/>
        <v>0.5</v>
      </c>
      <c r="R199" s="177">
        <f t="shared" si="54"/>
        <v>0.33651092399753713</v>
      </c>
      <c r="S199" s="811">
        <f t="shared" si="55"/>
        <v>-1</v>
      </c>
      <c r="T199" s="176">
        <f t="shared" si="56"/>
        <v>5</v>
      </c>
      <c r="U199" s="251">
        <f t="shared" si="57"/>
        <v>-0.66348907600246287</v>
      </c>
      <c r="V199" s="383">
        <f t="shared" si="58"/>
        <v>56.94216788463244</v>
      </c>
      <c r="W199" s="402">
        <f t="shared" si="59"/>
        <v>42.657676652688728</v>
      </c>
      <c r="X199" s="157">
        <f t="shared" si="60"/>
        <v>46572</v>
      </c>
      <c r="Y199" s="385">
        <f t="shared" si="61"/>
        <v>40.41721562671713</v>
      </c>
      <c r="Z199" s="385">
        <f t="shared" si="62"/>
        <v>43.459080657223758</v>
      </c>
      <c r="AA199" s="386">
        <f t="shared" si="63"/>
        <v>46.417343314402139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6.373183913480264E-2</v>
      </c>
      <c r="AD199" s="231">
        <f>(INDEX(Models!$BJ199:$BT199,,AH199)*(1-AF199)+INDEX(Models!$BJ199:$BT199,,AH199+1)*AF199-ERP_i)*AE199*Ramure*Pc/MaxiM</f>
        <v>3.1717665316814377E-4</v>
      </c>
      <c r="AE199" s="305">
        <f t="shared" si="65"/>
        <v>0.5</v>
      </c>
      <c r="AF199" s="177">
        <f t="shared" si="66"/>
        <v>0.86149849037151593</v>
      </c>
      <c r="AG199" s="811">
        <f t="shared" si="74"/>
        <v>2</v>
      </c>
      <c r="AH199" s="176">
        <f t="shared" si="67"/>
        <v>8</v>
      </c>
      <c r="AI199" s="225">
        <f t="shared" si="68"/>
        <v>2.8614984903715159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53.446544299992766</v>
      </c>
      <c r="C200" s="841"/>
      <c r="D200" s="393">
        <f t="shared" si="50"/>
        <v>57.470276430384601</v>
      </c>
      <c r="E200" s="385">
        <f t="shared" si="75"/>
        <v>58.174932847593844</v>
      </c>
      <c r="F200" s="385">
        <f t="shared" si="51"/>
        <v>58.176935064136167</v>
      </c>
      <c r="G200" s="110">
        <f t="shared" si="76"/>
        <v>0.94018733700801094</v>
      </c>
      <c r="H200" s="414" t="b">
        <f>Wh_hp&gt;='2026'!Maxi_hp</f>
        <v>0</v>
      </c>
      <c r="I200" s="390">
        <f>IF(H200,Wh_hp,'2026'!Maxi_hp)</f>
        <v>61.322232788721351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7.0014142619722719E-2</v>
      </c>
      <c r="M200" s="845"/>
      <c r="N200" s="845"/>
      <c r="O200" s="48">
        <f>IF(t&lt;Tnet,'2026'!Resal+('2026'!Salim-'2026'!Resal)*(1-EXP(('2026'!Tnet-t)/('2026'!Tau_j))),Resal+(Salim-Resal)*(1-EXP((Tnet-t)/(Tau_j))))*Salcycl</f>
        <v>1.2112715609922496E-2</v>
      </c>
      <c r="P200" s="169">
        <f>(INDEX(Models!$BJ200:$BT200,,T200)*(1-R200)+INDEX(Models!$BJ200:$BT200,,T200+1)*R200-ERP_i)*Q200*Ramure*Pc/MaxiM</f>
        <v>3.7631290964978456E-5</v>
      </c>
      <c r="Q200" s="305">
        <f t="shared" si="53"/>
        <v>0.5</v>
      </c>
      <c r="R200" s="177">
        <f t="shared" si="54"/>
        <v>0.34054498235751096</v>
      </c>
      <c r="S200" s="811">
        <f t="shared" si="55"/>
        <v>-1</v>
      </c>
      <c r="T200" s="176">
        <f t="shared" si="56"/>
        <v>5</v>
      </c>
      <c r="U200" s="251">
        <f t="shared" si="57"/>
        <v>-0.65945501764248904</v>
      </c>
      <c r="V200" s="383">
        <f t="shared" si="58"/>
        <v>56.846513820518041</v>
      </c>
      <c r="W200" s="402">
        <f t="shared" si="59"/>
        <v>53.446544299992766</v>
      </c>
      <c r="X200" s="157">
        <f t="shared" si="60"/>
        <v>46573</v>
      </c>
      <c r="Y200" s="385">
        <f t="shared" si="61"/>
        <v>50.636585033396315</v>
      </c>
      <c r="Z200" s="385">
        <f t="shared" si="62"/>
        <v>54.448768904977754</v>
      </c>
      <c r="AA200" s="386">
        <f t="shared" si="63"/>
        <v>58.158836105968682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6.3791978130906368E-2</v>
      </c>
      <c r="AD200" s="231">
        <f>(INDEX(Models!$BJ200:$BT200,,AH200)*(1-AF200)+INDEX(Models!$BJ200:$BT200,,AH200+1)*AF200-ERP_i)*AE200*Ramure*Pc/MaxiM</f>
        <v>3.4016658366658754E-4</v>
      </c>
      <c r="AE200" s="305">
        <f t="shared" si="65"/>
        <v>0.5</v>
      </c>
      <c r="AF200" s="177">
        <f t="shared" si="66"/>
        <v>0.86553254873148999</v>
      </c>
      <c r="AG200" s="811">
        <f t="shared" si="74"/>
        <v>2</v>
      </c>
      <c r="AH200" s="176">
        <f t="shared" si="67"/>
        <v>8</v>
      </c>
      <c r="AI200" s="225">
        <f t="shared" si="68"/>
        <v>2.86553254873149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45.897665659730094</v>
      </c>
      <c r="C201" s="841"/>
      <c r="D201" s="393">
        <f t="shared" si="50"/>
        <v>49.354160167246128</v>
      </c>
      <c r="E201" s="385">
        <f t="shared" si="75"/>
        <v>49.964503328909601</v>
      </c>
      <c r="F201" s="385">
        <f t="shared" si="51"/>
        <v>49.96594515533458</v>
      </c>
      <c r="G201" s="110">
        <f t="shared" si="76"/>
        <v>0.80877447561332039</v>
      </c>
      <c r="H201" s="414" t="b">
        <f>Wh_hp&gt;='2026'!Maxi_hp</f>
        <v>0</v>
      </c>
      <c r="I201" s="390">
        <f>IF(H201,Wh_hp,'2026'!Maxi_hp)</f>
        <v>60.73746121896113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7.0034511696745128E-2</v>
      </c>
      <c r="M201" s="845"/>
      <c r="N201" s="845"/>
      <c r="O201" s="48">
        <f>IF(t&lt;Tnet,'2026'!Resal+('2026'!Salim-'2026'!Resal)*(1-EXP(('2026'!Tnet-t)/('2026'!Tau_j))),Resal+(Salim-Resal)*(1-EXP((Tnet-t)/(Tau_j))))*Salcycl</f>
        <v>1.2215535450150748E-2</v>
      </c>
      <c r="P201" s="169">
        <f>(INDEX(Models!$BJ201:$BT201,,T201)*(1-R201)+INDEX(Models!$BJ201:$BT201,,T201+1)*R201-ERP_i)*Q201*Ramure*Pc/MaxiM</f>
        <v>3.9701243626704542E-5</v>
      </c>
      <c r="Q201" s="305">
        <f t="shared" si="53"/>
        <v>0.5</v>
      </c>
      <c r="R201" s="177">
        <f t="shared" si="54"/>
        <v>0.34450141981863713</v>
      </c>
      <c r="S201" s="811">
        <f t="shared" si="55"/>
        <v>-1</v>
      </c>
      <c r="T201" s="176">
        <f t="shared" si="56"/>
        <v>5</v>
      </c>
      <c r="U201" s="251">
        <f t="shared" si="57"/>
        <v>-0.65549858018136287</v>
      </c>
      <c r="V201" s="383">
        <f t="shared" si="58"/>
        <v>56.749031115954217</v>
      </c>
      <c r="W201" s="402">
        <f t="shared" si="59"/>
        <v>45.897665659730094</v>
      </c>
      <c r="X201" s="157">
        <f t="shared" si="60"/>
        <v>46574</v>
      </c>
      <c r="Y201" s="385">
        <f t="shared" si="61"/>
        <v>43.4880787255955</v>
      </c>
      <c r="Z201" s="385">
        <f t="shared" si="62"/>
        <v>46.763110322449258</v>
      </c>
      <c r="AA201" s="386">
        <f t="shared" si="63"/>
        <v>49.95264729901583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6.385121007649594E-2</v>
      </c>
      <c r="AD201" s="231">
        <f>(INDEX(Models!$BJ201:$BT201,,AH201)*(1-AF201)+INDEX(Models!$BJ201:$BT201,,AH201+1)*AF201-ERP_i)*AE201*Ramure*Pc/MaxiM</f>
        <v>3.6616157415013791E-4</v>
      </c>
      <c r="AE201" s="305">
        <f t="shared" si="65"/>
        <v>0.5</v>
      </c>
      <c r="AF201" s="177">
        <f t="shared" si="66"/>
        <v>0.86948898619261605</v>
      </c>
      <c r="AG201" s="811">
        <f t="shared" si="74"/>
        <v>2</v>
      </c>
      <c r="AH201" s="176">
        <f t="shared" si="67"/>
        <v>8</v>
      </c>
      <c r="AI201" s="225">
        <f t="shared" si="68"/>
        <v>2.8694889861926161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52.714306955285018</v>
      </c>
      <c r="C202" s="841"/>
      <c r="D202" s="393">
        <f t="shared" si="50"/>
        <v>56.685395557381923</v>
      </c>
      <c r="E202" s="385">
        <f t="shared" si="75"/>
        <v>57.39236186029742</v>
      </c>
      <c r="F202" s="385">
        <f t="shared" si="51"/>
        <v>57.394543577362867</v>
      </c>
      <c r="G202" s="110">
        <f t="shared" si="76"/>
        <v>0.93052686118699024</v>
      </c>
      <c r="H202" s="414" t="b">
        <f>Wh_hp&gt;='2026'!Maxi_hp</f>
        <v>0</v>
      </c>
      <c r="I202" s="390">
        <f>IF(H202,Wh_hp,'2026'!Maxi_hp)</f>
        <v>57.394727023568748</v>
      </c>
      <c r="J202" s="85">
        <f>IF(H202,An,'2026'!An_max)</f>
        <v>2025</v>
      </c>
      <c r="K202" s="197">
        <f t="shared" si="52"/>
        <v>46575</v>
      </c>
      <c r="L202" s="147">
        <f>IF(t&lt;Tvie,1-EXP((T0-t)*PertePVj)+'2026'!Pspv,1-EXP((T0-t)*PertePVj)+Pspv)</f>
        <v>7.0054880327632518E-2</v>
      </c>
      <c r="M202" s="845"/>
      <c r="N202" s="845"/>
      <c r="O202" s="48">
        <f>IF(t&lt;Tnet,'2026'!Resal+('2026'!Salim-'2026'!Resal)*(1-EXP(('2026'!Tnet-t)/('2026'!Tau_j))),Resal+(Salim-Resal)*(1-EXP((Tnet-t)/(Tau_j))))*Salcycl</f>
        <v>1.2318125269637225E-2</v>
      </c>
      <c r="P202" s="169">
        <f>(INDEX(Models!$BJ202:$BT202,,T202)*(1-R202)+INDEX(Models!$BJ202:$BT202,,T202+1)*R202-ERP_i)*Q202*Ramure*Pc/MaxiM</f>
        <v>4.2200693217468132E-5</v>
      </c>
      <c r="Q202" s="305">
        <f t="shared" si="53"/>
        <v>0.5</v>
      </c>
      <c r="R202" s="177">
        <f t="shared" si="54"/>
        <v>0.34837921153367668</v>
      </c>
      <c r="S202" s="811">
        <f t="shared" si="55"/>
        <v>-1</v>
      </c>
      <c r="T202" s="176">
        <f t="shared" si="56"/>
        <v>5</v>
      </c>
      <c r="U202" s="251">
        <f t="shared" si="57"/>
        <v>-0.65162078846632332</v>
      </c>
      <c r="V202" s="383">
        <f t="shared" si="58"/>
        <v>56.649720039629813</v>
      </c>
      <c r="W202" s="402">
        <f t="shared" si="59"/>
        <v>52.714306955285018</v>
      </c>
      <c r="X202" s="157">
        <f t="shared" si="60"/>
        <v>46575</v>
      </c>
      <c r="Y202" s="385">
        <f t="shared" si="61"/>
        <v>49.944895888801433</v>
      </c>
      <c r="Z202" s="385">
        <f t="shared" si="62"/>
        <v>53.707358458311724</v>
      </c>
      <c r="AA202" s="386">
        <f t="shared" si="63"/>
        <v>57.374112861791673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6.3909561657411296E-2</v>
      </c>
      <c r="AD202" s="231">
        <f>(INDEX(Models!$BJ202:$BT202,,AH202)*(1-AF202)+INDEX(Models!$BJ202:$BT202,,AH202+1)*AF202-ERP_i)*AE202*Ramure*Pc/MaxiM</f>
        <v>3.9518889671277948E-4</v>
      </c>
      <c r="AE202" s="305">
        <f t="shared" si="65"/>
        <v>0.5</v>
      </c>
      <c r="AF202" s="177">
        <f t="shared" si="66"/>
        <v>0.87336677790765549</v>
      </c>
      <c r="AG202" s="811">
        <f t="shared" si="74"/>
        <v>2</v>
      </c>
      <c r="AH202" s="176">
        <f t="shared" si="67"/>
        <v>8</v>
      </c>
      <c r="AI202" s="225">
        <f t="shared" si="68"/>
        <v>2.8733667779076555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55.437824117114154</v>
      </c>
      <c r="C203" s="841"/>
      <c r="D203" s="393">
        <f t="shared" si="50"/>
        <v>59.615387189587089</v>
      </c>
      <c r="E203" s="385">
        <f t="shared" si="75"/>
        <v>60.365151766743814</v>
      </c>
      <c r="F203" s="385">
        <f t="shared" si="51"/>
        <v>60.367800108418294</v>
      </c>
      <c r="G203" s="110">
        <f t="shared" si="76"/>
        <v>0.98035623628083135</v>
      </c>
      <c r="H203" s="414" t="b">
        <f>Wh_hp&gt;='2026'!Maxi_hp</f>
        <v>0</v>
      </c>
      <c r="I203" s="390">
        <f>IF(H203,Wh_hp,'2026'!Maxi_hp)</f>
        <v>63.132463716134929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7.007524851239455E-2</v>
      </c>
      <c r="M203" s="845"/>
      <c r="N203" s="845"/>
      <c r="O203" s="48">
        <f>IF(t&lt;Tnet,'2026'!Resal+('2026'!Salim-'2026'!Resal)*(1-EXP(('2026'!Tnet-t)/('2026'!Tau_j))),Resal+(Salim-Resal)*(1-EXP((Tnet-t)/(Tau_j))))*Salcycl</f>
        <v>1.2420486906980341E-2</v>
      </c>
      <c r="P203" s="169">
        <f>(INDEX(Models!$BJ203:$BT203,,T203)*(1-R203)+INDEX(Models!$BJ203:$BT203,,T203+1)*R203-ERP_i)*Q203*Ramure*Pc/MaxiM</f>
        <v>4.513667278648191E-5</v>
      </c>
      <c r="Q203" s="305">
        <f t="shared" si="53"/>
        <v>0.5</v>
      </c>
      <c r="R203" s="177">
        <f t="shared" si="54"/>
        <v>0.35217750309927909</v>
      </c>
      <c r="S203" s="811">
        <f t="shared" si="55"/>
        <v>-1</v>
      </c>
      <c r="T203" s="176">
        <f t="shared" si="56"/>
        <v>5</v>
      </c>
      <c r="U203" s="251">
        <f t="shared" si="57"/>
        <v>-0.64782249690072091</v>
      </c>
      <c r="V203" s="383">
        <f t="shared" si="58"/>
        <v>56.548580859274956</v>
      </c>
      <c r="W203" s="402">
        <f t="shared" si="59"/>
        <v>55.437824117114154</v>
      </c>
      <c r="X203" s="157">
        <f t="shared" si="60"/>
        <v>46576</v>
      </c>
      <c r="Y203" s="385">
        <f t="shared" si="61"/>
        <v>52.524738089086405</v>
      </c>
      <c r="Z203" s="385">
        <f t="shared" si="62"/>
        <v>56.482783155370697</v>
      </c>
      <c r="AA203" s="386">
        <f t="shared" si="63"/>
        <v>60.34273025209837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6.3967060830719416E-2</v>
      </c>
      <c r="AD203" s="231">
        <f>(INDEX(Models!$BJ203:$BT203,,AH203)*(1-AF203)+INDEX(Models!$BJ203:$BT203,,AH203+1)*AF203-ERP_i)*AE203*Ramure*Pc/MaxiM</f>
        <v>4.2727489146139873E-4</v>
      </c>
      <c r="AE203" s="305">
        <f t="shared" si="65"/>
        <v>0.5</v>
      </c>
      <c r="AF203" s="177">
        <f t="shared" si="66"/>
        <v>0.87716506947325801</v>
      </c>
      <c r="AG203" s="811">
        <f t="shared" si="74"/>
        <v>2</v>
      </c>
      <c r="AH203" s="176">
        <f t="shared" si="67"/>
        <v>8</v>
      </c>
      <c r="AI203" s="225">
        <f t="shared" si="68"/>
        <v>2.877165069473258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54.722684701507312</v>
      </c>
      <c r="C204" s="841"/>
      <c r="D204" s="393">
        <f t="shared" si="50"/>
        <v>58.847646766530879</v>
      </c>
      <c r="E204" s="385">
        <f t="shared" si="75"/>
        <v>59.593918921801063</v>
      </c>
      <c r="F204" s="385">
        <f t="shared" si="51"/>
        <v>59.596684232594811</v>
      </c>
      <c r="G204" s="110">
        <f t="shared" si="76"/>
        <v>0.96947424622243261</v>
      </c>
      <c r="H204" s="414" t="b">
        <f>Wh_hp&gt;='2026'!Maxi_hp</f>
        <v>0</v>
      </c>
      <c r="I204" s="390">
        <f>IF(H204,Wh_hp,'2026'!Maxi_hp)</f>
        <v>60.536567302517156</v>
      </c>
      <c r="J204" s="85">
        <f>IF(H204,An,'2026'!An_max)</f>
        <v>2020</v>
      </c>
      <c r="K204" s="197">
        <f t="shared" si="52"/>
        <v>46577</v>
      </c>
      <c r="L204" s="147">
        <f>IF(t&lt;Tvie,1-EXP((T0-t)*PertePVj)+'2026'!Pspv,1-EXP((T0-t)*PertePVj)+Pspv)</f>
        <v>7.0095616251041104E-2</v>
      </c>
      <c r="M204" s="845"/>
      <c r="N204" s="845"/>
      <c r="O204" s="48">
        <f>IF(t&lt;Tnet,'2026'!Resal+('2026'!Salim-'2026'!Resal)*(1-EXP(('2026'!Tnet-t)/('2026'!Tau_j))),Resal+(Salim-Resal)*(1-EXP((Tnet-t)/(Tau_j))))*Salcycl</f>
        <v>1.2522622589218223E-2</v>
      </c>
      <c r="P204" s="169">
        <f>(INDEX(Models!$BJ204:$BT204,,T204)*(1-R204)+INDEX(Models!$BJ204:$BT204,,T204+1)*R204-ERP_i)*Q204*Ramure*Pc/MaxiM</f>
        <v>4.8515966295073558E-5</v>
      </c>
      <c r="Q204" s="305">
        <f t="shared" si="53"/>
        <v>0.5</v>
      </c>
      <c r="R204" s="177">
        <f t="shared" si="54"/>
        <v>0.35589560622473115</v>
      </c>
      <c r="S204" s="811">
        <f t="shared" si="55"/>
        <v>-1</v>
      </c>
      <c r="T204" s="176">
        <f t="shared" si="56"/>
        <v>5</v>
      </c>
      <c r="U204" s="251">
        <f t="shared" si="57"/>
        <v>-0.64410439377526885</v>
      </c>
      <c r="V204" s="383">
        <f t="shared" si="58"/>
        <v>56.445613837227583</v>
      </c>
      <c r="W204" s="402">
        <f t="shared" si="59"/>
        <v>54.722684701507312</v>
      </c>
      <c r="X204" s="157">
        <f t="shared" si="60"/>
        <v>46577</v>
      </c>
      <c r="Y204" s="385">
        <f t="shared" si="61"/>
        <v>51.848130971186876</v>
      </c>
      <c r="Z204" s="385">
        <f t="shared" si="62"/>
        <v>55.756410957176463</v>
      </c>
      <c r="AA204" s="386">
        <f t="shared" si="63"/>
        <v>59.570325807858538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6.4023736633297704E-2</v>
      </c>
      <c r="AD204" s="231">
        <f>(INDEX(Models!$BJ204:$BT204,,AH204)*(1-AF204)+INDEX(Models!$BJ204:$BT204,,AH204+1)*AF204-ERP_i)*AE204*Ramure*Pc/MaxiM</f>
        <v>4.6244510707015571E-4</v>
      </c>
      <c r="AE204" s="305">
        <f t="shared" si="65"/>
        <v>0.5</v>
      </c>
      <c r="AF204" s="177">
        <f t="shared" si="66"/>
        <v>0.8808831725987103</v>
      </c>
      <c r="AG204" s="811">
        <f t="shared" si="74"/>
        <v>2</v>
      </c>
      <c r="AH204" s="176">
        <f t="shared" si="67"/>
        <v>8</v>
      </c>
      <c r="AI204" s="225">
        <f t="shared" si="68"/>
        <v>2.8808831725987103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54.025402796327938</v>
      </c>
      <c r="C205" s="841"/>
      <c r="D205" s="393">
        <f t="shared" si="50"/>
        <v>58.099076702282481</v>
      </c>
      <c r="E205" s="385">
        <f t="shared" si="75"/>
        <v>58.841928684562703</v>
      </c>
      <c r="F205" s="385">
        <f t="shared" si="51"/>
        <v>58.844828112262348</v>
      </c>
      <c r="G205" s="110">
        <f t="shared" si="76"/>
        <v>0.95890408240563585</v>
      </c>
      <c r="H205" s="414" t="b">
        <f>Wh_hp&gt;='2026'!Maxi_hp</f>
        <v>0</v>
      </c>
      <c r="I205" s="390">
        <f>IF(H205,Wh_hp,'2026'!Maxi_hp)</f>
        <v>59.982897259607313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7.011598354358195E-2</v>
      </c>
      <c r="M205" s="845"/>
      <c r="N205" s="845"/>
      <c r="O205" s="48">
        <f>IF(t&lt;Tnet,'2026'!Resal+('2026'!Salim-'2026'!Resal)*(1-EXP(('2026'!Tnet-t)/('2026'!Tau_j))),Resal+(Salim-Resal)*(1-EXP((Tnet-t)/(Tau_j))))*Salcycl</f>
        <v>1.2624534900316859E-2</v>
      </c>
      <c r="P205" s="169">
        <f>(INDEX(Models!$BJ205:$BT205,,T205)*(1-R205)+INDEX(Models!$BJ205:$BT205,,T205+1)*R205-ERP_i)*Q205*Ramure*Pc/MaxiM</f>
        <v>5.2345323054552762E-5</v>
      </c>
      <c r="Q205" s="305">
        <f t="shared" si="53"/>
        <v>0.5</v>
      </c>
      <c r="R205" s="177">
        <f t="shared" si="54"/>
        <v>0.35953299387255988</v>
      </c>
      <c r="S205" s="811">
        <f t="shared" si="55"/>
        <v>-1</v>
      </c>
      <c r="T205" s="176">
        <f t="shared" si="56"/>
        <v>5</v>
      </c>
      <c r="U205" s="251">
        <f t="shared" si="57"/>
        <v>-0.64046700612744012</v>
      </c>
      <c r="V205" s="383">
        <f t="shared" si="58"/>
        <v>56.340605661362012</v>
      </c>
      <c r="W205" s="402">
        <f t="shared" si="59"/>
        <v>54.025402796327938</v>
      </c>
      <c r="X205" s="157">
        <f t="shared" si="60"/>
        <v>46578</v>
      </c>
      <c r="Y205" s="385">
        <f t="shared" si="61"/>
        <v>51.188363015630763</v>
      </c>
      <c r="Z205" s="385">
        <f t="shared" si="62"/>
        <v>55.048115796955273</v>
      </c>
      <c r="AA205" s="386">
        <f t="shared" si="63"/>
        <v>58.817092686309785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6.4079618988576434E-2</v>
      </c>
      <c r="AD205" s="231">
        <f>(INDEX(Models!$BJ205:$BT205,,AH205)*(1-AF205)+INDEX(Models!$BJ205:$BT205,,AH205+1)*AF205-ERP_i)*AE205*Ramure*Pc/MaxiM</f>
        <v>5.0072634393362795E-4</v>
      </c>
      <c r="AE205" s="305">
        <f t="shared" si="65"/>
        <v>0.5</v>
      </c>
      <c r="AF205" s="177">
        <f t="shared" si="66"/>
        <v>0.88452056024653869</v>
      </c>
      <c r="AG205" s="811">
        <f t="shared" si="74"/>
        <v>2</v>
      </c>
      <c r="AH205" s="176">
        <f t="shared" si="67"/>
        <v>8</v>
      </c>
      <c r="AI205" s="225">
        <f t="shared" si="68"/>
        <v>2.8845205602465387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52.595396253988291</v>
      </c>
      <c r="C206" s="841"/>
      <c r="D206" s="393">
        <f t="shared" si="50"/>
        <v>56.562482333887523</v>
      </c>
      <c r="E206" s="385">
        <f t="shared" si="75"/>
        <v>57.291588074469637</v>
      </c>
      <c r="F206" s="385">
        <f t="shared" si="51"/>
        <v>57.294541811375232</v>
      </c>
      <c r="G206" s="110">
        <f t="shared" si="76"/>
        <v>0.93530038936248072</v>
      </c>
      <c r="H206" s="414" t="b">
        <f>Wh_hp&gt;='2026'!Maxi_hp</f>
        <v>0</v>
      </c>
      <c r="I206" s="390">
        <f>IF(H206,Wh_hp,'2026'!Maxi_hp)</f>
        <v>61.452728703103304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7.0136350390026747E-2</v>
      </c>
      <c r="M206" s="845"/>
      <c r="N206" s="845"/>
      <c r="O206" s="48">
        <f>IF(t&lt;Tnet,'2026'!Resal+('2026'!Salim-'2026'!Resal)*(1-EXP(('2026'!Tnet-t)/('2026'!Tau_j))),Resal+(Salim-Resal)*(1-EXP((Tnet-t)/(Tau_j))))*Salcycl</f>
        <v>1.2726226747884787E-2</v>
      </c>
      <c r="P206" s="169">
        <f>(INDEX(Models!$BJ206:$BT206,,T206)*(1-R206)+INDEX(Models!$BJ206:$BT206,,T206+1)*R206-ERP_i)*Q206*Ramure*Pc/MaxiM</f>
        <v>5.6803372394540787E-5</v>
      </c>
      <c r="Q206" s="305">
        <f t="shared" si="53"/>
        <v>0.5</v>
      </c>
      <c r="R206" s="177">
        <f t="shared" si="54"/>
        <v>0.36308929493092412</v>
      </c>
      <c r="S206" s="811">
        <f t="shared" si="55"/>
        <v>-1</v>
      </c>
      <c r="T206" s="176">
        <f t="shared" si="56"/>
        <v>5</v>
      </c>
      <c r="U206" s="251">
        <f t="shared" si="57"/>
        <v>-0.63691070506907588</v>
      </c>
      <c r="V206" s="383">
        <f t="shared" si="58"/>
        <v>56.233399153188643</v>
      </c>
      <c r="W206" s="402">
        <f t="shared" si="59"/>
        <v>52.595396253988291</v>
      </c>
      <c r="X206" s="157">
        <f t="shared" si="60"/>
        <v>46579</v>
      </c>
      <c r="Y206" s="385">
        <f t="shared" si="61"/>
        <v>49.834854273871258</v>
      </c>
      <c r="Z206" s="385">
        <f t="shared" si="62"/>
        <v>53.593722364321096</v>
      </c>
      <c r="AA206" s="386">
        <f t="shared" si="63"/>
        <v>57.266493981364754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6.4134738512869729E-2</v>
      </c>
      <c r="AD206" s="231">
        <f>(INDEX(Models!$BJ206:$BT206,,AH206)*(1-AF206)+INDEX(Models!$BJ206:$BT206,,AH206+1)*AF206-ERP_i)*AE206*Ramure*Pc/MaxiM</f>
        <v>5.3938836933083308E-4</v>
      </c>
      <c r="AE206" s="305">
        <f t="shared" si="65"/>
        <v>0.5</v>
      </c>
      <c r="AF206" s="177">
        <f t="shared" si="66"/>
        <v>0.88807686130490326</v>
      </c>
      <c r="AG206" s="811">
        <f t="shared" si="74"/>
        <v>2</v>
      </c>
      <c r="AH206" s="176">
        <f t="shared" si="67"/>
        <v>8</v>
      </c>
      <c r="AI206" s="225">
        <f t="shared" si="68"/>
        <v>2.8880768613049033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52.690361873383964</v>
      </c>
      <c r="C207" s="841"/>
      <c r="D207" s="393">
        <f t="shared" ref="D207:D270" si="77">Wh/(1-Ppv)</f>
        <v>56.665852004123124</v>
      </c>
      <c r="E207" s="385">
        <f t="shared" si="75"/>
        <v>57.402190155028272</v>
      </c>
      <c r="F207" s="385">
        <f t="shared" ref="F207:F270" si="78">Wh_sa/(1-Pvg*MEDIAN((-Sdif+Wh/Env_an)/Csdif,0,1))</f>
        <v>57.405430198777736</v>
      </c>
      <c r="G207" s="110">
        <f t="shared" si="76"/>
        <v>0.93881381999183711</v>
      </c>
      <c r="H207" s="414" t="b">
        <f>Wh_hp&gt;='2026'!Maxi_hp</f>
        <v>0</v>
      </c>
      <c r="I207" s="390">
        <f>IF(H207,Wh_hp,'2026'!Maxi_hp)</f>
        <v>61.87528776158792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7.0156716790385376E-2</v>
      </c>
      <c r="M207" s="845"/>
      <c r="N207" s="845"/>
      <c r="O207" s="48">
        <f>IF(t&lt;Tnet,'2026'!Resal+('2026'!Salim-'2026'!Resal)*(1-EXP(('2026'!Tnet-t)/('2026'!Tau_j))),Resal+(Salim-Resal)*(1-EXP((Tnet-t)/(Tau_j))))*Salcycl</f>
        <v>1.2827701328407435E-2</v>
      </c>
      <c r="P207" s="169">
        <f>(INDEX(Models!$BJ207:$BT207,,T207)*(1-R207)+INDEX(Models!$BJ207:$BT207,,T207+1)*R207-ERP_i)*Q207*Ramure*Pc/MaxiM</f>
        <v>6.1846935487180495E-5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0.36656428847764233</v>
      </c>
      <c r="S207" s="811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-0.63343571152235767</v>
      </c>
      <c r="V207" s="383">
        <f t="shared" ref="V207:V270" si="85">MaxiM*(1-Ppv)*(1-Pvg)*(1-Psa)</f>
        <v>56.124096084324883</v>
      </c>
      <c r="W207" s="402">
        <f t="shared" ref="W207:W270" si="86">Wh*(A207&gt;Tmaj)</f>
        <v>52.690361873383964</v>
      </c>
      <c r="X207" s="157">
        <f t="shared" ref="X207:X270" si="87">t</f>
        <v>46580</v>
      </c>
      <c r="Y207" s="385">
        <f t="shared" ref="Y207:Y270" si="88">Wh_pvt_s*(1-Ppv)</f>
        <v>49.925471913757775</v>
      </c>
      <c r="Z207" s="385">
        <f t="shared" ref="Z207:Z270" si="89">Wh_sa_s*(1-Psa_s)</f>
        <v>53.692350974914845</v>
      </c>
      <c r="AA207" s="386">
        <f t="shared" ref="AA207:AA270" si="90">Wh_hp*(1-Pvg_s*MEDIAN((-Sdif+Wh/Env_an)/Csdif,0,1))</f>
        <v>57.375215959961537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6.4189126322709289E-2</v>
      </c>
      <c r="AD207" s="231">
        <f>(INDEX(Models!$BJ207:$BT207,,AH207)*(1-AF207)+INDEX(Models!$BJ207:$BT207,,AH207+1)*AF207-ERP_i)*AE207*Ramure*Pc/MaxiM</f>
        <v>5.7673853298100789E-4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0.89155185485162125</v>
      </c>
      <c r="AG207" s="81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2.8915518548516213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52.06846413320126</v>
      </c>
      <c r="C208" s="841"/>
      <c r="D208" s="393">
        <f t="shared" si="77"/>
        <v>55.998258557551864</v>
      </c>
      <c r="E208" s="385">
        <f t="shared" si="75"/>
        <v>56.731741087445165</v>
      </c>
      <c r="F208" s="385">
        <f t="shared" si="78"/>
        <v>56.735184584628776</v>
      </c>
      <c r="G208" s="110">
        <f t="shared" si="76"/>
        <v>0.92957529287608409</v>
      </c>
      <c r="H208" s="414" t="b">
        <f>Wh_hp&gt;='2026'!Maxi_hp</f>
        <v>0</v>
      </c>
      <c r="I208" s="390">
        <f>IF(H208,Wh_hp,'2026'!Maxi_hp)</f>
        <v>56.735475852287991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7.0177082744667496E-2</v>
      </c>
      <c r="M208" s="845"/>
      <c r="N208" s="845"/>
      <c r="O208" s="48">
        <f>IF(t&lt;Tnet,'2026'!Resal+('2026'!Salim-'2026'!Resal)*(1-EXP(('2026'!Tnet-t)/('2026'!Tau_j))),Resal+(Salim-Resal)*(1-EXP((Tnet-t)/(Tau_j))))*Salcycl</f>
        <v>1.292896209130494E-2</v>
      </c>
      <c r="P208" s="169">
        <f>(INDEX(Models!$BJ208:$BT208,,T208)*(1-R208)+INDEX(Models!$BJ208:$BT208,,T208+1)*R208-ERP_i)*Q208*Ramure*Pc/MaxiM</f>
        <v>6.7482827398038879E-5</v>
      </c>
      <c r="Q208" s="305">
        <f t="shared" si="80"/>
        <v>0.5</v>
      </c>
      <c r="R208" s="177">
        <f t="shared" si="81"/>
        <v>0.36995789769498777</v>
      </c>
      <c r="S208" s="811">
        <f t="shared" si="82"/>
        <v>-1</v>
      </c>
      <c r="T208" s="176">
        <f t="shared" si="83"/>
        <v>5</v>
      </c>
      <c r="U208" s="251">
        <f t="shared" si="84"/>
        <v>-0.63004210230501223</v>
      </c>
      <c r="V208" s="383">
        <f t="shared" si="85"/>
        <v>56.012795346297558</v>
      </c>
      <c r="W208" s="402">
        <f t="shared" si="86"/>
        <v>52.06846413320126</v>
      </c>
      <c r="X208" s="157">
        <f t="shared" si="87"/>
        <v>46581</v>
      </c>
      <c r="Y208" s="385">
        <f t="shared" si="88"/>
        <v>49.337425222246218</v>
      </c>
      <c r="Z208" s="385">
        <f t="shared" si="89"/>
        <v>53.061098308784743</v>
      </c>
      <c r="AA208" s="386">
        <f t="shared" si="90"/>
        <v>56.703917526710967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6.4242813844567856E-2</v>
      </c>
      <c r="AD208" s="231">
        <f>(INDEX(Models!$BJ208:$BT208,,AH208)*(1-AF208)+INDEX(Models!$BJ208:$BT208,,AH208+1)*AF208-ERP_i)*AE208*Ramure*Pc/MaxiM</f>
        <v>6.1274610089764165E-4</v>
      </c>
      <c r="AE208" s="305">
        <f t="shared" si="92"/>
        <v>0.5</v>
      </c>
      <c r="AF208" s="177">
        <f t="shared" si="93"/>
        <v>0.89494546406896669</v>
      </c>
      <c r="AG208" s="811">
        <f t="shared" ref="AG208:AG271" si="99">INDEX(Echel_vg,AH208)</f>
        <v>2</v>
      </c>
      <c r="AH208" s="176">
        <f t="shared" si="94"/>
        <v>8</v>
      </c>
      <c r="AI208" s="225">
        <f t="shared" si="95"/>
        <v>2.8949454640689667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51.511024059528275</v>
      </c>
      <c r="C209" s="841"/>
      <c r="D209" s="393">
        <f t="shared" si="77"/>
        <v>55.399959876145815</v>
      </c>
      <c r="E209" s="385">
        <f t="shared" si="75"/>
        <v>56.131352107088588</v>
      </c>
      <c r="F209" s="385">
        <f t="shared" si="78"/>
        <v>56.135026138739569</v>
      </c>
      <c r="G209" s="110">
        <f t="shared" si="76"/>
        <v>0.92148426881385415</v>
      </c>
      <c r="H209" s="414" t="b">
        <f>Wh_hp&gt;='2026'!Maxi_hp</f>
        <v>0</v>
      </c>
      <c r="I209" s="390">
        <f>IF(H209,Wh_hp,'2026'!Maxi_hp)</f>
        <v>61.910407700916835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7.0197448252882988E-2</v>
      </c>
      <c r="M209" s="845"/>
      <c r="N209" s="845"/>
      <c r="O209" s="48">
        <f>IF(t&lt;Tnet,'2026'!Resal+('2026'!Salim-'2026'!Resal)*(1-EXP(('2026'!Tnet-t)/('2026'!Tau_j))),Resal+(Salim-Resal)*(1-EXP((Tnet-t)/(Tau_j))))*Salcycl</f>
        <v>1.3030012702124276E-2</v>
      </c>
      <c r="P209" s="169">
        <f>(INDEX(Models!$BJ209:$BT209,,T209)*(1-R209)+INDEX(Models!$BJ209:$BT209,,T209+1)*R209-ERP_i)*Q209*Ramure*Pc/MaxiM</f>
        <v>7.3717659775725955E-5</v>
      </c>
      <c r="Q209" s="305">
        <f t="shared" si="80"/>
        <v>0.5</v>
      </c>
      <c r="R209" s="177">
        <f t="shared" si="81"/>
        <v>0.37327018349312069</v>
      </c>
      <c r="S209" s="811">
        <f t="shared" si="82"/>
        <v>-1</v>
      </c>
      <c r="T209" s="176">
        <f t="shared" si="83"/>
        <v>5</v>
      </c>
      <c r="U209" s="251">
        <f t="shared" si="84"/>
        <v>-0.62672981650687931</v>
      </c>
      <c r="V209" s="383">
        <f t="shared" si="85"/>
        <v>55.89959578691974</v>
      </c>
      <c r="W209" s="402">
        <f t="shared" si="86"/>
        <v>51.511024059528275</v>
      </c>
      <c r="X209" s="157">
        <f t="shared" si="87"/>
        <v>46582</v>
      </c>
      <c r="Y209" s="385">
        <f t="shared" si="88"/>
        <v>48.810531111774559</v>
      </c>
      <c r="Z209" s="385">
        <f t="shared" si="89"/>
        <v>52.495587391170979</v>
      </c>
      <c r="AA209" s="386">
        <f t="shared" si="90"/>
        <v>56.102761130825087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6.4295832628319324E-2</v>
      </c>
      <c r="AD209" s="231">
        <f>(INDEX(Models!$BJ209:$BT209,,AH209)*(1-AF209)+INDEX(Models!$BJ209:$BT209,,AH209+1)*AF209-ERP_i)*AE209*Ramure*Pc/MaxiM</f>
        <v>6.473817054533787E-4</v>
      </c>
      <c r="AE209" s="305">
        <f t="shared" si="92"/>
        <v>0.5</v>
      </c>
      <c r="AF209" s="177">
        <f t="shared" si="93"/>
        <v>0.89825774986709961</v>
      </c>
      <c r="AG209" s="811">
        <f t="shared" si="99"/>
        <v>2</v>
      </c>
      <c r="AH209" s="176">
        <f t="shared" si="94"/>
        <v>8</v>
      </c>
      <c r="AI209" s="225">
        <f t="shared" si="95"/>
        <v>2.8982577498670996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49.787580299329953</v>
      </c>
      <c r="C210" s="841"/>
      <c r="D210" s="393">
        <f t="shared" si="77"/>
        <v>53.54757384290442</v>
      </c>
      <c r="E210" s="385">
        <f t="shared" si="75"/>
        <v>54.260054864422393</v>
      </c>
      <c r="F210" s="385">
        <f t="shared" si="78"/>
        <v>54.26375489923587</v>
      </c>
      <c r="G210" s="110">
        <f t="shared" si="76"/>
        <v>0.89248587742729191</v>
      </c>
      <c r="H210" s="414" t="b">
        <f>Wh_hp&gt;='2026'!Maxi_hp</f>
        <v>0</v>
      </c>
      <c r="I210" s="390">
        <f>IF(H210,Wh_hp,'2026'!Maxi_hp)</f>
        <v>63.341573131215071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7.0217813315041622E-2</v>
      </c>
      <c r="M210" s="845"/>
      <c r="N210" s="845"/>
      <c r="O210" s="48">
        <f>IF(t&lt;Tnet,'2026'!Resal+('2026'!Salim-'2026'!Resal)*(1-EXP(('2026'!Tnet-t)/('2026'!Tau_j))),Resal+(Salim-Resal)*(1-EXP((Tnet-t)/(Tau_j))))*Salcycl</f>
        <v>1.313085700518048E-2</v>
      </c>
      <c r="P210" s="169">
        <f>(INDEX(Models!$BJ210:$BT210,,T210)*(1-R210)+INDEX(Models!$BJ210:$BT210,,T210+1)*R210-ERP_i)*Q210*Ramure*Pc/MaxiM</f>
        <v>8.055785817232214E-5</v>
      </c>
      <c r="Q210" s="305">
        <f t="shared" si="80"/>
        <v>0.5</v>
      </c>
      <c r="R210" s="177">
        <f t="shared" si="81"/>
        <v>0.37650133789827311</v>
      </c>
      <c r="S210" s="811">
        <f t="shared" si="82"/>
        <v>-1</v>
      </c>
      <c r="T210" s="176">
        <f t="shared" si="83"/>
        <v>5</v>
      </c>
      <c r="U210" s="251">
        <f t="shared" si="84"/>
        <v>-0.62349866210172689</v>
      </c>
      <c r="V210" s="383">
        <f t="shared" si="85"/>
        <v>55.784596213280913</v>
      </c>
      <c r="W210" s="402">
        <f t="shared" si="86"/>
        <v>49.787580299329953</v>
      </c>
      <c r="X210" s="157">
        <f t="shared" si="87"/>
        <v>46583</v>
      </c>
      <c r="Y210" s="385">
        <f t="shared" si="88"/>
        <v>47.179686365479398</v>
      </c>
      <c r="Z210" s="385">
        <f t="shared" si="89"/>
        <v>50.74272990074553</v>
      </c>
      <c r="AA210" s="386">
        <f t="shared" si="90"/>
        <v>54.232494042108776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6.4348214165729126E-2</v>
      </c>
      <c r="AD210" s="231">
        <f>(INDEX(Models!$BJ210:$BT210,,AH210)*(1-AF210)+INDEX(Models!$BJ210:$BT210,,AH210+1)*AF210-ERP_i)*AE210*Ramure*Pc/MaxiM</f>
        <v>6.8061729733382076E-4</v>
      </c>
      <c r="AE210" s="305">
        <f t="shared" si="92"/>
        <v>0.5</v>
      </c>
      <c r="AF210" s="177">
        <f t="shared" si="93"/>
        <v>0.90148890427225226</v>
      </c>
      <c r="AG210" s="811">
        <f t="shared" si="99"/>
        <v>2</v>
      </c>
      <c r="AH210" s="176">
        <f t="shared" si="94"/>
        <v>8</v>
      </c>
      <c r="AI210" s="225">
        <f t="shared" si="95"/>
        <v>2.9014889042722523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51.160623365289702</v>
      </c>
      <c r="C211" s="841"/>
      <c r="D211" s="393">
        <f t="shared" si="77"/>
        <v>55.025515299660654</v>
      </c>
      <c r="E211" s="385">
        <f t="shared" si="75"/>
        <v>55.763347981937557</v>
      </c>
      <c r="F211" s="385">
        <f t="shared" si="78"/>
        <v>55.767688371621773</v>
      </c>
      <c r="G211" s="110">
        <f t="shared" si="76"/>
        <v>0.91902347230949422</v>
      </c>
      <c r="H211" s="414" t="b">
        <f>Wh_hp&gt;='2026'!Maxi_hp</f>
        <v>0</v>
      </c>
      <c r="I211" s="390">
        <f>IF(H211,Wh_hp,'2026'!Maxi_hp)</f>
        <v>61.340662594559738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7.0238177931153056E-2</v>
      </c>
      <c r="M211" s="845"/>
      <c r="N211" s="845"/>
      <c r="O211" s="48">
        <f>IF(t&lt;Tnet,'2026'!Resal+('2026'!Salim-'2026'!Resal)*(1-EXP(('2026'!Tnet-t)/('2026'!Tau_j))),Resal+(Salim-Resal)*(1-EXP((Tnet-t)/(Tau_j))))*Salcycl</f>
        <v>1.3231498985962863E-2</v>
      </c>
      <c r="P211" s="169">
        <f>(INDEX(Models!$BJ211:$BT211,,T211)*(1-R211)+INDEX(Models!$BJ211:$BT211,,T211+1)*R211-ERP_i)*Q211*Ramure*Pc/MaxiM</f>
        <v>8.8009679311938031E-5</v>
      </c>
      <c r="Q211" s="305">
        <f t="shared" si="80"/>
        <v>0.5</v>
      </c>
      <c r="R211" s="177">
        <f t="shared" si="81"/>
        <v>0.37965167725961457</v>
      </c>
      <c r="S211" s="811">
        <f t="shared" si="82"/>
        <v>-1</v>
      </c>
      <c r="T211" s="176">
        <f t="shared" si="83"/>
        <v>5</v>
      </c>
      <c r="U211" s="251">
        <f t="shared" si="84"/>
        <v>-0.62034832274038543</v>
      </c>
      <c r="V211" s="383">
        <f t="shared" si="85"/>
        <v>55.667895389800506</v>
      </c>
      <c r="W211" s="402">
        <f t="shared" si="86"/>
        <v>51.160623365289702</v>
      </c>
      <c r="X211" s="157">
        <f t="shared" si="87"/>
        <v>46584</v>
      </c>
      <c r="Y211" s="385">
        <f t="shared" si="88"/>
        <v>48.480921811176536</v>
      </c>
      <c r="Z211" s="385">
        <f t="shared" si="89"/>
        <v>52.143377648374361</v>
      </c>
      <c r="AA211" s="386">
        <f t="shared" si="90"/>
        <v>55.732553521992827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6.4399989715205233E-2</v>
      </c>
      <c r="AD211" s="231">
        <f>(INDEX(Models!$BJ211:$BT211,,AH211)*(1-AF211)+INDEX(Models!$BJ211:$BT211,,AH211+1)*AF211-ERP_i)*AE211*Ramure*Pc/MaxiM</f>
        <v>7.1242608924311133E-4</v>
      </c>
      <c r="AE211" s="305">
        <f t="shared" si="92"/>
        <v>0.5</v>
      </c>
      <c r="AF211" s="177">
        <f t="shared" si="93"/>
        <v>0.90463924363359327</v>
      </c>
      <c r="AG211" s="811">
        <f t="shared" si="99"/>
        <v>2</v>
      </c>
      <c r="AH211" s="176">
        <f t="shared" si="94"/>
        <v>8</v>
      </c>
      <c r="AI211" s="225">
        <f t="shared" si="95"/>
        <v>2.9046392436335933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50.753880931622078</v>
      </c>
      <c r="C212" s="841"/>
      <c r="D212" s="393">
        <f t="shared" si="77"/>
        <v>54.589241450334455</v>
      </c>
      <c r="E212" s="385">
        <f t="shared" si="75"/>
        <v>55.32685592515989</v>
      </c>
      <c r="F212" s="385">
        <f t="shared" si="78"/>
        <v>55.331481728750965</v>
      </c>
      <c r="G212" s="110">
        <f t="shared" si="76"/>
        <v>0.91365653155397064</v>
      </c>
      <c r="H212" s="414" t="b">
        <f>Wh_hp&gt;='2026'!Maxi_hp</f>
        <v>0</v>
      </c>
      <c r="I212" s="390">
        <f>IF(H212,Wh_hp,'2026'!Maxi_hp)</f>
        <v>60.188178256844751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7.0258542101227173E-2</v>
      </c>
      <c r="M212" s="845"/>
      <c r="N212" s="845"/>
      <c r="O212" s="48">
        <f>IF(t&lt;Tnet,'2026'!Resal+('2026'!Salim-'2026'!Resal)*(1-EXP(('2026'!Tnet-t)/('2026'!Tau_j))),Resal+(Salim-Resal)*(1-EXP((Tnet-t)/(Tau_j))))*Salcycl</f>
        <v>1.3331942733619272E-2</v>
      </c>
      <c r="P212" s="169">
        <f>(INDEX(Models!$BJ212:$BT212,,T212)*(1-R212)+INDEX(Models!$BJ212:$BT212,,T212+1)*R212-ERP_i)*Q212*Ramure*Pc/MaxiM</f>
        <v>9.5363012485621886E-5</v>
      </c>
      <c r="Q212" s="305">
        <f t="shared" si="80"/>
        <v>0.5</v>
      </c>
      <c r="R212" s="177">
        <f t="shared" si="81"/>
        <v>0.38272163532619086</v>
      </c>
      <c r="S212" s="811">
        <f t="shared" si="82"/>
        <v>-1</v>
      </c>
      <c r="T212" s="176">
        <f t="shared" si="83"/>
        <v>5</v>
      </c>
      <c r="U212" s="251">
        <f t="shared" si="84"/>
        <v>-0.61727836467380914</v>
      </c>
      <c r="V212" s="383">
        <f t="shared" si="85"/>
        <v>55.549631830449719</v>
      </c>
      <c r="W212" s="402">
        <f t="shared" si="86"/>
        <v>50.753880931622078</v>
      </c>
      <c r="X212" s="157">
        <f t="shared" si="87"/>
        <v>46585</v>
      </c>
      <c r="Y212" s="385">
        <f t="shared" si="88"/>
        <v>48.09712913241323</v>
      </c>
      <c r="Z212" s="385">
        <f t="shared" si="89"/>
        <v>51.731724689478014</v>
      </c>
      <c r="AA212" s="386">
        <f t="shared" si="90"/>
        <v>55.295591361914774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6.4451190133964303E-2</v>
      </c>
      <c r="AD212" s="231">
        <f>(INDEX(Models!$BJ212:$BT212,,AH212)*(1-AF212)+INDEX(Models!$BJ212:$BT212,,AH212+1)*AF212-ERP_i)*AE212*Ramure*Pc/MaxiM</f>
        <v>7.3989598419557732E-4</v>
      </c>
      <c r="AE212" s="305">
        <f t="shared" si="92"/>
        <v>0.5</v>
      </c>
      <c r="AF212" s="177">
        <f t="shared" si="93"/>
        <v>0.90770920170017</v>
      </c>
      <c r="AG212" s="811">
        <f t="shared" si="99"/>
        <v>2</v>
      </c>
      <c r="AH212" s="176">
        <f t="shared" si="94"/>
        <v>8</v>
      </c>
      <c r="AI212" s="225">
        <f t="shared" si="95"/>
        <v>2.90770920170017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52.597784180848947</v>
      </c>
      <c r="C213" s="841"/>
      <c r="D213" s="393">
        <f t="shared" si="77"/>
        <v>56.573723571946871</v>
      </c>
      <c r="E213" s="385">
        <f t="shared" si="75"/>
        <v>57.343978930137425</v>
      </c>
      <c r="F213" s="385">
        <f t="shared" si="78"/>
        <v>57.349413899316879</v>
      </c>
      <c r="G213" s="110">
        <f t="shared" si="76"/>
        <v>0.94889882996214314</v>
      </c>
      <c r="H213" s="414" t="b">
        <f>Wh_hp&gt;='2026'!Maxi_hp</f>
        <v>0</v>
      </c>
      <c r="I213" s="390">
        <f>IF(H213,Wh_hp,'2026'!Maxi_hp)</f>
        <v>57.349733603819672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7.0278905825273741E-2</v>
      </c>
      <c r="M213" s="845"/>
      <c r="N213" s="845"/>
      <c r="O213" s="48">
        <f>IF(t&lt;Tnet,'2026'!Resal+('2026'!Salim-'2026'!Resal)*(1-EXP(('2026'!Tnet-t)/('2026'!Tau_j))),Resal+(Salim-Resal)*(1-EXP((Tnet-t)/(Tau_j))))*Salcycl</f>
        <v>1.3432192403826081E-2</v>
      </c>
      <c r="P213" s="169">
        <f>(INDEX(Models!$BJ213:$BT213,,T213)*(1-R213)+INDEX(Models!$BJ213:$BT213,,T213+1)*R213-ERP_i)*Q213*Ramure*Pc/MaxiM</f>
        <v>1.0223142425695828E-4</v>
      </c>
      <c r="Q213" s="305">
        <f t="shared" si="80"/>
        <v>0.5</v>
      </c>
      <c r="R213" s="177">
        <f t="shared" si="81"/>
        <v>0.38571175624248122</v>
      </c>
      <c r="S213" s="811">
        <f t="shared" si="82"/>
        <v>-1</v>
      </c>
      <c r="T213" s="176">
        <f t="shared" si="83"/>
        <v>5</v>
      </c>
      <c r="U213" s="251">
        <f t="shared" si="84"/>
        <v>-0.61428824375751878</v>
      </c>
      <c r="V213" s="383">
        <f t="shared" si="85"/>
        <v>55.429925716602391</v>
      </c>
      <c r="W213" s="402">
        <f t="shared" si="86"/>
        <v>52.597784180848947</v>
      </c>
      <c r="X213" s="157">
        <f t="shared" si="87"/>
        <v>46586</v>
      </c>
      <c r="Y213" s="385">
        <f t="shared" si="88"/>
        <v>49.84456665452592</v>
      </c>
      <c r="Z213" s="385">
        <f t="shared" si="89"/>
        <v>53.612386517669378</v>
      </c>
      <c r="AA213" s="386">
        <f t="shared" si="90"/>
        <v>57.308917470667033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6.4501845718682199E-2</v>
      </c>
      <c r="AD213" s="231">
        <f>(INDEX(Models!$BJ213:$BT213,,AH213)*(1-AF213)+INDEX(Models!$BJ213:$BT213,,AH213+1)*AF213-ERP_i)*AE213*Ramure*Pc/MaxiM</f>
        <v>7.6173524476345195E-4</v>
      </c>
      <c r="AE213" s="305">
        <f t="shared" si="92"/>
        <v>0.5</v>
      </c>
      <c r="AF213" s="177">
        <f t="shared" si="93"/>
        <v>0.91069932261646036</v>
      </c>
      <c r="AG213" s="811">
        <f t="shared" si="99"/>
        <v>2</v>
      </c>
      <c r="AH213" s="176">
        <f t="shared" si="94"/>
        <v>8</v>
      </c>
      <c r="AI213" s="225">
        <f t="shared" si="95"/>
        <v>2.9106993226164604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42.196736989618664</v>
      </c>
      <c r="C214" s="841"/>
      <c r="D214" s="393">
        <f t="shared" si="77"/>
        <v>45.387440912216832</v>
      </c>
      <c r="E214" s="385">
        <f t="shared" si="75"/>
        <v>46.010060655937856</v>
      </c>
      <c r="F214" s="385">
        <f t="shared" si="78"/>
        <v>46.013365494551728</v>
      </c>
      <c r="G214" s="110">
        <f t="shared" si="76"/>
        <v>0.76290078093338365</v>
      </c>
      <c r="H214" s="414" t="b">
        <f>Wh_hp&gt;='2026'!Maxi_hp</f>
        <v>0</v>
      </c>
      <c r="I214" s="390">
        <f>IF(H214,Wh_hp,'2026'!Maxi_hp)</f>
        <v>60.582660665176114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7.029926910330242E-2</v>
      </c>
      <c r="M214" s="845"/>
      <c r="N214" s="845"/>
      <c r="O214" s="48">
        <f>IF(t&lt;Tnet,'2026'!Resal+('2026'!Salim-'2026'!Resal)*(1-EXP(('2026'!Tnet-t)/('2026'!Tau_j))),Resal+(Salim-Resal)*(1-EXP((Tnet-t)/(Tau_j))))*Salcycl</f>
        <v>1.3532252182342476E-2</v>
      </c>
      <c r="P214" s="169">
        <f>(INDEX(Models!$BJ214:$BT214,,T214)*(1-R214)+INDEX(Models!$BJ214:$BT214,,T214+1)*R214-ERP_i)*Q214*Ramure*Pc/MaxiM</f>
        <v>1.0860505871636896E-4</v>
      </c>
      <c r="Q214" s="305">
        <f t="shared" si="80"/>
        <v>0.5</v>
      </c>
      <c r="R214" s="177">
        <f t="shared" si="81"/>
        <v>0.38862268750804496</v>
      </c>
      <c r="S214" s="811">
        <f t="shared" si="82"/>
        <v>-1</v>
      </c>
      <c r="T214" s="176">
        <f t="shared" si="83"/>
        <v>5</v>
      </c>
      <c r="U214" s="251">
        <f t="shared" si="84"/>
        <v>-0.61137731249195504</v>
      </c>
      <c r="V214" s="383">
        <f t="shared" si="85"/>
        <v>55.308876158973177</v>
      </c>
      <c r="W214" s="402">
        <f t="shared" si="86"/>
        <v>42.196736989618664</v>
      </c>
      <c r="X214" s="157">
        <f t="shared" si="87"/>
        <v>46587</v>
      </c>
      <c r="Y214" s="385">
        <f t="shared" si="88"/>
        <v>39.996625656789213</v>
      </c>
      <c r="Z214" s="385">
        <f t="shared" si="89"/>
        <v>43.02096828321563</v>
      </c>
      <c r="AA214" s="386">
        <f t="shared" si="90"/>
        <v>45.989694394468835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6.4551986055603194E-2</v>
      </c>
      <c r="AD214" s="231">
        <f>(INDEX(Models!$BJ214:$BT214,,AH214)*(1-AF214)+INDEX(Models!$BJ214:$BT214,,AH214+1)*AF214-ERP_i)*AE214*Ramure*Pc/MaxiM</f>
        <v>7.7789009230123929E-4</v>
      </c>
      <c r="AE214" s="305">
        <f t="shared" si="92"/>
        <v>0.5</v>
      </c>
      <c r="AF214" s="177">
        <f t="shared" si="93"/>
        <v>0.9136102538820241</v>
      </c>
      <c r="AG214" s="811">
        <f t="shared" si="99"/>
        <v>2</v>
      </c>
      <c r="AH214" s="176">
        <f t="shared" si="94"/>
        <v>8</v>
      </c>
      <c r="AI214" s="225">
        <f t="shared" si="95"/>
        <v>2.9136102538820241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42.619786447030819</v>
      </c>
      <c r="C215" s="841"/>
      <c r="D215" s="393">
        <f t="shared" si="77"/>
        <v>45.843483320781282</v>
      </c>
      <c r="E215" s="385">
        <f t="shared" si="75"/>
        <v>46.477064532191953</v>
      </c>
      <c r="F215" s="385">
        <f t="shared" si="78"/>
        <v>46.480654470997827</v>
      </c>
      <c r="G215" s="110">
        <f t="shared" si="76"/>
        <v>0.77225654321840376</v>
      </c>
      <c r="H215" s="414" t="b">
        <f>Wh_hp&gt;='2026'!Maxi_hp</f>
        <v>0</v>
      </c>
      <c r="I215" s="390">
        <f>IF(H215,Wh_hp,'2026'!Maxi_hp)</f>
        <v>59.347072848746947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7.031963193532309E-2</v>
      </c>
      <c r="M215" s="845"/>
      <c r="N215" s="845"/>
      <c r="O215" s="48">
        <f>IF(t&lt;Tnet,'2026'!Resal+('2026'!Salim-'2026'!Resal)*(1-EXP(('2026'!Tnet-t)/('2026'!Tau_j))),Resal+(Salim-Resal)*(1-EXP((Tnet-t)/(Tau_j))))*Salcycl</f>
        <v>1.3632126249536025E-2</v>
      </c>
      <c r="P215" s="169">
        <f>(INDEX(Models!$BJ215:$BT215,,T215)*(1-R215)+INDEX(Models!$BJ215:$BT215,,T215+1)*R215-ERP_i)*Q215*Ramure*Pc/MaxiM</f>
        <v>1.1447441121999843E-4</v>
      </c>
      <c r="Q215" s="305">
        <f t="shared" si="80"/>
        <v>0.5</v>
      </c>
      <c r="R215" s="177">
        <f t="shared" si="81"/>
        <v>0.39145517294348009</v>
      </c>
      <c r="S215" s="811">
        <f t="shared" si="82"/>
        <v>-1</v>
      </c>
      <c r="T215" s="176">
        <f t="shared" si="83"/>
        <v>5</v>
      </c>
      <c r="U215" s="251">
        <f t="shared" si="84"/>
        <v>-0.60854482705651991</v>
      </c>
      <c r="V215" s="383">
        <f t="shared" si="85"/>
        <v>55.186582189484938</v>
      </c>
      <c r="W215" s="402">
        <f t="shared" si="86"/>
        <v>42.619786447030819</v>
      </c>
      <c r="X215" s="157">
        <f t="shared" si="87"/>
        <v>46588</v>
      </c>
      <c r="Y215" s="385">
        <f t="shared" si="88"/>
        <v>40.399077738977276</v>
      </c>
      <c r="Z215" s="385">
        <f t="shared" si="89"/>
        <v>43.454803528955182</v>
      </c>
      <c r="AA215" s="386">
        <f t="shared" si="90"/>
        <v>46.455932981778972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6.4601639880979195E-2</v>
      </c>
      <c r="AD215" s="231">
        <f>(INDEX(Models!$BJ215:$BT215,,AH215)*(1-AF215)+INDEX(Models!$BJ215:$BT215,,AH215+1)*AF215-ERP_i)*AE215*Ramure*Pc/MaxiM</f>
        <v>7.8830812329693423E-4</v>
      </c>
      <c r="AE215" s="305">
        <f t="shared" si="92"/>
        <v>0.5</v>
      </c>
      <c r="AF215" s="177">
        <f t="shared" si="93"/>
        <v>0.91644273931745923</v>
      </c>
      <c r="AG215" s="811">
        <f t="shared" si="99"/>
        <v>2</v>
      </c>
      <c r="AH215" s="176">
        <f t="shared" si="94"/>
        <v>8</v>
      </c>
      <c r="AI215" s="225">
        <f t="shared" si="95"/>
        <v>2.9164427393174592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50.122891516962717</v>
      </c>
      <c r="C216" s="841"/>
      <c r="D216" s="393">
        <f t="shared" si="77"/>
        <v>53.915292914394939</v>
      </c>
      <c r="E216" s="385">
        <f t="shared" si="75"/>
        <v>54.665955912571469</v>
      </c>
      <c r="F216" s="385">
        <f t="shared" si="78"/>
        <v>54.671667545337144</v>
      </c>
      <c r="G216" s="110">
        <f t="shared" si="76"/>
        <v>0.9102662705681106</v>
      </c>
      <c r="H216" s="414" t="b">
        <f>Wh_hp&gt;='2026'!Maxi_hp</f>
        <v>0</v>
      </c>
      <c r="I216" s="390">
        <f>IF(H216,Wh_hp,'2026'!Maxi_hp)</f>
        <v>54.672289706549698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7.0339994321345523E-2</v>
      </c>
      <c r="M216" s="845"/>
      <c r="N216" s="845"/>
      <c r="O216" s="48">
        <f>IF(t&lt;Tnet,'2026'!Resal+('2026'!Salim-'2026'!Resal)*(1-EXP(('2026'!Tnet-t)/('2026'!Tau_j))),Resal+(Salim-Resal)*(1-EXP((Tnet-t)/(Tau_j))))*Salcycl</f>
        <v>1.373181874615129E-2</v>
      </c>
      <c r="P216" s="169">
        <f>(INDEX(Models!$BJ216:$BT216,,T216)*(1-R216)+INDEX(Models!$BJ216:$BT216,,T216+1)*R216-ERP_i)*Q216*Ramure*Pc/MaxiM</f>
        <v>1.1983030875449634E-4</v>
      </c>
      <c r="Q216" s="305">
        <f t="shared" si="80"/>
        <v>0.5</v>
      </c>
      <c r="R216" s="177">
        <f t="shared" si="81"/>
        <v>0.39421004570154006</v>
      </c>
      <c r="S216" s="811">
        <f t="shared" si="82"/>
        <v>-1</v>
      </c>
      <c r="T216" s="176">
        <f t="shared" si="83"/>
        <v>5</v>
      </c>
      <c r="U216" s="251">
        <f t="shared" si="84"/>
        <v>-0.60578995429845994</v>
      </c>
      <c r="V216" s="383">
        <f t="shared" si="85"/>
        <v>55.063142764649342</v>
      </c>
      <c r="W216" s="402">
        <f t="shared" si="86"/>
        <v>50.122891516962717</v>
      </c>
      <c r="X216" s="157">
        <f t="shared" si="87"/>
        <v>46589</v>
      </c>
      <c r="Y216" s="385">
        <f t="shared" si="88"/>
        <v>47.507250580127305</v>
      </c>
      <c r="Z216" s="385">
        <f t="shared" si="89"/>
        <v>51.101747187077144</v>
      </c>
      <c r="AA216" s="386">
        <f t="shared" si="90"/>
        <v>54.633872672017048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6.4650834952599323E-2</v>
      </c>
      <c r="AD216" s="231">
        <f>(INDEX(Models!$BJ216:$BT216,,AH216)*(1-AF216)+INDEX(Models!$BJ216:$BT216,,AH216+1)*AF216-ERP_i)*AE216*Ramure*Pc/MaxiM</f>
        <v>7.9293811858910704E-4</v>
      </c>
      <c r="AE216" s="305">
        <f t="shared" si="92"/>
        <v>0.5</v>
      </c>
      <c r="AF216" s="177">
        <f t="shared" si="93"/>
        <v>0.9191976120755192</v>
      </c>
      <c r="AG216" s="811">
        <f t="shared" si="99"/>
        <v>2</v>
      </c>
      <c r="AH216" s="176">
        <f t="shared" si="94"/>
        <v>8</v>
      </c>
      <c r="AI216" s="225">
        <f t="shared" si="95"/>
        <v>2.9191976120755192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39.954969161329025</v>
      </c>
      <c r="C217" s="841"/>
      <c r="D217" s="393">
        <f t="shared" si="77"/>
        <v>42.978985922595662</v>
      </c>
      <c r="E217" s="385">
        <f t="shared" si="75"/>
        <v>43.581780067720686</v>
      </c>
      <c r="F217" s="385">
        <f t="shared" si="78"/>
        <v>43.585096553141177</v>
      </c>
      <c r="G217" s="110">
        <f t="shared" si="76"/>
        <v>0.72722979923506936</v>
      </c>
      <c r="H217" s="414" t="b">
        <f>Wh_hp&gt;='2026'!Maxi_hp</f>
        <v>0</v>
      </c>
      <c r="I217" s="390">
        <f>IF(H217,Wh_hp,'2026'!Maxi_hp)</f>
        <v>55.563972127949256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7.0360356261379375E-2</v>
      </c>
      <c r="M217" s="845"/>
      <c r="N217" s="845"/>
      <c r="O217" s="48">
        <f>IF(t&lt;Tnet,'2026'!Resal+('2026'!Salim-'2026'!Resal)*(1-EXP(('2026'!Tnet-t)/('2026'!Tau_j))),Resal+(Salim-Resal)*(1-EXP((Tnet-t)/(Tau_j))))*Salcycl</f>
        <v>1.3831333740575977E-2</v>
      </c>
      <c r="P217" s="169">
        <f>(INDEX(Models!$BJ217:$BT217,,T217)*(1-R217)+INDEX(Models!$BJ217:$BT217,,T217+1)*R217-ERP_i)*Q217*Ramure*Pc/MaxiM</f>
        <v>1.2466388961378491E-4</v>
      </c>
      <c r="Q217" s="305">
        <f t="shared" si="80"/>
        <v>0.5</v>
      </c>
      <c r="R217" s="177">
        <f t="shared" si="81"/>
        <v>0.39688822135881918</v>
      </c>
      <c r="S217" s="811">
        <f t="shared" si="82"/>
        <v>-1</v>
      </c>
      <c r="T217" s="176">
        <f t="shared" si="83"/>
        <v>5</v>
      </c>
      <c r="U217" s="251">
        <f t="shared" si="84"/>
        <v>-0.60311177864118082</v>
      </c>
      <c r="V217" s="383">
        <f t="shared" si="85"/>
        <v>54.938656769683959</v>
      </c>
      <c r="W217" s="402">
        <f t="shared" si="86"/>
        <v>39.954969161329025</v>
      </c>
      <c r="X217" s="157">
        <f t="shared" si="87"/>
        <v>46590</v>
      </c>
      <c r="Y217" s="385">
        <f t="shared" si="88"/>
        <v>37.878593393988318</v>
      </c>
      <c r="Z217" s="385">
        <f t="shared" si="89"/>
        <v>40.745458360248612</v>
      </c>
      <c r="AA217" s="386">
        <f t="shared" si="90"/>
        <v>43.564033833626205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6.469959793305434E-2</v>
      </c>
      <c r="AD217" s="231">
        <f>(INDEX(Models!$BJ217:$BT217,,AH217)*(1-AF217)+INDEX(Models!$BJ217:$BT217,,AH217+1)*AF217-ERP_i)*AE217*Ramure*Pc/MaxiM</f>
        <v>7.9172986088203452E-4</v>
      </c>
      <c r="AE217" s="305">
        <f t="shared" si="92"/>
        <v>0.5</v>
      </c>
      <c r="AF217" s="177">
        <f t="shared" si="93"/>
        <v>0.9218757877327981</v>
      </c>
      <c r="AG217" s="811">
        <f t="shared" si="99"/>
        <v>2</v>
      </c>
      <c r="AH217" s="176">
        <f t="shared" si="94"/>
        <v>8</v>
      </c>
      <c r="AI217" s="225">
        <f t="shared" si="95"/>
        <v>2.9218757877327981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44.650077529403063</v>
      </c>
      <c r="C218" s="841"/>
      <c r="D218" s="393">
        <f t="shared" si="77"/>
        <v>48.030498487074695</v>
      </c>
      <c r="E218" s="385">
        <f t="shared" si="75"/>
        <v>48.709048419806813</v>
      </c>
      <c r="F218" s="385">
        <f t="shared" si="78"/>
        <v>48.713666780401304</v>
      </c>
      <c r="G218" s="110">
        <f t="shared" si="76"/>
        <v>0.81455805116900326</v>
      </c>
      <c r="H218" s="414" t="b">
        <f>Wh_hp&gt;='2026'!Maxi_hp</f>
        <v>0</v>
      </c>
      <c r="I218" s="390">
        <f>IF(H218,Wh_hp,'2026'!Maxi_hp)</f>
        <v>57.937152506467669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7.038071775543453E-2</v>
      </c>
      <c r="M218" s="845"/>
      <c r="N218" s="845"/>
      <c r="O218" s="48">
        <f>IF(t&lt;Tnet,'2026'!Resal+('2026'!Salim-'2026'!Resal)*(1-EXP(('2026'!Tnet-t)/('2026'!Tau_j))),Resal+(Salim-Resal)*(1-EXP((Tnet-t)/(Tau_j))))*Salcycl</f>
        <v>1.3930675197838508E-2</v>
      </c>
      <c r="P218" s="169">
        <f>(INDEX(Models!$BJ218:$BT218,,T218)*(1-R218)+INDEX(Models!$BJ218:$BT218,,T218+1)*R218-ERP_i)*Q218*Ramure*Pc/MaxiM</f>
        <v>1.2896658275548045E-4</v>
      </c>
      <c r="Q218" s="305">
        <f t="shared" si="80"/>
        <v>0.5</v>
      </c>
      <c r="R218" s="177">
        <f t="shared" si="81"/>
        <v>0.39949069111995139</v>
      </c>
      <c r="S218" s="811">
        <f t="shared" si="82"/>
        <v>-1</v>
      </c>
      <c r="T218" s="176">
        <f t="shared" si="83"/>
        <v>5</v>
      </c>
      <c r="U218" s="251">
        <f t="shared" si="84"/>
        <v>-0.60050930888004861</v>
      </c>
      <c r="V218" s="383">
        <f t="shared" si="85"/>
        <v>54.813223022818207</v>
      </c>
      <c r="W218" s="402">
        <f t="shared" si="86"/>
        <v>44.650077529403063</v>
      </c>
      <c r="X218" s="157">
        <f t="shared" si="87"/>
        <v>46591</v>
      </c>
      <c r="Y218" s="385">
        <f t="shared" si="88"/>
        <v>42.328612893744683</v>
      </c>
      <c r="Z218" s="385">
        <f t="shared" si="89"/>
        <v>45.533277657001975</v>
      </c>
      <c r="AA218" s="386">
        <f t="shared" si="90"/>
        <v>48.685568628940381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6.4747954285257633E-2</v>
      </c>
      <c r="AD218" s="231">
        <f>(INDEX(Models!$BJ218:$BT218,,AH218)*(1-AF218)+INDEX(Models!$BJ218:$BT218,,AH218+1)*AF218-ERP_i)*AE218*Ramure*Pc/MaxiM</f>
        <v>7.8463396296596941E-4</v>
      </c>
      <c r="AE218" s="305">
        <f t="shared" si="92"/>
        <v>0.5</v>
      </c>
      <c r="AF218" s="177">
        <f t="shared" si="93"/>
        <v>0.92447825749393031</v>
      </c>
      <c r="AG218" s="811">
        <f t="shared" si="99"/>
        <v>2</v>
      </c>
      <c r="AH218" s="176">
        <f t="shared" si="94"/>
        <v>8</v>
      </c>
      <c r="AI218" s="225">
        <f t="shared" si="95"/>
        <v>2.9244782574939303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50.076725789194853</v>
      </c>
      <c r="C219" s="841"/>
      <c r="D219" s="393">
        <f t="shared" si="77"/>
        <v>53.869173734347171</v>
      </c>
      <c r="E219" s="385">
        <f t="shared" si="75"/>
        <v>54.635704303764413</v>
      </c>
      <c r="F219" s="385">
        <f t="shared" si="78"/>
        <v>54.642083567275868</v>
      </c>
      <c r="G219" s="110">
        <f t="shared" si="76"/>
        <v>0.91568755289434389</v>
      </c>
      <c r="H219" s="414" t="b">
        <f>Wh_hp&gt;='2026'!Maxi_hp</f>
        <v>0</v>
      </c>
      <c r="I219" s="390">
        <f>IF(H219,Wh_hp,'2026'!Maxi_hp)</f>
        <v>57.924820130429069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7.0401078803520645E-2</v>
      </c>
      <c r="M219" s="845"/>
      <c r="N219" s="845"/>
      <c r="O219" s="48">
        <f>IF(t&lt;Tnet,'2026'!Resal+('2026'!Salim-'2026'!Resal)*(1-EXP(('2026'!Tnet-t)/('2026'!Tau_j))),Resal+(Salim-Resal)*(1-EXP((Tnet-t)/(Tau_j))))*Salcycl</f>
        <v>1.4029846950548512E-2</v>
      </c>
      <c r="P219" s="169">
        <f>(INDEX(Models!$BJ219:$BT219,,T219)*(1-R219)+INDEX(Models!$BJ219:$BT219,,T219+1)*R219-ERP_i)*Q219*Ramure*Pc/MaxiM</f>
        <v>1.3273046984915279E-4</v>
      </c>
      <c r="Q219" s="305">
        <f t="shared" si="80"/>
        <v>0.5</v>
      </c>
      <c r="R219" s="177">
        <f t="shared" si="81"/>
        <v>0.4020185151628286</v>
      </c>
      <c r="S219" s="811">
        <f t="shared" si="82"/>
        <v>-1</v>
      </c>
      <c r="T219" s="176">
        <f t="shared" si="83"/>
        <v>5</v>
      </c>
      <c r="U219" s="251">
        <f t="shared" si="84"/>
        <v>-0.5979814848371714</v>
      </c>
      <c r="V219" s="383">
        <f t="shared" si="85"/>
        <v>54.686694282117678</v>
      </c>
      <c r="W219" s="402">
        <f t="shared" si="86"/>
        <v>50.076725789194853</v>
      </c>
      <c r="X219" s="157">
        <f t="shared" si="87"/>
        <v>46592</v>
      </c>
      <c r="Y219" s="385">
        <f t="shared" si="88"/>
        <v>47.471658286315524</v>
      </c>
      <c r="Z219" s="385">
        <f t="shared" si="89"/>
        <v>51.066817316456358</v>
      </c>
      <c r="AA219" s="386">
        <f t="shared" si="90"/>
        <v>54.604998903724969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6.4795928180620146E-2</v>
      </c>
      <c r="AD219" s="231">
        <f>(INDEX(Models!$BJ219:$BT219,,AH219)*(1-AF219)+INDEX(Models!$BJ219:$BT219,,AH219+1)*AF219-ERP_i)*AE219*Ramure*Pc/MaxiM</f>
        <v>7.7160393334868311E-4</v>
      </c>
      <c r="AE219" s="305">
        <f t="shared" si="92"/>
        <v>0.5</v>
      </c>
      <c r="AF219" s="177">
        <f t="shared" si="93"/>
        <v>0.92700608153680752</v>
      </c>
      <c r="AG219" s="811">
        <f t="shared" si="99"/>
        <v>2</v>
      </c>
      <c r="AH219" s="176">
        <f t="shared" si="94"/>
        <v>8</v>
      </c>
      <c r="AI219" s="225">
        <f t="shared" si="95"/>
        <v>2.9270060815368075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25.590772049531044</v>
      </c>
      <c r="C220" s="841"/>
      <c r="D220" s="393">
        <f t="shared" si="77"/>
        <v>27.529434449487365</v>
      </c>
      <c r="E220" s="385">
        <f t="shared" si="75"/>
        <v>27.92396808051366</v>
      </c>
      <c r="F220" s="385">
        <f t="shared" si="78"/>
        <v>27.924881662557862</v>
      </c>
      <c r="G220" s="110">
        <f t="shared" si="76"/>
        <v>0.46900047419217056</v>
      </c>
      <c r="H220" s="414" t="b">
        <f>Wh_hp&gt;='2026'!Maxi_hp</f>
        <v>0</v>
      </c>
      <c r="I220" s="390">
        <f>IF(H220,Wh_hp,'2026'!Maxi_hp)</f>
        <v>58.619065963281635</v>
      </c>
      <c r="J220" s="85">
        <f>IF(H220,An,'2026'!An_max)</f>
        <v>2019</v>
      </c>
      <c r="K220" s="197">
        <f t="shared" si="79"/>
        <v>46593</v>
      </c>
      <c r="L220" s="147">
        <f>IF(t&lt;Tvie,1-EXP((T0-t)*PertePVj)+'2026'!Pspv,1-EXP((T0-t)*PertePVj)+Pspv)</f>
        <v>7.0421439405647601E-2</v>
      </c>
      <c r="M220" s="845"/>
      <c r="N220" s="845"/>
      <c r="O220" s="48">
        <f>IF(t&lt;Tnet,'2026'!Resal+('2026'!Salim-'2026'!Resal)*(1-EXP(('2026'!Tnet-t)/('2026'!Tau_j))),Resal+(Salim-Resal)*(1-EXP((Tnet-t)/(Tau_j))))*Salcycl</f>
        <v>1.4128852671967238E-2</v>
      </c>
      <c r="P220" s="169">
        <f>(INDEX(Models!$BJ220:$BT220,,T220)*(1-R220)+INDEX(Models!$BJ220:$BT220,,T220+1)*R220-ERP_i)*Q220*Ramure*Pc/MaxiM</f>
        <v>1.3546979990078299E-4</v>
      </c>
      <c r="Q220" s="305">
        <f t="shared" si="80"/>
        <v>0.5</v>
      </c>
      <c r="R220" s="177">
        <f t="shared" si="81"/>
        <v>0.40447281614996355</v>
      </c>
      <c r="S220" s="811">
        <f t="shared" si="82"/>
        <v>-1</v>
      </c>
      <c r="T220" s="176">
        <f t="shared" si="83"/>
        <v>5</v>
      </c>
      <c r="U220" s="251">
        <f t="shared" si="84"/>
        <v>-0.59552718385003645</v>
      </c>
      <c r="V220" s="383">
        <f t="shared" si="85"/>
        <v>54.558883870684262</v>
      </c>
      <c r="W220" s="402">
        <f t="shared" si="86"/>
        <v>25.590772049531044</v>
      </c>
      <c r="X220" s="157">
        <f t="shared" si="87"/>
        <v>46593</v>
      </c>
      <c r="Y220" s="385">
        <f t="shared" si="88"/>
        <v>24.270724686044776</v>
      </c>
      <c r="Z220" s="385">
        <f t="shared" si="89"/>
        <v>26.109385171842391</v>
      </c>
      <c r="AA220" s="386">
        <f t="shared" si="90"/>
        <v>27.919804178449958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6.4843542420148753E-2</v>
      </c>
      <c r="AD220" s="231">
        <f>(INDEX(Models!$BJ220:$BT220,,AH220)*(1-AF220)+INDEX(Models!$BJ220:$BT220,,AH220+1)*AF220-ERP_i)*AE220*Ramure*Pc/MaxiM</f>
        <v>7.5291076533649933E-4</v>
      </c>
      <c r="AE220" s="305">
        <f t="shared" si="92"/>
        <v>0.5</v>
      </c>
      <c r="AF220" s="177">
        <f t="shared" si="93"/>
        <v>0.92946038252394247</v>
      </c>
      <c r="AG220" s="811">
        <f t="shared" si="99"/>
        <v>2</v>
      </c>
      <c r="AH220" s="176">
        <f t="shared" si="94"/>
        <v>8</v>
      </c>
      <c r="AI220" s="225">
        <f t="shared" si="95"/>
        <v>2.9294603825239425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53.792231291589694</v>
      </c>
      <c r="C221" s="841"/>
      <c r="D221" s="393">
        <f t="shared" si="77"/>
        <v>57.868599584440354</v>
      </c>
      <c r="E221" s="385">
        <f t="shared" si="75"/>
        <v>58.70381967610551</v>
      </c>
      <c r="F221" s="385">
        <f t="shared" si="78"/>
        <v>58.711728046640943</v>
      </c>
      <c r="G221" s="110">
        <f t="shared" si="76"/>
        <v>0.98828409764167724</v>
      </c>
      <c r="H221" s="414" t="b">
        <f>Wh_hp&gt;='2026'!Maxi_hp</f>
        <v>0</v>
      </c>
      <c r="I221" s="390">
        <f>IF(H221,Wh_hp,'2026'!Maxi_hp)</f>
        <v>58.711826275026539</v>
      </c>
      <c r="J221" s="85">
        <f>IF(H221,An,'2026'!An_max)</f>
        <v>2025</v>
      </c>
      <c r="K221" s="197">
        <f t="shared" si="79"/>
        <v>46594</v>
      </c>
      <c r="L221" s="147">
        <f>IF(t&lt;Tvie,1-EXP((T0-t)*PertePVj)+'2026'!Pspv,1-EXP((T0-t)*PertePVj)+Pspv)</f>
        <v>7.0441799561825058E-2</v>
      </c>
      <c r="M221" s="845"/>
      <c r="N221" s="845"/>
      <c r="O221" s="48">
        <f>IF(t&lt;Tnet,'2026'!Resal+('2026'!Salim-'2026'!Resal)*(1-EXP(('2026'!Tnet-t)/('2026'!Tau_j))),Resal+(Salim-Resal)*(1-EXP((Tnet-t)/(Tau_j))))*Salcycl</f>
        <v>1.422769585136761E-2</v>
      </c>
      <c r="P221" s="169">
        <f>(INDEX(Models!$BJ221:$BT221,,T221)*(1-R221)+INDEX(Models!$BJ221:$BT221,,T221+1)*R221-ERP_i)*Q221*Ramure*Pc/MaxiM</f>
        <v>1.3699067988295189E-4</v>
      </c>
      <c r="Q221" s="305">
        <f t="shared" si="80"/>
        <v>0.5</v>
      </c>
      <c r="R221" s="177">
        <f t="shared" si="81"/>
        <v>0.40685477292782246</v>
      </c>
      <c r="S221" s="811">
        <f t="shared" si="82"/>
        <v>-1</v>
      </c>
      <c r="T221" s="176">
        <f t="shared" si="83"/>
        <v>5</v>
      </c>
      <c r="U221" s="251">
        <f t="shared" si="84"/>
        <v>-0.59314522707217754</v>
      </c>
      <c r="V221" s="383">
        <f t="shared" si="85"/>
        <v>54.429802211369029</v>
      </c>
      <c r="W221" s="402">
        <f t="shared" si="86"/>
        <v>53.792231291589694</v>
      </c>
      <c r="X221" s="157">
        <f t="shared" si="87"/>
        <v>46594</v>
      </c>
      <c r="Y221" s="385">
        <f t="shared" si="88"/>
        <v>50.997785395825744</v>
      </c>
      <c r="Z221" s="385">
        <f t="shared" si="89"/>
        <v>54.862390942047973</v>
      </c>
      <c r="AA221" s="386">
        <f t="shared" si="90"/>
        <v>58.669503005344282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6.489081836860823E-2</v>
      </c>
      <c r="AD221" s="231">
        <f>(INDEX(Models!$BJ221:$BT221,,AH221)*(1-AF221)+INDEX(Models!$BJ221:$BT221,,AH221+1)*AF221-ERP_i)*AE221*Ramure*Pc/MaxiM</f>
        <v>7.3143223239182775E-4</v>
      </c>
      <c r="AE221" s="305">
        <f t="shared" si="92"/>
        <v>0.5</v>
      </c>
      <c r="AF221" s="177">
        <f t="shared" si="93"/>
        <v>0.93184233930180138</v>
      </c>
      <c r="AG221" s="811">
        <f t="shared" si="99"/>
        <v>2</v>
      </c>
      <c r="AH221" s="176">
        <f t="shared" si="94"/>
        <v>8</v>
      </c>
      <c r="AI221" s="225">
        <f t="shared" si="95"/>
        <v>2.9318423393018014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53.799359477568814</v>
      </c>
      <c r="C222" s="841"/>
      <c r="D222" s="393">
        <f t="shared" si="77"/>
        <v>57.877535609994759</v>
      </c>
      <c r="E222" s="385">
        <f t="shared" si="75"/>
        <v>58.718762907133616</v>
      </c>
      <c r="F222" s="385">
        <f t="shared" si="78"/>
        <v>58.726718770426352</v>
      </c>
      <c r="G222" s="110">
        <f t="shared" si="76"/>
        <v>0.99078834897371282</v>
      </c>
      <c r="H222" s="414" t="b">
        <f>Wh_hp&gt;='2026'!Maxi_hp</f>
        <v>0</v>
      </c>
      <c r="I222" s="390">
        <f>IF(H222,Wh_hp,'2026'!Maxi_hp)</f>
        <v>58.726795959176478</v>
      </c>
      <c r="J222" s="85">
        <f>IF(H222,An,'2026'!An_max)</f>
        <v>2025</v>
      </c>
      <c r="K222" s="197">
        <f t="shared" si="79"/>
        <v>46595</v>
      </c>
      <c r="L222" s="147">
        <f>IF(t&lt;Tvie,1-EXP((T0-t)*PertePVj)+'2026'!Pspv,1-EXP((T0-t)*PertePVj)+Pspv)</f>
        <v>7.0462159272062896E-2</v>
      </c>
      <c r="M222" s="845"/>
      <c r="N222" s="845"/>
      <c r="O222" s="48">
        <f>IF(t&lt;Tnet,'2026'!Resal+('2026'!Salim-'2026'!Resal)*(1-EXP(('2026'!Tnet-t)/('2026'!Tau_j))),Resal+(Salim-Resal)*(1-EXP((Tnet-t)/(Tau_j))))*Salcycl</f>
        <v>1.4326379771816604E-2</v>
      </c>
      <c r="P222" s="169">
        <f>(INDEX(Models!$BJ222:$BT222,,T222)*(1-R222)+INDEX(Models!$BJ222:$BT222,,T222+1)*R222-ERP_i)*Q222*Ramure*Pc/MaxiM</f>
        <v>1.3727880387379767E-4</v>
      </c>
      <c r="Q222" s="305">
        <f t="shared" si="80"/>
        <v>0.5</v>
      </c>
      <c r="R222" s="177">
        <f t="shared" si="81"/>
        <v>0.40916561443278843</v>
      </c>
      <c r="S222" s="811">
        <f t="shared" si="82"/>
        <v>-1</v>
      </c>
      <c r="T222" s="176">
        <f t="shared" si="83"/>
        <v>5</v>
      </c>
      <c r="U222" s="251">
        <f t="shared" si="84"/>
        <v>-0.59083438556721157</v>
      </c>
      <c r="V222" s="383">
        <f t="shared" si="85"/>
        <v>54.299449876818855</v>
      </c>
      <c r="W222" s="402">
        <f t="shared" si="86"/>
        <v>53.799359477568814</v>
      </c>
      <c r="X222" s="157">
        <f t="shared" si="87"/>
        <v>46595</v>
      </c>
      <c r="Y222" s="385">
        <f t="shared" si="88"/>
        <v>51.008217028366971</v>
      </c>
      <c r="Z222" s="385">
        <f t="shared" si="89"/>
        <v>54.874814981627381</v>
      </c>
      <c r="AA222" s="386">
        <f t="shared" si="90"/>
        <v>58.685736165363529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6.4937775901759254E-2</v>
      </c>
      <c r="AD222" s="231">
        <f>(INDEX(Models!$BJ222:$BT222,,AH222)*(1-AF222)+INDEX(Models!$BJ222:$BT222,,AH222+1)*AF222-ERP_i)*AE222*Ramure*Pc/MaxiM</f>
        <v>7.0715682203744573E-4</v>
      </c>
      <c r="AE222" s="305">
        <f t="shared" si="92"/>
        <v>0.5</v>
      </c>
      <c r="AF222" s="177">
        <f t="shared" si="93"/>
        <v>0.93415318080676712</v>
      </c>
      <c r="AG222" s="811">
        <f t="shared" si="99"/>
        <v>2</v>
      </c>
      <c r="AH222" s="176">
        <f t="shared" si="94"/>
        <v>8</v>
      </c>
      <c r="AI222" s="225">
        <f t="shared" si="95"/>
        <v>2.9341531808067671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43.173819372687618</v>
      </c>
      <c r="C223" s="841"/>
      <c r="D223" s="393">
        <f t="shared" si="77"/>
        <v>46.447560410273958</v>
      </c>
      <c r="E223" s="385">
        <f t="shared" si="75"/>
        <v>47.127368338831488</v>
      </c>
      <c r="F223" s="385">
        <f t="shared" si="78"/>
        <v>47.131930459467981</v>
      </c>
      <c r="G223" s="110">
        <f t="shared" si="76"/>
        <v>0.79700654058916243</v>
      </c>
      <c r="H223" s="414" t="b">
        <f>Wh_hp&gt;='2026'!Maxi_hp</f>
        <v>0</v>
      </c>
      <c r="I223" s="390">
        <f>IF(H223,Wh_hp,'2026'!Maxi_hp)</f>
        <v>56.44038029737262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7.0482518536370886E-2</v>
      </c>
      <c r="M223" s="845"/>
      <c r="N223" s="845"/>
      <c r="O223" s="48">
        <f>IF(t&lt;Tnet,'2026'!Resal+('2026'!Salim-'2026'!Resal)*(1-EXP(('2026'!Tnet-t)/('2026'!Tau_j))),Resal+(Salim-Resal)*(1-EXP((Tnet-t)/(Tau_j))))*Salcycl</f>
        <v>1.4424907490482319E-2</v>
      </c>
      <c r="P223" s="169">
        <f>(INDEX(Models!$BJ223:$BT223,,T223)*(1-R223)+INDEX(Models!$BJ223:$BT223,,T223+1)*R223-ERP_i)*Q223*Ramure*Pc/MaxiM</f>
        <v>1.3632011471680219E-4</v>
      </c>
      <c r="Q223" s="305">
        <f t="shared" si="80"/>
        <v>0.5</v>
      </c>
      <c r="R223" s="177">
        <f t="shared" si="81"/>
        <v>0.41140661381936994</v>
      </c>
      <c r="S223" s="811">
        <f t="shared" si="82"/>
        <v>-1</v>
      </c>
      <c r="T223" s="176">
        <f t="shared" si="83"/>
        <v>5</v>
      </c>
      <c r="U223" s="251">
        <f t="shared" si="84"/>
        <v>-0.58859338618063006</v>
      </c>
      <c r="V223" s="383">
        <f t="shared" si="85"/>
        <v>54.167827420925988</v>
      </c>
      <c r="W223" s="402">
        <f t="shared" si="86"/>
        <v>43.173819372687618</v>
      </c>
      <c r="X223" s="157">
        <f t="shared" si="87"/>
        <v>46596</v>
      </c>
      <c r="Y223" s="385">
        <f t="shared" si="88"/>
        <v>40.943207758392433</v>
      </c>
      <c r="Z223" s="385">
        <f t="shared" si="89"/>
        <v>44.047808217574108</v>
      </c>
      <c r="AA223" s="386">
        <f t="shared" si="90"/>
        <v>47.109171001473108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6.4984433366557626E-2</v>
      </c>
      <c r="AD223" s="231">
        <f>(INDEX(Models!$BJ223:$BT223,,AH223)*(1-AF223)+INDEX(Models!$BJ223:$BT223,,AH223+1)*AF223-ERP_i)*AE223*Ramure*Pc/MaxiM</f>
        <v>6.8007231109498971E-4</v>
      </c>
      <c r="AE223" s="305">
        <f t="shared" si="92"/>
        <v>0.5</v>
      </c>
      <c r="AF223" s="177">
        <f t="shared" si="93"/>
        <v>0.93639418019334864</v>
      </c>
      <c r="AG223" s="811">
        <f t="shared" si="99"/>
        <v>2</v>
      </c>
      <c r="AH223" s="176">
        <f t="shared" si="94"/>
        <v>8</v>
      </c>
      <c r="AI223" s="225">
        <f t="shared" si="95"/>
        <v>2.9363941801933486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29.2046997247385</v>
      </c>
      <c r="C224" s="841"/>
      <c r="D224" s="393">
        <f t="shared" si="77"/>
        <v>31.419892556122502</v>
      </c>
      <c r="E224" s="385">
        <f t="shared" si="75"/>
        <v>31.882937441889553</v>
      </c>
      <c r="F224" s="385">
        <f t="shared" si="78"/>
        <v>31.884406324518704</v>
      </c>
      <c r="G224" s="110">
        <f t="shared" si="76"/>
        <v>0.54043052810104542</v>
      </c>
      <c r="H224" s="414" t="b">
        <f>Wh_hp&gt;='2026'!Maxi_hp</f>
        <v>0</v>
      </c>
      <c r="I224" s="390">
        <f>IF(H224,Wh_hp,'2026'!Maxi_hp)</f>
        <v>59.643858292588483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7.0502877354758686E-2</v>
      </c>
      <c r="M224" s="845"/>
      <c r="N224" s="845"/>
      <c r="O224" s="48">
        <f>IF(t&lt;Tnet,'2026'!Resal+('2026'!Salim-'2026'!Resal)*(1-EXP(('2026'!Tnet-t)/('2026'!Tau_j))),Resal+(Salim-Resal)*(1-EXP((Tnet-t)/(Tau_j))))*Salcycl</f>
        <v>1.4523281821538765E-2</v>
      </c>
      <c r="P224" s="169">
        <f>(INDEX(Models!$BJ224:$BT224,,T224)*(1-R224)+INDEX(Models!$BJ224:$BT224,,T224+1)*R224-ERP_i)*Q224*Ramure*Pc/MaxiM</f>
        <v>1.3410076359252692E-4</v>
      </c>
      <c r="Q224" s="305">
        <f t="shared" si="80"/>
        <v>0.5</v>
      </c>
      <c r="R224" s="177">
        <f t="shared" si="81"/>
        <v>0.41357908282340328</v>
      </c>
      <c r="S224" s="811">
        <f t="shared" si="82"/>
        <v>-1</v>
      </c>
      <c r="T224" s="176">
        <f t="shared" si="83"/>
        <v>5</v>
      </c>
      <c r="U224" s="251">
        <f t="shared" si="84"/>
        <v>-0.58642091717659672</v>
      </c>
      <c r="V224" s="383">
        <f t="shared" si="85"/>
        <v>54.034935383094826</v>
      </c>
      <c r="W224" s="402">
        <f t="shared" si="86"/>
        <v>29.2046997247385</v>
      </c>
      <c r="X224" s="157">
        <f t="shared" si="87"/>
        <v>46597</v>
      </c>
      <c r="Y224" s="385">
        <f t="shared" si="88"/>
        <v>27.702991684975139</v>
      </c>
      <c r="Z224" s="385">
        <f t="shared" si="89"/>
        <v>29.804279120451312</v>
      </c>
      <c r="AA224" s="386">
        <f t="shared" si="90"/>
        <v>31.877284686227899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6.5030807554076184E-2</v>
      </c>
      <c r="AD224" s="231">
        <f>(INDEX(Models!$BJ224:$BT224,,AH224)*(1-AF224)+INDEX(Models!$BJ224:$BT224,,AH224+1)*AF224-ERP_i)*AE224*Ramure*Pc/MaxiM</f>
        <v>6.5016572044197156E-4</v>
      </c>
      <c r="AE224" s="305">
        <f t="shared" si="92"/>
        <v>0.5</v>
      </c>
      <c r="AF224" s="177">
        <f t="shared" si="93"/>
        <v>0.93856664919738231</v>
      </c>
      <c r="AG224" s="811">
        <f t="shared" si="99"/>
        <v>2</v>
      </c>
      <c r="AH224" s="176">
        <f t="shared" si="94"/>
        <v>8</v>
      </c>
      <c r="AI224" s="225">
        <f t="shared" si="95"/>
        <v>2.9385666491973823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49.149112817556059</v>
      </c>
      <c r="C225" s="841"/>
      <c r="D225" s="393">
        <f t="shared" si="77"/>
        <v>52.878258722272669</v>
      </c>
      <c r="E225" s="385">
        <f t="shared" si="75"/>
        <v>53.662890968141696</v>
      </c>
      <c r="F225" s="385">
        <f t="shared" si="78"/>
        <v>53.669017761140687</v>
      </c>
      <c r="G225" s="110">
        <f t="shared" si="76"/>
        <v>0.91182928179748846</v>
      </c>
      <c r="H225" s="414" t="b">
        <f>Wh_hp&gt;='2026'!Maxi_hp</f>
        <v>0</v>
      </c>
      <c r="I225" s="390">
        <f>IF(H225,Wh_hp,'2026'!Maxi_hp)</f>
        <v>55.994393253662331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7.0523235727236067E-2</v>
      </c>
      <c r="M225" s="845"/>
      <c r="N225" s="845"/>
      <c r="O225" s="48">
        <f>IF(t&lt;Tnet,'2026'!Resal+('2026'!Salim-'2026'!Resal)*(1-EXP(('2026'!Tnet-t)/('2026'!Tau_j))),Resal+(Salim-Resal)*(1-EXP((Tnet-t)/(Tau_j))))*Salcycl</f>
        <v>1.4621505321709985E-2</v>
      </c>
      <c r="P225" s="169">
        <f>(INDEX(Models!$BJ225:$BT225,,T225)*(1-R225)+INDEX(Models!$BJ225:$BT225,,T225+1)*R225-ERP_i)*Q225*Ramure*Pc/MaxiM</f>
        <v>1.3060707247006503E-4</v>
      </c>
      <c r="Q225" s="305">
        <f t="shared" si="80"/>
        <v>0.5</v>
      </c>
      <c r="R225" s="177">
        <f t="shared" si="81"/>
        <v>0.41568436637028572</v>
      </c>
      <c r="S225" s="811">
        <f t="shared" si="82"/>
        <v>-1</v>
      </c>
      <c r="T225" s="176">
        <f t="shared" si="83"/>
        <v>5</v>
      </c>
      <c r="U225" s="251">
        <f t="shared" si="84"/>
        <v>-0.58431563362971428</v>
      </c>
      <c r="V225" s="383">
        <f t="shared" si="85"/>
        <v>53.900774290237763</v>
      </c>
      <c r="W225" s="402">
        <f t="shared" si="86"/>
        <v>49.149112817556059</v>
      </c>
      <c r="X225" s="157">
        <f t="shared" si="87"/>
        <v>46598</v>
      </c>
      <c r="Y225" s="385">
        <f t="shared" si="88"/>
        <v>46.612632494364419</v>
      </c>
      <c r="Z225" s="385">
        <f t="shared" si="89"/>
        <v>50.149325175261176</v>
      </c>
      <c r="AA225" s="386">
        <f t="shared" si="90"/>
        <v>53.640054363095857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6.5076913684790821E-2</v>
      </c>
      <c r="AD225" s="231">
        <f>(INDEX(Models!$BJ225:$BT225,,AH225)*(1-AF225)+INDEX(Models!$BJ225:$BT225,,AH225+1)*AF225-ERP_i)*AE225*Ramure*Pc/MaxiM</f>
        <v>6.1742327969027948E-4</v>
      </c>
      <c r="AE225" s="305">
        <f t="shared" si="92"/>
        <v>0.5</v>
      </c>
      <c r="AF225" s="177">
        <f t="shared" si="93"/>
        <v>0.94067193274426453</v>
      </c>
      <c r="AG225" s="811">
        <f t="shared" si="99"/>
        <v>2</v>
      </c>
      <c r="AH225" s="176">
        <f t="shared" si="94"/>
        <v>8</v>
      </c>
      <c r="AI225" s="225">
        <f t="shared" si="95"/>
        <v>2.9406719327442645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51.797978823283408</v>
      </c>
      <c r="C226" s="841"/>
      <c r="D226" s="393">
        <f t="shared" si="77"/>
        <v>55.729325732347078</v>
      </c>
      <c r="E226" s="385">
        <f t="shared" si="75"/>
        <v>56.561893057915</v>
      </c>
      <c r="F226" s="385">
        <f t="shared" si="78"/>
        <v>56.568649921590087</v>
      </c>
      <c r="G226" s="110">
        <f t="shared" si="76"/>
        <v>0.96340214379317124</v>
      </c>
      <c r="H226" s="414" t="b">
        <f>Wh_hp&gt;='2026'!Maxi_hp</f>
        <v>0</v>
      </c>
      <c r="I226" s="390">
        <f>IF(H226,Wh_hp,'2026'!Maxi_hp)</f>
        <v>58.250484133448317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7.0543593653812908E-2</v>
      </c>
      <c r="M226" s="845"/>
      <c r="N226" s="845"/>
      <c r="O226" s="48">
        <f>IF(t&lt;Tnet,'2026'!Resal+('2026'!Salim-'2026'!Resal)*(1-EXP(('2026'!Tnet-t)/('2026'!Tau_j))),Resal+(Salim-Resal)*(1-EXP((Tnet-t)/(Tau_j))))*Salcycl</f>
        <v>1.4719580278464865E-2</v>
      </c>
      <c r="P226" s="169">
        <f>(INDEX(Models!$BJ226:$BT226,,T226)*(1-R226)+INDEX(Models!$BJ226:$BT226,,T226+1)*R226-ERP_i)*Q226*Ramure*Pc/MaxiM</f>
        <v>1.2603360438662403E-4</v>
      </c>
      <c r="Q226" s="305">
        <f t="shared" si="80"/>
        <v>0.5</v>
      </c>
      <c r="R226" s="177">
        <f t="shared" si="81"/>
        <v>0.4177238374357588</v>
      </c>
      <c r="S226" s="811">
        <f t="shared" si="82"/>
        <v>-1</v>
      </c>
      <c r="T226" s="176">
        <f t="shared" si="83"/>
        <v>5</v>
      </c>
      <c r="U226" s="251">
        <f t="shared" si="84"/>
        <v>-0.5822761625642412</v>
      </c>
      <c r="V226" s="383">
        <f t="shared" si="85"/>
        <v>53.765333468820714</v>
      </c>
      <c r="W226" s="402">
        <f t="shared" si="86"/>
        <v>51.797978823283408</v>
      </c>
      <c r="X226" s="157">
        <f t="shared" si="87"/>
        <v>46599</v>
      </c>
      <c r="Y226" s="385">
        <f t="shared" si="88"/>
        <v>49.126914178738843</v>
      </c>
      <c r="Z226" s="385">
        <f t="shared" si="89"/>
        <v>52.855533453002998</v>
      </c>
      <c r="AA226" s="386">
        <f t="shared" si="90"/>
        <v>56.537405658341356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6.5122765405758329E-2</v>
      </c>
      <c r="AD226" s="231">
        <f>(INDEX(Models!$BJ226:$BT226,,AH226)*(1-AF226)+INDEX(Models!$BJ226:$BT226,,AH226+1)*AF226-ERP_i)*AE226*Ramure*Pc/MaxiM</f>
        <v>5.8278919081362012E-4</v>
      </c>
      <c r="AE226" s="305">
        <f t="shared" si="92"/>
        <v>0.5</v>
      </c>
      <c r="AF226" s="177">
        <f t="shared" si="93"/>
        <v>0.94271140380973772</v>
      </c>
      <c r="AG226" s="811">
        <f t="shared" si="99"/>
        <v>2</v>
      </c>
      <c r="AH226" s="176">
        <f t="shared" si="94"/>
        <v>8</v>
      </c>
      <c r="AI226" s="225">
        <f t="shared" si="95"/>
        <v>2.9427114038097377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50.89288602758694</v>
      </c>
      <c r="C227" s="841"/>
      <c r="D227" s="393">
        <f t="shared" si="77"/>
        <v>54.756737797838156</v>
      </c>
      <c r="E227" s="385">
        <f t="shared" si="75"/>
        <v>55.580299367308704</v>
      </c>
      <c r="F227" s="385">
        <f t="shared" si="78"/>
        <v>55.586542113663555</v>
      </c>
      <c r="G227" s="110">
        <f t="shared" si="76"/>
        <v>0.94897989049376208</v>
      </c>
      <c r="H227" s="414" t="b">
        <f>Wh_hp&gt;='2026'!Maxi_hp</f>
        <v>0</v>
      </c>
      <c r="I227" s="390">
        <f>IF(H227,Wh_hp,'2026'!Maxi_hp)</f>
        <v>55.586893998711901</v>
      </c>
      <c r="J227" s="85">
        <f>IF(H227,An,'2026'!An_max)</f>
        <v>2025</v>
      </c>
      <c r="K227" s="197">
        <f t="shared" si="79"/>
        <v>46600</v>
      </c>
      <c r="L227" s="147">
        <f>IF(t&lt;Tvie,1-EXP((T0-t)*PertePVj)+'2026'!Pspv,1-EXP((T0-t)*PertePVj)+Pspv)</f>
        <v>7.056395113449887E-2</v>
      </c>
      <c r="M227" s="845"/>
      <c r="N227" s="845"/>
      <c r="O227" s="48">
        <f>IF(t&lt;Tnet,'2026'!Resal+('2026'!Salim-'2026'!Resal)*(1-EXP(('2026'!Tnet-t)/('2026'!Tau_j))),Resal+(Salim-Resal)*(1-EXP((Tnet-t)/(Tau_j))))*Salcycl</f>
        <v>1.4817508700842889E-2</v>
      </c>
      <c r="P227" s="169">
        <f>(INDEX(Models!$BJ227:$BT227,,T227)*(1-R227)+INDEX(Models!$BJ227:$BT227,,T227+1)*R227-ERP_i)*Q227*Ramure*Pc/MaxiM</f>
        <v>1.2113432531060888E-4</v>
      </c>
      <c r="Q227" s="305">
        <f t="shared" si="80"/>
        <v>0.5</v>
      </c>
      <c r="R227" s="177">
        <f t="shared" si="81"/>
        <v>0.41969889216442802</v>
      </c>
      <c r="S227" s="811">
        <f t="shared" si="82"/>
        <v>-1</v>
      </c>
      <c r="T227" s="176">
        <f t="shared" si="83"/>
        <v>5</v>
      </c>
      <c r="U227" s="251">
        <f t="shared" si="84"/>
        <v>-0.58030110783557198</v>
      </c>
      <c r="V227" s="383">
        <f t="shared" si="85"/>
        <v>53.628572352698242</v>
      </c>
      <c r="W227" s="402">
        <f t="shared" si="86"/>
        <v>50.89288602758694</v>
      </c>
      <c r="X227" s="157">
        <f t="shared" si="87"/>
        <v>46600</v>
      </c>
      <c r="Y227" s="385">
        <f t="shared" si="88"/>
        <v>48.272674146542258</v>
      </c>
      <c r="Z227" s="385">
        <f t="shared" si="89"/>
        <v>51.937596142806598</v>
      </c>
      <c r="AA227" s="386">
        <f t="shared" si="90"/>
        <v>55.558236095880126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6.5168374799105824E-2</v>
      </c>
      <c r="AD227" s="231">
        <f>(INDEX(Models!$BJ227:$BT227,,AH227)*(1-AF227)+INDEX(Models!$BJ227:$BT227,,AH227+1)*AF227-ERP_i)*AE227*Ramure*Pc/MaxiM</f>
        <v>5.4925030932282456E-4</v>
      </c>
      <c r="AE227" s="305">
        <f t="shared" si="92"/>
        <v>0.5</v>
      </c>
      <c r="AF227" s="177">
        <f t="shared" si="93"/>
        <v>0.94468645853840716</v>
      </c>
      <c r="AG227" s="811">
        <f t="shared" si="99"/>
        <v>2</v>
      </c>
      <c r="AH227" s="176">
        <f t="shared" si="94"/>
        <v>8</v>
      </c>
      <c r="AI227" s="225">
        <f t="shared" si="95"/>
        <v>2.9446864585384072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51.094102759600901</v>
      </c>
      <c r="C228" s="841"/>
      <c r="D228" s="393">
        <f t="shared" si="77"/>
        <v>54.974435237863702</v>
      </c>
      <c r="E228" s="385">
        <f t="shared" si="75"/>
        <v>55.806810123910147</v>
      </c>
      <c r="F228" s="385">
        <f t="shared" si="78"/>
        <v>55.812865227021092</v>
      </c>
      <c r="G228" s="110">
        <f t="shared" si="76"/>
        <v>0.95519264309050378</v>
      </c>
      <c r="H228" s="414" t="b">
        <f>Wh_hp&gt;='2026'!Maxi_hp</f>
        <v>0</v>
      </c>
      <c r="I228" s="390">
        <f>IF(H228,Wh_hp,'2026'!Maxi_hp)</f>
        <v>56.845203333586923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7.0584308169303722E-2</v>
      </c>
      <c r="M228" s="845"/>
      <c r="N228" s="845"/>
      <c r="O228" s="48">
        <f>IF(t&lt;Tnet,'2026'!Resal+('2026'!Salim-'2026'!Resal)*(1-EXP(('2026'!Tnet-t)/('2026'!Tau_j))),Resal+(Salim-Resal)*(1-EXP((Tnet-t)/(Tau_j))))*Salcycl</f>
        <v>1.4915292312860928E-2</v>
      </c>
      <c r="P228" s="169">
        <f>(INDEX(Models!$BJ228:$BT228,,T228)*(1-R228)+INDEX(Models!$BJ228:$BT228,,T228+1)*R228-ERP_i)*Q228*Ramure*Pc/MaxiM</f>
        <v>1.1590750444860461E-4</v>
      </c>
      <c r="Q228" s="305">
        <f t="shared" si="80"/>
        <v>0.5</v>
      </c>
      <c r="R228" s="177">
        <f t="shared" si="81"/>
        <v>0.42161094524906484</v>
      </c>
      <c r="S228" s="811">
        <f t="shared" si="82"/>
        <v>-1</v>
      </c>
      <c r="T228" s="176">
        <f t="shared" si="83"/>
        <v>5</v>
      </c>
      <c r="U228" s="251">
        <f t="shared" si="84"/>
        <v>-0.57838905475093516</v>
      </c>
      <c r="V228" s="383">
        <f t="shared" si="85"/>
        <v>53.490491227738502</v>
      </c>
      <c r="W228" s="402">
        <f t="shared" si="86"/>
        <v>51.094102759600901</v>
      </c>
      <c r="X228" s="157">
        <f t="shared" si="87"/>
        <v>46601</v>
      </c>
      <c r="Y228" s="385">
        <f t="shared" si="88"/>
        <v>48.467039823804363</v>
      </c>
      <c r="Z228" s="385">
        <f t="shared" si="89"/>
        <v>52.147860478165015</v>
      </c>
      <c r="AA228" s="386">
        <f t="shared" si="90"/>
        <v>55.785866140109938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6.5213752401151695E-2</v>
      </c>
      <c r="AD228" s="231">
        <f>(INDEX(Models!$BJ228:$BT228,,AH228)*(1-AF228)+INDEX(Models!$BJ228:$BT228,,AH228+1)*AF228-ERP_i)*AE228*Ramure*Pc/MaxiM</f>
        <v>5.1681973517573774E-4</v>
      </c>
      <c r="AE228" s="305">
        <f t="shared" si="92"/>
        <v>0.5</v>
      </c>
      <c r="AF228" s="177">
        <f t="shared" si="93"/>
        <v>0.94659851162304376</v>
      </c>
      <c r="AG228" s="811">
        <f t="shared" si="99"/>
        <v>2</v>
      </c>
      <c r="AH228" s="176">
        <f t="shared" si="94"/>
        <v>8</v>
      </c>
      <c r="AI228" s="225">
        <f t="shared" si="95"/>
        <v>2.9465985116230438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48.954914044932941</v>
      </c>
      <c r="C229" s="841"/>
      <c r="D229" s="393">
        <f t="shared" si="77"/>
        <v>52.673939914060739</v>
      </c>
      <c r="E229" s="385">
        <f t="shared" si="75"/>
        <v>53.47678325401332</v>
      </c>
      <c r="F229" s="385">
        <f t="shared" si="78"/>
        <v>53.481990328233842</v>
      </c>
      <c r="G229" s="110">
        <f t="shared" si="76"/>
        <v>0.91758720754692324</v>
      </c>
      <c r="H229" s="414" t="b">
        <f>Wh_hp&gt;='2026'!Maxi_hp</f>
        <v>0</v>
      </c>
      <c r="I229" s="390">
        <f>IF(H229,Wh_hp,'2026'!Maxi_hp)</f>
        <v>57.532187418566849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7.0604664758237345E-2</v>
      </c>
      <c r="M229" s="845"/>
      <c r="N229" s="845"/>
      <c r="O229" s="48">
        <f>IF(t&lt;Tnet,'2026'!Resal+('2026'!Salim-'2026'!Resal)*(1-EXP(('2026'!Tnet-t)/('2026'!Tau_j))),Resal+(Salim-Resal)*(1-EXP((Tnet-t)/(Tau_j))))*Salcycl</f>
        <v>1.5012932549422381E-2</v>
      </c>
      <c r="P229" s="169">
        <f>(INDEX(Models!$BJ229:$BT229,,T229)*(1-R229)+INDEX(Models!$BJ229:$BT229,,T229+1)*R229-ERP_i)*Q229*Ramure*Pc/MaxiM</f>
        <v>1.1035133018137963E-4</v>
      </c>
      <c r="Q229" s="305">
        <f t="shared" si="80"/>
        <v>0.5</v>
      </c>
      <c r="R229" s="177">
        <f t="shared" si="81"/>
        <v>0.42346142557178779</v>
      </c>
      <c r="S229" s="811">
        <f t="shared" si="82"/>
        <v>-1</v>
      </c>
      <c r="T229" s="176">
        <f t="shared" si="83"/>
        <v>5</v>
      </c>
      <c r="U229" s="251">
        <f t="shared" si="84"/>
        <v>-0.57653857442821221</v>
      </c>
      <c r="V229" s="383">
        <f t="shared" si="85"/>
        <v>53.351090395375763</v>
      </c>
      <c r="W229" s="402">
        <f t="shared" si="86"/>
        <v>48.954914044932941</v>
      </c>
      <c r="X229" s="157">
        <f t="shared" si="87"/>
        <v>46602</v>
      </c>
      <c r="Y229" s="385">
        <f t="shared" si="88"/>
        <v>46.442256367024676</v>
      </c>
      <c r="Z229" s="385">
        <f t="shared" si="89"/>
        <v>49.970399684590305</v>
      </c>
      <c r="AA229" s="386">
        <f t="shared" si="90"/>
        <v>53.459080884721587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6.52589072313874E-2</v>
      </c>
      <c r="AD229" s="231">
        <f>(INDEX(Models!$BJ229:$BT229,,AH229)*(1-AF229)+INDEX(Models!$BJ229:$BT229,,AH229+1)*AF229-ERP_i)*AE229*Ramure*Pc/MaxiM</f>
        <v>4.8551018445853859E-4</v>
      </c>
      <c r="AE229" s="305">
        <f t="shared" si="92"/>
        <v>0.5</v>
      </c>
      <c r="AF229" s="177">
        <f t="shared" si="93"/>
        <v>0.94844899194576682</v>
      </c>
      <c r="AG229" s="811">
        <f t="shared" si="99"/>
        <v>2</v>
      </c>
      <c r="AH229" s="176">
        <f t="shared" si="94"/>
        <v>8</v>
      </c>
      <c r="AI229" s="225">
        <f t="shared" si="95"/>
        <v>2.9484489919457668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45.937556255995368</v>
      </c>
      <c r="C230" s="841"/>
      <c r="D230" s="393">
        <f t="shared" si="77"/>
        <v>49.428440929780237</v>
      </c>
      <c r="E230" s="385">
        <f t="shared" si="75"/>
        <v>50.18678485712352</v>
      </c>
      <c r="F230" s="385">
        <f t="shared" si="78"/>
        <v>50.191004240569463</v>
      </c>
      <c r="G230" s="110">
        <f t="shared" si="76"/>
        <v>0.86330200338134744</v>
      </c>
      <c r="H230" s="414" t="b">
        <f>Wh_hp&gt;='2026'!Maxi_hp</f>
        <v>0</v>
      </c>
      <c r="I230" s="390">
        <f>IF(H230,Wh_hp,'2026'!Maxi_hp)</f>
        <v>54.820289563876685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7.0625020901309399E-2</v>
      </c>
      <c r="M230" s="845"/>
      <c r="N230" s="845"/>
      <c r="O230" s="48">
        <f>IF(t&lt;Tnet,'2026'!Resal+('2026'!Salim-'2026'!Resal)*(1-EXP(('2026'!Tnet-t)/('2026'!Tau_j))),Resal+(Salim-Resal)*(1-EXP((Tnet-t)/(Tau_j))))*Salcycl</f>
        <v>1.5110430554621235E-2</v>
      </c>
      <c r="P230" s="169">
        <f>(INDEX(Models!$BJ230:$BT230,,T230)*(1-R230)+INDEX(Models!$BJ230:$BT230,,T230+1)*R230-ERP_i)*Q230*Ramure*Pc/MaxiM</f>
        <v>1.0446390976145665E-4</v>
      </c>
      <c r="Q230" s="305">
        <f t="shared" si="80"/>
        <v>0.5</v>
      </c>
      <c r="R230" s="177">
        <f t="shared" si="81"/>
        <v>0.42525177210646459</v>
      </c>
      <c r="S230" s="811">
        <f t="shared" si="82"/>
        <v>-1</v>
      </c>
      <c r="T230" s="176">
        <f t="shared" si="83"/>
        <v>5</v>
      </c>
      <c r="U230" s="251">
        <f t="shared" si="84"/>
        <v>-0.57474822789353541</v>
      </c>
      <c r="V230" s="383">
        <f t="shared" si="85"/>
        <v>53.210370173365874</v>
      </c>
      <c r="W230" s="402">
        <f t="shared" si="86"/>
        <v>45.937556255995368</v>
      </c>
      <c r="X230" s="157">
        <f t="shared" si="87"/>
        <v>46603</v>
      </c>
      <c r="Y230" s="385">
        <f t="shared" si="88"/>
        <v>43.58410684020933</v>
      </c>
      <c r="Z230" s="385">
        <f t="shared" si="89"/>
        <v>46.896148293638447</v>
      </c>
      <c r="AA230" s="386">
        <f t="shared" si="90"/>
        <v>50.172612923049613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6.5303846830467513E-2</v>
      </c>
      <c r="AD230" s="231">
        <f>(INDEX(Models!$BJ230:$BT230,,AH230)*(1-AF230)+INDEX(Models!$BJ230:$BT230,,AH230+1)*AF230-ERP_i)*AE230*Ramure*Pc/MaxiM</f>
        <v>4.5533404545998994E-4</v>
      </c>
      <c r="AE230" s="305">
        <f t="shared" si="92"/>
        <v>0.5</v>
      </c>
      <c r="AF230" s="177">
        <f t="shared" si="93"/>
        <v>0.95023933848044351</v>
      </c>
      <c r="AG230" s="811">
        <f t="shared" si="99"/>
        <v>2</v>
      </c>
      <c r="AH230" s="176">
        <f t="shared" si="94"/>
        <v>8</v>
      </c>
      <c r="AI230" s="225">
        <f t="shared" si="95"/>
        <v>2.9502393384804435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42.738919011769575</v>
      </c>
      <c r="C231" s="841"/>
      <c r="D231" s="393">
        <f t="shared" si="77"/>
        <v>45.98774023993515</v>
      </c>
      <c r="E231" s="385">
        <f t="shared" si="75"/>
        <v>46.697912149766914</v>
      </c>
      <c r="F231" s="385">
        <f t="shared" si="78"/>
        <v>46.701224458364479</v>
      </c>
      <c r="G231" s="110">
        <f t="shared" si="76"/>
        <v>0.80533438073665231</v>
      </c>
      <c r="H231" s="414" t="b">
        <f>Wh_hp&gt;='2026'!Maxi_hp</f>
        <v>0</v>
      </c>
      <c r="I231" s="390">
        <f>IF(H231,Wh_hp,'2026'!Maxi_hp)</f>
        <v>56.442491959447445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7.0645376598529652E-2</v>
      </c>
      <c r="M231" s="845"/>
      <c r="N231" s="845"/>
      <c r="O231" s="48">
        <f>IF(t&lt;Tnet,'2026'!Resal+('2026'!Salim-'2026'!Resal)*(1-EXP(('2026'!Tnet-t)/('2026'!Tau_j))),Resal+(Salim-Resal)*(1-EXP((Tnet-t)/(Tau_j))))*Salcycl</f>
        <v>1.5207787182307831E-2</v>
      </c>
      <c r="P231" s="169">
        <f>(INDEX(Models!$BJ231:$BT231,,T231)*(1-R231)+INDEX(Models!$BJ231:$BT231,,T231+1)*R231-ERP_i)*Q231*Ramure*Pc/MaxiM</f>
        <v>9.8243269920606673E-5</v>
      </c>
      <c r="Q231" s="305">
        <f t="shared" si="80"/>
        <v>0.5</v>
      </c>
      <c r="R231" s="177">
        <f t="shared" si="81"/>
        <v>0.42698343008010697</v>
      </c>
      <c r="S231" s="811">
        <f t="shared" si="82"/>
        <v>-1</v>
      </c>
      <c r="T231" s="176">
        <f t="shared" si="83"/>
        <v>5</v>
      </c>
      <c r="U231" s="251">
        <f t="shared" si="84"/>
        <v>-0.57301656991989303</v>
      </c>
      <c r="V231" s="383">
        <f t="shared" si="85"/>
        <v>53.068330894717938</v>
      </c>
      <c r="W231" s="402">
        <f t="shared" si="86"/>
        <v>42.738919011769575</v>
      </c>
      <c r="X231" s="157">
        <f t="shared" si="87"/>
        <v>46604</v>
      </c>
      <c r="Y231" s="385">
        <f t="shared" si="88"/>
        <v>40.55325529528784</v>
      </c>
      <c r="Z231" s="385">
        <f t="shared" si="89"/>
        <v>43.635932155651744</v>
      </c>
      <c r="AA231" s="386">
        <f t="shared" si="90"/>
        <v>46.686851478694251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6.5348577306285141E-2</v>
      </c>
      <c r="AD231" s="231">
        <f>(INDEX(Models!$BJ231:$BT231,,AH231)*(1-AF231)+INDEX(Models!$BJ231:$BT231,,AH231+1)*AF231-ERP_i)*AE231*Ramure*Pc/MaxiM</f>
        <v>4.2630343149267671E-4</v>
      </c>
      <c r="AE231" s="305">
        <f t="shared" si="92"/>
        <v>0.5</v>
      </c>
      <c r="AF231" s="177">
        <f t="shared" si="93"/>
        <v>0.95197099645408567</v>
      </c>
      <c r="AG231" s="811">
        <f t="shared" si="99"/>
        <v>2</v>
      </c>
      <c r="AH231" s="176">
        <f t="shared" si="94"/>
        <v>8</v>
      </c>
      <c r="AI231" s="225">
        <f t="shared" si="95"/>
        <v>2.9519709964540857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46.831755794553303</v>
      </c>
      <c r="C232" s="841"/>
      <c r="D232" s="393">
        <f t="shared" si="77"/>
        <v>50.392799877890376</v>
      </c>
      <c r="E232" s="385">
        <f t="shared" si="75"/>
        <v>51.176049468469913</v>
      </c>
      <c r="F232" s="385">
        <f t="shared" si="78"/>
        <v>51.179970237740996</v>
      </c>
      <c r="G232" s="110">
        <f t="shared" si="76"/>
        <v>0.88485731689488967</v>
      </c>
      <c r="H232" s="414" t="b">
        <f>Wh_hp&gt;='2026'!Maxi_hp</f>
        <v>0</v>
      </c>
      <c r="I232" s="390">
        <f>IF(H232,Wh_hp,'2026'!Maxi_hp)</f>
        <v>57.46185272567628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7.0665731849907876E-2</v>
      </c>
      <c r="M232" s="845"/>
      <c r="N232" s="845"/>
      <c r="O232" s="48">
        <f>IF(t&lt;Tnet,'2026'!Resal+('2026'!Salim-'2026'!Resal)*(1-EXP(('2026'!Tnet-t)/('2026'!Tau_j))),Resal+(Salim-Resal)*(1-EXP((Tnet-t)/(Tau_j))))*Salcycl</f>
        <v>1.5305002998758388E-2</v>
      </c>
      <c r="P232" s="169">
        <f>(INDEX(Models!$BJ232:$BT232,,T232)*(1-R232)+INDEX(Models!$BJ232:$BT232,,T232+1)*R232-ERP_i)*Q232*Ramure*Pc/MaxiM</f>
        <v>9.1687358296986486E-5</v>
      </c>
      <c r="Q232" s="305">
        <f t="shared" si="80"/>
        <v>0.5</v>
      </c>
      <c r="R232" s="177">
        <f t="shared" si="81"/>
        <v>0.42865784738963852</v>
      </c>
      <c r="S232" s="811">
        <f t="shared" si="82"/>
        <v>-1</v>
      </c>
      <c r="T232" s="176">
        <f t="shared" si="83"/>
        <v>5</v>
      </c>
      <c r="U232" s="251">
        <f t="shared" si="84"/>
        <v>-0.57134215261036148</v>
      </c>
      <c r="V232" s="383">
        <f t="shared" si="85"/>
        <v>52.924972907802669</v>
      </c>
      <c r="W232" s="402">
        <f t="shared" si="86"/>
        <v>46.831755794553303</v>
      </c>
      <c r="X232" s="157">
        <f t="shared" si="87"/>
        <v>46605</v>
      </c>
      <c r="Y232" s="385">
        <f t="shared" si="88"/>
        <v>44.438189968907459</v>
      </c>
      <c r="Z232" s="385">
        <f t="shared" si="89"/>
        <v>47.817229485537993</v>
      </c>
      <c r="AA232" s="386">
        <f t="shared" si="90"/>
        <v>51.162932414509825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6.5393103387150445E-2</v>
      </c>
      <c r="AD232" s="231">
        <f>(INDEX(Models!$BJ232:$BT232,,AH232)*(1-AF232)+INDEX(Models!$BJ232:$BT232,,AH232+1)*AF232-ERP_i)*AE232*Ramure*Pc/MaxiM</f>
        <v>3.9843023018969767E-4</v>
      </c>
      <c r="AE232" s="305">
        <f t="shared" si="92"/>
        <v>0.5</v>
      </c>
      <c r="AF232" s="177">
        <f t="shared" si="93"/>
        <v>0.95364541376361744</v>
      </c>
      <c r="AG232" s="811">
        <f t="shared" si="99"/>
        <v>2</v>
      </c>
      <c r="AH232" s="176">
        <f t="shared" si="94"/>
        <v>8</v>
      </c>
      <c r="AI232" s="225">
        <f t="shared" si="95"/>
        <v>2.9536454137636174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49.775630851292519</v>
      </c>
      <c r="C233" s="841"/>
      <c r="D233" s="393">
        <f t="shared" si="77"/>
        <v>53.561697653006135</v>
      </c>
      <c r="E233" s="385">
        <f t="shared" ref="E233:E296" si="100">Wh_pvt/(1-Psa)</f>
        <v>54.399563996473049</v>
      </c>
      <c r="F233" s="385">
        <f t="shared" si="78"/>
        <v>54.403801909001047</v>
      </c>
      <c r="G233" s="110">
        <f t="shared" ref="G233:G296" si="101">+Wh_hp/MaxiM</f>
        <v>0.94306190111124777</v>
      </c>
      <c r="H233" s="414" t="b">
        <f>Wh_hp&gt;='2026'!Maxi_hp</f>
        <v>0</v>
      </c>
      <c r="I233" s="390">
        <f>IF(H233,Wh_hp,'2026'!Maxi_hp)</f>
        <v>55.820902062700583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7.068608665545395E-2</v>
      </c>
      <c r="M233" s="845"/>
      <c r="N233" s="845"/>
      <c r="O233" s="48">
        <f>IF(t&lt;Tnet,'2026'!Resal+('2026'!Salim-'2026'!Resal)*(1-EXP(('2026'!Tnet-t)/('2026'!Tau_j))),Resal+(Salim-Resal)*(1-EXP((Tnet-t)/(Tau_j))))*Salcycl</f>
        <v>1.5402078287267779E-2</v>
      </c>
      <c r="P233" s="169">
        <f>(INDEX(Models!$BJ233:$BT233,,T233)*(1-R233)+INDEX(Models!$BJ233:$BT233,,T233+1)*R233-ERP_i)*Q233*Ramure*Pc/MaxiM</f>
        <v>8.4793703684015191E-5</v>
      </c>
      <c r="Q233" s="305">
        <f t="shared" si="80"/>
        <v>0.5</v>
      </c>
      <c r="R233" s="177">
        <f t="shared" si="81"/>
        <v>0.43027647126920199</v>
      </c>
      <c r="S233" s="811">
        <f t="shared" si="82"/>
        <v>-1</v>
      </c>
      <c r="T233" s="176">
        <f t="shared" si="83"/>
        <v>5</v>
      </c>
      <c r="U233" s="251">
        <f t="shared" si="84"/>
        <v>-0.56972352873079801</v>
      </c>
      <c r="V233" s="383">
        <f t="shared" si="85"/>
        <v>52.780509419400289</v>
      </c>
      <c r="W233" s="402">
        <f t="shared" si="86"/>
        <v>49.775630851292519</v>
      </c>
      <c r="X233" s="157">
        <f t="shared" si="87"/>
        <v>46606</v>
      </c>
      <c r="Y233" s="385">
        <f t="shared" si="88"/>
        <v>47.233675367504162</v>
      </c>
      <c r="Z233" s="385">
        <f t="shared" si="89"/>
        <v>50.826394277809683</v>
      </c>
      <c r="AA233" s="386">
        <f t="shared" si="90"/>
        <v>54.385223447586611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6.5437428481041837E-2</v>
      </c>
      <c r="AD233" s="231">
        <f>(INDEX(Models!$BJ233:$BT233,,AH233)*(1-AF233)+INDEX(Models!$BJ233:$BT233,,AH233+1)*AF233-ERP_i)*AE233*Ramure*Pc/MaxiM</f>
        <v>3.7172465020792709E-4</v>
      </c>
      <c r="AE233" s="305">
        <f t="shared" si="92"/>
        <v>0.5</v>
      </c>
      <c r="AF233" s="177">
        <f t="shared" si="93"/>
        <v>0.95526403764318113</v>
      </c>
      <c r="AG233" s="811">
        <f t="shared" si="99"/>
        <v>2</v>
      </c>
      <c r="AH233" s="176">
        <f t="shared" si="94"/>
        <v>8</v>
      </c>
      <c r="AI233" s="225">
        <f t="shared" si="95"/>
        <v>2.9552640376431811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50.573501684505075</v>
      </c>
      <c r="C234" s="841"/>
      <c r="D234" s="393">
        <f t="shared" si="77"/>
        <v>54.421448632176578</v>
      </c>
      <c r="E234" s="385">
        <f t="shared" si="100"/>
        <v>55.278206272826566</v>
      </c>
      <c r="F234" s="385">
        <f t="shared" si="78"/>
        <v>55.282263897487589</v>
      </c>
      <c r="G234" s="110">
        <f t="shared" si="101"/>
        <v>0.96082847123658766</v>
      </c>
      <c r="H234" s="414" t="b">
        <f>Wh_hp&gt;='2026'!Maxi_hp</f>
        <v>0</v>
      </c>
      <c r="I234" s="390">
        <f>IF(H234,Wh_hp,'2026'!Maxi_hp)</f>
        <v>55.282433516208563</v>
      </c>
      <c r="J234" s="85">
        <f>IF(H234,An,'2026'!An_max)</f>
        <v>2025</v>
      </c>
      <c r="K234" s="197">
        <f t="shared" si="79"/>
        <v>46607</v>
      </c>
      <c r="L234" s="147">
        <f>IF(t&lt;Tvie,1-EXP((T0-t)*PertePVj)+'2026'!Pspv,1-EXP((T0-t)*PertePVj)+Pspv)</f>
        <v>7.0706441015177424E-2</v>
      </c>
      <c r="M234" s="845"/>
      <c r="N234" s="845"/>
      <c r="O234" s="48">
        <f>IF(t&lt;Tnet,'2026'!Resal+('2026'!Salim-'2026'!Resal)*(1-EXP(('2026'!Tnet-t)/('2026'!Tau_j))),Resal+(Salim-Resal)*(1-EXP((Tnet-t)/(Tau_j))))*Salcycl</f>
        <v>1.5499013054465759E-2</v>
      </c>
      <c r="P234" s="169">
        <f>(INDEX(Models!$BJ234:$BT234,,T234)*(1-R234)+INDEX(Models!$BJ234:$BT234,,T234+1)*R234-ERP_i)*Q234*Ramure*Pc/MaxiM</f>
        <v>7.7748603748034939E-5</v>
      </c>
      <c r="Q234" s="305">
        <f t="shared" si="80"/>
        <v>0.5</v>
      </c>
      <c r="R234" s="177">
        <f t="shared" si="81"/>
        <v>0.43184074520212357</v>
      </c>
      <c r="S234" s="811">
        <f t="shared" si="82"/>
        <v>-1</v>
      </c>
      <c r="T234" s="176">
        <f t="shared" si="83"/>
        <v>5</v>
      </c>
      <c r="U234" s="251">
        <f t="shared" si="84"/>
        <v>-0.56815925479787643</v>
      </c>
      <c r="V234" s="383">
        <f t="shared" si="85"/>
        <v>52.635078135855437</v>
      </c>
      <c r="W234" s="402">
        <f t="shared" si="86"/>
        <v>50.573501684505075</v>
      </c>
      <c r="X234" s="157">
        <f t="shared" si="87"/>
        <v>46607</v>
      </c>
      <c r="Y234" s="385">
        <f t="shared" si="88"/>
        <v>47.993727642967457</v>
      </c>
      <c r="Z234" s="385">
        <f t="shared" si="89"/>
        <v>51.645389316371343</v>
      </c>
      <c r="AA234" s="386">
        <f t="shared" si="90"/>
        <v>55.264173305851877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6.5481554739865139E-2</v>
      </c>
      <c r="AD234" s="231">
        <f>(INDEX(Models!$BJ234:$BT234,,AH234)*(1-AF234)+INDEX(Models!$BJ234:$BT234,,AH234+1)*AF234-ERP_i)*AE234*Ramure*Pc/MaxiM</f>
        <v>3.4663586658608493E-4</v>
      </c>
      <c r="AE234" s="305">
        <f t="shared" si="92"/>
        <v>0.5</v>
      </c>
      <c r="AF234" s="177">
        <f t="shared" si="93"/>
        <v>0.95682831157610249</v>
      </c>
      <c r="AG234" s="811">
        <f t="shared" si="99"/>
        <v>2</v>
      </c>
      <c r="AH234" s="176">
        <f t="shared" si="94"/>
        <v>8</v>
      </c>
      <c r="AI234" s="225">
        <f t="shared" si="95"/>
        <v>2.9568283115761025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48.880592189951479</v>
      </c>
      <c r="C235" s="841"/>
      <c r="D235" s="393">
        <f t="shared" si="77"/>
        <v>52.600884135275869</v>
      </c>
      <c r="E235" s="385">
        <f t="shared" si="100"/>
        <v>53.434234140156498</v>
      </c>
      <c r="F235" s="385">
        <f t="shared" si="78"/>
        <v>53.437658338549468</v>
      </c>
      <c r="G235" s="110">
        <f t="shared" si="101"/>
        <v>0.9312554220977568</v>
      </c>
      <c r="H235" s="414" t="b">
        <f>Wh_hp&gt;='2026'!Maxi_hp</f>
        <v>0</v>
      </c>
      <c r="I235" s="390">
        <f>IF(H235,Wh_hp,'2026'!Maxi_hp)</f>
        <v>55.939165383860541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7.0726794929088288E-2</v>
      </c>
      <c r="M235" s="845"/>
      <c r="N235" s="845"/>
      <c r="O235" s="48">
        <f>IF(t&lt;Tnet,'2026'!Resal+('2026'!Salim-'2026'!Resal)*(1-EXP(('2026'!Tnet-t)/('2026'!Tau_j))),Resal+(Salim-Resal)*(1-EXP((Tnet-t)/(Tau_j))))*Salcycl</f>
        <v>1.559580703813908E-2</v>
      </c>
      <c r="P235" s="169">
        <f>(INDEX(Models!$BJ235:$BT235,,T235)*(1-R235)+INDEX(Models!$BJ235:$BT235,,T235+1)*R235-ERP_i)*Q235*Ramure*Pc/MaxiM</f>
        <v>7.1055867836335417E-5</v>
      </c>
      <c r="Q235" s="305">
        <f t="shared" si="80"/>
        <v>0.5</v>
      </c>
      <c r="R235" s="177">
        <f t="shared" si="81"/>
        <v>0.43335210607075192</v>
      </c>
      <c r="S235" s="811">
        <f t="shared" si="82"/>
        <v>-1</v>
      </c>
      <c r="T235" s="176">
        <f t="shared" si="83"/>
        <v>5</v>
      </c>
      <c r="U235" s="251">
        <f t="shared" si="84"/>
        <v>-0.56664789392924808</v>
      </c>
      <c r="V235" s="383">
        <f t="shared" si="85"/>
        <v>52.488554637438746</v>
      </c>
      <c r="W235" s="402">
        <f t="shared" si="86"/>
        <v>48.880592189951479</v>
      </c>
      <c r="X235" s="157">
        <f t="shared" si="87"/>
        <v>46608</v>
      </c>
      <c r="Y235" s="385">
        <f t="shared" si="88"/>
        <v>46.390797756256134</v>
      </c>
      <c r="Z235" s="385">
        <f t="shared" si="89"/>
        <v>49.921591952838142</v>
      </c>
      <c r="AA235" s="386">
        <f t="shared" si="90"/>
        <v>53.422100925686905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6.5525483127632164E-2</v>
      </c>
      <c r="AD235" s="231">
        <f>(INDEX(Models!$BJ235:$BT235,,AH235)*(1-AF235)+INDEX(Models!$BJ235:$BT235,,AH235+1)*AF235-ERP_i)*AE235*Ramure*Pc/MaxiM</f>
        <v>3.2283335992052721E-4</v>
      </c>
      <c r="AE235" s="305">
        <f t="shared" si="92"/>
        <v>0.5</v>
      </c>
      <c r="AF235" s="177">
        <f t="shared" si="93"/>
        <v>0.95833967244473062</v>
      </c>
      <c r="AG235" s="811">
        <f t="shared" si="99"/>
        <v>2</v>
      </c>
      <c r="AH235" s="176">
        <f t="shared" si="94"/>
        <v>8</v>
      </c>
      <c r="AI235" s="225">
        <f t="shared" si="95"/>
        <v>2.9583396724447306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46.866637554798842</v>
      </c>
      <c r="C236" s="841"/>
      <c r="D236" s="393">
        <f t="shared" si="77"/>
        <v>50.434752472334978</v>
      </c>
      <c r="E236" s="385">
        <f t="shared" si="100"/>
        <v>51.238815520807634</v>
      </c>
      <c r="F236" s="385">
        <f t="shared" si="78"/>
        <v>51.241636396077801</v>
      </c>
      <c r="G236" s="110">
        <f t="shared" si="101"/>
        <v>0.8954037317845861</v>
      </c>
      <c r="H236" s="414" t="b">
        <f>Wh_hp&gt;='2026'!Maxi_hp</f>
        <v>0</v>
      </c>
      <c r="I236" s="390">
        <f>IF(H236,Wh_hp,'2026'!Maxi_hp)</f>
        <v>53.022413412282127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7.0747148397196091E-2</v>
      </c>
      <c r="M236" s="845"/>
      <c r="N236" s="845"/>
      <c r="O236" s="48">
        <f>IF(t&lt;Tnet,'2026'!Resal+('2026'!Salim-'2026'!Resal)*(1-EXP(('2026'!Tnet-t)/('2026'!Tau_j))),Resal+(Salim-Resal)*(1-EXP((Tnet-t)/(Tau_j))))*Salcycl</f>
        <v>1.5692459716328388E-2</v>
      </c>
      <c r="P236" s="169">
        <f>(INDEX(Models!$BJ236:$BT236,,T236)*(1-R236)+INDEX(Models!$BJ236:$BT236,,T236+1)*R236-ERP_i)*Q236*Ramure*Pc/MaxiM</f>
        <v>6.4720380931638681E-5</v>
      </c>
      <c r="Q236" s="305">
        <f t="shared" si="80"/>
        <v>0.5</v>
      </c>
      <c r="R236" s="177">
        <f t="shared" si="81"/>
        <v>0.43481198153664902</v>
      </c>
      <c r="S236" s="811">
        <f t="shared" si="82"/>
        <v>-1</v>
      </c>
      <c r="T236" s="176">
        <f t="shared" si="83"/>
        <v>5</v>
      </c>
      <c r="U236" s="251">
        <f t="shared" si="84"/>
        <v>-0.56518801846335098</v>
      </c>
      <c r="V236" s="383">
        <f t="shared" si="85"/>
        <v>52.340840973949028</v>
      </c>
      <c r="W236" s="402">
        <f t="shared" si="86"/>
        <v>46.866637554798842</v>
      </c>
      <c r="X236" s="157">
        <f t="shared" si="87"/>
        <v>46609</v>
      </c>
      <c r="Y236" s="385">
        <f t="shared" si="88"/>
        <v>44.482898145906724</v>
      </c>
      <c r="Z236" s="385">
        <f t="shared" si="89"/>
        <v>47.869530956166827</v>
      </c>
      <c r="AA236" s="386">
        <f t="shared" si="90"/>
        <v>51.228546455569344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6.5569213491462233E-2</v>
      </c>
      <c r="AD236" s="231">
        <f>(INDEX(Models!$BJ236:$BT236,,AH236)*(1-AF236)+INDEX(Models!$BJ236:$BT236,,AH236+1)*AF236-ERP_i)*AE236*Ramure*Pc/MaxiM</f>
        <v>3.00327329264913E-4</v>
      </c>
      <c r="AE236" s="305">
        <f t="shared" si="92"/>
        <v>0.5</v>
      </c>
      <c r="AF236" s="177">
        <f t="shared" si="93"/>
        <v>0.95979954791062783</v>
      </c>
      <c r="AG236" s="811">
        <f t="shared" si="99"/>
        <v>2</v>
      </c>
      <c r="AH236" s="176">
        <f t="shared" si="94"/>
        <v>8</v>
      </c>
      <c r="AI236" s="225">
        <f t="shared" si="95"/>
        <v>2.9597995479106278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43.127249451584447</v>
      </c>
      <c r="C237" s="841"/>
      <c r="D237" s="393">
        <f t="shared" si="77"/>
        <v>46.411688697356517</v>
      </c>
      <c r="E237" s="385">
        <f t="shared" si="100"/>
        <v>47.156237125615846</v>
      </c>
      <c r="F237" s="385">
        <f t="shared" si="78"/>
        <v>47.158320160918656</v>
      </c>
      <c r="G237" s="110">
        <f t="shared" si="101"/>
        <v>0.82630965716963678</v>
      </c>
      <c r="H237" s="414" t="b">
        <f>Wh_hp&gt;='2026'!Maxi_hp</f>
        <v>0</v>
      </c>
      <c r="I237" s="390">
        <f>IF(H237,Wh_hp,'2026'!Maxi_hp)</f>
        <v>54.934751797677123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7.0767501419510825E-2</v>
      </c>
      <c r="M237" s="845"/>
      <c r="N237" s="845"/>
      <c r="O237" s="48">
        <f>IF(t&lt;Tnet,'2026'!Resal+('2026'!Salim-'2026'!Resal)*(1-EXP(('2026'!Tnet-t)/('2026'!Tau_j))),Resal+(Salim-Resal)*(1-EXP((Tnet-t)/(Tau_j))))*Salcycl</f>
        <v>1.5788970317457286E-2</v>
      </c>
      <c r="P237" s="169">
        <f>(INDEX(Models!$BJ237:$BT237,,T237)*(1-R237)+INDEX(Models!$BJ237:$BT237,,T237+1)*R237-ERP_i)*Q237*Ramure*Pc/MaxiM</f>
        <v>5.8746915094915428E-5</v>
      </c>
      <c r="Q237" s="305">
        <f t="shared" si="80"/>
        <v>0.5</v>
      </c>
      <c r="R237" s="177">
        <f t="shared" si="81"/>
        <v>0.43622178764299147</v>
      </c>
      <c r="S237" s="811">
        <f t="shared" si="82"/>
        <v>-1</v>
      </c>
      <c r="T237" s="176">
        <f t="shared" si="83"/>
        <v>5</v>
      </c>
      <c r="U237" s="251">
        <f t="shared" si="84"/>
        <v>-0.56377821235700853</v>
      </c>
      <c r="V237" s="383">
        <f t="shared" si="85"/>
        <v>52.191839264127168</v>
      </c>
      <c r="W237" s="402">
        <f t="shared" si="86"/>
        <v>43.127249451584447</v>
      </c>
      <c r="X237" s="157">
        <f t="shared" si="87"/>
        <v>46610</v>
      </c>
      <c r="Y237" s="385">
        <f t="shared" si="88"/>
        <v>40.937231301697821</v>
      </c>
      <c r="Z237" s="385">
        <f t="shared" si="89"/>
        <v>44.054885471864367</v>
      </c>
      <c r="AA237" s="386">
        <f t="shared" si="90"/>
        <v>47.14842290375924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6.5612744634311437E-2</v>
      </c>
      <c r="AD237" s="231">
        <f>(INDEX(Models!$BJ237:$BT237,,AH237)*(1-AF237)+INDEX(Models!$BJ237:$BT237,,AH237+1)*AF237-ERP_i)*AE237*Ramure*Pc/MaxiM</f>
        <v>2.7912792703685527E-4</v>
      </c>
      <c r="AE237" s="305">
        <f t="shared" si="92"/>
        <v>0.5</v>
      </c>
      <c r="AF237" s="177">
        <f t="shared" si="93"/>
        <v>0.96120935401697061</v>
      </c>
      <c r="AG237" s="811">
        <f t="shared" si="99"/>
        <v>2</v>
      </c>
      <c r="AH237" s="176">
        <f t="shared" si="94"/>
        <v>8</v>
      </c>
      <c r="AI237" s="225">
        <f t="shared" si="95"/>
        <v>2.9612093540169706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45.260244657772205</v>
      </c>
      <c r="C238" s="841"/>
      <c r="D238" s="393">
        <f t="shared" si="77"/>
        <v>48.708193120819814</v>
      </c>
      <c r="E238" s="385">
        <f t="shared" si="100"/>
        <v>49.494428843767501</v>
      </c>
      <c r="F238" s="385">
        <f t="shared" si="78"/>
        <v>49.496569480598851</v>
      </c>
      <c r="G238" s="110">
        <f t="shared" si="101"/>
        <v>0.86968744057107206</v>
      </c>
      <c r="H238" s="414" t="b">
        <f>Wh_hp&gt;='2026'!Maxi_hp</f>
        <v>0</v>
      </c>
      <c r="I238" s="390">
        <f>IF(H238,Wh_hp,'2026'!Maxi_hp)</f>
        <v>52.198759439863373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7.0787853996042038E-2</v>
      </c>
      <c r="M238" s="845"/>
      <c r="N238" s="845"/>
      <c r="O238" s="48">
        <f>IF(t&lt;Tnet,'2026'!Resal+('2026'!Salim-'2026'!Resal)*(1-EXP(('2026'!Tnet-t)/('2026'!Tau_j))),Resal+(Salim-Resal)*(1-EXP((Tnet-t)/(Tau_j))))*Salcycl</f>
        <v>1.5885337831243473E-2</v>
      </c>
      <c r="P238" s="169">
        <f>(INDEX(Models!$BJ238:$BT238,,T238)*(1-R238)+INDEX(Models!$BJ238:$BT238,,T238+1)*R238-ERP_i)*Q238*Ramure*Pc/MaxiM</f>
        <v>5.3140144386865958E-5</v>
      </c>
      <c r="Q238" s="305">
        <f t="shared" si="80"/>
        <v>0.5</v>
      </c>
      <c r="R238" s="177">
        <f t="shared" si="81"/>
        <v>0.43758292663055753</v>
      </c>
      <c r="S238" s="811">
        <f t="shared" si="82"/>
        <v>-1</v>
      </c>
      <c r="T238" s="176">
        <f t="shared" si="83"/>
        <v>5</v>
      </c>
      <c r="U238" s="251">
        <f t="shared" si="84"/>
        <v>-0.56241707336944247</v>
      </c>
      <c r="V238" s="383">
        <f t="shared" si="85"/>
        <v>52.041451692370742</v>
      </c>
      <c r="W238" s="402">
        <f t="shared" si="86"/>
        <v>45.260244657772205</v>
      </c>
      <c r="X238" s="157">
        <f t="shared" si="87"/>
        <v>46611</v>
      </c>
      <c r="Y238" s="385">
        <f t="shared" si="88"/>
        <v>42.96403918516183</v>
      </c>
      <c r="Z238" s="385">
        <f t="shared" si="89"/>
        <v>46.237061547168828</v>
      </c>
      <c r="AA238" s="386">
        <f t="shared" si="90"/>
        <v>49.486126339292845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6.5656074388352373E-2</v>
      </c>
      <c r="AD238" s="231">
        <f>(INDEX(Models!$BJ238:$BT238,,AH238)*(1-AF238)+INDEX(Models!$BJ238:$BT238,,AH238+1)*AF238-ERP_i)*AE238*Ramure*Pc/MaxiM</f>
        <v>2.5924529968156967E-4</v>
      </c>
      <c r="AE238" s="305">
        <f t="shared" si="92"/>
        <v>0.5</v>
      </c>
      <c r="AF238" s="177">
        <f t="shared" si="93"/>
        <v>0.96257049300453668</v>
      </c>
      <c r="AG238" s="811">
        <f t="shared" si="99"/>
        <v>2</v>
      </c>
      <c r="AH238" s="176">
        <f t="shared" si="94"/>
        <v>8</v>
      </c>
      <c r="AI238" s="225">
        <f t="shared" si="95"/>
        <v>2.9625704930045367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31.527063741111519</v>
      </c>
      <c r="C239" s="841"/>
      <c r="D239" s="393">
        <f t="shared" si="77"/>
        <v>33.929554639839807</v>
      </c>
      <c r="E239" s="385">
        <f t="shared" si="100"/>
        <v>34.480608590032894</v>
      </c>
      <c r="F239" s="385">
        <f t="shared" si="78"/>
        <v>34.481334397887686</v>
      </c>
      <c r="G239" s="110">
        <f t="shared" si="101"/>
        <v>0.60756353672462227</v>
      </c>
      <c r="H239" s="414" t="b">
        <f>Wh_hp&gt;='2026'!Maxi_hp</f>
        <v>0</v>
      </c>
      <c r="I239" s="390">
        <f>IF(H239,Wh_hp,'2026'!Maxi_hp)</f>
        <v>49.571963401626377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7.0808206126799611E-2</v>
      </c>
      <c r="M239" s="845"/>
      <c r="N239" s="845"/>
      <c r="O239" s="48">
        <f>IF(t&lt;Tnet,'2026'!Resal+('2026'!Salim-'2026'!Resal)*(1-EXP(('2026'!Tnet-t)/('2026'!Tau_j))),Resal+(Salim-Resal)*(1-EXP((Tnet-t)/(Tau_j))))*Salcycl</f>
        <v>1.5981561020137348E-2</v>
      </c>
      <c r="P239" s="169">
        <f>(INDEX(Models!$BJ239:$BT239,,T239)*(1-R239)+INDEX(Models!$BJ239:$BT239,,T239+1)*R239-ERP_i)*Q239*Ramure*Pc/MaxiM</f>
        <v>4.7904659032528982E-5</v>
      </c>
      <c r="Q239" s="305">
        <f t="shared" si="80"/>
        <v>0.5</v>
      </c>
      <c r="R239" s="177">
        <f t="shared" si="81"/>
        <v>0.4388967849583012</v>
      </c>
      <c r="S239" s="811">
        <f t="shared" si="82"/>
        <v>-1</v>
      </c>
      <c r="T239" s="176">
        <f t="shared" si="83"/>
        <v>5</v>
      </c>
      <c r="U239" s="251">
        <f t="shared" si="84"/>
        <v>-0.5611032150416988</v>
      </c>
      <c r="V239" s="383">
        <f t="shared" si="85"/>
        <v>51.88958050797828</v>
      </c>
      <c r="W239" s="402">
        <f t="shared" si="86"/>
        <v>31.527063741111519</v>
      </c>
      <c r="X239" s="157">
        <f t="shared" si="87"/>
        <v>46612</v>
      </c>
      <c r="Y239" s="385">
        <f t="shared" si="88"/>
        <v>29.931619650257883</v>
      </c>
      <c r="Z239" s="385">
        <f t="shared" si="89"/>
        <v>32.212531199282651</v>
      </c>
      <c r="AA239" s="386">
        <f t="shared" si="90"/>
        <v>34.477687687438625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6.5699199687954749E-2</v>
      </c>
      <c r="AD239" s="231">
        <f>(INDEX(Models!$BJ239:$BT239,,AH239)*(1-AF239)+INDEX(Models!$BJ239:$BT239,,AH239+1)*AF239-ERP_i)*AE239*Ramure*Pc/MaxiM</f>
        <v>2.4068962535931878E-4</v>
      </c>
      <c r="AE239" s="305">
        <f t="shared" si="92"/>
        <v>0.5</v>
      </c>
      <c r="AF239" s="177">
        <f t="shared" si="93"/>
        <v>0.9638843513322799</v>
      </c>
      <c r="AG239" s="811">
        <f t="shared" si="99"/>
        <v>2</v>
      </c>
      <c r="AH239" s="176">
        <f t="shared" si="94"/>
        <v>8</v>
      </c>
      <c r="AI239" s="225">
        <f t="shared" si="95"/>
        <v>2.9638843513322799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32.777192252942349</v>
      </c>
      <c r="C240" s="841"/>
      <c r="D240" s="393">
        <f t="shared" si="77"/>
        <v>35.275720674057503</v>
      </c>
      <c r="E240" s="385">
        <f t="shared" si="100"/>
        <v>35.852138392105111</v>
      </c>
      <c r="F240" s="385">
        <f t="shared" si="78"/>
        <v>35.852875910839749</v>
      </c>
      <c r="G240" s="110">
        <f t="shared" si="101"/>
        <v>0.6335312835534862</v>
      </c>
      <c r="H240" s="414" t="b">
        <f>Wh_hp&gt;='2026'!Maxi_hp</f>
        <v>0</v>
      </c>
      <c r="I240" s="390">
        <f>IF(H240,Wh_hp,'2026'!Maxi_hp)</f>
        <v>57.385484130512104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7.0828557811793313E-2</v>
      </c>
      <c r="M240" s="845"/>
      <c r="N240" s="845"/>
      <c r="O240" s="48">
        <f>IF(t&lt;Tnet,'2026'!Resal+('2026'!Salim-'2026'!Resal)*(1-EXP(('2026'!Tnet-t)/('2026'!Tau_j))),Resal+(Salim-Resal)*(1-EXP((Tnet-t)/(Tau_j))))*Salcycl</f>
        <v>1.6077638431032659E-2</v>
      </c>
      <c r="P240" s="169">
        <f>(INDEX(Models!$BJ240:$BT240,,T240)*(1-R240)+INDEX(Models!$BJ240:$BT240,,T240+1)*R240-ERP_i)*Q240*Ramure*Pc/MaxiM</f>
        <v>4.3170977279297054E-5</v>
      </c>
      <c r="Q240" s="305">
        <f t="shared" si="80"/>
        <v>0.5</v>
      </c>
      <c r="R240" s="177">
        <f t="shared" si="81"/>
        <v>0.44016473151925006</v>
      </c>
      <c r="S240" s="811">
        <f t="shared" si="82"/>
        <v>-1</v>
      </c>
      <c r="T240" s="176">
        <f t="shared" si="83"/>
        <v>5</v>
      </c>
      <c r="U240" s="251">
        <f t="shared" si="84"/>
        <v>-0.55983526848074994</v>
      </c>
      <c r="V240" s="383">
        <f t="shared" si="85"/>
        <v>51.736121506437215</v>
      </c>
      <c r="W240" s="402">
        <f t="shared" si="86"/>
        <v>32.777192252942349</v>
      </c>
      <c r="X240" s="157">
        <f t="shared" si="87"/>
        <v>46613</v>
      </c>
      <c r="Y240" s="385">
        <f t="shared" si="88"/>
        <v>31.120050588158154</v>
      </c>
      <c r="Z240" s="385">
        <f t="shared" si="89"/>
        <v>33.492258990300186</v>
      </c>
      <c r="AA240" s="386">
        <f t="shared" si="90"/>
        <v>35.849051516581802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6.5742116641258716E-2</v>
      </c>
      <c r="AD240" s="231">
        <f>(INDEX(Models!$BJ240:$BT240,,AH240)*(1-AF240)+INDEX(Models!$BJ240:$BT240,,AH240+1)*AF240-ERP_i)*AE240*Ramure*Pc/MaxiM</f>
        <v>2.2386256763758661E-4</v>
      </c>
      <c r="AE240" s="305">
        <f t="shared" si="92"/>
        <v>0.5</v>
      </c>
      <c r="AF240" s="177">
        <f t="shared" si="93"/>
        <v>0.96515229789322898</v>
      </c>
      <c r="AG240" s="811">
        <f t="shared" si="99"/>
        <v>2</v>
      </c>
      <c r="AH240" s="176">
        <f t="shared" si="94"/>
        <v>8</v>
      </c>
      <c r="AI240" s="225">
        <f t="shared" si="95"/>
        <v>2.965152297893229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37.582129774247498</v>
      </c>
      <c r="C241" s="841"/>
      <c r="D241" s="393">
        <f t="shared" si="77"/>
        <v>40.447813213956252</v>
      </c>
      <c r="E241" s="385">
        <f t="shared" si="100"/>
        <v>41.112753139253932</v>
      </c>
      <c r="F241" s="385">
        <f t="shared" si="78"/>
        <v>41.113727961445441</v>
      </c>
      <c r="G241" s="110">
        <f t="shared" si="101"/>
        <v>0.72859335674305636</v>
      </c>
      <c r="H241" s="414" t="b">
        <f>Wh_hp&gt;='2026'!Maxi_hp</f>
        <v>0</v>
      </c>
      <c r="I241" s="390">
        <f>IF(H241,Wh_hp,'2026'!Maxi_hp)</f>
        <v>56.300151621417385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7.0848909051032916E-2</v>
      </c>
      <c r="M241" s="845"/>
      <c r="N241" s="845"/>
      <c r="O241" s="48">
        <f>IF(t&lt;Tnet,'2026'!Resal+('2026'!Salim-'2026'!Resal)*(1-EXP(('2026'!Tnet-t)/('2026'!Tau_j))),Resal+(Salim-Resal)*(1-EXP((Tnet-t)/(Tau_j))))*Salcycl</f>
        <v>1.6173568406996307E-2</v>
      </c>
      <c r="P241" s="169">
        <f>(INDEX(Models!$BJ241:$BT241,,T241)*(1-R241)+INDEX(Models!$BJ241:$BT241,,T241+1)*R241-ERP_i)*Q241*Ramure*Pc/MaxiM</f>
        <v>3.8723987345267897E-5</v>
      </c>
      <c r="Q241" s="305">
        <f t="shared" si="80"/>
        <v>0.5</v>
      </c>
      <c r="R241" s="177">
        <f t="shared" si="81"/>
        <v>0.44138811604229033</v>
      </c>
      <c r="S241" s="811">
        <f t="shared" si="82"/>
        <v>-1</v>
      </c>
      <c r="T241" s="176">
        <f t="shared" si="83"/>
        <v>5</v>
      </c>
      <c r="U241" s="251">
        <f t="shared" si="84"/>
        <v>-0.55861188395770967</v>
      </c>
      <c r="V241" s="383">
        <f t="shared" si="85"/>
        <v>51.580988448202575</v>
      </c>
      <c r="W241" s="402">
        <f t="shared" si="86"/>
        <v>37.582129774247498</v>
      </c>
      <c r="X241" s="157">
        <f t="shared" si="87"/>
        <v>46614</v>
      </c>
      <c r="Y241" s="385">
        <f t="shared" si="88"/>
        <v>35.683287810750507</v>
      </c>
      <c r="Z241" s="385">
        <f t="shared" si="89"/>
        <v>38.404182224342222</v>
      </c>
      <c r="AA241" s="386">
        <f t="shared" si="90"/>
        <v>41.108497347454851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6.5784820599385438E-2</v>
      </c>
      <c r="AD241" s="231">
        <f>(INDEX(Models!$BJ241:$BT241,,AH241)*(1-AF241)+INDEX(Models!$BJ241:$BT241,,AH241+1)*AF241-ERP_i)*AE241*Ramure*Pc/MaxiM</f>
        <v>2.0778171828978888E-4</v>
      </c>
      <c r="AE241" s="305">
        <f t="shared" si="92"/>
        <v>0.5</v>
      </c>
      <c r="AF241" s="177">
        <f t="shared" si="93"/>
        <v>0.96637568241626948</v>
      </c>
      <c r="AG241" s="811">
        <f t="shared" si="99"/>
        <v>2</v>
      </c>
      <c r="AH241" s="176">
        <f t="shared" si="94"/>
        <v>8</v>
      </c>
      <c r="AI241" s="225">
        <f t="shared" si="95"/>
        <v>2.9663756824162695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31.568925570533519</v>
      </c>
      <c r="C242" s="841"/>
      <c r="D242" s="393">
        <f t="shared" si="77"/>
        <v>33.976839002497186</v>
      </c>
      <c r="E242" s="385">
        <f t="shared" si="100"/>
        <v>34.538762181873501</v>
      </c>
      <c r="F242" s="385">
        <f t="shared" si="78"/>
        <v>34.53929755781207</v>
      </c>
      <c r="G242" s="110">
        <f t="shared" si="101"/>
        <v>0.61388208264640831</v>
      </c>
      <c r="H242" s="414" t="b">
        <f>Wh_hp&gt;='2026'!Maxi_hp</f>
        <v>0</v>
      </c>
      <c r="I242" s="390">
        <f>IF(H242,Wh_hp,'2026'!Maxi_hp)</f>
        <v>56.421516120211891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7.0869259844528076E-2</v>
      </c>
      <c r="M242" s="845"/>
      <c r="N242" s="845"/>
      <c r="O242" s="48">
        <f>IF(t&lt;Tnet,'2026'!Resal+('2026'!Salim-'2026'!Resal)*(1-EXP(('2026'!Tnet-t)/('2026'!Tau_j))),Resal+(Salim-Resal)*(1-EXP((Tnet-t)/(Tau_j))))*Salcycl</f>
        <v>1.6269349098770539E-2</v>
      </c>
      <c r="P242" s="169">
        <f>(INDEX(Models!$BJ242:$BT242,,T242)*(1-R242)+INDEX(Models!$BJ242:$BT242,,T242+1)*R242-ERP_i)*Q242*Ramure*Pc/MaxiM</f>
        <v>3.4566918639786982E-5</v>
      </c>
      <c r="Q242" s="305">
        <f t="shared" si="80"/>
        <v>0.5</v>
      </c>
      <c r="R242" s="177">
        <f t="shared" si="81"/>
        <v>0.4425682676703091</v>
      </c>
      <c r="S242" s="811">
        <f t="shared" si="82"/>
        <v>-1</v>
      </c>
      <c r="T242" s="176">
        <f t="shared" si="83"/>
        <v>5</v>
      </c>
      <c r="U242" s="251">
        <f t="shared" si="84"/>
        <v>-0.5574317323296909</v>
      </c>
      <c r="V242" s="383">
        <f t="shared" si="85"/>
        <v>51.424083788792721</v>
      </c>
      <c r="W242" s="402">
        <f t="shared" si="86"/>
        <v>31.568925570533519</v>
      </c>
      <c r="X242" s="157">
        <f t="shared" si="87"/>
        <v>46615</v>
      </c>
      <c r="Y242" s="385">
        <f t="shared" si="88"/>
        <v>29.976437406773854</v>
      </c>
      <c r="Z242" s="385">
        <f t="shared" si="89"/>
        <v>32.262884125174764</v>
      </c>
      <c r="AA242" s="386">
        <f t="shared" si="90"/>
        <v>34.536316828861871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6.5827306222393911E-2</v>
      </c>
      <c r="AD242" s="231">
        <f>(INDEX(Models!$BJ242:$BT242,,AH242)*(1-AF242)+INDEX(Models!$BJ242:$BT242,,AH242+1)*AF242-ERP_i)*AE242*Ramure*Pc/MaxiM</f>
        <v>1.9245283115334918E-4</v>
      </c>
      <c r="AE242" s="305">
        <f t="shared" si="92"/>
        <v>0.5</v>
      </c>
      <c r="AF242" s="177">
        <f t="shared" si="93"/>
        <v>0.9675558340442878</v>
      </c>
      <c r="AG242" s="811">
        <f t="shared" si="99"/>
        <v>2</v>
      </c>
      <c r="AH242" s="176">
        <f t="shared" si="94"/>
        <v>8</v>
      </c>
      <c r="AI242" s="225">
        <f t="shared" si="95"/>
        <v>2.9675558340442878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21.699957769616486</v>
      </c>
      <c r="C243" s="841"/>
      <c r="D243" s="393">
        <f t="shared" si="77"/>
        <v>23.355629220880317</v>
      </c>
      <c r="E243" s="385">
        <f t="shared" si="100"/>
        <v>23.744202585110934</v>
      </c>
      <c r="F243" s="385">
        <f t="shared" si="78"/>
        <v>23.744330983897701</v>
      </c>
      <c r="G243" s="110">
        <f t="shared" si="101"/>
        <v>0.42327665315384588</v>
      </c>
      <c r="H243" s="414" t="b">
        <f>Wh_hp&gt;='2026'!Maxi_hp</f>
        <v>0</v>
      </c>
      <c r="I243" s="390">
        <f>IF(H243,Wh_hp,'2026'!Maxi_hp)</f>
        <v>55.293372982977111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7.0889610192288677E-2</v>
      </c>
      <c r="M243" s="845"/>
      <c r="N243" s="845"/>
      <c r="O243" s="48">
        <f>IF(t&lt;Tnet,'2026'!Resal+('2026'!Salim-'2026'!Resal)*(1-EXP(('2026'!Tnet-t)/('2026'!Tau_j))),Resal+(Salim-Resal)*(1-EXP((Tnet-t)/(Tau_j))))*Salcycl</f>
        <v>1.6364978475810137E-2</v>
      </c>
      <c r="P243" s="169">
        <f>(INDEX(Models!$BJ243:$BT243,,T243)*(1-R243)+INDEX(Models!$BJ243:$BT243,,T243+1)*R243-ERP_i)*Q243*Ramure*Pc/MaxiM</f>
        <v>3.0702975647611914E-5</v>
      </c>
      <c r="Q243" s="305">
        <f t="shared" si="80"/>
        <v>0.5</v>
      </c>
      <c r="R243" s="177">
        <f t="shared" si="81"/>
        <v>0.4437064937051618</v>
      </c>
      <c r="S243" s="811">
        <f t="shared" si="82"/>
        <v>-1</v>
      </c>
      <c r="T243" s="176">
        <f t="shared" si="83"/>
        <v>5</v>
      </c>
      <c r="U243" s="251">
        <f t="shared" si="84"/>
        <v>-0.5562935062948382</v>
      </c>
      <c r="V243" s="383">
        <f t="shared" si="85"/>
        <v>51.265310041117523</v>
      </c>
      <c r="W243" s="402">
        <f t="shared" si="86"/>
        <v>21.699957769616486</v>
      </c>
      <c r="X243" s="157">
        <f t="shared" si="87"/>
        <v>46616</v>
      </c>
      <c r="Y243" s="385">
        <f t="shared" si="88"/>
        <v>20.607303561390463</v>
      </c>
      <c r="Z243" s="385">
        <f t="shared" si="89"/>
        <v>22.179607275358691</v>
      </c>
      <c r="AA243" s="386">
        <f t="shared" si="90"/>
        <v>23.743587088772134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6.5869567541166366E-2</v>
      </c>
      <c r="AD243" s="231">
        <f>(INDEX(Models!$BJ243:$BT243,,AH243)*(1-AF243)+INDEX(Models!$BJ243:$BT243,,AH243+1)*AF243-ERP_i)*AE243*Ramure*Pc/MaxiM</f>
        <v>1.7788169576348311E-4</v>
      </c>
      <c r="AE243" s="305">
        <f t="shared" si="92"/>
        <v>0.5</v>
      </c>
      <c r="AF243" s="177">
        <f t="shared" si="93"/>
        <v>0.9686940600791405</v>
      </c>
      <c r="AG243" s="811">
        <f t="shared" si="99"/>
        <v>2</v>
      </c>
      <c r="AH243" s="176">
        <f t="shared" si="94"/>
        <v>8</v>
      </c>
      <c r="AI243" s="225">
        <f t="shared" si="95"/>
        <v>2.9686940600791405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37.75845030036546</v>
      </c>
      <c r="C244" s="841"/>
      <c r="D244" s="393">
        <f t="shared" si="77"/>
        <v>40.640248714967207</v>
      </c>
      <c r="E244" s="385">
        <f t="shared" si="100"/>
        <v>41.320401293632287</v>
      </c>
      <c r="F244" s="385">
        <f t="shared" si="78"/>
        <v>41.321104240062418</v>
      </c>
      <c r="G244" s="110">
        <f t="shared" si="101"/>
        <v>0.7388393681841563</v>
      </c>
      <c r="H244" s="414" t="b">
        <f>Wh_hp&gt;='2026'!Maxi_hp</f>
        <v>0</v>
      </c>
      <c r="I244" s="390">
        <f>IF(H244,Wh_hp,'2026'!Maxi_hp)</f>
        <v>53.147705265054185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7.0909960094324487E-2</v>
      </c>
      <c r="M244" s="845"/>
      <c r="N244" s="845"/>
      <c r="O244" s="48">
        <f>IF(t&lt;Tnet,'2026'!Resal+('2026'!Salim-'2026'!Resal)*(1-EXP(('2026'!Tnet-t)/('2026'!Tau_j))),Resal+(Salim-Resal)*(1-EXP((Tnet-t)/(Tau_j))))*Salcycl</f>
        <v>1.6460454336630424E-2</v>
      </c>
      <c r="P244" s="169">
        <f>(INDEX(Models!$BJ244:$BT244,,T244)*(1-R244)+INDEX(Models!$BJ244:$BT244,,T244+1)*R244-ERP_i)*Q244*Ramure*Pc/MaxiM</f>
        <v>2.7135346241855638E-5</v>
      </c>
      <c r="Q244" s="305">
        <f t="shared" si="80"/>
        <v>0.5</v>
      </c>
      <c r="R244" s="177">
        <f t="shared" si="81"/>
        <v>0.44480407850997539</v>
      </c>
      <c r="S244" s="811">
        <f t="shared" si="82"/>
        <v>-1</v>
      </c>
      <c r="T244" s="176">
        <f t="shared" si="83"/>
        <v>5</v>
      </c>
      <c r="U244" s="251">
        <f t="shared" si="84"/>
        <v>-0.55519592149002461</v>
      </c>
      <c r="V244" s="383">
        <f t="shared" si="85"/>
        <v>51.104569775844432</v>
      </c>
      <c r="W244" s="402">
        <f t="shared" si="86"/>
        <v>37.75845030036546</v>
      </c>
      <c r="X244" s="157">
        <f t="shared" si="87"/>
        <v>46617</v>
      </c>
      <c r="Y244" s="385">
        <f t="shared" si="88"/>
        <v>35.856923793099327</v>
      </c>
      <c r="Z244" s="385">
        <f t="shared" si="89"/>
        <v>38.593594003805755</v>
      </c>
      <c r="AA244" s="386">
        <f t="shared" si="90"/>
        <v>41.316853867118702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6.5911598014489772E-2</v>
      </c>
      <c r="AD244" s="231">
        <f>(INDEX(Models!$BJ244:$BT244,,AH244)*(1-AF244)+INDEX(Models!$BJ244:$BT244,,AH244+1)*AF244-ERP_i)*AE244*Ramure*Pc/MaxiM</f>
        <v>1.6407415492951979E-4</v>
      </c>
      <c r="AE244" s="305">
        <f t="shared" si="92"/>
        <v>0.5</v>
      </c>
      <c r="AF244" s="177">
        <f t="shared" si="93"/>
        <v>0.96979164488395408</v>
      </c>
      <c r="AG244" s="811">
        <f t="shared" si="99"/>
        <v>2</v>
      </c>
      <c r="AH244" s="176">
        <f t="shared" si="94"/>
        <v>8</v>
      </c>
      <c r="AI244" s="225">
        <f t="shared" si="95"/>
        <v>2.9697916448839541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39.094580968295922</v>
      </c>
      <c r="C245" s="841"/>
      <c r="D245" s="393">
        <f t="shared" si="77"/>
        <v>42.079277120091376</v>
      </c>
      <c r="E245" s="385">
        <f t="shared" si="100"/>
        <v>42.787659962029061</v>
      </c>
      <c r="F245" s="385">
        <f t="shared" si="78"/>
        <v>42.788341911004316</v>
      </c>
      <c r="G245" s="110">
        <f t="shared" si="101"/>
        <v>0.76743062371861748</v>
      </c>
      <c r="H245" s="414" t="b">
        <f>Wh_hp&gt;='2026'!Maxi_hp</f>
        <v>0</v>
      </c>
      <c r="I245" s="390">
        <f>IF(H245,Wh_hp,'2026'!Maxi_hp)</f>
        <v>53.076716411968974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7.0930309550645054E-2</v>
      </c>
      <c r="M245" s="845"/>
      <c r="N245" s="845"/>
      <c r="O245" s="48">
        <f>IF(t&lt;Tnet,'2026'!Resal+('2026'!Salim-'2026'!Resal)*(1-EXP(('2026'!Tnet-t)/('2026'!Tau_j))),Resal+(Salim-Resal)*(1-EXP((Tnet-t)/(Tau_j))))*Salcycl</f>
        <v>1.6555774318257319E-2</v>
      </c>
      <c r="P245" s="169">
        <f>(INDEX(Models!$BJ245:$BT245,,T245)*(1-R245)+INDEX(Models!$BJ245:$BT245,,T245+1)*R245-ERP_i)*Q245*Ramure*Pc/MaxiM</f>
        <v>2.3867209641096624E-5</v>
      </c>
      <c r="Q245" s="305">
        <f t="shared" si="80"/>
        <v>0.5</v>
      </c>
      <c r="R245" s="177">
        <f t="shared" si="81"/>
        <v>0.44586228255941474</v>
      </c>
      <c r="S245" s="811">
        <f t="shared" si="82"/>
        <v>-1</v>
      </c>
      <c r="T245" s="176">
        <f t="shared" si="83"/>
        <v>5</v>
      </c>
      <c r="U245" s="251">
        <f t="shared" si="84"/>
        <v>-0.55413771744058526</v>
      </c>
      <c r="V245" s="383">
        <f t="shared" si="85"/>
        <v>50.941765620687256</v>
      </c>
      <c r="W245" s="402">
        <f t="shared" si="86"/>
        <v>39.094580968295922</v>
      </c>
      <c r="X245" s="157">
        <f t="shared" si="87"/>
        <v>46618</v>
      </c>
      <c r="Y245" s="385">
        <f t="shared" si="88"/>
        <v>37.127738284682543</v>
      </c>
      <c r="Z245" s="385">
        <f t="shared" si="89"/>
        <v>39.962274807097941</v>
      </c>
      <c r="AA245" s="386">
        <f t="shared" si="90"/>
        <v>42.784026411639459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6.5953390580692384E-2</v>
      </c>
      <c r="AD245" s="231">
        <f>(INDEX(Models!$BJ245:$BT245,,AH245)*(1-AF245)+INDEX(Models!$BJ245:$BT245,,AH245+1)*AF245-ERP_i)*AE245*Ramure*Pc/MaxiM</f>
        <v>1.5103612115336198E-4</v>
      </c>
      <c r="AE245" s="305">
        <f t="shared" si="92"/>
        <v>0.5</v>
      </c>
      <c r="AF245" s="177">
        <f t="shared" si="93"/>
        <v>0.97084984893339366</v>
      </c>
      <c r="AG245" s="811">
        <f t="shared" si="99"/>
        <v>2</v>
      </c>
      <c r="AH245" s="176">
        <f t="shared" si="94"/>
        <v>8</v>
      </c>
      <c r="AI245" s="225">
        <f t="shared" si="95"/>
        <v>2.9708498489333937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46.557696670801853</v>
      </c>
      <c r="C246" s="841"/>
      <c r="D246" s="393">
        <f t="shared" si="77"/>
        <v>50.113265888227119</v>
      </c>
      <c r="E246" s="385">
        <f t="shared" si="100"/>
        <v>50.961828020171765</v>
      </c>
      <c r="F246" s="385">
        <f t="shared" si="78"/>
        <v>50.962766788593193</v>
      </c>
      <c r="G246" s="110">
        <f t="shared" si="101"/>
        <v>0.91690655812297184</v>
      </c>
      <c r="H246" s="414" t="b">
        <f>Wh_hp&gt;='2026'!Maxi_hp</f>
        <v>0</v>
      </c>
      <c r="I246" s="390">
        <f>IF(H246,Wh_hp,'2026'!Maxi_hp)</f>
        <v>53.656818151544883</v>
      </c>
      <c r="J246" s="85">
        <f>IF(H246,An,'2026'!An_max)</f>
        <v>2018</v>
      </c>
      <c r="K246" s="197">
        <f t="shared" si="79"/>
        <v>46619</v>
      </c>
      <c r="L246" s="147">
        <f>IF(t&lt;Tvie,1-EXP((T0-t)*PertePVj)+'2026'!Pspv,1-EXP((T0-t)*PertePVj)+Pspv)</f>
        <v>7.0950658561260482E-2</v>
      </c>
      <c r="M246" s="845"/>
      <c r="N246" s="845"/>
      <c r="O246" s="48">
        <f>IF(t&lt;Tnet,'2026'!Resal+('2026'!Salim-'2026'!Resal)*(1-EXP(('2026'!Tnet-t)/('2026'!Tau_j))),Resal+(Salim-Resal)*(1-EXP((Tnet-t)/(Tau_j))))*Salcycl</f>
        <v>1.6650935904590571E-2</v>
      </c>
      <c r="P246" s="169">
        <f>(INDEX(Models!$BJ246:$BT246,,T246)*(1-R246)+INDEX(Models!$BJ246:$BT246,,T246+1)*R246-ERP_i)*Q246*Ramure*Pc/MaxiM</f>
        <v>2.0901744064299302E-5</v>
      </c>
      <c r="Q246" s="305">
        <f t="shared" si="80"/>
        <v>0.5</v>
      </c>
      <c r="R246" s="177">
        <f t="shared" si="81"/>
        <v>0.4468823416287</v>
      </c>
      <c r="S246" s="811">
        <f t="shared" si="82"/>
        <v>-1</v>
      </c>
      <c r="T246" s="176">
        <f t="shared" si="83"/>
        <v>5</v>
      </c>
      <c r="U246" s="251">
        <f t="shared" si="84"/>
        <v>-0.5531176583713</v>
      </c>
      <c r="V246" s="383">
        <f t="shared" si="85"/>
        <v>50.776800256497452</v>
      </c>
      <c r="W246" s="402">
        <f t="shared" si="86"/>
        <v>46.557696670801853</v>
      </c>
      <c r="X246" s="157">
        <f t="shared" si="87"/>
        <v>46619</v>
      </c>
      <c r="Y246" s="385">
        <f t="shared" si="88"/>
        <v>44.216859137427207</v>
      </c>
      <c r="Z246" s="385">
        <f t="shared" si="89"/>
        <v>47.593660708001067</v>
      </c>
      <c r="AA246" s="386">
        <f t="shared" si="90"/>
        <v>50.956533994547016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6.5994937703294732E-2</v>
      </c>
      <c r="AD246" s="231">
        <f>(INDEX(Models!$BJ246:$BT246,,AH246)*(1-AF246)+INDEX(Models!$BJ246:$BT246,,AH246+1)*AF246-ERP_i)*AE246*Ramure*Pc/MaxiM</f>
        <v>1.3877359206568984E-4</v>
      </c>
      <c r="AE246" s="305">
        <f t="shared" si="92"/>
        <v>0.5</v>
      </c>
      <c r="AF246" s="177">
        <f t="shared" si="93"/>
        <v>0.9718699080026787</v>
      </c>
      <c r="AG246" s="811">
        <f t="shared" si="99"/>
        <v>2</v>
      </c>
      <c r="AH246" s="176">
        <f t="shared" si="94"/>
        <v>8</v>
      </c>
      <c r="AI246" s="225">
        <f t="shared" si="95"/>
        <v>2.9718699080026787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31.385725766326189</v>
      </c>
      <c r="C247" s="841"/>
      <c r="D247" s="393">
        <f t="shared" si="77"/>
        <v>33.783365220108884</v>
      </c>
      <c r="E247" s="385">
        <f t="shared" si="100"/>
        <v>34.358734402346521</v>
      </c>
      <c r="F247" s="385">
        <f t="shared" si="78"/>
        <v>34.359021036639682</v>
      </c>
      <c r="G247" s="110">
        <f t="shared" si="101"/>
        <v>0.6201239191556106</v>
      </c>
      <c r="H247" s="414" t="b">
        <f>Wh_hp&gt;='2026'!Maxi_hp</f>
        <v>0</v>
      </c>
      <c r="I247" s="390">
        <f>IF(H247,Wh_hp,'2026'!Maxi_hp)</f>
        <v>54.498162972904758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7.0971007126180208E-2</v>
      </c>
      <c r="M247" s="845"/>
      <c r="N247" s="845"/>
      <c r="O247" s="48">
        <f>IF(t&lt;Tnet,'2026'!Resal+('2026'!Salim-'2026'!Resal)*(1-EXP(('2026'!Tnet-t)/('2026'!Tau_j))),Resal+(Salim-Resal)*(1-EXP((Tnet-t)/(Tau_j))))*Salcycl</f>
        <v>1.6745936433512489E-2</v>
      </c>
      <c r="P247" s="169">
        <f>(INDEX(Models!$BJ247:$BT247,,T247)*(1-R247)+INDEX(Models!$BJ247:$BT247,,T247+1)*R247-ERP_i)*Q247*Ramure*Pc/MaxiM</f>
        <v>1.8241433066421706E-5</v>
      </c>
      <c r="Q247" s="305">
        <f t="shared" si="80"/>
        <v>0.5</v>
      </c>
      <c r="R247" s="177">
        <f t="shared" si="81"/>
        <v>0.44786546611236422</v>
      </c>
      <c r="S247" s="811">
        <f t="shared" si="82"/>
        <v>-1</v>
      </c>
      <c r="T247" s="176">
        <f t="shared" si="83"/>
        <v>5</v>
      </c>
      <c r="U247" s="251">
        <f t="shared" si="84"/>
        <v>-0.55213453388763578</v>
      </c>
      <c r="V247" s="383">
        <f t="shared" si="85"/>
        <v>50.611521509986318</v>
      </c>
      <c r="W247" s="402">
        <f t="shared" si="86"/>
        <v>31.385725766326189</v>
      </c>
      <c r="X247" s="157">
        <f t="shared" si="87"/>
        <v>46620</v>
      </c>
      <c r="Y247" s="385">
        <f t="shared" si="88"/>
        <v>29.810879958972542</v>
      </c>
      <c r="Z247" s="385">
        <f t="shared" si="89"/>
        <v>32.088212733551835</v>
      </c>
      <c r="AA247" s="386">
        <f t="shared" si="90"/>
        <v>34.357020917421146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6.6036231410240856E-2</v>
      </c>
      <c r="AD247" s="231">
        <f>(INDEX(Models!$BJ247:$BT247,,AH247)*(1-AF247)+INDEX(Models!$BJ247:$BT247,,AH247+1)*AF247-ERP_i)*AE247*Ramure*Pc/MaxiM</f>
        <v>1.2728777302639356E-4</v>
      </c>
      <c r="AE247" s="305">
        <f t="shared" si="92"/>
        <v>0.5</v>
      </c>
      <c r="AF247" s="177">
        <f t="shared" si="93"/>
        <v>0.97285303248634314</v>
      </c>
      <c r="AG247" s="811">
        <f t="shared" si="99"/>
        <v>2</v>
      </c>
      <c r="AH247" s="176">
        <f t="shared" si="94"/>
        <v>8</v>
      </c>
      <c r="AI247" s="225">
        <f t="shared" si="95"/>
        <v>2.9728530324863431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24.452745535989244</v>
      </c>
      <c r="C248" s="841"/>
      <c r="D248" s="393">
        <f t="shared" si="77"/>
        <v>26.321332609826115</v>
      </c>
      <c r="E248" s="385">
        <f t="shared" si="100"/>
        <v>26.772197106759116</v>
      </c>
      <c r="F248" s="385">
        <f t="shared" si="78"/>
        <v>26.772309900950521</v>
      </c>
      <c r="G248" s="110">
        <f t="shared" si="101"/>
        <v>0.4847127783595937</v>
      </c>
      <c r="H248" s="414" t="b">
        <f>Wh_hp&gt;='2026'!Maxi_hp</f>
        <v>0</v>
      </c>
      <c r="I248" s="390">
        <f>IF(H248,Wh_hp,'2026'!Maxi_hp)</f>
        <v>56.835581680919191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7.0991355245414223E-2</v>
      </c>
      <c r="M248" s="845"/>
      <c r="N248" s="845"/>
      <c r="O248" s="48">
        <f>IF(t&lt;Tnet,'2026'!Resal+('2026'!Salim-'2026'!Resal)*(1-EXP(('2026'!Tnet-t)/('2026'!Tau_j))),Resal+(Salim-Resal)*(1-EXP((Tnet-t)/(Tau_j))))*Salcycl</f>
        <v>1.6840773102599425E-2</v>
      </c>
      <c r="P248" s="169">
        <f>(INDEX(Models!$BJ248:$BT248,,T248)*(1-R248)+INDEX(Models!$BJ248:$BT248,,T248+1)*R248-ERP_i)*Q248*Ramure*Pc/MaxiM</f>
        <v>1.5965723253425249E-5</v>
      </c>
      <c r="Q248" s="305">
        <f t="shared" si="80"/>
        <v>0.5</v>
      </c>
      <c r="R248" s="177">
        <f t="shared" si="81"/>
        <v>0.44881284046398262</v>
      </c>
      <c r="S248" s="811">
        <f t="shared" si="82"/>
        <v>-1</v>
      </c>
      <c r="T248" s="176">
        <f t="shared" si="83"/>
        <v>5</v>
      </c>
      <c r="U248" s="251">
        <f t="shared" si="84"/>
        <v>-0.55118715953601738</v>
      </c>
      <c r="V248" s="383">
        <f t="shared" si="85"/>
        <v>50.447314868444408</v>
      </c>
      <c r="W248" s="402">
        <f t="shared" si="86"/>
        <v>24.452745535989244</v>
      </c>
      <c r="X248" s="157">
        <f t="shared" si="87"/>
        <v>46621</v>
      </c>
      <c r="Y248" s="385">
        <f t="shared" si="88"/>
        <v>23.227535959337985</v>
      </c>
      <c r="Z248" s="385">
        <f t="shared" si="89"/>
        <v>25.002497113978905</v>
      </c>
      <c r="AA248" s="386">
        <f t="shared" si="90"/>
        <v>26.771483477349744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6.6077263326386332E-2</v>
      </c>
      <c r="AD248" s="231">
        <f>(INDEX(Models!$BJ248:$BT248,,AH248)*(1-AF248)+INDEX(Models!$BJ248:$BT248,,AH248+1)*AF248-ERP_i)*AE248*Ramure*Pc/MaxiM</f>
        <v>1.169781026474363E-4</v>
      </c>
      <c r="AE248" s="305">
        <f t="shared" si="92"/>
        <v>0.5</v>
      </c>
      <c r="AF248" s="177">
        <f t="shared" si="93"/>
        <v>0.97380040683796132</v>
      </c>
      <c r="AG248" s="811">
        <f t="shared" si="99"/>
        <v>2</v>
      </c>
      <c r="AH248" s="176">
        <f t="shared" si="94"/>
        <v>8</v>
      </c>
      <c r="AI248" s="225">
        <f t="shared" si="95"/>
        <v>2.9738004068379613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43.739089050203006</v>
      </c>
      <c r="C249" s="841"/>
      <c r="D249" s="393">
        <f t="shared" si="77"/>
        <v>47.082497365828509</v>
      </c>
      <c r="E249" s="385">
        <f t="shared" si="100"/>
        <v>47.893596640521245</v>
      </c>
      <c r="F249" s="385">
        <f t="shared" si="78"/>
        <v>47.894137839762912</v>
      </c>
      <c r="G249" s="110">
        <f t="shared" si="101"/>
        <v>0.86984912109675239</v>
      </c>
      <c r="H249" s="414" t="b">
        <f>Wh_hp&gt;='2026'!Maxi_hp</f>
        <v>0</v>
      </c>
      <c r="I249" s="390">
        <f>IF(H249,Wh_hp,'2026'!Maxi_hp)</f>
        <v>54.138140935976416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7.1011702918972186E-2</v>
      </c>
      <c r="M249" s="845"/>
      <c r="N249" s="845"/>
      <c r="O249" s="48">
        <f>IF(t&lt;Tnet,'2026'!Resal+('2026'!Salim-'2026'!Resal)*(1-EXP(('2026'!Tnet-t)/('2026'!Tau_j))),Resal+(Salim-Resal)*(1-EXP((Tnet-t)/(Tau_j))))*Salcycl</f>
        <v>1.6935442973319958E-2</v>
      </c>
      <c r="P249" s="169">
        <f>(INDEX(Models!$BJ249:$BT249,,T249)*(1-R249)+INDEX(Models!$BJ249:$BT249,,T249+1)*R249-ERP_i)*Q249*Ramure*Pc/MaxiM</f>
        <v>1.3880696737415273E-5</v>
      </c>
      <c r="Q249" s="305">
        <f t="shared" si="80"/>
        <v>0.5</v>
      </c>
      <c r="R249" s="177">
        <f t="shared" si="81"/>
        <v>0.4497256227483688</v>
      </c>
      <c r="S249" s="811">
        <f t="shared" si="82"/>
        <v>-1</v>
      </c>
      <c r="T249" s="176">
        <f t="shared" si="83"/>
        <v>5</v>
      </c>
      <c r="U249" s="251">
        <f t="shared" si="84"/>
        <v>-0.5502743772516312</v>
      </c>
      <c r="V249" s="383">
        <f t="shared" si="85"/>
        <v>50.283405600652259</v>
      </c>
      <c r="W249" s="402">
        <f t="shared" si="86"/>
        <v>43.739089050203006</v>
      </c>
      <c r="X249" s="157">
        <f t="shared" si="87"/>
        <v>46622</v>
      </c>
      <c r="Y249" s="385">
        <f t="shared" si="88"/>
        <v>41.547665129807839</v>
      </c>
      <c r="Z249" s="385">
        <f t="shared" si="89"/>
        <v>44.723561384308795</v>
      </c>
      <c r="AA249" s="386">
        <f t="shared" si="90"/>
        <v>47.889950301156233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6.6118024699035619E-2</v>
      </c>
      <c r="AD249" s="231">
        <f>(INDEX(Models!$BJ249:$BT249,,AH249)*(1-AF249)+INDEX(Models!$BJ249:$BT249,,AH249+1)*AF249-ERP_i)*AE249*Ramure*Pc/MaxiM</f>
        <v>1.0740213400275261E-4</v>
      </c>
      <c r="AE249" s="305">
        <f t="shared" si="92"/>
        <v>0.5</v>
      </c>
      <c r="AF249" s="177">
        <f t="shared" si="93"/>
        <v>0.97471318912234794</v>
      </c>
      <c r="AG249" s="811">
        <f t="shared" si="99"/>
        <v>2</v>
      </c>
      <c r="AH249" s="176">
        <f t="shared" si="94"/>
        <v>8</v>
      </c>
      <c r="AI249" s="225">
        <f t="shared" si="95"/>
        <v>2.9747131891223479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45.189949165734397</v>
      </c>
      <c r="C250" s="841"/>
      <c r="D250" s="393">
        <f t="shared" si="77"/>
        <v>48.645326432282879</v>
      </c>
      <c r="E250" s="385">
        <f t="shared" si="100"/>
        <v>49.48810605629464</v>
      </c>
      <c r="F250" s="385">
        <f t="shared" si="78"/>
        <v>49.488616006392775</v>
      </c>
      <c r="G250" s="110">
        <f t="shared" si="101"/>
        <v>0.90165136165303361</v>
      </c>
      <c r="H250" s="414" t="b">
        <f>Wh_hp&gt;='2026'!Maxi_hp</f>
        <v>0</v>
      </c>
      <c r="I250" s="390">
        <f>IF(H250,Wh_hp,'2026'!Maxi_hp)</f>
        <v>54.480093410292213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7.1032050146863868E-2</v>
      </c>
      <c r="M250" s="845"/>
      <c r="N250" s="845"/>
      <c r="O250" s="48">
        <f>IF(t&lt;Tnet,'2026'!Resal+('2026'!Salim-'2026'!Resal)*(1-EXP(('2026'!Tnet-t)/('2026'!Tau_j))),Resal+(Salim-Resal)*(1-EXP((Tnet-t)/(Tau_j))))*Salcycl</f>
        <v>1.7029942973632282E-2</v>
      </c>
      <c r="P250" s="169">
        <f>(INDEX(Models!$BJ250:$BT250,,T250)*(1-R250)+INDEX(Models!$BJ250:$BT250,,T250+1)*R250-ERP_i)*Q250*Ramure*Pc/MaxiM</f>
        <v>1.1988763994679128E-5</v>
      </c>
      <c r="Q250" s="305">
        <f t="shared" si="80"/>
        <v>0.5</v>
      </c>
      <c r="R250" s="177">
        <f t="shared" si="81"/>
        <v>0.45060494429803311</v>
      </c>
      <c r="S250" s="811">
        <f t="shared" si="82"/>
        <v>-1</v>
      </c>
      <c r="T250" s="176">
        <f t="shared" si="83"/>
        <v>5</v>
      </c>
      <c r="U250" s="251">
        <f t="shared" si="84"/>
        <v>-0.54939505570196689</v>
      </c>
      <c r="V250" s="383">
        <f t="shared" si="85"/>
        <v>50.11900937565953</v>
      </c>
      <c r="W250" s="402">
        <f t="shared" si="86"/>
        <v>45.189949165734397</v>
      </c>
      <c r="X250" s="157">
        <f t="shared" si="87"/>
        <v>46623</v>
      </c>
      <c r="Y250" s="385">
        <f t="shared" si="88"/>
        <v>42.928173568321881</v>
      </c>
      <c r="Z250" s="385">
        <f t="shared" si="89"/>
        <v>46.210607777274284</v>
      </c>
      <c r="AA250" s="386">
        <f t="shared" si="90"/>
        <v>49.484423314650321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6.6158506416438168E-2</v>
      </c>
      <c r="AD250" s="231">
        <f>(INDEX(Models!$BJ250:$BT250,,AH250)*(1-AF250)+INDEX(Models!$BJ250:$BT250,,AH250+1)*AF250-ERP_i)*AE250*Ramure*Pc/MaxiM</f>
        <v>9.8568844257964017E-5</v>
      </c>
      <c r="AE250" s="305">
        <f t="shared" si="92"/>
        <v>0.5</v>
      </c>
      <c r="AF250" s="177">
        <f t="shared" si="93"/>
        <v>0.97559251067201203</v>
      </c>
      <c r="AG250" s="811">
        <f t="shared" si="99"/>
        <v>2</v>
      </c>
      <c r="AH250" s="176">
        <f t="shared" si="94"/>
        <v>8</v>
      </c>
      <c r="AI250" s="225">
        <f t="shared" si="95"/>
        <v>2.975592510672012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32.244557273764791</v>
      </c>
      <c r="C251" s="841"/>
      <c r="D251" s="393">
        <f t="shared" si="77"/>
        <v>34.710846087735433</v>
      </c>
      <c r="E251" s="385">
        <f t="shared" si="100"/>
        <v>35.315599952972562</v>
      </c>
      <c r="F251" s="385">
        <f t="shared" si="78"/>
        <v>35.315779351402959</v>
      </c>
      <c r="G251" s="110">
        <f t="shared" si="101"/>
        <v>0.64549012650570148</v>
      </c>
      <c r="H251" s="414" t="b">
        <f>Wh_hp&gt;='2026'!Maxi_hp</f>
        <v>0</v>
      </c>
      <c r="I251" s="390">
        <f>IF(H251,Wh_hp,'2026'!Maxi_hp)</f>
        <v>50.04617729749566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7.1052396929099038E-2</v>
      </c>
      <c r="M251" s="845"/>
      <c r="N251" s="845"/>
      <c r="O251" s="48">
        <f>IF(t&lt;Tnet,'2026'!Resal+('2026'!Salim-'2026'!Resal)*(1-EXP(('2026'!Tnet-t)/('2026'!Tau_j))),Resal+(Salim-Resal)*(1-EXP((Tnet-t)/(Tau_j))))*Salcycl</f>
        <v>1.712426989892403E-2</v>
      </c>
      <c r="P251" s="169">
        <f>(INDEX(Models!$BJ251:$BT251,,T251)*(1-R251)+INDEX(Models!$BJ251:$BT251,,T251+1)*R251-ERP_i)*Q251*Ramure*Pc/MaxiM</f>
        <v>1.0292195199612651E-5</v>
      </c>
      <c r="Q251" s="305">
        <f t="shared" si="80"/>
        <v>0.5</v>
      </c>
      <c r="R251" s="177">
        <f t="shared" si="81"/>
        <v>0.45145190946599767</v>
      </c>
      <c r="S251" s="811">
        <f t="shared" si="82"/>
        <v>-1</v>
      </c>
      <c r="T251" s="176">
        <f t="shared" si="83"/>
        <v>5</v>
      </c>
      <c r="U251" s="251">
        <f t="shared" si="84"/>
        <v>-0.54854809053400233</v>
      </c>
      <c r="V251" s="383">
        <f t="shared" si="85"/>
        <v>49.953342241353489</v>
      </c>
      <c r="W251" s="402">
        <f t="shared" si="86"/>
        <v>32.244557273764791</v>
      </c>
      <c r="X251" s="157">
        <f t="shared" si="87"/>
        <v>46624</v>
      </c>
      <c r="Y251" s="385">
        <f t="shared" si="88"/>
        <v>30.633392219081408</v>
      </c>
      <c r="Z251" s="385">
        <f t="shared" si="89"/>
        <v>32.976447883404838</v>
      </c>
      <c r="AA251" s="386">
        <f t="shared" si="90"/>
        <v>35.314202120698702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6.6198699019271903E-2</v>
      </c>
      <c r="AD251" s="231">
        <f>(INDEX(Models!$BJ251:$BT251,,AH251)*(1-AF251)+INDEX(Models!$BJ251:$BT251,,AH251+1)*AF251-ERP_i)*AE251*Ramure*Pc/MaxiM</f>
        <v>9.048666840293516E-5</v>
      </c>
      <c r="AE251" s="305">
        <f t="shared" si="92"/>
        <v>0.5</v>
      </c>
      <c r="AF251" s="177">
        <f t="shared" si="93"/>
        <v>0.97643947583997681</v>
      </c>
      <c r="AG251" s="811">
        <f t="shared" si="99"/>
        <v>2</v>
      </c>
      <c r="AH251" s="176">
        <f t="shared" si="94"/>
        <v>8</v>
      </c>
      <c r="AI251" s="225">
        <f t="shared" si="95"/>
        <v>2.9764394758399768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40.507610160761068</v>
      </c>
      <c r="C252" s="841"/>
      <c r="D252" s="393">
        <f t="shared" si="77"/>
        <v>43.606870039713847</v>
      </c>
      <c r="E252" s="385">
        <f t="shared" si="100"/>
        <v>44.370866269148252</v>
      </c>
      <c r="F252" s="385">
        <f t="shared" si="78"/>
        <v>44.371152559081857</v>
      </c>
      <c r="G252" s="110">
        <f t="shared" si="101"/>
        <v>0.81363885449509443</v>
      </c>
      <c r="H252" s="414" t="b">
        <f>Wh_hp&gt;='2026'!Maxi_hp</f>
        <v>0</v>
      </c>
      <c r="I252" s="390">
        <f>IF(H252,Wh_hp,'2026'!Maxi_hp)</f>
        <v>54.589001673677714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7.1072743265687466E-2</v>
      </c>
      <c r="M252" s="845"/>
      <c r="N252" s="845"/>
      <c r="O252" s="48">
        <f>IF(t&lt;Tnet,'2026'!Resal+('2026'!Salim-'2026'!Resal)*(1-EXP(('2026'!Tnet-t)/('2026'!Tau_j))),Resal+(Salim-Resal)*(1-EXP((Tnet-t)/(Tau_j))))*Salcycl</f>
        <v>1.7218420411269256E-2</v>
      </c>
      <c r="P252" s="169">
        <f>(INDEX(Models!$BJ252:$BT252,,T252)*(1-R252)+INDEX(Models!$BJ252:$BT252,,T252+1)*R252-ERP_i)*Q252*Ramure*Pc/MaxiM</f>
        <v>8.7931388039531594E-6</v>
      </c>
      <c r="Q252" s="305">
        <f t="shared" si="80"/>
        <v>0.5</v>
      </c>
      <c r="R252" s="177">
        <f t="shared" si="81"/>
        <v>0.45226759546740136</v>
      </c>
      <c r="S252" s="811">
        <f t="shared" si="82"/>
        <v>-1</v>
      </c>
      <c r="T252" s="176">
        <f t="shared" si="83"/>
        <v>5</v>
      </c>
      <c r="U252" s="251">
        <f t="shared" si="84"/>
        <v>-0.54773240453259864</v>
      </c>
      <c r="V252" s="383">
        <f t="shared" si="85"/>
        <v>49.785620621539309</v>
      </c>
      <c r="W252" s="402">
        <f t="shared" si="86"/>
        <v>40.507610160761068</v>
      </c>
      <c r="X252" s="157">
        <f t="shared" si="87"/>
        <v>46625</v>
      </c>
      <c r="Y252" s="385">
        <f t="shared" si="88"/>
        <v>38.485030373686087</v>
      </c>
      <c r="Z252" s="385">
        <f t="shared" si="89"/>
        <v>41.429541543416455</v>
      </c>
      <c r="AA252" s="386">
        <f t="shared" si="90"/>
        <v>44.368444893695788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6.6238592705260987E-2</v>
      </c>
      <c r="AD252" s="231">
        <f>(INDEX(Models!$BJ252:$BT252,,AH252)*(1-AF252)+INDEX(Models!$BJ252:$BT252,,AH252+1)*AF252-ERP_i)*AE252*Ramure*Pc/MaxiM</f>
        <v>8.3163516350415905E-5</v>
      </c>
      <c r="AE252" s="305">
        <f t="shared" si="92"/>
        <v>0.5</v>
      </c>
      <c r="AF252" s="177">
        <f t="shared" si="93"/>
        <v>0.97725516184138028</v>
      </c>
      <c r="AG252" s="811">
        <f t="shared" si="99"/>
        <v>2</v>
      </c>
      <c r="AH252" s="176">
        <f t="shared" si="94"/>
        <v>8</v>
      </c>
      <c r="AI252" s="225">
        <f t="shared" si="95"/>
        <v>2.9772551618413803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47.725050549886078</v>
      </c>
      <c r="C253" s="841"/>
      <c r="D253" s="393">
        <f t="shared" si="77"/>
        <v>51.377646126624434</v>
      </c>
      <c r="E253" s="385">
        <f t="shared" si="100"/>
        <v>52.282786165221104</v>
      </c>
      <c r="F253" s="385">
        <f t="shared" si="78"/>
        <v>52.283156636462486</v>
      </c>
      <c r="G253" s="110">
        <f t="shared" si="101"/>
        <v>0.96190611928350678</v>
      </c>
      <c r="H253" s="414" t="b">
        <f>Wh_hp&gt;='2026'!Maxi_hp</f>
        <v>0</v>
      </c>
      <c r="I253" s="390">
        <f>IF(H253,Wh_hp,'2026'!Maxi_hp)</f>
        <v>52.283171515945369</v>
      </c>
      <c r="J253" s="85">
        <f>IF(H253,An,'2026'!An_max)</f>
        <v>2025</v>
      </c>
      <c r="K253" s="197">
        <f t="shared" si="79"/>
        <v>46626</v>
      </c>
      <c r="L253" s="147">
        <f>IF(t&lt;Tvie,1-EXP((T0-t)*PertePVj)+'2026'!Pspv,1-EXP((T0-t)*PertePVj)+Pspv)</f>
        <v>7.1093089156638922E-2</v>
      </c>
      <c r="M253" s="845"/>
      <c r="N253" s="845"/>
      <c r="O253" s="48">
        <f>IF(t&lt;Tnet,'2026'!Resal+('2026'!Salim-'2026'!Resal)*(1-EXP(('2026'!Tnet-t)/('2026'!Tau_j))),Resal+(Salim-Resal)*(1-EXP((Tnet-t)/(Tau_j))))*Salcycl</f>
        <v>1.7312391037009781E-2</v>
      </c>
      <c r="P253" s="169">
        <f>(INDEX(Models!$BJ253:$BT253,,T253)*(1-R253)+INDEX(Models!$BJ253:$BT253,,T253+1)*R253-ERP_i)*Q253*Ramure*Pc/MaxiM</f>
        <v>7.4936617599993877E-6</v>
      </c>
      <c r="Q253" s="305">
        <f t="shared" si="80"/>
        <v>0.5</v>
      </c>
      <c r="R253" s="177">
        <f t="shared" si="81"/>
        <v>0.45305305230264858</v>
      </c>
      <c r="S253" s="811">
        <f t="shared" si="82"/>
        <v>-1</v>
      </c>
      <c r="T253" s="176">
        <f t="shared" si="83"/>
        <v>5</v>
      </c>
      <c r="U253" s="251">
        <f t="shared" si="84"/>
        <v>-0.54694694769735142</v>
      </c>
      <c r="V253" s="383">
        <f t="shared" si="85"/>
        <v>49.615061314965594</v>
      </c>
      <c r="W253" s="402">
        <f t="shared" si="86"/>
        <v>47.725050549886078</v>
      </c>
      <c r="X253" s="157">
        <f t="shared" si="87"/>
        <v>46626</v>
      </c>
      <c r="Y253" s="385">
        <f t="shared" si="88"/>
        <v>45.34402239312157</v>
      </c>
      <c r="Z253" s="385">
        <f t="shared" si="89"/>
        <v>48.814388033730324</v>
      </c>
      <c r="AA253" s="386">
        <f t="shared" si="90"/>
        <v>52.27936934578392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6.6278177327191337E-2</v>
      </c>
      <c r="AD253" s="231">
        <f>(INDEX(Models!$BJ253:$BT253,,AH253)*(1-AF253)+INDEX(Models!$BJ253:$BT253,,AH253+1)*AF253-ERP_i)*AE253*Ramure*Pc/MaxiM</f>
        <v>7.6606959357071396E-5</v>
      </c>
      <c r="AE253" s="305">
        <f t="shared" si="92"/>
        <v>0.5</v>
      </c>
      <c r="AF253" s="177">
        <f t="shared" si="93"/>
        <v>0.97804061867662728</v>
      </c>
      <c r="AG253" s="811">
        <f t="shared" si="99"/>
        <v>2</v>
      </c>
      <c r="AH253" s="176">
        <f t="shared" si="94"/>
        <v>8</v>
      </c>
      <c r="AI253" s="225">
        <f t="shared" si="95"/>
        <v>2.9780406186766273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46.836444628887506</v>
      </c>
      <c r="C254" s="841"/>
      <c r="D254" s="393">
        <f t="shared" si="77"/>
        <v>50.422135892144851</v>
      </c>
      <c r="E254" s="385">
        <f t="shared" si="100"/>
        <v>51.315339839877332</v>
      </c>
      <c r="F254" s="385">
        <f t="shared" si="78"/>
        <v>51.315644652657227</v>
      </c>
      <c r="G254" s="110">
        <f t="shared" si="101"/>
        <v>0.94732176823620551</v>
      </c>
      <c r="H254" s="414" t="b">
        <f>Wh_hp&gt;='2026'!Maxi_hp</f>
        <v>0</v>
      </c>
      <c r="I254" s="390">
        <f>IF(H254,Wh_hp,'2026'!Maxi_hp)</f>
        <v>54.458266820267049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7.1113434601963177E-2</v>
      </c>
      <c r="M254" s="845"/>
      <c r="N254" s="845"/>
      <c r="O254" s="48">
        <f>IF(t&lt;Tnet,'2026'!Resal+('2026'!Salim-'2026'!Resal)*(1-EXP(('2026'!Tnet-t)/('2026'!Tau_j))),Resal+(Salim-Resal)*(1-EXP((Tnet-t)/(Tau_j))))*Salcycl</f>
        <v>1.7406178162701492E-2</v>
      </c>
      <c r="P254" s="169">
        <f>(INDEX(Models!$BJ254:$BT254,,T254)*(1-R254)+INDEX(Models!$BJ254:$BT254,,T254+1)*R254-ERP_i)*Q254*Ramure*Pc/MaxiM</f>
        <v>6.4233398958122779E-6</v>
      </c>
      <c r="Q254" s="305">
        <f t="shared" si="80"/>
        <v>0.5</v>
      </c>
      <c r="R254" s="177">
        <f t="shared" si="81"/>
        <v>0.45380930275520837</v>
      </c>
      <c r="S254" s="811">
        <f t="shared" si="82"/>
        <v>-1</v>
      </c>
      <c r="T254" s="176">
        <f t="shared" si="83"/>
        <v>5</v>
      </c>
      <c r="U254" s="251">
        <f t="shared" si="84"/>
        <v>-0.54619069724479163</v>
      </c>
      <c r="V254" s="383">
        <f t="shared" si="85"/>
        <v>49.440880131016705</v>
      </c>
      <c r="W254" s="402">
        <f t="shared" si="86"/>
        <v>46.836444628887506</v>
      </c>
      <c r="X254" s="157">
        <f t="shared" si="87"/>
        <v>46627</v>
      </c>
      <c r="Y254" s="385">
        <f t="shared" si="88"/>
        <v>44.502351966095731</v>
      </c>
      <c r="Z254" s="385">
        <f t="shared" si="89"/>
        <v>47.909350424318006</v>
      </c>
      <c r="AA254" s="386">
        <f t="shared" si="90"/>
        <v>51.312247437375696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6.6317442384701192E-2</v>
      </c>
      <c r="AD254" s="231">
        <f>(INDEX(Models!$BJ254:$BT254,,AH254)*(1-AF254)+INDEX(Models!$BJ254:$BT254,,AH254+1)*AF254-ERP_i)*AE254*Ramure*Pc/MaxiM</f>
        <v>7.1589742595080786E-5</v>
      </c>
      <c r="AE254" s="305">
        <f t="shared" si="92"/>
        <v>0.5</v>
      </c>
      <c r="AF254" s="177">
        <f t="shared" si="93"/>
        <v>0.97879686912918729</v>
      </c>
      <c r="AG254" s="811">
        <f t="shared" si="99"/>
        <v>2</v>
      </c>
      <c r="AH254" s="176">
        <f t="shared" si="94"/>
        <v>8</v>
      </c>
      <c r="AI254" s="225">
        <f t="shared" si="95"/>
        <v>2.9787968691291873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31.577455414039189</v>
      </c>
      <c r="C255" s="841"/>
      <c r="D255" s="393">
        <f t="shared" si="77"/>
        <v>33.995697895545902</v>
      </c>
      <c r="E255" s="385">
        <f t="shared" si="100"/>
        <v>34.60121141485768</v>
      </c>
      <c r="F255" s="385">
        <f t="shared" si="78"/>
        <v>34.601303314537077</v>
      </c>
      <c r="G255" s="110">
        <f t="shared" si="101"/>
        <v>0.64100471134152659</v>
      </c>
      <c r="H255" s="414" t="b">
        <f>Wh_hp&gt;='2026'!Maxi_hp</f>
        <v>0</v>
      </c>
      <c r="I255" s="390">
        <f>IF(H255,Wh_hp,'2026'!Maxi_hp)</f>
        <v>53.843045701686705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7.1133779601669889E-2</v>
      </c>
      <c r="M255" s="845"/>
      <c r="N255" s="845"/>
      <c r="O255" s="48">
        <f>IF(t&lt;Tnet,'2026'!Resal+('2026'!Salim-'2026'!Resal)*(1-EXP(('2026'!Tnet-t)/('2026'!Tau_j))),Resal+(Salim-Resal)*(1-EXP((Tnet-t)/(Tau_j))))*Salcycl</f>
        <v>1.7499778029499067E-2</v>
      </c>
      <c r="P255" s="169">
        <f>(INDEX(Models!$BJ255:$BT255,,T255)*(1-R255)+INDEX(Models!$BJ255:$BT255,,T255+1)*R255-ERP_i)*Q255*Ramure*Pc/MaxiM</f>
        <v>5.4520134296618317E-6</v>
      </c>
      <c r="Q255" s="305">
        <f t="shared" si="80"/>
        <v>0.5</v>
      </c>
      <c r="R255" s="177">
        <f t="shared" si="81"/>
        <v>0.45453734245750299</v>
      </c>
      <c r="S255" s="811">
        <f t="shared" si="82"/>
        <v>-1</v>
      </c>
      <c r="T255" s="176">
        <f t="shared" si="83"/>
        <v>5</v>
      </c>
      <c r="U255" s="251">
        <f t="shared" si="84"/>
        <v>-0.54546265754249701</v>
      </c>
      <c r="V255" s="383">
        <f t="shared" si="85"/>
        <v>49.262301138890493</v>
      </c>
      <c r="W255" s="402">
        <f t="shared" si="86"/>
        <v>31.577455414039189</v>
      </c>
      <c r="X255" s="157">
        <f t="shared" si="87"/>
        <v>46628</v>
      </c>
      <c r="Y255" s="385">
        <f t="shared" si="88"/>
        <v>30.006299166014802</v>
      </c>
      <c r="Z255" s="385">
        <f t="shared" si="89"/>
        <v>32.3042204647587</v>
      </c>
      <c r="AA255" s="386">
        <f t="shared" si="90"/>
        <v>34.600161849031593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6.6356377010333339E-2</v>
      </c>
      <c r="AD255" s="231">
        <f>(INDEX(Models!$BJ255:$BT255,,AH255)*(1-AF255)+INDEX(Models!$BJ255:$BT255,,AH255+1)*AF255-ERP_i)*AE255*Ramure*Pc/MaxiM</f>
        <v>6.771824783264757E-5</v>
      </c>
      <c r="AE255" s="305">
        <f t="shared" si="92"/>
        <v>0.5</v>
      </c>
      <c r="AF255" s="177">
        <f t="shared" si="93"/>
        <v>0.97952490883148213</v>
      </c>
      <c r="AG255" s="811">
        <f t="shared" si="99"/>
        <v>2</v>
      </c>
      <c r="AH255" s="176">
        <f t="shared" si="94"/>
        <v>8</v>
      </c>
      <c r="AI255" s="225">
        <f t="shared" si="95"/>
        <v>2.9795249088314821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45.849956087311739</v>
      </c>
      <c r="C256" s="841"/>
      <c r="D256" s="393">
        <f t="shared" si="77"/>
        <v>49.362286338019821</v>
      </c>
      <c r="E256" s="385">
        <f t="shared" si="100"/>
        <v>50.246278497924699</v>
      </c>
      <c r="F256" s="385">
        <f t="shared" si="78"/>
        <v>50.246487028845507</v>
      </c>
      <c r="G256" s="110">
        <f t="shared" si="101"/>
        <v>0.93421552985433254</v>
      </c>
      <c r="H256" s="414" t="b">
        <f>Wh_hp&gt;='2026'!Maxi_hp</f>
        <v>0</v>
      </c>
      <c r="I256" s="390">
        <f>IF(H256,Wh_hp,'2026'!Maxi_hp)</f>
        <v>52.67575781397985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7.1154124155768939E-2</v>
      </c>
      <c r="M256" s="845"/>
      <c r="N256" s="845"/>
      <c r="O256" s="48">
        <f>IF(t&lt;Tnet,'2026'!Resal+('2026'!Salim-'2026'!Resal)*(1-EXP(('2026'!Tnet-t)/('2026'!Tau_j))),Resal+(Salim-Resal)*(1-EXP((Tnet-t)/(Tau_j))))*Salcycl</f>
        <v>1.7593186726085355E-2</v>
      </c>
      <c r="P256" s="169">
        <f>(INDEX(Models!$BJ256:$BT256,,T256)*(1-R256)+INDEX(Models!$BJ256:$BT256,,T256+1)*R256-ERP_i)*Q256*Ramure*Pc/MaxiM</f>
        <v>4.5806346055738359E-6</v>
      </c>
      <c r="Q256" s="305">
        <f t="shared" si="80"/>
        <v>0.5</v>
      </c>
      <c r="R256" s="177">
        <f t="shared" si="81"/>
        <v>0.45523814001867779</v>
      </c>
      <c r="S256" s="811">
        <f t="shared" si="82"/>
        <v>-1</v>
      </c>
      <c r="T256" s="176">
        <f t="shared" si="83"/>
        <v>5</v>
      </c>
      <c r="U256" s="251">
        <f t="shared" si="84"/>
        <v>-0.54476185998132221</v>
      </c>
      <c r="V256" s="383">
        <f t="shared" si="85"/>
        <v>49.078542247205938</v>
      </c>
      <c r="W256" s="402">
        <f t="shared" si="86"/>
        <v>45.849956087311739</v>
      </c>
      <c r="X256" s="157">
        <f t="shared" si="87"/>
        <v>46629</v>
      </c>
      <c r="Y256" s="385">
        <f t="shared" si="88"/>
        <v>43.569940322936922</v>
      </c>
      <c r="Z256" s="385">
        <f t="shared" si="89"/>
        <v>46.907610246248936</v>
      </c>
      <c r="AA256" s="386">
        <f t="shared" si="90"/>
        <v>50.243527762225952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6.6394969950438434E-2</v>
      </c>
      <c r="AD256" s="231">
        <f>(INDEX(Models!$BJ256:$BT256,,AH256)*(1-AF256)+INDEX(Models!$BJ256:$BT256,,AH256+1)*AF256-ERP_i)*AE256*Ramure*Pc/MaxiM</f>
        <v>6.5003880632837297E-5</v>
      </c>
      <c r="AE256" s="305">
        <f t="shared" si="92"/>
        <v>0.5</v>
      </c>
      <c r="AF256" s="177">
        <f t="shared" si="93"/>
        <v>0.98022570639265671</v>
      </c>
      <c r="AG256" s="811">
        <f t="shared" si="99"/>
        <v>2</v>
      </c>
      <c r="AH256" s="176">
        <f t="shared" si="94"/>
        <v>8</v>
      </c>
      <c r="AI256" s="225">
        <f t="shared" si="95"/>
        <v>2.9802257063926567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21.578629773506933</v>
      </c>
      <c r="C257" s="841"/>
      <c r="D257" s="393">
        <f t="shared" si="77"/>
        <v>23.23216689918306</v>
      </c>
      <c r="E257" s="385">
        <f t="shared" si="100"/>
        <v>23.650458370368547</v>
      </c>
      <c r="F257" s="385">
        <f t="shared" si="78"/>
        <v>23.650476570577144</v>
      </c>
      <c r="G257" s="110">
        <f t="shared" si="101"/>
        <v>0.44138032778263903</v>
      </c>
      <c r="H257" s="414" t="b">
        <f>Wh_hp&gt;='2026'!Maxi_hp</f>
        <v>0</v>
      </c>
      <c r="I257" s="390">
        <f>IF(H257,Wh_hp,'2026'!Maxi_hp)</f>
        <v>52.060228799144411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7.1174468264269986E-2</v>
      </c>
      <c r="M257" s="845"/>
      <c r="N257" s="845"/>
      <c r="O257" s="48">
        <f>IF(t&lt;Tnet,'2026'!Resal+('2026'!Salim-'2026'!Resal)*(1-EXP(('2026'!Tnet-t)/('2026'!Tau_j))),Resal+(Salim-Resal)*(1-EXP((Tnet-t)/(Tau_j))))*Salcycl</f>
        <v>1.7686400180283997E-2</v>
      </c>
      <c r="P257" s="169">
        <f>(INDEX(Models!$BJ257:$BT257,,T257)*(1-R257)+INDEX(Models!$BJ257:$BT257,,T257+1)*R257-ERP_i)*Q257*Ramure*Pc/MaxiM</f>
        <v>3.8101441114631006E-6</v>
      </c>
      <c r="Q257" s="305">
        <f t="shared" si="80"/>
        <v>0.5</v>
      </c>
      <c r="R257" s="177">
        <f t="shared" si="81"/>
        <v>0.45591263720837794</v>
      </c>
      <c r="S257" s="811">
        <f t="shared" si="82"/>
        <v>-1</v>
      </c>
      <c r="T257" s="176">
        <f t="shared" si="83"/>
        <v>5</v>
      </c>
      <c r="U257" s="251">
        <f t="shared" si="84"/>
        <v>-0.54408736279162206</v>
      </c>
      <c r="V257" s="383">
        <f t="shared" si="85"/>
        <v>48.888821733382883</v>
      </c>
      <c r="W257" s="402">
        <f t="shared" si="86"/>
        <v>21.578629773506933</v>
      </c>
      <c r="X257" s="157">
        <f t="shared" si="87"/>
        <v>46630</v>
      </c>
      <c r="Y257" s="385">
        <f t="shared" si="88"/>
        <v>20.507554255381873</v>
      </c>
      <c r="Z257" s="385">
        <f t="shared" si="89"/>
        <v>22.079016515683694</v>
      </c>
      <c r="AA257" s="386">
        <f t="shared" si="90"/>
        <v>23.65017344376918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6.6433209541616231E-2</v>
      </c>
      <c r="AD257" s="231">
        <f>(INDEX(Models!$BJ257:$BT257,,AH257)*(1-AF257)+INDEX(Models!$BJ257:$BT257,,AH257+1)*AF257-ERP_i)*AE257*Ramure*Pc/MaxiM</f>
        <v>6.3458438747606674E-5</v>
      </c>
      <c r="AE257" s="305">
        <f t="shared" si="92"/>
        <v>0.5</v>
      </c>
      <c r="AF257" s="177">
        <f t="shared" si="93"/>
        <v>0.98090020358235686</v>
      </c>
      <c r="AG257" s="811">
        <f t="shared" si="99"/>
        <v>2</v>
      </c>
      <c r="AH257" s="176">
        <f t="shared" si="94"/>
        <v>8</v>
      </c>
      <c r="AI257" s="225">
        <f t="shared" si="95"/>
        <v>2.9809002035823569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41.596077676723588</v>
      </c>
      <c r="C258" s="841"/>
      <c r="D258" s="393">
        <f t="shared" si="77"/>
        <v>44.784501864197715</v>
      </c>
      <c r="E258" s="385">
        <f t="shared" si="100"/>
        <v>45.595157044504582</v>
      </c>
      <c r="F258" s="385">
        <f t="shared" si="78"/>
        <v>45.595270460153586</v>
      </c>
      <c r="G258" s="110">
        <f t="shared" si="101"/>
        <v>0.85426239301581908</v>
      </c>
      <c r="H258" s="414" t="b">
        <f>Wh_hp&gt;='2026'!Maxi_hp</f>
        <v>0</v>
      </c>
      <c r="I258" s="390">
        <f>IF(H258,Wh_hp,'2026'!Maxi_hp)</f>
        <v>53.475031417285187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7.1194811927182911E-2</v>
      </c>
      <c r="M258" s="845"/>
      <c r="N258" s="845"/>
      <c r="O258" s="48">
        <f>IF(t&lt;Tnet,'2026'!Resal+('2026'!Salim-'2026'!Resal)*(1-EXP(('2026'!Tnet-t)/('2026'!Tau_j))),Resal+(Salim-Resal)*(1-EXP((Tnet-t)/(Tau_j))))*Salcycl</f>
        <v>1.777941414952464E-2</v>
      </c>
      <c r="P258" s="169">
        <f>(INDEX(Models!$BJ258:$BT258,,T258)*(1-R258)+INDEX(Models!$BJ258:$BT258,,T258+1)*R258-ERP_i)*Q258*Ramure*Pc/MaxiM</f>
        <v>3.1414877883142099E-6</v>
      </c>
      <c r="Q258" s="305">
        <f t="shared" si="80"/>
        <v>0.5</v>
      </c>
      <c r="R258" s="177">
        <f t="shared" si="81"/>
        <v>0.45656174919099946</v>
      </c>
      <c r="S258" s="811">
        <f t="shared" si="82"/>
        <v>-1</v>
      </c>
      <c r="T258" s="176">
        <f t="shared" si="83"/>
        <v>5</v>
      </c>
      <c r="U258" s="251">
        <f t="shared" si="84"/>
        <v>-0.54343825080900054</v>
      </c>
      <c r="V258" s="383">
        <f t="shared" si="85"/>
        <v>48.692358239161514</v>
      </c>
      <c r="W258" s="402">
        <f t="shared" si="86"/>
        <v>41.596077676723588</v>
      </c>
      <c r="X258" s="157">
        <f t="shared" si="87"/>
        <v>46631</v>
      </c>
      <c r="Y258" s="385">
        <f t="shared" si="88"/>
        <v>39.53215654627472</v>
      </c>
      <c r="Z258" s="385">
        <f t="shared" si="89"/>
        <v>42.56237696981453</v>
      </c>
      <c r="AA258" s="386">
        <f t="shared" si="90"/>
        <v>45.592992596046095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6.6471083683469101E-2</v>
      </c>
      <c r="AD258" s="231">
        <f>(INDEX(Models!$BJ258:$BT258,,AH258)*(1-AF258)+INDEX(Models!$BJ258:$BT258,,AH258+1)*AF258-ERP_i)*AE258*Ramure*Pc/MaxiM</f>
        <v>6.3094311411540953E-5</v>
      </c>
      <c r="AE258" s="305">
        <f t="shared" si="92"/>
        <v>0.5</v>
      </c>
      <c r="AF258" s="177">
        <f t="shared" si="93"/>
        <v>0.98154931556497838</v>
      </c>
      <c r="AG258" s="811">
        <f t="shared" si="99"/>
        <v>2</v>
      </c>
      <c r="AH258" s="176">
        <f t="shared" si="94"/>
        <v>8</v>
      </c>
      <c r="AI258" s="225">
        <f t="shared" si="95"/>
        <v>2.9815493155649784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38.153573846070884</v>
      </c>
      <c r="C259" s="841"/>
      <c r="D259" s="393">
        <f t="shared" si="77"/>
        <v>41.079022830101749</v>
      </c>
      <c r="E259" s="385">
        <f t="shared" si="100"/>
        <v>41.826556424467057</v>
      </c>
      <c r="F259" s="385">
        <f t="shared" si="78"/>
        <v>41.826631352329862</v>
      </c>
      <c r="G259" s="110">
        <f t="shared" si="101"/>
        <v>0.78685968029466846</v>
      </c>
      <c r="H259" s="414" t="b">
        <f>Wh_hp&gt;='2026'!Maxi_hp</f>
        <v>0</v>
      </c>
      <c r="I259" s="390">
        <f>IF(H259,Wh_hp,'2026'!Maxi_hp)</f>
        <v>51.427835350869806</v>
      </c>
      <c r="J259" s="85">
        <f>IF(H259,An,'2026'!An_max)</f>
        <v>2019</v>
      </c>
      <c r="K259" s="197">
        <f t="shared" si="79"/>
        <v>46632</v>
      </c>
      <c r="L259" s="147">
        <f>IF(t&lt;Tvie,1-EXP((T0-t)*PertePVj)+'2026'!Pspv,1-EXP((T0-t)*PertePVj)+Pspv)</f>
        <v>7.1215155144517372E-2</v>
      </c>
      <c r="M259" s="845"/>
      <c r="N259" s="845"/>
      <c r="O259" s="48">
        <f>IF(t&lt;Tnet,'2026'!Resal+('2026'!Salim-'2026'!Resal)*(1-EXP(('2026'!Tnet-t)/('2026'!Tau_j))),Resal+(Salim-Resal)*(1-EXP((Tnet-t)/(Tau_j))))*Salcycl</f>
        <v>1.7872224210358934E-2</v>
      </c>
      <c r="P259" s="169">
        <f>(INDEX(Models!$BJ259:$BT259,,T259)*(1-R259)+INDEX(Models!$BJ259:$BT259,,T259+1)*R259-ERP_i)*Q259*Ramure*Pc/MaxiM</f>
        <v>2.5756339239473922E-6</v>
      </c>
      <c r="Q259" s="305">
        <f t="shared" si="80"/>
        <v>0.5</v>
      </c>
      <c r="R259" s="177">
        <f t="shared" si="81"/>
        <v>0.45718636480520602</v>
      </c>
      <c r="S259" s="811">
        <f t="shared" si="82"/>
        <v>-1</v>
      </c>
      <c r="T259" s="176">
        <f t="shared" si="83"/>
        <v>5</v>
      </c>
      <c r="U259" s="251">
        <f t="shared" si="84"/>
        <v>-0.54281363519479398</v>
      </c>
      <c r="V259" s="383">
        <f t="shared" si="85"/>
        <v>48.488370772880089</v>
      </c>
      <c r="W259" s="402">
        <f t="shared" si="86"/>
        <v>38.153573846070884</v>
      </c>
      <c r="X259" s="157">
        <f t="shared" si="87"/>
        <v>46632</v>
      </c>
      <c r="Y259" s="385">
        <f t="shared" si="88"/>
        <v>36.262607578766193</v>
      </c>
      <c r="Z259" s="385">
        <f t="shared" si="89"/>
        <v>39.043065549167736</v>
      </c>
      <c r="AA259" s="386">
        <f t="shared" si="90"/>
        <v>41.82477171687254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6.6508579808521359E-2</v>
      </c>
      <c r="AD259" s="231">
        <f>(INDEX(Models!$BJ259:$BT259,,AH259)*(1-AF259)+INDEX(Models!$BJ259:$BT259,,AH259+1)*AF259-ERP_i)*AE259*Ramure*Pc/MaxiM</f>
        <v>6.3924686901348037E-5</v>
      </c>
      <c r="AE259" s="305">
        <f t="shared" si="92"/>
        <v>0.5</v>
      </c>
      <c r="AF259" s="177">
        <f t="shared" si="93"/>
        <v>0.98217393117918483</v>
      </c>
      <c r="AG259" s="811">
        <f t="shared" si="99"/>
        <v>2</v>
      </c>
      <c r="AH259" s="176">
        <f t="shared" si="94"/>
        <v>8</v>
      </c>
      <c r="AI259" s="225">
        <f t="shared" si="95"/>
        <v>2.9821739311791848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31.855990794720949</v>
      </c>
      <c r="C260" s="841"/>
      <c r="D260" s="393">
        <f t="shared" si="77"/>
        <v>34.299319927980534</v>
      </c>
      <c r="E260" s="385">
        <f t="shared" si="100"/>
        <v>34.926773324672098</v>
      </c>
      <c r="F260" s="385">
        <f t="shared" si="78"/>
        <v>34.926811276168237</v>
      </c>
      <c r="G260" s="110">
        <f t="shared" si="101"/>
        <v>0.6598704562580826</v>
      </c>
      <c r="H260" s="414" t="b">
        <f>Wh_hp&gt;='2026'!Maxi_hp</f>
        <v>0</v>
      </c>
      <c r="I260" s="390">
        <f>IF(H260,Wh_hp,'2026'!Maxi_hp)</f>
        <v>54.150203084511908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7.1235497916283141E-2</v>
      </c>
      <c r="M260" s="845"/>
      <c r="N260" s="845"/>
      <c r="O260" s="48">
        <f>IF(t&lt;Tnet,'2026'!Resal+('2026'!Salim-'2026'!Resal)*(1-EXP(('2026'!Tnet-t)/('2026'!Tau_j))),Resal+(Salim-Resal)*(1-EXP((Tnet-t)/(Tau_j))))*Salcycl</f>
        <v>1.7964825747253801E-2</v>
      </c>
      <c r="P260" s="169">
        <f>(INDEX(Models!$BJ260:$BT260,,T260)*(1-R260)+INDEX(Models!$BJ260:$BT260,,T260+1)*R260-ERP_i)*Q260*Ramure*Pc/MaxiM</f>
        <v>2.1135911981372143E-6</v>
      </c>
      <c r="Q260" s="305">
        <f t="shared" si="80"/>
        <v>0.5</v>
      </c>
      <c r="R260" s="177">
        <f t="shared" si="81"/>
        <v>0.45778734688383149</v>
      </c>
      <c r="S260" s="811">
        <f t="shared" si="82"/>
        <v>-1</v>
      </c>
      <c r="T260" s="176">
        <f t="shared" si="83"/>
        <v>5</v>
      </c>
      <c r="U260" s="251">
        <f t="shared" si="84"/>
        <v>-0.54221265311616851</v>
      </c>
      <c r="V260" s="383">
        <f t="shared" si="85"/>
        <v>48.276078701157985</v>
      </c>
      <c r="W260" s="402">
        <f t="shared" si="86"/>
        <v>31.855990794720949</v>
      </c>
      <c r="X260" s="157">
        <f t="shared" si="87"/>
        <v>46633</v>
      </c>
      <c r="Y260" s="385">
        <f t="shared" si="88"/>
        <v>30.279094626233086</v>
      </c>
      <c r="Z260" s="385">
        <f t="shared" si="89"/>
        <v>32.601477078743685</v>
      </c>
      <c r="AA260" s="386">
        <f t="shared" si="90"/>
        <v>34.925626835323754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6.6545684850226522E-2</v>
      </c>
      <c r="AD260" s="231">
        <f>(INDEX(Models!$BJ260:$BT260,,AH260)*(1-AF260)+INDEX(Models!$BJ260:$BT260,,AH260+1)*AF260-ERP_i)*AE260*Ramure*Pc/MaxiM</f>
        <v>6.5963769497113413E-5</v>
      </c>
      <c r="AE260" s="305">
        <f t="shared" si="92"/>
        <v>0.5</v>
      </c>
      <c r="AF260" s="177">
        <f t="shared" si="93"/>
        <v>0.9827749132578103</v>
      </c>
      <c r="AG260" s="811">
        <f t="shared" si="99"/>
        <v>2</v>
      </c>
      <c r="AH260" s="176">
        <f t="shared" si="94"/>
        <v>8</v>
      </c>
      <c r="AI260" s="225">
        <f t="shared" si="95"/>
        <v>2.9827749132578103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46.202486700334781</v>
      </c>
      <c r="C261" s="841"/>
      <c r="D261" s="393">
        <f t="shared" si="77"/>
        <v>49.747270241137237</v>
      </c>
      <c r="E261" s="385">
        <f t="shared" si="100"/>
        <v>50.662086373476065</v>
      </c>
      <c r="F261" s="385">
        <f t="shared" si="78"/>
        <v>50.662170453412394</v>
      </c>
      <c r="G261" s="110">
        <f t="shared" si="101"/>
        <v>0.9614338176332714</v>
      </c>
      <c r="H261" s="414" t="b">
        <f>Wh_hp&gt;='2026'!Maxi_hp</f>
        <v>0</v>
      </c>
      <c r="I261" s="390">
        <f>IF(H261,Wh_hp,'2026'!Maxi_hp)</f>
        <v>53.283178554064911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7.1255840242490098E-2</v>
      </c>
      <c r="M261" s="845"/>
      <c r="N261" s="845"/>
      <c r="O261" s="48">
        <f>IF(t&lt;Tnet,'2026'!Resal+('2026'!Salim-'2026'!Resal)*(1-EXP(('2026'!Tnet-t)/('2026'!Tau_j))),Resal+(Salim-Resal)*(1-EXP((Tnet-t)/(Tau_j))))*Salcycl</f>
        <v>1.8057213940912156E-2</v>
      </c>
      <c r="P261" s="169">
        <f>(INDEX(Models!$BJ261:$BT261,,T261)*(1-R261)+INDEX(Models!$BJ261:$BT261,,T261+1)*R261-ERP_i)*Q261*Ramure*Pc/MaxiM</f>
        <v>1.7563868045488975E-6</v>
      </c>
      <c r="Q261" s="305">
        <f t="shared" si="80"/>
        <v>0.5</v>
      </c>
      <c r="R261" s="177">
        <f t="shared" si="81"/>
        <v>0.45836553260959567</v>
      </c>
      <c r="S261" s="811">
        <f t="shared" si="82"/>
        <v>-1</v>
      </c>
      <c r="T261" s="176">
        <f t="shared" si="83"/>
        <v>5</v>
      </c>
      <c r="U261" s="251">
        <f t="shared" si="84"/>
        <v>-0.54163446739040433</v>
      </c>
      <c r="V261" s="383">
        <f t="shared" si="85"/>
        <v>48.055811416309183</v>
      </c>
      <c r="W261" s="402">
        <f t="shared" si="86"/>
        <v>46.202486700334781</v>
      </c>
      <c r="X261" s="157">
        <f t="shared" si="87"/>
        <v>46634</v>
      </c>
      <c r="Y261" s="385">
        <f t="shared" si="88"/>
        <v>43.916474732167352</v>
      </c>
      <c r="Z261" s="385">
        <f t="shared" si="89"/>
        <v>47.285869063912827</v>
      </c>
      <c r="AA261" s="386">
        <f t="shared" si="90"/>
        <v>50.658856566096993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6.6582385210042519E-2</v>
      </c>
      <c r="AD261" s="231">
        <f>(INDEX(Models!$BJ261:$BT261,,AH261)*(1-AF261)+INDEX(Models!$BJ261:$BT261,,AH261+1)*AF261-ERP_i)*AE261*Ramure*Pc/MaxiM</f>
        <v>6.9225408659442483E-5</v>
      </c>
      <c r="AE261" s="305">
        <f t="shared" si="92"/>
        <v>0.5</v>
      </c>
      <c r="AF261" s="177">
        <f t="shared" si="93"/>
        <v>0.98335309898357481</v>
      </c>
      <c r="AG261" s="811">
        <f t="shared" si="99"/>
        <v>2</v>
      </c>
      <c r="AH261" s="176">
        <f t="shared" si="94"/>
        <v>8</v>
      </c>
      <c r="AI261" s="225">
        <f t="shared" si="95"/>
        <v>2.9833530989835748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39.057963835868399</v>
      </c>
      <c r="C262" s="841"/>
      <c r="D262" s="393">
        <f t="shared" si="77"/>
        <v>42.055520795362483</v>
      </c>
      <c r="E262" s="385">
        <f t="shared" si="100"/>
        <v>42.832911748082218</v>
      </c>
      <c r="F262" s="385">
        <f t="shared" si="78"/>
        <v>42.83295996880743</v>
      </c>
      <c r="G262" s="110">
        <f t="shared" si="101"/>
        <v>0.81662190807475488</v>
      </c>
      <c r="H262" s="414" t="b">
        <f>Wh_hp&gt;='2026'!Maxi_hp</f>
        <v>0</v>
      </c>
      <c r="I262" s="390">
        <f>IF(H262,Wh_hp,'2026'!Maxi_hp)</f>
        <v>52.787883333438941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7.1276182123147791E-2</v>
      </c>
      <c r="M262" s="845"/>
      <c r="N262" s="845"/>
      <c r="O262" s="48">
        <f>IF(t&lt;Tnet,'2026'!Resal+('2026'!Salim-'2026'!Resal)*(1-EXP(('2026'!Tnet-t)/('2026'!Tau_j))),Resal+(Salim-Resal)*(1-EXP((Tnet-t)/(Tau_j))))*Salcycl</f>
        <v>1.8149383756394744E-2</v>
      </c>
      <c r="P262" s="169">
        <f>(INDEX(Models!$BJ262:$BT262,,T262)*(1-R262)+INDEX(Models!$BJ262:$BT262,,T262+1)*R262-ERP_i)*Q262*Ramure*Pc/MaxiM</f>
        <v>1.5253889531252621E-6</v>
      </c>
      <c r="Q262" s="305">
        <f t="shared" si="80"/>
        <v>0.5</v>
      </c>
      <c r="R262" s="177">
        <f t="shared" si="81"/>
        <v>0.45892173390236768</v>
      </c>
      <c r="S262" s="811">
        <f t="shared" si="82"/>
        <v>-1</v>
      </c>
      <c r="T262" s="176">
        <f t="shared" si="83"/>
        <v>5</v>
      </c>
      <c r="U262" s="251">
        <f t="shared" si="84"/>
        <v>-0.54107826609763232</v>
      </c>
      <c r="V262" s="383">
        <f t="shared" si="85"/>
        <v>47.828680374538934</v>
      </c>
      <c r="W262" s="402">
        <f t="shared" si="86"/>
        <v>39.057963835868399</v>
      </c>
      <c r="X262" s="157">
        <f t="shared" si="87"/>
        <v>46635</v>
      </c>
      <c r="Y262" s="385">
        <f t="shared" si="88"/>
        <v>37.127839969708155</v>
      </c>
      <c r="Z262" s="385">
        <f t="shared" si="89"/>
        <v>39.977266928058121</v>
      </c>
      <c r="AA262" s="386">
        <f t="shared" si="90"/>
        <v>42.830583281294913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6.6618666724599582E-2</v>
      </c>
      <c r="AD262" s="231">
        <f>(INDEX(Models!$BJ262:$BT262,,AH262)*(1-AF262)+INDEX(Models!$BJ262:$BT262,,AH262+1)*AF262-ERP_i)*AE262*Ramure*Pc/MaxiM</f>
        <v>7.5182877501488559E-5</v>
      </c>
      <c r="AE262" s="305">
        <f t="shared" si="92"/>
        <v>0.5</v>
      </c>
      <c r="AF262" s="177">
        <f t="shared" si="93"/>
        <v>0.9839093002763466</v>
      </c>
      <c r="AG262" s="811">
        <f t="shared" si="99"/>
        <v>2</v>
      </c>
      <c r="AH262" s="176">
        <f t="shared" si="94"/>
        <v>8</v>
      </c>
      <c r="AI262" s="225">
        <f t="shared" si="95"/>
        <v>2.9839093002763466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44.294805202396013</v>
      </c>
      <c r="C263" s="841"/>
      <c r="D263" s="393">
        <f t="shared" si="77"/>
        <v>47.69531537892874</v>
      </c>
      <c r="E263" s="385">
        <f t="shared" si="100"/>
        <v>48.581506670669768</v>
      </c>
      <c r="F263" s="385">
        <f t="shared" si="78"/>
        <v>48.581565386640712</v>
      </c>
      <c r="G263" s="110">
        <f t="shared" si="101"/>
        <v>0.93065913689226465</v>
      </c>
      <c r="H263" s="414" t="b">
        <f>Wh_hp&gt;='2026'!Maxi_hp</f>
        <v>0</v>
      </c>
      <c r="I263" s="390">
        <f>IF(H263,Wh_hp,'2026'!Maxi_hp)</f>
        <v>54.673871330579189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7.1296523558266212E-2</v>
      </c>
      <c r="M263" s="845"/>
      <c r="N263" s="845"/>
      <c r="O263" s="48">
        <f>IF(t&lt;Tnet,'2026'!Resal+('2026'!Salim-'2026'!Resal)*(1-EXP(('2026'!Tnet-t)/('2026'!Tau_j))),Resal+(Salim-Resal)*(1-EXP((Tnet-t)/(Tau_j))))*Salcycl</f>
        <v>1.8241329931334753E-2</v>
      </c>
      <c r="P263" s="169">
        <f>(INDEX(Models!$BJ263:$BT263,,T263)*(1-R263)+INDEX(Models!$BJ263:$BT263,,T263+1)*R263-ERP_i)*Q263*Ramure*Pc/MaxiM</f>
        <v>1.3414917469711295E-6</v>
      </c>
      <c r="Q263" s="305">
        <f t="shared" si="80"/>
        <v>0.5</v>
      </c>
      <c r="R263" s="177">
        <f t="shared" si="81"/>
        <v>0.45945673783399932</v>
      </c>
      <c r="S263" s="811">
        <f t="shared" si="82"/>
        <v>-1</v>
      </c>
      <c r="T263" s="176">
        <f t="shared" si="83"/>
        <v>5</v>
      </c>
      <c r="U263" s="251">
        <f t="shared" si="84"/>
        <v>-0.54054326216600068</v>
      </c>
      <c r="V263" s="383">
        <f t="shared" si="85"/>
        <v>47.595083484758028</v>
      </c>
      <c r="W263" s="402">
        <f t="shared" si="86"/>
        <v>44.294805202396013</v>
      </c>
      <c r="X263" s="157">
        <f t="shared" si="87"/>
        <v>46636</v>
      </c>
      <c r="Y263" s="385">
        <f t="shared" si="88"/>
        <v>42.107392844773685</v>
      </c>
      <c r="Z263" s="385">
        <f t="shared" si="89"/>
        <v>45.339975474308964</v>
      </c>
      <c r="AA263" s="386">
        <f t="shared" si="90"/>
        <v>48.57791266492319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6.6654514634019044E-2</v>
      </c>
      <c r="AD263" s="231">
        <f>(INDEX(Models!$BJ263:$BT263,,AH263)*(1-AF263)+INDEX(Models!$BJ263:$BT263,,AH263+1)*AF263-ERP_i)*AE263*Ramure*Pc/MaxiM</f>
        <v>8.3454228198816564E-5</v>
      </c>
      <c r="AE263" s="305">
        <f t="shared" si="92"/>
        <v>0.5</v>
      </c>
      <c r="AF263" s="177">
        <f t="shared" si="93"/>
        <v>0.98444430420797824</v>
      </c>
      <c r="AG263" s="811">
        <f t="shared" si="99"/>
        <v>2</v>
      </c>
      <c r="AH263" s="176">
        <f t="shared" si="94"/>
        <v>8</v>
      </c>
      <c r="AI263" s="225">
        <f t="shared" si="95"/>
        <v>2.9844443042079782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34.462993882405712</v>
      </c>
      <c r="C264" s="841"/>
      <c r="D264" s="393">
        <f t="shared" si="77"/>
        <v>37.109529145941494</v>
      </c>
      <c r="E264" s="385">
        <f t="shared" si="100"/>
        <v>37.80256535191883</v>
      </c>
      <c r="F264" s="385">
        <f t="shared" si="78"/>
        <v>37.80259319353803</v>
      </c>
      <c r="G264" s="110">
        <f t="shared" si="101"/>
        <v>0.72775157819543213</v>
      </c>
      <c r="H264" s="414" t="b">
        <f>Wh_hp&gt;='2026'!Maxi_hp</f>
        <v>0</v>
      </c>
      <c r="I264" s="390">
        <f>IF(H264,Wh_hp,'2026'!Maxi_hp)</f>
        <v>50.140065797662274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7.1316864547854908E-2</v>
      </c>
      <c r="M264" s="845"/>
      <c r="N264" s="845"/>
      <c r="O264" s="48">
        <f>IF(t&lt;Tnet,'2026'!Resal+('2026'!Salim-'2026'!Resal)*(1-EXP(('2026'!Tnet-t)/('2026'!Tau_j))),Resal+(Salim-Resal)*(1-EXP((Tnet-t)/(Tau_j))))*Salcycl</f>
        <v>1.8333046964553609E-2</v>
      </c>
      <c r="P264" s="169">
        <f>(INDEX(Models!$BJ264:$BT264,,T264)*(1-R264)+INDEX(Models!$BJ264:$BT264,,T264+1)*R264-ERP_i)*Q264*Ramure*Pc/MaxiM</f>
        <v>1.2052550771660508E-6</v>
      </c>
      <c r="Q264" s="305">
        <f t="shared" si="80"/>
        <v>0.5</v>
      </c>
      <c r="R264" s="177">
        <f t="shared" si="81"/>
        <v>0.45997130706703682</v>
      </c>
      <c r="S264" s="811">
        <f t="shared" si="82"/>
        <v>-1</v>
      </c>
      <c r="T264" s="176">
        <f t="shared" si="83"/>
        <v>5</v>
      </c>
      <c r="U264" s="251">
        <f t="shared" si="84"/>
        <v>-0.54002869293296318</v>
      </c>
      <c r="V264" s="383">
        <f t="shared" si="85"/>
        <v>47.355414622603782</v>
      </c>
      <c r="W264" s="402">
        <f t="shared" si="86"/>
        <v>34.462993882405712</v>
      </c>
      <c r="X264" s="157">
        <f t="shared" si="87"/>
        <v>46637</v>
      </c>
      <c r="Y264" s="385">
        <f t="shared" si="88"/>
        <v>32.763489131455174</v>
      </c>
      <c r="Z264" s="385">
        <f t="shared" si="89"/>
        <v>35.279513410678781</v>
      </c>
      <c r="AA264" s="386">
        <f t="shared" si="90"/>
        <v>37.80042016363852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6.6689913552460553E-2</v>
      </c>
      <c r="AD264" s="231">
        <f>(INDEX(Models!$BJ264:$BT264,,AH264)*(1-AF264)+INDEX(Models!$BJ264:$BT264,,AH264+1)*AF264-ERP_i)*AE264*Ramure*Pc/MaxiM</f>
        <v>9.4069791700569777E-5</v>
      </c>
      <c r="AE264" s="305">
        <f t="shared" si="92"/>
        <v>0.5</v>
      </c>
      <c r="AF264" s="177">
        <f t="shared" si="93"/>
        <v>0.98495887344101574</v>
      </c>
      <c r="AG264" s="811">
        <f t="shared" si="99"/>
        <v>2</v>
      </c>
      <c r="AH264" s="176">
        <f t="shared" si="94"/>
        <v>8</v>
      </c>
      <c r="AI264" s="225">
        <f t="shared" si="95"/>
        <v>2.9849588734410157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37.738312015981627</v>
      </c>
      <c r="C265" s="841"/>
      <c r="D265" s="393">
        <f t="shared" si="77"/>
        <v>40.637260610528884</v>
      </c>
      <c r="E265" s="385">
        <f t="shared" si="100"/>
        <v>41.400036793393305</v>
      </c>
      <c r="F265" s="385">
        <f t="shared" si="78"/>
        <v>41.400069903346839</v>
      </c>
      <c r="G265" s="110">
        <f t="shared" si="101"/>
        <v>0.80106656701832624</v>
      </c>
      <c r="H265" s="414" t="b">
        <f>Wh_hp&gt;='2026'!Maxi_hp</f>
        <v>0</v>
      </c>
      <c r="I265" s="390">
        <f>IF(H265,Wh_hp,'2026'!Maxi_hp)</f>
        <v>49.195092920557293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7.1337205091923761E-2</v>
      </c>
      <c r="M265" s="845"/>
      <c r="N265" s="845"/>
      <c r="O265" s="48">
        <f>IF(t&lt;Tnet,'2026'!Resal+('2026'!Salim-'2026'!Resal)*(1-EXP(('2026'!Tnet-t)/('2026'!Tau_j))),Resal+(Salim-Resal)*(1-EXP((Tnet-t)/(Tau_j))))*Salcycl</f>
        <v>1.8424529105397897E-2</v>
      </c>
      <c r="P265" s="169">
        <f>(INDEX(Models!$BJ265:$BT265,,T265)*(1-R265)+INDEX(Models!$BJ265:$BT265,,T265+1)*R265-ERP_i)*Q265*Ramure*Pc/MaxiM</f>
        <v>1.1172745092586915E-6</v>
      </c>
      <c r="Q265" s="305">
        <f t="shared" si="80"/>
        <v>0.5</v>
      </c>
      <c r="R265" s="177">
        <f t="shared" si="81"/>
        <v>0.46046618031388276</v>
      </c>
      <c r="S265" s="811">
        <f t="shared" si="82"/>
        <v>-1</v>
      </c>
      <c r="T265" s="176">
        <f t="shared" si="83"/>
        <v>5</v>
      </c>
      <c r="U265" s="251">
        <f t="shared" si="84"/>
        <v>-0.53953381968611724</v>
      </c>
      <c r="V265" s="383">
        <f t="shared" si="85"/>
        <v>47.110067486433273</v>
      </c>
      <c r="W265" s="402">
        <f t="shared" si="86"/>
        <v>37.738312015981627</v>
      </c>
      <c r="X265" s="157">
        <f t="shared" si="87"/>
        <v>46638</v>
      </c>
      <c r="Y265" s="385">
        <f t="shared" si="88"/>
        <v>35.878604341246081</v>
      </c>
      <c r="Z265" s="385">
        <f t="shared" si="89"/>
        <v>38.634695540696804</v>
      </c>
      <c r="AA265" s="386">
        <f t="shared" si="90"/>
        <v>41.396897190290325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6.6724847441981594E-2</v>
      </c>
      <c r="AD265" s="231">
        <f>(INDEX(Models!$BJ265:$BT265,,AH265)*(1-AF265)+INDEX(Models!$BJ265:$BT265,,AH265+1)*AF265-ERP_i)*AE265*Ramure*Pc/MaxiM</f>
        <v>1.0706120199146549E-4</v>
      </c>
      <c r="AE265" s="305">
        <f t="shared" si="92"/>
        <v>0.5</v>
      </c>
      <c r="AF265" s="177">
        <f t="shared" si="93"/>
        <v>0.98545374668786145</v>
      </c>
      <c r="AG265" s="811">
        <f t="shared" si="99"/>
        <v>2</v>
      </c>
      <c r="AH265" s="176">
        <f t="shared" si="94"/>
        <v>8</v>
      </c>
      <c r="AI265" s="225">
        <f t="shared" si="95"/>
        <v>2.9854537466878615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21.008488343732306</v>
      </c>
      <c r="C266" s="841"/>
      <c r="D266" s="393">
        <f t="shared" si="77"/>
        <v>22.622795495648056</v>
      </c>
      <c r="E266" s="385">
        <f t="shared" si="100"/>
        <v>23.049576154249586</v>
      </c>
      <c r="F266" s="385">
        <f t="shared" si="78"/>
        <v>23.049581420293659</v>
      </c>
      <c r="G266" s="110">
        <f t="shared" si="101"/>
        <v>0.44832956753151909</v>
      </c>
      <c r="H266" s="414" t="b">
        <f>Wh_hp&gt;='2026'!Maxi_hp</f>
        <v>0</v>
      </c>
      <c r="I266" s="390">
        <f>IF(H266,Wh_hp,'2026'!Maxi_hp)</f>
        <v>49.204296027158733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7.135754519048243E-2</v>
      </c>
      <c r="M266" s="845"/>
      <c r="N266" s="845"/>
      <c r="O266" s="48">
        <f>IF(t&lt;Tnet,'2026'!Resal+('2026'!Salim-'2026'!Resal)*(1-EXP(('2026'!Tnet-t)/('2026'!Tau_j))),Resal+(Salim-Resal)*(1-EXP((Tnet-t)/(Tau_j))))*Salcycl</f>
        <v>1.8515770344125944E-2</v>
      </c>
      <c r="P266" s="169">
        <f>(INDEX(Models!$BJ266:$BT266,,T266)*(1-R266)+INDEX(Models!$BJ266:$BT266,,T266+1)*R266-ERP_i)*Q266*Ramure*Pc/MaxiM</f>
        <v>1.0781784341789834E-6</v>
      </c>
      <c r="Q266" s="305">
        <f t="shared" si="80"/>
        <v>0.5</v>
      </c>
      <c r="R266" s="177">
        <f t="shared" si="81"/>
        <v>0.46094207281323785</v>
      </c>
      <c r="S266" s="811">
        <f t="shared" si="82"/>
        <v>-1</v>
      </c>
      <c r="T266" s="176">
        <f t="shared" si="83"/>
        <v>5</v>
      </c>
      <c r="U266" s="251">
        <f t="shared" si="84"/>
        <v>-0.53905792718676215</v>
      </c>
      <c r="V266" s="383">
        <f t="shared" si="85"/>
        <v>46.859435589369291</v>
      </c>
      <c r="W266" s="402">
        <f t="shared" si="86"/>
        <v>21.008488343732306</v>
      </c>
      <c r="X266" s="157">
        <f t="shared" si="87"/>
        <v>46639</v>
      </c>
      <c r="Y266" s="385">
        <f t="shared" si="88"/>
        <v>19.975330726094025</v>
      </c>
      <c r="Z266" s="385">
        <f t="shared" si="89"/>
        <v>21.510249313543767</v>
      </c>
      <c r="AA266" s="386">
        <f t="shared" si="90"/>
        <v>23.048983294568902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6.6759299590785484E-2</v>
      </c>
      <c r="AD266" s="231">
        <f>(INDEX(Models!$BJ266:$BT266,,AH266)*(1-AF266)+INDEX(Models!$BJ266:$BT266,,AH266+1)*AF266-ERP_i)*AE266*Ramure*Pc/MaxiM</f>
        <v>1.2246123431191349E-4</v>
      </c>
      <c r="AE266" s="305">
        <f t="shared" si="92"/>
        <v>0.5</v>
      </c>
      <c r="AF266" s="177">
        <f t="shared" si="93"/>
        <v>0.98592963918721699</v>
      </c>
      <c r="AG266" s="811">
        <f t="shared" si="99"/>
        <v>2</v>
      </c>
      <c r="AH266" s="176">
        <f t="shared" si="94"/>
        <v>8</v>
      </c>
      <c r="AI266" s="225">
        <f t="shared" si="95"/>
        <v>2.985929639187217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44.380699198295218</v>
      </c>
      <c r="C267" s="841"/>
      <c r="D267" s="393">
        <f t="shared" si="77"/>
        <v>47.791990384396264</v>
      </c>
      <c r="E267" s="385">
        <f t="shared" si="100"/>
        <v>48.698104542524646</v>
      </c>
      <c r="F267" s="385">
        <f t="shared" si="78"/>
        <v>48.698153943690073</v>
      </c>
      <c r="G267" s="110">
        <f t="shared" si="101"/>
        <v>0.95229549935695279</v>
      </c>
      <c r="H267" s="414" t="b">
        <f>Wh_hp&gt;='2026'!Maxi_hp</f>
        <v>0</v>
      </c>
      <c r="I267" s="390">
        <f>IF(H267,Wh_hp,'2026'!Maxi_hp)</f>
        <v>48.698156789072321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7.1377884843540795E-2</v>
      </c>
      <c r="M267" s="845"/>
      <c r="N267" s="845"/>
      <c r="O267" s="48">
        <f>IF(t&lt;Tnet,'2026'!Resal+('2026'!Salim-'2026'!Resal)*(1-EXP(('2026'!Tnet-t)/('2026'!Tau_j))),Resal+(Salim-Resal)*(1-EXP((Tnet-t)/(Tau_j))))*Salcycl</f>
        <v>1.8606764403676774E-2</v>
      </c>
      <c r="P267" s="169">
        <f>(INDEX(Models!$BJ267:$BT267,,T267)*(1-R267)+INDEX(Models!$BJ267:$BT267,,T267+1)*R267-ERP_i)*Q267*Ramure*Pc/MaxiM</f>
        <v>1.0886250092190497E-6</v>
      </c>
      <c r="Q267" s="305">
        <f t="shared" si="80"/>
        <v>0.5</v>
      </c>
      <c r="R267" s="177">
        <f t="shared" si="81"/>
        <v>0.46139967682090277</v>
      </c>
      <c r="S267" s="811">
        <f t="shared" si="82"/>
        <v>-1</v>
      </c>
      <c r="T267" s="176">
        <f t="shared" si="83"/>
        <v>5</v>
      </c>
      <c r="U267" s="251">
        <f t="shared" si="84"/>
        <v>-0.53860032317909723</v>
      </c>
      <c r="V267" s="383">
        <f t="shared" si="85"/>
        <v>46.603912268518322</v>
      </c>
      <c r="W267" s="402">
        <f t="shared" si="86"/>
        <v>44.380699198295218</v>
      </c>
      <c r="X267" s="157">
        <f t="shared" si="87"/>
        <v>46640</v>
      </c>
      <c r="Y267" s="385">
        <f t="shared" si="88"/>
        <v>42.196128516188139</v>
      </c>
      <c r="Z267" s="385">
        <f t="shared" si="89"/>
        <v>45.439504215424279</v>
      </c>
      <c r="AA267" s="386">
        <f t="shared" si="90"/>
        <v>48.691787047053168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6.6793252596912392E-2</v>
      </c>
      <c r="AD267" s="231">
        <f>(INDEX(Models!$BJ267:$BT267,,AH267)*(1-AF267)+INDEX(Models!$BJ267:$BT267,,AH267+1)*AF267-ERP_i)*AE267*Ramure*Pc/MaxiM</f>
        <v>1.4030363150542176E-4</v>
      </c>
      <c r="AE267" s="305">
        <f t="shared" si="92"/>
        <v>0.5</v>
      </c>
      <c r="AF267" s="177">
        <f t="shared" si="93"/>
        <v>0.98638724319488169</v>
      </c>
      <c r="AG267" s="811">
        <f t="shared" si="99"/>
        <v>2</v>
      </c>
      <c r="AH267" s="176">
        <f t="shared" si="94"/>
        <v>8</v>
      </c>
      <c r="AI267" s="225">
        <f t="shared" si="95"/>
        <v>2.9863872431948817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44.90189901064776</v>
      </c>
      <c r="C268" s="841"/>
      <c r="D268" s="393">
        <f t="shared" si="77"/>
        <v>48.354310936746565</v>
      </c>
      <c r="E268" s="385">
        <f t="shared" si="100"/>
        <v>49.275642495536069</v>
      </c>
      <c r="F268" s="385">
        <f t="shared" si="78"/>
        <v>49.275697618891222</v>
      </c>
      <c r="G268" s="110">
        <f t="shared" si="101"/>
        <v>0.96888493780752705</v>
      </c>
      <c r="H268" s="414" t="b">
        <f>Wh_hp&gt;='2026'!Maxi_hp</f>
        <v>0</v>
      </c>
      <c r="I268" s="390">
        <f>IF(H268,Wh_hp,'2026'!Maxi_hp)</f>
        <v>49.27569967741627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7.1398224051108627E-2</v>
      </c>
      <c r="M268" s="845"/>
      <c r="N268" s="845"/>
      <c r="O268" s="48">
        <f>IF(t&lt;Tnet,'2026'!Resal+('2026'!Salim-'2026'!Resal)*(1-EXP(('2026'!Tnet-t)/('2026'!Tau_j))),Resal+(Salim-Resal)*(1-EXP((Tnet-t)/(Tau_j))))*Salcycl</f>
        <v>1.8697504733154194E-2</v>
      </c>
      <c r="P268" s="169">
        <f>(INDEX(Models!$BJ268:$BT268,,T268)*(1-R268)+INDEX(Models!$BJ268:$BT268,,T268+1)*R268-ERP_i)*Q268*Ramure*Pc/MaxiM</f>
        <v>1.1707103366071961E-6</v>
      </c>
      <c r="Q268" s="305">
        <f t="shared" si="80"/>
        <v>0.5</v>
      </c>
      <c r="R268" s="177">
        <f t="shared" si="81"/>
        <v>0.46183966211223948</v>
      </c>
      <c r="S268" s="811">
        <f t="shared" si="82"/>
        <v>-1</v>
      </c>
      <c r="T268" s="176">
        <f t="shared" si="83"/>
        <v>5</v>
      </c>
      <c r="U268" s="251">
        <f t="shared" si="84"/>
        <v>-0.53816033788776052</v>
      </c>
      <c r="V268" s="383">
        <f t="shared" si="85"/>
        <v>46.34388968378807</v>
      </c>
      <c r="W268" s="402">
        <f t="shared" si="86"/>
        <v>44.90189901064776</v>
      </c>
      <c r="X268" s="157">
        <f t="shared" si="87"/>
        <v>46641</v>
      </c>
      <c r="Y268" s="385">
        <f t="shared" si="88"/>
        <v>42.693042566656509</v>
      </c>
      <c r="Z268" s="385">
        <f t="shared" si="89"/>
        <v>45.975620198475973</v>
      </c>
      <c r="AA268" s="386">
        <f t="shared" si="90"/>
        <v>49.268040164583375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6.6826688358392949E-2</v>
      </c>
      <c r="AD268" s="231">
        <f>(INDEX(Models!$BJ268:$BT268,,AH268)*(1-AF268)+INDEX(Models!$BJ268:$BT268,,AH268+1)*AF268-ERP_i)*AE268*Ramure*Pc/MaxiM</f>
        <v>1.6262908680503887E-4</v>
      </c>
      <c r="AE268" s="305">
        <f t="shared" si="92"/>
        <v>0.5</v>
      </c>
      <c r="AF268" s="177">
        <f t="shared" si="93"/>
        <v>0.98682722848621829</v>
      </c>
      <c r="AG268" s="811">
        <f t="shared" si="99"/>
        <v>2</v>
      </c>
      <c r="AH268" s="176">
        <f t="shared" si="94"/>
        <v>8</v>
      </c>
      <c r="AI268" s="225">
        <f t="shared" si="95"/>
        <v>2.9868272284862183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31.446592439138961</v>
      </c>
      <c r="C269" s="841"/>
      <c r="D269" s="393">
        <f t="shared" si="77"/>
        <v>33.86519607198737</v>
      </c>
      <c r="E269" s="385">
        <f t="shared" si="100"/>
        <v>34.513637763441295</v>
      </c>
      <c r="F269" s="385">
        <f t="shared" si="78"/>
        <v>34.51366220389643</v>
      </c>
      <c r="G269" s="110">
        <f t="shared" si="101"/>
        <v>0.68243785276649749</v>
      </c>
      <c r="H269" s="414" t="b">
        <f>Wh_hp&gt;='2026'!Maxi_hp</f>
        <v>0</v>
      </c>
      <c r="I269" s="390">
        <f>IF(H269,Wh_hp,'2026'!Maxi_hp)</f>
        <v>50.761032411385656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7.1418562813195474E-2</v>
      </c>
      <c r="M269" s="845"/>
      <c r="N269" s="845"/>
      <c r="O269" s="48">
        <f>IF(t&lt;Tnet,'2026'!Resal+('2026'!Salim-'2026'!Resal)*(1-EXP(('2026'!Tnet-t)/('2026'!Tau_j))),Resal+(Salim-Resal)*(1-EXP((Tnet-t)/(Tau_j))))*Salcycl</f>
        <v>1.8787984503354557E-2</v>
      </c>
      <c r="P269" s="169">
        <f>(INDEX(Models!$BJ269:$BT269,,T269)*(1-R269)+INDEX(Models!$BJ269:$BT269,,T269+1)*R269-ERP_i)*Q269*Ramure*Pc/MaxiM</f>
        <v>1.2961490864954534E-6</v>
      </c>
      <c r="Q269" s="305">
        <f t="shared" si="80"/>
        <v>0.5</v>
      </c>
      <c r="R269" s="177">
        <f t="shared" si="81"/>
        <v>0.46226267649382646</v>
      </c>
      <c r="S269" s="811">
        <f t="shared" si="82"/>
        <v>-1</v>
      </c>
      <c r="T269" s="176">
        <f t="shared" si="83"/>
        <v>5</v>
      </c>
      <c r="U269" s="251">
        <f t="shared" si="84"/>
        <v>-0.53773732350617354</v>
      </c>
      <c r="V269" s="383">
        <f t="shared" si="85"/>
        <v>46.079762165476339</v>
      </c>
      <c r="W269" s="402">
        <f t="shared" si="86"/>
        <v>31.446592439138961</v>
      </c>
      <c r="X269" s="157">
        <f t="shared" si="87"/>
        <v>46642</v>
      </c>
      <c r="Y269" s="385">
        <f t="shared" si="88"/>
        <v>29.902897158162116</v>
      </c>
      <c r="Z269" s="385">
        <f t="shared" si="89"/>
        <v>32.202772918608851</v>
      </c>
      <c r="AA269" s="386">
        <f t="shared" si="90"/>
        <v>34.510104274696637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6.6859588070835099E-2</v>
      </c>
      <c r="AD269" s="231">
        <f>(INDEX(Models!$BJ269:$BT269,,AH269)*(1-AF269)+INDEX(Models!$BJ269:$BT269,,AH269+1)*AF269-ERP_i)*AE269*Ramure*Pc/MaxiM</f>
        <v>1.8868743061200758E-4</v>
      </c>
      <c r="AE269" s="305">
        <f t="shared" si="92"/>
        <v>0.5</v>
      </c>
      <c r="AF269" s="177">
        <f t="shared" si="93"/>
        <v>0.98725024286780538</v>
      </c>
      <c r="AG269" s="811">
        <f t="shared" si="99"/>
        <v>2</v>
      </c>
      <c r="AH269" s="176">
        <f t="shared" si="94"/>
        <v>8</v>
      </c>
      <c r="AI269" s="225">
        <f t="shared" si="95"/>
        <v>2.9872502428678054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11.150271426482592</v>
      </c>
      <c r="C270" s="841"/>
      <c r="D270" s="393">
        <f t="shared" si="77"/>
        <v>12.008118194967999</v>
      </c>
      <c r="E270" s="385">
        <f t="shared" si="100"/>
        <v>12.239171684302423</v>
      </c>
      <c r="F270" s="385">
        <f t="shared" si="78"/>
        <v>12.239171684302423</v>
      </c>
      <c r="G270" s="110">
        <f t="shared" si="101"/>
        <v>0.24339199217840829</v>
      </c>
      <c r="H270" s="414" t="b">
        <f>Wh_hp&gt;='2026'!Maxi_hp</f>
        <v>0</v>
      </c>
      <c r="I270" s="390">
        <f>IF(H270,Wh_hp,'2026'!Maxi_hp)</f>
        <v>48.245201516580117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7.1438901129811327E-2</v>
      </c>
      <c r="M270" s="845"/>
      <c r="N270" s="845"/>
      <c r="O270" s="48">
        <f>IF(t&lt;Tnet,'2026'!Resal+('2026'!Salim-'2026'!Resal)*(1-EXP(('2026'!Tnet-t)/('2026'!Tau_j))),Resal+(Salim-Resal)*(1-EXP((Tnet-t)/(Tau_j))))*Salcycl</f>
        <v>1.8878196604658073E-2</v>
      </c>
      <c r="P270" s="169">
        <f>(INDEX(Models!$BJ270:$BT270,,T270)*(1-R270)+INDEX(Models!$BJ270:$BT270,,T270+1)*R270-ERP_i)*Q270*Ramure*Pc/MaxiM</f>
        <v>1.4655780348267625E-6</v>
      </c>
      <c r="Q270" s="305">
        <f t="shared" si="80"/>
        <v>0.5</v>
      </c>
      <c r="R270" s="177">
        <f t="shared" si="81"/>
        <v>0.4626693463220366</v>
      </c>
      <c r="S270" s="811">
        <f t="shared" si="82"/>
        <v>-1</v>
      </c>
      <c r="T270" s="176">
        <f t="shared" si="83"/>
        <v>5</v>
      </c>
      <c r="U270" s="251">
        <f t="shared" si="84"/>
        <v>-0.5373306536779634</v>
      </c>
      <c r="V270" s="383">
        <f t="shared" si="85"/>
        <v>45.811922508594606</v>
      </c>
      <c r="W270" s="402">
        <f t="shared" si="86"/>
        <v>11.150271426482592</v>
      </c>
      <c r="X270" s="157">
        <f t="shared" si="87"/>
        <v>46643</v>
      </c>
      <c r="Y270" s="385">
        <f t="shared" si="88"/>
        <v>10.604604025547667</v>
      </c>
      <c r="Z270" s="385">
        <f t="shared" si="89"/>
        <v>11.420469841403698</v>
      </c>
      <c r="AA270" s="386">
        <f t="shared" si="90"/>
        <v>12.239171684302423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6.6891932233352519E-2</v>
      </c>
      <c r="AD270" s="231">
        <f>(INDEX(Models!$BJ270:$BT270,,AH270)*(1-AF270)+INDEX(Models!$BJ270:$BT270,,AH270+1)*AF270-ERP_i)*AE270*Ramure*Pc/MaxiM</f>
        <v>2.1853085675741071E-4</v>
      </c>
      <c r="AE270" s="305">
        <f t="shared" si="92"/>
        <v>0.5</v>
      </c>
      <c r="AF270" s="177">
        <f t="shared" si="93"/>
        <v>0.98765691269601552</v>
      </c>
      <c r="AG270" s="811">
        <f t="shared" si="99"/>
        <v>2</v>
      </c>
      <c r="AH270" s="176">
        <f t="shared" si="94"/>
        <v>8</v>
      </c>
      <c r="AI270" s="225">
        <f t="shared" si="95"/>
        <v>2.9876569126960155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37.001128789350879</v>
      </c>
      <c r="C271" s="841"/>
      <c r="D271" s="393">
        <f t="shared" ref="D271:D334" si="102">Wh/(1-Ppv)</f>
        <v>39.848685532706909</v>
      </c>
      <c r="E271" s="385">
        <f t="shared" si="100"/>
        <v>40.619155095204967</v>
      </c>
      <c r="F271" s="385">
        <f t="shared" ref="F271:F334" si="103">Wh_sa/(1-Pvg*MEDIAN((-Sdif+Wh/Env_an)/Csdif,0,1))</f>
        <v>40.619205044665073</v>
      </c>
      <c r="G271" s="110">
        <f t="shared" si="101"/>
        <v>0.81248335414213646</v>
      </c>
      <c r="H271" s="414" t="b">
        <f>Wh_hp&gt;='2026'!Maxi_hp</f>
        <v>0</v>
      </c>
      <c r="I271" s="390">
        <f>IF(H271,Wh_hp,'2026'!Maxi_hp)</f>
        <v>47.954871485084247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7.1459239000965846E-2</v>
      </c>
      <c r="M271" s="845"/>
      <c r="N271" s="845"/>
      <c r="O271" s="48">
        <f>IF(t&lt;Tnet,'2026'!Resal+('2026'!Salim-'2026'!Resal)*(1-EXP(('2026'!Tnet-t)/('2026'!Tau_j))),Resal+(Salim-Resal)*(1-EXP((Tnet-t)/(Tau_j))))*Salcycl</f>
        <v>1.8968133647590677E-2</v>
      </c>
      <c r="P271" s="169">
        <f>(INDEX(Models!$BJ271:$BT271,,T271)*(1-R271)+INDEX(Models!$BJ271:$BT271,,T271+1)*R271-ERP_i)*Q271*Ramure*Pc/MaxiM</f>
        <v>1.6796443959051015E-6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0.46306027702647212</v>
      </c>
      <c r="S271" s="811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-0.53693972297352788</v>
      </c>
      <c r="V271" s="383">
        <f t="shared" ref="V271:V334" si="110">MaxiM*(1-Ppv)*(1-Pvg)*(1-Psa)</f>
        <v>45.540763330430536</v>
      </c>
      <c r="W271" s="402">
        <f t="shared" ref="W271:W334" si="111">Wh*(A271&gt;Tmaj)</f>
        <v>37.001128789350879</v>
      </c>
      <c r="X271" s="157">
        <f t="shared" ref="X271:X334" si="112">t</f>
        <v>46644</v>
      </c>
      <c r="Y271" s="385">
        <f t="shared" ref="Y271:Y334" si="113">Wh_pvt_s*(1-Ppv)</f>
        <v>35.18595568098555</v>
      </c>
      <c r="Z271" s="385">
        <f t="shared" ref="Z271:Z334" si="114">Wh_sa_s*(1-Psa_s)</f>
        <v>37.89381916107628</v>
      </c>
      <c r="AA271" s="386">
        <f t="shared" ref="AA271:AA334" si="115">Wh_hp*(1-Pvg_s*MEDIAN((-Sdif+Wh/Env_an)/Csdif,0,1))</f>
        <v>40.611704732002096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6.6923700663668956E-2</v>
      </c>
      <c r="AD271" s="231">
        <f>(INDEX(Models!$BJ271:$BT271,,AH271)*(1-AF271)+INDEX(Models!$BJ271:$BT271,,AH271+1)*AF271-ERP_i)*AE271*Ramure*Pc/MaxiM</f>
        <v>2.5221209808383492E-4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0.98804784340045115</v>
      </c>
      <c r="AG271" s="81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2.9880478434004512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40.642430065897813</v>
      </c>
      <c r="C272" s="841"/>
      <c r="D272" s="393">
        <f t="shared" si="102"/>
        <v>43.771175123417216</v>
      </c>
      <c r="E272" s="385">
        <f t="shared" si="100"/>
        <v>44.621563417759745</v>
      </c>
      <c r="F272" s="385">
        <f t="shared" si="103"/>
        <v>44.621637312555286</v>
      </c>
      <c r="G272" s="110">
        <f t="shared" si="101"/>
        <v>0.89784409185353631</v>
      </c>
      <c r="H272" s="414" t="b">
        <f>Wh_hp&gt;='2026'!Maxi_hp</f>
        <v>0</v>
      </c>
      <c r="I272" s="390">
        <f>IF(H272,Wh_hp,'2026'!Maxi_hp)</f>
        <v>48.916978336718785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7.1479576426668689E-2</v>
      </c>
      <c r="M272" s="845"/>
      <c r="N272" s="845"/>
      <c r="O272" s="48">
        <f>IF(t&lt;Tnet,'2026'!Resal+('2026'!Salim-'2026'!Resal)*(1-EXP(('2026'!Tnet-t)/('2026'!Tau_j))),Resal+(Salim-Resal)*(1-EXP((Tnet-t)/(Tau_j))))*Salcycl</f>
        <v>1.9057787966346024E-2</v>
      </c>
      <c r="P272" s="169">
        <f>(INDEX(Models!$BJ272:$BT272,,T272)*(1-R272)+INDEX(Models!$BJ272:$BT272,,T272+1)*R272-ERP_i)*Q272*Ramure*Pc/MaxiM</f>
        <v>1.939002029396691E-6</v>
      </c>
      <c r="Q272" s="305">
        <f t="shared" si="105"/>
        <v>0.5</v>
      </c>
      <c r="R272" s="177">
        <f t="shared" si="106"/>
        <v>0.46343605363637019</v>
      </c>
      <c r="S272" s="811">
        <f t="shared" si="107"/>
        <v>-1</v>
      </c>
      <c r="T272" s="176">
        <f t="shared" si="108"/>
        <v>5</v>
      </c>
      <c r="U272" s="251">
        <f t="shared" si="109"/>
        <v>-0.53656394636362981</v>
      </c>
      <c r="V272" s="383">
        <f t="shared" si="110"/>
        <v>45.266677070099846</v>
      </c>
      <c r="W272" s="402">
        <f t="shared" si="111"/>
        <v>40.642430065897813</v>
      </c>
      <c r="X272" s="157">
        <f t="shared" si="112"/>
        <v>46645</v>
      </c>
      <c r="Y272" s="385">
        <f t="shared" si="113"/>
        <v>38.648452872275342</v>
      </c>
      <c r="Z272" s="385">
        <f t="shared" si="114"/>
        <v>41.623697111087857</v>
      </c>
      <c r="AA272" s="386">
        <f t="shared" si="115"/>
        <v>44.610593727279699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6.695487252314547E-2</v>
      </c>
      <c r="AD272" s="231">
        <f>(INDEX(Models!$BJ272:$BT272,,AH272)*(1-AF272)+INDEX(Models!$BJ272:$BT272,,AH272+1)*AF272-ERP_i)*AE272*Ramure*Pc/MaxiM</f>
        <v>2.8978406538165031E-4</v>
      </c>
      <c r="AE272" s="305">
        <f t="shared" si="117"/>
        <v>0.5</v>
      </c>
      <c r="AF272" s="177">
        <f t="shared" si="118"/>
        <v>0.98842362001034889</v>
      </c>
      <c r="AG272" s="811">
        <f t="shared" ref="AG272:AG335" si="124">INDEX(Echel_vg,AH272)</f>
        <v>2</v>
      </c>
      <c r="AH272" s="176">
        <f t="shared" si="119"/>
        <v>8</v>
      </c>
      <c r="AI272" s="225">
        <f t="shared" si="120"/>
        <v>2.9884236200103489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27.059441984974992</v>
      </c>
      <c r="C273" s="841"/>
      <c r="D273" s="393">
        <f t="shared" si="102"/>
        <v>29.143176587375184</v>
      </c>
      <c r="E273" s="385">
        <f t="shared" si="100"/>
        <v>29.712078254830207</v>
      </c>
      <c r="F273" s="385">
        <f t="shared" si="103"/>
        <v>29.712106971796725</v>
      </c>
      <c r="G273" s="110">
        <f t="shared" si="101"/>
        <v>0.60145307254411684</v>
      </c>
      <c r="H273" s="414" t="b">
        <f>Wh_hp&gt;='2026'!Maxi_hp</f>
        <v>0</v>
      </c>
      <c r="I273" s="390">
        <f>IF(H273,Wh_hp,'2026'!Maxi_hp)</f>
        <v>46.225866499783969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7.1499913406929849E-2</v>
      </c>
      <c r="M273" s="845"/>
      <c r="N273" s="845"/>
      <c r="O273" s="48">
        <f>IF(t&lt;Tnet,'2026'!Resal+('2026'!Salim-'2026'!Resal)*(1-EXP(('2026'!Tnet-t)/('2026'!Tau_j))),Resal+(Salim-Resal)*(1-EXP((Tnet-t)/(Tau_j))))*Salcycl</f>
        <v>1.9147151625535961E-2</v>
      </c>
      <c r="P273" s="169">
        <f>(INDEX(Models!$BJ273:$BT273,,T273)*(1-R273)+INDEX(Models!$BJ273:$BT273,,T273+1)*R273-ERP_i)*Q273*Ramure*Pc/MaxiM</f>
        <v>2.2443073404855428E-6</v>
      </c>
      <c r="Q273" s="305">
        <f t="shared" si="105"/>
        <v>0.5</v>
      </c>
      <c r="R273" s="177">
        <f t="shared" si="106"/>
        <v>0.46379724130826583</v>
      </c>
      <c r="S273" s="811">
        <f t="shared" si="107"/>
        <v>-1</v>
      </c>
      <c r="T273" s="176">
        <f t="shared" si="108"/>
        <v>5</v>
      </c>
      <c r="U273" s="251">
        <f t="shared" si="109"/>
        <v>-0.53620275869173417</v>
      </c>
      <c r="V273" s="383">
        <f t="shared" si="110"/>
        <v>44.99005598878054</v>
      </c>
      <c r="W273" s="402">
        <f t="shared" si="111"/>
        <v>27.059441984974992</v>
      </c>
      <c r="X273" s="157">
        <f t="shared" si="112"/>
        <v>46646</v>
      </c>
      <c r="Y273" s="385">
        <f t="shared" si="113"/>
        <v>25.736048080802973</v>
      </c>
      <c r="Z273" s="385">
        <f t="shared" si="114"/>
        <v>27.717873646340546</v>
      </c>
      <c r="AA273" s="386">
        <f t="shared" si="115"/>
        <v>29.707867839596048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6.698542635238007E-2</v>
      </c>
      <c r="AD273" s="231">
        <f>(INDEX(Models!$BJ273:$BT273,,AH273)*(1-AF273)+INDEX(Models!$BJ273:$BT273,,AH273+1)*AF273-ERP_i)*AE273*Ramure*Pc/MaxiM</f>
        <v>3.3129946050950522E-4</v>
      </c>
      <c r="AE273" s="305">
        <f t="shared" si="117"/>
        <v>0.5</v>
      </c>
      <c r="AF273" s="177">
        <f t="shared" si="118"/>
        <v>0.98878480768224453</v>
      </c>
      <c r="AG273" s="811">
        <f t="shared" si="124"/>
        <v>2</v>
      </c>
      <c r="AH273" s="176">
        <f t="shared" si="119"/>
        <v>8</v>
      </c>
      <c r="AI273" s="225">
        <f t="shared" si="120"/>
        <v>2.9887848076822445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46.794507687524622</v>
      </c>
      <c r="C274" s="841"/>
      <c r="D274" s="393">
        <f t="shared" si="102"/>
        <v>50.399061136863054</v>
      </c>
      <c r="E274" s="385">
        <f t="shared" si="100"/>
        <v>51.387563428811191</v>
      </c>
      <c r="F274" s="385">
        <f t="shared" si="103"/>
        <v>51.387696842313339</v>
      </c>
      <c r="G274" s="110">
        <f t="shared" si="101"/>
        <v>1.0465926037131026</v>
      </c>
      <c r="H274" s="414" t="b">
        <f>Wh_hp&gt;='2026'!Maxi_hp</f>
        <v>1</v>
      </c>
      <c r="I274" s="390">
        <f>IF(H274,Wh_hp,'2026'!Maxi_hp)</f>
        <v>51.387696842313339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7.1520249941758873E-2</v>
      </c>
      <c r="M274" s="845"/>
      <c r="N274" s="845"/>
      <c r="O274" s="48">
        <f>IF(t&lt;Tnet,'2026'!Resal+('2026'!Salim-'2026'!Resal)*(1-EXP(('2026'!Tnet-t)/('2026'!Tau_j))),Resal+(Salim-Resal)*(1-EXP((Tnet-t)/(Tau_j))))*Salcycl</f>
        <v>1.9236216430411915E-2</v>
      </c>
      <c r="P274" s="169">
        <f>(INDEX(Models!$BJ274:$BT274,,T274)*(1-R274)+INDEX(Models!$BJ274:$BT274,,T274+1)*R274-ERP_i)*Q274*Ramure*Pc/MaxiM</f>
        <v>2.5962148597758204E-6</v>
      </c>
      <c r="Q274" s="305">
        <f t="shared" si="105"/>
        <v>0.5</v>
      </c>
      <c r="R274" s="177">
        <f t="shared" si="106"/>
        <v>0.46414438585336415</v>
      </c>
      <c r="S274" s="811">
        <f t="shared" si="107"/>
        <v>-1</v>
      </c>
      <c r="T274" s="176">
        <f t="shared" si="108"/>
        <v>5</v>
      </c>
      <c r="U274" s="251">
        <f t="shared" si="109"/>
        <v>-0.53585561414663585</v>
      </c>
      <c r="V274" s="383">
        <f t="shared" si="110"/>
        <v>44.711292169949424</v>
      </c>
      <c r="W274" s="402">
        <f t="shared" si="111"/>
        <v>46.794507687524622</v>
      </c>
      <c r="X274" s="157">
        <f t="shared" si="112"/>
        <v>46647</v>
      </c>
      <c r="Y274" s="385">
        <f t="shared" si="113"/>
        <v>44.498197096877256</v>
      </c>
      <c r="Z274" s="385">
        <f t="shared" si="114"/>
        <v>47.925867089816443</v>
      </c>
      <c r="AA274" s="386">
        <f t="shared" si="115"/>
        <v>51.368333425625508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6.7015340117921138E-2</v>
      </c>
      <c r="AD274" s="231">
        <f>(INDEX(Models!$BJ274:$BT274,,AH274)*(1-AF274)+INDEX(Models!$BJ274:$BT274,,AH274+1)*AF274-ERP_i)*AE274*Ramure*Pc/MaxiM</f>
        <v>3.768103627459149E-4</v>
      </c>
      <c r="AE274" s="305">
        <f t="shared" si="117"/>
        <v>0.5</v>
      </c>
      <c r="AF274" s="177">
        <f t="shared" si="118"/>
        <v>0.98913195222734318</v>
      </c>
      <c r="AG274" s="811">
        <f t="shared" si="124"/>
        <v>2</v>
      </c>
      <c r="AH274" s="176">
        <f t="shared" si="119"/>
        <v>8</v>
      </c>
      <c r="AI274" s="225">
        <f t="shared" si="120"/>
        <v>2.9891319522273432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45.242602173853733</v>
      </c>
      <c r="C275" s="841"/>
      <c r="D275" s="393">
        <f t="shared" si="102"/>
        <v>48.728680535918819</v>
      </c>
      <c r="E275" s="385">
        <f t="shared" si="100"/>
        <v>49.688917573165334</v>
      </c>
      <c r="F275" s="385">
        <f t="shared" si="103"/>
        <v>49.689066419379252</v>
      </c>
      <c r="G275" s="110">
        <f t="shared" si="101"/>
        <v>1.0183329133380274</v>
      </c>
      <c r="H275" s="414" t="b">
        <f>Wh_hp&gt;='2026'!Maxi_hp</f>
        <v>1</v>
      </c>
      <c r="I275" s="390">
        <f>IF(H275,Wh_hp,'2026'!Maxi_hp)</f>
        <v>49.689066419379252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7.1540586031165643E-2</v>
      </c>
      <c r="M275" s="845"/>
      <c r="N275" s="845"/>
      <c r="O275" s="48">
        <f>IF(t&lt;Tnet,'2026'!Resal+('2026'!Salim-'2026'!Resal)*(1-EXP(('2026'!Tnet-t)/('2026'!Tau_j))),Resal+(Salim-Resal)*(1-EXP((Tnet-t)/(Tau_j))))*Salcycl</f>
        <v>1.9324973940770439E-2</v>
      </c>
      <c r="P275" s="169">
        <f>(INDEX(Models!$BJ275:$BT275,,T275)*(1-R275)+INDEX(Models!$BJ275:$BT275,,T275+1)*R275-ERP_i)*Q275*Ramure*Pc/MaxiM</f>
        <v>2.9955526365053347E-6</v>
      </c>
      <c r="Q275" s="305">
        <f t="shared" si="105"/>
        <v>0.5</v>
      </c>
      <c r="R275" s="177">
        <f t="shared" si="106"/>
        <v>0.46447801426322199</v>
      </c>
      <c r="S275" s="811">
        <f t="shared" si="107"/>
        <v>-1</v>
      </c>
      <c r="T275" s="176">
        <f t="shared" si="108"/>
        <v>5</v>
      </c>
      <c r="U275" s="251">
        <f t="shared" si="109"/>
        <v>-0.53552198573677801</v>
      </c>
      <c r="V275" s="383">
        <f t="shared" si="110"/>
        <v>44.42810556476222</v>
      </c>
      <c r="W275" s="402">
        <f t="shared" si="111"/>
        <v>45.242602173853733</v>
      </c>
      <c r="X275" s="157">
        <f t="shared" si="112"/>
        <v>46648</v>
      </c>
      <c r="Y275" s="385">
        <f t="shared" si="113"/>
        <v>43.022874945854717</v>
      </c>
      <c r="Z275" s="385">
        <f t="shared" si="114"/>
        <v>46.337916659110817</v>
      </c>
      <c r="AA275" s="386">
        <f t="shared" si="115"/>
        <v>49.667879327924979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6.7044591270518455E-2</v>
      </c>
      <c r="AD275" s="231">
        <f>(INDEX(Models!$BJ275:$BT275,,AH275)*(1-AF275)+INDEX(Models!$BJ275:$BT275,,AH275+1)*AF275-ERP_i)*AE275*Ramure*Pc/MaxiM</f>
        <v>4.2639342980306684E-4</v>
      </c>
      <c r="AE275" s="305">
        <f t="shared" si="117"/>
        <v>0.5</v>
      </c>
      <c r="AF275" s="177">
        <f t="shared" si="118"/>
        <v>0.98946558063720103</v>
      </c>
      <c r="AG275" s="811">
        <f t="shared" si="124"/>
        <v>2</v>
      </c>
      <c r="AH275" s="176">
        <f t="shared" si="119"/>
        <v>8</v>
      </c>
      <c r="AI275" s="225">
        <f t="shared" si="120"/>
        <v>2.989465580637201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44.076047668703474</v>
      </c>
      <c r="C276" s="841"/>
      <c r="D276" s="393">
        <f t="shared" si="102"/>
        <v>47.473279289610261</v>
      </c>
      <c r="E276" s="385">
        <f t="shared" si="100"/>
        <v>48.413143764628273</v>
      </c>
      <c r="F276" s="385">
        <f t="shared" si="103"/>
        <v>48.413324205936753</v>
      </c>
      <c r="G276" s="110">
        <f t="shared" si="101"/>
        <v>0.99858586851030051</v>
      </c>
      <c r="H276" s="414" t="b">
        <f>Wh_hp&gt;='2026'!Maxi_hp</f>
        <v>0</v>
      </c>
      <c r="I276" s="390">
        <f>IF(H276,Wh_hp,'2026'!Maxi_hp)</f>
        <v>48.413324522624819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7.1560921675159817E-2</v>
      </c>
      <c r="M276" s="845"/>
      <c r="N276" s="845"/>
      <c r="O276" s="48">
        <f>IF(t&lt;Tnet,'2026'!Resal+('2026'!Salim-'2026'!Resal)*(1-EXP(('2026'!Tnet-t)/('2026'!Tau_j))),Resal+(Salim-Resal)*(1-EXP((Tnet-t)/(Tau_j))))*Salcycl</f>
        <v>1.9413415488723103E-2</v>
      </c>
      <c r="P276" s="169">
        <f>(INDEX(Models!$BJ276:$BT276,,T276)*(1-R276)+INDEX(Models!$BJ276:$BT276,,T276+1)*R276-ERP_i)*Q276*Ramure*Pc/MaxiM</f>
        <v>3.7346448056418811E-6</v>
      </c>
      <c r="Q276" s="305">
        <f t="shared" si="105"/>
        <v>0.5</v>
      </c>
      <c r="R276" s="177">
        <f t="shared" si="106"/>
        <v>0.46479863523248355</v>
      </c>
      <c r="S276" s="811">
        <f t="shared" si="107"/>
        <v>-1</v>
      </c>
      <c r="T276" s="176">
        <f t="shared" si="108"/>
        <v>5</v>
      </c>
      <c r="U276" s="251">
        <f t="shared" si="109"/>
        <v>-0.53520136476751645</v>
      </c>
      <c r="V276" s="383">
        <f t="shared" si="110"/>
        <v>44.138464929327718</v>
      </c>
      <c r="W276" s="402">
        <f t="shared" si="111"/>
        <v>44.076047668703474</v>
      </c>
      <c r="X276" s="157">
        <f t="shared" si="112"/>
        <v>46649</v>
      </c>
      <c r="Y276" s="385">
        <f t="shared" si="113"/>
        <v>41.913863370029162</v>
      </c>
      <c r="Z276" s="385">
        <f t="shared" si="114"/>
        <v>45.144441190102981</v>
      </c>
      <c r="AA276" s="386">
        <f t="shared" si="115"/>
        <v>48.390119246639571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6.7073156815210588E-2</v>
      </c>
      <c r="AD276" s="231">
        <f>(INDEX(Models!$BJ276:$BT276,,AH276)*(1-AF276)+INDEX(Models!$BJ276:$BT276,,AH276+1)*AF276-ERP_i)*AE276*Ramure*Pc/MaxiM</f>
        <v>4.8027960689078683E-4</v>
      </c>
      <c r="AE276" s="305">
        <f t="shared" si="117"/>
        <v>0.5</v>
      </c>
      <c r="AF276" s="177">
        <f t="shared" si="118"/>
        <v>0.98978620160646269</v>
      </c>
      <c r="AG276" s="811">
        <f t="shared" si="124"/>
        <v>2</v>
      </c>
      <c r="AH276" s="176">
        <f t="shared" si="119"/>
        <v>8</v>
      </c>
      <c r="AI276" s="225">
        <f t="shared" si="120"/>
        <v>2.9897862016064627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45.40434424040469</v>
      </c>
      <c r="C277" s="841"/>
      <c r="D277" s="393">
        <f t="shared" si="102"/>
        <v>48.905027582182804</v>
      </c>
      <c r="E277" s="385">
        <f t="shared" si="100"/>
        <v>49.877719535796352</v>
      </c>
      <c r="F277" s="385">
        <f t="shared" si="103"/>
        <v>49.877958814911544</v>
      </c>
      <c r="G277" s="110">
        <f t="shared" si="101"/>
        <v>1.0356084951892768</v>
      </c>
      <c r="H277" s="414" t="b">
        <f>Wh_hp&gt;='2026'!Maxi_hp</f>
        <v>0</v>
      </c>
      <c r="I277" s="390">
        <f>IF(H277,Wh_hp,'2026'!Maxi_hp)</f>
        <v>49.877958814911565</v>
      </c>
      <c r="J277" s="85">
        <f>IF(H277,An,'2026'!An_max)</f>
        <v>2026</v>
      </c>
      <c r="K277" s="197">
        <f t="shared" si="104"/>
        <v>46650</v>
      </c>
      <c r="L277" s="147">
        <f>IF(t&lt;Tvie,1-EXP((T0-t)*PertePVj)+'2026'!Pspv,1-EXP((T0-t)*PertePVj)+Pspv)</f>
        <v>7.1581256873751165E-2</v>
      </c>
      <c r="M277" s="845"/>
      <c r="N277" s="845"/>
      <c r="O277" s="48">
        <f>IF(t&lt;Tnet,'2026'!Resal+('2026'!Salim-'2026'!Resal)*(1-EXP(('2026'!Tnet-t)/('2026'!Tau_j))),Resal+(Salim-Resal)*(1-EXP((Tnet-t)/(Tau_j))))*Salcycl</f>
        <v>1.9501532200474167E-2</v>
      </c>
      <c r="P277" s="169">
        <f>(INDEX(Models!$BJ277:$BT277,,T277)*(1-R277)+INDEX(Models!$BJ277:$BT277,,T277+1)*R277-ERP_i)*Q277*Ramure*Pc/MaxiM</f>
        <v>4.797291647076236E-6</v>
      </c>
      <c r="Q277" s="305">
        <f t="shared" si="105"/>
        <v>0.5</v>
      </c>
      <c r="R277" s="177">
        <f t="shared" si="106"/>
        <v>0.46510673967754235</v>
      </c>
      <c r="S277" s="811">
        <f t="shared" si="107"/>
        <v>-1</v>
      </c>
      <c r="T277" s="176">
        <f t="shared" si="108"/>
        <v>5</v>
      </c>
      <c r="U277" s="251">
        <f t="shared" si="109"/>
        <v>-0.53489326032245765</v>
      </c>
      <c r="V277" s="383">
        <f t="shared" si="110"/>
        <v>43.843155450464117</v>
      </c>
      <c r="W277" s="402">
        <f t="shared" si="111"/>
        <v>45.40434424040469</v>
      </c>
      <c r="X277" s="157">
        <f t="shared" si="112"/>
        <v>46650</v>
      </c>
      <c r="Y277" s="385">
        <f t="shared" si="113"/>
        <v>43.177145520861188</v>
      </c>
      <c r="Z277" s="385">
        <f t="shared" si="114"/>
        <v>46.506111429279755</v>
      </c>
      <c r="AA277" s="386">
        <f t="shared" si="115"/>
        <v>49.851175847500372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6.7101013393415065E-2</v>
      </c>
      <c r="AD277" s="231">
        <f>(INDEX(Models!$BJ277:$BT277,,AH277)*(1-AF277)+INDEX(Models!$BJ277:$BT277,,AH277+1)*AF277-ERP_i)*AE277*Ramure*Pc/MaxiM</f>
        <v>5.3696999732006701E-4</v>
      </c>
      <c r="AE277" s="305">
        <f t="shared" si="117"/>
        <v>0.5</v>
      </c>
      <c r="AF277" s="177">
        <f t="shared" si="118"/>
        <v>0.99009430605152104</v>
      </c>
      <c r="AG277" s="811">
        <f t="shared" si="124"/>
        <v>2</v>
      </c>
      <c r="AH277" s="176">
        <f t="shared" si="119"/>
        <v>8</v>
      </c>
      <c r="AI277" s="225">
        <f t="shared" si="120"/>
        <v>2.990094306051521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44.297292751810168</v>
      </c>
      <c r="C278" s="841"/>
      <c r="D278" s="393">
        <f t="shared" si="102"/>
        <v>47.713667270754911</v>
      </c>
      <c r="E278" s="385">
        <f t="shared" si="100"/>
        <v>48.667020873845154</v>
      </c>
      <c r="F278" s="385">
        <f t="shared" si="103"/>
        <v>48.667322070237326</v>
      </c>
      <c r="G278" s="110">
        <f t="shared" si="101"/>
        <v>1.017323850697549</v>
      </c>
      <c r="H278" s="414" t="b">
        <f>Wh_hp&gt;='2026'!Maxi_hp</f>
        <v>1</v>
      </c>
      <c r="I278" s="390">
        <f>IF(H278,Wh_hp,'2026'!Maxi_hp)</f>
        <v>48.667322070237326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7.1601591626949568E-2</v>
      </c>
      <c r="M278" s="845"/>
      <c r="N278" s="845"/>
      <c r="O278" s="48">
        <f>IF(t&lt;Tnet,'2026'!Resal+('2026'!Salim-'2026'!Resal)*(1-EXP(('2026'!Tnet-t)/('2026'!Tau_j))),Resal+(Salim-Resal)*(1-EXP((Tnet-t)/(Tau_j))))*Salcycl</f>
        <v>1.9589315022210382E-2</v>
      </c>
      <c r="P278" s="169">
        <f>(INDEX(Models!$BJ278:$BT278,,T278)*(1-R278)+INDEX(Models!$BJ278:$BT278,,T278+1)*R278-ERP_i)*Q278*Ramure*Pc/MaxiM</f>
        <v>6.1888836155146315E-6</v>
      </c>
      <c r="Q278" s="305">
        <f t="shared" si="105"/>
        <v>0.5</v>
      </c>
      <c r="R278" s="177">
        <f t="shared" si="106"/>
        <v>0.46540280125013</v>
      </c>
      <c r="S278" s="811">
        <f t="shared" si="107"/>
        <v>-1</v>
      </c>
      <c r="T278" s="176">
        <f t="shared" si="108"/>
        <v>5</v>
      </c>
      <c r="U278" s="251">
        <f t="shared" si="109"/>
        <v>-0.53459719874987</v>
      </c>
      <c r="V278" s="383">
        <f t="shared" si="110"/>
        <v>43.542960996576291</v>
      </c>
      <c r="W278" s="402">
        <f t="shared" si="111"/>
        <v>44.297292751810168</v>
      </c>
      <c r="X278" s="157">
        <f t="shared" si="112"/>
        <v>46651</v>
      </c>
      <c r="Y278" s="385">
        <f t="shared" si="113"/>
        <v>42.124493781534589</v>
      </c>
      <c r="Z278" s="385">
        <f t="shared" si="114"/>
        <v>45.373293837668946</v>
      </c>
      <c r="AA278" s="386">
        <f t="shared" si="115"/>
        <v>48.638291769346679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6.7128137377049812E-2</v>
      </c>
      <c r="AD278" s="231">
        <f>(INDEX(Models!$BJ278:$BT278,,AH278)*(1-AF278)+INDEX(Models!$BJ278:$BT278,,AH278+1)*AF278-ERP_i)*AE278*Ramure*Pc/MaxiM</f>
        <v>5.965049987495506E-4</v>
      </c>
      <c r="AE278" s="305">
        <f t="shared" si="117"/>
        <v>0.5</v>
      </c>
      <c r="AF278" s="177">
        <f t="shared" si="118"/>
        <v>0.99039036762410904</v>
      </c>
      <c r="AG278" s="811">
        <f t="shared" si="124"/>
        <v>2</v>
      </c>
      <c r="AH278" s="176">
        <f t="shared" si="119"/>
        <v>8</v>
      </c>
      <c r="AI278" s="225">
        <f t="shared" si="120"/>
        <v>2.990390367624109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43.142763655085695</v>
      </c>
      <c r="C279" s="841"/>
      <c r="D279" s="393">
        <f t="shared" si="102"/>
        <v>46.471114366337495</v>
      </c>
      <c r="E279" s="385">
        <f t="shared" si="100"/>
        <v>47.403868664253039</v>
      </c>
      <c r="F279" s="385">
        <f t="shared" si="103"/>
        <v>47.404242674502868</v>
      </c>
      <c r="G279" s="110">
        <f t="shared" si="101"/>
        <v>0.99778201960941493</v>
      </c>
      <c r="H279" s="414" t="b">
        <f>Wh_hp&gt;='2026'!Maxi_hp</f>
        <v>0</v>
      </c>
      <c r="I279" s="390">
        <f>IF(H279,Wh_hp,'2026'!Maxi_hp)</f>
        <v>47.404243761364896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7.1621925934764685E-2</v>
      </c>
      <c r="M279" s="845"/>
      <c r="N279" s="845"/>
      <c r="O279" s="48">
        <f>IF(t&lt;Tnet,'2026'!Resal+('2026'!Salim-'2026'!Resal)*(1-EXP(('2026'!Tnet-t)/('2026'!Tau_j))),Resal+(Salim-Resal)*(1-EXP((Tnet-t)/(Tau_j))))*Salcycl</f>
        <v>1.9676754750165105E-2</v>
      </c>
      <c r="P279" s="169">
        <f>(INDEX(Models!$BJ279:$BT279,,T279)*(1-R279)+INDEX(Models!$BJ279:$BT279,,T279+1)*R279-ERP_i)*Q279*Ramure*Pc/MaxiM</f>
        <v>7.9148837697246444E-6</v>
      </c>
      <c r="Q279" s="305">
        <f t="shared" si="105"/>
        <v>0.5</v>
      </c>
      <c r="R279" s="177">
        <f t="shared" si="106"/>
        <v>0.46568727684494016</v>
      </c>
      <c r="S279" s="811">
        <f t="shared" si="107"/>
        <v>-1</v>
      </c>
      <c r="T279" s="176">
        <f t="shared" si="108"/>
        <v>5</v>
      </c>
      <c r="U279" s="251">
        <f t="shared" si="109"/>
        <v>-0.53431272315505984</v>
      </c>
      <c r="V279" s="383">
        <f t="shared" si="110"/>
        <v>43.238665084399251</v>
      </c>
      <c r="W279" s="402">
        <f t="shared" si="111"/>
        <v>43.142763655085695</v>
      </c>
      <c r="X279" s="157">
        <f t="shared" si="112"/>
        <v>46652</v>
      </c>
      <c r="Y279" s="385">
        <f t="shared" si="113"/>
        <v>41.026687455792292</v>
      </c>
      <c r="Z279" s="385">
        <f t="shared" si="114"/>
        <v>44.19178845547512</v>
      </c>
      <c r="AA279" s="386">
        <f t="shared" si="115"/>
        <v>47.373105933550768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6.7154504974573911E-2</v>
      </c>
      <c r="AD279" s="231">
        <f>(INDEX(Models!$BJ279:$BT279,,AH279)*(1-AF279)+INDEX(Models!$BJ279:$BT279,,AH279+1)*AF279-ERP_i)*AE279*Ramure*Pc/MaxiM</f>
        <v>6.589222774451575E-4</v>
      </c>
      <c r="AE279" s="305">
        <f t="shared" si="117"/>
        <v>0.5</v>
      </c>
      <c r="AF279" s="177">
        <f t="shared" si="118"/>
        <v>0.99067484321891897</v>
      </c>
      <c r="AG279" s="811">
        <f t="shared" si="124"/>
        <v>2</v>
      </c>
      <c r="AH279" s="176">
        <f t="shared" si="119"/>
        <v>8</v>
      </c>
      <c r="AI279" s="225">
        <f t="shared" si="120"/>
        <v>2.990674843218919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27.258026453834894</v>
      </c>
      <c r="C280" s="841"/>
      <c r="D280" s="393">
        <f t="shared" si="102"/>
        <v>29.361554574727361</v>
      </c>
      <c r="E280" s="385">
        <f t="shared" si="100"/>
        <v>29.953551842627061</v>
      </c>
      <c r="F280" s="385">
        <f t="shared" si="103"/>
        <v>29.953694885802477</v>
      </c>
      <c r="G280" s="110">
        <f t="shared" si="101"/>
        <v>0.63492236996333973</v>
      </c>
      <c r="H280" s="414" t="b">
        <f>Wh_hp&gt;='2026'!Maxi_hp</f>
        <v>0</v>
      </c>
      <c r="I280" s="390">
        <f>IF(H280,Wh_hp,'2026'!Maxi_hp)</f>
        <v>44.303472000025792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7.1642259797206176E-2</v>
      </c>
      <c r="M280" s="845"/>
      <c r="N280" s="845"/>
      <c r="O280" s="48">
        <f>IF(t&lt;Tnet,'2026'!Resal+('2026'!Salim-'2026'!Resal)*(1-EXP(('2026'!Tnet-t)/('2026'!Tau_j))),Resal+(Salim-Resal)*(1-EXP((Tnet-t)/(Tau_j))))*Salcycl</f>
        <v>1.9763842064874103E-2</v>
      </c>
      <c r="P280" s="169">
        <f>(INDEX(Models!$BJ280:$BT280,,T280)*(1-R280)+INDEX(Models!$BJ280:$BT280,,T280+1)*R280-ERP_i)*Q280*Ramure*Pc/MaxiM</f>
        <v>9.9808226700474759E-6</v>
      </c>
      <c r="Q280" s="305">
        <f t="shared" si="105"/>
        <v>0.5</v>
      </c>
      <c r="R280" s="177">
        <f t="shared" si="106"/>
        <v>0.46596060710050535</v>
      </c>
      <c r="S280" s="811">
        <f t="shared" si="107"/>
        <v>-1</v>
      </c>
      <c r="T280" s="176">
        <f t="shared" si="108"/>
        <v>5</v>
      </c>
      <c r="U280" s="251">
        <f t="shared" si="109"/>
        <v>-0.53403939289949465</v>
      </c>
      <c r="V280" s="383">
        <f t="shared" si="110"/>
        <v>42.931050873630632</v>
      </c>
      <c r="W280" s="402">
        <f t="shared" si="111"/>
        <v>27.258026453834894</v>
      </c>
      <c r="X280" s="157">
        <f t="shared" si="112"/>
        <v>46653</v>
      </c>
      <c r="Y280" s="385">
        <f t="shared" si="113"/>
        <v>25.930628712104223</v>
      </c>
      <c r="Z280" s="385">
        <f t="shared" si="114"/>
        <v>27.931720272445666</v>
      </c>
      <c r="AA280" s="386">
        <f t="shared" si="115"/>
        <v>29.943314935005223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6.7180092348689921E-2</v>
      </c>
      <c r="AD280" s="231">
        <f>(INDEX(Models!$BJ280:$BT280,,AH280)*(1-AF280)+INDEX(Models!$BJ280:$BT280,,AH280+1)*AF280-ERP_i)*AE280*Ramure*Pc/MaxiM</f>
        <v>7.2425998604878309E-4</v>
      </c>
      <c r="AE280" s="305">
        <f t="shared" si="117"/>
        <v>0.5</v>
      </c>
      <c r="AF280" s="177">
        <f t="shared" si="118"/>
        <v>0.99094817347448449</v>
      </c>
      <c r="AG280" s="811">
        <f t="shared" si="124"/>
        <v>2</v>
      </c>
      <c r="AH280" s="176">
        <f t="shared" si="119"/>
        <v>8</v>
      </c>
      <c r="AI280" s="225">
        <f t="shared" si="120"/>
        <v>2.9909481734744845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17.086988753379213</v>
      </c>
      <c r="C281" s="841"/>
      <c r="D281" s="393">
        <f t="shared" si="102"/>
        <v>18.406011250307536</v>
      </c>
      <c r="E281" s="385">
        <f t="shared" si="100"/>
        <v>18.778780705578225</v>
      </c>
      <c r="F281" s="385">
        <f t="shared" si="103"/>
        <v>18.778814251285752</v>
      </c>
      <c r="G281" s="110">
        <f t="shared" si="101"/>
        <v>0.40090207063115624</v>
      </c>
      <c r="H281" s="414" t="b">
        <f>Wh_hp&gt;='2026'!Maxi_hp</f>
        <v>0</v>
      </c>
      <c r="I281" s="390">
        <f>IF(H281,Wh_hp,'2026'!Maxi_hp)</f>
        <v>40.249037915880088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7.1662593214283921E-2</v>
      </c>
      <c r="M281" s="845"/>
      <c r="N281" s="845"/>
      <c r="O281" s="48">
        <f>IF(t&lt;Tnet,'2026'!Resal+('2026'!Salim-'2026'!Resal)*(1-EXP(('2026'!Tnet-t)/('2026'!Tau_j))),Resal+(Salim-Resal)*(1-EXP((Tnet-t)/(Tau_j))))*Salcycl</f>
        <v>1.9850567569595134E-2</v>
      </c>
      <c r="P281" s="169">
        <f>(INDEX(Models!$BJ281:$BT281,,T281)*(1-R281)+INDEX(Models!$BJ281:$BT281,,T281+1)*R281-ERP_i)*Q281*Ramure*Pc/MaxiM</f>
        <v>1.2392201053713677E-5</v>
      </c>
      <c r="Q281" s="305">
        <f t="shared" si="105"/>
        <v>0.5</v>
      </c>
      <c r="R281" s="177">
        <f t="shared" si="106"/>
        <v>0.46622321689264146</v>
      </c>
      <c r="S281" s="811">
        <f t="shared" si="107"/>
        <v>-1</v>
      </c>
      <c r="T281" s="176">
        <f t="shared" si="108"/>
        <v>5</v>
      </c>
      <c r="U281" s="251">
        <f t="shared" si="109"/>
        <v>-0.53377678310735854</v>
      </c>
      <c r="V281" s="383">
        <f t="shared" si="110"/>
        <v>42.620901169840536</v>
      </c>
      <c r="W281" s="402">
        <f t="shared" si="111"/>
        <v>17.086988753379213</v>
      </c>
      <c r="X281" s="157">
        <f t="shared" si="112"/>
        <v>46654</v>
      </c>
      <c r="Y281" s="385">
        <f t="shared" si="113"/>
        <v>16.25963019726391</v>
      </c>
      <c r="Z281" s="385">
        <f t="shared" si="114"/>
        <v>17.514785118442443</v>
      </c>
      <c r="AA281" s="386">
        <f t="shared" si="115"/>
        <v>18.776668812925902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6.7204875745306605E-2</v>
      </c>
      <c r="AD281" s="231">
        <f>(INDEX(Models!$BJ281:$BT281,,AH281)*(1-AF281)+INDEX(Models!$BJ281:$BT281,,AH281+1)*AF281-ERP_i)*AE281*Ramure*Pc/MaxiM</f>
        <v>7.9255158007200742E-4</v>
      </c>
      <c r="AE281" s="305">
        <f t="shared" si="117"/>
        <v>0.5</v>
      </c>
      <c r="AF281" s="177">
        <f t="shared" si="118"/>
        <v>0.99121078326662015</v>
      </c>
      <c r="AG281" s="811">
        <f t="shared" si="124"/>
        <v>2</v>
      </c>
      <c r="AH281" s="176">
        <f t="shared" si="119"/>
        <v>8</v>
      </c>
      <c r="AI281" s="225">
        <f t="shared" si="120"/>
        <v>2.9912107832666202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30.246878243604229</v>
      </c>
      <c r="C282" s="841"/>
      <c r="D282" s="393">
        <f t="shared" si="102"/>
        <v>32.582486196591084</v>
      </c>
      <c r="E282" s="385">
        <f t="shared" si="100"/>
        <v>33.24529504521643</v>
      </c>
      <c r="F282" s="385">
        <f t="shared" si="103"/>
        <v>33.245600939312439</v>
      </c>
      <c r="G282" s="110">
        <f t="shared" si="101"/>
        <v>0.71489988642603053</v>
      </c>
      <c r="H282" s="414" t="b">
        <f>Wh_hp&gt;='2026'!Maxi_hp</f>
        <v>0</v>
      </c>
      <c r="I282" s="390">
        <f>IF(H282,Wh_hp,'2026'!Maxi_hp)</f>
        <v>46.514117854235721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7.1682926186007689E-2</v>
      </c>
      <c r="M282" s="845"/>
      <c r="N282" s="845"/>
      <c r="O282" s="48">
        <f>IF(t&lt;Tnet,'2026'!Resal+('2026'!Salim-'2026'!Resal)*(1-EXP(('2026'!Tnet-t)/('2026'!Tau_j))),Resal+(Salim-Resal)*(1-EXP((Tnet-t)/(Tau_j))))*Salcycl</f>
        <v>1.9936921832814952E-2</v>
      </c>
      <c r="P282" s="169">
        <f>(INDEX(Models!$BJ282:$BT282,,T282)*(1-R282)+INDEX(Models!$BJ282:$BT282,,T282+1)*R282-ERP_i)*Q282*Ramure*Pc/MaxiM</f>
        <v>1.5523401852835869E-5</v>
      </c>
      <c r="Q282" s="305">
        <f t="shared" si="105"/>
        <v>0.5</v>
      </c>
      <c r="R282" s="177">
        <f t="shared" si="106"/>
        <v>0.46647551581985969</v>
      </c>
      <c r="S282" s="811">
        <f t="shared" si="107"/>
        <v>-1</v>
      </c>
      <c r="T282" s="176">
        <f t="shared" si="108"/>
        <v>5</v>
      </c>
      <c r="U282" s="251">
        <f t="shared" si="109"/>
        <v>-0.53352448418014031</v>
      </c>
      <c r="V282" s="383">
        <f t="shared" si="110"/>
        <v>42.308982816236259</v>
      </c>
      <c r="W282" s="402">
        <f t="shared" si="111"/>
        <v>30.246878243604229</v>
      </c>
      <c r="X282" s="157">
        <f t="shared" si="112"/>
        <v>46655</v>
      </c>
      <c r="Y282" s="385">
        <f t="shared" si="113"/>
        <v>28.772946349011185</v>
      </c>
      <c r="Z282" s="385">
        <f t="shared" si="114"/>
        <v>30.994740009248655</v>
      </c>
      <c r="AA282" s="386">
        <f t="shared" si="115"/>
        <v>33.228664285923642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6.7228831633214969E-2</v>
      </c>
      <c r="AD282" s="231">
        <f>(INDEX(Models!$BJ282:$BT282,,AH282)*(1-AF282)+INDEX(Models!$BJ282:$BT282,,AH282+1)*AF282-ERP_i)*AE282*Ramure*Pc/MaxiM</f>
        <v>8.5949509986544192E-4</v>
      </c>
      <c r="AE282" s="305">
        <f t="shared" si="117"/>
        <v>0.5</v>
      </c>
      <c r="AF282" s="177">
        <f t="shared" si="118"/>
        <v>0.99146308219383883</v>
      </c>
      <c r="AG282" s="811">
        <f t="shared" si="124"/>
        <v>2</v>
      </c>
      <c r="AH282" s="176">
        <f t="shared" si="119"/>
        <v>8</v>
      </c>
      <c r="AI282" s="225">
        <f t="shared" si="120"/>
        <v>2.9914630821938388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32.619148008834593</v>
      </c>
      <c r="C283" s="841"/>
      <c r="D283" s="393">
        <f t="shared" si="102"/>
        <v>35.138707870060543</v>
      </c>
      <c r="E283" s="385">
        <f t="shared" si="100"/>
        <v>35.856662065230736</v>
      </c>
      <c r="F283" s="385">
        <f t="shared" si="103"/>
        <v>35.857134883650552</v>
      </c>
      <c r="G283" s="110">
        <f t="shared" si="101"/>
        <v>0.77671409642782241</v>
      </c>
      <c r="H283" s="414" t="b">
        <f>Wh_hp&gt;='2026'!Maxi_hp</f>
        <v>0</v>
      </c>
      <c r="I283" s="390">
        <f>IF(H283,Wh_hp,'2026'!Maxi_hp)</f>
        <v>46.475483095151723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7.1703258712387252E-2</v>
      </c>
      <c r="M283" s="845"/>
      <c r="N283" s="845"/>
      <c r="O283" s="48">
        <f>IF(t&lt;Tnet,'2026'!Resal+('2026'!Salim-'2026'!Resal)*(1-EXP(('2026'!Tnet-t)/('2026'!Tau_j))),Resal+(Salim-Resal)*(1-EXP((Tnet-t)/(Tau_j))))*Salcycl</f>
        <v>2.0022895434719634E-2</v>
      </c>
      <c r="P283" s="169">
        <f>(INDEX(Models!$BJ283:$BT283,,T283)*(1-R283)+INDEX(Models!$BJ283:$BT283,,T283+1)*R283-ERP_i)*Q283*Ramure*Pc/MaxiM</f>
        <v>1.9362190018989542E-5</v>
      </c>
      <c r="Q283" s="305">
        <f t="shared" si="105"/>
        <v>0.5</v>
      </c>
      <c r="R283" s="177">
        <f t="shared" si="106"/>
        <v>0.46671789868023761</v>
      </c>
      <c r="S283" s="811">
        <f t="shared" si="107"/>
        <v>-1</v>
      </c>
      <c r="T283" s="176">
        <f t="shared" si="108"/>
        <v>5</v>
      </c>
      <c r="U283" s="251">
        <f t="shared" si="109"/>
        <v>-0.53328210131976239</v>
      </c>
      <c r="V283" s="383">
        <f t="shared" si="110"/>
        <v>41.996078994594065</v>
      </c>
      <c r="W283" s="402">
        <f t="shared" si="111"/>
        <v>32.619148008834593</v>
      </c>
      <c r="X283" s="157">
        <f t="shared" si="112"/>
        <v>46656</v>
      </c>
      <c r="Y283" s="385">
        <f t="shared" si="113"/>
        <v>31.027995684975085</v>
      </c>
      <c r="Z283" s="385">
        <f t="shared" si="114"/>
        <v>33.424652166652095</v>
      </c>
      <c r="AA283" s="386">
        <f t="shared" si="115"/>
        <v>35.8345983093322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6.7251936853789121E-2</v>
      </c>
      <c r="AD283" s="231">
        <f>(INDEX(Models!$BJ283:$BT283,,AH283)*(1-AF283)+INDEX(Models!$BJ283:$BT283,,AH283+1)*AF283-ERP_i)*AE283*Ramure*Pc/MaxiM</f>
        <v>9.2288586070107597E-4</v>
      </c>
      <c r="AE283" s="305">
        <f t="shared" si="117"/>
        <v>0.5</v>
      </c>
      <c r="AF283" s="177">
        <f t="shared" si="118"/>
        <v>0.99170546505421653</v>
      </c>
      <c r="AG283" s="811">
        <f t="shared" si="124"/>
        <v>2</v>
      </c>
      <c r="AH283" s="176">
        <f t="shared" si="119"/>
        <v>8</v>
      </c>
      <c r="AI283" s="225">
        <f t="shared" si="120"/>
        <v>2.9917054650542165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14.743212050355256</v>
      </c>
      <c r="C284" s="841"/>
      <c r="D284" s="393">
        <f t="shared" si="102"/>
        <v>15.88235131705741</v>
      </c>
      <c r="E284" s="385">
        <f t="shared" si="100"/>
        <v>16.20827507633912</v>
      </c>
      <c r="F284" s="385">
        <f t="shared" si="103"/>
        <v>16.20830481646108</v>
      </c>
      <c r="G284" s="110">
        <f t="shared" si="101"/>
        <v>0.35369086960356544</v>
      </c>
      <c r="H284" s="414" t="b">
        <f>Wh_hp&gt;='2026'!Maxi_hp</f>
        <v>0</v>
      </c>
      <c r="I284" s="390">
        <f>IF(H284,Wh_hp,'2026'!Maxi_hp)</f>
        <v>45.12039737403196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7.1723590793432157E-2</v>
      </c>
      <c r="M284" s="845"/>
      <c r="N284" s="845"/>
      <c r="O284" s="48">
        <f>IF(t&lt;Tnet,'2026'!Resal+('2026'!Salim-'2026'!Resal)*(1-EXP(('2026'!Tnet-t)/('2026'!Tau_j))),Resal+(Salim-Resal)*(1-EXP((Tnet-t)/(Tau_j))))*Salcycl</f>
        <v>2.0108479017455504E-2</v>
      </c>
      <c r="P284" s="169">
        <f>(INDEX(Models!$BJ284:$BT284,,T284)*(1-R284)+INDEX(Models!$BJ284:$BT284,,T284+1)*R284-ERP_i)*Q284*Ramure*Pc/MaxiM</f>
        <v>2.3918810277391618E-5</v>
      </c>
      <c r="Q284" s="305">
        <f t="shared" si="105"/>
        <v>0.5</v>
      </c>
      <c r="R284" s="177">
        <f t="shared" si="106"/>
        <v>0.46695074593930697</v>
      </c>
      <c r="S284" s="811">
        <f t="shared" si="107"/>
        <v>-1</v>
      </c>
      <c r="T284" s="176">
        <f t="shared" si="108"/>
        <v>5</v>
      </c>
      <c r="U284" s="251">
        <f t="shared" si="109"/>
        <v>-0.53304925406069303</v>
      </c>
      <c r="V284" s="383">
        <f t="shared" si="110"/>
        <v>41.682971567964501</v>
      </c>
      <c r="W284" s="402">
        <f t="shared" si="111"/>
        <v>14.743212050355256</v>
      </c>
      <c r="X284" s="157">
        <f t="shared" si="112"/>
        <v>46657</v>
      </c>
      <c r="Y284" s="385">
        <f t="shared" si="113"/>
        <v>14.032536321459936</v>
      </c>
      <c r="Z284" s="385">
        <f t="shared" si="114"/>
        <v>15.116764987547258</v>
      </c>
      <c r="AA284" s="386">
        <f t="shared" si="115"/>
        <v>16.207083026501735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6.7274168779884347E-2</v>
      </c>
      <c r="AD284" s="231">
        <f>(INDEX(Models!$BJ284:$BT284,,AH284)*(1-AF284)+INDEX(Models!$BJ284:$BT284,,AH284+1)*AF284-ERP_i)*AE284*Ramure*Pc/MaxiM</f>
        <v>9.8263760565881972E-4</v>
      </c>
      <c r="AE284" s="305">
        <f t="shared" si="117"/>
        <v>0.5</v>
      </c>
      <c r="AF284" s="177">
        <f t="shared" si="118"/>
        <v>0.99193831231328566</v>
      </c>
      <c r="AG284" s="811">
        <f t="shared" si="124"/>
        <v>2</v>
      </c>
      <c r="AH284" s="176">
        <f t="shared" si="119"/>
        <v>8</v>
      </c>
      <c r="AI284" s="225">
        <f t="shared" si="120"/>
        <v>2.9919383123132857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16.940388570948429</v>
      </c>
      <c r="C285" s="841"/>
      <c r="D285" s="393">
        <f t="shared" si="102"/>
        <v>18.249693139935818</v>
      </c>
      <c r="E285" s="385">
        <f t="shared" si="100"/>
        <v>18.625816609970752</v>
      </c>
      <c r="F285" s="385">
        <f t="shared" si="103"/>
        <v>18.625901681450831</v>
      </c>
      <c r="G285" s="110">
        <f t="shared" si="101"/>
        <v>0.40947039451465361</v>
      </c>
      <c r="H285" s="414" t="b">
        <f>Wh_hp&gt;='2026'!Maxi_hp</f>
        <v>0</v>
      </c>
      <c r="I285" s="390">
        <f>IF(H285,Wh_hp,'2026'!Maxi_hp)</f>
        <v>42.169880552957594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7.1743922429152396E-2</v>
      </c>
      <c r="M285" s="845"/>
      <c r="N285" s="845"/>
      <c r="O285" s="48">
        <f>IF(t&lt;Tnet,'2026'!Resal+('2026'!Salim-'2026'!Resal)*(1-EXP(('2026'!Tnet-t)/('2026'!Tau_j))),Resal+(Salim-Resal)*(1-EXP((Tnet-t)/(Tau_j))))*Salcycl</f>
        <v>2.0193663338958674E-2</v>
      </c>
      <c r="P285" s="169">
        <f>(INDEX(Models!$BJ285:$BT285,,T285)*(1-R285)+INDEX(Models!$BJ285:$BT285,,T285+1)*R285-ERP_i)*Q285*Ramure*Pc/MaxiM</f>
        <v>2.920303710894906E-5</v>
      </c>
      <c r="Q285" s="305">
        <f t="shared" si="105"/>
        <v>0.5</v>
      </c>
      <c r="R285" s="177">
        <f t="shared" si="106"/>
        <v>0.46717442418859356</v>
      </c>
      <c r="S285" s="811">
        <f t="shared" si="107"/>
        <v>-1</v>
      </c>
      <c r="T285" s="176">
        <f t="shared" si="108"/>
        <v>5</v>
      </c>
      <c r="U285" s="251">
        <f t="shared" si="109"/>
        <v>-0.53282557581140644</v>
      </c>
      <c r="V285" s="383">
        <f t="shared" si="110"/>
        <v>41.370442059515973</v>
      </c>
      <c r="W285" s="402">
        <f t="shared" si="111"/>
        <v>16.940388570948429</v>
      </c>
      <c r="X285" s="157">
        <f t="shared" si="112"/>
        <v>46658</v>
      </c>
      <c r="Y285" s="385">
        <f t="shared" si="113"/>
        <v>16.123473997427027</v>
      </c>
      <c r="Z285" s="385">
        <f t="shared" si="114"/>
        <v>17.369640110108978</v>
      </c>
      <c r="AA285" s="386">
        <f t="shared" si="115"/>
        <v>18.622875961483686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6.7295505482970711E-2</v>
      </c>
      <c r="AD285" s="231">
        <f>(INDEX(Models!$BJ285:$BT285,,AH285)*(1-AF285)+INDEX(Models!$BJ285:$BT285,,AH285+1)*AF285-ERP_i)*AE285*Ramure*Pc/MaxiM</f>
        <v>1.0386584599008312E-3</v>
      </c>
      <c r="AE285" s="305">
        <f t="shared" si="117"/>
        <v>0.5</v>
      </c>
      <c r="AF285" s="177">
        <f t="shared" si="118"/>
        <v>0.9921619905625727</v>
      </c>
      <c r="AG285" s="811">
        <f t="shared" si="124"/>
        <v>2</v>
      </c>
      <c r="AH285" s="176">
        <f t="shared" si="119"/>
        <v>8</v>
      </c>
      <c r="AI285" s="225">
        <f t="shared" si="120"/>
        <v>2.9921619905625727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23.2331723959024</v>
      </c>
      <c r="C286" s="841"/>
      <c r="D286" s="393">
        <f t="shared" si="102"/>
        <v>25.029387724506098</v>
      </c>
      <c r="E286" s="385">
        <f t="shared" si="100"/>
        <v>25.54745014225416</v>
      </c>
      <c r="F286" s="385">
        <f t="shared" si="103"/>
        <v>25.547791902874984</v>
      </c>
      <c r="G286" s="110">
        <f t="shared" si="101"/>
        <v>0.56583236586045949</v>
      </c>
      <c r="H286" s="414" t="b">
        <f>Wh_hp&gt;='2026'!Maxi_hp</f>
        <v>0</v>
      </c>
      <c r="I286" s="390">
        <f>IF(H286,Wh_hp,'2026'!Maxi_hp)</f>
        <v>44.457549596928516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7.1764253619557627E-2</v>
      </c>
      <c r="M286" s="845"/>
      <c r="N286" s="845"/>
      <c r="O286" s="48">
        <f>IF(t&lt;Tnet,'2026'!Resal+('2026'!Salim-'2026'!Resal)*(1-EXP(('2026'!Tnet-t)/('2026'!Tau_j))),Resal+(Salim-Resal)*(1-EXP((Tnet-t)/(Tau_j))))*Salcycl</f>
        <v>2.0278439330084531E-2</v>
      </c>
      <c r="P286" s="169">
        <f>(INDEX(Models!$BJ286:$BT286,,T286)*(1-R286)+INDEX(Models!$BJ286:$BT286,,T286+1)*R286-ERP_i)*Q286*Ramure*Pc/MaxiM</f>
        <v>3.5223997204601546E-5</v>
      </c>
      <c r="Q286" s="305">
        <f t="shared" si="105"/>
        <v>0.5</v>
      </c>
      <c r="R286" s="177">
        <f t="shared" si="106"/>
        <v>0.46738928659450374</v>
      </c>
      <c r="S286" s="811">
        <f t="shared" si="107"/>
        <v>-1</v>
      </c>
      <c r="T286" s="176">
        <f t="shared" si="108"/>
        <v>5</v>
      </c>
      <c r="U286" s="251">
        <f t="shared" si="109"/>
        <v>-0.53261071340549626</v>
      </c>
      <c r="V286" s="383">
        <f t="shared" si="110"/>
        <v>41.05927165518586</v>
      </c>
      <c r="W286" s="402">
        <f t="shared" si="111"/>
        <v>23.2331723959024</v>
      </c>
      <c r="X286" s="157">
        <f t="shared" si="112"/>
        <v>46659</v>
      </c>
      <c r="Y286" s="385">
        <f t="shared" si="113"/>
        <v>22.108855574094779</v>
      </c>
      <c r="Z286" s="385">
        <f t="shared" si="114"/>
        <v>23.818147125130587</v>
      </c>
      <c r="AA286" s="386">
        <f t="shared" si="115"/>
        <v>25.537207921453405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6.7315925907415378E-2</v>
      </c>
      <c r="AD286" s="231">
        <f>(INDEX(Models!$BJ286:$BT286,,AH286)*(1-AF286)+INDEX(Models!$BJ286:$BT286,,AH286+1)*AF286-ERP_i)*AE286*Ramure*Pc/MaxiM</f>
        <v>1.0908516350123612E-3</v>
      </c>
      <c r="AE286" s="305">
        <f t="shared" si="117"/>
        <v>0.5</v>
      </c>
      <c r="AF286" s="177">
        <f t="shared" si="118"/>
        <v>0.99237685296848266</v>
      </c>
      <c r="AG286" s="811">
        <f t="shared" si="124"/>
        <v>2</v>
      </c>
      <c r="AH286" s="176">
        <f t="shared" si="119"/>
        <v>8</v>
      </c>
      <c r="AI286" s="225">
        <f t="shared" si="120"/>
        <v>2.9923768529684827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28.389997933939643</v>
      </c>
      <c r="C287" s="841"/>
      <c r="D287" s="393">
        <f t="shared" si="102"/>
        <v>30.585570392091942</v>
      </c>
      <c r="E287" s="385">
        <f t="shared" si="100"/>
        <v>31.221323908973538</v>
      </c>
      <c r="F287" s="385">
        <f t="shared" si="103"/>
        <v>31.222066847406264</v>
      </c>
      <c r="G287" s="110">
        <f t="shared" si="101"/>
        <v>0.69667026586656211</v>
      </c>
      <c r="H287" s="414" t="b">
        <f>Wh_hp&gt;='2026'!Maxi_hp</f>
        <v>0</v>
      </c>
      <c r="I287" s="390">
        <f>IF(H287,Wh_hp,'2026'!Maxi_hp)</f>
        <v>41.406216750872005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7.1784584364657622E-2</v>
      </c>
      <c r="M287" s="845"/>
      <c r="N287" s="845"/>
      <c r="O287" s="48">
        <f>IF(t&lt;Tnet,'2026'!Resal+('2026'!Salim-'2026'!Resal)*(1-EXP(('2026'!Tnet-t)/('2026'!Tau_j))),Resal+(Salim-Resal)*(1-EXP((Tnet-t)/(Tau_j))))*Salcycl</f>
        <v>2.0362798154721043E-2</v>
      </c>
      <c r="P287" s="169">
        <f>(INDEX(Models!$BJ287:$BT287,,T287)*(1-R287)+INDEX(Models!$BJ287:$BT287,,T287+1)*R287-ERP_i)*Q287*Ramure*Pc/MaxiM</f>
        <v>4.1989982191820803E-5</v>
      </c>
      <c r="Q287" s="305">
        <f t="shared" si="105"/>
        <v>0.5</v>
      </c>
      <c r="R287" s="177">
        <f t="shared" si="106"/>
        <v>0.46759567333731278</v>
      </c>
      <c r="S287" s="811">
        <f t="shared" si="107"/>
        <v>-1</v>
      </c>
      <c r="T287" s="176">
        <f t="shared" si="108"/>
        <v>5</v>
      </c>
      <c r="U287" s="251">
        <f t="shared" si="109"/>
        <v>-0.53240432666268722</v>
      </c>
      <c r="V287" s="383">
        <f t="shared" si="110"/>
        <v>40.750241205331619</v>
      </c>
      <c r="W287" s="402">
        <f t="shared" si="111"/>
        <v>28.389997933939643</v>
      </c>
      <c r="X287" s="157">
        <f t="shared" si="112"/>
        <v>46660</v>
      </c>
      <c r="Y287" s="385">
        <f t="shared" si="113"/>
        <v>27.011921299508995</v>
      </c>
      <c r="Z287" s="385">
        <f t="shared" si="114"/>
        <v>29.100918649384795</v>
      </c>
      <c r="AA287" s="386">
        <f t="shared" si="115"/>
        <v>31.201912201863401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6.7335410050706146E-2</v>
      </c>
      <c r="AD287" s="231">
        <f>(INDEX(Models!$BJ287:$BT287,,AH287)*(1-AF287)+INDEX(Models!$BJ287:$BT287,,AH287+1)*AF287-ERP_i)*AE287*Ramure*Pc/MaxiM</f>
        <v>1.1391162041803353E-3</v>
      </c>
      <c r="AE287" s="305">
        <f t="shared" si="117"/>
        <v>0.5</v>
      </c>
      <c r="AF287" s="177">
        <f t="shared" si="118"/>
        <v>0.99258323971129148</v>
      </c>
      <c r="AG287" s="811">
        <f t="shared" si="124"/>
        <v>2</v>
      </c>
      <c r="AH287" s="176">
        <f t="shared" si="119"/>
        <v>8</v>
      </c>
      <c r="AI287" s="225">
        <f t="shared" si="120"/>
        <v>2.9925832397112915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34.046763111238235</v>
      </c>
      <c r="C288" s="841"/>
      <c r="D288" s="393">
        <f t="shared" si="102"/>
        <v>36.680611273577796</v>
      </c>
      <c r="E288" s="385">
        <f t="shared" si="100"/>
        <v>37.446264991008725</v>
      </c>
      <c r="F288" s="385">
        <f t="shared" si="103"/>
        <v>37.447700022431036</v>
      </c>
      <c r="G288" s="110">
        <f t="shared" si="101"/>
        <v>0.84181267275488225</v>
      </c>
      <c r="H288" s="414" t="b">
        <f>Wh_hp&gt;='2026'!Maxi_hp</f>
        <v>0</v>
      </c>
      <c r="I288" s="390">
        <f>IF(H288,Wh_hp,'2026'!Maxi_hp)</f>
        <v>43.530133856028712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7.1804914664462149E-2</v>
      </c>
      <c r="M288" s="845"/>
      <c r="N288" s="845"/>
      <c r="O288" s="48">
        <f>IF(t&lt;Tnet,'2026'!Resal+('2026'!Salim-'2026'!Resal)*(1-EXP(('2026'!Tnet-t)/('2026'!Tau_j))),Resal+(Salim-Resal)*(1-EXP((Tnet-t)/(Tau_j))))*Salcycl</f>
        <v>2.0446731272525335E-2</v>
      </c>
      <c r="P288" s="169">
        <f>(INDEX(Models!$BJ288:$BT288,,T288)*(1-R288)+INDEX(Models!$BJ288:$BT288,,T288+1)*R288-ERP_i)*Q288*Ramure*Pc/MaxiM</f>
        <v>4.9508252099493429E-5</v>
      </c>
      <c r="Q288" s="305">
        <f t="shared" si="105"/>
        <v>0.5</v>
      </c>
      <c r="R288" s="177">
        <f t="shared" si="106"/>
        <v>0.46779391204006104</v>
      </c>
      <c r="S288" s="811">
        <f t="shared" si="107"/>
        <v>-1</v>
      </c>
      <c r="T288" s="176">
        <f t="shared" si="108"/>
        <v>5</v>
      </c>
      <c r="U288" s="251">
        <f t="shared" si="109"/>
        <v>-0.53220608795993896</v>
      </c>
      <c r="V288" s="383">
        <f t="shared" si="110"/>
        <v>40.444131226703981</v>
      </c>
      <c r="W288" s="402">
        <f t="shared" si="111"/>
        <v>34.046763111238235</v>
      </c>
      <c r="X288" s="157">
        <f t="shared" si="112"/>
        <v>46661</v>
      </c>
      <c r="Y288" s="385">
        <f t="shared" si="113"/>
        <v>32.387938077562936</v>
      </c>
      <c r="Z288" s="385">
        <f t="shared" si="114"/>
        <v>34.893459994840264</v>
      </c>
      <c r="AA288" s="386">
        <f t="shared" si="115"/>
        <v>37.413399851788711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6.7353939148301442E-2</v>
      </c>
      <c r="AD288" s="231">
        <f>(INDEX(Models!$BJ288:$BT288,,AH288)*(1-AF288)+INDEX(Models!$BJ288:$BT288,,AH288+1)*AF288-ERP_i)*AE288*Ramure*Pc/MaxiM</f>
        <v>1.1833479523955435E-3</v>
      </c>
      <c r="AE288" s="305">
        <f t="shared" si="117"/>
        <v>0.5</v>
      </c>
      <c r="AF288" s="177">
        <f t="shared" si="118"/>
        <v>0.99278147841403985</v>
      </c>
      <c r="AG288" s="811">
        <f t="shared" si="124"/>
        <v>2</v>
      </c>
      <c r="AH288" s="176">
        <f t="shared" si="119"/>
        <v>8</v>
      </c>
      <c r="AI288" s="225">
        <f t="shared" si="120"/>
        <v>2.9927814784140399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37.951722693457874</v>
      </c>
      <c r="C289" s="841"/>
      <c r="D289" s="393">
        <f t="shared" si="102"/>
        <v>40.888553011538974</v>
      </c>
      <c r="E289" s="385">
        <f t="shared" si="100"/>
        <v>41.745599797912881</v>
      </c>
      <c r="F289" s="385">
        <f t="shared" si="103"/>
        <v>41.747824438283693</v>
      </c>
      <c r="G289" s="110">
        <f t="shared" si="101"/>
        <v>0.94548504071860107</v>
      </c>
      <c r="H289" s="414" t="b">
        <f>Wh_hp&gt;='2026'!Maxi_hp</f>
        <v>0</v>
      </c>
      <c r="I289" s="390">
        <f>IF(H289,Wh_hp,'2026'!Maxi_hp)</f>
        <v>44.550821163435508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7.1825244518980869E-2</v>
      </c>
      <c r="M289" s="845"/>
      <c r="N289" s="845"/>
      <c r="O289" s="48">
        <f>IF(t&lt;Tnet,'2026'!Resal+('2026'!Salim-'2026'!Resal)*(1-EXP(('2026'!Tnet-t)/('2026'!Tau_j))),Resal+(Salim-Resal)*(1-EXP((Tnet-t)/(Tau_j))))*Salcycl</f>
        <v>2.0530230503880722E-2</v>
      </c>
      <c r="P289" s="169">
        <f>(INDEX(Models!$BJ289:$BT289,,T289)*(1-R289)+INDEX(Models!$BJ289:$BT289,,T289+1)*R289-ERP_i)*Q289*Ramure*Pc/MaxiM</f>
        <v>5.7787640324993225E-5</v>
      </c>
      <c r="Q289" s="305">
        <f t="shared" si="105"/>
        <v>0.5</v>
      </c>
      <c r="R289" s="177">
        <f t="shared" si="106"/>
        <v>0.46798431818721742</v>
      </c>
      <c r="S289" s="811">
        <f t="shared" si="107"/>
        <v>-1</v>
      </c>
      <c r="T289" s="176">
        <f t="shared" si="108"/>
        <v>5</v>
      </c>
      <c r="U289" s="251">
        <f t="shared" si="109"/>
        <v>-0.53201568181278258</v>
      </c>
      <c r="V289" s="383">
        <f t="shared" si="110"/>
        <v>40.139769816264618</v>
      </c>
      <c r="W289" s="402">
        <f t="shared" si="111"/>
        <v>37.951722693457874</v>
      </c>
      <c r="X289" s="157">
        <f t="shared" si="112"/>
        <v>46662</v>
      </c>
      <c r="Y289" s="385">
        <f t="shared" si="113"/>
        <v>36.097907516278347</v>
      </c>
      <c r="Z289" s="385">
        <f t="shared" si="114"/>
        <v>38.891283460484651</v>
      </c>
      <c r="AA289" s="386">
        <f t="shared" si="115"/>
        <v>41.700723587059869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6.7371495861693234E-2</v>
      </c>
      <c r="AD289" s="231">
        <f>(INDEX(Models!$BJ289:$BT289,,AH289)*(1-AF289)+INDEX(Models!$BJ289:$BT289,,AH289+1)*AF289-ERP_i)*AE289*Ramure*Pc/MaxiM</f>
        <v>1.2234998003438529E-3</v>
      </c>
      <c r="AE289" s="305">
        <f t="shared" si="117"/>
        <v>0.5</v>
      </c>
      <c r="AF289" s="177">
        <f t="shared" si="118"/>
        <v>0.99297188456119656</v>
      </c>
      <c r="AG289" s="811">
        <f t="shared" si="124"/>
        <v>2</v>
      </c>
      <c r="AH289" s="176">
        <f t="shared" si="119"/>
        <v>8</v>
      </c>
      <c r="AI289" s="225">
        <f t="shared" si="120"/>
        <v>2.9929718845611966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34.518210597263909</v>
      </c>
      <c r="C290" s="841"/>
      <c r="D290" s="393">
        <f t="shared" si="102"/>
        <v>37.190158908529014</v>
      </c>
      <c r="E290" s="385">
        <f t="shared" si="100"/>
        <v>37.972905346298369</v>
      </c>
      <c r="F290" s="385">
        <f t="shared" si="103"/>
        <v>37.974947682752045</v>
      </c>
      <c r="G290" s="110">
        <f t="shared" si="101"/>
        <v>0.86650826848466345</v>
      </c>
      <c r="H290" s="414" t="b">
        <f>Wh_hp&gt;='2026'!Maxi_hp</f>
        <v>0</v>
      </c>
      <c r="I290" s="390">
        <f>IF(H290,Wh_hp,'2026'!Maxi_hp)</f>
        <v>42.516161138689995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7.1845573928223549E-2</v>
      </c>
      <c r="M290" s="845"/>
      <c r="N290" s="845"/>
      <c r="O290" s="48">
        <f>IF(t&lt;Tnet,'2026'!Resal+('2026'!Salim-'2026'!Resal)*(1-EXP(('2026'!Tnet-t)/('2026'!Tau_j))),Resal+(Salim-Resal)*(1-EXP((Tnet-t)/(Tau_j))))*Salcycl</f>
        <v>2.06132880966312E-2</v>
      </c>
      <c r="P290" s="169">
        <f>(INDEX(Models!$BJ290:$BT290,,T290)*(1-R290)+INDEX(Models!$BJ290:$BT290,,T290+1)*R290-ERP_i)*Q290*Ramure*Pc/MaxiM</f>
        <v>6.6452828948621056E-5</v>
      </c>
      <c r="Q290" s="305">
        <f t="shared" si="105"/>
        <v>0.5</v>
      </c>
      <c r="R290" s="177">
        <f t="shared" si="106"/>
        <v>0.46816719553300556</v>
      </c>
      <c r="S290" s="811">
        <f t="shared" si="107"/>
        <v>-1</v>
      </c>
      <c r="T290" s="176">
        <f t="shared" si="108"/>
        <v>5</v>
      </c>
      <c r="U290" s="251">
        <f t="shared" si="109"/>
        <v>-0.53183280446699444</v>
      </c>
      <c r="V290" s="383">
        <f t="shared" si="110"/>
        <v>39.835480428256652</v>
      </c>
      <c r="W290" s="402">
        <f t="shared" si="111"/>
        <v>34.518210597263909</v>
      </c>
      <c r="X290" s="157">
        <f t="shared" si="112"/>
        <v>46663</v>
      </c>
      <c r="Y290" s="385">
        <f t="shared" si="113"/>
        <v>32.838011780460398</v>
      </c>
      <c r="Z290" s="385">
        <f t="shared" si="114"/>
        <v>35.379901079005307</v>
      </c>
      <c r="AA290" s="386">
        <f t="shared" si="115"/>
        <v>37.936358876674788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6.7388064468182948E-2</v>
      </c>
      <c r="AD290" s="231">
        <f>(INDEX(Models!$BJ290:$BT290,,AH290)*(1-AF290)+INDEX(Models!$BJ290:$BT290,,AH290+1)*AF290-ERP_i)*AE290*Ramure*Pc/MaxiM</f>
        <v>1.2555890705302395E-3</v>
      </c>
      <c r="AE290" s="305">
        <f t="shared" si="117"/>
        <v>0.5</v>
      </c>
      <c r="AF290" s="177">
        <f t="shared" si="118"/>
        <v>0.99315476190698426</v>
      </c>
      <c r="AG290" s="811">
        <f t="shared" si="124"/>
        <v>2</v>
      </c>
      <c r="AH290" s="176">
        <f t="shared" si="119"/>
        <v>8</v>
      </c>
      <c r="AI290" s="225">
        <f t="shared" si="120"/>
        <v>2.9931547619069843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38.839834585250848</v>
      </c>
      <c r="C291" s="841"/>
      <c r="D291" s="393">
        <f t="shared" si="102"/>
        <v>41.847223053523614</v>
      </c>
      <c r="E291" s="385">
        <f t="shared" si="100"/>
        <v>42.731591664459515</v>
      </c>
      <c r="F291" s="385">
        <f t="shared" si="103"/>
        <v>42.734724616833745</v>
      </c>
      <c r="G291" s="110">
        <f t="shared" si="101"/>
        <v>0.98250716515354541</v>
      </c>
      <c r="H291" s="414" t="b">
        <f>Wh_hp&gt;='2026'!Maxi_hp</f>
        <v>0</v>
      </c>
      <c r="I291" s="390">
        <f>IF(H291,Wh_hp,'2026'!Maxi_hp)</f>
        <v>42.734795539794867</v>
      </c>
      <c r="J291" s="85">
        <f>IF(H291,An,'2026'!An_max)</f>
        <v>2025</v>
      </c>
      <c r="K291" s="197">
        <f t="shared" si="104"/>
        <v>46664</v>
      </c>
      <c r="L291" s="147">
        <f>IF(t&lt;Tvie,1-EXP((T0-t)*PertePVj)+'2026'!Pspv,1-EXP((T0-t)*PertePVj)+Pspv)</f>
        <v>7.1865902892200073E-2</v>
      </c>
      <c r="M291" s="845"/>
      <c r="N291" s="845"/>
      <c r="O291" s="48">
        <f>IF(t&lt;Tnet,'2026'!Resal+('2026'!Salim-'2026'!Resal)*(1-EXP(('2026'!Tnet-t)/('2026'!Tau_j))),Resal+(Salim-Resal)*(1-EXP((Tnet-t)/(Tau_j))))*Salcycl</f>
        <v>2.069589679411462E-2</v>
      </c>
      <c r="P291" s="169">
        <f>(INDEX(Models!$BJ291:$BT291,,T291)*(1-R291)+INDEX(Models!$BJ291:$BT291,,T291+1)*R291-ERP_i)*Q291*Ramure*Pc/MaxiM</f>
        <v>7.5190423945723501E-5</v>
      </c>
      <c r="Q291" s="305">
        <f t="shared" si="105"/>
        <v>0.5</v>
      </c>
      <c r="R291" s="177">
        <f t="shared" si="106"/>
        <v>0.46834283649933595</v>
      </c>
      <c r="S291" s="811">
        <f t="shared" si="107"/>
        <v>-1</v>
      </c>
      <c r="T291" s="176">
        <f t="shared" si="108"/>
        <v>5</v>
      </c>
      <c r="U291" s="251">
        <f t="shared" si="109"/>
        <v>-0.53165716350066405</v>
      </c>
      <c r="V291" s="383">
        <f t="shared" si="110"/>
        <v>39.531275684727241</v>
      </c>
      <c r="W291" s="402">
        <f t="shared" si="111"/>
        <v>38.839834585250848</v>
      </c>
      <c r="X291" s="157">
        <f t="shared" si="112"/>
        <v>46664</v>
      </c>
      <c r="Y291" s="385">
        <f t="shared" si="113"/>
        <v>36.943946841343674</v>
      </c>
      <c r="Z291" s="385">
        <f t="shared" si="114"/>
        <v>39.80453574162005</v>
      </c>
      <c r="AA291" s="386">
        <f t="shared" si="115"/>
        <v>42.681418314409264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6.7403631050798093E-2</v>
      </c>
      <c r="AD291" s="231">
        <f>(INDEX(Models!$BJ291:$BT291,,AH291)*(1-AF291)+INDEX(Models!$BJ291:$BT291,,AH291+1)*AF291-ERP_i)*AE291*Ramure*Pc/MaxiM</f>
        <v>1.2793438902058516E-3</v>
      </c>
      <c r="AE291" s="305">
        <f t="shared" si="117"/>
        <v>0.5</v>
      </c>
      <c r="AF291" s="177">
        <f t="shared" si="118"/>
        <v>0.99333040287331498</v>
      </c>
      <c r="AG291" s="811">
        <f t="shared" si="124"/>
        <v>2</v>
      </c>
      <c r="AH291" s="176">
        <f t="shared" si="119"/>
        <v>8</v>
      </c>
      <c r="AI291" s="225">
        <f t="shared" si="120"/>
        <v>2.993330402873315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40.058084831955036</v>
      </c>
      <c r="C292" s="841"/>
      <c r="D292" s="393">
        <f t="shared" si="102"/>
        <v>43.160748377703094</v>
      </c>
      <c r="E292" s="385">
        <f t="shared" si="100"/>
        <v>44.07657362406038</v>
      </c>
      <c r="F292" s="385">
        <f t="shared" si="103"/>
        <v>44.080276283019217</v>
      </c>
      <c r="G292" s="110">
        <f t="shared" si="101"/>
        <v>1.0211825004158248</v>
      </c>
      <c r="H292" s="414" t="b">
        <f>Wh_hp&gt;='2026'!Maxi_hp</f>
        <v>1</v>
      </c>
      <c r="I292" s="390">
        <f>IF(H292,Wh_hp,'2026'!Maxi_hp)</f>
        <v>44.080276283019217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7.1886231410920098E-2</v>
      </c>
      <c r="M292" s="845"/>
      <c r="N292" s="845"/>
      <c r="O292" s="48">
        <f>IF(t&lt;Tnet,'2026'!Resal+('2026'!Salim-'2026'!Resal)*(1-EXP(('2026'!Tnet-t)/('2026'!Tau_j))),Resal+(Salim-Resal)*(1-EXP((Tnet-t)/(Tau_j))))*Salcycl</f>
        <v>2.0778049903982476E-2</v>
      </c>
      <c r="P292" s="169">
        <f>(INDEX(Models!$BJ292:$BT292,,T292)*(1-R292)+INDEX(Models!$BJ292:$BT292,,T292+1)*R292-ERP_i)*Q292*Ramure*Pc/MaxiM</f>
        <v>8.3998088738487862E-5</v>
      </c>
      <c r="Q292" s="305">
        <f t="shared" si="105"/>
        <v>0.5</v>
      </c>
      <c r="R292" s="177">
        <f t="shared" si="106"/>
        <v>0.46851152256331763</v>
      </c>
      <c r="S292" s="811">
        <f t="shared" si="107"/>
        <v>-1</v>
      </c>
      <c r="T292" s="176">
        <f t="shared" si="108"/>
        <v>5</v>
      </c>
      <c r="U292" s="251">
        <f t="shared" si="109"/>
        <v>-0.53148847743668237</v>
      </c>
      <c r="V292" s="383">
        <f t="shared" si="110"/>
        <v>39.227155592309316</v>
      </c>
      <c r="W292" s="402">
        <f t="shared" si="111"/>
        <v>40.058084831955036</v>
      </c>
      <c r="X292" s="157">
        <f t="shared" si="112"/>
        <v>46665</v>
      </c>
      <c r="Y292" s="385">
        <f t="shared" si="113"/>
        <v>38.103936568533001</v>
      </c>
      <c r="Z292" s="385">
        <f t="shared" si="114"/>
        <v>41.055243288178637</v>
      </c>
      <c r="AA292" s="386">
        <f t="shared" si="115"/>
        <v>44.023208012439937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6.7418183686718619E-2</v>
      </c>
      <c r="AD292" s="231">
        <f>(INDEX(Models!$BJ292:$BT292,,AH292)*(1-AF292)+INDEX(Models!$BJ292:$BT292,,AH292+1)*AF292-ERP_i)*AE292*Ramure*Pc/MaxiM</f>
        <v>1.2946441218487426E-3</v>
      </c>
      <c r="AE292" s="305">
        <f t="shared" si="117"/>
        <v>0.5</v>
      </c>
      <c r="AF292" s="177">
        <f t="shared" si="118"/>
        <v>0.99349908893729655</v>
      </c>
      <c r="AG292" s="811">
        <f t="shared" si="124"/>
        <v>2</v>
      </c>
      <c r="AH292" s="176">
        <f t="shared" si="119"/>
        <v>8</v>
      </c>
      <c r="AI292" s="225">
        <f t="shared" si="120"/>
        <v>2.9934990889372965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11.693627224494557</v>
      </c>
      <c r="C293" s="841"/>
      <c r="D293" s="393">
        <f t="shared" si="102"/>
        <v>12.599622747035157</v>
      </c>
      <c r="E293" s="385">
        <f t="shared" si="100"/>
        <v>12.868046876786789</v>
      </c>
      <c r="F293" s="385">
        <f t="shared" si="103"/>
        <v>12.868047608912386</v>
      </c>
      <c r="G293" s="110">
        <f t="shared" si="101"/>
        <v>0.30040093973290638</v>
      </c>
      <c r="H293" s="414" t="b">
        <f>Wh_hp&gt;='2026'!Maxi_hp</f>
        <v>0</v>
      </c>
      <c r="I293" s="390">
        <f>IF(H293,Wh_hp,'2026'!Maxi_hp)</f>
        <v>39.638043153684698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7.1906559484393395E-2</v>
      </c>
      <c r="M293" s="845"/>
      <c r="N293" s="845"/>
      <c r="O293" s="48">
        <f>IF(t&lt;Tnet,'2026'!Resal+('2026'!Salim-'2026'!Resal)*(1-EXP(('2026'!Tnet-t)/('2026'!Tau_j))),Resal+(Salim-Resal)*(1-EXP((Tnet-t)/(Tau_j))))*Salcycl</f>
        <v>2.0859741367266357E-2</v>
      </c>
      <c r="P293" s="169">
        <f>(INDEX(Models!$BJ293:$BT293,,T293)*(1-R293)+INDEX(Models!$BJ293:$BT293,,T293+1)*R293-ERP_i)*Q293*Ramure*Pc/MaxiM</f>
        <v>9.2873409955167676E-5</v>
      </c>
      <c r="Q293" s="305">
        <f t="shared" si="105"/>
        <v>0.5</v>
      </c>
      <c r="R293" s="177">
        <f t="shared" si="106"/>
        <v>0.46867352463435674</v>
      </c>
      <c r="S293" s="811">
        <f t="shared" si="107"/>
        <v>-1</v>
      </c>
      <c r="T293" s="176">
        <f t="shared" si="108"/>
        <v>5</v>
      </c>
      <c r="U293" s="251">
        <f t="shared" si="109"/>
        <v>-0.53132647536564326</v>
      </c>
      <c r="V293" s="383">
        <f t="shared" si="110"/>
        <v>38.923120124394316</v>
      </c>
      <c r="W293" s="402">
        <f t="shared" si="111"/>
        <v>11.693627224494557</v>
      </c>
      <c r="X293" s="157">
        <f t="shared" si="112"/>
        <v>46666</v>
      </c>
      <c r="Y293" s="385">
        <f t="shared" si="113"/>
        <v>11.137421573967007</v>
      </c>
      <c r="Z293" s="385">
        <f t="shared" si="114"/>
        <v>12.000323553390876</v>
      </c>
      <c r="AA293" s="386">
        <f t="shared" si="115"/>
        <v>12.868037350129571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6.7431712632537333E-2</v>
      </c>
      <c r="AD293" s="231">
        <f>(INDEX(Models!$BJ293:$BT293,,AH293)*(1-AF293)+INDEX(Models!$BJ293:$BT293,,AH293+1)*AF293-ERP_i)*AE293*Ramure*Pc/MaxiM</f>
        <v>1.3013725316957491E-3</v>
      </c>
      <c r="AE293" s="305">
        <f t="shared" si="117"/>
        <v>0.5</v>
      </c>
      <c r="AF293" s="177">
        <f t="shared" si="118"/>
        <v>0.99366109100833588</v>
      </c>
      <c r="AG293" s="811">
        <f t="shared" si="124"/>
        <v>2</v>
      </c>
      <c r="AH293" s="176">
        <f t="shared" si="119"/>
        <v>8</v>
      </c>
      <c r="AI293" s="225">
        <f t="shared" si="120"/>
        <v>2.9936610910083359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28.580994477707879</v>
      </c>
      <c r="C294" s="841"/>
      <c r="D294" s="393">
        <f t="shared" si="102"/>
        <v>30.796059147525838</v>
      </c>
      <c r="E294" s="385">
        <f t="shared" si="100"/>
        <v>31.454752034991344</v>
      </c>
      <c r="F294" s="385">
        <f t="shared" si="103"/>
        <v>31.45676551627826</v>
      </c>
      <c r="G294" s="110">
        <f t="shared" si="101"/>
        <v>0.74004476152914367</v>
      </c>
      <c r="H294" s="414" t="b">
        <f>Wh_hp&gt;='2026'!Maxi_hp</f>
        <v>0</v>
      </c>
      <c r="I294" s="390">
        <f>IF(H294,Wh_hp,'2026'!Maxi_hp)</f>
        <v>42.817625020301556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7.1926887112629734E-2</v>
      </c>
      <c r="M294" s="845"/>
      <c r="N294" s="845"/>
      <c r="O294" s="48">
        <f>IF(t&lt;Tnet,'2026'!Resal+('2026'!Salim-'2026'!Resal)*(1-EXP(('2026'!Tnet-t)/('2026'!Tau_j))),Resal+(Salim-Resal)*(1-EXP((Tnet-t)/(Tau_j))))*Salcycl</f>
        <v>2.0940965827126855E-2</v>
      </c>
      <c r="P294" s="169">
        <f>(INDEX(Models!$BJ294:$BT294,,T294)*(1-R294)+INDEX(Models!$BJ294:$BT294,,T294+1)*R294-ERP_i)*Q294*Ramure*Pc/MaxiM</f>
        <v>1.0181390687486791E-4</v>
      </c>
      <c r="Q294" s="305">
        <f t="shared" si="105"/>
        <v>0.5</v>
      </c>
      <c r="R294" s="177">
        <f t="shared" si="106"/>
        <v>0.46882910342087958</v>
      </c>
      <c r="S294" s="811">
        <f t="shared" si="107"/>
        <v>-1</v>
      </c>
      <c r="T294" s="176">
        <f t="shared" si="108"/>
        <v>5</v>
      </c>
      <c r="U294" s="251">
        <f t="shared" si="109"/>
        <v>-0.53117089657912042</v>
      </c>
      <c r="V294" s="383">
        <f t="shared" si="110"/>
        <v>38.619169218923794</v>
      </c>
      <c r="W294" s="402">
        <f t="shared" si="111"/>
        <v>28.580994477707879</v>
      </c>
      <c r="X294" s="157">
        <f t="shared" si="112"/>
        <v>46667</v>
      </c>
      <c r="Y294" s="385">
        <f t="shared" si="113"/>
        <v>27.202959442096773</v>
      </c>
      <c r="Z294" s="385">
        <f t="shared" si="114"/>
        <v>29.311224583874019</v>
      </c>
      <c r="AA294" s="386">
        <f t="shared" si="115"/>
        <v>31.431068161333037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6.7444210504652172E-2</v>
      </c>
      <c r="AD294" s="231">
        <f>(INDEX(Models!$BJ294:$BT294,,AH294)*(1-AF294)+INDEX(Models!$BJ294:$BT294,,AH294+1)*AF294-ERP_i)*AE294*Ramure*Pc/MaxiM</f>
        <v>1.2994151573821272E-3</v>
      </c>
      <c r="AE294" s="305">
        <f t="shared" si="117"/>
        <v>0.5</v>
      </c>
      <c r="AF294" s="177">
        <f t="shared" si="118"/>
        <v>0.9938166697948585</v>
      </c>
      <c r="AG294" s="811">
        <f t="shared" si="124"/>
        <v>2</v>
      </c>
      <c r="AH294" s="176">
        <f t="shared" si="119"/>
        <v>8</v>
      </c>
      <c r="AI294" s="225">
        <f t="shared" si="120"/>
        <v>2.9938166697948585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15.577326382494867</v>
      </c>
      <c r="C295" s="841"/>
      <c r="D295" s="393">
        <f t="shared" si="102"/>
        <v>16.784957302479508</v>
      </c>
      <c r="E295" s="385">
        <f t="shared" si="100"/>
        <v>17.145382714858556</v>
      </c>
      <c r="F295" s="385">
        <f t="shared" si="103"/>
        <v>17.145671943977604</v>
      </c>
      <c r="G295" s="110">
        <f t="shared" si="101"/>
        <v>0.40651806898984028</v>
      </c>
      <c r="H295" s="414" t="b">
        <f>Wh_hp&gt;='2026'!Maxi_hp</f>
        <v>0</v>
      </c>
      <c r="I295" s="390">
        <f>IF(H295,Wh_hp,'2026'!Maxi_hp)</f>
        <v>40.412475476580589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7.1947214295638884E-2</v>
      </c>
      <c r="M295" s="845"/>
      <c r="N295" s="845"/>
      <c r="O295" s="48">
        <f>IF(t&lt;Tnet,'2026'!Resal+('2026'!Salim-'2026'!Resal)*(1-EXP(('2026'!Tnet-t)/('2026'!Tau_j))),Resal+(Salim-Resal)*(1-EXP((Tnet-t)/(Tau_j))))*Salcycl</f>
        <v>2.1021718696701695E-2</v>
      </c>
      <c r="P295" s="169">
        <f>(INDEX(Models!$BJ295:$BT295,,T295)*(1-R295)+INDEX(Models!$BJ295:$BT295,,T295+1)*R295-ERP_i)*Q295*Ramure*Pc/MaxiM</f>
        <v>1.1081704272044041E-4</v>
      </c>
      <c r="Q295" s="305">
        <f t="shared" si="105"/>
        <v>0.5</v>
      </c>
      <c r="R295" s="177">
        <f t="shared" si="106"/>
        <v>0.46897850978674083</v>
      </c>
      <c r="S295" s="811">
        <f t="shared" si="107"/>
        <v>-1</v>
      </c>
      <c r="T295" s="176">
        <f t="shared" si="108"/>
        <v>5</v>
      </c>
      <c r="U295" s="251">
        <f t="shared" si="109"/>
        <v>-0.53102149021325917</v>
      </c>
      <c r="V295" s="383">
        <f t="shared" si="110"/>
        <v>38.315302776278244</v>
      </c>
      <c r="W295" s="402">
        <f t="shared" si="111"/>
        <v>15.577326382494867</v>
      </c>
      <c r="X295" s="157">
        <f t="shared" si="112"/>
        <v>46668</v>
      </c>
      <c r="Y295" s="385">
        <f t="shared" si="113"/>
        <v>14.835817145154531</v>
      </c>
      <c r="Z295" s="385">
        <f t="shared" si="114"/>
        <v>15.985962623768906</v>
      </c>
      <c r="AA295" s="386">
        <f t="shared" si="115"/>
        <v>17.142308576172734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6.7455672453073989E-2</v>
      </c>
      <c r="AD295" s="231">
        <f>(INDEX(Models!$BJ295:$BT295,,AH295)*(1-AF295)+INDEX(Models!$BJ295:$BT295,,AH295+1)*AF295-ERP_i)*AE295*Ramure*Pc/MaxiM</f>
        <v>1.2886616497886695E-3</v>
      </c>
      <c r="AE295" s="305">
        <f t="shared" si="117"/>
        <v>0.5</v>
      </c>
      <c r="AF295" s="177">
        <f t="shared" si="118"/>
        <v>0.99396607616071986</v>
      </c>
      <c r="AG295" s="811">
        <f t="shared" si="124"/>
        <v>2</v>
      </c>
      <c r="AH295" s="176">
        <f t="shared" si="119"/>
        <v>8</v>
      </c>
      <c r="AI295" s="225">
        <f t="shared" si="120"/>
        <v>2.9939660761607199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36.635999397251965</v>
      </c>
      <c r="C296" s="841"/>
      <c r="D296" s="393">
        <f t="shared" si="102"/>
        <v>39.477066823771196</v>
      </c>
      <c r="E296" s="385">
        <f t="shared" si="100"/>
        <v>40.328069596169506</v>
      </c>
      <c r="F296" s="385">
        <f t="shared" si="103"/>
        <v>40.33262866466238</v>
      </c>
      <c r="G296" s="110">
        <f t="shared" si="101"/>
        <v>0.96380644648474412</v>
      </c>
      <c r="H296" s="414" t="b">
        <f>Wh_hp&gt;='2026'!Maxi_hp</f>
        <v>0</v>
      </c>
      <c r="I296" s="390">
        <f>IF(H296,Wh_hp,'2026'!Maxi_hp)</f>
        <v>40.332835862182719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7.1967541033430504E-2</v>
      </c>
      <c r="M296" s="845"/>
      <c r="N296" s="845"/>
      <c r="O296" s="48">
        <f>IF(t&lt;Tnet,'2026'!Resal+('2026'!Salim-'2026'!Resal)*(1-EXP(('2026'!Tnet-t)/('2026'!Tau_j))),Resal+(Salim-Resal)*(1-EXP((Tnet-t)/(Tau_j))))*Salcycl</f>
        <v>2.1101996225456356E-2</v>
      </c>
      <c r="P296" s="169">
        <f>(INDEX(Models!$BJ296:$BT296,,T296)*(1-R296)+INDEX(Models!$BJ296:$BT296,,T296+1)*R296-ERP_i)*Q296*Ramure*Pc/MaxiM</f>
        <v>1.1919890809310864E-4</v>
      </c>
      <c r="Q296" s="305">
        <f t="shared" si="105"/>
        <v>0.5</v>
      </c>
      <c r="R296" s="177">
        <f t="shared" si="106"/>
        <v>0.46912198509740333</v>
      </c>
      <c r="S296" s="811">
        <f t="shared" si="107"/>
        <v>-1</v>
      </c>
      <c r="T296" s="176">
        <f t="shared" si="108"/>
        <v>5</v>
      </c>
      <c r="U296" s="251">
        <f t="shared" si="109"/>
        <v>-0.53087801490259667</v>
      </c>
      <c r="V296" s="383">
        <f t="shared" si="110"/>
        <v>38.01154655878323</v>
      </c>
      <c r="W296" s="402">
        <f t="shared" si="111"/>
        <v>36.635999397251965</v>
      </c>
      <c r="X296" s="157">
        <f t="shared" si="112"/>
        <v>46669</v>
      </c>
      <c r="Y296" s="385">
        <f t="shared" si="113"/>
        <v>34.862695387920461</v>
      </c>
      <c r="Z296" s="385">
        <f t="shared" si="114"/>
        <v>37.566245718110508</v>
      </c>
      <c r="AA296" s="386">
        <f t="shared" si="115"/>
        <v>40.284053555741821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6.7466096326940714E-2</v>
      </c>
      <c r="AD296" s="231">
        <f>(INDEX(Models!$BJ296:$BT296,,AH296)*(1-AF296)+INDEX(Models!$BJ296:$BT296,,AH296+1)*AF296-ERP_i)*AE296*Ramure*Pc/MaxiM</f>
        <v>1.2700181962359033E-3</v>
      </c>
      <c r="AE296" s="305">
        <f t="shared" si="117"/>
        <v>0.5</v>
      </c>
      <c r="AF296" s="177">
        <f t="shared" si="118"/>
        <v>0.99410955147138225</v>
      </c>
      <c r="AG296" s="811">
        <f t="shared" si="124"/>
        <v>2</v>
      </c>
      <c r="AH296" s="176">
        <f t="shared" si="119"/>
        <v>8</v>
      </c>
      <c r="AI296" s="225">
        <f t="shared" si="120"/>
        <v>2.9941095514713822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30.193745251852551</v>
      </c>
      <c r="C297" s="841"/>
      <c r="D297" s="393">
        <f t="shared" si="102"/>
        <v>32.53593804302097</v>
      </c>
      <c r="E297" s="385">
        <f t="shared" ref="E297:E360" si="125">Wh_pvt/(1-Psa)</f>
        <v>33.24002138042524</v>
      </c>
      <c r="F297" s="385">
        <f t="shared" si="103"/>
        <v>33.243030763836956</v>
      </c>
      <c r="G297" s="110">
        <f t="shared" ref="G297:G360" si="126">+Wh_hp/MaxiM</f>
        <v>0.80069813957148128</v>
      </c>
      <c r="H297" s="414" t="b">
        <f>Wh_hp&gt;='2026'!Maxi_hp</f>
        <v>0</v>
      </c>
      <c r="I297" s="390">
        <f>IF(H297,Wh_hp,'2026'!Maxi_hp)</f>
        <v>33.244018026867359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7.1987867326014365E-2</v>
      </c>
      <c r="M297" s="845"/>
      <c r="N297" s="845"/>
      <c r="O297" s="48">
        <f>IF(t&lt;Tnet,'2026'!Resal+('2026'!Salim-'2026'!Resal)*(1-EXP(('2026'!Tnet-t)/('2026'!Tau_j))),Resal+(Salim-Resal)*(1-EXP((Tnet-t)/(Tau_j))))*Salcycl</f>
        <v>2.1181795563431836E-2</v>
      </c>
      <c r="P297" s="169">
        <f>(INDEX(Models!$BJ297:$BT297,,T297)*(1-R297)+INDEX(Models!$BJ297:$BT297,,T297+1)*R297-ERP_i)*Q297*Ramure*Pc/MaxiM</f>
        <v>1.265534386995774E-4</v>
      </c>
      <c r="Q297" s="305">
        <f t="shared" si="105"/>
        <v>0.5</v>
      </c>
      <c r="R297" s="177">
        <f t="shared" si="106"/>
        <v>0.46925976155599447</v>
      </c>
      <c r="S297" s="811">
        <f t="shared" si="107"/>
        <v>-1</v>
      </c>
      <c r="T297" s="176">
        <f t="shared" si="108"/>
        <v>5</v>
      </c>
      <c r="U297" s="251">
        <f t="shared" si="109"/>
        <v>-0.53074023844400553</v>
      </c>
      <c r="V297" s="383">
        <f t="shared" si="110"/>
        <v>37.707914981238638</v>
      </c>
      <c r="W297" s="402">
        <f t="shared" si="111"/>
        <v>30.193745251852551</v>
      </c>
      <c r="X297" s="157">
        <f t="shared" si="112"/>
        <v>46670</v>
      </c>
      <c r="Y297" s="385">
        <f t="shared" si="113"/>
        <v>28.742638736971607</v>
      </c>
      <c r="Z297" s="385">
        <f t="shared" si="114"/>
        <v>30.972266121297586</v>
      </c>
      <c r="AA297" s="386">
        <f t="shared" si="115"/>
        <v>33.213353162330733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6.747548283004734E-2</v>
      </c>
      <c r="AD297" s="231">
        <f>(INDEX(Models!$BJ297:$BT297,,AH297)*(1-AF297)+INDEX(Models!$BJ297:$BT297,,AH297+1)*AF297-ERP_i)*AE297*Ramure*Pc/MaxiM</f>
        <v>1.2480305794025435E-3</v>
      </c>
      <c r="AE297" s="305">
        <f t="shared" si="117"/>
        <v>0.5</v>
      </c>
      <c r="AF297" s="177">
        <f t="shared" si="118"/>
        <v>0.9942473279299735</v>
      </c>
      <c r="AG297" s="811">
        <f t="shared" si="124"/>
        <v>2</v>
      </c>
      <c r="AH297" s="176">
        <f t="shared" si="119"/>
        <v>8</v>
      </c>
      <c r="AI297" s="225">
        <f t="shared" si="120"/>
        <v>2.9942473279299735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21.955859490752818</v>
      </c>
      <c r="C298" s="841"/>
      <c r="D298" s="393">
        <f t="shared" si="102"/>
        <v>23.659540234341087</v>
      </c>
      <c r="E298" s="385">
        <f t="shared" si="125"/>
        <v>24.173495702132136</v>
      </c>
      <c r="F298" s="385">
        <f t="shared" si="103"/>
        <v>24.174812557264229</v>
      </c>
      <c r="G298" s="110">
        <f t="shared" si="126"/>
        <v>0.5869398765686118</v>
      </c>
      <c r="H298" s="414" t="b">
        <f>Wh_hp&gt;='2026'!Maxi_hp</f>
        <v>0</v>
      </c>
      <c r="I298" s="390">
        <f>IF(H298,Wh_hp,'2026'!Maxi_hp)</f>
        <v>42.375150802238252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7.2008193173400237E-2</v>
      </c>
      <c r="M298" s="845"/>
      <c r="N298" s="845"/>
      <c r="O298" s="48">
        <f>IF(t&lt;Tnet,'2026'!Resal+('2026'!Salim-'2026'!Resal)*(1-EXP(('2026'!Tnet-t)/('2026'!Tau_j))),Resal+(Salim-Resal)*(1-EXP((Tnet-t)/(Tau_j))))*Salcycl</f>
        <v>2.1261114822781719E-2</v>
      </c>
      <c r="P298" s="169">
        <f>(INDEX(Models!$BJ298:$BT298,,T298)*(1-R298)+INDEX(Models!$BJ298:$BT298,,T298+1)*R298-ERP_i)*Q298*Ramure*Pc/MaxiM</f>
        <v>1.3286554497682167E-4</v>
      </c>
      <c r="Q298" s="305">
        <f t="shared" si="105"/>
        <v>0.5</v>
      </c>
      <c r="R298" s="177">
        <f t="shared" si="106"/>
        <v>0.46939206252936083</v>
      </c>
      <c r="S298" s="811">
        <f t="shared" si="107"/>
        <v>-1</v>
      </c>
      <c r="T298" s="176">
        <f t="shared" si="108"/>
        <v>5</v>
      </c>
      <c r="U298" s="251">
        <f t="shared" si="109"/>
        <v>-0.53060793747063917</v>
      </c>
      <c r="V298" s="383">
        <f t="shared" si="110"/>
        <v>37.404407299753167</v>
      </c>
      <c r="W298" s="402">
        <f t="shared" si="111"/>
        <v>21.955859490752818</v>
      </c>
      <c r="X298" s="157">
        <f t="shared" si="112"/>
        <v>46671</v>
      </c>
      <c r="Y298" s="385">
        <f t="shared" si="113"/>
        <v>20.909607136453705</v>
      </c>
      <c r="Z298" s="385">
        <f t="shared" si="114"/>
        <v>22.5321031744419</v>
      </c>
      <c r="AA298" s="386">
        <f t="shared" si="115"/>
        <v>24.162694477799064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6.7483835664742142E-2</v>
      </c>
      <c r="AD298" s="231">
        <f>(INDEX(Models!$BJ298:$BT298,,AH298)*(1-AF298)+INDEX(Models!$BJ298:$BT298,,AH298+1)*AF298-ERP_i)*AE298*Ramure*Pc/MaxiM</f>
        <v>1.2226669380491148E-3</v>
      </c>
      <c r="AE298" s="305">
        <f t="shared" si="117"/>
        <v>0.5</v>
      </c>
      <c r="AF298" s="177">
        <f t="shared" si="118"/>
        <v>0.99437962890333953</v>
      </c>
      <c r="AG298" s="811">
        <f t="shared" si="124"/>
        <v>2</v>
      </c>
      <c r="AH298" s="176">
        <f t="shared" si="119"/>
        <v>8</v>
      </c>
      <c r="AI298" s="225">
        <f t="shared" si="120"/>
        <v>2.9943796289033395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27.421962273459538</v>
      </c>
      <c r="C299" s="841"/>
      <c r="D299" s="393">
        <f t="shared" si="102"/>
        <v>29.5504364329902</v>
      </c>
      <c r="E299" s="385">
        <f t="shared" si="125"/>
        <v>30.194791876587672</v>
      </c>
      <c r="F299" s="385">
        <f t="shared" si="103"/>
        <v>30.197408309292697</v>
      </c>
      <c r="G299" s="110">
        <f t="shared" si="126"/>
        <v>0.73907802475477846</v>
      </c>
      <c r="H299" s="414" t="b">
        <f>Wh_hp&gt;='2026'!Maxi_hp</f>
        <v>0</v>
      </c>
      <c r="I299" s="390">
        <f>IF(H299,Wh_hp,'2026'!Maxi_hp)</f>
        <v>39.768274465309958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7.2028518575598E-2</v>
      </c>
      <c r="M299" s="845"/>
      <c r="N299" s="845"/>
      <c r="O299" s="48">
        <f>IF(t&lt;Tnet,'2026'!Resal+('2026'!Salim-'2026'!Resal)*(1-EXP(('2026'!Tnet-t)/('2026'!Tau_j))),Resal+(Salim-Resal)*(1-EXP((Tnet-t)/(Tau_j))))*Salcycl</f>
        <v>2.1339953135993964E-2</v>
      </c>
      <c r="P299" s="169">
        <f>(INDEX(Models!$BJ299:$BT299,,T299)*(1-R299)+INDEX(Models!$BJ299:$BT299,,T299+1)*R299-ERP_i)*Q299*Ramure*Pc/MaxiM</f>
        <v>1.3812064632096093E-4</v>
      </c>
      <c r="Q299" s="305">
        <f t="shared" si="105"/>
        <v>0.5</v>
      </c>
      <c r="R299" s="177">
        <f t="shared" si="106"/>
        <v>0.46951910286426224</v>
      </c>
      <c r="S299" s="811">
        <f t="shared" si="107"/>
        <v>-1</v>
      </c>
      <c r="T299" s="176">
        <f t="shared" si="108"/>
        <v>5</v>
      </c>
      <c r="U299" s="251">
        <f t="shared" si="109"/>
        <v>-0.53048089713573776</v>
      </c>
      <c r="V299" s="383">
        <f t="shared" si="110"/>
        <v>37.101022692793357</v>
      </c>
      <c r="W299" s="402">
        <f t="shared" si="111"/>
        <v>27.421962273459538</v>
      </c>
      <c r="X299" s="157">
        <f t="shared" si="112"/>
        <v>46672</v>
      </c>
      <c r="Y299" s="385">
        <f t="shared" si="113"/>
        <v>26.111503204561721</v>
      </c>
      <c r="Z299" s="385">
        <f t="shared" si="114"/>
        <v>28.13826041774638</v>
      </c>
      <c r="AA299" s="386">
        <f t="shared" si="115"/>
        <v>30.17479219598042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6.7491161662592128E-2</v>
      </c>
      <c r="AD299" s="231">
        <f>(INDEX(Models!$BJ299:$BT299,,AH299)*(1-AF299)+INDEX(Models!$BJ299:$BT299,,AH299+1)*AF299-ERP_i)*AE299*Ramure*Pc/MaxiM</f>
        <v>1.1938973939436676E-3</v>
      </c>
      <c r="AE299" s="305">
        <f t="shared" si="117"/>
        <v>0.5</v>
      </c>
      <c r="AF299" s="177">
        <f t="shared" si="118"/>
        <v>0.99450666923824116</v>
      </c>
      <c r="AG299" s="811">
        <f t="shared" si="124"/>
        <v>2</v>
      </c>
      <c r="AH299" s="176">
        <f t="shared" si="119"/>
        <v>8</v>
      </c>
      <c r="AI299" s="225">
        <f t="shared" si="120"/>
        <v>2.9945066692382412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22.629630630350139</v>
      </c>
      <c r="C300" s="841"/>
      <c r="D300" s="393">
        <f t="shared" si="102"/>
        <v>24.386661380431786</v>
      </c>
      <c r="E300" s="385">
        <f t="shared" si="125"/>
        <v>24.920414562559724</v>
      </c>
      <c r="F300" s="385">
        <f t="shared" si="103"/>
        <v>24.92201035968672</v>
      </c>
      <c r="G300" s="110">
        <f t="shared" si="126"/>
        <v>0.61492490483887374</v>
      </c>
      <c r="H300" s="414" t="b">
        <f>Wh_hp&gt;='2026'!Maxi_hp</f>
        <v>0</v>
      </c>
      <c r="I300" s="390">
        <f>IF(H300,Wh_hp,'2026'!Maxi_hp)</f>
        <v>39.855056795061437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7.2048843532617202E-2</v>
      </c>
      <c r="M300" s="845"/>
      <c r="N300" s="845"/>
      <c r="O300" s="48">
        <f>IF(t&lt;Tnet,'2026'!Resal+('2026'!Salim-'2026'!Resal)*(1-EXP(('2026'!Tnet-t)/('2026'!Tau_j))),Resal+(Salim-Resal)*(1-EXP((Tnet-t)/(Tau_j))))*Salcycl</f>
        <v>2.1418310710201744E-2</v>
      </c>
      <c r="P300" s="169">
        <f>(INDEX(Models!$BJ300:$BT300,,T300)*(1-R300)+INDEX(Models!$BJ300:$BT300,,T300+1)*R300-ERP_i)*Q300*Ramure*Pc/MaxiM</f>
        <v>1.4230470501396217E-4</v>
      </c>
      <c r="Q300" s="305">
        <f t="shared" si="105"/>
        <v>0.5</v>
      </c>
      <c r="R300" s="177">
        <f t="shared" si="106"/>
        <v>0.46964108919385639</v>
      </c>
      <c r="S300" s="811">
        <f t="shared" si="107"/>
        <v>-1</v>
      </c>
      <c r="T300" s="176">
        <f t="shared" si="108"/>
        <v>5</v>
      </c>
      <c r="U300" s="251">
        <f t="shared" si="109"/>
        <v>-0.53035891080614361</v>
      </c>
      <c r="V300" s="383">
        <f t="shared" si="110"/>
        <v>36.797760260241226</v>
      </c>
      <c r="W300" s="402">
        <f t="shared" si="111"/>
        <v>22.629630630350139</v>
      </c>
      <c r="X300" s="157">
        <f t="shared" si="112"/>
        <v>46673</v>
      </c>
      <c r="Y300" s="385">
        <f t="shared" si="113"/>
        <v>21.554161628990308</v>
      </c>
      <c r="Z300" s="385">
        <f t="shared" si="114"/>
        <v>23.227689818335744</v>
      </c>
      <c r="AA300" s="386">
        <f t="shared" si="115"/>
        <v>24.90898318609511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6.7497470900293899E-2</v>
      </c>
      <c r="AD300" s="231">
        <f>(INDEX(Models!$BJ300:$BT300,,AH300)*(1-AF300)+INDEX(Models!$BJ300:$BT300,,AH300+1)*AF300-ERP_i)*AE300*Ramure*Pc/MaxiM</f>
        <v>1.1616940924123647E-3</v>
      </c>
      <c r="AE300" s="305">
        <f t="shared" si="117"/>
        <v>0.5</v>
      </c>
      <c r="AF300" s="177">
        <f t="shared" si="118"/>
        <v>0.9946286555678352</v>
      </c>
      <c r="AG300" s="811">
        <f t="shared" si="124"/>
        <v>2</v>
      </c>
      <c r="AH300" s="176">
        <f t="shared" si="119"/>
        <v>8</v>
      </c>
      <c r="AI300" s="225">
        <f t="shared" si="120"/>
        <v>2.9946286555678352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19.207636202359058</v>
      </c>
      <c r="C301" s="841"/>
      <c r="D301" s="393">
        <f t="shared" si="102"/>
        <v>20.69942666080042</v>
      </c>
      <c r="E301" s="385">
        <f t="shared" si="125"/>
        <v>21.154160490232897</v>
      </c>
      <c r="F301" s="385">
        <f t="shared" si="103"/>
        <v>21.155154995504006</v>
      </c>
      <c r="G301" s="110">
        <f t="shared" si="126"/>
        <v>0.52626241095089865</v>
      </c>
      <c r="H301" s="414" t="b">
        <f>Wh_hp&gt;='2026'!Maxi_hp</f>
        <v>0</v>
      </c>
      <c r="I301" s="390">
        <f>IF(H301,Wh_hp,'2026'!Maxi_hp)</f>
        <v>41.909965007378638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7.2069168044467724E-2</v>
      </c>
      <c r="M301" s="845"/>
      <c r="N301" s="845"/>
      <c r="O301" s="48">
        <f>IF(t&lt;Tnet,'2026'!Resal+('2026'!Salim-'2026'!Resal)*(1-EXP(('2026'!Tnet-t)/('2026'!Tau_j))),Resal+(Salim-Resal)*(1-EXP((Tnet-t)/(Tau_j))))*Salcycl</f>
        <v>2.1496188877002834E-2</v>
      </c>
      <c r="P301" s="169">
        <f>(INDEX(Models!$BJ301:$BT301,,T301)*(1-R301)+INDEX(Models!$BJ301:$BT301,,T301+1)*R301-ERP_i)*Q301*Ramure*Pc/MaxiM</f>
        <v>1.4540425446915982E-4</v>
      </c>
      <c r="Q301" s="305">
        <f t="shared" si="105"/>
        <v>0.5</v>
      </c>
      <c r="R301" s="177">
        <f t="shared" si="106"/>
        <v>0.4697582202346372</v>
      </c>
      <c r="S301" s="811">
        <f t="shared" si="107"/>
        <v>-1</v>
      </c>
      <c r="T301" s="176">
        <f t="shared" si="108"/>
        <v>5</v>
      </c>
      <c r="U301" s="251">
        <f t="shared" si="109"/>
        <v>-0.5302417797653628</v>
      </c>
      <c r="V301" s="383">
        <f t="shared" si="110"/>
        <v>36.494619022980153</v>
      </c>
      <c r="W301" s="402">
        <f t="shared" si="111"/>
        <v>19.207636202359058</v>
      </c>
      <c r="X301" s="157">
        <f t="shared" si="112"/>
        <v>46674</v>
      </c>
      <c r="Y301" s="385">
        <f t="shared" si="113"/>
        <v>18.29874179478745</v>
      </c>
      <c r="Z301" s="385">
        <f t="shared" si="114"/>
        <v>19.719941578214907</v>
      </c>
      <c r="AA301" s="386">
        <f t="shared" si="115"/>
        <v>21.147453405309022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6.7502776799391845E-2</v>
      </c>
      <c r="AD301" s="231">
        <f>(INDEX(Models!$BJ301:$BT301,,AH301)*(1-AF301)+INDEX(Models!$BJ301:$BT301,,AH301+1)*AF301-ERP_i)*AE301*Ramure*Pc/MaxiM</f>
        <v>1.1260312167884711E-3</v>
      </c>
      <c r="AE301" s="305">
        <f t="shared" si="117"/>
        <v>0.5</v>
      </c>
      <c r="AF301" s="177">
        <f t="shared" si="118"/>
        <v>0.99474578660861601</v>
      </c>
      <c r="AG301" s="811">
        <f t="shared" si="124"/>
        <v>2</v>
      </c>
      <c r="AH301" s="176">
        <f t="shared" si="119"/>
        <v>8</v>
      </c>
      <c r="AI301" s="225">
        <f t="shared" si="120"/>
        <v>2.994745786608616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35.568882924829801</v>
      </c>
      <c r="C302" s="841"/>
      <c r="D302" s="393">
        <f t="shared" si="102"/>
        <v>38.332234221331589</v>
      </c>
      <c r="E302" s="385">
        <f t="shared" si="125"/>
        <v>39.177432083735184</v>
      </c>
      <c r="F302" s="385">
        <f t="shared" si="103"/>
        <v>39.183065948674034</v>
      </c>
      <c r="G302" s="110">
        <f t="shared" si="126"/>
        <v>0.98279037323738405</v>
      </c>
      <c r="H302" s="414" t="b">
        <f>Wh_hp&gt;='2026'!Maxi_hp</f>
        <v>0</v>
      </c>
      <c r="I302" s="390">
        <f>IF(H302,Wh_hp,'2026'!Maxi_hp)</f>
        <v>39.1831766174584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7.2089492111159226E-2</v>
      </c>
      <c r="M302" s="845"/>
      <c r="N302" s="845"/>
      <c r="O302" s="48">
        <f>IF(t&lt;Tnet,'2026'!Resal+('2026'!Salim-'2026'!Resal)*(1-EXP(('2026'!Tnet-t)/('2026'!Tau_j))),Resal+(Salim-Resal)*(1-EXP((Tnet-t)/(Tau_j))))*Salcycl</f>
        <v>2.1573590137228146E-2</v>
      </c>
      <c r="P302" s="169">
        <f>(INDEX(Models!$BJ302:$BT302,,T302)*(1-R302)+INDEX(Models!$BJ302:$BT302,,T302+1)*R302-ERP_i)*Q302*Ramure*Pc/MaxiM</f>
        <v>1.4740642098843315E-4</v>
      </c>
      <c r="Q302" s="305">
        <f t="shared" si="105"/>
        <v>0.5</v>
      </c>
      <c r="R302" s="177">
        <f t="shared" si="106"/>
        <v>0.46987068707400326</v>
      </c>
      <c r="S302" s="811">
        <f t="shared" si="107"/>
        <v>-1</v>
      </c>
      <c r="T302" s="176">
        <f t="shared" si="108"/>
        <v>5</v>
      </c>
      <c r="U302" s="251">
        <f t="shared" si="109"/>
        <v>-0.53012931292599674</v>
      </c>
      <c r="V302" s="383">
        <f t="shared" si="110"/>
        <v>36.191597923057238</v>
      </c>
      <c r="W302" s="402">
        <f t="shared" si="111"/>
        <v>35.568882924829801</v>
      </c>
      <c r="X302" s="157">
        <f t="shared" si="112"/>
        <v>46675</v>
      </c>
      <c r="Y302" s="385">
        <f t="shared" si="113"/>
        <v>33.867986157467342</v>
      </c>
      <c r="Z302" s="385">
        <f t="shared" si="114"/>
        <v>36.499194555435039</v>
      </c>
      <c r="AA302" s="386">
        <f t="shared" si="115"/>
        <v>39.14152526740822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6.7507096208469827E-2</v>
      </c>
      <c r="AD302" s="231">
        <f>(INDEX(Models!$BJ302:$BT302,,AH302)*(1-AF302)+INDEX(Models!$BJ302:$BT302,,AH302+1)*AF302-ERP_i)*AE302*Ramure*Pc/MaxiM</f>
        <v>1.0868849745738912E-3</v>
      </c>
      <c r="AE302" s="305">
        <f t="shared" si="117"/>
        <v>0.5</v>
      </c>
      <c r="AF302" s="177">
        <f t="shared" si="118"/>
        <v>0.99485825344798196</v>
      </c>
      <c r="AG302" s="811">
        <f t="shared" si="124"/>
        <v>2</v>
      </c>
      <c r="AH302" s="176">
        <f t="shared" si="119"/>
        <v>8</v>
      </c>
      <c r="AI302" s="225">
        <f t="shared" si="120"/>
        <v>2.994858253447982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31.942624287870746</v>
      </c>
      <c r="C303" s="841"/>
      <c r="D303" s="393">
        <f t="shared" si="102"/>
        <v>34.425005059293731</v>
      </c>
      <c r="E303" s="385">
        <f t="shared" si="125"/>
        <v>35.186817900656429</v>
      </c>
      <c r="F303" s="385">
        <f t="shared" si="103"/>
        <v>35.191217230247425</v>
      </c>
      <c r="G303" s="110">
        <f t="shared" si="126"/>
        <v>0.89004716699511999</v>
      </c>
      <c r="H303" s="414" t="b">
        <f>Wh_hp&gt;='2026'!Maxi_hp</f>
        <v>0</v>
      </c>
      <c r="I303" s="390">
        <f>IF(H303,Wh_hp,'2026'!Maxi_hp)</f>
        <v>38.517225515333379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7.2109815732701477E-2</v>
      </c>
      <c r="M303" s="845"/>
      <c r="N303" s="845"/>
      <c r="O303" s="48">
        <f>IF(t&lt;Tnet,'2026'!Resal+('2026'!Salim-'2026'!Resal)*(1-EXP(('2026'!Tnet-t)/('2026'!Tau_j))),Resal+(Salim-Resal)*(1-EXP((Tnet-t)/(Tau_j))))*Salcycl</f>
        <v>2.1650518200126451E-2</v>
      </c>
      <c r="P303" s="169">
        <f>(INDEX(Models!$BJ303:$BT303,,T303)*(1-R303)+INDEX(Models!$BJ303:$BT303,,T303+1)*R303-ERP_i)*Q303*Ramure*Pc/MaxiM</f>
        <v>1.4830242818596642E-4</v>
      </c>
      <c r="Q303" s="305">
        <f t="shared" si="105"/>
        <v>0.5</v>
      </c>
      <c r="R303" s="177">
        <f t="shared" si="106"/>
        <v>0.4699786734486362</v>
      </c>
      <c r="S303" s="811">
        <f t="shared" si="107"/>
        <v>-1</v>
      </c>
      <c r="T303" s="176">
        <f t="shared" si="108"/>
        <v>5</v>
      </c>
      <c r="U303" s="251">
        <f t="shared" si="109"/>
        <v>-0.5300213265513638</v>
      </c>
      <c r="V303" s="383">
        <f t="shared" si="110"/>
        <v>35.887851146097695</v>
      </c>
      <c r="W303" s="402">
        <f t="shared" si="111"/>
        <v>31.942624287870746</v>
      </c>
      <c r="X303" s="157">
        <f t="shared" si="112"/>
        <v>46676</v>
      </c>
      <c r="Y303" s="385">
        <f t="shared" si="113"/>
        <v>30.422323637014774</v>
      </c>
      <c r="Z303" s="385">
        <f t="shared" si="114"/>
        <v>32.786556160239513</v>
      </c>
      <c r="AA303" s="386">
        <f t="shared" si="115"/>
        <v>35.160239749051321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6.7510449466598219E-2</v>
      </c>
      <c r="AD303" s="231">
        <f>(INDEX(Models!$BJ303:$BT303,,AH303)*(1-AF303)+INDEX(Models!$BJ303:$BT303,,AH303+1)*AF303-ERP_i)*AE303*Ramure*Pc/MaxiM</f>
        <v>1.0442581273903985E-3</v>
      </c>
      <c r="AE303" s="305">
        <f t="shared" si="117"/>
        <v>0.5</v>
      </c>
      <c r="AF303" s="177">
        <f t="shared" si="118"/>
        <v>0.9949662398226149</v>
      </c>
      <c r="AG303" s="811">
        <f t="shared" si="124"/>
        <v>2</v>
      </c>
      <c r="AH303" s="176">
        <f t="shared" si="119"/>
        <v>8</v>
      </c>
      <c r="AI303" s="225">
        <f t="shared" si="120"/>
        <v>2.9949662398226149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19.382543398359442</v>
      </c>
      <c r="C304" s="841"/>
      <c r="D304" s="393">
        <f t="shared" si="102"/>
        <v>20.88929084901131</v>
      </c>
      <c r="E304" s="385">
        <f t="shared" si="125"/>
        <v>21.353232052394159</v>
      </c>
      <c r="F304" s="385">
        <f t="shared" si="103"/>
        <v>21.354337505184304</v>
      </c>
      <c r="G304" s="110">
        <f t="shared" si="126"/>
        <v>0.54466428323998373</v>
      </c>
      <c r="H304" s="414" t="b">
        <f>Wh_hp&gt;='2026'!Maxi_hp</f>
        <v>0</v>
      </c>
      <c r="I304" s="390">
        <f>IF(H304,Wh_hp,'2026'!Maxi_hp)</f>
        <v>36.170374756257267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7.2130138909104358E-2</v>
      </c>
      <c r="M304" s="845"/>
      <c r="N304" s="845"/>
      <c r="O304" s="48">
        <f>IF(t&lt;Tnet,'2026'!Resal+('2026'!Salim-'2026'!Resal)*(1-EXP(('2026'!Tnet-t)/('2026'!Tau_j))),Resal+(Salim-Resal)*(1-EXP((Tnet-t)/(Tau_j))))*Salcycl</f>
        <v>2.1726978016465198E-2</v>
      </c>
      <c r="P304" s="169">
        <f>(INDEX(Models!$BJ304:$BT304,,T304)*(1-R304)+INDEX(Models!$BJ304:$BT304,,T304+1)*R304-ERP_i)*Q304*Ramure*Pc/MaxiM</f>
        <v>1.4807728584408317E-4</v>
      </c>
      <c r="Q304" s="305">
        <f t="shared" si="105"/>
        <v>0.5</v>
      </c>
      <c r="R304" s="177">
        <f t="shared" si="106"/>
        <v>0.47008235601388104</v>
      </c>
      <c r="S304" s="811">
        <f t="shared" si="107"/>
        <v>-1</v>
      </c>
      <c r="T304" s="176">
        <f t="shared" si="108"/>
        <v>5</v>
      </c>
      <c r="U304" s="251">
        <f t="shared" si="109"/>
        <v>-0.52991764398611896</v>
      </c>
      <c r="V304" s="383">
        <f t="shared" si="110"/>
        <v>35.582793222052409</v>
      </c>
      <c r="W304" s="402">
        <f t="shared" si="111"/>
        <v>19.382543398359442</v>
      </c>
      <c r="X304" s="157">
        <f t="shared" si="112"/>
        <v>46677</v>
      </c>
      <c r="Y304" s="385">
        <f t="shared" si="113"/>
        <v>18.469879157599674</v>
      </c>
      <c r="Z304" s="385">
        <f t="shared" si="114"/>
        <v>19.905678513886265</v>
      </c>
      <c r="AA304" s="386">
        <f t="shared" si="115"/>
        <v>21.346866535261007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6.7512860446949916E-2</v>
      </c>
      <c r="AD304" s="231">
        <f>(INDEX(Models!$BJ304:$BT304,,AH304)*(1-AF304)+INDEX(Models!$BJ304:$BT304,,AH304+1)*AF304-ERP_i)*AE304*Ramure*Pc/MaxiM</f>
        <v>1.0007491579253863E-3</v>
      </c>
      <c r="AE304" s="305">
        <f t="shared" si="117"/>
        <v>0.5</v>
      </c>
      <c r="AF304" s="177">
        <f t="shared" si="118"/>
        <v>0.99506992238785985</v>
      </c>
      <c r="AG304" s="811">
        <f t="shared" si="124"/>
        <v>2</v>
      </c>
      <c r="AH304" s="176">
        <f t="shared" si="119"/>
        <v>8</v>
      </c>
      <c r="AI304" s="225">
        <f t="shared" si="120"/>
        <v>2.9950699223878599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32.90006494213889</v>
      </c>
      <c r="C305" s="841"/>
      <c r="D305" s="393">
        <f t="shared" si="102"/>
        <v>35.458405249954701</v>
      </c>
      <c r="E305" s="385">
        <f t="shared" si="125"/>
        <v>36.248735554208018</v>
      </c>
      <c r="F305" s="385">
        <f t="shared" si="103"/>
        <v>36.253556121652537</v>
      </c>
      <c r="G305" s="110">
        <f t="shared" si="126"/>
        <v>0.93261294462098732</v>
      </c>
      <c r="H305" s="414" t="b">
        <f>Wh_hp&gt;='2026'!Maxi_hp</f>
        <v>0</v>
      </c>
      <c r="I305" s="390">
        <f>IF(H305,Wh_hp,'2026'!Maxi_hp)</f>
        <v>37.794322636082605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7.2150461640377417E-2</v>
      </c>
      <c r="M305" s="845"/>
      <c r="N305" s="845"/>
      <c r="O305" s="48">
        <f>IF(t&lt;Tnet,'2026'!Resal+('2026'!Salim-'2026'!Resal)*(1-EXP(('2026'!Tnet-t)/('2026'!Tau_j))),Resal+(Salim-Resal)*(1-EXP((Tnet-t)/(Tau_j))))*Salcycl</f>
        <v>2.180297580508499E-2</v>
      </c>
      <c r="P305" s="169">
        <f>(INDEX(Models!$BJ305:$BT305,,T305)*(1-R305)+INDEX(Models!$BJ305:$BT305,,T305+1)*R305-ERP_i)*Q305*Ramure*Pc/MaxiM</f>
        <v>1.4712905596823701E-4</v>
      </c>
      <c r="Q305" s="305">
        <f t="shared" si="105"/>
        <v>0.5</v>
      </c>
      <c r="R305" s="177">
        <f t="shared" si="106"/>
        <v>0.47018190460432152</v>
      </c>
      <c r="S305" s="811">
        <f t="shared" si="107"/>
        <v>-1</v>
      </c>
      <c r="T305" s="176">
        <f t="shared" si="108"/>
        <v>5</v>
      </c>
      <c r="U305" s="251">
        <f t="shared" si="109"/>
        <v>-0.52981809539567848</v>
      </c>
      <c r="V305" s="383">
        <f t="shared" si="110"/>
        <v>35.276798563052239</v>
      </c>
      <c r="W305" s="402">
        <f t="shared" si="111"/>
        <v>32.90006494213889</v>
      </c>
      <c r="X305" s="157">
        <f t="shared" si="112"/>
        <v>46678</v>
      </c>
      <c r="Y305" s="385">
        <f t="shared" si="113"/>
        <v>31.339578565413674</v>
      </c>
      <c r="Z305" s="385">
        <f t="shared" si="114"/>
        <v>33.776573969977939</v>
      </c>
      <c r="AA305" s="386">
        <f t="shared" si="115"/>
        <v>36.22208471337472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6.7514356579642151E-2</v>
      </c>
      <c r="AD305" s="231">
        <f>(INDEX(Models!$BJ305:$BT305,,AH305)*(1-AF305)+INDEX(Models!$BJ305:$BT305,,AH305+1)*AF305-ERP_i)*AE305*Ramure*Pc/MaxiM</f>
        <v>9.6054222727934063E-4</v>
      </c>
      <c r="AE305" s="305">
        <f t="shared" si="117"/>
        <v>0.5</v>
      </c>
      <c r="AF305" s="177">
        <f t="shared" si="118"/>
        <v>0.99516947097830055</v>
      </c>
      <c r="AG305" s="811">
        <f t="shared" si="124"/>
        <v>2</v>
      </c>
      <c r="AH305" s="176">
        <f t="shared" si="119"/>
        <v>8</v>
      </c>
      <c r="AI305" s="225">
        <f t="shared" si="120"/>
        <v>2.9951694709783006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15.15378970408304</v>
      </c>
      <c r="C306" s="841"/>
      <c r="D306" s="393">
        <f t="shared" si="102"/>
        <v>16.332520513002578</v>
      </c>
      <c r="E306" s="385">
        <f t="shared" si="125"/>
        <v>16.697844625102331</v>
      </c>
      <c r="F306" s="385">
        <f t="shared" si="103"/>
        <v>16.698307248360507</v>
      </c>
      <c r="G306" s="110">
        <f t="shared" si="126"/>
        <v>0.43328265433746199</v>
      </c>
      <c r="H306" s="414" t="b">
        <f>Wh_hp&gt;='2026'!Maxi_hp</f>
        <v>0</v>
      </c>
      <c r="I306" s="390">
        <f>IF(H306,Wh_hp,'2026'!Maxi_hp)</f>
        <v>37.715287299843339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7.2170783926530646E-2</v>
      </c>
      <c r="M306" s="845"/>
      <c r="N306" s="845"/>
      <c r="O306" s="48">
        <f>IF(t&lt;Tnet,'2026'!Resal+('2026'!Salim-'2026'!Resal)*(1-EXP(('2026'!Tnet-t)/('2026'!Tau_j))),Resal+(Salim-Resal)*(1-EXP((Tnet-t)/(Tau_j))))*Salcycl</f>
        <v>2.1878519072488573E-2</v>
      </c>
      <c r="P306" s="169">
        <f>(INDEX(Models!$BJ306:$BT306,,T306)*(1-R306)+INDEX(Models!$BJ306:$BT306,,T306+1)*R306-ERP_i)*Q306*Ramure*Pc/MaxiM</f>
        <v>1.4544982191219168E-4</v>
      </c>
      <c r="Q306" s="305">
        <f t="shared" si="105"/>
        <v>0.5</v>
      </c>
      <c r="R306" s="177">
        <f t="shared" si="106"/>
        <v>0.47027748248575163</v>
      </c>
      <c r="S306" s="811">
        <f t="shared" si="107"/>
        <v>-1</v>
      </c>
      <c r="T306" s="176">
        <f t="shared" si="108"/>
        <v>5</v>
      </c>
      <c r="U306" s="251">
        <f t="shared" si="109"/>
        <v>-0.52972251751424837</v>
      </c>
      <c r="V306" s="383">
        <f t="shared" si="110"/>
        <v>34.970256066476416</v>
      </c>
      <c r="W306" s="402">
        <f t="shared" si="111"/>
        <v>15.15378970408304</v>
      </c>
      <c r="X306" s="157">
        <f t="shared" si="112"/>
        <v>46679</v>
      </c>
      <c r="Y306" s="385">
        <f t="shared" si="113"/>
        <v>14.444614136690195</v>
      </c>
      <c r="Z306" s="385">
        <f t="shared" si="114"/>
        <v>15.568182038736762</v>
      </c>
      <c r="AA306" s="386">
        <f t="shared" si="115"/>
        <v>16.695369382592052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6.7514968853015389E-2</v>
      </c>
      <c r="AD306" s="231">
        <f>(INDEX(Models!$BJ306:$BT306,,AH306)*(1-AF306)+INDEX(Models!$BJ306:$BT306,,AH306+1)*AF306-ERP_i)*AE306*Ramure*Pc/MaxiM</f>
        <v>9.2367178967116964E-4</v>
      </c>
      <c r="AE306" s="305">
        <f t="shared" si="117"/>
        <v>0.5</v>
      </c>
      <c r="AF306" s="177">
        <f t="shared" si="118"/>
        <v>0.99526504885973033</v>
      </c>
      <c r="AG306" s="811">
        <f t="shared" si="124"/>
        <v>2</v>
      </c>
      <c r="AH306" s="176">
        <f t="shared" si="119"/>
        <v>8</v>
      </c>
      <c r="AI306" s="225">
        <f t="shared" si="120"/>
        <v>2.9952650488597303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6.2776097941947411</v>
      </c>
      <c r="C307" s="841"/>
      <c r="D307" s="393">
        <f t="shared" si="102"/>
        <v>6.7660590809362615</v>
      </c>
      <c r="E307" s="385">
        <f t="shared" si="125"/>
        <v>6.9179327237925898</v>
      </c>
      <c r="F307" s="385">
        <f t="shared" si="103"/>
        <v>6.9179327237925898</v>
      </c>
      <c r="G307" s="110">
        <f t="shared" si="126"/>
        <v>0.18107525327849133</v>
      </c>
      <c r="H307" s="414" t="b">
        <f>Wh_hp&gt;='2026'!Maxi_hp</f>
        <v>0</v>
      </c>
      <c r="I307" s="390">
        <f>IF(H307,Wh_hp,'2026'!Maxi_hp)</f>
        <v>31.908942257613869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7.2191105767573482E-2</v>
      </c>
      <c r="M307" s="845"/>
      <c r="N307" s="845"/>
      <c r="O307" s="48">
        <f>IF(t&lt;Tnet,'2026'!Resal+('2026'!Salim-'2026'!Resal)*(1-EXP(('2026'!Tnet-t)/('2026'!Tau_j))),Resal+(Salim-Resal)*(1-EXP((Tnet-t)/(Tau_j))))*Salcycl</f>
        <v>2.1953616625093098E-2</v>
      </c>
      <c r="P307" s="169">
        <f>(INDEX(Models!$BJ307:$BT307,,T307)*(1-R307)+INDEX(Models!$BJ307:$BT307,,T307+1)*R307-ERP_i)*Q307*Ramure*Pc/MaxiM</f>
        <v>1.4303195146656716E-4</v>
      </c>
      <c r="Q307" s="305">
        <f t="shared" si="105"/>
        <v>0.5</v>
      </c>
      <c r="R307" s="177">
        <f t="shared" si="106"/>
        <v>0.47036924659874502</v>
      </c>
      <c r="S307" s="811">
        <f t="shared" si="107"/>
        <v>-1</v>
      </c>
      <c r="T307" s="176">
        <f t="shared" si="108"/>
        <v>5</v>
      </c>
      <c r="U307" s="251">
        <f t="shared" si="109"/>
        <v>-0.52963075340125498</v>
      </c>
      <c r="V307" s="383">
        <f t="shared" si="110"/>
        <v>34.663554416029626</v>
      </c>
      <c r="W307" s="402">
        <f t="shared" si="111"/>
        <v>6.2776097941947411</v>
      </c>
      <c r="X307" s="157">
        <f t="shared" si="112"/>
        <v>46680</v>
      </c>
      <c r="Y307" s="385">
        <f t="shared" si="113"/>
        <v>5.985174887555833</v>
      </c>
      <c r="Z307" s="385">
        <f t="shared" si="114"/>
        <v>6.4508703513856158</v>
      </c>
      <c r="AA307" s="386">
        <f t="shared" si="115"/>
        <v>6.9179327237925898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6.7514731792725241E-2</v>
      </c>
      <c r="AD307" s="231">
        <f>(INDEX(Models!$BJ307:$BT307,,AH307)*(1-AF307)+INDEX(Models!$BJ307:$BT307,,AH307+1)*AF307-ERP_i)*AE307*Ramure*Pc/MaxiM</f>
        <v>8.9017263812406753E-4</v>
      </c>
      <c r="AE307" s="305">
        <f t="shared" si="117"/>
        <v>0.5</v>
      </c>
      <c r="AF307" s="177">
        <f t="shared" si="118"/>
        <v>0.99535681297272394</v>
      </c>
      <c r="AG307" s="811">
        <f t="shared" si="124"/>
        <v>2</v>
      </c>
      <c r="AH307" s="176">
        <f t="shared" si="119"/>
        <v>8</v>
      </c>
      <c r="AI307" s="225">
        <f t="shared" si="120"/>
        <v>2.9953568129727239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15.898721358760778</v>
      </c>
      <c r="C308" s="841"/>
      <c r="D308" s="393">
        <f t="shared" si="102"/>
        <v>17.136146988914049</v>
      </c>
      <c r="E308" s="385">
        <f t="shared" si="125"/>
        <v>17.522129335114581</v>
      </c>
      <c r="F308" s="385">
        <f t="shared" si="103"/>
        <v>17.52269915996532</v>
      </c>
      <c r="G308" s="110">
        <f t="shared" si="126"/>
        <v>0.46269978783701388</v>
      </c>
      <c r="H308" s="414" t="b">
        <f>Wh_hp&gt;='2026'!Maxi_hp</f>
        <v>0</v>
      </c>
      <c r="I308" s="390">
        <f>IF(H308,Wh_hp,'2026'!Maxi_hp)</f>
        <v>24.59946864863414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7.2211427163516029E-2</v>
      </c>
      <c r="M308" s="845"/>
      <c r="N308" s="845"/>
      <c r="O308" s="48">
        <f>IF(t&lt;Tnet,'2026'!Resal+('2026'!Salim-'2026'!Resal)*(1-EXP(('2026'!Tnet-t)/('2026'!Tau_j))),Resal+(Salim-Resal)*(1-EXP((Tnet-t)/(Tau_j))))*Salcycl</f>
        <v>2.2028278573827109E-2</v>
      </c>
      <c r="P308" s="169">
        <f>(INDEX(Models!$BJ308:$BT308,,T308)*(1-R308)+INDEX(Models!$BJ308:$BT308,,T308+1)*R308-ERP_i)*Q308*Ramure*Pc/MaxiM</f>
        <v>1.3986815648172932E-4</v>
      </c>
      <c r="Q308" s="305">
        <f t="shared" si="105"/>
        <v>0.5</v>
      </c>
      <c r="R308" s="177">
        <f t="shared" si="106"/>
        <v>0.47045734779403037</v>
      </c>
      <c r="S308" s="811">
        <f t="shared" si="107"/>
        <v>-1</v>
      </c>
      <c r="T308" s="176">
        <f t="shared" si="108"/>
        <v>5</v>
      </c>
      <c r="U308" s="251">
        <f t="shared" si="109"/>
        <v>-0.52954265220596963</v>
      </c>
      <c r="V308" s="383">
        <f t="shared" si="110"/>
        <v>34.357082087832254</v>
      </c>
      <c r="W308" s="402">
        <f t="shared" si="111"/>
        <v>15.898721358760778</v>
      </c>
      <c r="X308" s="157">
        <f t="shared" si="112"/>
        <v>46681</v>
      </c>
      <c r="Y308" s="385">
        <f t="shared" si="113"/>
        <v>15.156734320805379</v>
      </c>
      <c r="Z308" s="385">
        <f t="shared" si="114"/>
        <v>16.336409786194515</v>
      </c>
      <c r="AA308" s="386">
        <f t="shared" si="115"/>
        <v>17.519195183558914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6.7513683418197135E-2</v>
      </c>
      <c r="AD308" s="231">
        <f>(INDEX(Models!$BJ308:$BT308,,AH308)*(1-AF308)+INDEX(Models!$BJ308:$BT308,,AH308+1)*AF308-ERP_i)*AE308*Ramure*Pc/MaxiM</f>
        <v>8.6007958354808749E-4</v>
      </c>
      <c r="AE308" s="305">
        <f t="shared" si="117"/>
        <v>0.5</v>
      </c>
      <c r="AF308" s="177">
        <f t="shared" si="118"/>
        <v>0.99544491416800929</v>
      </c>
      <c r="AG308" s="811">
        <f t="shared" si="124"/>
        <v>2</v>
      </c>
      <c r="AH308" s="176">
        <f t="shared" si="119"/>
        <v>8</v>
      </c>
      <c r="AI308" s="225">
        <f t="shared" si="120"/>
        <v>2.9954449141680093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31.737725401862576</v>
      </c>
      <c r="C309" s="841"/>
      <c r="D309" s="393">
        <f t="shared" si="102"/>
        <v>34.208678015611753</v>
      </c>
      <c r="E309" s="385">
        <f t="shared" si="125"/>
        <v>34.981865263889055</v>
      </c>
      <c r="F309" s="385">
        <f t="shared" si="103"/>
        <v>34.986160029531462</v>
      </c>
      <c r="G309" s="110">
        <f t="shared" si="126"/>
        <v>0.93204589156691553</v>
      </c>
      <c r="H309" s="414" t="b">
        <f>Wh_hp&gt;='2026'!Maxi_hp</f>
        <v>0</v>
      </c>
      <c r="I309" s="390">
        <f>IF(H309,Wh_hp,'2026'!Maxi_hp)</f>
        <v>34.986494661416046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7.2231748114367722E-2</v>
      </c>
      <c r="M309" s="845"/>
      <c r="N309" s="845"/>
      <c r="O309" s="48">
        <f>IF(t&lt;Tnet,'2026'!Resal+('2026'!Salim-'2026'!Resal)*(1-EXP(('2026'!Tnet-t)/('2026'!Tau_j))),Resal+(Salim-Resal)*(1-EXP((Tnet-t)/(Tau_j))))*Salcycl</f>
        <v>2.2102516330809938E-2</v>
      </c>
      <c r="P309" s="169">
        <f>(INDEX(Models!$BJ309:$BT309,,T309)*(1-R309)+INDEX(Models!$BJ309:$BT309,,T309+1)*R309-ERP_i)*Q309*Ramure*Pc/MaxiM</f>
        <v>1.3595155123934127E-4</v>
      </c>
      <c r="Q309" s="305">
        <f t="shared" si="105"/>
        <v>0.5</v>
      </c>
      <c r="R309" s="177">
        <f t="shared" si="106"/>
        <v>0.47054193105987618</v>
      </c>
      <c r="S309" s="811">
        <f t="shared" si="107"/>
        <v>-1</v>
      </c>
      <c r="T309" s="176">
        <f t="shared" si="108"/>
        <v>5</v>
      </c>
      <c r="U309" s="251">
        <f t="shared" si="109"/>
        <v>-0.52945806894012382</v>
      </c>
      <c r="V309" s="383">
        <f t="shared" si="110"/>
        <v>34.051227353694081</v>
      </c>
      <c r="W309" s="402">
        <f t="shared" si="111"/>
        <v>31.737725401862576</v>
      </c>
      <c r="X309" s="157">
        <f t="shared" si="112"/>
        <v>46682</v>
      </c>
      <c r="Y309" s="385">
        <f t="shared" si="113"/>
        <v>30.244900138044947</v>
      </c>
      <c r="Z309" s="385">
        <f t="shared" si="114"/>
        <v>32.599628276322278</v>
      </c>
      <c r="AA309" s="386">
        <f t="shared" si="115"/>
        <v>34.959831722128293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6.7511865176172858E-2</v>
      </c>
      <c r="AD309" s="231">
        <f>(INDEX(Models!$BJ309:$BT309,,AH309)*(1-AF309)+INDEX(Models!$BJ309:$BT309,,AH309+1)*AF309-ERP_i)*AE309*Ramure*Pc/MaxiM</f>
        <v>8.3342713689001763E-4</v>
      </c>
      <c r="AE309" s="305">
        <f t="shared" si="117"/>
        <v>0.5</v>
      </c>
      <c r="AF309" s="177">
        <f t="shared" si="118"/>
        <v>0.99552949743385533</v>
      </c>
      <c r="AG309" s="811">
        <f t="shared" si="124"/>
        <v>2</v>
      </c>
      <c r="AH309" s="176">
        <f t="shared" si="119"/>
        <v>8</v>
      </c>
      <c r="AI309" s="225">
        <f t="shared" si="120"/>
        <v>2.9955294974338553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16.5386340012749</v>
      </c>
      <c r="C310" s="841"/>
      <c r="D310" s="393">
        <f t="shared" si="102"/>
        <v>17.826646055331643</v>
      </c>
      <c r="E310" s="385">
        <f t="shared" si="125"/>
        <v>18.230941663544961</v>
      </c>
      <c r="F310" s="385">
        <f t="shared" si="103"/>
        <v>18.231593294402721</v>
      </c>
      <c r="G310" s="110">
        <f t="shared" si="126"/>
        <v>0.49003936967272449</v>
      </c>
      <c r="H310" s="414" t="b">
        <f>Wh_hp&gt;='2026'!Maxi_hp</f>
        <v>0</v>
      </c>
      <c r="I310" s="390">
        <f>IF(H310,Wh_hp,'2026'!Maxi_hp)</f>
        <v>37.419724893736571</v>
      </c>
      <c r="J310" s="85">
        <f>IF(H310,An,'2026'!An_max)</f>
        <v>2018</v>
      </c>
      <c r="K310" s="197">
        <f t="shared" si="104"/>
        <v>46683</v>
      </c>
      <c r="L310" s="147">
        <f>IF(t&lt;Tvie,1-EXP((T0-t)*PertePVj)+'2026'!Pspv,1-EXP((T0-t)*PertePVj)+Pspv)</f>
        <v>7.2252068620138443E-2</v>
      </c>
      <c r="M310" s="845"/>
      <c r="N310" s="845"/>
      <c r="O310" s="48">
        <f>IF(t&lt;Tnet,'2026'!Resal+('2026'!Salim-'2026'!Resal)*(1-EXP(('2026'!Tnet-t)/('2026'!Tau_j))),Resal+(Salim-Resal)*(1-EXP((Tnet-t)/(Tau_j))))*Salcycl</f>
        <v>2.2176342597911739E-2</v>
      </c>
      <c r="P310" s="169">
        <f>(INDEX(Models!$BJ310:$BT310,,T310)*(1-R310)+INDEX(Models!$BJ310:$BT310,,T310+1)*R310-ERP_i)*Q310*Ramure*Pc/MaxiM</f>
        <v>1.3162067172679134E-4</v>
      </c>
      <c r="Q310" s="305">
        <f t="shared" si="105"/>
        <v>0.5</v>
      </c>
      <c r="R310" s="177">
        <f t="shared" si="106"/>
        <v>0.47062313574169801</v>
      </c>
      <c r="S310" s="811">
        <f t="shared" si="107"/>
        <v>-1</v>
      </c>
      <c r="T310" s="176">
        <f t="shared" si="108"/>
        <v>5</v>
      </c>
      <c r="U310" s="251">
        <f t="shared" si="109"/>
        <v>-0.52937686425830199</v>
      </c>
      <c r="V310" s="383">
        <f t="shared" si="110"/>
        <v>33.746366645779027</v>
      </c>
      <c r="W310" s="402">
        <f t="shared" si="111"/>
        <v>16.5386340012749</v>
      </c>
      <c r="X310" s="157">
        <f t="shared" si="112"/>
        <v>46683</v>
      </c>
      <c r="Y310" s="385">
        <f t="shared" si="113"/>
        <v>15.768972156632087</v>
      </c>
      <c r="Z310" s="385">
        <f t="shared" si="114"/>
        <v>16.997043726282978</v>
      </c>
      <c r="AA310" s="386">
        <f t="shared" si="115"/>
        <v>18.227574950161475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6.750932185126457E-2</v>
      </c>
      <c r="AD310" s="231">
        <f>(INDEX(Models!$BJ310:$BT310,,AH310)*(1-AF310)+INDEX(Models!$BJ310:$BT310,,AH310+1)*AF310-ERP_i)*AE310*Ramure*Pc/MaxiM</f>
        <v>8.1165150785012636E-4</v>
      </c>
      <c r="AE310" s="305">
        <f t="shared" si="117"/>
        <v>0.5</v>
      </c>
      <c r="AF310" s="177">
        <f t="shared" si="118"/>
        <v>0.99561070211567682</v>
      </c>
      <c r="AG310" s="811">
        <f t="shared" si="124"/>
        <v>2</v>
      </c>
      <c r="AH310" s="176">
        <f t="shared" si="119"/>
        <v>8</v>
      </c>
      <c r="AI310" s="225">
        <f t="shared" si="120"/>
        <v>2.9956107021156768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24.51354098499348</v>
      </c>
      <c r="C311" s="841"/>
      <c r="D311" s="393">
        <f t="shared" si="102"/>
        <v>26.423209448446819</v>
      </c>
      <c r="E311" s="385">
        <f t="shared" si="125"/>
        <v>27.024498357673934</v>
      </c>
      <c r="F311" s="385">
        <f t="shared" si="103"/>
        <v>27.026631405367656</v>
      </c>
      <c r="G311" s="110">
        <f t="shared" si="126"/>
        <v>0.73296198149558367</v>
      </c>
      <c r="H311" s="414" t="b">
        <f>Wh_hp&gt;='2026'!Maxi_hp</f>
        <v>0</v>
      </c>
      <c r="I311" s="390">
        <f>IF(H311,Wh_hp,'2026'!Maxi_hp)</f>
        <v>38.572719008292552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7.2272388680837962E-2</v>
      </c>
      <c r="M311" s="845"/>
      <c r="N311" s="845"/>
      <c r="O311" s="48">
        <f>IF(t&lt;Tnet,'2026'!Resal+('2026'!Salim-'2026'!Resal)*(1-EXP(('2026'!Tnet-t)/('2026'!Tau_j))),Resal+(Salim-Resal)*(1-EXP((Tnet-t)/(Tau_j))))*Salcycl</f>
        <v>2.2249771347055327E-2</v>
      </c>
      <c r="P311" s="169">
        <f>(INDEX(Models!$BJ311:$BT311,,T311)*(1-R311)+INDEX(Models!$BJ311:$BT311,,T311+1)*R311-ERP_i)*Q311*Ramure*Pc/MaxiM</f>
        <v>1.2759132301212348E-4</v>
      </c>
      <c r="Q311" s="305">
        <f t="shared" si="105"/>
        <v>0.5</v>
      </c>
      <c r="R311" s="177">
        <f t="shared" si="106"/>
        <v>0.47070109575409069</v>
      </c>
      <c r="S311" s="811">
        <f t="shared" si="107"/>
        <v>-1</v>
      </c>
      <c r="T311" s="176">
        <f t="shared" si="108"/>
        <v>5</v>
      </c>
      <c r="U311" s="251">
        <f t="shared" si="109"/>
        <v>-0.52929890424590931</v>
      </c>
      <c r="V311" s="383">
        <f t="shared" si="110"/>
        <v>33.442864021995995</v>
      </c>
      <c r="W311" s="402">
        <f t="shared" si="111"/>
        <v>24.51354098499348</v>
      </c>
      <c r="X311" s="157">
        <f t="shared" si="112"/>
        <v>46684</v>
      </c>
      <c r="Y311" s="385">
        <f t="shared" si="113"/>
        <v>23.369268402059568</v>
      </c>
      <c r="Z311" s="385">
        <f t="shared" si="114"/>
        <v>25.189795061537669</v>
      </c>
      <c r="AA311" s="386">
        <f t="shared" si="115"/>
        <v>27.013361804087776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6.7506101453620432E-2</v>
      </c>
      <c r="AD311" s="231">
        <f>(INDEX(Models!$BJ311:$BT311,,AH311)*(1-AF311)+INDEX(Models!$BJ311:$BT311,,AH311+1)*AF311-ERP_i)*AE311*Ramure*Pc/MaxiM</f>
        <v>7.9374033132382441E-4</v>
      </c>
      <c r="AE311" s="305">
        <f t="shared" si="117"/>
        <v>0.5</v>
      </c>
      <c r="AF311" s="177">
        <f t="shared" si="118"/>
        <v>0.99568866212806961</v>
      </c>
      <c r="AG311" s="811">
        <f t="shared" si="124"/>
        <v>2</v>
      </c>
      <c r="AH311" s="176">
        <f t="shared" si="119"/>
        <v>8</v>
      </c>
      <c r="AI311" s="225">
        <f t="shared" si="120"/>
        <v>2.9956886621280696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21.14038439513488</v>
      </c>
      <c r="C312" s="841"/>
      <c r="D312" s="393">
        <f t="shared" si="102"/>
        <v>22.787774316525379</v>
      </c>
      <c r="E312" s="385">
        <f t="shared" si="125"/>
        <v>23.308076255871594</v>
      </c>
      <c r="F312" s="385">
        <f t="shared" si="103"/>
        <v>23.309469952038018</v>
      </c>
      <c r="G312" s="110">
        <f t="shared" si="126"/>
        <v>0.63784921784924409</v>
      </c>
      <c r="H312" s="414" t="b">
        <f>Wh_hp&gt;='2026'!Maxi_hp</f>
        <v>0</v>
      </c>
      <c r="I312" s="390">
        <f>IF(H312,Wh_hp,'2026'!Maxi_hp)</f>
        <v>35.926796289859503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7.2292708296476049E-2</v>
      </c>
      <c r="M312" s="845"/>
      <c r="N312" s="845"/>
      <c r="O312" s="48">
        <f>IF(t&lt;Tnet,'2026'!Resal+('2026'!Salim-'2026'!Resal)*(1-EXP(('2026'!Tnet-t)/('2026'!Tau_j))),Resal+(Salim-Resal)*(1-EXP((Tnet-t)/(Tau_j))))*Salcycl</f>
        <v>2.2322817792186742E-2</v>
      </c>
      <c r="P312" s="169">
        <f>(INDEX(Models!$BJ312:$BT312,,T312)*(1-R312)+INDEX(Models!$BJ312:$BT312,,T312+1)*R312-ERP_i)*Q312*Ramure*Pc/MaxiM</f>
        <v>1.2386776102385702E-4</v>
      </c>
      <c r="Q312" s="305">
        <f t="shared" si="105"/>
        <v>0.5</v>
      </c>
      <c r="R312" s="177">
        <f t="shared" si="106"/>
        <v>0.47077593978549892</v>
      </c>
      <c r="S312" s="811">
        <f t="shared" si="107"/>
        <v>-1</v>
      </c>
      <c r="T312" s="176">
        <f t="shared" si="108"/>
        <v>5</v>
      </c>
      <c r="U312" s="251">
        <f t="shared" si="109"/>
        <v>-0.52922406021450108</v>
      </c>
      <c r="V312" s="383">
        <f t="shared" si="110"/>
        <v>33.141107827548225</v>
      </c>
      <c r="W312" s="402">
        <f t="shared" si="111"/>
        <v>21.14038439513488</v>
      </c>
      <c r="X312" s="157">
        <f t="shared" si="112"/>
        <v>46685</v>
      </c>
      <c r="Y312" s="385">
        <f t="shared" si="113"/>
        <v>20.157082293681249</v>
      </c>
      <c r="Z312" s="385">
        <f t="shared" si="114"/>
        <v>21.727847214251536</v>
      </c>
      <c r="AA312" s="386">
        <f t="shared" si="115"/>
        <v>23.300696792793577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6.7502255083997764E-2</v>
      </c>
      <c r="AD312" s="231">
        <f>(INDEX(Models!$BJ312:$BT312,,AH312)*(1-AF312)+INDEX(Models!$BJ312:$BT312,,AH312+1)*AF312-ERP_i)*AE312*Ramure*Pc/MaxiM</f>
        <v>7.7973350210297791E-4</v>
      </c>
      <c r="AE312" s="305">
        <f t="shared" si="117"/>
        <v>0.5</v>
      </c>
      <c r="AF312" s="177">
        <f t="shared" si="118"/>
        <v>0.99576350615947806</v>
      </c>
      <c r="AG312" s="811">
        <f t="shared" si="124"/>
        <v>2</v>
      </c>
      <c r="AH312" s="176">
        <f t="shared" si="119"/>
        <v>8</v>
      </c>
      <c r="AI312" s="225">
        <f t="shared" si="120"/>
        <v>2.9957635061594781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13.250683641725681</v>
      </c>
      <c r="C313" s="841"/>
      <c r="D313" s="393">
        <f t="shared" si="102"/>
        <v>14.28357197422562</v>
      </c>
      <c r="E313" s="385">
        <f t="shared" si="125"/>
        <v>14.610787849442517</v>
      </c>
      <c r="F313" s="385">
        <f t="shared" si="103"/>
        <v>14.611048004449614</v>
      </c>
      <c r="G313" s="110">
        <f t="shared" si="126"/>
        <v>0.40343251674030606</v>
      </c>
      <c r="H313" s="414" t="b">
        <f>Wh_hp&gt;='2026'!Maxi_hp</f>
        <v>0</v>
      </c>
      <c r="I313" s="390">
        <f>IF(H313,Wh_hp,'2026'!Maxi_hp)</f>
        <v>37.208706699200022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7.2313027467062252E-2</v>
      </c>
      <c r="M313" s="845"/>
      <c r="N313" s="845"/>
      <c r="O313" s="48">
        <f>IF(t&lt;Tnet,'2026'!Resal+('2026'!Salim-'2026'!Resal)*(1-EXP(('2026'!Tnet-t)/('2026'!Tau_j))),Resal+(Salim-Resal)*(1-EXP((Tnet-t)/(Tau_j))))*Salcycl</f>
        <v>2.2395498352909382E-2</v>
      </c>
      <c r="P313" s="169">
        <f>(INDEX(Models!$BJ313:$BT313,,T313)*(1-R313)+INDEX(Models!$BJ313:$BT313,,T313+1)*R313-ERP_i)*Q313*Ramure*Pc/MaxiM</f>
        <v>1.2045307848791785E-4</v>
      </c>
      <c r="Q313" s="305">
        <f t="shared" si="105"/>
        <v>0.5</v>
      </c>
      <c r="R313" s="177">
        <f t="shared" si="106"/>
        <v>0.47084779149572842</v>
      </c>
      <c r="S313" s="811">
        <f t="shared" si="107"/>
        <v>-1</v>
      </c>
      <c r="T313" s="176">
        <f t="shared" si="108"/>
        <v>5</v>
      </c>
      <c r="U313" s="251">
        <f t="shared" si="109"/>
        <v>-0.52915220850427158</v>
      </c>
      <c r="V313" s="383">
        <f t="shared" si="110"/>
        <v>32.841486284125352</v>
      </c>
      <c r="W313" s="402">
        <f t="shared" si="111"/>
        <v>13.250683641725681</v>
      </c>
      <c r="X313" s="157">
        <f t="shared" si="112"/>
        <v>46686</v>
      </c>
      <c r="Y313" s="385">
        <f t="shared" si="113"/>
        <v>12.638142861465251</v>
      </c>
      <c r="Z313" s="385">
        <f t="shared" si="114"/>
        <v>13.623283753741115</v>
      </c>
      <c r="AA313" s="386">
        <f t="shared" si="115"/>
        <v>14.609385684051533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6.7497836776730782E-2</v>
      </c>
      <c r="AD313" s="231">
        <f>(INDEX(Models!$BJ313:$BT313,,AH313)*(1-AF313)+INDEX(Models!$BJ313:$BT313,,AH313+1)*AF313-ERP_i)*AE313*Ramure*Pc/MaxiM</f>
        <v>7.6966271614892895E-4</v>
      </c>
      <c r="AE313" s="305">
        <f t="shared" si="117"/>
        <v>0.5</v>
      </c>
      <c r="AF313" s="177">
        <f t="shared" si="118"/>
        <v>0.99583535786970723</v>
      </c>
      <c r="AG313" s="811">
        <f t="shared" si="124"/>
        <v>2</v>
      </c>
      <c r="AH313" s="176">
        <f t="shared" si="119"/>
        <v>8</v>
      </c>
      <c r="AI313" s="225">
        <f t="shared" si="120"/>
        <v>2.9958353578697072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14.152512583820855</v>
      </c>
      <c r="C314" s="841"/>
      <c r="D314" s="393">
        <f t="shared" si="102"/>
        <v>15.256032461375149</v>
      </c>
      <c r="E314" s="385">
        <f t="shared" si="125"/>
        <v>15.606680720178046</v>
      </c>
      <c r="F314" s="385">
        <f t="shared" si="103"/>
        <v>15.60703359075513</v>
      </c>
      <c r="G314" s="110">
        <f t="shared" si="126"/>
        <v>0.43482679631909227</v>
      </c>
      <c r="H314" s="414" t="b">
        <f>Wh_hp&gt;='2026'!Maxi_hp</f>
        <v>0</v>
      </c>
      <c r="I314" s="390">
        <f>IF(H314,Wh_hp,'2026'!Maxi_hp)</f>
        <v>29.570719829876996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7.2333346192606673E-2</v>
      </c>
      <c r="M314" s="845"/>
      <c r="N314" s="845"/>
      <c r="O314" s="48">
        <f>IF(t&lt;Tnet,'2026'!Resal+('2026'!Salim-'2026'!Resal)*(1-EXP(('2026'!Tnet-t)/('2026'!Tau_j))),Resal+(Salim-Resal)*(1-EXP((Tnet-t)/(Tau_j))))*Salcycl</f>
        <v>2.246783060984512E-2</v>
      </c>
      <c r="P314" s="169">
        <f>(INDEX(Models!$BJ314:$BT314,,T314)*(1-R314)+INDEX(Models!$BJ314:$BT314,,T314+1)*R314-ERP_i)*Q314*Ramure*Pc/MaxiM</f>
        <v>1.17350303010521E-4</v>
      </c>
      <c r="Q314" s="305">
        <f t="shared" si="105"/>
        <v>0.5</v>
      </c>
      <c r="R314" s="177">
        <f t="shared" si="106"/>
        <v>0.47091676970650576</v>
      </c>
      <c r="S314" s="811">
        <f t="shared" si="107"/>
        <v>-1</v>
      </c>
      <c r="T314" s="176">
        <f t="shared" si="108"/>
        <v>5</v>
      </c>
      <c r="U314" s="251">
        <f t="shared" si="109"/>
        <v>-0.52908323029349424</v>
      </c>
      <c r="V314" s="383">
        <f t="shared" si="110"/>
        <v>32.544387457096832</v>
      </c>
      <c r="W314" s="402">
        <f t="shared" si="111"/>
        <v>14.152512583820855</v>
      </c>
      <c r="X314" s="157">
        <f t="shared" si="112"/>
        <v>46687</v>
      </c>
      <c r="Y314" s="385">
        <f t="shared" si="113"/>
        <v>13.498967786845542</v>
      </c>
      <c r="Z314" s="385">
        <f t="shared" si="114"/>
        <v>14.551528538233157</v>
      </c>
      <c r="AA314" s="386">
        <f t="shared" si="115"/>
        <v>15.604737583296368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6.749290332126999E-2</v>
      </c>
      <c r="AD314" s="231">
        <f>(INDEX(Models!$BJ314:$BT314,,AH314)*(1-AF314)+INDEX(Models!$BJ314:$BT314,,AH314+1)*AF314-ERP_i)*AE314*Ramure*Pc/MaxiM</f>
        <v>7.6355805357056824E-4</v>
      </c>
      <c r="AE314" s="305">
        <f t="shared" si="117"/>
        <v>0.5</v>
      </c>
      <c r="AF314" s="177">
        <f t="shared" si="118"/>
        <v>0.99590433608048468</v>
      </c>
      <c r="AG314" s="811">
        <f t="shared" si="124"/>
        <v>2</v>
      </c>
      <c r="AH314" s="176">
        <f t="shared" si="119"/>
        <v>8</v>
      </c>
      <c r="AI314" s="225">
        <f t="shared" si="120"/>
        <v>2.9959043360804847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16.711482189689313</v>
      </c>
      <c r="C315" s="841"/>
      <c r="D315" s="393">
        <f t="shared" si="102"/>
        <v>18.014928264873255</v>
      </c>
      <c r="E315" s="385">
        <f t="shared" si="125"/>
        <v>18.430345171820228</v>
      </c>
      <c r="F315" s="385">
        <f t="shared" si="103"/>
        <v>18.431003302942756</v>
      </c>
      <c r="G315" s="110">
        <f t="shared" si="126"/>
        <v>0.51814143012822678</v>
      </c>
      <c r="H315" s="414" t="b">
        <f>Wh_hp&gt;='2026'!Maxi_hp</f>
        <v>0</v>
      </c>
      <c r="I315" s="390">
        <f>IF(H315,Wh_hp,'2026'!Maxi_hp)</f>
        <v>24.903019933810778</v>
      </c>
      <c r="J315" s="85">
        <f>IF(H315,An,'2026'!An_max)</f>
        <v>2020</v>
      </c>
      <c r="K315" s="197">
        <f t="shared" si="104"/>
        <v>46688</v>
      </c>
      <c r="L315" s="147">
        <f>IF(t&lt;Tvie,1-EXP((T0-t)*PertePVj)+'2026'!Pspv,1-EXP((T0-t)*PertePVj)+Pspv)</f>
        <v>7.2353664473118751E-2</v>
      </c>
      <c r="M315" s="845"/>
      <c r="N315" s="845"/>
      <c r="O315" s="48">
        <f>IF(t&lt;Tnet,'2026'!Resal+('2026'!Salim-'2026'!Resal)*(1-EXP(('2026'!Tnet-t)/('2026'!Tau_j))),Resal+(Salim-Resal)*(1-EXP((Tnet-t)/(Tau_j))))*Salcycl</f>
        <v>2.2539833251855698E-2</v>
      </c>
      <c r="P315" s="169">
        <f>(INDEX(Models!$BJ315:$BT315,,T315)*(1-R315)+INDEX(Models!$BJ315:$BT315,,T315+1)*R315-ERP_i)*Q315*Ramure*Pc/MaxiM</f>
        <v>1.1456237037041383E-4</v>
      </c>
      <c r="Q315" s="305">
        <f t="shared" si="105"/>
        <v>0.5</v>
      </c>
      <c r="R315" s="177">
        <f t="shared" si="106"/>
        <v>0.47098298858528787</v>
      </c>
      <c r="S315" s="811">
        <f t="shared" si="107"/>
        <v>-1</v>
      </c>
      <c r="T315" s="176">
        <f t="shared" si="108"/>
        <v>5</v>
      </c>
      <c r="U315" s="251">
        <f t="shared" si="109"/>
        <v>-0.52901701141471213</v>
      </c>
      <c r="V315" s="383">
        <f t="shared" si="110"/>
        <v>32.250199259768102</v>
      </c>
      <c r="W315" s="402">
        <f t="shared" si="111"/>
        <v>16.711482189689313</v>
      </c>
      <c r="X315" s="157">
        <f t="shared" si="112"/>
        <v>46688</v>
      </c>
      <c r="Y315" s="385">
        <f t="shared" si="113"/>
        <v>15.939804127118878</v>
      </c>
      <c r="Z315" s="385">
        <f t="shared" si="114"/>
        <v>17.183061600804411</v>
      </c>
      <c r="AA315" s="386">
        <f t="shared" si="115"/>
        <v>18.426628983462393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6.7487514063156381E-2</v>
      </c>
      <c r="AD315" s="231">
        <f>(INDEX(Models!$BJ315:$BT315,,AH315)*(1-AF315)+INDEX(Models!$BJ315:$BT315,,AH315+1)*AF315-ERP_i)*AE315*Ramure*Pc/MaxiM</f>
        <v>7.6144766791102255E-4</v>
      </c>
      <c r="AE315" s="305">
        <f t="shared" si="117"/>
        <v>0.5</v>
      </c>
      <c r="AF315" s="177">
        <f t="shared" si="118"/>
        <v>0.99597055495926679</v>
      </c>
      <c r="AG315" s="811">
        <f t="shared" si="124"/>
        <v>2</v>
      </c>
      <c r="AH315" s="176">
        <f t="shared" si="119"/>
        <v>8</v>
      </c>
      <c r="AI315" s="225">
        <f t="shared" si="120"/>
        <v>2.9959705549592668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26.241131655893859</v>
      </c>
      <c r="C316" s="841"/>
      <c r="D316" s="393">
        <f t="shared" si="102"/>
        <v>28.288481732326659</v>
      </c>
      <c r="E316" s="385">
        <f t="shared" si="125"/>
        <v>28.942925443962498</v>
      </c>
      <c r="F316" s="385">
        <f t="shared" si="103"/>
        <v>28.945340679857821</v>
      </c>
      <c r="G316" s="110">
        <f t="shared" si="126"/>
        <v>0.82105590546148621</v>
      </c>
      <c r="H316" s="414" t="b">
        <f>Wh_hp&gt;='2026'!Maxi_hp</f>
        <v>0</v>
      </c>
      <c r="I316" s="390">
        <f>IF(H316,Wh_hp,'2026'!Maxi_hp)</f>
        <v>29.923980500554308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7.2373982308608364E-2</v>
      </c>
      <c r="M316" s="845"/>
      <c r="N316" s="845"/>
      <c r="O316" s="48">
        <f>IF(t&lt;Tnet,'2026'!Resal+('2026'!Salim-'2026'!Resal)*(1-EXP(('2026'!Tnet-t)/('2026'!Tau_j))),Resal+(Salim-Resal)*(1-EXP((Tnet-t)/(Tau_j))))*Salcycl</f>
        <v>2.261152601532733E-2</v>
      </c>
      <c r="P316" s="169">
        <f>(INDEX(Models!$BJ316:$BT316,,T316)*(1-R316)+INDEX(Models!$BJ316:$BT316,,T316+1)*R316-ERP_i)*Q316*Ramure*Pc/MaxiM</f>
        <v>1.1209209804591471E-4</v>
      </c>
      <c r="Q316" s="305">
        <f t="shared" si="105"/>
        <v>0.5</v>
      </c>
      <c r="R316" s="177">
        <f t="shared" si="106"/>
        <v>0.47104655782252403</v>
      </c>
      <c r="S316" s="811">
        <f t="shared" si="107"/>
        <v>-1</v>
      </c>
      <c r="T316" s="176">
        <f t="shared" si="108"/>
        <v>5</v>
      </c>
      <c r="U316" s="251">
        <f t="shared" si="109"/>
        <v>-0.52895344217747597</v>
      </c>
      <c r="V316" s="383">
        <f t="shared" si="110"/>
        <v>31.959309455514287</v>
      </c>
      <c r="W316" s="402">
        <f t="shared" si="111"/>
        <v>26.241131655893859</v>
      </c>
      <c r="X316" s="157">
        <f t="shared" si="112"/>
        <v>46689</v>
      </c>
      <c r="Y316" s="385">
        <f t="shared" si="113"/>
        <v>25.024308230196517</v>
      </c>
      <c r="Z316" s="385">
        <f t="shared" si="114"/>
        <v>26.976720955364318</v>
      </c>
      <c r="AA316" s="386">
        <f t="shared" si="115"/>
        <v>28.928892701688675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6.7481730685474917E-2</v>
      </c>
      <c r="AD316" s="231">
        <f>(INDEX(Models!$BJ316:$BT316,,AH316)*(1-AF316)+INDEX(Models!$BJ316:$BT316,,AH316+1)*AF316-ERP_i)*AE316*Ramure*Pc/MaxiM</f>
        <v>7.6335747790215686E-4</v>
      </c>
      <c r="AE316" s="305">
        <f t="shared" si="117"/>
        <v>0.5</v>
      </c>
      <c r="AF316" s="177">
        <f t="shared" si="118"/>
        <v>0.99603412419650272</v>
      </c>
      <c r="AG316" s="811">
        <f t="shared" si="124"/>
        <v>2</v>
      </c>
      <c r="AH316" s="176">
        <f t="shared" si="119"/>
        <v>8</v>
      </c>
      <c r="AI316" s="225">
        <f t="shared" si="120"/>
        <v>2.9960341241965027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21.706224036152438</v>
      </c>
      <c r="C317" s="841"/>
      <c r="D317" s="393">
        <f t="shared" si="102"/>
        <v>23.400270210835217</v>
      </c>
      <c r="E317" s="385">
        <f t="shared" si="125"/>
        <v>23.943376126271836</v>
      </c>
      <c r="F317" s="385">
        <f t="shared" si="103"/>
        <v>23.944825543626482</v>
      </c>
      <c r="G317" s="110">
        <f t="shared" si="126"/>
        <v>0.68534743811171395</v>
      </c>
      <c r="H317" s="414" t="b">
        <f>Wh_hp&gt;='2026'!Maxi_hp</f>
        <v>0</v>
      </c>
      <c r="I317" s="390">
        <f>IF(H317,Wh_hp,'2026'!Maxi_hp)</f>
        <v>33.09982659368044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7.2394299699085174E-2</v>
      </c>
      <c r="M317" s="845"/>
      <c r="N317" s="845"/>
      <c r="O317" s="48">
        <f>IF(t&lt;Tnet,'2026'!Resal+('2026'!Salim-'2026'!Resal)*(1-EXP(('2026'!Tnet-t)/('2026'!Tau_j))),Resal+(Salim-Resal)*(1-EXP((Tnet-t)/(Tau_j))))*Salcycl</f>
        <v>2.2682929615790385E-2</v>
      </c>
      <c r="P317" s="169">
        <f>(INDEX(Models!$BJ317:$BT317,,T317)*(1-R317)+INDEX(Models!$BJ317:$BT317,,T317+1)*R317-ERP_i)*Q317*Ramure*Pc/MaxiM</f>
        <v>1.0994846528309281E-4</v>
      </c>
      <c r="Q317" s="305">
        <f t="shared" si="105"/>
        <v>0.5</v>
      </c>
      <c r="R317" s="177">
        <f t="shared" si="106"/>
        <v>0.47110758280256659</v>
      </c>
      <c r="S317" s="811">
        <f t="shared" si="107"/>
        <v>-1</v>
      </c>
      <c r="T317" s="176">
        <f t="shared" si="108"/>
        <v>5</v>
      </c>
      <c r="U317" s="251">
        <f t="shared" si="109"/>
        <v>-0.52889241719743341</v>
      </c>
      <c r="V317" s="383">
        <f t="shared" si="110"/>
        <v>31.670288833853373</v>
      </c>
      <c r="W317" s="402">
        <f t="shared" si="111"/>
        <v>21.706224036152438</v>
      </c>
      <c r="X317" s="157">
        <f t="shared" si="112"/>
        <v>46690</v>
      </c>
      <c r="Y317" s="385">
        <f t="shared" si="113"/>
        <v>20.703858540069032</v>
      </c>
      <c r="Z317" s="385">
        <f t="shared" si="114"/>
        <v>22.319675842173794</v>
      </c>
      <c r="AA317" s="386">
        <f t="shared" si="115"/>
        <v>23.934683369564798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6.7475616972006339E-2</v>
      </c>
      <c r="AD317" s="231">
        <f>(INDEX(Models!$BJ317:$BT317,,AH317)*(1-AF317)+INDEX(Models!$BJ317:$BT317,,AH317+1)*AF317-ERP_i)*AE317*Ramure*Pc/MaxiM</f>
        <v>7.6935498884606014E-4</v>
      </c>
      <c r="AE317" s="305">
        <f t="shared" si="117"/>
        <v>0.5</v>
      </c>
      <c r="AF317" s="177">
        <f t="shared" si="118"/>
        <v>0.99609514917654574</v>
      </c>
      <c r="AG317" s="811">
        <f t="shared" si="124"/>
        <v>2</v>
      </c>
      <c r="AH317" s="176">
        <f t="shared" si="119"/>
        <v>8</v>
      </c>
      <c r="AI317" s="225">
        <f t="shared" si="120"/>
        <v>2.9960951491765457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21.19005656071992</v>
      </c>
      <c r="C318" s="841"/>
      <c r="D318" s="393">
        <f t="shared" si="102"/>
        <v>22.844319176383696</v>
      </c>
      <c r="E318" s="385">
        <f t="shared" si="125"/>
        <v>23.376223296439203</v>
      </c>
      <c r="F318" s="385">
        <f t="shared" si="103"/>
        <v>23.37758105131023</v>
      </c>
      <c r="G318" s="110">
        <f t="shared" si="126"/>
        <v>0.6752021023413497</v>
      </c>
      <c r="H318" s="414" t="b">
        <f>Wh_hp&gt;='2026'!Maxi_hp</f>
        <v>0</v>
      </c>
      <c r="I318" s="390">
        <f>IF(H318,Wh_hp,'2026'!Maxi_hp)</f>
        <v>33.51042975379562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7.241461664455906E-2</v>
      </c>
      <c r="M318" s="845"/>
      <c r="N318" s="845"/>
      <c r="O318" s="48">
        <f>IF(t&lt;Tnet,'2026'!Resal+('2026'!Salim-'2026'!Resal)*(1-EXP(('2026'!Tnet-t)/('2026'!Tau_j))),Resal+(Salim-Resal)*(1-EXP((Tnet-t)/(Tau_j))))*Salcycl</f>
        <v>2.2754065672213643E-2</v>
      </c>
      <c r="P318" s="169">
        <f>(INDEX(Models!$BJ318:$BT318,,T318)*(1-R318)+INDEX(Models!$BJ318:$BT318,,T318+1)*R318-ERP_i)*Q318*Ramure*Pc/MaxiM</f>
        <v>1.0834659978098778E-4</v>
      </c>
      <c r="Q318" s="305">
        <f t="shared" si="105"/>
        <v>0.5</v>
      </c>
      <c r="R318" s="177">
        <f t="shared" si="106"/>
        <v>0.47116616476842754</v>
      </c>
      <c r="S318" s="811">
        <f t="shared" si="107"/>
        <v>-1</v>
      </c>
      <c r="T318" s="176">
        <f t="shared" si="108"/>
        <v>5</v>
      </c>
      <c r="U318" s="251">
        <f t="shared" si="109"/>
        <v>-0.52883383523157246</v>
      </c>
      <c r="V318" s="383">
        <f t="shared" si="110"/>
        <v>31.381702248341281</v>
      </c>
      <c r="W318" s="402">
        <f t="shared" si="111"/>
        <v>21.19005656071992</v>
      </c>
      <c r="X318" s="157">
        <f t="shared" si="112"/>
        <v>46691</v>
      </c>
      <c r="Y318" s="385">
        <f t="shared" si="113"/>
        <v>20.213196232816021</v>
      </c>
      <c r="Z318" s="385">
        <f t="shared" si="114"/>
        <v>21.791197441789073</v>
      </c>
      <c r="AA318" s="386">
        <f t="shared" si="115"/>
        <v>23.367805484493228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6.7469238553461333E-2</v>
      </c>
      <c r="AD318" s="231">
        <f>(INDEX(Models!$BJ318:$BT318,,AH318)*(1-AF318)+INDEX(Models!$BJ318:$BT318,,AH318+1)*AF318-ERP_i)*AE318*Ramure*Pc/MaxiM</f>
        <v>7.8007411216469839E-4</v>
      </c>
      <c r="AE318" s="305">
        <f t="shared" si="117"/>
        <v>0.5</v>
      </c>
      <c r="AF318" s="177">
        <f t="shared" si="118"/>
        <v>0.99615373114240668</v>
      </c>
      <c r="AG318" s="811">
        <f t="shared" si="124"/>
        <v>2</v>
      </c>
      <c r="AH318" s="176">
        <f t="shared" si="119"/>
        <v>8</v>
      </c>
      <c r="AI318" s="225">
        <f t="shared" si="120"/>
        <v>2.9961537311424067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22.539622152185363</v>
      </c>
      <c r="C319" s="841"/>
      <c r="D319" s="393">
        <f t="shared" si="102"/>
        <v>24.299774708645636</v>
      </c>
      <c r="E319" s="385">
        <f t="shared" si="125"/>
        <v>24.867371381797479</v>
      </c>
      <c r="F319" s="385">
        <f t="shared" si="103"/>
        <v>24.868991012385489</v>
      </c>
      <c r="G319" s="110">
        <f t="shared" si="126"/>
        <v>0.7248574173247091</v>
      </c>
      <c r="H319" s="414" t="b">
        <f>Wh_hp&gt;='2026'!Maxi_hp</f>
        <v>0</v>
      </c>
      <c r="I319" s="390">
        <f>IF(H319,Wh_hp,'2026'!Maxi_hp)</f>
        <v>32.377451552901285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7.2434933145039682E-2</v>
      </c>
      <c r="M319" s="845"/>
      <c r="N319" s="845"/>
      <c r="O319" s="48">
        <f>IF(t&lt;Tnet,'2026'!Resal+('2026'!Salim-'2026'!Resal)*(1-EXP(('2026'!Tnet-t)/('2026'!Tau_j))),Resal+(Salim-Resal)*(1-EXP((Tnet-t)/(Tau_j))))*Salcycl</f>
        <v>2.2824956624378709E-2</v>
      </c>
      <c r="P319" s="169">
        <f>(INDEX(Models!$BJ319:$BT319,,T319)*(1-R319)+INDEX(Models!$BJ319:$BT319,,T319+1)*R319-ERP_i)*Q319*Ramure*Pc/MaxiM</f>
        <v>1.0729547145820227E-4</v>
      </c>
      <c r="Q319" s="305">
        <f t="shared" si="105"/>
        <v>0.5</v>
      </c>
      <c r="R319" s="177">
        <f t="shared" si="106"/>
        <v>0.47122240098056922</v>
      </c>
      <c r="S319" s="811">
        <f t="shared" si="107"/>
        <v>-1</v>
      </c>
      <c r="T319" s="176">
        <f t="shared" si="108"/>
        <v>5</v>
      </c>
      <c r="U319" s="251">
        <f t="shared" si="109"/>
        <v>-0.52877759901943078</v>
      </c>
      <c r="V319" s="383">
        <f t="shared" si="110"/>
        <v>31.093938034054201</v>
      </c>
      <c r="W319" s="402">
        <f t="shared" si="111"/>
        <v>22.539622152185363</v>
      </c>
      <c r="X319" s="157">
        <f t="shared" si="112"/>
        <v>46692</v>
      </c>
      <c r="Y319" s="385">
        <f t="shared" si="113"/>
        <v>21.501053076714868</v>
      </c>
      <c r="Z319" s="385">
        <f t="shared" si="114"/>
        <v>23.180102232199417</v>
      </c>
      <c r="AA319" s="386">
        <f t="shared" si="115"/>
        <v>24.857023202717688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6.7462662638337459E-2</v>
      </c>
      <c r="AD319" s="231">
        <f>(INDEX(Models!$BJ319:$BT319,,AH319)*(1-AF319)+INDEX(Models!$BJ319:$BT319,,AH319+1)*AF319-ERP_i)*AE319*Ramure*Pc/MaxiM</f>
        <v>7.9283003799451228E-4</v>
      </c>
      <c r="AE319" s="305">
        <f t="shared" si="117"/>
        <v>0.5</v>
      </c>
      <c r="AF319" s="177">
        <f t="shared" si="118"/>
        <v>0.99620996735454792</v>
      </c>
      <c r="AG319" s="811">
        <f t="shared" si="124"/>
        <v>2</v>
      </c>
      <c r="AH319" s="176">
        <f t="shared" si="119"/>
        <v>8</v>
      </c>
      <c r="AI319" s="225">
        <f t="shared" si="120"/>
        <v>2.9962099673545479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27.088166572083441</v>
      </c>
      <c r="C320" s="841"/>
      <c r="D320" s="393">
        <f t="shared" si="102"/>
        <v>29.204161361202022</v>
      </c>
      <c r="E320" s="385">
        <f t="shared" si="125"/>
        <v>29.88847673560392</v>
      </c>
      <c r="F320" s="385">
        <f t="shared" si="103"/>
        <v>29.891118502711137</v>
      </c>
      <c r="G320" s="110">
        <f t="shared" si="126"/>
        <v>0.87925891726229688</v>
      </c>
      <c r="H320" s="414" t="b">
        <f>Wh_hp&gt;='2026'!Maxi_hp</f>
        <v>0</v>
      </c>
      <c r="I320" s="390">
        <f>IF(H320,Wh_hp,'2026'!Maxi_hp)</f>
        <v>29.891518614278709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7.2455249200536809E-2</v>
      </c>
      <c r="M320" s="845"/>
      <c r="N320" s="845"/>
      <c r="O320" s="48">
        <f>IF(t&lt;Tnet,'2026'!Resal+('2026'!Salim-'2026'!Resal)*(1-EXP(('2026'!Tnet-t)/('2026'!Tau_j))),Resal+(Salim-Resal)*(1-EXP((Tnet-t)/(Tau_j))))*Salcycl</f>
        <v>2.289562564380292E-2</v>
      </c>
      <c r="P320" s="169">
        <f>(INDEX(Models!$BJ320:$BT320,,T320)*(1-R320)+INDEX(Models!$BJ320:$BT320,,T320+1)*R320-ERP_i)*Q320*Ramure*Pc/MaxiM</f>
        <v>1.067985929055699E-4</v>
      </c>
      <c r="Q320" s="305">
        <f t="shared" si="105"/>
        <v>0.5</v>
      </c>
      <c r="R320" s="177">
        <f t="shared" si="106"/>
        <v>0.47127638486992329</v>
      </c>
      <c r="S320" s="811">
        <f t="shared" si="107"/>
        <v>-1</v>
      </c>
      <c r="T320" s="176">
        <f t="shared" si="108"/>
        <v>5</v>
      </c>
      <c r="U320" s="251">
        <f t="shared" si="109"/>
        <v>-0.52872361513007671</v>
      </c>
      <c r="V320" s="383">
        <f t="shared" si="110"/>
        <v>30.80738456130678</v>
      </c>
      <c r="W320" s="402">
        <f t="shared" si="111"/>
        <v>27.088166572083441</v>
      </c>
      <c r="X320" s="157">
        <f t="shared" si="112"/>
        <v>46693</v>
      </c>
      <c r="Y320" s="385">
        <f t="shared" si="113"/>
        <v>25.837829869241709</v>
      </c>
      <c r="Z320" s="385">
        <f t="shared" si="114"/>
        <v>27.856154484160186</v>
      </c>
      <c r="AA320" s="386">
        <f t="shared" si="115"/>
        <v>29.871140902208914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6.7455957730082075E-2</v>
      </c>
      <c r="AD320" s="231">
        <f>(INDEX(Models!$BJ320:$BT320,,AH320)*(1-AF320)+INDEX(Models!$BJ320:$BT320,,AH320+1)*AF320-ERP_i)*AE320*Ramure*Pc/MaxiM</f>
        <v>8.0763350313469101E-4</v>
      </c>
      <c r="AE320" s="305">
        <f t="shared" si="117"/>
        <v>0.5</v>
      </c>
      <c r="AF320" s="177">
        <f t="shared" si="118"/>
        <v>0.99626395124390221</v>
      </c>
      <c r="AG320" s="811">
        <f t="shared" si="124"/>
        <v>2</v>
      </c>
      <c r="AH320" s="176">
        <f t="shared" si="119"/>
        <v>8</v>
      </c>
      <c r="AI320" s="225">
        <f t="shared" si="120"/>
        <v>2.9962639512439022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9.3011035702680598</v>
      </c>
      <c r="C321" s="841"/>
      <c r="D321" s="393">
        <f t="shared" si="102"/>
        <v>10.027879824398797</v>
      </c>
      <c r="E321" s="385">
        <f t="shared" si="125"/>
        <v>10.263594527143653</v>
      </c>
      <c r="F321" s="385">
        <f t="shared" si="103"/>
        <v>10.263601938304522</v>
      </c>
      <c r="G321" s="110">
        <f t="shared" si="126"/>
        <v>0.30469776999930887</v>
      </c>
      <c r="H321" s="414" t="b">
        <f>Wh_hp&gt;='2026'!Maxi_hp</f>
        <v>0</v>
      </c>
      <c r="I321" s="390">
        <f>IF(H321,Wh_hp,'2026'!Maxi_hp)</f>
        <v>30.00122544451607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7.24755648110601E-2</v>
      </c>
      <c r="M321" s="845"/>
      <c r="N321" s="845"/>
      <c r="O321" s="48">
        <f>IF(t&lt;Tnet,'2026'!Resal+('2026'!Salim-'2026'!Resal)*(1-EXP(('2026'!Tnet-t)/('2026'!Tau_j))),Resal+(Salim-Resal)*(1-EXP((Tnet-t)/(Tau_j))))*Salcycl</f>
        <v>2.296609653873919E-2</v>
      </c>
      <c r="P321" s="169">
        <f>(INDEX(Models!$BJ321:$BT321,,T321)*(1-R321)+INDEX(Models!$BJ321:$BT321,,T321+1)*R321-ERP_i)*Q321*Ramure*Pc/MaxiM</f>
        <v>1.0685945109243267E-4</v>
      </c>
      <c r="Q321" s="305">
        <f t="shared" si="105"/>
        <v>0.5</v>
      </c>
      <c r="R321" s="177">
        <f t="shared" si="106"/>
        <v>0.47132820618531657</v>
      </c>
      <c r="S321" s="811">
        <f t="shared" si="107"/>
        <v>-1</v>
      </c>
      <c r="T321" s="176">
        <f t="shared" si="108"/>
        <v>5</v>
      </c>
      <c r="U321" s="251">
        <f t="shared" si="109"/>
        <v>-0.52867179381468343</v>
      </c>
      <c r="V321" s="383">
        <f t="shared" si="110"/>
        <v>30.522430062131715</v>
      </c>
      <c r="W321" s="402">
        <f t="shared" si="111"/>
        <v>9.3011035702680598</v>
      </c>
      <c r="X321" s="157">
        <f t="shared" si="112"/>
        <v>46694</v>
      </c>
      <c r="Y321" s="385">
        <f t="shared" si="113"/>
        <v>8.8775932392212358</v>
      </c>
      <c r="Z321" s="385">
        <f t="shared" si="114"/>
        <v>9.5712769415210506</v>
      </c>
      <c r="AA321" s="386">
        <f t="shared" si="115"/>
        <v>10.263544756047169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6.7449193332375867E-2</v>
      </c>
      <c r="AD321" s="231">
        <f>(INDEX(Models!$BJ321:$BT321,,AH321)*(1-AF321)+INDEX(Models!$BJ321:$BT321,,AH321+1)*AF321-ERP_i)*AE321*Ramure*Pc/MaxiM</f>
        <v>8.2449493962505956E-4</v>
      </c>
      <c r="AE321" s="305">
        <f t="shared" si="117"/>
        <v>0.5</v>
      </c>
      <c r="AF321" s="177">
        <f t="shared" si="118"/>
        <v>0.99631577255929571</v>
      </c>
      <c r="AG321" s="811">
        <f t="shared" si="124"/>
        <v>2</v>
      </c>
      <c r="AH321" s="176">
        <f t="shared" si="119"/>
        <v>8</v>
      </c>
      <c r="AI321" s="225">
        <f t="shared" si="120"/>
        <v>2.9963157725592957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16.311750195744121</v>
      </c>
      <c r="C322" s="841"/>
      <c r="D322" s="393">
        <f t="shared" si="102"/>
        <v>17.586714542392475</v>
      </c>
      <c r="E322" s="385">
        <f t="shared" si="125"/>
        <v>18.001401923421355</v>
      </c>
      <c r="F322" s="385">
        <f t="shared" si="103"/>
        <v>18.002063708684044</v>
      </c>
      <c r="G322" s="110">
        <f t="shared" si="126"/>
        <v>0.53938116505361011</v>
      </c>
      <c r="H322" s="414" t="b">
        <f>Wh_hp&gt;='2026'!Maxi_hp</f>
        <v>0</v>
      </c>
      <c r="I322" s="390">
        <f>IF(H322,Wh_hp,'2026'!Maxi_hp)</f>
        <v>23.180990079496752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7.2495879976619437E-2</v>
      </c>
      <c r="M322" s="845"/>
      <c r="N322" s="845"/>
      <c r="O322" s="48">
        <f>IF(t&lt;Tnet,'2026'!Resal+('2026'!Salim-'2026'!Resal)*(1-EXP(('2026'!Tnet-t)/('2026'!Tau_j))),Resal+(Salim-Resal)*(1-EXP((Tnet-t)/(Tau_j))))*Salcycl</f>
        <v>2.3036393653837518E-2</v>
      </c>
      <c r="P322" s="169">
        <f>(INDEX(Models!$BJ322:$BT322,,T322)*(1-R322)+INDEX(Models!$BJ322:$BT322,,T322+1)*R322-ERP_i)*Q322*Ramure*Pc/MaxiM</f>
        <v>1.0748148422131076E-4</v>
      </c>
      <c r="Q322" s="305">
        <f t="shared" si="105"/>
        <v>0.5</v>
      </c>
      <c r="R322" s="177">
        <f t="shared" si="106"/>
        <v>0.47137795113548897</v>
      </c>
      <c r="S322" s="811">
        <f t="shared" si="107"/>
        <v>-1</v>
      </c>
      <c r="T322" s="176">
        <f t="shared" si="108"/>
        <v>5</v>
      </c>
      <c r="U322" s="251">
        <f t="shared" si="109"/>
        <v>-0.52862204886451103</v>
      </c>
      <c r="V322" s="383">
        <f t="shared" si="110"/>
        <v>30.239462638949529</v>
      </c>
      <c r="W322" s="402">
        <f t="shared" si="111"/>
        <v>16.311750195744121</v>
      </c>
      <c r="X322" s="157">
        <f t="shared" si="112"/>
        <v>46695</v>
      </c>
      <c r="Y322" s="385">
        <f t="shared" si="113"/>
        <v>15.566410828982743</v>
      </c>
      <c r="Z322" s="385">
        <f t="shared" si="114"/>
        <v>16.783117716598763</v>
      </c>
      <c r="AA322" s="386">
        <f t="shared" si="115"/>
        <v>17.996870574080472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6.7442439644467195E-2</v>
      </c>
      <c r="AD322" s="231">
        <f>(INDEX(Models!$BJ322:$BT322,,AH322)*(1-AF322)+INDEX(Models!$BJ322:$BT322,,AH322+1)*AF322-ERP_i)*AE322*Ramure*Pc/MaxiM</f>
        <v>8.4342436500446216E-4</v>
      </c>
      <c r="AE322" s="305">
        <f t="shared" si="117"/>
        <v>0.5</v>
      </c>
      <c r="AF322" s="177">
        <f t="shared" si="118"/>
        <v>0.99636551750946767</v>
      </c>
      <c r="AG322" s="811">
        <f t="shared" si="124"/>
        <v>2</v>
      </c>
      <c r="AH322" s="176">
        <f t="shared" si="119"/>
        <v>8</v>
      </c>
      <c r="AI322" s="225">
        <f t="shared" si="120"/>
        <v>2.9963655175094677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28.402937763852702</v>
      </c>
      <c r="C323" s="841"/>
      <c r="D323" s="393">
        <f t="shared" si="102"/>
        <v>30.623648198989969</v>
      </c>
      <c r="E323" s="385">
        <f t="shared" si="125"/>
        <v>31.347991882679242</v>
      </c>
      <c r="F323" s="385">
        <f t="shared" si="103"/>
        <v>31.351145982517405</v>
      </c>
      <c r="G323" s="110">
        <f t="shared" si="126"/>
        <v>0.94805673566004356</v>
      </c>
      <c r="H323" s="414" t="b">
        <f>Wh_hp&gt;='2026'!Maxi_hp</f>
        <v>0</v>
      </c>
      <c r="I323" s="390">
        <f>IF(H323,Wh_hp,'2026'!Maxi_hp)</f>
        <v>31.351331698156191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7.251619469722459E-2</v>
      </c>
      <c r="M323" s="845"/>
      <c r="N323" s="845"/>
      <c r="O323" s="48">
        <f>IF(t&lt;Tnet,'2026'!Resal+('2026'!Salim-'2026'!Resal)*(1-EXP(('2026'!Tnet-t)/('2026'!Tau_j))),Resal+(Salim-Resal)*(1-EXP((Tnet-t)/(Tau_j))))*Salcycl</f>
        <v>2.3106541765104203E-2</v>
      </c>
      <c r="P323" s="169">
        <f>(INDEX(Models!$BJ323:$BT323,,T323)*(1-R323)+INDEX(Models!$BJ323:$BT323,,T323+1)*R323-ERP_i)*Q323*Ramure*Pc/MaxiM</f>
        <v>1.0866805754243989E-4</v>
      </c>
      <c r="Q323" s="305">
        <f t="shared" si="105"/>
        <v>0.5</v>
      </c>
      <c r="R323" s="177">
        <f t="shared" si="106"/>
        <v>0.47142570252587834</v>
      </c>
      <c r="S323" s="811">
        <f t="shared" si="107"/>
        <v>-1</v>
      </c>
      <c r="T323" s="176">
        <f t="shared" si="108"/>
        <v>5</v>
      </c>
      <c r="U323" s="251">
        <f t="shared" si="109"/>
        <v>-0.52857429747412166</v>
      </c>
      <c r="V323" s="383">
        <f t="shared" si="110"/>
        <v>29.958870259636068</v>
      </c>
      <c r="W323" s="402">
        <f t="shared" si="111"/>
        <v>28.402937763852702</v>
      </c>
      <c r="X323" s="157">
        <f t="shared" si="112"/>
        <v>46696</v>
      </c>
      <c r="Y323" s="385">
        <f t="shared" si="113"/>
        <v>27.095103037240865</v>
      </c>
      <c r="Z323" s="385">
        <f t="shared" si="114"/>
        <v>29.213559182734969</v>
      </c>
      <c r="AA323" s="386">
        <f t="shared" si="115"/>
        <v>31.326055789791653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6.7435767248588338E-2</v>
      </c>
      <c r="AD323" s="231">
        <f>(INDEX(Models!$BJ323:$BT323,,AH323)*(1-AF323)+INDEX(Models!$BJ323:$BT323,,AH323+1)*AF323-ERP_i)*AE323*Ramure*Pc/MaxiM</f>
        <v>8.6443126304494632E-4</v>
      </c>
      <c r="AE323" s="305">
        <f t="shared" si="117"/>
        <v>0.5</v>
      </c>
      <c r="AF323" s="177">
        <f t="shared" si="118"/>
        <v>0.99641326889985748</v>
      </c>
      <c r="AG323" s="811">
        <f t="shared" si="124"/>
        <v>2</v>
      </c>
      <c r="AH323" s="176">
        <f t="shared" si="119"/>
        <v>8</v>
      </c>
      <c r="AI323" s="225">
        <f t="shared" si="120"/>
        <v>2.9964132688998575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29.260535029304702</v>
      </c>
      <c r="C324" s="841"/>
      <c r="D324" s="393">
        <f t="shared" si="102"/>
        <v>31.548988518028096</v>
      </c>
      <c r="E324" s="385">
        <f t="shared" si="125"/>
        <v>32.297534456044147</v>
      </c>
      <c r="F324" s="385">
        <f t="shared" si="103"/>
        <v>32.301034495819543</v>
      </c>
      <c r="G324" s="110">
        <f t="shared" si="126"/>
        <v>0.98583047718394268</v>
      </c>
      <c r="H324" s="414" t="b">
        <f>Wh_hp&gt;='2026'!Maxi_hp</f>
        <v>0</v>
      </c>
      <c r="I324" s="390">
        <f>IF(H324,Wh_hp,'2026'!Maxi_hp)</f>
        <v>32.301087749670756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7.2536508972885105E-2</v>
      </c>
      <c r="M324" s="845"/>
      <c r="N324" s="845"/>
      <c r="O324" s="48">
        <f>IF(t&lt;Tnet,'2026'!Resal+('2026'!Salim-'2026'!Resal)*(1-EXP(('2026'!Tnet-t)/('2026'!Tau_j))),Resal+(Salim-Resal)*(1-EXP((Tnet-t)/(Tau_j))))*Salcycl</f>
        <v>2.3176565970842049E-2</v>
      </c>
      <c r="P324" s="169">
        <f>(INDEX(Models!$BJ324:$BT324,,T324)*(1-R324)+INDEX(Models!$BJ324:$BT324,,T324+1)*R324-ERP_i)*Q324*Ramure*Pc/MaxiM</f>
        <v>1.1059523358989003E-4</v>
      </c>
      <c r="Q324" s="305">
        <f t="shared" si="105"/>
        <v>0.5</v>
      </c>
      <c r="R324" s="177">
        <f t="shared" si="106"/>
        <v>0.47147153989034751</v>
      </c>
      <c r="S324" s="811">
        <f t="shared" si="107"/>
        <v>-1</v>
      </c>
      <c r="T324" s="176">
        <f t="shared" si="108"/>
        <v>5</v>
      </c>
      <c r="U324" s="251">
        <f t="shared" si="109"/>
        <v>-0.52852846010965249</v>
      </c>
      <c r="V324" s="383">
        <f t="shared" si="110"/>
        <v>29.681035638886559</v>
      </c>
      <c r="W324" s="402">
        <f t="shared" si="111"/>
        <v>29.260535029304702</v>
      </c>
      <c r="X324" s="157">
        <f t="shared" si="112"/>
        <v>46697</v>
      </c>
      <c r="Y324" s="385">
        <f t="shared" si="113"/>
        <v>27.913699321892757</v>
      </c>
      <c r="Z324" s="385">
        <f t="shared" si="114"/>
        <v>30.09681738628856</v>
      </c>
      <c r="AA324" s="386">
        <f t="shared" si="115"/>
        <v>32.272958681947713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6.7429246791568642E-2</v>
      </c>
      <c r="AD324" s="231">
        <f>(INDEX(Models!$BJ324:$BT324,,AH324)*(1-AF324)+INDEX(Models!$BJ324:$BT324,,AH324+1)*AF324-ERP_i)*AE324*Ramure*Pc/MaxiM</f>
        <v>8.8714740192667556E-4</v>
      </c>
      <c r="AE324" s="305">
        <f t="shared" si="117"/>
        <v>0.5</v>
      </c>
      <c r="AF324" s="177">
        <f t="shared" si="118"/>
        <v>0.99645910626432643</v>
      </c>
      <c r="AG324" s="811">
        <f t="shared" si="124"/>
        <v>2</v>
      </c>
      <c r="AH324" s="176">
        <f t="shared" si="119"/>
        <v>8</v>
      </c>
      <c r="AI324" s="225">
        <f t="shared" si="120"/>
        <v>2.9964591062643264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27.040213980636402</v>
      </c>
      <c r="C325" s="841"/>
      <c r="D325" s="393">
        <f t="shared" si="102"/>
        <v>29.155655726938999</v>
      </c>
      <c r="E325" s="385">
        <f t="shared" si="125"/>
        <v>29.849553112002916</v>
      </c>
      <c r="F325" s="385">
        <f t="shared" si="103"/>
        <v>29.852536303248058</v>
      </c>
      <c r="G325" s="110">
        <f t="shared" si="126"/>
        <v>0.91952440385094647</v>
      </c>
      <c r="H325" s="414" t="b">
        <f>Wh_hp&gt;='2026'!Maxi_hp</f>
        <v>0</v>
      </c>
      <c r="I325" s="390">
        <f>IF(H325,Wh_hp,'2026'!Maxi_hp)</f>
        <v>29.852822271446158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7.2556822803610976E-2</v>
      </c>
      <c r="M325" s="845"/>
      <c r="N325" s="845"/>
      <c r="O325" s="48">
        <f>IF(t&lt;Tnet,'2026'!Resal+('2026'!Salim-'2026'!Resal)*(1-EXP(('2026'!Tnet-t)/('2026'!Tau_j))),Resal+(Salim-Resal)*(1-EXP((Tnet-t)/(Tau_j))))*Salcycl</f>
        <v>2.3246491579295731E-2</v>
      </c>
      <c r="P325" s="169">
        <f>(INDEX(Models!$BJ325:$BT325,,T325)*(1-R325)+INDEX(Models!$BJ325:$BT325,,T325+1)*R325-ERP_i)*Q325*Ramure*Pc/MaxiM</f>
        <v>1.1290966406688487E-4</v>
      </c>
      <c r="Q325" s="305">
        <f t="shared" si="105"/>
        <v>0.5</v>
      </c>
      <c r="R325" s="177">
        <f t="shared" si="106"/>
        <v>0.47151553961801862</v>
      </c>
      <c r="S325" s="811">
        <f t="shared" si="107"/>
        <v>-1</v>
      </c>
      <c r="T325" s="176">
        <f t="shared" si="108"/>
        <v>5</v>
      </c>
      <c r="U325" s="251">
        <f t="shared" si="109"/>
        <v>-0.52848446038198138</v>
      </c>
      <c r="V325" s="383">
        <f t="shared" si="110"/>
        <v>29.406357116948151</v>
      </c>
      <c r="W325" s="402">
        <f t="shared" si="111"/>
        <v>27.040213980636402</v>
      </c>
      <c r="X325" s="157">
        <f t="shared" si="112"/>
        <v>46698</v>
      </c>
      <c r="Y325" s="385">
        <f t="shared" si="113"/>
        <v>25.799025471707164</v>
      </c>
      <c r="Z325" s="385">
        <f t="shared" si="114"/>
        <v>27.817365102297948</v>
      </c>
      <c r="AA325" s="386">
        <f t="shared" si="115"/>
        <v>29.828489841576143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6.7422948662825305E-2</v>
      </c>
      <c r="AD325" s="231">
        <f>(INDEX(Models!$BJ325:$BT325,,AH325)*(1-AF325)+INDEX(Models!$BJ325:$BT325,,AH325+1)*AF325-ERP_i)*AE325*Ramure*Pc/MaxiM</f>
        <v>9.1012532763159917E-4</v>
      </c>
      <c r="AE325" s="305">
        <f t="shared" si="117"/>
        <v>0.5</v>
      </c>
      <c r="AF325" s="177">
        <f t="shared" si="118"/>
        <v>0.99650310599199754</v>
      </c>
      <c r="AG325" s="811">
        <f t="shared" si="124"/>
        <v>2</v>
      </c>
      <c r="AH325" s="176">
        <f t="shared" si="119"/>
        <v>8</v>
      </c>
      <c r="AI325" s="225">
        <f t="shared" si="120"/>
        <v>2.9965031059919975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20.357659140506854</v>
      </c>
      <c r="C326" s="841"/>
      <c r="D326" s="393">
        <f t="shared" si="102"/>
        <v>21.950784194451984</v>
      </c>
      <c r="E326" s="385">
        <f t="shared" si="125"/>
        <v>22.474814705317236</v>
      </c>
      <c r="F326" s="385">
        <f t="shared" si="103"/>
        <v>22.476294880133455</v>
      </c>
      <c r="G326" s="110">
        <f t="shared" si="126"/>
        <v>0.69869541386505474</v>
      </c>
      <c r="H326" s="414" t="b">
        <f>Wh_hp&gt;='2026'!Maxi_hp</f>
        <v>0</v>
      </c>
      <c r="I326" s="390">
        <f>IF(H326,Wh_hp,'2026'!Maxi_hp)</f>
        <v>27.215230575971084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7.2577136189411751E-2</v>
      </c>
      <c r="M326" s="845"/>
      <c r="N326" s="845"/>
      <c r="O326" s="48">
        <f>IF(t&lt;Tnet,'2026'!Resal+('2026'!Salim-'2026'!Resal)*(1-EXP(('2026'!Tnet-t)/('2026'!Tau_j))),Resal+(Salim-Resal)*(1-EXP((Tnet-t)/(Tau_j))))*Salcycl</f>
        <v>2.3316343993762565E-2</v>
      </c>
      <c r="P326" s="169">
        <f>(INDEX(Models!$BJ326:$BT326,,T326)*(1-R326)+INDEX(Models!$BJ326:$BT326,,T326+1)*R326-ERP_i)*Q326*Ramure*Pc/MaxiM</f>
        <v>1.1561314537398537E-4</v>
      </c>
      <c r="Q326" s="305">
        <f t="shared" si="105"/>
        <v>0.5</v>
      </c>
      <c r="R326" s="177">
        <f t="shared" si="106"/>
        <v>0.47155777507538466</v>
      </c>
      <c r="S326" s="811">
        <f t="shared" si="107"/>
        <v>-1</v>
      </c>
      <c r="T326" s="176">
        <f t="shared" si="108"/>
        <v>5</v>
      </c>
      <c r="U326" s="251">
        <f t="shared" si="109"/>
        <v>-0.52844222492461534</v>
      </c>
      <c r="V326" s="383">
        <f t="shared" si="110"/>
        <v>29.135222171257574</v>
      </c>
      <c r="W326" s="402">
        <f t="shared" si="111"/>
        <v>20.357659140506854</v>
      </c>
      <c r="X326" s="157">
        <f t="shared" si="112"/>
        <v>46699</v>
      </c>
      <c r="Y326" s="385">
        <f t="shared" si="113"/>
        <v>19.429386349047135</v>
      </c>
      <c r="Z326" s="385">
        <f t="shared" si="114"/>
        <v>20.949867754193395</v>
      </c>
      <c r="AA326" s="386">
        <f t="shared" si="115"/>
        <v>22.464345228611382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6.7416942670961807E-2</v>
      </c>
      <c r="AD326" s="231">
        <f>(INDEX(Models!$BJ326:$BT326,,AH326)*(1-AF326)+INDEX(Models!$BJ326:$BT326,,AH326+1)*AF326-ERP_i)*AE326*Ramure*Pc/MaxiM</f>
        <v>9.3336056217960099E-4</v>
      </c>
      <c r="AE326" s="305">
        <f t="shared" si="117"/>
        <v>0.5</v>
      </c>
      <c r="AF326" s="177">
        <f t="shared" si="118"/>
        <v>0.99654534144936369</v>
      </c>
      <c r="AG326" s="811">
        <f t="shared" si="124"/>
        <v>2</v>
      </c>
      <c r="AH326" s="176">
        <f t="shared" si="119"/>
        <v>8</v>
      </c>
      <c r="AI326" s="225">
        <f t="shared" si="120"/>
        <v>2.9965453414493637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9.5188717398857232</v>
      </c>
      <c r="C327" s="841"/>
      <c r="D327" s="393">
        <f t="shared" si="102"/>
        <v>10.264012893817343</v>
      </c>
      <c r="E327" s="385">
        <f t="shared" si="125"/>
        <v>10.509796557832088</v>
      </c>
      <c r="F327" s="385">
        <f t="shared" si="103"/>
        <v>10.509849558608384</v>
      </c>
      <c r="G327" s="110">
        <f t="shared" si="126"/>
        <v>0.32970014522020763</v>
      </c>
      <c r="H327" s="414" t="b">
        <f>Wh_hp&gt;='2026'!Maxi_hp</f>
        <v>0</v>
      </c>
      <c r="I327" s="390">
        <f>IF(H327,Wh_hp,'2026'!Maxi_hp)</f>
        <v>21.819080346731017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7.2597449130297198E-2</v>
      </c>
      <c r="M327" s="845"/>
      <c r="N327" s="845"/>
      <c r="O327" s="48">
        <f>IF(t&lt;Tnet,'2026'!Resal+('2026'!Salim-'2026'!Resal)*(1-EXP(('2026'!Tnet-t)/('2026'!Tau_j))),Resal+(Salim-Resal)*(1-EXP((Tnet-t)/(Tau_j))))*Salcycl</f>
        <v>2.338614859595765E-2</v>
      </c>
      <c r="P327" s="169">
        <f>(INDEX(Models!$BJ327:$BT327,,T327)*(1-R327)+INDEX(Models!$BJ327:$BT327,,T327+1)*R327-ERP_i)*Q327*Ramure*Pc/MaxiM</f>
        <v>1.1870731809968132E-4</v>
      </c>
      <c r="Q327" s="305">
        <f t="shared" si="105"/>
        <v>0.5</v>
      </c>
      <c r="R327" s="177">
        <f t="shared" si="106"/>
        <v>0.47159831672385422</v>
      </c>
      <c r="S327" s="811">
        <f t="shared" si="107"/>
        <v>-1</v>
      </c>
      <c r="T327" s="176">
        <f t="shared" si="108"/>
        <v>5</v>
      </c>
      <c r="U327" s="251">
        <f t="shared" si="109"/>
        <v>-0.52840168327614578</v>
      </c>
      <c r="V327" s="383">
        <f t="shared" si="110"/>
        <v>28.868018155252248</v>
      </c>
      <c r="W327" s="402">
        <f t="shared" si="111"/>
        <v>9.5188717398857232</v>
      </c>
      <c r="X327" s="157">
        <f t="shared" si="112"/>
        <v>46700</v>
      </c>
      <c r="Y327" s="385">
        <f t="shared" si="113"/>
        <v>9.0894432287732556</v>
      </c>
      <c r="Z327" s="385">
        <f t="shared" si="114"/>
        <v>9.8009685440797263</v>
      </c>
      <c r="AA327" s="386">
        <f t="shared" si="115"/>
        <v>10.509422342487307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6.7411297721232125E-2</v>
      </c>
      <c r="AD327" s="231">
        <f>(INDEX(Models!$BJ327:$BT327,,AH327)*(1-AF327)+INDEX(Models!$BJ327:$BT327,,AH327+1)*AF327-ERP_i)*AE327*Ramure*Pc/MaxiM</f>
        <v>9.5684787140625676E-4</v>
      </c>
      <c r="AE327" s="305">
        <f t="shared" si="117"/>
        <v>0.5</v>
      </c>
      <c r="AF327" s="177">
        <f t="shared" si="118"/>
        <v>0.99658588309783314</v>
      </c>
      <c r="AG327" s="811">
        <f t="shared" si="124"/>
        <v>2</v>
      </c>
      <c r="AH327" s="176">
        <f t="shared" si="119"/>
        <v>8</v>
      </c>
      <c r="AI327" s="225">
        <f t="shared" si="120"/>
        <v>2.9965858830978331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19.767010020414407</v>
      </c>
      <c r="C328" s="841"/>
      <c r="D328" s="393">
        <f t="shared" si="102"/>
        <v>21.314846459727605</v>
      </c>
      <c r="E328" s="385">
        <f t="shared" si="125"/>
        <v>21.826814711439049</v>
      </c>
      <c r="F328" s="385">
        <f t="shared" si="103"/>
        <v>21.828304692843989</v>
      </c>
      <c r="G328" s="110">
        <f t="shared" si="126"/>
        <v>0.69099291739089341</v>
      </c>
      <c r="H328" s="414" t="b">
        <f>Wh_hp&gt;='2026'!Maxi_hp</f>
        <v>0</v>
      </c>
      <c r="I328" s="390">
        <f>IF(H328,Wh_hp,'2026'!Maxi_hp)</f>
        <v>21.829176850256719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7.26177616262772E-2</v>
      </c>
      <c r="M328" s="845"/>
      <c r="N328" s="845"/>
      <c r="O328" s="48">
        <f>IF(t&lt;Tnet,'2026'!Resal+('2026'!Salim-'2026'!Resal)*(1-EXP(('2026'!Tnet-t)/('2026'!Tau_j))),Resal+(Salim-Resal)*(1-EXP((Tnet-t)/(Tau_j))))*Salcycl</f>
        <v>2.3455930628445348E-2</v>
      </c>
      <c r="P328" s="169">
        <f>(INDEX(Models!$BJ328:$BT328,,T328)*(1-R328)+INDEX(Models!$BJ328:$BT328,,T328+1)*R328-ERP_i)*Q328*Ramure*Pc/MaxiM</f>
        <v>1.2219363711227677E-4</v>
      </c>
      <c r="Q328" s="305">
        <f t="shared" si="105"/>
        <v>0.5</v>
      </c>
      <c r="R328" s="177">
        <f t="shared" si="106"/>
        <v>0.47163723223288934</v>
      </c>
      <c r="S328" s="811">
        <f t="shared" si="107"/>
        <v>-1</v>
      </c>
      <c r="T328" s="176">
        <f t="shared" si="108"/>
        <v>5</v>
      </c>
      <c r="U328" s="251">
        <f t="shared" si="109"/>
        <v>-0.52836276776711066</v>
      </c>
      <c r="V328" s="383">
        <f t="shared" si="110"/>
        <v>28.605132305285171</v>
      </c>
      <c r="W328" s="402">
        <f t="shared" si="111"/>
        <v>19.767010020414407</v>
      </c>
      <c r="X328" s="157">
        <f t="shared" si="112"/>
        <v>46701</v>
      </c>
      <c r="Y328" s="385">
        <f t="shared" si="113"/>
        <v>18.868327376008317</v>
      </c>
      <c r="Z328" s="385">
        <f t="shared" si="114"/>
        <v>20.345793347407877</v>
      </c>
      <c r="AA328" s="386">
        <f t="shared" si="115"/>
        <v>21.816347869872651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6.740608149613983E-2</v>
      </c>
      <c r="AD328" s="231">
        <f>(INDEX(Models!$BJ328:$BT328,,AH328)*(1-AF328)+INDEX(Models!$BJ328:$BT328,,AH328+1)*AF328-ERP_i)*AE328*Ramure*Pc/MaxiM</f>
        <v>9.8058115512658379E-4</v>
      </c>
      <c r="AE328" s="305">
        <f t="shared" si="117"/>
        <v>0.5</v>
      </c>
      <c r="AF328" s="177">
        <f t="shared" si="118"/>
        <v>0.99662479860686837</v>
      </c>
      <c r="AG328" s="811">
        <f t="shared" si="124"/>
        <v>2</v>
      </c>
      <c r="AH328" s="176">
        <f t="shared" si="119"/>
        <v>8</v>
      </c>
      <c r="AI328" s="225">
        <f t="shared" si="120"/>
        <v>2.9966247986068684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26.770907350148502</v>
      </c>
      <c r="C329" s="841"/>
      <c r="D329" s="393">
        <f t="shared" si="102"/>
        <v>28.867809417522526</v>
      </c>
      <c r="E329" s="385">
        <f t="shared" si="125"/>
        <v>29.563307363283883</v>
      </c>
      <c r="F329" s="385">
        <f t="shared" si="103"/>
        <v>29.566738873262864</v>
      </c>
      <c r="G329" s="110">
        <f t="shared" si="126"/>
        <v>0.94439216936581638</v>
      </c>
      <c r="H329" s="414" t="b">
        <f>Wh_hp&gt;='2026'!Maxi_hp</f>
        <v>0</v>
      </c>
      <c r="I329" s="390">
        <f>IF(H329,Wh_hp,'2026'!Maxi_hp)</f>
        <v>29.566958308620773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7.2638073677361303E-2</v>
      </c>
      <c r="M329" s="845"/>
      <c r="N329" s="845"/>
      <c r="O329" s="48">
        <f>IF(t&lt;Tnet,'2026'!Resal+('2026'!Salim-'2026'!Resal)*(1-EXP(('2026'!Tnet-t)/('2026'!Tau_j))),Resal+(Salim-Resal)*(1-EXP((Tnet-t)/(Tau_j))))*Salcycl</f>
        <v>2.3525715076964954E-2</v>
      </c>
      <c r="P329" s="169">
        <f>(INDEX(Models!$BJ329:$BT329,,T329)*(1-R329)+INDEX(Models!$BJ329:$BT329,,T329+1)*R329-ERP_i)*Q329*Ramure*Pc/MaxiM</f>
        <v>1.26073338107871E-4</v>
      </c>
      <c r="Q329" s="305">
        <f t="shared" si="105"/>
        <v>0.5</v>
      </c>
      <c r="R329" s="177">
        <f t="shared" si="106"/>
        <v>0.4716745865888865</v>
      </c>
      <c r="S329" s="811">
        <f t="shared" si="107"/>
        <v>-1</v>
      </c>
      <c r="T329" s="176">
        <f t="shared" si="108"/>
        <v>5</v>
      </c>
      <c r="U329" s="251">
        <f t="shared" si="109"/>
        <v>-0.5283254134111135</v>
      </c>
      <c r="V329" s="383">
        <f t="shared" si="110"/>
        <v>28.346951738990615</v>
      </c>
      <c r="W329" s="402">
        <f t="shared" si="111"/>
        <v>26.770907350148502</v>
      </c>
      <c r="X329" s="157">
        <f t="shared" si="112"/>
        <v>46702</v>
      </c>
      <c r="Y329" s="385">
        <f t="shared" si="113"/>
        <v>25.547338281913945</v>
      </c>
      <c r="Z329" s="385">
        <f t="shared" si="114"/>
        <v>27.548401068414968</v>
      </c>
      <c r="AA329" s="386">
        <f t="shared" si="115"/>
        <v>29.539396575350757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6.7401360141431652E-2</v>
      </c>
      <c r="AD329" s="231">
        <f>(INDEX(Models!$BJ329:$BT329,,AH329)*(1-AF329)+INDEX(Models!$BJ329:$BT329,,AH329+1)*AF329-ERP_i)*AE329*Ramure*Pc/MaxiM</f>
        <v>1.004553327961387E-3</v>
      </c>
      <c r="AE329" s="305">
        <f t="shared" si="117"/>
        <v>0.5</v>
      </c>
      <c r="AF329" s="177">
        <f t="shared" si="118"/>
        <v>0.9966621529628652</v>
      </c>
      <c r="AG329" s="811">
        <f t="shared" si="124"/>
        <v>2</v>
      </c>
      <c r="AH329" s="176">
        <f t="shared" si="119"/>
        <v>8</v>
      </c>
      <c r="AI329" s="225">
        <f t="shared" si="120"/>
        <v>2.9966621529628652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26.814631048004504</v>
      </c>
      <c r="C330" s="841"/>
      <c r="D330" s="393">
        <f t="shared" si="102"/>
        <v>28.915591215222008</v>
      </c>
      <c r="E330" s="385">
        <f t="shared" si="125"/>
        <v>29.614357575765439</v>
      </c>
      <c r="F330" s="385">
        <f t="shared" si="103"/>
        <v>29.617967071366497</v>
      </c>
      <c r="G330" s="110">
        <f t="shared" si="126"/>
        <v>0.95445767713630425</v>
      </c>
      <c r="H330" s="414" t="b">
        <f>Wh_hp&gt;='2026'!Maxi_hp</f>
        <v>0</v>
      </c>
      <c r="I330" s="390">
        <f>IF(H330,Wh_hp,'2026'!Maxi_hp)</f>
        <v>29.618153223343985</v>
      </c>
      <c r="J330" s="85">
        <f>IF(H330,An,'2026'!An_max)</f>
        <v>2025</v>
      </c>
      <c r="K330" s="197">
        <f t="shared" si="104"/>
        <v>46703</v>
      </c>
      <c r="L330" s="147">
        <f>IF(t&lt;Tvie,1-EXP((T0-t)*PertePVj)+'2026'!Pspv,1-EXP((T0-t)*PertePVj)+Pspv)</f>
        <v>7.265838528355939E-2</v>
      </c>
      <c r="M330" s="845"/>
      <c r="N330" s="845"/>
      <c r="O330" s="48">
        <f>IF(t&lt;Tnet,'2026'!Resal+('2026'!Salim-'2026'!Resal)*(1-EXP(('2026'!Tnet-t)/('2026'!Tau_j))),Resal+(Salim-Resal)*(1-EXP((Tnet-t)/(Tau_j))))*Salcycl</f>
        <v>2.3595526553486942E-2</v>
      </c>
      <c r="P330" s="169">
        <f>(INDEX(Models!$BJ330:$BT330,,T330)*(1-R330)+INDEX(Models!$BJ330:$BT330,,T330+1)*R330-ERP_i)*Q330*Ramure*Pc/MaxiM</f>
        <v>1.3034740015029357E-4</v>
      </c>
      <c r="Q330" s="305">
        <f t="shared" si="105"/>
        <v>0.5</v>
      </c>
      <c r="R330" s="177">
        <f t="shared" si="106"/>
        <v>0.47171044219994962</v>
      </c>
      <c r="S330" s="811">
        <f t="shared" si="107"/>
        <v>-1</v>
      </c>
      <c r="T330" s="176">
        <f t="shared" si="108"/>
        <v>5</v>
      </c>
      <c r="U330" s="251">
        <f t="shared" si="109"/>
        <v>-0.52828955780005038</v>
      </c>
      <c r="V330" s="383">
        <f t="shared" si="110"/>
        <v>28.093863460452663</v>
      </c>
      <c r="W330" s="402">
        <f t="shared" si="111"/>
        <v>26.814631048004504</v>
      </c>
      <c r="X330" s="157">
        <f t="shared" si="112"/>
        <v>46703</v>
      </c>
      <c r="Y330" s="385">
        <f t="shared" si="113"/>
        <v>25.590206463947034</v>
      </c>
      <c r="Z330" s="385">
        <f t="shared" si="114"/>
        <v>27.595231420485664</v>
      </c>
      <c r="AA330" s="386">
        <f t="shared" si="115"/>
        <v>29.589479422659622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6.7397197959716729E-2</v>
      </c>
      <c r="AD330" s="231">
        <f>(INDEX(Models!$BJ330:$BT330,,AH330)*(1-AF330)+INDEX(Models!$BJ330:$BT330,,AH330+1)*AF330-ERP_i)*AE330*Ramure*Pc/MaxiM</f>
        <v>1.0287561908231997E-3</v>
      </c>
      <c r="AE330" s="305">
        <f t="shared" si="117"/>
        <v>0.5</v>
      </c>
      <c r="AF330" s="177">
        <f t="shared" si="118"/>
        <v>0.99669800857392854</v>
      </c>
      <c r="AG330" s="811">
        <f t="shared" si="124"/>
        <v>2</v>
      </c>
      <c r="AH330" s="176">
        <f t="shared" si="119"/>
        <v>8</v>
      </c>
      <c r="AI330" s="225">
        <f t="shared" si="120"/>
        <v>2.9966980085739285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25.901154582453003</v>
      </c>
      <c r="C331" s="841"/>
      <c r="D331" s="393">
        <f t="shared" si="102"/>
        <v>27.931154480280387</v>
      </c>
      <c r="E331" s="385">
        <f t="shared" si="125"/>
        <v>28.608178149953787</v>
      </c>
      <c r="F331" s="385">
        <f t="shared" si="103"/>
        <v>28.611656076938694</v>
      </c>
      <c r="G331" s="110">
        <f t="shared" si="126"/>
        <v>0.93017558065096828</v>
      </c>
      <c r="H331" s="414" t="b">
        <f>Wh_hp&gt;='2026'!Maxi_hp</f>
        <v>0</v>
      </c>
      <c r="I331" s="390">
        <f>IF(H331,Wh_hp,'2026'!Maxi_hp)</f>
        <v>29.179515996539571</v>
      </c>
      <c r="J331" s="85">
        <f>IF(H331,An,'2026'!An_max)</f>
        <v>2020</v>
      </c>
      <c r="K331" s="197">
        <f t="shared" si="104"/>
        <v>46704</v>
      </c>
      <c r="L331" s="147">
        <f>IF(t&lt;Tvie,1-EXP((T0-t)*PertePVj)+'2026'!Pspv,1-EXP((T0-t)*PertePVj)+Pspv)</f>
        <v>7.267869644488123E-2</v>
      </c>
      <c r="M331" s="845"/>
      <c r="N331" s="845"/>
      <c r="O331" s="48">
        <f>IF(t&lt;Tnet,'2026'!Resal+('2026'!Salim-'2026'!Resal)*(1-EXP(('2026'!Tnet-t)/('2026'!Tau_j))),Resal+(Salim-Resal)*(1-EXP((Tnet-t)/(Tau_j))))*Salcycl</f>
        <v>2.3665389180837937E-2</v>
      </c>
      <c r="P331" s="169">
        <f>(INDEX(Models!$BJ331:$BT331,,T331)*(1-R331)+INDEX(Models!$BJ331:$BT331,,T331+1)*R331-ERP_i)*Q331*Ramure*Pc/MaxiM</f>
        <v>1.3502223754030489E-4</v>
      </c>
      <c r="Q331" s="305">
        <f t="shared" si="105"/>
        <v>0.5</v>
      </c>
      <c r="R331" s="177">
        <f t="shared" si="106"/>
        <v>0.47174485899670038</v>
      </c>
      <c r="S331" s="811">
        <f t="shared" si="107"/>
        <v>-1</v>
      </c>
      <c r="T331" s="176">
        <f t="shared" si="108"/>
        <v>5</v>
      </c>
      <c r="U331" s="251">
        <f t="shared" si="109"/>
        <v>-0.52825514100329962</v>
      </c>
      <c r="V331" s="383">
        <f t="shared" si="110"/>
        <v>27.845071721337163</v>
      </c>
      <c r="W331" s="402">
        <f t="shared" si="111"/>
        <v>25.901154582453003</v>
      </c>
      <c r="X331" s="157">
        <f t="shared" si="112"/>
        <v>46704</v>
      </c>
      <c r="Y331" s="385">
        <f t="shared" si="113"/>
        <v>24.720634346993453</v>
      </c>
      <c r="Z331" s="385">
        <f t="shared" si="114"/>
        <v>26.658111112319649</v>
      </c>
      <c r="AA331" s="386">
        <f t="shared" si="115"/>
        <v>28.584526918208265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6.7393657113894556E-2</v>
      </c>
      <c r="AD331" s="231">
        <f>(INDEX(Models!$BJ331:$BT331,,AH331)*(1-AF331)+INDEX(Models!$BJ331:$BT331,,AH331+1)*AF331-ERP_i)*AE331*Ramure*Pc/MaxiM</f>
        <v>1.0532250188876509E-3</v>
      </c>
      <c r="AE331" s="305">
        <f t="shared" si="117"/>
        <v>0.5</v>
      </c>
      <c r="AF331" s="177">
        <f t="shared" si="118"/>
        <v>0.9967324253706793</v>
      </c>
      <c r="AG331" s="811">
        <f t="shared" si="124"/>
        <v>2</v>
      </c>
      <c r="AH331" s="176">
        <f t="shared" si="119"/>
        <v>8</v>
      </c>
      <c r="AI331" s="225">
        <f t="shared" si="120"/>
        <v>2.9967324253706793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9.1199827581841006</v>
      </c>
      <c r="C332" s="841"/>
      <c r="D332" s="393">
        <f t="shared" si="102"/>
        <v>9.8349757291490807</v>
      </c>
      <c r="E332" s="385">
        <f t="shared" si="125"/>
        <v>10.074087484580941</v>
      </c>
      <c r="F332" s="385">
        <f t="shared" si="103"/>
        <v>10.074148892198687</v>
      </c>
      <c r="G332" s="110">
        <f t="shared" si="126"/>
        <v>0.33039482329395814</v>
      </c>
      <c r="H332" s="414" t="b">
        <f>Wh_hp&gt;='2026'!Maxi_hp</f>
        <v>0</v>
      </c>
      <c r="I332" s="390">
        <f>IF(H332,Wh_hp,'2026'!Maxi_hp)</f>
        <v>19.900379192311398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7.2699007161336482E-2</v>
      </c>
      <c r="M332" s="845"/>
      <c r="N332" s="845"/>
      <c r="O332" s="48">
        <f>IF(t&lt;Tnet,'2026'!Resal+('2026'!Salim-'2026'!Resal)*(1-EXP(('2026'!Tnet-t)/('2026'!Tau_j))),Resal+(Salim-Resal)*(1-EXP((Tnet-t)/(Tau_j))))*Salcycl</f>
        <v>2.3735326479726954E-2</v>
      </c>
      <c r="P332" s="169">
        <f>(INDEX(Models!$BJ332:$BT332,,T332)*(1-R332)+INDEX(Models!$BJ332:$BT332,,T332+1)*R332-ERP_i)*Q332*Ramure*Pc/MaxiM</f>
        <v>1.4017794669819429E-4</v>
      </c>
      <c r="Q332" s="305">
        <f t="shared" si="105"/>
        <v>0.5</v>
      </c>
      <c r="R332" s="177">
        <f t="shared" si="106"/>
        <v>0.47177789452926211</v>
      </c>
      <c r="S332" s="811">
        <f t="shared" si="107"/>
        <v>-1</v>
      </c>
      <c r="T332" s="176">
        <f t="shared" si="108"/>
        <v>5</v>
      </c>
      <c r="U332" s="251">
        <f t="shared" si="109"/>
        <v>-0.52822210547073789</v>
      </c>
      <c r="V332" s="383">
        <f t="shared" si="110"/>
        <v>27.599584735615831</v>
      </c>
      <c r="W332" s="402">
        <f t="shared" si="111"/>
        <v>9.1199827581841006</v>
      </c>
      <c r="X332" s="157">
        <f t="shared" si="112"/>
        <v>46705</v>
      </c>
      <c r="Y332" s="385">
        <f t="shared" si="113"/>
        <v>8.7118109992757109</v>
      </c>
      <c r="Z332" s="385">
        <f t="shared" si="114"/>
        <v>9.3948039164791837</v>
      </c>
      <c r="AA332" s="386">
        <f t="shared" si="115"/>
        <v>10.073677044691904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6.7390797342509162E-2</v>
      </c>
      <c r="AD332" s="231">
        <f>(INDEX(Models!$BJ332:$BT332,,AH332)*(1-AF332)+INDEX(Models!$BJ332:$BT332,,AH332+1)*AF332-ERP_i)*AE332*Ramure*Pc/MaxiM</f>
        <v>1.0771076469514107E-3</v>
      </c>
      <c r="AE332" s="305">
        <f t="shared" si="117"/>
        <v>0.5</v>
      </c>
      <c r="AF332" s="177">
        <f t="shared" si="118"/>
        <v>0.99676546090324081</v>
      </c>
      <c r="AG332" s="811">
        <f t="shared" si="124"/>
        <v>2</v>
      </c>
      <c r="AH332" s="176">
        <f t="shared" si="119"/>
        <v>8</v>
      </c>
      <c r="AI332" s="225">
        <f t="shared" si="120"/>
        <v>2.9967654609032408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11.858718858111919</v>
      </c>
      <c r="C333" s="841"/>
      <c r="D333" s="393">
        <f t="shared" si="102"/>
        <v>12.788704737472241</v>
      </c>
      <c r="E333" s="385">
        <f t="shared" si="125"/>
        <v>13.100568503393701</v>
      </c>
      <c r="F333" s="385">
        <f t="shared" si="103"/>
        <v>13.100932227678902</v>
      </c>
      <c r="G333" s="110">
        <f t="shared" si="126"/>
        <v>0.43342116589435337</v>
      </c>
      <c r="H333" s="414" t="b">
        <f>Wh_hp&gt;='2026'!Maxi_hp</f>
        <v>0</v>
      </c>
      <c r="I333" s="390">
        <f>IF(H333,Wh_hp,'2026'!Maxi_hp)</f>
        <v>27.219183293094108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7.2719317432934916E-2</v>
      </c>
      <c r="M333" s="845"/>
      <c r="N333" s="845"/>
      <c r="O333" s="48">
        <f>IF(t&lt;Tnet,'2026'!Resal+('2026'!Salim-'2026'!Resal)*(1-EXP(('2026'!Tnet-t)/('2026'!Tau_j))),Resal+(Salim-Resal)*(1-EXP((Tnet-t)/(Tau_j))))*Salcycl</f>
        <v>2.3805361258992141E-2</v>
      </c>
      <c r="P333" s="169">
        <f>(INDEX(Models!$BJ333:$BT333,,T333)*(1-R333)+INDEX(Models!$BJ333:$BT333,,T333+1)*R333-ERP_i)*Q333*Ramure*Pc/MaxiM</f>
        <v>1.4560529282971204E-4</v>
      </c>
      <c r="Q333" s="305">
        <f t="shared" si="105"/>
        <v>0.5</v>
      </c>
      <c r="R333" s="177">
        <f t="shared" si="106"/>
        <v>0.47180960406055716</v>
      </c>
      <c r="S333" s="811">
        <f t="shared" si="107"/>
        <v>-1</v>
      </c>
      <c r="T333" s="176">
        <f t="shared" si="108"/>
        <v>5</v>
      </c>
      <c r="U333" s="251">
        <f t="shared" si="109"/>
        <v>-0.52819039593944284</v>
      </c>
      <c r="V333" s="383">
        <f t="shared" si="110"/>
        <v>27.357504193490122</v>
      </c>
      <c r="W333" s="402">
        <f t="shared" si="111"/>
        <v>11.858718858111919</v>
      </c>
      <c r="X333" s="157">
        <f t="shared" si="112"/>
        <v>46706</v>
      </c>
      <c r="Y333" s="385">
        <f t="shared" si="113"/>
        <v>11.32721156697264</v>
      </c>
      <c r="Z333" s="385">
        <f t="shared" si="114"/>
        <v>12.215515517496403</v>
      </c>
      <c r="AA333" s="386">
        <f t="shared" si="115"/>
        <v>13.098184848357748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6.738867568906047E-2</v>
      </c>
      <c r="AD333" s="231">
        <f>(INDEX(Models!$BJ333:$BT333,,AH333)*(1-AF333)+INDEX(Models!$BJ333:$BT333,,AH333+1)*AF333-ERP_i)*AE333*Ramure*Pc/MaxiM</f>
        <v>1.0998247487089717E-3</v>
      </c>
      <c r="AE333" s="305">
        <f t="shared" si="117"/>
        <v>0.5</v>
      </c>
      <c r="AF333" s="177">
        <f t="shared" si="118"/>
        <v>0.99679717043453619</v>
      </c>
      <c r="AG333" s="811">
        <f t="shared" si="124"/>
        <v>2</v>
      </c>
      <c r="AH333" s="176">
        <f t="shared" si="119"/>
        <v>8</v>
      </c>
      <c r="AI333" s="225">
        <f t="shared" si="120"/>
        <v>2.9967971704345362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26.327172047821946</v>
      </c>
      <c r="C334" s="841"/>
      <c r="D334" s="393">
        <f t="shared" si="102"/>
        <v>28.392426573798026</v>
      </c>
      <c r="E334" s="385">
        <f t="shared" si="125"/>
        <v>29.086891093228225</v>
      </c>
      <c r="F334" s="385">
        <f t="shared" si="103"/>
        <v>29.091109196065155</v>
      </c>
      <c r="G334" s="110">
        <f t="shared" si="126"/>
        <v>0.97079825499815653</v>
      </c>
      <c r="H334" s="414" t="b">
        <f>Wh_hp&gt;='2026'!Maxi_hp</f>
        <v>0</v>
      </c>
      <c r="I334" s="390">
        <f>IF(H334,Wh_hp,'2026'!Maxi_hp)</f>
        <v>29.091244945223572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7.2739627259686301E-2</v>
      </c>
      <c r="M334" s="845"/>
      <c r="N334" s="845"/>
      <c r="O334" s="48">
        <f>IF(t&lt;Tnet,'2026'!Resal+('2026'!Salim-'2026'!Resal)*(1-EXP(('2026'!Tnet-t)/('2026'!Tau_j))),Resal+(Salim-Resal)*(1-EXP((Tnet-t)/(Tau_j))))*Salcycl</f>
        <v>2.3875515509867589E-2</v>
      </c>
      <c r="P334" s="169">
        <f>(INDEX(Models!$BJ334:$BT334,,T334)*(1-R334)+INDEX(Models!$BJ334:$BT334,,T334+1)*R334-ERP_i)*Q334*Ramure*Pc/MaxiM</f>
        <v>1.5130700398134343E-4</v>
      </c>
      <c r="Q334" s="305">
        <f t="shared" si="105"/>
        <v>0.5</v>
      </c>
      <c r="R334" s="177">
        <f t="shared" si="106"/>
        <v>0.47184004065604679</v>
      </c>
      <c r="S334" s="811">
        <f t="shared" si="107"/>
        <v>-1</v>
      </c>
      <c r="T334" s="176">
        <f t="shared" si="108"/>
        <v>5</v>
      </c>
      <c r="U334" s="251">
        <f t="shared" si="109"/>
        <v>-0.52815995934395321</v>
      </c>
      <c r="V334" s="383">
        <f t="shared" si="110"/>
        <v>27.118925837442475</v>
      </c>
      <c r="W334" s="402">
        <f t="shared" si="111"/>
        <v>26.327172047821946</v>
      </c>
      <c r="X334" s="157">
        <f t="shared" si="112"/>
        <v>46707</v>
      </c>
      <c r="Y334" s="385">
        <f t="shared" si="113"/>
        <v>25.130222739673677</v>
      </c>
      <c r="Z334" s="385">
        <f t="shared" si="114"/>
        <v>27.101581689948468</v>
      </c>
      <c r="AA334" s="386">
        <f t="shared" si="115"/>
        <v>29.059847709435171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6.7387346247203231E-2</v>
      </c>
      <c r="AD334" s="231">
        <f>(INDEX(Models!$BJ334:$BT334,,AH334)*(1-AF334)+INDEX(Models!$BJ334:$BT334,,AH334+1)*AF334-ERP_i)*AE334*Ramure*Pc/MaxiM</f>
        <v>1.1213766152341458E-3</v>
      </c>
      <c r="AE334" s="305">
        <f t="shared" si="117"/>
        <v>0.5</v>
      </c>
      <c r="AF334" s="177">
        <f t="shared" si="118"/>
        <v>0.99682760703002549</v>
      </c>
      <c r="AG334" s="811">
        <f t="shared" si="124"/>
        <v>2</v>
      </c>
      <c r="AH334" s="176">
        <f t="shared" si="119"/>
        <v>8</v>
      </c>
      <c r="AI334" s="225">
        <f t="shared" si="120"/>
        <v>2.9968276070300255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12.322801338132065</v>
      </c>
      <c r="C335" s="841"/>
      <c r="D335" s="393">
        <f t="shared" ref="D335:D379" si="127">Wh/(1-Ppv)</f>
        <v>13.289763703155499</v>
      </c>
      <c r="E335" s="385">
        <f t="shared" si="125"/>
        <v>13.615805191419639</v>
      </c>
      <c r="F335" s="385">
        <f t="shared" ref="F335:F379" si="128">Wh_sa/(1-Pvg*MEDIAN((-Sdif+Wh/Env_an)/Csdif,0,1))</f>
        <v>13.616289725371811</v>
      </c>
      <c r="G335" s="110">
        <f t="shared" si="126"/>
        <v>0.45831448477102299</v>
      </c>
      <c r="H335" s="414" t="b">
        <f>Wh_hp&gt;='2026'!Maxi_hp</f>
        <v>0</v>
      </c>
      <c r="I335" s="390">
        <f>IF(H335,Wh_hp,'2026'!Maxi_hp)</f>
        <v>28.670073792979203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7.2759936641600298E-2</v>
      </c>
      <c r="M335" s="845"/>
      <c r="N335" s="845"/>
      <c r="O335" s="48">
        <f>IF(t&lt;Tnet,'2026'!Resal+('2026'!Salim-'2026'!Resal)*(1-EXP(('2026'!Tnet-t)/('2026'!Tau_j))),Resal+(Salim-Resal)*(1-EXP((Tnet-t)/(Tau_j))))*Salcycl</f>
        <v>2.394581030504199E-2</v>
      </c>
      <c r="P335" s="169">
        <f>(INDEX(Models!$BJ335:$BT335,,T335)*(1-R335)+INDEX(Models!$BJ335:$BT335,,T335+1)*R335-ERP_i)*Q335*Ramure*Pc/MaxiM</f>
        <v>1.5728590697121835E-4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0.47186925527004098</v>
      </c>
      <c r="S335" s="811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-0.52813074472995902</v>
      </c>
      <c r="V335" s="383">
        <f t="shared" ref="V335:V379" si="135">MaxiM*(1-Ppv)*(1-Pvg)*(1-Psa)</f>
        <v>26.883945405447122</v>
      </c>
      <c r="W335" s="402">
        <f t="shared" ref="W335:W379" si="136">Wh*(A335&gt;Tmaj)</f>
        <v>12.322801338132065</v>
      </c>
      <c r="X335" s="157">
        <f t="shared" ref="X335:X379" si="137">t</f>
        <v>46708</v>
      </c>
      <c r="Y335" s="385">
        <f t="shared" ref="Y335:Y379" si="138">Wh_pvt_s*(1-Ppv)</f>
        <v>11.771730260196696</v>
      </c>
      <c r="Z335" s="385">
        <f t="shared" ref="Z335:Z379" si="139">Wh_sa_s*(1-Psa_s)</f>
        <v>12.695450429051027</v>
      </c>
      <c r="AA335" s="386">
        <f t="shared" ref="AA335:AA379" si="140">Wh_hp*(1-Pvg_s*MEDIAN((-Sdif+Wh/Env_an)/Csdif,0,1))</f>
        <v>13.612772417094181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6.7386859923642822E-2</v>
      </c>
      <c r="AD335" s="231">
        <f>(INDEX(Models!$BJ335:$BT335,,AH335)*(1-AF335)+INDEX(Models!$BJ335:$BT335,,AH335+1)*AF335-ERP_i)*AE335*Ramure*Pc/MaxiM</f>
        <v>1.1417631727644972E-3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0.99685682164401967</v>
      </c>
      <c r="AG335" s="81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2.9968568216440197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14.626213564467415</v>
      </c>
      <c r="C336" s="841"/>
      <c r="D336" s="393">
        <f t="shared" si="127"/>
        <v>15.774268715398298</v>
      </c>
      <c r="E336" s="385">
        <f t="shared" si="125"/>
        <v>16.162429926933655</v>
      </c>
      <c r="F336" s="385">
        <f t="shared" si="128"/>
        <v>16.163369371473287</v>
      </c>
      <c r="G336" s="110">
        <f t="shared" si="126"/>
        <v>0.54871342223011899</v>
      </c>
      <c r="H336" s="414" t="b">
        <f>Wh_hp&gt;='2026'!Maxi_hp</f>
        <v>0</v>
      </c>
      <c r="I336" s="390">
        <f>IF(H336,Wh_hp,'2026'!Maxi_hp)</f>
        <v>27.452705708144066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7.2780245578686675E-2</v>
      </c>
      <c r="M336" s="845"/>
      <c r="N336" s="845"/>
      <c r="O336" s="48">
        <f>IF(t&lt;Tnet,'2026'!Resal+('2026'!Salim-'2026'!Resal)*(1-EXP(('2026'!Tnet-t)/('2026'!Tau_j))),Resal+(Salim-Resal)*(1-EXP((Tnet-t)/(Tau_j))))*Salcycl</f>
        <v>2.401626570324741E-2</v>
      </c>
      <c r="P336" s="169">
        <f>(INDEX(Models!$BJ336:$BT336,,T336)*(1-R336)+INDEX(Models!$BJ336:$BT336,,T336+1)*R336-ERP_i)*Q336*Ramure*Pc/MaxiM</f>
        <v>1.6354491681215436E-4</v>
      </c>
      <c r="Q336" s="305">
        <f t="shared" si="130"/>
        <v>0.5</v>
      </c>
      <c r="R336" s="177">
        <f t="shared" si="131"/>
        <v>0.47189729682870429</v>
      </c>
      <c r="S336" s="811">
        <f t="shared" si="132"/>
        <v>-1</v>
      </c>
      <c r="T336" s="176">
        <f t="shared" si="133"/>
        <v>5</v>
      </c>
      <c r="U336" s="251">
        <f t="shared" si="134"/>
        <v>-0.52810270317129571</v>
      </c>
      <c r="V336" s="383">
        <f t="shared" si="135"/>
        <v>26.652658640570607</v>
      </c>
      <c r="W336" s="402">
        <f t="shared" si="136"/>
        <v>14.626213564467415</v>
      </c>
      <c r="X336" s="157">
        <f t="shared" si="137"/>
        <v>46709</v>
      </c>
      <c r="Y336" s="385">
        <f t="shared" si="138"/>
        <v>13.971295837120152</v>
      </c>
      <c r="Z336" s="385">
        <f t="shared" si="139"/>
        <v>15.067944541194304</v>
      </c>
      <c r="AA336" s="386">
        <f t="shared" si="140"/>
        <v>16.156700378532367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6.7387264220404128E-2</v>
      </c>
      <c r="AD336" s="231">
        <f>(INDEX(Models!$BJ336:$BT336,,AH336)*(1-AF336)+INDEX(Models!$BJ336:$BT336,,AH336+1)*AF336-ERP_i)*AE336*Ramure*Pc/MaxiM</f>
        <v>1.1609838045029961E-3</v>
      </c>
      <c r="AE336" s="305">
        <f t="shared" si="142"/>
        <v>0.5</v>
      </c>
      <c r="AF336" s="177">
        <f t="shared" si="143"/>
        <v>0.99688486320268321</v>
      </c>
      <c r="AG336" s="811">
        <f t="shared" ref="AG336:AG379" si="149">INDEX(Echel_vg,AH336)</f>
        <v>2</v>
      </c>
      <c r="AH336" s="176">
        <f t="shared" si="144"/>
        <v>8</v>
      </c>
      <c r="AI336" s="225">
        <f t="shared" si="145"/>
        <v>2.9968848632026832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7.4903939924288441</v>
      </c>
      <c r="C337" s="841"/>
      <c r="D337" s="393">
        <f t="shared" si="127"/>
        <v>8.0785143102879484</v>
      </c>
      <c r="E337" s="385">
        <f t="shared" si="125"/>
        <v>8.2779033458532201</v>
      </c>
      <c r="F337" s="385">
        <f t="shared" si="128"/>
        <v>8.2779033458532201</v>
      </c>
      <c r="G337" s="110">
        <f t="shared" si="126"/>
        <v>0.28340867605842823</v>
      </c>
      <c r="H337" s="414" t="b">
        <f>Wh_hp&gt;='2026'!Maxi_hp</f>
        <v>0</v>
      </c>
      <c r="I337" s="390">
        <f>IF(H337,Wh_hp,'2026'!Maxi_hp)</f>
        <v>29.080430360791048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7.2800554070955315E-2</v>
      </c>
      <c r="M337" s="845"/>
      <c r="N337" s="845"/>
      <c r="O337" s="48">
        <f>IF(t&lt;Tnet,'2026'!Resal+('2026'!Salim-'2026'!Resal)*(1-EXP(('2026'!Tnet-t)/('2026'!Tau_j))),Resal+(Salim-Resal)*(1-EXP((Tnet-t)/(Tau_j))))*Salcycl</f>
        <v>2.4086900660075211E-2</v>
      </c>
      <c r="P337" s="169">
        <f>(INDEX(Models!$BJ337:$BT337,,T337)*(1-R337)+INDEX(Models!$BJ337:$BT337,,T337+1)*R337-ERP_i)*Q337*Ramure*Pc/MaxiM</f>
        <v>1.7008702236139434E-4</v>
      </c>
      <c r="Q337" s="305">
        <f t="shared" si="130"/>
        <v>0.5</v>
      </c>
      <c r="R337" s="177">
        <f t="shared" si="131"/>
        <v>0.4719242123098748</v>
      </c>
      <c r="S337" s="811">
        <f t="shared" si="132"/>
        <v>-1</v>
      </c>
      <c r="T337" s="176">
        <f t="shared" si="133"/>
        <v>5</v>
      </c>
      <c r="U337" s="251">
        <f t="shared" si="134"/>
        <v>-0.5280757876901252</v>
      </c>
      <c r="V337" s="383">
        <f t="shared" si="135"/>
        <v>26.425161282198658</v>
      </c>
      <c r="W337" s="402">
        <f t="shared" si="136"/>
        <v>7.4903939924288441</v>
      </c>
      <c r="X337" s="157">
        <f t="shared" si="137"/>
        <v>46710</v>
      </c>
      <c r="Y337" s="385">
        <f t="shared" si="138"/>
        <v>7.158041847987997</v>
      </c>
      <c r="Z337" s="385">
        <f t="shared" si="139"/>
        <v>7.7200670032925975</v>
      </c>
      <c r="AA337" s="386">
        <f t="shared" si="140"/>
        <v>8.2779033458532201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6.7388603037998582E-2</v>
      </c>
      <c r="AD337" s="231">
        <f>(INDEX(Models!$BJ337:$BT337,,AH337)*(1-AF337)+INDEX(Models!$BJ337:$BT337,,AH337+1)*AF337-ERP_i)*AE337*Ramure*Pc/MaxiM</f>
        <v>1.1790371761647017E-3</v>
      </c>
      <c r="AE337" s="305">
        <f t="shared" si="142"/>
        <v>0.5</v>
      </c>
      <c r="AF337" s="177">
        <f t="shared" si="143"/>
        <v>0.99691177868385372</v>
      </c>
      <c r="AG337" s="811">
        <f t="shared" si="149"/>
        <v>2</v>
      </c>
      <c r="AH337" s="176">
        <f t="shared" si="144"/>
        <v>8</v>
      </c>
      <c r="AI337" s="225">
        <f t="shared" si="145"/>
        <v>2.9969117786838537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14.970528254040072</v>
      </c>
      <c r="C338" s="841"/>
      <c r="D338" s="393">
        <f t="shared" si="127"/>
        <v>16.14631697629078</v>
      </c>
      <c r="E338" s="385">
        <f t="shared" si="125"/>
        <v>16.546031588721728</v>
      </c>
      <c r="F338" s="385">
        <f t="shared" si="128"/>
        <v>16.547164474683978</v>
      </c>
      <c r="G338" s="110">
        <f t="shared" si="126"/>
        <v>0.57129845751471187</v>
      </c>
      <c r="H338" s="414" t="b">
        <f>Wh_hp&gt;='2026'!Maxi_hp</f>
        <v>0</v>
      </c>
      <c r="I338" s="390">
        <f>IF(H338,Wh_hp,'2026'!Maxi_hp)</f>
        <v>30.110087627610774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7.2820862118415763E-2</v>
      </c>
      <c r="M338" s="845"/>
      <c r="N338" s="845"/>
      <c r="O338" s="48">
        <f>IF(t&lt;Tnet,'2026'!Resal+('2026'!Salim-'2026'!Resal)*(1-EXP(('2026'!Tnet-t)/('2026'!Tau_j))),Resal+(Salim-Resal)*(1-EXP((Tnet-t)/(Tau_j))))*Salcycl</f>
        <v>2.4157732945669367E-2</v>
      </c>
      <c r="P338" s="169">
        <f>(INDEX(Models!$BJ338:$BT338,,T338)*(1-R338)+INDEX(Models!$BJ338:$BT338,,T338+1)*R338-ERP_i)*Q338*Ramure*Pc/MaxiM</f>
        <v>1.76609645222854E-4</v>
      </c>
      <c r="Q338" s="305">
        <f t="shared" si="130"/>
        <v>0.5</v>
      </c>
      <c r="R338" s="177">
        <f t="shared" si="131"/>
        <v>0.4719500468198139</v>
      </c>
      <c r="S338" s="811">
        <f t="shared" si="132"/>
        <v>-1</v>
      </c>
      <c r="T338" s="176">
        <f t="shared" si="133"/>
        <v>5</v>
      </c>
      <c r="U338" s="251">
        <f t="shared" si="134"/>
        <v>-0.5280499531801861</v>
      </c>
      <c r="V338" s="383">
        <f t="shared" si="135"/>
        <v>26.20155708397844</v>
      </c>
      <c r="W338" s="402">
        <f t="shared" si="136"/>
        <v>14.970528254040072</v>
      </c>
      <c r="X338" s="157">
        <f t="shared" si="137"/>
        <v>46711</v>
      </c>
      <c r="Y338" s="385">
        <f t="shared" si="138"/>
        <v>14.301630510226001</v>
      </c>
      <c r="Z338" s="385">
        <f t="shared" si="139"/>
        <v>15.424883850279805</v>
      </c>
      <c r="AA338" s="386">
        <f t="shared" si="140"/>
        <v>16.539495618470362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6.7390916500852854E-2</v>
      </c>
      <c r="AD338" s="231">
        <f>(INDEX(Models!$BJ338:$BT338,,AH338)*(1-AF338)+INDEX(Models!$BJ338:$BT338,,AH338+1)*AF338-ERP_i)*AE338*Ramure*Pc/MaxiM</f>
        <v>1.195525428226406E-3</v>
      </c>
      <c r="AE338" s="305">
        <f t="shared" si="142"/>
        <v>0.5</v>
      </c>
      <c r="AF338" s="177">
        <f t="shared" si="143"/>
        <v>0.99693761319379259</v>
      </c>
      <c r="AG338" s="811">
        <f t="shared" si="149"/>
        <v>2</v>
      </c>
      <c r="AH338" s="176">
        <f t="shared" si="144"/>
        <v>8</v>
      </c>
      <c r="AI338" s="225">
        <f t="shared" si="145"/>
        <v>2.9969376131937926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3.1636842280346933</v>
      </c>
      <c r="C339" s="841"/>
      <c r="D339" s="393">
        <f t="shared" si="127"/>
        <v>3.412235449543144</v>
      </c>
      <c r="E339" s="385">
        <f t="shared" si="125"/>
        <v>3.4969625833918339</v>
      </c>
      <c r="F339" s="385">
        <f t="shared" si="128"/>
        <v>3.4969625833918339</v>
      </c>
      <c r="G339" s="110">
        <f t="shared" si="126"/>
        <v>0.12174243778940891</v>
      </c>
      <c r="H339" s="414" t="b">
        <f>Wh_hp&gt;='2026'!Maxi_hp</f>
        <v>0</v>
      </c>
      <c r="I339" s="390">
        <f>IF(H339,Wh_hp,'2026'!Maxi_hp)</f>
        <v>29.084066217541494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7.2841169721077903E-2</v>
      </c>
      <c r="M339" s="845"/>
      <c r="N339" s="845"/>
      <c r="O339" s="48">
        <f>IF(t&lt;Tnet,'2026'!Resal+('2026'!Salim-'2026'!Resal)*(1-EXP(('2026'!Tnet-t)/('2026'!Tau_j))),Resal+(Salim-Resal)*(1-EXP((Tnet-t)/(Tau_j))))*Salcycl</f>
        <v>2.4228779069894981E-2</v>
      </c>
      <c r="P339" s="169">
        <f>(INDEX(Models!$BJ339:$BT339,,T339)*(1-R339)+INDEX(Models!$BJ339:$BT339,,T339+1)*R339-ERP_i)*Q339*Ramure*Pc/MaxiM</f>
        <v>1.8293565569132208E-4</v>
      </c>
      <c r="Q339" s="305">
        <f t="shared" si="130"/>
        <v>0.5</v>
      </c>
      <c r="R339" s="177">
        <f t="shared" si="131"/>
        <v>0.47197484366699904</v>
      </c>
      <c r="S339" s="811">
        <f t="shared" si="132"/>
        <v>-1</v>
      </c>
      <c r="T339" s="176">
        <f t="shared" si="133"/>
        <v>5</v>
      </c>
      <c r="U339" s="251">
        <f t="shared" si="134"/>
        <v>-0.52802515633300096</v>
      </c>
      <c r="V339" s="383">
        <f t="shared" si="135"/>
        <v>25.981946269694419</v>
      </c>
      <c r="W339" s="402">
        <f t="shared" si="136"/>
        <v>3.1636842280346933</v>
      </c>
      <c r="X339" s="157">
        <f t="shared" si="137"/>
        <v>46712</v>
      </c>
      <c r="Y339" s="385">
        <f t="shared" si="138"/>
        <v>3.0237314526691979</v>
      </c>
      <c r="Z339" s="385">
        <f t="shared" si="139"/>
        <v>3.2612874449564941</v>
      </c>
      <c r="AA339" s="386">
        <f t="shared" si="140"/>
        <v>3.4969625833918339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6.7394240806188291E-2</v>
      </c>
      <c r="AD339" s="231">
        <f>(INDEX(Models!$BJ339:$BT339,,AH339)*(1-AF339)+INDEX(Models!$BJ339:$BT339,,AH339+1)*AF339-ERP_i)*AE339*Ramure*Pc/MaxiM</f>
        <v>1.2108315480391456E-3</v>
      </c>
      <c r="AE339" s="305">
        <f t="shared" si="142"/>
        <v>0.5</v>
      </c>
      <c r="AF339" s="177">
        <f t="shared" si="143"/>
        <v>0.99696241004097796</v>
      </c>
      <c r="AG339" s="811">
        <f t="shared" si="149"/>
        <v>2</v>
      </c>
      <c r="AH339" s="176">
        <f t="shared" si="144"/>
        <v>8</v>
      </c>
      <c r="AI339" s="225">
        <f t="shared" si="145"/>
        <v>2.996962410040978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7.8645284560600111</v>
      </c>
      <c r="C340" s="841"/>
      <c r="D340" s="393">
        <f t="shared" si="127"/>
        <v>8.4825819011224581</v>
      </c>
      <c r="E340" s="385">
        <f t="shared" si="125"/>
        <v>8.6938427513207674</v>
      </c>
      <c r="F340" s="385">
        <f t="shared" si="128"/>
        <v>8.6938550177904066</v>
      </c>
      <c r="G340" s="110">
        <f t="shared" si="126"/>
        <v>0.30516662049788856</v>
      </c>
      <c r="H340" s="414" t="b">
        <f>Wh_hp&gt;='2026'!Maxi_hp</f>
        <v>0</v>
      </c>
      <c r="I340" s="390">
        <f>IF(H340,Wh_hp,'2026'!Maxi_hp)</f>
        <v>29.591035421411469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7.2861476878951503E-2</v>
      </c>
      <c r="M340" s="845"/>
      <c r="N340" s="845"/>
      <c r="O340" s="48">
        <f>IF(t&lt;Tnet,'2026'!Resal+('2026'!Salim-'2026'!Resal)*(1-EXP(('2026'!Tnet-t)/('2026'!Tau_j))),Resal+(Salim-Resal)*(1-EXP((Tnet-t)/(Tau_j))))*Salcycl</f>
        <v>2.4300054215520894E-2</v>
      </c>
      <c r="P340" s="169">
        <f>(INDEX(Models!$BJ340:$BT340,,T340)*(1-R340)+INDEX(Models!$BJ340:$BT340,,T340+1)*R340-ERP_i)*Q340*Ramure*Pc/MaxiM</f>
        <v>1.8906477761890413E-4</v>
      </c>
      <c r="Q340" s="305">
        <f t="shared" si="130"/>
        <v>0.5</v>
      </c>
      <c r="R340" s="177">
        <f t="shared" si="131"/>
        <v>0.4719986444330676</v>
      </c>
      <c r="S340" s="811">
        <f t="shared" si="132"/>
        <v>-1</v>
      </c>
      <c r="T340" s="176">
        <f t="shared" si="133"/>
        <v>5</v>
      </c>
      <c r="U340" s="251">
        <f t="shared" si="134"/>
        <v>-0.5280013555669324</v>
      </c>
      <c r="V340" s="383">
        <f t="shared" si="135"/>
        <v>25.766424362430492</v>
      </c>
      <c r="W340" s="402">
        <f t="shared" si="136"/>
        <v>7.8645284560600111</v>
      </c>
      <c r="X340" s="157">
        <f t="shared" si="137"/>
        <v>46713</v>
      </c>
      <c r="Y340" s="385">
        <f t="shared" si="138"/>
        <v>7.5170789105143445</v>
      </c>
      <c r="Z340" s="385">
        <f t="shared" si="139"/>
        <v>8.107827172588431</v>
      </c>
      <c r="AA340" s="386">
        <f t="shared" si="140"/>
        <v>8.693775543318953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6.7398608097354748E-2</v>
      </c>
      <c r="AD340" s="231">
        <f>(INDEX(Models!$BJ340:$BT340,,AH340)*(1-AF340)+INDEX(Models!$BJ340:$BT340,,AH340+1)*AF340-ERP_i)*AE340*Ramure*Pc/MaxiM</f>
        <v>1.2249509200880815E-3</v>
      </c>
      <c r="AE340" s="305">
        <f t="shared" si="142"/>
        <v>0.5</v>
      </c>
      <c r="AF340" s="177">
        <f t="shared" si="143"/>
        <v>0.99698621080704664</v>
      </c>
      <c r="AG340" s="811">
        <f t="shared" si="149"/>
        <v>2</v>
      </c>
      <c r="AH340" s="176">
        <f t="shared" si="144"/>
        <v>8</v>
      </c>
      <c r="AI340" s="225">
        <f t="shared" si="145"/>
        <v>2.9969862108070466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11.7861255670538</v>
      </c>
      <c r="C341" s="841"/>
      <c r="D341" s="393">
        <f t="shared" si="127"/>
        <v>12.712645872409032</v>
      </c>
      <c r="E341" s="385">
        <f t="shared" si="125"/>
        <v>13.030212640291241</v>
      </c>
      <c r="F341" s="385">
        <f t="shared" si="128"/>
        <v>13.030797800520141</v>
      </c>
      <c r="G341" s="110">
        <f t="shared" si="126"/>
        <v>0.46113545018140917</v>
      </c>
      <c r="H341" s="414" t="b">
        <f>Wh_hp&gt;='2026'!Maxi_hp</f>
        <v>0</v>
      </c>
      <c r="I341" s="390">
        <f>IF(H341,Wh_hp,'2026'!Maxi_hp)</f>
        <v>29.56301535081597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7.2881783592046112E-2</v>
      </c>
      <c r="M341" s="845"/>
      <c r="N341" s="845"/>
      <c r="O341" s="48">
        <f>IF(t&lt;Tnet,'2026'!Resal+('2026'!Salim-'2026'!Resal)*(1-EXP(('2026'!Tnet-t)/('2026'!Tau_j))),Resal+(Salim-Resal)*(1-EXP((Tnet-t)/(Tau_j))))*Salcycl</f>
        <v>2.4371572179892709E-2</v>
      </c>
      <c r="P341" s="169">
        <f>(INDEX(Models!$BJ341:$BT341,,T341)*(1-R341)+INDEX(Models!$BJ341:$BT341,,T341+1)*R341-ERP_i)*Q341*Ramure*Pc/MaxiM</f>
        <v>1.9499532635239704E-4</v>
      </c>
      <c r="Q341" s="305">
        <f t="shared" si="130"/>
        <v>0.5</v>
      </c>
      <c r="R341" s="177">
        <f t="shared" si="131"/>
        <v>0.47202148904101726</v>
      </c>
      <c r="S341" s="811">
        <f t="shared" si="132"/>
        <v>-1</v>
      </c>
      <c r="T341" s="176">
        <f t="shared" si="133"/>
        <v>5</v>
      </c>
      <c r="U341" s="251">
        <f t="shared" si="134"/>
        <v>-0.52797851095898274</v>
      </c>
      <c r="V341" s="383">
        <f t="shared" si="135"/>
        <v>25.555086928639671</v>
      </c>
      <c r="W341" s="402">
        <f t="shared" si="136"/>
        <v>11.7861255670538</v>
      </c>
      <c r="X341" s="157">
        <f t="shared" si="137"/>
        <v>46714</v>
      </c>
      <c r="Y341" s="385">
        <f t="shared" si="138"/>
        <v>11.263563821222743</v>
      </c>
      <c r="Z341" s="385">
        <f t="shared" si="139"/>
        <v>12.149004972486171</v>
      </c>
      <c r="AA341" s="386">
        <f t="shared" si="140"/>
        <v>13.027083084694121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6.7404046362430012E-2</v>
      </c>
      <c r="AD341" s="231">
        <f>(INDEX(Models!$BJ341:$BT341,,AH341)*(1-AF341)+INDEX(Models!$BJ341:$BT341,,AH341+1)*AF341-ERP_i)*AE341*Ramure*Pc/MaxiM</f>
        <v>1.2378698842263026E-3</v>
      </c>
      <c r="AE341" s="305">
        <f t="shared" si="142"/>
        <v>0.5</v>
      </c>
      <c r="AF341" s="177">
        <f t="shared" si="143"/>
        <v>0.9970090554149964</v>
      </c>
      <c r="AG341" s="811">
        <f t="shared" si="149"/>
        <v>2</v>
      </c>
      <c r="AH341" s="176">
        <f t="shared" si="144"/>
        <v>8</v>
      </c>
      <c r="AI341" s="225">
        <f t="shared" si="145"/>
        <v>2.9970090554149964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12.972136604236077</v>
      </c>
      <c r="C342" s="841"/>
      <c r="D342" s="393">
        <f t="shared" si="127"/>
        <v>13.992197007846096</v>
      </c>
      <c r="E342" s="385">
        <f t="shared" si="125"/>
        <v>14.342782595762975</v>
      </c>
      <c r="F342" s="385">
        <f t="shared" si="128"/>
        <v>14.343653583058874</v>
      </c>
      <c r="G342" s="110">
        <f t="shared" si="126"/>
        <v>0.51168949196516378</v>
      </c>
      <c r="H342" s="414" t="b">
        <f>Wh_hp&gt;='2026'!Maxi_hp</f>
        <v>0</v>
      </c>
      <c r="I342" s="390">
        <f>IF(H342,Wh_hp,'2026'!Maxi_hp)</f>
        <v>27.223770958160259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7.2902089860371611E-2</v>
      </c>
      <c r="M342" s="845"/>
      <c r="N342" s="845"/>
      <c r="O342" s="48">
        <f>IF(t&lt;Tnet,'2026'!Resal+('2026'!Salim-'2026'!Resal)*(1-EXP(('2026'!Tnet-t)/('2026'!Tau_j))),Resal+(Salim-Resal)*(1-EXP((Tnet-t)/(Tau_j))))*Salcycl</f>
        <v>2.4443345325505048E-2</v>
      </c>
      <c r="P342" s="169">
        <f>(INDEX(Models!$BJ342:$BT342,,T342)*(1-R342)+INDEX(Models!$BJ342:$BT342,,T342+1)*R342-ERP_i)*Q342*Ramure*Pc/MaxiM</f>
        <v>2.0072607707936609E-4</v>
      </c>
      <c r="Q342" s="305">
        <f t="shared" si="130"/>
        <v>0.5</v>
      </c>
      <c r="R342" s="177">
        <f t="shared" si="131"/>
        <v>0.47204341582076537</v>
      </c>
      <c r="S342" s="811">
        <f t="shared" si="132"/>
        <v>-1</v>
      </c>
      <c r="T342" s="176">
        <f t="shared" si="133"/>
        <v>5</v>
      </c>
      <c r="U342" s="251">
        <f t="shared" si="134"/>
        <v>-0.52795658417923463</v>
      </c>
      <c r="V342" s="383">
        <f t="shared" si="135"/>
        <v>25.348029530450649</v>
      </c>
      <c r="W342" s="402">
        <f t="shared" si="136"/>
        <v>12.972136604236077</v>
      </c>
      <c r="X342" s="157">
        <f t="shared" si="137"/>
        <v>46715</v>
      </c>
      <c r="Y342" s="385">
        <f t="shared" si="138"/>
        <v>12.396859314186599</v>
      </c>
      <c r="Z342" s="385">
        <f t="shared" si="139"/>
        <v>13.371682945892449</v>
      </c>
      <c r="AA342" s="386">
        <f t="shared" si="140"/>
        <v>14.33823143382571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6.7410579358696265E-2</v>
      </c>
      <c r="AD342" s="231">
        <f>(INDEX(Models!$BJ342:$BT342,,AH342)*(1-AF342)+INDEX(Models!$BJ342:$BT342,,AH342+1)*AF342-ERP_i)*AE342*Ramure*Pc/MaxiM</f>
        <v>1.2495782085877941E-3</v>
      </c>
      <c r="AE342" s="305">
        <f t="shared" si="142"/>
        <v>0.5</v>
      </c>
      <c r="AF342" s="177">
        <f t="shared" si="143"/>
        <v>0.99703098219474429</v>
      </c>
      <c r="AG342" s="811">
        <f t="shared" si="149"/>
        <v>2</v>
      </c>
      <c r="AH342" s="176">
        <f t="shared" si="144"/>
        <v>8</v>
      </c>
      <c r="AI342" s="225">
        <f t="shared" si="145"/>
        <v>2.9970309821947443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5.0228510889364077</v>
      </c>
      <c r="C343" s="841"/>
      <c r="D343" s="393">
        <f t="shared" si="127"/>
        <v>5.4179402733409159</v>
      </c>
      <c r="E343" s="385">
        <f t="shared" si="125"/>
        <v>5.5541012000327399</v>
      </c>
      <c r="F343" s="385">
        <f t="shared" si="128"/>
        <v>5.5541012000327399</v>
      </c>
      <c r="G343" s="110">
        <f t="shared" si="126"/>
        <v>0.19971149928746501</v>
      </c>
      <c r="H343" s="414" t="b">
        <f>Wh_hp&gt;='2026'!Maxi_hp</f>
        <v>0</v>
      </c>
      <c r="I343" s="390">
        <f>IF(H343,Wh_hp,'2026'!Maxi_hp)</f>
        <v>26.38503248912658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7.2922395683937768E-2</v>
      </c>
      <c r="M343" s="845"/>
      <c r="N343" s="845"/>
      <c r="O343" s="48">
        <f>IF(t&lt;Tnet,'2026'!Resal+('2026'!Salim-'2026'!Resal)*(1-EXP(('2026'!Tnet-t)/('2026'!Tau_j))),Resal+(Salim-Resal)*(1-EXP((Tnet-t)/(Tau_j))))*Salcycl</f>
        <v>2.4515384539810246E-2</v>
      </c>
      <c r="P343" s="169">
        <f>(INDEX(Models!$BJ343:$BT343,,T343)*(1-R343)+INDEX(Models!$BJ343:$BT343,,T343+1)*R343-ERP_i)*Q343*Ramure*Pc/MaxiM</f>
        <v>2.0625656132068851E-4</v>
      </c>
      <c r="Q343" s="305">
        <f t="shared" si="130"/>
        <v>0.5</v>
      </c>
      <c r="R343" s="177">
        <f t="shared" si="131"/>
        <v>0.47206446157216264</v>
      </c>
      <c r="S343" s="811">
        <f t="shared" si="132"/>
        <v>-1</v>
      </c>
      <c r="T343" s="176">
        <f t="shared" si="133"/>
        <v>5</v>
      </c>
      <c r="U343" s="251">
        <f t="shared" si="134"/>
        <v>-0.52793553842783736</v>
      </c>
      <c r="V343" s="383">
        <f t="shared" si="135"/>
        <v>25.145347718382354</v>
      </c>
      <c r="W343" s="402">
        <f t="shared" si="136"/>
        <v>5.0228510889364077</v>
      </c>
      <c r="X343" s="157">
        <f t="shared" si="137"/>
        <v>46716</v>
      </c>
      <c r="Y343" s="385">
        <f t="shared" si="138"/>
        <v>4.8019408015148199</v>
      </c>
      <c r="Z343" s="385">
        <f t="shared" si="139"/>
        <v>5.1796535469728884</v>
      </c>
      <c r="AA343" s="386">
        <f t="shared" si="140"/>
        <v>5.5541012000327399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6.7418226563398659E-2</v>
      </c>
      <c r="AD343" s="231">
        <f>(INDEX(Models!$BJ343:$BT343,,AH343)*(1-AF343)+INDEX(Models!$BJ343:$BT343,,AH343+1)*AF343-ERP_i)*AE343*Ramure*Pc/MaxiM</f>
        <v>1.2600705156459932E-3</v>
      </c>
      <c r="AE343" s="305">
        <f t="shared" si="142"/>
        <v>0.5</v>
      </c>
      <c r="AF343" s="177">
        <f t="shared" si="143"/>
        <v>0.99705202794614145</v>
      </c>
      <c r="AG343" s="811">
        <f t="shared" si="149"/>
        <v>2</v>
      </c>
      <c r="AH343" s="176">
        <f t="shared" si="144"/>
        <v>8</v>
      </c>
      <c r="AI343" s="225">
        <f t="shared" si="145"/>
        <v>2.9970520279461415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10.06820072213408</v>
      </c>
      <c r="C344" s="841"/>
      <c r="D344" s="393">
        <f t="shared" si="127"/>
        <v>10.860386659676809</v>
      </c>
      <c r="E344" s="385">
        <f t="shared" si="125"/>
        <v>11.134149785500854</v>
      </c>
      <c r="F344" s="385">
        <f t="shared" si="128"/>
        <v>11.134498396872427</v>
      </c>
      <c r="G344" s="110">
        <f t="shared" si="126"/>
        <v>0.40350865024187865</v>
      </c>
      <c r="H344" s="414" t="b">
        <f>Wh_hp&gt;='2026'!Maxi_hp</f>
        <v>0</v>
      </c>
      <c r="I344" s="390">
        <f>IF(H344,Wh_hp,'2026'!Maxi_hp)</f>
        <v>26.793324525882319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7.2942701062754245E-2</v>
      </c>
      <c r="M344" s="845"/>
      <c r="N344" s="845"/>
      <c r="O344" s="48">
        <f>IF(t&lt;Tnet,'2026'!Resal+('2026'!Salim-'2026'!Resal)*(1-EXP(('2026'!Tnet-t)/('2026'!Tau_j))),Resal+(Salim-Resal)*(1-EXP((Tnet-t)/(Tau_j))))*Salcycl</f>
        <v>2.4587699204527112E-2</v>
      </c>
      <c r="P344" s="169">
        <f>(INDEX(Models!$BJ344:$BT344,,T344)*(1-R344)+INDEX(Models!$BJ344:$BT344,,T344+1)*R344-ERP_i)*Q344*Ramure*Pc/MaxiM</f>
        <v>2.1158609253362927E-4</v>
      </c>
      <c r="Q344" s="305">
        <f t="shared" si="130"/>
        <v>0.5</v>
      </c>
      <c r="R344" s="177">
        <f t="shared" si="131"/>
        <v>0.47208466162556095</v>
      </c>
      <c r="S344" s="811">
        <f t="shared" si="132"/>
        <v>-1</v>
      </c>
      <c r="T344" s="176">
        <f t="shared" si="133"/>
        <v>5</v>
      </c>
      <c r="U344" s="251">
        <f t="shared" si="134"/>
        <v>-0.52791533837443905</v>
      </c>
      <c r="V344" s="383">
        <f t="shared" si="135"/>
        <v>24.947137055296611</v>
      </c>
      <c r="W344" s="402">
        <f t="shared" si="136"/>
        <v>10.06820072213408</v>
      </c>
      <c r="X344" s="157">
        <f t="shared" si="137"/>
        <v>46717</v>
      </c>
      <c r="Y344" s="385">
        <f t="shared" si="138"/>
        <v>9.6245069426282015</v>
      </c>
      <c r="Z344" s="385">
        <f t="shared" si="139"/>
        <v>10.381782176421549</v>
      </c>
      <c r="AA344" s="386">
        <f t="shared" si="140"/>
        <v>11.132407019610897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6.7427003150984738E-2</v>
      </c>
      <c r="AD344" s="231">
        <f>(INDEX(Models!$BJ344:$BT344,,AH344)*(1-AF344)+INDEX(Models!$BJ344:$BT344,,AH344+1)*AF344-ERP_i)*AE344*Ramure*Pc/MaxiM</f>
        <v>1.2693399552161958E-3</v>
      </c>
      <c r="AE344" s="305">
        <f t="shared" si="142"/>
        <v>0.5</v>
      </c>
      <c r="AF344" s="177">
        <f t="shared" si="143"/>
        <v>0.99707222799953987</v>
      </c>
      <c r="AG344" s="811">
        <f t="shared" si="149"/>
        <v>2</v>
      </c>
      <c r="AH344" s="176">
        <f t="shared" si="144"/>
        <v>8</v>
      </c>
      <c r="AI344" s="225">
        <f t="shared" si="145"/>
        <v>2.9970722279995399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14.321519618544793</v>
      </c>
      <c r="C345" s="841"/>
      <c r="D345" s="393">
        <f t="shared" si="127"/>
        <v>15.448703461876985</v>
      </c>
      <c r="E345" s="385">
        <f t="shared" si="125"/>
        <v>15.839305441094199</v>
      </c>
      <c r="F345" s="385">
        <f t="shared" si="128"/>
        <v>15.840672104409629</v>
      </c>
      <c r="G345" s="110">
        <f t="shared" si="126"/>
        <v>0.57856460713064339</v>
      </c>
      <c r="H345" s="414" t="b">
        <f>Wh_hp&gt;='2026'!Maxi_hp</f>
        <v>0</v>
      </c>
      <c r="I345" s="390">
        <f>IF(H345,Wh_hp,'2026'!Maxi_hp)</f>
        <v>25.130362962848679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7.296300599683081E-2</v>
      </c>
      <c r="M345" s="845"/>
      <c r="N345" s="845"/>
      <c r="O345" s="48">
        <f>IF(t&lt;Tnet,'2026'!Resal+('2026'!Salim-'2026'!Resal)*(1-EXP(('2026'!Tnet-t)/('2026'!Tau_j))),Resal+(Salim-Resal)*(1-EXP((Tnet-t)/(Tau_j))))*Salcycl</f>
        <v>2.4660297174636126E-2</v>
      </c>
      <c r="P345" s="169">
        <f>(INDEX(Models!$BJ345:$BT345,,T345)*(1-R345)+INDEX(Models!$BJ345:$BT345,,T345+1)*R345-ERP_i)*Q345*Ramure*Pc/MaxiM</f>
        <v>2.1674163503692677E-4</v>
      </c>
      <c r="Q345" s="305">
        <f t="shared" si="130"/>
        <v>0.5</v>
      </c>
      <c r="R345" s="177">
        <f t="shared" si="131"/>
        <v>0.47210404990002153</v>
      </c>
      <c r="S345" s="811">
        <f t="shared" si="132"/>
        <v>-1</v>
      </c>
      <c r="T345" s="176">
        <f t="shared" si="133"/>
        <v>5</v>
      </c>
      <c r="U345" s="251">
        <f t="shared" si="134"/>
        <v>-0.52789595009997847</v>
      </c>
      <c r="V345" s="383">
        <f t="shared" si="135"/>
        <v>24.750305858331807</v>
      </c>
      <c r="W345" s="402">
        <f t="shared" si="136"/>
        <v>14.321519618544793</v>
      </c>
      <c r="X345" s="157">
        <f t="shared" si="137"/>
        <v>46718</v>
      </c>
      <c r="Y345" s="385">
        <f t="shared" si="138"/>
        <v>13.687621184690787</v>
      </c>
      <c r="Z345" s="385">
        <f t="shared" si="139"/>
        <v>14.764913669285558</v>
      </c>
      <c r="AA345" s="386">
        <f t="shared" si="140"/>
        <v>15.832616565986172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6.74369199968122E-2</v>
      </c>
      <c r="AD345" s="231">
        <f>(INDEX(Models!$BJ345:$BT345,,AH345)*(1-AF345)+INDEX(Models!$BJ345:$BT345,,AH345+1)*AF345-ERP_i)*AE345*Ramure*Pc/MaxiM</f>
        <v>1.277542573426849E-3</v>
      </c>
      <c r="AE345" s="305">
        <f t="shared" si="142"/>
        <v>0.5</v>
      </c>
      <c r="AF345" s="177">
        <f t="shared" si="143"/>
        <v>0.99709161627400045</v>
      </c>
      <c r="AG345" s="811">
        <f t="shared" si="149"/>
        <v>2</v>
      </c>
      <c r="AH345" s="176">
        <f t="shared" si="144"/>
        <v>8</v>
      </c>
      <c r="AI345" s="225">
        <f t="shared" si="145"/>
        <v>2.9970916162740004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10.381080606190441</v>
      </c>
      <c r="C346" s="841"/>
      <c r="D346" s="393">
        <f t="shared" si="127"/>
        <v>11.198375092507597</v>
      </c>
      <c r="E346" s="385">
        <f t="shared" si="125"/>
        <v>11.482370688306613</v>
      </c>
      <c r="F346" s="385">
        <f t="shared" si="128"/>
        <v>11.482816877517742</v>
      </c>
      <c r="G346" s="110">
        <f t="shared" si="126"/>
        <v>0.42273241422955776</v>
      </c>
      <c r="H346" s="414" t="b">
        <f>Wh_hp&gt;='2026'!Maxi_hp</f>
        <v>0</v>
      </c>
      <c r="I346" s="390">
        <f>IF(H346,Wh_hp,'2026'!Maxi_hp)</f>
        <v>18.630206084198146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7.2983310486177233E-2</v>
      </c>
      <c r="M346" s="845"/>
      <c r="N346" s="845"/>
      <c r="O346" s="48">
        <f>IF(t&lt;Tnet,'2026'!Resal+('2026'!Salim-'2026'!Resal)*(1-EXP(('2026'!Tnet-t)/('2026'!Tau_j))),Resal+(Salim-Resal)*(1-EXP((Tnet-t)/(Tau_j))))*Salcycl</f>
        <v>2.473318476716924E-2</v>
      </c>
      <c r="P346" s="169">
        <f>(INDEX(Models!$BJ346:$BT346,,T346)*(1-R346)+INDEX(Models!$BJ346:$BT346,,T346+1)*R346-ERP_i)*Q346*Ramure*Pc/MaxiM</f>
        <v>2.2148087712366835E-4</v>
      </c>
      <c r="Q346" s="305">
        <f t="shared" si="130"/>
        <v>0.5</v>
      </c>
      <c r="R346" s="177">
        <f t="shared" si="131"/>
        <v>0.47212265895925631</v>
      </c>
      <c r="S346" s="811">
        <f t="shared" si="132"/>
        <v>-1</v>
      </c>
      <c r="T346" s="176">
        <f t="shared" si="133"/>
        <v>5</v>
      </c>
      <c r="U346" s="251">
        <f t="shared" si="134"/>
        <v>-0.52787734104074369</v>
      </c>
      <c r="V346" s="383">
        <f t="shared" si="135"/>
        <v>24.552611418526173</v>
      </c>
      <c r="W346" s="402">
        <f t="shared" si="136"/>
        <v>10.381080606190441</v>
      </c>
      <c r="X346" s="157">
        <f t="shared" si="137"/>
        <v>46719</v>
      </c>
      <c r="Y346" s="385">
        <f t="shared" si="138"/>
        <v>9.9245575495535885</v>
      </c>
      <c r="Z346" s="385">
        <f t="shared" si="139"/>
        <v>10.705910326985114</v>
      </c>
      <c r="AA346" s="386">
        <f t="shared" si="140"/>
        <v>11.480228598447004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6.7447983707104656E-2</v>
      </c>
      <c r="AD346" s="231">
        <f>(INDEX(Models!$BJ346:$BT346,,AH346)*(1-AF346)+INDEX(Models!$BJ346:$BT346,,AH346+1)*AF346-ERP_i)*AE346*Ramure*Pc/MaxiM</f>
        <v>1.2847785301174836E-3</v>
      </c>
      <c r="AE346" s="305">
        <f t="shared" si="142"/>
        <v>0.5</v>
      </c>
      <c r="AF346" s="177">
        <f t="shared" si="143"/>
        <v>0.99711022533323534</v>
      </c>
      <c r="AG346" s="811">
        <f t="shared" si="149"/>
        <v>2</v>
      </c>
      <c r="AH346" s="176">
        <f t="shared" si="144"/>
        <v>8</v>
      </c>
      <c r="AI346" s="225">
        <f t="shared" si="145"/>
        <v>2.9971102253332353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14.443424758600253</v>
      </c>
      <c r="C347" s="841"/>
      <c r="D347" s="393">
        <f t="shared" si="127"/>
        <v>15.580885734834609</v>
      </c>
      <c r="E347" s="385">
        <f t="shared" si="125"/>
        <v>15.977222577905462</v>
      </c>
      <c r="F347" s="385">
        <f t="shared" si="128"/>
        <v>15.978732374454799</v>
      </c>
      <c r="G347" s="110">
        <f t="shared" si="126"/>
        <v>0.59294943408135448</v>
      </c>
      <c r="H347" s="414" t="b">
        <f>Wh_hp&gt;='2026'!Maxi_hp</f>
        <v>0</v>
      </c>
      <c r="I347" s="390">
        <f>IF(H347,Wh_hp,'2026'!Maxi_hp)</f>
        <v>26.41641779115476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7.3003614530803174E-2</v>
      </c>
      <c r="M347" s="845"/>
      <c r="N347" s="845"/>
      <c r="O347" s="48">
        <f>IF(t&lt;Tnet,'2026'!Resal+('2026'!Salim-'2026'!Resal)*(1-EXP(('2026'!Tnet-t)/('2026'!Tau_j))),Resal+(Salim-Resal)*(1-EXP((Tnet-t)/(Tau_j))))*Salcycl</f>
        <v>2.4806366759823319E-2</v>
      </c>
      <c r="P347" s="169">
        <f>(INDEX(Models!$BJ347:$BT347,,T347)*(1-R347)+INDEX(Models!$BJ347:$BT347,,T347+1)*R347-ERP_i)*Q347*Ramure*Pc/MaxiM</f>
        <v>2.2571795911186085E-4</v>
      </c>
      <c r="Q347" s="305">
        <f t="shared" si="130"/>
        <v>0.5</v>
      </c>
      <c r="R347" s="177">
        <f t="shared" si="131"/>
        <v>0.47214052006538543</v>
      </c>
      <c r="S347" s="811">
        <f t="shared" si="132"/>
        <v>-1</v>
      </c>
      <c r="T347" s="176">
        <f t="shared" si="133"/>
        <v>5</v>
      </c>
      <c r="U347" s="251">
        <f t="shared" si="134"/>
        <v>-0.52785947993461457</v>
      </c>
      <c r="V347" s="383">
        <f t="shared" si="135"/>
        <v>24.35541437035376</v>
      </c>
      <c r="W347" s="402">
        <f t="shared" si="136"/>
        <v>14.443424758600253</v>
      </c>
      <c r="X347" s="157">
        <f t="shared" si="137"/>
        <v>46720</v>
      </c>
      <c r="Y347" s="385">
        <f t="shared" si="138"/>
        <v>13.805521232611696</v>
      </c>
      <c r="Z347" s="385">
        <f t="shared" si="139"/>
        <v>14.89274548317043</v>
      </c>
      <c r="AA347" s="386">
        <f t="shared" si="140"/>
        <v>15.970090960263073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6.7460196674728024E-2</v>
      </c>
      <c r="AD347" s="231">
        <f>(INDEX(Models!$BJ347:$BT347,,AH347)*(1-AF347)+INDEX(Models!$BJ347:$BT347,,AH347+1)*AF347-ERP_i)*AE347*Ramure*Pc/MaxiM</f>
        <v>1.2919107386046968E-3</v>
      </c>
      <c r="AE347" s="305">
        <f t="shared" si="142"/>
        <v>0.5</v>
      </c>
      <c r="AF347" s="177">
        <f t="shared" si="143"/>
        <v>0.99712808643936457</v>
      </c>
      <c r="AG347" s="811">
        <f t="shared" si="149"/>
        <v>2</v>
      </c>
      <c r="AH347" s="176">
        <f t="shared" si="144"/>
        <v>8</v>
      </c>
      <c r="AI347" s="225">
        <f t="shared" si="145"/>
        <v>2.9971280864393646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4.0239416254811164</v>
      </c>
      <c r="C348" s="841"/>
      <c r="D348" s="393">
        <f t="shared" si="127"/>
        <v>4.340933605715791</v>
      </c>
      <c r="E348" s="385">
        <f t="shared" si="125"/>
        <v>4.4516909938603897</v>
      </c>
      <c r="F348" s="385">
        <f t="shared" si="128"/>
        <v>4.4516909938603897</v>
      </c>
      <c r="G348" s="110">
        <f t="shared" si="126"/>
        <v>0.16651515792850707</v>
      </c>
      <c r="H348" s="414" t="b">
        <f>Wh_hp&gt;='2026'!Maxi_hp</f>
        <v>0</v>
      </c>
      <c r="I348" s="390">
        <f>IF(H348,Wh_hp,'2026'!Maxi_hp)</f>
        <v>25.687652657075112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7.3023918130718402E-2</v>
      </c>
      <c r="M348" s="845"/>
      <c r="N348" s="845"/>
      <c r="O348" s="48">
        <f>IF(t&lt;Tnet,'2026'!Resal+('2026'!Salim-'2026'!Resal)*(1-EXP(('2026'!Tnet-t)/('2026'!Tau_j))),Resal+(Salim-Resal)*(1-EXP((Tnet-t)/(Tau_j))))*Salcycl</f>
        <v>2.4879846399346008E-2</v>
      </c>
      <c r="P348" s="169">
        <f>(INDEX(Models!$BJ348:$BT348,,T348)*(1-R348)+INDEX(Models!$BJ348:$BT348,,T348+1)*R348-ERP_i)*Q348*Ramure*Pc/MaxiM</f>
        <v>2.2943868941913432E-4</v>
      </c>
      <c r="Q348" s="305">
        <f t="shared" si="130"/>
        <v>0.5</v>
      </c>
      <c r="R348" s="177">
        <f t="shared" si="131"/>
        <v>0.4721576632305946</v>
      </c>
      <c r="S348" s="811">
        <f t="shared" si="132"/>
        <v>-1</v>
      </c>
      <c r="T348" s="176">
        <f t="shared" si="133"/>
        <v>5</v>
      </c>
      <c r="U348" s="251">
        <f t="shared" si="134"/>
        <v>-0.5278423367694054</v>
      </c>
      <c r="V348" s="383">
        <f t="shared" si="135"/>
        <v>24.160073038609141</v>
      </c>
      <c r="W348" s="402">
        <f t="shared" si="136"/>
        <v>4.0239416254811164</v>
      </c>
      <c r="X348" s="157">
        <f t="shared" si="137"/>
        <v>46721</v>
      </c>
      <c r="Y348" s="385">
        <f t="shared" si="138"/>
        <v>3.8481739469224729</v>
      </c>
      <c r="Z348" s="385">
        <f t="shared" si="139"/>
        <v>4.1513195671267891</v>
      </c>
      <c r="AA348" s="386">
        <f t="shared" si="140"/>
        <v>4.4516909938603897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6.7473557160158196E-2</v>
      </c>
      <c r="AD348" s="231">
        <f>(INDEX(Models!$BJ348:$BT348,,AH348)*(1-AF348)+INDEX(Models!$BJ348:$BT348,,AH348+1)*AF348-ERP_i)*AE348*Ramure*Pc/MaxiM</f>
        <v>1.2988737022581931E-3</v>
      </c>
      <c r="AE348" s="305">
        <f t="shared" si="142"/>
        <v>0.5</v>
      </c>
      <c r="AF348" s="177">
        <f t="shared" si="143"/>
        <v>0.9971452296045733</v>
      </c>
      <c r="AG348" s="811">
        <f t="shared" si="149"/>
        <v>2</v>
      </c>
      <c r="AH348" s="176">
        <f t="shared" si="144"/>
        <v>8</v>
      </c>
      <c r="AI348" s="225">
        <f t="shared" si="145"/>
        <v>2.9971452296045733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3.462428604938498</v>
      </c>
      <c r="C349" s="841"/>
      <c r="D349" s="393">
        <f t="shared" si="127"/>
        <v>3.735268374659471</v>
      </c>
      <c r="E349" s="385">
        <f t="shared" si="125"/>
        <v>3.8308622769524825</v>
      </c>
      <c r="F349" s="385">
        <f t="shared" si="128"/>
        <v>3.8308622769524825</v>
      </c>
      <c r="G349" s="110">
        <f t="shared" si="126"/>
        <v>0.14442719681952848</v>
      </c>
      <c r="H349" s="414" t="b">
        <f>Wh_hp&gt;='2026'!Maxi_hp</f>
        <v>0</v>
      </c>
      <c r="I349" s="390">
        <f>IF(H349,Wh_hp,'2026'!Maxi_hp)</f>
        <v>26.512351889003813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7.3044221285932798E-2</v>
      </c>
      <c r="M349" s="845"/>
      <c r="N349" s="845"/>
      <c r="O349" s="48">
        <f>IF(t&lt;Tnet,'2026'!Resal+('2026'!Salim-'2026'!Resal)*(1-EXP(('2026'!Tnet-t)/('2026'!Tau_j))),Resal+(Salim-Resal)*(1-EXP((Tnet-t)/(Tau_j))))*Salcycl</f>
        <v>2.4953625419564276E-2</v>
      </c>
      <c r="P349" s="169">
        <f>(INDEX(Models!$BJ349:$BT349,,T349)*(1-R349)+INDEX(Models!$BJ349:$BT349,,T349+1)*R349-ERP_i)*Q349*Ramure*Pc/MaxiM</f>
        <v>2.3262686044213146E-4</v>
      </c>
      <c r="Q349" s="305">
        <f t="shared" si="130"/>
        <v>0.5</v>
      </c>
      <c r="R349" s="177">
        <f t="shared" si="131"/>
        <v>0.47217411726677005</v>
      </c>
      <c r="S349" s="811">
        <f t="shared" si="132"/>
        <v>-1</v>
      </c>
      <c r="T349" s="176">
        <f t="shared" si="133"/>
        <v>5</v>
      </c>
      <c r="U349" s="251">
        <f t="shared" si="134"/>
        <v>-0.52782588273322995</v>
      </c>
      <c r="V349" s="383">
        <f t="shared" si="135"/>
        <v>23.967945285043214</v>
      </c>
      <c r="W349" s="402">
        <f t="shared" si="136"/>
        <v>3.462428604938498</v>
      </c>
      <c r="X349" s="157">
        <f t="shared" si="137"/>
        <v>46722</v>
      </c>
      <c r="Y349" s="385">
        <f t="shared" si="138"/>
        <v>3.3113871316946546</v>
      </c>
      <c r="Z349" s="385">
        <f t="shared" si="139"/>
        <v>3.5723248160644991</v>
      </c>
      <c r="AA349" s="386">
        <f t="shared" si="140"/>
        <v>3.8308622769524825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6.7488059396814043E-2</v>
      </c>
      <c r="AD349" s="231">
        <f>(INDEX(Models!$BJ349:$BT349,,AH349)*(1-AF349)+INDEX(Models!$BJ349:$BT349,,AH349+1)*AF349-ERP_i)*AE349*Ramure*Pc/MaxiM</f>
        <v>1.3055967215542664E-3</v>
      </c>
      <c r="AE349" s="305">
        <f t="shared" si="142"/>
        <v>0.5</v>
      </c>
      <c r="AF349" s="177">
        <f t="shared" si="143"/>
        <v>0.99716168364074909</v>
      </c>
      <c r="AG349" s="811">
        <f t="shared" si="149"/>
        <v>2</v>
      </c>
      <c r="AH349" s="176">
        <f t="shared" si="144"/>
        <v>8</v>
      </c>
      <c r="AI349" s="225">
        <f t="shared" si="145"/>
        <v>2.9971616836407491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5.7415909279042134</v>
      </c>
      <c r="C350" s="841"/>
      <c r="D350" s="393">
        <f t="shared" si="127"/>
        <v>6.1941646172168525</v>
      </c>
      <c r="E350" s="385">
        <f t="shared" si="125"/>
        <v>6.3531698726896453</v>
      </c>
      <c r="F350" s="385">
        <f t="shared" si="128"/>
        <v>6.3531698726896453</v>
      </c>
      <c r="G350" s="110">
        <f t="shared" si="126"/>
        <v>0.2413854651042967</v>
      </c>
      <c r="H350" s="414" t="b">
        <f>Wh_hp&gt;='2026'!Maxi_hp</f>
        <v>0</v>
      </c>
      <c r="I350" s="390">
        <f>IF(H350,Wh_hp,'2026'!Maxi_hp)</f>
        <v>10.56169638849005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7.306452399645591E-2</v>
      </c>
      <c r="M350" s="845"/>
      <c r="N350" s="845"/>
      <c r="O350" s="48">
        <f>IF(t&lt;Tnet,'2026'!Resal+('2026'!Salim-'2026'!Resal)*(1-EXP(('2026'!Tnet-t)/('2026'!Tau_j))),Resal+(Salim-Resal)*(1-EXP((Tnet-t)/(Tau_j))))*Salcycl</f>
        <v>2.502770406884736E-2</v>
      </c>
      <c r="P350" s="169">
        <f>(INDEX(Models!$BJ350:$BT350,,T350)*(1-R350)+INDEX(Models!$BJ350:$BT350,,T350+1)*R350-ERP_i)*Q350*Ramure*Pc/MaxiM</f>
        <v>2.3526447359015071E-4</v>
      </c>
      <c r="Q350" s="305">
        <f t="shared" si="130"/>
        <v>0.5</v>
      </c>
      <c r="R350" s="177">
        <f t="shared" si="131"/>
        <v>0.47218990983319198</v>
      </c>
      <c r="S350" s="811">
        <f t="shared" si="132"/>
        <v>-1</v>
      </c>
      <c r="T350" s="176">
        <f t="shared" si="133"/>
        <v>5</v>
      </c>
      <c r="U350" s="251">
        <f t="shared" si="134"/>
        <v>-0.52781009016680802</v>
      </c>
      <c r="V350" s="383">
        <f t="shared" si="135"/>
        <v>23.780388488001027</v>
      </c>
      <c r="W350" s="402">
        <f t="shared" si="136"/>
        <v>5.7415909279042134</v>
      </c>
      <c r="X350" s="157">
        <f t="shared" si="137"/>
        <v>46723</v>
      </c>
      <c r="Y350" s="385">
        <f t="shared" si="138"/>
        <v>5.4914507363817311</v>
      </c>
      <c r="Z350" s="385">
        <f t="shared" si="139"/>
        <v>5.9243074394541084</v>
      </c>
      <c r="AA350" s="386">
        <f t="shared" si="140"/>
        <v>6.3531698726896453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6.7503693719742464E-2</v>
      </c>
      <c r="AD350" s="231">
        <f>(INDEX(Models!$BJ350:$BT350,,AH350)*(1-AF350)+INDEX(Models!$BJ350:$BT350,,AH350+1)*AF350-ERP_i)*AE350*Ramure*Pc/MaxiM</f>
        <v>1.3120039018982214E-3</v>
      </c>
      <c r="AE350" s="305">
        <f t="shared" si="142"/>
        <v>0.5</v>
      </c>
      <c r="AF350" s="177">
        <f t="shared" si="143"/>
        <v>0.99717747620717079</v>
      </c>
      <c r="AG350" s="811">
        <f t="shared" si="149"/>
        <v>2</v>
      </c>
      <c r="AH350" s="176">
        <f t="shared" si="144"/>
        <v>8</v>
      </c>
      <c r="AI350" s="225">
        <f t="shared" si="145"/>
        <v>2.9971774762071708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8.5761170165212253</v>
      </c>
      <c r="C351" s="841"/>
      <c r="D351" s="393">
        <f t="shared" si="127"/>
        <v>9.2523213121420831</v>
      </c>
      <c r="E351" s="385">
        <f t="shared" si="125"/>
        <v>9.4905539679734776</v>
      </c>
      <c r="F351" s="385">
        <f t="shared" si="128"/>
        <v>9.4907580212485705</v>
      </c>
      <c r="G351" s="110">
        <f t="shared" si="126"/>
        <v>0.36333545247554377</v>
      </c>
      <c r="H351" s="414" t="b">
        <f>Wh_hp&gt;='2026'!Maxi_hp</f>
        <v>0</v>
      </c>
      <c r="I351" s="390">
        <f>IF(H351,Wh_hp,'2026'!Maxi_hp)</f>
        <v>17.22212353344614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7.308482626229762E-2</v>
      </c>
      <c r="M351" s="845"/>
      <c r="N351" s="845"/>
      <c r="O351" s="48">
        <f>IF(t&lt;Tnet,'2026'!Resal+('2026'!Salim-'2026'!Resal)*(1-EXP(('2026'!Tnet-t)/('2026'!Tau_j))),Resal+(Salim-Resal)*(1-EXP((Tnet-t)/(Tau_j))))*Salcycl</f>
        <v>2.5102081146719836E-2</v>
      </c>
      <c r="P351" s="169">
        <f>(INDEX(Models!$BJ351:$BT351,,T351)*(1-R351)+INDEX(Models!$BJ351:$BT351,,T351+1)*R351-ERP_i)*Q351*Ramure*Pc/MaxiM</f>
        <v>2.3733200658529764E-4</v>
      </c>
      <c r="Q351" s="305">
        <f t="shared" si="130"/>
        <v>0.5</v>
      </c>
      <c r="R351" s="177">
        <f t="shared" si="131"/>
        <v>0.47220506748235458</v>
      </c>
      <c r="S351" s="811">
        <f t="shared" si="132"/>
        <v>-1</v>
      </c>
      <c r="T351" s="176">
        <f t="shared" si="133"/>
        <v>5</v>
      </c>
      <c r="U351" s="251">
        <f t="shared" si="134"/>
        <v>-0.52779493251764542</v>
      </c>
      <c r="V351" s="383">
        <f t="shared" si="135"/>
        <v>23.598759547262485</v>
      </c>
      <c r="W351" s="402">
        <f t="shared" si="136"/>
        <v>8.5761170165212253</v>
      </c>
      <c r="X351" s="157">
        <f t="shared" si="137"/>
        <v>46724</v>
      </c>
      <c r="Y351" s="385">
        <f t="shared" si="138"/>
        <v>8.2021621734903398</v>
      </c>
      <c r="Z351" s="385">
        <f t="shared" si="139"/>
        <v>8.8488811121905098</v>
      </c>
      <c r="AA351" s="386">
        <f t="shared" si="140"/>
        <v>9.4896248191512278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6.7520446716462318E-2</v>
      </c>
      <c r="AD351" s="231">
        <f>(INDEX(Models!$BJ351:$BT351,,AH351)*(1-AF351)+INDEX(Models!$BJ351:$BT351,,AH351+1)*AF351-ERP_i)*AE351*Ramure*Pc/MaxiM</f>
        <v>1.3180142661612627E-3</v>
      </c>
      <c r="AE351" s="305">
        <f t="shared" si="142"/>
        <v>0.5</v>
      </c>
      <c r="AF351" s="177">
        <f t="shared" si="143"/>
        <v>0.99719263385633372</v>
      </c>
      <c r="AG351" s="811">
        <f t="shared" si="149"/>
        <v>2</v>
      </c>
      <c r="AH351" s="176">
        <f t="shared" si="144"/>
        <v>8</v>
      </c>
      <c r="AI351" s="225">
        <f t="shared" si="145"/>
        <v>2.9971926338563337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17.027318618450725</v>
      </c>
      <c r="C352" s="841"/>
      <c r="D352" s="393">
        <f t="shared" si="127"/>
        <v>18.370280313713987</v>
      </c>
      <c r="E352" s="385">
        <f t="shared" si="125"/>
        <v>18.844729431741946</v>
      </c>
      <c r="F352" s="385">
        <f t="shared" si="128"/>
        <v>18.847475595212217</v>
      </c>
      <c r="G352" s="110">
        <f t="shared" si="126"/>
        <v>0.72683706997207687</v>
      </c>
      <c r="H352" s="414" t="b">
        <f>Wh_hp&gt;='2026'!Maxi_hp</f>
        <v>0</v>
      </c>
      <c r="I352" s="390">
        <f>IF(H352,Wh_hp,'2026'!Maxi_hp)</f>
        <v>18.848758214784411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7.3105128083467474E-2</v>
      </c>
      <c r="M352" s="845"/>
      <c r="N352" s="845"/>
      <c r="O352" s="48">
        <f>IF(t&lt;Tnet,'2026'!Resal+('2026'!Salim-'2026'!Resal)*(1-EXP(('2026'!Tnet-t)/('2026'!Tau_j))),Resal+(Salim-Resal)*(1-EXP((Tnet-t)/(Tau_j))))*Salcycl</f>
        <v>2.5176754049267409E-2</v>
      </c>
      <c r="P352" s="169">
        <f>(INDEX(Models!$BJ352:$BT352,,T352)*(1-R352)+INDEX(Models!$BJ352:$BT352,,T352+1)*R352-ERP_i)*Q352*Ramure*Pc/MaxiM</f>
        <v>2.3891321033262314E-4</v>
      </c>
      <c r="Q352" s="305">
        <f t="shared" si="130"/>
        <v>0.5</v>
      </c>
      <c r="R352" s="177">
        <f t="shared" si="131"/>
        <v>0.47221961570398951</v>
      </c>
      <c r="S352" s="811">
        <f t="shared" si="132"/>
        <v>-1</v>
      </c>
      <c r="T352" s="176">
        <f t="shared" si="133"/>
        <v>5</v>
      </c>
      <c r="U352" s="251">
        <f t="shared" si="134"/>
        <v>-0.52778038429601049</v>
      </c>
      <c r="V352" s="383">
        <f t="shared" si="135"/>
        <v>23.424412426758465</v>
      </c>
      <c r="W352" s="402">
        <f t="shared" si="136"/>
        <v>17.027318618450725</v>
      </c>
      <c r="X352" s="157">
        <f t="shared" si="137"/>
        <v>46725</v>
      </c>
      <c r="Y352" s="385">
        <f t="shared" si="138"/>
        <v>16.276610024867576</v>
      </c>
      <c r="Z352" s="385">
        <f t="shared" si="139"/>
        <v>17.560362580507721</v>
      </c>
      <c r="AA352" s="386">
        <f t="shared" si="140"/>
        <v>18.832261536153887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6.7538301398607448E-2</v>
      </c>
      <c r="AD352" s="231">
        <f>(INDEX(Models!$BJ352:$BT352,,AH352)*(1-AF352)+INDEX(Models!$BJ352:$BT352,,AH352+1)*AF352-ERP_i)*AE352*Ramure*Pc/MaxiM</f>
        <v>1.3236064535735476E-3</v>
      </c>
      <c r="AE352" s="305">
        <f t="shared" si="142"/>
        <v>0.5</v>
      </c>
      <c r="AF352" s="177">
        <f t="shared" si="143"/>
        <v>0.99720718207796866</v>
      </c>
      <c r="AG352" s="811">
        <f t="shared" si="149"/>
        <v>2</v>
      </c>
      <c r="AH352" s="176">
        <f t="shared" si="144"/>
        <v>8</v>
      </c>
      <c r="AI352" s="225">
        <f t="shared" si="145"/>
        <v>2.9972071820779687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23.175344068633436</v>
      </c>
      <c r="C353" s="841"/>
      <c r="D353" s="393">
        <f t="shared" si="127"/>
        <v>25.003754343083116</v>
      </c>
      <c r="E353" s="385">
        <f t="shared" si="125"/>
        <v>25.651498777601248</v>
      </c>
      <c r="F353" s="385">
        <f t="shared" si="128"/>
        <v>25.657632909770587</v>
      </c>
      <c r="G353" s="110">
        <f t="shared" si="126"/>
        <v>0.99641510025696278</v>
      </c>
      <c r="H353" s="414" t="b">
        <f>Wh_hp&gt;='2026'!Maxi_hp</f>
        <v>0</v>
      </c>
      <c r="I353" s="390">
        <f>IF(H353,Wh_hp,'2026'!Maxi_hp)</f>
        <v>25.657655960530157</v>
      </c>
      <c r="J353" s="85">
        <f>IF(H353,An,'2026'!An_max)</f>
        <v>2025</v>
      </c>
      <c r="K353" s="197">
        <f t="shared" si="129"/>
        <v>46726</v>
      </c>
      <c r="L353" s="147">
        <f>IF(t&lt;Tvie,1-EXP((T0-t)*PertePVj)+'2026'!Pspv,1-EXP((T0-t)*PertePVj)+Pspv)</f>
        <v>7.3125429459975466E-2</v>
      </c>
      <c r="M353" s="845"/>
      <c r="N353" s="845"/>
      <c r="O353" s="48">
        <f>IF(t&lt;Tnet,'2026'!Resal+('2026'!Salim-'2026'!Resal)*(1-EXP(('2026'!Tnet-t)/('2026'!Tau_j))),Resal+(Salim-Resal)*(1-EXP((Tnet-t)/(Tau_j))))*Salcycl</f>
        <v>2.5251718822907141E-2</v>
      </c>
      <c r="P353" s="169">
        <f>(INDEX(Models!$BJ353:$BT353,,T353)*(1-R353)+INDEX(Models!$BJ353:$BT353,,T353+1)*R353-ERP_i)*Q353*Ramure*Pc/MaxiM</f>
        <v>2.403065663971626E-4</v>
      </c>
      <c r="Q353" s="305">
        <f t="shared" si="130"/>
        <v>0.5</v>
      </c>
      <c r="R353" s="177">
        <f t="shared" si="131"/>
        <v>0.47223357896735851</v>
      </c>
      <c r="S353" s="811">
        <f t="shared" si="132"/>
        <v>-1</v>
      </c>
      <c r="T353" s="176">
        <f t="shared" si="133"/>
        <v>5</v>
      </c>
      <c r="U353" s="251">
        <f t="shared" si="134"/>
        <v>-0.52776642103264149</v>
      </c>
      <c r="V353" s="383">
        <f t="shared" si="135"/>
        <v>23.258695642204014</v>
      </c>
      <c r="W353" s="402">
        <f t="shared" si="136"/>
        <v>23.175344068633436</v>
      </c>
      <c r="X353" s="157">
        <f t="shared" si="137"/>
        <v>46726</v>
      </c>
      <c r="Y353" s="385">
        <f t="shared" si="138"/>
        <v>22.145479570114436</v>
      </c>
      <c r="Z353" s="385">
        <f t="shared" si="139"/>
        <v>23.892639062491298</v>
      </c>
      <c r="AA353" s="386">
        <f t="shared" si="140"/>
        <v>25.623705840867412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6.7557237392853034E-2</v>
      </c>
      <c r="AD353" s="231">
        <f>(INDEX(Models!$BJ353:$BT353,,AH353)*(1-AF353)+INDEX(Models!$BJ353:$BT353,,AH353+1)*AF353-ERP_i)*AE353*Ramure*Pc/MaxiM</f>
        <v>1.3291036467704743E-3</v>
      </c>
      <c r="AE353" s="305">
        <f t="shared" si="142"/>
        <v>0.5</v>
      </c>
      <c r="AF353" s="177">
        <f t="shared" si="143"/>
        <v>0.99722114534133732</v>
      </c>
      <c r="AG353" s="811">
        <f t="shared" si="149"/>
        <v>2</v>
      </c>
      <c r="AH353" s="176">
        <f t="shared" si="144"/>
        <v>8</v>
      </c>
      <c r="AI353" s="225">
        <f t="shared" si="145"/>
        <v>2.9972211453413373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10.733029073603895</v>
      </c>
      <c r="C354" s="841"/>
      <c r="D354" s="393">
        <f t="shared" si="127"/>
        <v>11.580061100804254</v>
      </c>
      <c r="E354" s="385">
        <f t="shared" si="125"/>
        <v>11.880970076179999</v>
      </c>
      <c r="F354" s="385">
        <f t="shared" si="128"/>
        <v>11.88164467432531</v>
      </c>
      <c r="G354" s="110">
        <f t="shared" si="126"/>
        <v>0.46448784885144268</v>
      </c>
      <c r="H354" s="414" t="b">
        <f>Wh_hp&gt;='2026'!Maxi_hp</f>
        <v>0</v>
      </c>
      <c r="I354" s="390">
        <f>IF(H354,Wh_hp,'2026'!Maxi_hp)</f>
        <v>20.632916228723204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7.3145730391831143E-2</v>
      </c>
      <c r="M354" s="845"/>
      <c r="N354" s="845"/>
      <c r="O354" s="48">
        <f>IF(t&lt;Tnet,'2026'!Resal+('2026'!Salim-'2026'!Resal)*(1-EXP(('2026'!Tnet-t)/('2026'!Tau_j))),Resal+(Salim-Resal)*(1-EXP((Tnet-t)/(Tau_j))))*Salcycl</f>
        <v>2.5326970226028273E-2</v>
      </c>
      <c r="P354" s="169">
        <f>(INDEX(Models!$BJ354:$BT354,,T354)*(1-R354)+INDEX(Models!$BJ354:$BT354,,T354+1)*R354-ERP_i)*Q354*Ramure*Pc/MaxiM</f>
        <v>2.4149395942395346E-4</v>
      </c>
      <c r="Q354" s="305">
        <f t="shared" si="130"/>
        <v>0.5</v>
      </c>
      <c r="R354" s="177">
        <f t="shared" si="131"/>
        <v>0.47224698076188143</v>
      </c>
      <c r="S354" s="811">
        <f t="shared" si="132"/>
        <v>-1</v>
      </c>
      <c r="T354" s="176">
        <f t="shared" si="133"/>
        <v>5</v>
      </c>
      <c r="U354" s="251">
        <f t="shared" si="134"/>
        <v>-0.52775301923811857</v>
      </c>
      <c r="V354" s="383">
        <f t="shared" si="135"/>
        <v>23.102964716209463</v>
      </c>
      <c r="W354" s="402">
        <f t="shared" si="136"/>
        <v>10.733029073603895</v>
      </c>
      <c r="X354" s="157">
        <f t="shared" si="137"/>
        <v>46727</v>
      </c>
      <c r="Y354" s="385">
        <f t="shared" si="138"/>
        <v>10.265133777733999</v>
      </c>
      <c r="Z354" s="385">
        <f t="shared" si="139"/>
        <v>11.07524032022167</v>
      </c>
      <c r="AA354" s="386">
        <f t="shared" si="140"/>
        <v>11.877917067463907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6.7577231149469369E-2</v>
      </c>
      <c r="AD354" s="231">
        <f>(INDEX(Models!$BJ354:$BT354,,AH354)*(1-AF354)+INDEX(Models!$BJ354:$BT354,,AH354+1)*AF354-ERP_i)*AE354*Ramure*Pc/MaxiM</f>
        <v>1.3344159725218474E-3</v>
      </c>
      <c r="AE354" s="305">
        <f t="shared" si="142"/>
        <v>0.5</v>
      </c>
      <c r="AF354" s="177">
        <f t="shared" si="143"/>
        <v>0.99723454713586035</v>
      </c>
      <c r="AG354" s="811">
        <f t="shared" si="149"/>
        <v>2</v>
      </c>
      <c r="AH354" s="176">
        <f t="shared" si="144"/>
        <v>8</v>
      </c>
      <c r="AI354" s="225">
        <f t="shared" si="145"/>
        <v>2.9972345471358603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19.47420219409781</v>
      </c>
      <c r="C355" s="841"/>
      <c r="D355" s="393">
        <f t="shared" si="127"/>
        <v>21.011532640056213</v>
      </c>
      <c r="E355" s="385">
        <f t="shared" si="125"/>
        <v>21.559190002866316</v>
      </c>
      <c r="F355" s="385">
        <f t="shared" si="128"/>
        <v>21.563284640906005</v>
      </c>
      <c r="G355" s="110">
        <f t="shared" si="126"/>
        <v>0.84818759860579618</v>
      </c>
      <c r="H355" s="414" t="b">
        <f>Wh_hp&gt;='2026'!Maxi_hp</f>
        <v>0</v>
      </c>
      <c r="I355" s="390">
        <f>IF(H355,Wh_hp,'2026'!Maxi_hp)</f>
        <v>21.564112777516236</v>
      </c>
      <c r="J355" s="85">
        <f>IF(H355,An,'2026'!An_max)</f>
        <v>2025</v>
      </c>
      <c r="K355" s="197">
        <f t="shared" si="129"/>
        <v>46728</v>
      </c>
      <c r="L355" s="147">
        <f>IF(t&lt;Tvie,1-EXP((T0-t)*PertePVj)+'2026'!Pspv,1-EXP((T0-t)*PertePVj)+Pspv)</f>
        <v>7.3166030879044386E-2</v>
      </c>
      <c r="M355" s="845"/>
      <c r="N355" s="845"/>
      <c r="O355" s="48">
        <f>IF(t&lt;Tnet,'2026'!Resal+('2026'!Salim-'2026'!Resal)*(1-EXP(('2026'!Tnet-t)/('2026'!Tau_j))),Resal+(Salim-Resal)*(1-EXP((Tnet-t)/(Tau_j))))*Salcycl</f>
        <v>2.5402501797947435E-2</v>
      </c>
      <c r="P355" s="169">
        <f>(INDEX(Models!$BJ355:$BT355,,T355)*(1-R355)+INDEX(Models!$BJ355:$BT355,,T355+1)*R355-ERP_i)*Q355*Ramure*Pc/MaxiM</f>
        <v>2.4245665210000271E-4</v>
      </c>
      <c r="Q355" s="305">
        <f t="shared" si="130"/>
        <v>0.5</v>
      </c>
      <c r="R355" s="177">
        <f t="shared" si="131"/>
        <v>0.47225984363616647</v>
      </c>
      <c r="S355" s="811">
        <f t="shared" si="132"/>
        <v>-1</v>
      </c>
      <c r="T355" s="176">
        <f t="shared" si="133"/>
        <v>5</v>
      </c>
      <c r="U355" s="251">
        <f t="shared" si="134"/>
        <v>-0.52774015636383353</v>
      </c>
      <c r="V355" s="383">
        <f t="shared" si="135"/>
        <v>22.958574642391177</v>
      </c>
      <c r="W355" s="402">
        <f t="shared" si="136"/>
        <v>19.47420219409781</v>
      </c>
      <c r="X355" s="157">
        <f t="shared" si="137"/>
        <v>46728</v>
      </c>
      <c r="Y355" s="385">
        <f t="shared" si="138"/>
        <v>18.615045546427407</v>
      </c>
      <c r="Z355" s="385">
        <f t="shared" si="139"/>
        <v>20.084552537584074</v>
      </c>
      <c r="AA355" s="386">
        <f t="shared" si="140"/>
        <v>21.540663850555099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6.7598256166719828E-2</v>
      </c>
      <c r="AD355" s="231">
        <f>(INDEX(Models!$BJ355:$BT355,,AH355)*(1-AF355)+INDEX(Models!$BJ355:$BT355,,AH355+1)*AF355-ERP_i)*AE355*Ramure*Pc/MaxiM</f>
        <v>1.3394495540694699E-3</v>
      </c>
      <c r="AE355" s="305">
        <f t="shared" si="142"/>
        <v>0.5</v>
      </c>
      <c r="AF355" s="177">
        <f t="shared" si="143"/>
        <v>0.99724741001014561</v>
      </c>
      <c r="AG355" s="811">
        <f t="shared" si="149"/>
        <v>2</v>
      </c>
      <c r="AH355" s="176">
        <f t="shared" si="144"/>
        <v>8</v>
      </c>
      <c r="AI355" s="225">
        <f t="shared" si="145"/>
        <v>2.9972474100101456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4.0202684978065113</v>
      </c>
      <c r="C356" s="841"/>
      <c r="D356" s="393">
        <f t="shared" si="127"/>
        <v>4.3377311232410625</v>
      </c>
      <c r="E356" s="385">
        <f t="shared" si="125"/>
        <v>4.4511385940986621</v>
      </c>
      <c r="F356" s="385">
        <f t="shared" si="128"/>
        <v>4.4511385940986621</v>
      </c>
      <c r="G356" s="110">
        <f t="shared" si="126"/>
        <v>0.17607710236939042</v>
      </c>
      <c r="H356" s="414" t="b">
        <f>Wh_hp&gt;='2026'!Maxi_hp</f>
        <v>0</v>
      </c>
      <c r="I356" s="390">
        <f>IF(H356,Wh_hp,'2026'!Maxi_hp)</f>
        <v>16.757981515209075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7.3186330921624743E-2</v>
      </c>
      <c r="M356" s="845"/>
      <c r="N356" s="845"/>
      <c r="O356" s="48">
        <f>IF(t&lt;Tnet,'2026'!Resal+('2026'!Salim-'2026'!Resal)*(1-EXP(('2026'!Tnet-t)/('2026'!Tau_j))),Resal+(Salim-Resal)*(1-EXP((Tnet-t)/(Tau_j))))*Salcycl</f>
        <v>2.5478305934566018E-2</v>
      </c>
      <c r="P356" s="169">
        <f>(INDEX(Models!$BJ356:$BT356,,T356)*(1-R356)+INDEX(Models!$BJ356:$BT356,,T356+1)*R356-ERP_i)*Q356*Ramure*Pc/MaxiM</f>
        <v>2.4317549621828813E-4</v>
      </c>
      <c r="Q356" s="305">
        <f t="shared" si="130"/>
        <v>0.5</v>
      </c>
      <c r="R356" s="177">
        <f t="shared" si="131"/>
        <v>0.47227218923550063</v>
      </c>
      <c r="S356" s="811">
        <f t="shared" si="132"/>
        <v>-1</v>
      </c>
      <c r="T356" s="176">
        <f t="shared" si="133"/>
        <v>5</v>
      </c>
      <c r="U356" s="251">
        <f t="shared" si="134"/>
        <v>-0.52772781076449937</v>
      </c>
      <c r="V356" s="383">
        <f t="shared" si="135"/>
        <v>22.826879889172613</v>
      </c>
      <c r="W356" s="402">
        <f t="shared" si="136"/>
        <v>4.0202684978065113</v>
      </c>
      <c r="X356" s="157">
        <f t="shared" si="137"/>
        <v>46729</v>
      </c>
      <c r="Y356" s="385">
        <f t="shared" si="138"/>
        <v>3.8464169922067142</v>
      </c>
      <c r="Z356" s="385">
        <f t="shared" si="139"/>
        <v>4.1501513416732365</v>
      </c>
      <c r="AA356" s="386">
        <f t="shared" si="140"/>
        <v>4.4511385940986621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6.7620283229211556E-2</v>
      </c>
      <c r="AD356" s="231">
        <f>(INDEX(Models!$BJ356:$BT356,,AH356)*(1-AF356)+INDEX(Models!$BJ356:$BT356,,AH356+1)*AF356-ERP_i)*AE356*Ramure*Pc/MaxiM</f>
        <v>1.3441070161777863E-3</v>
      </c>
      <c r="AE356" s="305">
        <f t="shared" si="142"/>
        <v>0.5</v>
      </c>
      <c r="AF356" s="177">
        <f t="shared" si="143"/>
        <v>0.99725975560947955</v>
      </c>
      <c r="AG356" s="811">
        <f t="shared" si="149"/>
        <v>2</v>
      </c>
      <c r="AH356" s="176">
        <f t="shared" si="144"/>
        <v>8</v>
      </c>
      <c r="AI356" s="225">
        <f t="shared" si="145"/>
        <v>2.9972597556094795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4.8641472274509292</v>
      </c>
      <c r="C357" s="841"/>
      <c r="D357" s="393">
        <f t="shared" si="127"/>
        <v>5.2483621351088052</v>
      </c>
      <c r="E357" s="385">
        <f t="shared" si="125"/>
        <v>5.3859979406871288</v>
      </c>
      <c r="F357" s="385">
        <f t="shared" si="128"/>
        <v>5.3859979406871288</v>
      </c>
      <c r="G357" s="110">
        <f t="shared" si="126"/>
        <v>0.21414029579131058</v>
      </c>
      <c r="H357" s="414" t="b">
        <f>Wh_hp&gt;='2026'!Maxi_hp</f>
        <v>0</v>
      </c>
      <c r="I357" s="390">
        <f>IF(H357,Wh_hp,'2026'!Maxi_hp)</f>
        <v>11.880379374635188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7.3206630519582205E-2</v>
      </c>
      <c r="M357" s="845"/>
      <c r="N357" s="845"/>
      <c r="O357" s="48">
        <f>IF(t&lt;Tnet,'2026'!Resal+('2026'!Salim-'2026'!Resal)*(1-EXP(('2026'!Tnet-t)/('2026'!Tau_j))),Resal+(Salim-Resal)*(1-EXP((Tnet-t)/(Tau_j))))*Salcycl</f>
        <v>2.5554373970065894E-2</v>
      </c>
      <c r="P357" s="169">
        <f>(INDEX(Models!$BJ357:$BT357,,T357)*(1-R357)+INDEX(Models!$BJ357:$BT357,,T357+1)*R357-ERP_i)*Q357*Ramure*Pc/MaxiM</f>
        <v>2.4363117965472343E-4</v>
      </c>
      <c r="Q357" s="305">
        <f t="shared" si="130"/>
        <v>0.5</v>
      </c>
      <c r="R357" s="177">
        <f t="shared" si="131"/>
        <v>0.47228403833786059</v>
      </c>
      <c r="S357" s="811">
        <f t="shared" si="132"/>
        <v>-1</v>
      </c>
      <c r="T357" s="176">
        <f t="shared" si="133"/>
        <v>5</v>
      </c>
      <c r="U357" s="251">
        <f t="shared" si="134"/>
        <v>-0.52771596166213941</v>
      </c>
      <c r="V357" s="383">
        <f t="shared" si="135"/>
        <v>22.709234390257254</v>
      </c>
      <c r="W357" s="402">
        <f t="shared" si="136"/>
        <v>4.8641472274509292</v>
      </c>
      <c r="X357" s="157">
        <f t="shared" si="137"/>
        <v>46730</v>
      </c>
      <c r="Y357" s="385">
        <f t="shared" si="138"/>
        <v>4.6540517297599138</v>
      </c>
      <c r="Z357" s="385">
        <f t="shared" si="139"/>
        <v>5.0216713703606715</v>
      </c>
      <c r="AA357" s="386">
        <f t="shared" si="140"/>
        <v>5.3859979406871288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6.7643280658213095E-2</v>
      </c>
      <c r="AD357" s="231">
        <f>(INDEX(Models!$BJ357:$BT357,,AH357)*(1-AF357)+INDEX(Models!$BJ357:$BT357,,AH357+1)*AF357-ERP_i)*AE357*Ramure*Pc/MaxiM</f>
        <v>1.3482881534295893E-3</v>
      </c>
      <c r="AE357" s="305">
        <f t="shared" si="142"/>
        <v>0.5</v>
      </c>
      <c r="AF357" s="177">
        <f t="shared" si="143"/>
        <v>0.99727160471183973</v>
      </c>
      <c r="AG357" s="811">
        <f t="shared" si="149"/>
        <v>2</v>
      </c>
      <c r="AH357" s="176">
        <f t="shared" si="144"/>
        <v>8</v>
      </c>
      <c r="AI357" s="225">
        <f t="shared" si="145"/>
        <v>2.9972716047118397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11.449583985611369</v>
      </c>
      <c r="C358" s="841"/>
      <c r="D358" s="393">
        <f t="shared" si="127"/>
        <v>12.354247606235063</v>
      </c>
      <c r="E358" s="385">
        <f t="shared" si="125"/>
        <v>12.679224970311214</v>
      </c>
      <c r="F358" s="385">
        <f t="shared" si="128"/>
        <v>12.680136787828554</v>
      </c>
      <c r="G358" s="110">
        <f t="shared" si="126"/>
        <v>0.50637501649333683</v>
      </c>
      <c r="H358" s="414" t="b">
        <f>Wh_hp&gt;='2026'!Maxi_hp</f>
        <v>0</v>
      </c>
      <c r="I358" s="390">
        <f>IF(H358,Wh_hp,'2026'!Maxi_hp)</f>
        <v>21.95872257479607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7.3226929672926322E-2</v>
      </c>
      <c r="M358" s="845"/>
      <c r="N358" s="845"/>
      <c r="O358" s="48">
        <f>IF(t&lt;Tnet,'2026'!Resal+('2026'!Salim-'2026'!Resal)*(1-EXP(('2026'!Tnet-t)/('2026'!Tau_j))),Resal+(Salim-Resal)*(1-EXP((Tnet-t)/(Tau_j))))*Salcycl</f>
        <v>2.5630696263935365E-2</v>
      </c>
      <c r="P358" s="169">
        <f>(INDEX(Models!$BJ358:$BT358,,T358)*(1-R358)+INDEX(Models!$BJ358:$BT358,,T358+1)*R358-ERP_i)*Q358*Ramure*Pc/MaxiM</f>
        <v>2.4380450818513387E-4</v>
      </c>
      <c r="Q358" s="305">
        <f t="shared" si="130"/>
        <v>0.5</v>
      </c>
      <c r="R358" s="177">
        <f t="shared" si="131"/>
        <v>0.47229541088850513</v>
      </c>
      <c r="S358" s="811">
        <f t="shared" si="132"/>
        <v>-1</v>
      </c>
      <c r="T358" s="176">
        <f t="shared" si="133"/>
        <v>5</v>
      </c>
      <c r="U358" s="251">
        <f t="shared" si="134"/>
        <v>-0.52770458911149487</v>
      </c>
      <c r="V358" s="383">
        <f t="shared" si="135"/>
        <v>22.606991539001275</v>
      </c>
      <c r="W358" s="402">
        <f t="shared" si="136"/>
        <v>11.449583985611369</v>
      </c>
      <c r="X358" s="157">
        <f t="shared" si="137"/>
        <v>46731</v>
      </c>
      <c r="Y358" s="385">
        <f t="shared" si="138"/>
        <v>10.952041935344953</v>
      </c>
      <c r="Z358" s="385">
        <f t="shared" si="139"/>
        <v>11.817393368454043</v>
      </c>
      <c r="AA358" s="386">
        <f t="shared" si="140"/>
        <v>12.675080779260146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6.7667214571879561E-2</v>
      </c>
      <c r="AD358" s="231">
        <f>(INDEX(Models!$BJ358:$BT358,,AH358)*(1-AF358)+INDEX(Models!$BJ358:$BT358,,AH358+1)*AF358-ERP_i)*AE358*Ramure*Pc/MaxiM</f>
        <v>1.3518907664733253E-3</v>
      </c>
      <c r="AE358" s="305">
        <f t="shared" si="142"/>
        <v>0.5</v>
      </c>
      <c r="AF358" s="177">
        <f t="shared" si="143"/>
        <v>0.99728297726248405</v>
      </c>
      <c r="AG358" s="811">
        <f t="shared" si="149"/>
        <v>2</v>
      </c>
      <c r="AH358" s="176">
        <f t="shared" si="144"/>
        <v>8</v>
      </c>
      <c r="AI358" s="225">
        <f t="shared" si="145"/>
        <v>2.997282977262484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15.995097664957886</v>
      </c>
      <c r="C359" s="841"/>
      <c r="D359" s="393">
        <f t="shared" si="127"/>
        <v>17.259293044278248</v>
      </c>
      <c r="E359" s="385">
        <f t="shared" si="125"/>
        <v>17.714689206131784</v>
      </c>
      <c r="F359" s="385">
        <f t="shared" si="128"/>
        <v>17.717220415468059</v>
      </c>
      <c r="G359" s="110">
        <f t="shared" si="126"/>
        <v>0.71026587879954539</v>
      </c>
      <c r="H359" s="414" t="b">
        <f>Wh_hp&gt;='2026'!Maxi_hp</f>
        <v>0</v>
      </c>
      <c r="I359" s="390">
        <f>IF(H359,Wh_hp,'2026'!Maxi_hp)</f>
        <v>18.260406248134906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7.3247228381666862E-2</v>
      </c>
      <c r="M359" s="845"/>
      <c r="N359" s="845"/>
      <c r="O359" s="48">
        <f>IF(t&lt;Tnet,'2026'!Resal+('2026'!Salim-'2026'!Resal)*(1-EXP(('2026'!Tnet-t)/('2026'!Tau_j))),Resal+(Salim-Resal)*(1-EXP((Tnet-t)/(Tau_j))))*Salcycl</f>
        <v>2.5707262292578317E-2</v>
      </c>
      <c r="P359" s="169">
        <f>(INDEX(Models!$BJ359:$BT359,,T359)*(1-R359)+INDEX(Models!$BJ359:$BT359,,T359+1)*R359-ERP_i)*Q359*Ramure*Pc/MaxiM</f>
        <v>2.4371893851531996E-4</v>
      </c>
      <c r="Q359" s="305">
        <f t="shared" si="130"/>
        <v>0.5</v>
      </c>
      <c r="R359" s="177">
        <f t="shared" si="131"/>
        <v>0.47230632603319656</v>
      </c>
      <c r="S359" s="811">
        <f t="shared" si="132"/>
        <v>-1</v>
      </c>
      <c r="T359" s="176">
        <f t="shared" si="133"/>
        <v>5</v>
      </c>
      <c r="U359" s="251">
        <f t="shared" si="134"/>
        <v>-0.52769367396680344</v>
      </c>
      <c r="V359" s="383">
        <f t="shared" si="135"/>
        <v>22.517601898294245</v>
      </c>
      <c r="W359" s="402">
        <f t="shared" si="136"/>
        <v>15.995097664957886</v>
      </c>
      <c r="X359" s="157">
        <f t="shared" si="137"/>
        <v>46732</v>
      </c>
      <c r="Y359" s="385">
        <f t="shared" si="138"/>
        <v>15.295855152157138</v>
      </c>
      <c r="Z359" s="385">
        <f t="shared" si="139"/>
        <v>16.504784901206065</v>
      </c>
      <c r="AA359" s="386">
        <f t="shared" si="140"/>
        <v>17.703147212480879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6.7692049153269013E-2</v>
      </c>
      <c r="AD359" s="231">
        <f>(INDEX(Models!$BJ359:$BT359,,AH359)*(1-AF359)+INDEX(Models!$BJ359:$BT359,,AH359+1)*AF359-ERP_i)*AE359*Ramure*Pc/MaxiM</f>
        <v>1.3550463979382632E-3</v>
      </c>
      <c r="AE359" s="305">
        <f t="shared" si="142"/>
        <v>0.5</v>
      </c>
      <c r="AF359" s="177">
        <f t="shared" si="143"/>
        <v>0.99729389240717525</v>
      </c>
      <c r="AG359" s="811">
        <f t="shared" si="149"/>
        <v>2</v>
      </c>
      <c r="AH359" s="176">
        <f t="shared" si="144"/>
        <v>8</v>
      </c>
      <c r="AI359" s="225">
        <f t="shared" si="145"/>
        <v>2.9972938924071753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5.5704037706329519</v>
      </c>
      <c r="C360" s="841"/>
      <c r="D360" s="393">
        <f t="shared" si="127"/>
        <v>6.0108002371726625</v>
      </c>
      <c r="E360" s="385">
        <f t="shared" si="125"/>
        <v>6.1698849248633216</v>
      </c>
      <c r="F360" s="385">
        <f t="shared" si="128"/>
        <v>6.1698849248633216</v>
      </c>
      <c r="G360" s="110">
        <f t="shared" si="126"/>
        <v>0.2481997150210645</v>
      </c>
      <c r="H360" s="414" t="b">
        <f>Wh_hp&gt;='2026'!Maxi_hp</f>
        <v>0</v>
      </c>
      <c r="I360" s="390">
        <f>IF(H360,Wh_hp,'2026'!Maxi_hp)</f>
        <v>23.792403120855759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7.3267526645813597E-2</v>
      </c>
      <c r="M360" s="845"/>
      <c r="N360" s="845"/>
      <c r="O360" s="48">
        <f>IF(t&lt;Tnet,'2026'!Resal+('2026'!Salim-'2026'!Resal)*(1-EXP(('2026'!Tnet-t)/('2026'!Tau_j))),Resal+(Salim-Resal)*(1-EXP((Tnet-t)/(Tau_j))))*Salcycl</f>
        <v>2.5784060744728322E-2</v>
      </c>
      <c r="P360" s="169">
        <f>(INDEX(Models!$BJ360:$BT360,,T360)*(1-R360)+INDEX(Models!$BJ360:$BT360,,T360+1)*R360-ERP_i)*Q360*Ramure*Pc/MaxiM</f>
        <v>2.4340708140147533E-4</v>
      </c>
      <c r="Q360" s="305">
        <f t="shared" si="130"/>
        <v>0.5</v>
      </c>
      <c r="R360" s="177">
        <f t="shared" si="131"/>
        <v>0.47231680215011118</v>
      </c>
      <c r="S360" s="811">
        <f t="shared" si="132"/>
        <v>-1</v>
      </c>
      <c r="T360" s="176">
        <f t="shared" si="133"/>
        <v>5</v>
      </c>
      <c r="U360" s="251">
        <f t="shared" si="134"/>
        <v>-0.52768319784988882</v>
      </c>
      <c r="V360" s="383">
        <f t="shared" si="135"/>
        <v>22.437769094280686</v>
      </c>
      <c r="W360" s="402">
        <f t="shared" si="136"/>
        <v>5.5704037706329519</v>
      </c>
      <c r="X360" s="157">
        <f t="shared" si="137"/>
        <v>46733</v>
      </c>
      <c r="Y360" s="385">
        <f t="shared" si="138"/>
        <v>5.3306339678640757</v>
      </c>
      <c r="Z360" s="385">
        <f t="shared" si="139"/>
        <v>5.7520742189712495</v>
      </c>
      <c r="AA360" s="386">
        <f t="shared" si="140"/>
        <v>6.1698849248633216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6.7717746923996E-2</v>
      </c>
      <c r="AD360" s="231">
        <f>(INDEX(Models!$BJ360:$BT360,,AH360)*(1-AF360)+INDEX(Models!$BJ360:$BT360,,AH360+1)*AF360-ERP_i)*AE360*Ramure*Pc/MaxiM</f>
        <v>1.3579367247682226E-3</v>
      </c>
      <c r="AE360" s="305">
        <f t="shared" si="142"/>
        <v>0.5</v>
      </c>
      <c r="AF360" s="177">
        <f t="shared" si="143"/>
        <v>0.9973043685240901</v>
      </c>
      <c r="AG360" s="811">
        <f t="shared" si="149"/>
        <v>2</v>
      </c>
      <c r="AH360" s="176">
        <f t="shared" si="144"/>
        <v>8</v>
      </c>
      <c r="AI360" s="225">
        <f t="shared" si="145"/>
        <v>2.9973043685240901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5.2876783001137806</v>
      </c>
      <c r="C361" s="841"/>
      <c r="D361" s="393">
        <f t="shared" si="127"/>
        <v>5.7058474461752899</v>
      </c>
      <c r="E361" s="385">
        <f t="shared" ref="E361:E379" si="150">Wh_pvt/(1-Psa)</f>
        <v>5.8573241729718744</v>
      </c>
      <c r="F361" s="385">
        <f t="shared" si="128"/>
        <v>5.8573241729718744</v>
      </c>
      <c r="G361" s="110">
        <f t="shared" ref="G361:G379" si="151">+Wh_hp/MaxiM</f>
        <v>0.23634026091190863</v>
      </c>
      <c r="H361" s="414" t="b">
        <f>Wh_hp&gt;='2026'!Maxi_hp</f>
        <v>0</v>
      </c>
      <c r="I361" s="390">
        <f>IF(H361,Wh_hp,'2026'!Maxi_hp)</f>
        <v>25.480851358483925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7.3287824465376183E-2</v>
      </c>
      <c r="M361" s="845"/>
      <c r="N361" s="845"/>
      <c r="O361" s="48">
        <f>IF(t&lt;Tnet,'2026'!Resal+('2026'!Salim-'2026'!Resal)*(1-EXP(('2026'!Tnet-t)/('2026'!Tau_j))),Resal+(Salim-Resal)*(1-EXP((Tnet-t)/(Tau_j))))*Salcycl</f>
        <v>2.5861079619864814E-2</v>
      </c>
      <c r="P361" s="169">
        <f>(INDEX(Models!$BJ361:$BT361,,T361)*(1-R361)+INDEX(Models!$BJ361:$BT361,,T361+1)*R361-ERP_i)*Q361*Ramure*Pc/MaxiM</f>
        <v>2.4313446408250427E-4</v>
      </c>
      <c r="Q361" s="305">
        <f t="shared" si="130"/>
        <v>0.5</v>
      </c>
      <c r="R361" s="177">
        <f t="shared" si="131"/>
        <v>0.47232685688048714</v>
      </c>
      <c r="S361" s="811">
        <f t="shared" si="132"/>
        <v>-1</v>
      </c>
      <c r="T361" s="176">
        <f t="shared" si="133"/>
        <v>5</v>
      </c>
      <c r="U361" s="251">
        <f t="shared" si="134"/>
        <v>-0.52767314311951286</v>
      </c>
      <c r="V361" s="383">
        <f t="shared" si="135"/>
        <v>22.367719587372562</v>
      </c>
      <c r="W361" s="402">
        <f t="shared" si="136"/>
        <v>5.2876783001137806</v>
      </c>
      <c r="X361" s="157">
        <f t="shared" si="137"/>
        <v>46734</v>
      </c>
      <c r="Y361" s="385">
        <f t="shared" si="138"/>
        <v>5.0603341019665917</v>
      </c>
      <c r="Z361" s="385">
        <f t="shared" si="139"/>
        <v>5.4605240284528103</v>
      </c>
      <c r="AA361" s="386">
        <f t="shared" si="140"/>
        <v>5.8573241729718744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6.7744269021350098E-2</v>
      </c>
      <c r="AD361" s="231">
        <f>(INDEX(Models!$BJ361:$BT361,,AH361)*(1-AF361)+INDEX(Models!$BJ361:$BT361,,AH361+1)*AF361-ERP_i)*AE361*Ramure*Pc/MaxiM</f>
        <v>1.3604280158287935E-3</v>
      </c>
      <c r="AE361" s="305">
        <f t="shared" si="142"/>
        <v>0.5</v>
      </c>
      <c r="AF361" s="177">
        <f t="shared" si="143"/>
        <v>0.99731442325446595</v>
      </c>
      <c r="AG361" s="811">
        <f t="shared" si="149"/>
        <v>2</v>
      </c>
      <c r="AH361" s="176">
        <f t="shared" si="144"/>
        <v>8</v>
      </c>
      <c r="AI361" s="225">
        <f t="shared" si="145"/>
        <v>2.997314423254466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16.777751454892954</v>
      </c>
      <c r="C362" s="841"/>
      <c r="D362" s="393">
        <f t="shared" si="127"/>
        <v>18.104994605340391</v>
      </c>
      <c r="E362" s="385">
        <f t="shared" si="150"/>
        <v>18.5871128317382</v>
      </c>
      <c r="F362" s="385">
        <f t="shared" si="128"/>
        <v>18.590029214586526</v>
      </c>
      <c r="G362" s="110">
        <f t="shared" si="151"/>
        <v>0.75204161284928528</v>
      </c>
      <c r="H362" s="414" t="b">
        <f>Wh_hp&gt;='2026'!Maxi_hp</f>
        <v>0</v>
      </c>
      <c r="I362" s="390">
        <f>IF(H362,Wh_hp,'2026'!Maxi_hp)</f>
        <v>22.845836803064749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7.3308121840364504E-2</v>
      </c>
      <c r="M362" s="845"/>
      <c r="N362" s="845"/>
      <c r="O362" s="48">
        <f>IF(t&lt;Tnet,'2026'!Resal+('2026'!Salim-'2026'!Resal)*(1-EXP(('2026'!Tnet-t)/('2026'!Tau_j))),Resal+(Salim-Resal)*(1-EXP((Tnet-t)/(Tau_j))))*Salcycl</f>
        <v>2.5938306328811452E-2</v>
      </c>
      <c r="P362" s="169">
        <f>(INDEX(Models!$BJ362:$BT362,,T362)*(1-R362)+INDEX(Models!$BJ362:$BT362,,T362+1)*R362-ERP_i)*Q362*Ramure*Pc/MaxiM</f>
        <v>2.4289687494183316E-4</v>
      </c>
      <c r="Q362" s="305">
        <f t="shared" si="130"/>
        <v>0.5</v>
      </c>
      <c r="R362" s="177">
        <f t="shared" si="131"/>
        <v>0.47233650715805653</v>
      </c>
      <c r="S362" s="811">
        <f t="shared" si="132"/>
        <v>-1</v>
      </c>
      <c r="T362" s="176">
        <f t="shared" si="133"/>
        <v>5</v>
      </c>
      <c r="U362" s="251">
        <f t="shared" si="134"/>
        <v>-0.52766349284194347</v>
      </c>
      <c r="V362" s="383">
        <f t="shared" si="135"/>
        <v>22.307685842340522</v>
      </c>
      <c r="W362" s="402">
        <f t="shared" si="136"/>
        <v>16.777751454892954</v>
      </c>
      <c r="X362" s="157">
        <f t="shared" si="137"/>
        <v>46735</v>
      </c>
      <c r="Y362" s="385">
        <f t="shared" si="138"/>
        <v>16.04558028429059</v>
      </c>
      <c r="Z362" s="385">
        <f t="shared" si="139"/>
        <v>17.314903327043638</v>
      </c>
      <c r="AA362" s="386">
        <f t="shared" si="140"/>
        <v>18.573670220255142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6.7771575476707896E-2</v>
      </c>
      <c r="AD362" s="231">
        <f>(INDEX(Models!$BJ362:$BT362,,AH362)*(1-AF362)+INDEX(Models!$BJ362:$BT362,,AH362+1)*AF362-ERP_i)*AE362*Ramure*Pc/MaxiM</f>
        <v>1.3624921030391673E-3</v>
      </c>
      <c r="AE362" s="305">
        <f t="shared" si="142"/>
        <v>0.5</v>
      </c>
      <c r="AF362" s="177">
        <f t="shared" si="143"/>
        <v>0.99732407353203545</v>
      </c>
      <c r="AG362" s="811">
        <f t="shared" si="149"/>
        <v>2</v>
      </c>
      <c r="AH362" s="176">
        <f t="shared" si="144"/>
        <v>8</v>
      </c>
      <c r="AI362" s="225">
        <f t="shared" si="145"/>
        <v>2.9973240735320354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5.5651387877621961</v>
      </c>
      <c r="C363" s="841"/>
      <c r="D363" s="393">
        <f t="shared" si="127"/>
        <v>6.0055136042697539</v>
      </c>
      <c r="E363" s="385">
        <f t="shared" si="150"/>
        <v>6.1659246208135636</v>
      </c>
      <c r="F363" s="385">
        <f t="shared" si="128"/>
        <v>6.1659246208135636</v>
      </c>
      <c r="G363" s="110">
        <f t="shared" si="151"/>
        <v>0.24996914038791715</v>
      </c>
      <c r="H363" s="414" t="b">
        <f>Wh_hp&gt;='2026'!Maxi_hp</f>
        <v>0</v>
      </c>
      <c r="I363" s="390">
        <f>IF(H363,Wh_hp,'2026'!Maxi_hp)</f>
        <v>25.557265904120406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7.3328418770788217E-2</v>
      </c>
      <c r="M363" s="845"/>
      <c r="N363" s="845"/>
      <c r="O363" s="48">
        <f>IF(t&lt;Tnet,'2026'!Resal+('2026'!Salim-'2026'!Resal)*(1-EXP(('2026'!Tnet-t)/('2026'!Tau_j))),Resal+(Salim-Resal)*(1-EXP((Tnet-t)/(Tau_j))))*Salcycl</f>
        <v>2.6015727795686928E-2</v>
      </c>
      <c r="P363" s="169">
        <f>(INDEX(Models!$BJ363:$BT363,,T363)*(1-R363)+INDEX(Models!$BJ363:$BT363,,T363+1)*R363-ERP_i)*Q363*Ramure*Pc/MaxiM</f>
        <v>2.4269005015989774E-4</v>
      </c>
      <c r="Q363" s="305">
        <f t="shared" si="130"/>
        <v>0.5</v>
      </c>
      <c r="R363" s="177">
        <f t="shared" si="131"/>
        <v>0.47234576923731297</v>
      </c>
      <c r="S363" s="811">
        <f t="shared" si="132"/>
        <v>-1</v>
      </c>
      <c r="T363" s="176">
        <f t="shared" si="133"/>
        <v>5</v>
      </c>
      <c r="U363" s="251">
        <f t="shared" si="134"/>
        <v>-0.52765423076268703</v>
      </c>
      <c r="V363" s="383">
        <f t="shared" si="135"/>
        <v>22.257900216468425</v>
      </c>
      <c r="W363" s="402">
        <f t="shared" si="136"/>
        <v>5.5651387877621961</v>
      </c>
      <c r="X363" s="157">
        <f t="shared" si="137"/>
        <v>46736</v>
      </c>
      <c r="Y363" s="385">
        <f t="shared" si="138"/>
        <v>5.3263944913543968</v>
      </c>
      <c r="Z363" s="385">
        <f t="shared" si="139"/>
        <v>5.7478772407038079</v>
      </c>
      <c r="AA363" s="386">
        <f t="shared" si="140"/>
        <v>6.1659246208135636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6.77996254930857E-2</v>
      </c>
      <c r="AD363" s="231">
        <f>(INDEX(Models!$BJ363:$BT363,,AH363)*(1-AF363)+INDEX(Models!$BJ363:$BT363,,AH363+1)*AF363-ERP_i)*AE363*Ramure*Pc/MaxiM</f>
        <v>1.3641012592818151E-3</v>
      </c>
      <c r="AE363" s="305">
        <f t="shared" si="142"/>
        <v>0.5</v>
      </c>
      <c r="AF363" s="177">
        <f t="shared" si="143"/>
        <v>0.99733333561129189</v>
      </c>
      <c r="AG363" s="811">
        <f t="shared" si="149"/>
        <v>2</v>
      </c>
      <c r="AH363" s="176">
        <f t="shared" si="144"/>
        <v>8</v>
      </c>
      <c r="AI363" s="225">
        <f t="shared" si="145"/>
        <v>2.9973333356112919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4.7419386354894542</v>
      </c>
      <c r="C364" s="841"/>
      <c r="D364" s="393">
        <f t="shared" si="127"/>
        <v>5.1172849091800936</v>
      </c>
      <c r="E364" s="385">
        <f t="shared" si="150"/>
        <v>5.2543894294558333</v>
      </c>
      <c r="F364" s="385">
        <f t="shared" si="128"/>
        <v>5.2543894294558333</v>
      </c>
      <c r="G364" s="110">
        <f t="shared" si="151"/>
        <v>0.21337031777622975</v>
      </c>
      <c r="H364" s="414" t="b">
        <f>Wh_hp&gt;='2026'!Maxi_hp</f>
        <v>0</v>
      </c>
      <c r="I364" s="390">
        <f>IF(H364,Wh_hp,'2026'!Maxi_hp)</f>
        <v>25.18523938599883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7.3348715256657093E-2</v>
      </c>
      <c r="M364" s="845"/>
      <c r="N364" s="845"/>
      <c r="O364" s="48">
        <f>IF(t&lt;Tnet,'2026'!Resal+('2026'!Salim-'2026'!Resal)*(1-EXP(('2026'!Tnet-t)/('2026'!Tau_j))),Resal+(Salim-Resal)*(1-EXP((Tnet-t)/(Tau_j))))*Salcycl</f>
        <v>2.60933305603765E-2</v>
      </c>
      <c r="P364" s="169">
        <f>(INDEX(Models!$BJ364:$BT364,,T364)*(1-R364)+INDEX(Models!$BJ364:$BT364,,T364+1)*R364-ERP_i)*Q364*Ramure*Pc/MaxiM</f>
        <v>2.425096963477167E-4</v>
      </c>
      <c r="Q364" s="305">
        <f t="shared" si="130"/>
        <v>0.5</v>
      </c>
      <c r="R364" s="177">
        <f t="shared" si="131"/>
        <v>0.47235465872065818</v>
      </c>
      <c r="S364" s="811">
        <f t="shared" si="132"/>
        <v>-1</v>
      </c>
      <c r="T364" s="176">
        <f t="shared" si="133"/>
        <v>5</v>
      </c>
      <c r="U364" s="251">
        <f t="shared" si="134"/>
        <v>-0.52764534127934182</v>
      </c>
      <c r="V364" s="383">
        <f t="shared" si="135"/>
        <v>22.218594970471589</v>
      </c>
      <c r="W364" s="402">
        <f t="shared" si="136"/>
        <v>4.7419386354894542</v>
      </c>
      <c r="X364" s="157">
        <f t="shared" si="137"/>
        <v>46737</v>
      </c>
      <c r="Y364" s="385">
        <f t="shared" si="138"/>
        <v>4.538731245306229</v>
      </c>
      <c r="Z364" s="385">
        <f t="shared" si="139"/>
        <v>4.8979927185482008</v>
      </c>
      <c r="AA364" s="386">
        <f t="shared" si="140"/>
        <v>5.2543894294558333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6.7828377719719737E-2</v>
      </c>
      <c r="AD364" s="231">
        <f>(INDEX(Models!$BJ364:$BT364,,AH364)*(1-AF364)+INDEX(Models!$BJ364:$BT364,,AH364+1)*AF364-ERP_i)*AE364*Ramure*Pc/MaxiM</f>
        <v>1.3652284543420447E-3</v>
      </c>
      <c r="AE364" s="305">
        <f t="shared" si="142"/>
        <v>0.5</v>
      </c>
      <c r="AF364" s="177">
        <f t="shared" si="143"/>
        <v>0.99734222509463688</v>
      </c>
      <c r="AG364" s="811">
        <f t="shared" si="149"/>
        <v>2</v>
      </c>
      <c r="AH364" s="176">
        <f t="shared" si="144"/>
        <v>8</v>
      </c>
      <c r="AI364" s="225">
        <f t="shared" si="145"/>
        <v>2.9973422250946369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3.4652365163289538</v>
      </c>
      <c r="C365" s="841"/>
      <c r="D365" s="393">
        <f t="shared" si="127"/>
        <v>3.7396078466821976</v>
      </c>
      <c r="E365" s="385">
        <f t="shared" si="150"/>
        <v>3.8401076924952333</v>
      </c>
      <c r="F365" s="385">
        <f t="shared" si="128"/>
        <v>3.8401076924952333</v>
      </c>
      <c r="G365" s="110">
        <f t="shared" si="151"/>
        <v>0.1561242162549478</v>
      </c>
      <c r="H365" s="414" t="b">
        <f>Wh_hp&gt;='2026'!Maxi_hp</f>
        <v>0</v>
      </c>
      <c r="I365" s="390">
        <f>IF(H365,Wh_hp,'2026'!Maxi_hp)</f>
        <v>25.601732712427946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7.3369011297980791E-2</v>
      </c>
      <c r="M365" s="845"/>
      <c r="N365" s="845"/>
      <c r="O365" s="48">
        <f>IF(t&lt;Tnet,'2026'!Resal+('2026'!Salim-'2026'!Resal)*(1-EXP(('2026'!Tnet-t)/('2026'!Tau_j))),Resal+(Salim-Resal)*(1-EXP((Tnet-t)/(Tau_j))))*Salcycl</f>
        <v>2.6171100880697674E-2</v>
      </c>
      <c r="P365" s="169">
        <f>(INDEX(Models!$BJ365:$BT365,,T365)*(1-R365)+INDEX(Models!$BJ365:$BT365,,T365+1)*R365-ERP_i)*Q365*Ramure*Pc/MaxiM</f>
        <v>2.4235151425959107E-4</v>
      </c>
      <c r="Q365" s="305">
        <f t="shared" si="130"/>
        <v>0.5</v>
      </c>
      <c r="R365" s="177">
        <f t="shared" si="131"/>
        <v>0.47236319058447063</v>
      </c>
      <c r="S365" s="811">
        <f t="shared" si="132"/>
        <v>-1</v>
      </c>
      <c r="T365" s="176">
        <f t="shared" si="133"/>
        <v>5</v>
      </c>
      <c r="U365" s="251">
        <f t="shared" si="134"/>
        <v>-0.52763680941552937</v>
      </c>
      <c r="V365" s="383">
        <f t="shared" si="135"/>
        <v>22.190002256630461</v>
      </c>
      <c r="W365" s="402">
        <f t="shared" si="136"/>
        <v>3.4652365163289538</v>
      </c>
      <c r="X365" s="157">
        <f t="shared" si="137"/>
        <v>46738</v>
      </c>
      <c r="Y365" s="385">
        <f t="shared" si="138"/>
        <v>3.3169001511633476</v>
      </c>
      <c r="Z365" s="385">
        <f t="shared" si="139"/>
        <v>3.5795264691174467</v>
      </c>
      <c r="AA365" s="386">
        <f t="shared" si="140"/>
        <v>3.8401076924952333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6.7857790521615696E-2</v>
      </c>
      <c r="AD365" s="231">
        <f>(INDEX(Models!$BJ365:$BT365,,AH365)*(1-AF365)+INDEX(Models!$BJ365:$BT365,,AH365+1)*AF365-ERP_i)*AE365*Ramure*Pc/MaxiM</f>
        <v>1.3658476153855551E-3</v>
      </c>
      <c r="AE365" s="305">
        <f t="shared" si="142"/>
        <v>0.5</v>
      </c>
      <c r="AF365" s="177">
        <f t="shared" si="143"/>
        <v>0.99735075695844966</v>
      </c>
      <c r="AG365" s="811">
        <f t="shared" si="149"/>
        <v>2</v>
      </c>
      <c r="AH365" s="176">
        <f t="shared" si="144"/>
        <v>8</v>
      </c>
      <c r="AI365" s="225">
        <f t="shared" si="145"/>
        <v>2.9973507569584497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20.807834489937861</v>
      </c>
      <c r="C366" s="841"/>
      <c r="D366" s="393">
        <f t="shared" si="127"/>
        <v>22.455854054745739</v>
      </c>
      <c r="E366" s="385">
        <f t="shared" si="150"/>
        <v>23.061187744540966</v>
      </c>
      <c r="F366" s="385">
        <f t="shared" si="128"/>
        <v>23.066283374702959</v>
      </c>
      <c r="G366" s="110">
        <f t="shared" si="151"/>
        <v>0.93843852127534499</v>
      </c>
      <c r="H366" s="414" t="b">
        <f>Wh_hp&gt;='2026'!Maxi_hp</f>
        <v>0</v>
      </c>
      <c r="I366" s="390">
        <f>IF(H366,Wh_hp,'2026'!Maxi_hp)</f>
        <v>25.724211482819697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7.338930689476908E-2</v>
      </c>
      <c r="M366" s="845"/>
      <c r="N366" s="845"/>
      <c r="O366" s="48">
        <f>IF(t&lt;Tnet,'2026'!Resal+('2026'!Salim-'2026'!Resal)*(1-EXP(('2026'!Tnet-t)/('2026'!Tau_j))),Resal+(Salim-Resal)*(1-EXP((Tnet-t)/(Tau_j))))*Salcycl</f>
        <v>2.6249024833446443E-2</v>
      </c>
      <c r="P366" s="169">
        <f>(INDEX(Models!$BJ366:$BT366,,T366)*(1-R366)+INDEX(Models!$BJ366:$BT366,,T366+1)*R366-ERP_i)*Q366*Ramure*Pc/MaxiM</f>
        <v>2.4220641248570379E-4</v>
      </c>
      <c r="Q366" s="305">
        <f t="shared" si="130"/>
        <v>0.5</v>
      </c>
      <c r="R366" s="177">
        <f t="shared" si="131"/>
        <v>0.47237137920413996</v>
      </c>
      <c r="S366" s="811">
        <f t="shared" si="132"/>
        <v>-1</v>
      </c>
      <c r="T366" s="176">
        <f t="shared" si="133"/>
        <v>5</v>
      </c>
      <c r="U366" s="251">
        <f t="shared" si="134"/>
        <v>-0.52762862079586004</v>
      </c>
      <c r="V366" s="383">
        <f t="shared" si="135"/>
        <v>22.172354224549771</v>
      </c>
      <c r="W366" s="402">
        <f t="shared" si="136"/>
        <v>20.807834489937861</v>
      </c>
      <c r="X366" s="157">
        <f t="shared" si="137"/>
        <v>46739</v>
      </c>
      <c r="Y366" s="385">
        <f t="shared" si="138"/>
        <v>19.897648799038834</v>
      </c>
      <c r="Z366" s="385">
        <f t="shared" si="139"/>
        <v>21.473579947969746</v>
      </c>
      <c r="AA366" s="386">
        <f t="shared" si="140"/>
        <v>23.037548977872895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6.7887822242084381E-2</v>
      </c>
      <c r="AD366" s="231">
        <f>(INDEX(Models!$BJ366:$BT366,,AH366)*(1-AF366)+INDEX(Models!$BJ366:$BT366,,AH366+1)*AF366-ERP_i)*AE366*Ramure*Pc/MaxiM</f>
        <v>1.365808535921486E-3</v>
      </c>
      <c r="AE366" s="305">
        <f t="shared" si="142"/>
        <v>0.5</v>
      </c>
      <c r="AF366" s="177">
        <f t="shared" si="143"/>
        <v>0.99735894557811866</v>
      </c>
      <c r="AG366" s="811">
        <f t="shared" si="149"/>
        <v>2</v>
      </c>
      <c r="AH366" s="176">
        <f t="shared" si="144"/>
        <v>8</v>
      </c>
      <c r="AI366" s="225">
        <f t="shared" si="145"/>
        <v>2.9973589455781187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16.838436723189499</v>
      </c>
      <c r="C367" s="841"/>
      <c r="D367" s="393">
        <f t="shared" si="127"/>
        <v>18.172470554831047</v>
      </c>
      <c r="E367" s="385">
        <f t="shared" si="150"/>
        <v>18.663834988714473</v>
      </c>
      <c r="F367" s="385">
        <f t="shared" si="128"/>
        <v>18.666800877693969</v>
      </c>
      <c r="G367" s="110">
        <f t="shared" si="151"/>
        <v>0.75959238544585916</v>
      </c>
      <c r="H367" s="414" t="b">
        <f>Wh_hp&gt;='2026'!Maxi_hp</f>
        <v>0</v>
      </c>
      <c r="I367" s="390">
        <f>IF(H367,Wh_hp,'2026'!Maxi_hp)</f>
        <v>25.408167099175618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7.340960204703173E-2</v>
      </c>
      <c r="M367" s="845"/>
      <c r="N367" s="845"/>
      <c r="O367" s="48">
        <f>IF(t&lt;Tnet,'2026'!Resal+('2026'!Salim-'2026'!Resal)*(1-EXP(('2026'!Tnet-t)/('2026'!Tau_j))),Resal+(Salim-Resal)*(1-EXP((Tnet-t)/(Tau_j))))*Salcycl</f>
        <v>2.6327088413530257E-2</v>
      </c>
      <c r="P367" s="169">
        <f>(INDEX(Models!$BJ367:$BT367,,T367)*(1-R367)+INDEX(Models!$BJ367:$BT367,,T367+1)*R367-ERP_i)*Q367*Ramure*Pc/MaxiM</f>
        <v>2.419638959277951E-4</v>
      </c>
      <c r="Q367" s="305">
        <f t="shared" si="130"/>
        <v>0.5</v>
      </c>
      <c r="R367" s="177">
        <f t="shared" si="131"/>
        <v>0.47237923837810614</v>
      </c>
      <c r="S367" s="811">
        <f t="shared" si="132"/>
        <v>-1</v>
      </c>
      <c r="T367" s="176">
        <f t="shared" si="133"/>
        <v>5</v>
      </c>
      <c r="U367" s="251">
        <f t="shared" si="134"/>
        <v>-0.52762076162189386</v>
      </c>
      <c r="V367" s="383">
        <f t="shared" si="135"/>
        <v>22.165885174312557</v>
      </c>
      <c r="W367" s="402">
        <f t="shared" si="136"/>
        <v>16.838436723189499</v>
      </c>
      <c r="X367" s="157">
        <f t="shared" si="137"/>
        <v>46740</v>
      </c>
      <c r="Y367" s="385">
        <f t="shared" si="138"/>
        <v>16.107278166335995</v>
      </c>
      <c r="Z367" s="385">
        <f t="shared" si="139"/>
        <v>17.383385584310325</v>
      </c>
      <c r="AA367" s="386">
        <f t="shared" si="140"/>
        <v>18.650069018607166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6.7918431456369999E-2</v>
      </c>
      <c r="AD367" s="231">
        <f>(INDEX(Models!$BJ367:$BT367,,AH367)*(1-AF367)+INDEX(Models!$BJ367:$BT367,,AH367+1)*AF367-ERP_i)*AE367*Ramure*Pc/MaxiM</f>
        <v>1.3650227094633796E-3</v>
      </c>
      <c r="AE367" s="305">
        <f t="shared" si="142"/>
        <v>0.5</v>
      </c>
      <c r="AF367" s="177">
        <f t="shared" si="143"/>
        <v>0.99736680475208495</v>
      </c>
      <c r="AG367" s="811">
        <f t="shared" si="149"/>
        <v>2</v>
      </c>
      <c r="AH367" s="176">
        <f t="shared" si="144"/>
        <v>8</v>
      </c>
      <c r="AI367" s="225">
        <f t="shared" si="145"/>
        <v>2.9973668047520849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4.4264068080705892</v>
      </c>
      <c r="C368" s="841"/>
      <c r="D368" s="393">
        <f t="shared" si="127"/>
        <v>4.7771958026354735</v>
      </c>
      <c r="E368" s="385">
        <f t="shared" si="150"/>
        <v>4.9067601671140109</v>
      </c>
      <c r="F368" s="385">
        <f t="shared" si="128"/>
        <v>4.9067601671140109</v>
      </c>
      <c r="G368" s="110">
        <f t="shared" si="151"/>
        <v>0.19960181523323739</v>
      </c>
      <c r="H368" s="414" t="b">
        <f>Wh_hp&gt;='2026'!Maxi_hp</f>
        <v>0</v>
      </c>
      <c r="I368" s="390">
        <f>IF(H368,Wh_hp,'2026'!Maxi_hp)</f>
        <v>22.549218247197125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7.3429896754778512E-2</v>
      </c>
      <c r="M368" s="845"/>
      <c r="N368" s="845"/>
      <c r="O368" s="48">
        <f>IF(t&lt;Tnet,'2026'!Resal+('2026'!Salim-'2026'!Resal)*(1-EXP(('2026'!Tnet-t)/('2026'!Tau_j))),Resal+(Salim-Resal)*(1-EXP((Tnet-t)/(Tau_j))))*Salcycl</f>
        <v>2.6405277630421192E-2</v>
      </c>
      <c r="P368" s="169">
        <f>(INDEX(Models!$BJ368:$BT368,,T368)*(1-R368)+INDEX(Models!$BJ368:$BT368,,T368+1)*R368-ERP_i)*Q368*Ramure*Pc/MaxiM</f>
        <v>2.4162029918522676E-4</v>
      </c>
      <c r="Q368" s="305">
        <f t="shared" si="130"/>
        <v>0.5</v>
      </c>
      <c r="R368" s="177">
        <f t="shared" si="131"/>
        <v>0.47238678135094447</v>
      </c>
      <c r="S368" s="811">
        <f t="shared" si="132"/>
        <v>-1</v>
      </c>
      <c r="T368" s="176">
        <f t="shared" si="133"/>
        <v>5</v>
      </c>
      <c r="U368" s="251">
        <f t="shared" si="134"/>
        <v>-0.52761321864905553</v>
      </c>
      <c r="V368" s="383">
        <f t="shared" si="135"/>
        <v>22.170826919395704</v>
      </c>
      <c r="W368" s="402">
        <f t="shared" si="136"/>
        <v>4.4264068080705892</v>
      </c>
      <c r="X368" s="157">
        <f t="shared" si="137"/>
        <v>46741</v>
      </c>
      <c r="Y368" s="385">
        <f t="shared" si="138"/>
        <v>4.237527425006248</v>
      </c>
      <c r="Z368" s="385">
        <f t="shared" si="139"/>
        <v>4.5733478882652498</v>
      </c>
      <c r="AA368" s="386">
        <f t="shared" si="140"/>
        <v>4.9067601671140109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6.7949577214584528E-2</v>
      </c>
      <c r="AD368" s="231">
        <f>(INDEX(Models!$BJ368:$BT368,,AH368)*(1-AF368)+INDEX(Models!$BJ368:$BT368,,AH368+1)*AF368-ERP_i)*AE368*Ramure*Pc/MaxiM</f>
        <v>1.3634694778844804E-3</v>
      </c>
      <c r="AE368" s="305">
        <f t="shared" si="142"/>
        <v>0.5</v>
      </c>
      <c r="AF368" s="177">
        <f t="shared" si="143"/>
        <v>0.99737434772492328</v>
      </c>
      <c r="AG368" s="811">
        <f t="shared" si="149"/>
        <v>2</v>
      </c>
      <c r="AH368" s="176">
        <f t="shared" si="144"/>
        <v>8</v>
      </c>
      <c r="AI368" s="225">
        <f t="shared" si="145"/>
        <v>2.9973743477249233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19.962930483830732</v>
      </c>
      <c r="C369" s="841"/>
      <c r="D369" s="393">
        <f t="shared" si="127"/>
        <v>21.545447735577657</v>
      </c>
      <c r="E369" s="385">
        <f t="shared" si="150"/>
        <v>22.131570933975556</v>
      </c>
      <c r="F369" s="385">
        <f t="shared" si="128"/>
        <v>22.136144925554202</v>
      </c>
      <c r="G369" s="110">
        <f t="shared" si="151"/>
        <v>0.89971022830634018</v>
      </c>
      <c r="H369" s="414" t="b">
        <f>Wh_hp&gt;='2026'!Maxi_hp</f>
        <v>0</v>
      </c>
      <c r="I369" s="390">
        <f>IF(H369,Wh_hp,'2026'!Maxi_hp)</f>
        <v>22.13670613532959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7.3450191018019084E-2</v>
      </c>
      <c r="M369" s="845"/>
      <c r="N369" s="845"/>
      <c r="O369" s="48">
        <f>IF(t&lt;Tnet,'2026'!Resal+('2026'!Salim-'2026'!Resal)*(1-EXP(('2026'!Tnet-t)/('2026'!Tau_j))),Resal+(Salim-Resal)*(1-EXP((Tnet-t)/(Tau_j))))*Salcycl</f>
        <v>2.6483578601196506E-2</v>
      </c>
      <c r="P369" s="169">
        <f>(INDEX(Models!$BJ369:$BT369,,T369)*(1-R369)+INDEX(Models!$BJ369:$BT369,,T369+1)*R369-ERP_i)*Q369*Ramure*Pc/MaxiM</f>
        <v>2.411723107232861E-4</v>
      </c>
      <c r="Q369" s="305">
        <f t="shared" si="130"/>
        <v>0.5</v>
      </c>
      <c r="R369" s="177">
        <f t="shared" si="131"/>
        <v>0.47239402083553139</v>
      </c>
      <c r="S369" s="811">
        <f t="shared" si="132"/>
        <v>-1</v>
      </c>
      <c r="T369" s="176">
        <f t="shared" si="133"/>
        <v>5</v>
      </c>
      <c r="U369" s="251">
        <f t="shared" si="134"/>
        <v>-0.52760597916446861</v>
      </c>
      <c r="V369" s="383">
        <f t="shared" si="135"/>
        <v>22.187411176933978</v>
      </c>
      <c r="W369" s="402">
        <f t="shared" si="136"/>
        <v>19.962930483830732</v>
      </c>
      <c r="X369" s="157">
        <f t="shared" si="137"/>
        <v>46742</v>
      </c>
      <c r="Y369" s="385">
        <f t="shared" si="138"/>
        <v>19.093637049933765</v>
      </c>
      <c r="Z369" s="385">
        <f t="shared" si="139"/>
        <v>20.607242983420754</v>
      </c>
      <c r="AA369" s="386">
        <f t="shared" si="140"/>
        <v>22.110330188122035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6.7981219272282067E-2</v>
      </c>
      <c r="AD369" s="231">
        <f>(INDEX(Models!$BJ369:$BT369,,AH369)*(1-AF369)+INDEX(Models!$BJ369:$BT369,,AH369+1)*AF369-ERP_i)*AE369*Ramure*Pc/MaxiM</f>
        <v>1.3611305946203132E-3</v>
      </c>
      <c r="AE369" s="305">
        <f t="shared" si="142"/>
        <v>0.5</v>
      </c>
      <c r="AF369" s="177">
        <f t="shared" si="143"/>
        <v>0.9973815872095102</v>
      </c>
      <c r="AG369" s="811">
        <f t="shared" si="149"/>
        <v>2</v>
      </c>
      <c r="AH369" s="176">
        <f t="shared" si="144"/>
        <v>8</v>
      </c>
      <c r="AI369" s="225">
        <f t="shared" si="145"/>
        <v>2.9973815872095102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16.497648324497835</v>
      </c>
      <c r="C370" s="841"/>
      <c r="D370" s="393">
        <f t="shared" si="127"/>
        <v>17.805852975543111</v>
      </c>
      <c r="E370" s="385">
        <f t="shared" si="150"/>
        <v>18.291717157672796</v>
      </c>
      <c r="F370" s="385">
        <f t="shared" si="128"/>
        <v>18.294500499818586</v>
      </c>
      <c r="G370" s="110">
        <f t="shared" si="151"/>
        <v>0.74254075062898894</v>
      </c>
      <c r="H370" s="414" t="b">
        <f>Wh_hp&gt;='2026'!Maxi_hp</f>
        <v>0</v>
      </c>
      <c r="I370" s="390">
        <f>IF(H370,Wh_hp,'2026'!Maxi_hp)</f>
        <v>25.041754314682116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7.3470484836763217E-2</v>
      </c>
      <c r="M370" s="845"/>
      <c r="N370" s="845"/>
      <c r="O370" s="48">
        <f>IF(t&lt;Tnet,'2026'!Resal+('2026'!Salim-'2026'!Resal)*(1-EXP(('2026'!Tnet-t)/('2026'!Tau_j))),Resal+(Salim-Resal)*(1-EXP((Tnet-t)/(Tau_j))))*Salcycl</f>
        <v>2.6561977639473856E-2</v>
      </c>
      <c r="P370" s="169">
        <f>(INDEX(Models!$BJ370:$BT370,,T370)*(1-R370)+INDEX(Models!$BJ370:$BT370,,T370+1)*R370-ERP_i)*Q370*Ramure*Pc/MaxiM</f>
        <v>2.406170110675507E-4</v>
      </c>
      <c r="Q370" s="305">
        <f t="shared" si="130"/>
        <v>0.5</v>
      </c>
      <c r="R370" s="177">
        <f t="shared" si="131"/>
        <v>0.47240096903432871</v>
      </c>
      <c r="S370" s="811">
        <f t="shared" si="132"/>
        <v>-1</v>
      </c>
      <c r="T370" s="176">
        <f t="shared" si="133"/>
        <v>5</v>
      </c>
      <c r="U370" s="251">
        <f t="shared" si="134"/>
        <v>-0.52759903096567129</v>
      </c>
      <c r="V370" s="383">
        <f t="shared" si="135"/>
        <v>22.215869554621463</v>
      </c>
      <c r="W370" s="402">
        <f t="shared" si="136"/>
        <v>16.497648324497835</v>
      </c>
      <c r="X370" s="157">
        <f t="shared" si="137"/>
        <v>46743</v>
      </c>
      <c r="Y370" s="385">
        <f t="shared" si="138"/>
        <v>15.783977521940656</v>
      </c>
      <c r="Z370" s="385">
        <f t="shared" si="139"/>
        <v>17.03559062461148</v>
      </c>
      <c r="AA370" s="386">
        <f t="shared" si="140"/>
        <v>18.278791917571258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6.8013318307141371E-2</v>
      </c>
      <c r="AD370" s="231">
        <f>(INDEX(Models!$BJ370:$BT370,,AH370)*(1-AF370)+INDEX(Models!$BJ370:$BT370,,AH370+1)*AF370-ERP_i)*AE370*Ramure*Pc/MaxiM</f>
        <v>1.3579904699025653E-3</v>
      </c>
      <c r="AE370" s="305">
        <f t="shared" si="142"/>
        <v>0.5</v>
      </c>
      <c r="AF370" s="177">
        <f t="shared" si="143"/>
        <v>0.99738853540830741</v>
      </c>
      <c r="AG370" s="811">
        <f t="shared" si="149"/>
        <v>2</v>
      </c>
      <c r="AH370" s="176">
        <f t="shared" si="144"/>
        <v>8</v>
      </c>
      <c r="AI370" s="225">
        <f t="shared" si="145"/>
        <v>2.9973885354083074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17.036789314316824</v>
      </c>
      <c r="C371" s="841"/>
      <c r="D371" s="393">
        <f t="shared" si="127"/>
        <v>18.388148669929915</v>
      </c>
      <c r="E371" s="385">
        <f t="shared" si="150"/>
        <v>18.891424945849685</v>
      </c>
      <c r="F371" s="385">
        <f t="shared" si="128"/>
        <v>18.894439729043114</v>
      </c>
      <c r="G371" s="110">
        <f t="shared" si="151"/>
        <v>0.76541551154902066</v>
      </c>
      <c r="H371" s="414" t="b">
        <f>Wh_hp&gt;='2026'!Maxi_hp</f>
        <v>0</v>
      </c>
      <c r="I371" s="390">
        <f>IF(H371,Wh_hp,'2026'!Maxi_hp)</f>
        <v>19.829576058520093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7.3490778211020569E-2</v>
      </c>
      <c r="M371" s="845"/>
      <c r="N371" s="845"/>
      <c r="O371" s="48">
        <f>IF(t&lt;Tnet,'2026'!Resal+('2026'!Salim-'2026'!Resal)*(1-EXP(('2026'!Tnet-t)/('2026'!Tau_j))),Resal+(Salim-Resal)*(1-EXP((Tnet-t)/(Tau_j))))*Salcycl</f>
        <v>2.6640461339594995E-2</v>
      </c>
      <c r="P371" s="169">
        <f>(INDEX(Models!$BJ371:$BT371,,T371)*(1-R371)+INDEX(Models!$BJ371:$BT371,,T371+1)*R371-ERP_i)*Q371*Ramure*Pc/MaxiM</f>
        <v>2.399505917850963E-4</v>
      </c>
      <c r="Q371" s="305">
        <f t="shared" si="130"/>
        <v>0.5</v>
      </c>
      <c r="R371" s="177">
        <f t="shared" si="131"/>
        <v>0.47240096903432871</v>
      </c>
      <c r="S371" s="811">
        <f t="shared" si="132"/>
        <v>-1</v>
      </c>
      <c r="T371" s="176">
        <f t="shared" si="133"/>
        <v>5</v>
      </c>
      <c r="U371" s="251">
        <f t="shared" si="134"/>
        <v>-0.52759903096567129</v>
      </c>
      <c r="V371" s="383">
        <f t="shared" si="135"/>
        <v>22.256433569559562</v>
      </c>
      <c r="W371" s="402">
        <f t="shared" si="136"/>
        <v>17.036789314316824</v>
      </c>
      <c r="X371" s="157">
        <f t="shared" si="137"/>
        <v>46744</v>
      </c>
      <c r="Y371" s="385">
        <f t="shared" si="138"/>
        <v>16.299981361392653</v>
      </c>
      <c r="Z371" s="385">
        <f t="shared" si="139"/>
        <v>17.592897057105727</v>
      </c>
      <c r="AA371" s="386">
        <f t="shared" si="140"/>
        <v>18.877427387489011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6.8045836120371142E-2</v>
      </c>
      <c r="AD371" s="231">
        <f>(INDEX(Models!$BJ371:$BT371,,AH371)*(1-AF371)+INDEX(Models!$BJ371:$BT371,,AH371+1)*AF371-ERP_i)*AE371*Ramure*Pc/MaxiM</f>
        <v>1.3540348216262948E-3</v>
      </c>
      <c r="AE371" s="305">
        <f t="shared" si="142"/>
        <v>0.5</v>
      </c>
      <c r="AF371" s="177">
        <f t="shared" si="143"/>
        <v>0.99738853540830741</v>
      </c>
      <c r="AG371" s="811">
        <f t="shared" si="149"/>
        <v>2</v>
      </c>
      <c r="AH371" s="176">
        <f t="shared" si="144"/>
        <v>8</v>
      </c>
      <c r="AI371" s="225">
        <f t="shared" si="145"/>
        <v>2.9973885354083074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20.473614408303394</v>
      </c>
      <c r="C372" s="841"/>
      <c r="D372" s="393">
        <f t="shared" si="127"/>
        <v>22.098066982314503</v>
      </c>
      <c r="E372" s="385">
        <f t="shared" si="150"/>
        <v>22.704714630689431</v>
      </c>
      <c r="F372" s="385">
        <f t="shared" si="128"/>
        <v>22.709507640660817</v>
      </c>
      <c r="G372" s="110">
        <f t="shared" si="151"/>
        <v>0.9176893464053788</v>
      </c>
      <c r="H372" s="414" t="b">
        <f>Wh_hp&gt;='2026'!Maxi_hp</f>
        <v>0</v>
      </c>
      <c r="I372" s="390">
        <f>IF(H372,Wh_hp,'2026'!Maxi_hp)</f>
        <v>22.709976155997435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7.3511071140801021E-2</v>
      </c>
      <c r="M372" s="845"/>
      <c r="N372" s="845"/>
      <c r="O372" s="48">
        <f>IF(t&lt;Tnet,'2026'!Resal+('2026'!Salim-'2026'!Resal)*(1-EXP(('2026'!Tnet-t)/('2026'!Tau_j))),Resal+(Salim-Resal)*(1-EXP((Tnet-t)/(Tau_j))))*Salcycl</f>
        <v>2.6719016655463064E-2</v>
      </c>
      <c r="P372" s="169">
        <f>(INDEX(Models!$BJ372:$BT372,,T372)*(1-R372)+INDEX(Models!$BJ372:$BT372,,T372+1)*R372-ERP_i)*Q372*Ramure*Pc/MaxiM</f>
        <v>2.3917203511312322E-4</v>
      </c>
      <c r="Q372" s="305">
        <f t="shared" si="130"/>
        <v>0.5</v>
      </c>
      <c r="R372" s="177">
        <f t="shared" si="131"/>
        <v>0.47240096903432871</v>
      </c>
      <c r="S372" s="811">
        <f t="shared" si="132"/>
        <v>-1</v>
      </c>
      <c r="T372" s="176">
        <f t="shared" si="133"/>
        <v>5</v>
      </c>
      <c r="U372" s="251">
        <f t="shared" si="134"/>
        <v>-0.52759903096567129</v>
      </c>
      <c r="V372" s="383">
        <f t="shared" si="135"/>
        <v>22.309334590280624</v>
      </c>
      <c r="W372" s="402">
        <f t="shared" si="136"/>
        <v>20.473614408303394</v>
      </c>
      <c r="X372" s="157">
        <f t="shared" si="137"/>
        <v>46745</v>
      </c>
      <c r="Y372" s="385">
        <f t="shared" si="138"/>
        <v>19.584377575619303</v>
      </c>
      <c r="Z372" s="385">
        <f t="shared" si="139"/>
        <v>21.138274798095935</v>
      </c>
      <c r="AA372" s="386">
        <f t="shared" si="140"/>
        <v>22.682468584652433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6.8078735821608907E-2</v>
      </c>
      <c r="AD372" s="231">
        <f>(INDEX(Models!$BJ372:$BT372,,AH372)*(1-AF372)+INDEX(Models!$BJ372:$BT372,,AH372+1)*AF372-ERP_i)*AE372*Ramure*Pc/MaxiM</f>
        <v>1.3492536196818723E-3</v>
      </c>
      <c r="AE372" s="305">
        <f t="shared" si="142"/>
        <v>0.5</v>
      </c>
      <c r="AF372" s="177">
        <f t="shared" si="143"/>
        <v>0.99738853540830741</v>
      </c>
      <c r="AG372" s="811">
        <f t="shared" si="149"/>
        <v>2</v>
      </c>
      <c r="AH372" s="176">
        <f t="shared" si="144"/>
        <v>8</v>
      </c>
      <c r="AI372" s="225">
        <f t="shared" si="145"/>
        <v>2.9973885354083074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12.181397253489568</v>
      </c>
      <c r="C373" s="841"/>
      <c r="D373" s="393">
        <f t="shared" si="127"/>
        <v>13.14820251354266</v>
      </c>
      <c r="E373" s="385">
        <f t="shared" si="150"/>
        <v>13.510245075435671</v>
      </c>
      <c r="F373" s="385">
        <f t="shared" si="128"/>
        <v>13.511368921897093</v>
      </c>
      <c r="G373" s="110">
        <f t="shared" si="151"/>
        <v>0.54429188370690063</v>
      </c>
      <c r="H373" s="414" t="b">
        <f>Wh_hp&gt;='2026'!Maxi_hp</f>
        <v>0</v>
      </c>
      <c r="I373" s="390">
        <f>IF(H373,Wh_hp,'2026'!Maxi_hp)</f>
        <v>16.332134440633631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7.3531363626114121E-2</v>
      </c>
      <c r="M373" s="845"/>
      <c r="N373" s="845"/>
      <c r="O373" s="48">
        <f>IF(t&lt;Tnet,'2026'!Resal+('2026'!Salim-'2026'!Resal)*(1-EXP(('2026'!Tnet-t)/('2026'!Tau_j))),Resal+(Salim-Resal)*(1-EXP((Tnet-t)/(Tau_j))))*Salcycl</f>
        <v>2.6797630973495534E-2</v>
      </c>
      <c r="P373" s="169">
        <f>(INDEX(Models!$BJ373:$BT373,,T373)*(1-R373)+INDEX(Models!$BJ373:$BT373,,T373+1)*R373-ERP_i)*Q373*Ramure*Pc/MaxiM</f>
        <v>2.3825749041961536E-4</v>
      </c>
      <c r="Q373" s="305">
        <f t="shared" si="130"/>
        <v>0.5</v>
      </c>
      <c r="R373" s="177">
        <f t="shared" si="131"/>
        <v>0.47240096903432871</v>
      </c>
      <c r="S373" s="811">
        <f t="shared" si="132"/>
        <v>-1</v>
      </c>
      <c r="T373" s="176">
        <f t="shared" si="133"/>
        <v>5</v>
      </c>
      <c r="U373" s="251">
        <f t="shared" si="134"/>
        <v>-0.52759903096567129</v>
      </c>
      <c r="V373" s="383">
        <f t="shared" si="135"/>
        <v>22.376795197736925</v>
      </c>
      <c r="W373" s="402">
        <f t="shared" si="136"/>
        <v>12.181397253489568</v>
      </c>
      <c r="X373" s="157">
        <f t="shared" si="137"/>
        <v>46746</v>
      </c>
      <c r="Y373" s="385">
        <f t="shared" si="138"/>
        <v>11.659771931669777</v>
      </c>
      <c r="Z373" s="385">
        <f t="shared" si="139"/>
        <v>12.585177170492317</v>
      </c>
      <c r="AA373" s="386">
        <f t="shared" si="140"/>
        <v>13.505031642591291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6.8111981996250681E-2</v>
      </c>
      <c r="AD373" s="231">
        <f>(INDEX(Models!$BJ373:$BT373,,AH373)*(1-AF373)+INDEX(Models!$BJ373:$BT373,,AH373+1)*AF373-ERP_i)*AE373*Ramure*Pc/MaxiM</f>
        <v>1.3435147195994554E-3</v>
      </c>
      <c r="AE373" s="305">
        <f t="shared" si="142"/>
        <v>0.5</v>
      </c>
      <c r="AF373" s="177">
        <f t="shared" si="143"/>
        <v>0.99738853540830741</v>
      </c>
      <c r="AG373" s="811">
        <f t="shared" si="149"/>
        <v>2</v>
      </c>
      <c r="AH373" s="176">
        <f t="shared" si="144"/>
        <v>8</v>
      </c>
      <c r="AI373" s="225">
        <f t="shared" si="145"/>
        <v>2.9973885354083074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20.757395510955632</v>
      </c>
      <c r="C374" s="841"/>
      <c r="D374" s="393">
        <f t="shared" si="127"/>
        <v>22.405345789569438</v>
      </c>
      <c r="E374" s="385">
        <f t="shared" si="150"/>
        <v>23.024149560330851</v>
      </c>
      <c r="F374" s="385">
        <f t="shared" si="128"/>
        <v>23.029020312947846</v>
      </c>
      <c r="G374" s="110">
        <f t="shared" si="151"/>
        <v>0.92416425187764661</v>
      </c>
      <c r="H374" s="414" t="b">
        <f>Wh_hp&gt;='2026'!Maxi_hp</f>
        <v>0</v>
      </c>
      <c r="I374" s="390">
        <f>IF(H374,Wh_hp,'2026'!Maxi_hp)</f>
        <v>24.2954595694269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7.3551655666969862E-2</v>
      </c>
      <c r="M374" s="845"/>
      <c r="N374" s="845"/>
      <c r="O374" s="48">
        <f>IF(t&lt;Tnet,'2026'!Resal+('2026'!Salim-'2026'!Resal)*(1-EXP(('2026'!Tnet-t)/('2026'!Tau_j))),Resal+(Salim-Resal)*(1-EXP((Tnet-t)/(Tau_j))))*Salcycl</f>
        <v>2.6876292179215687E-2</v>
      </c>
      <c r="P374" s="169">
        <f>(INDEX(Models!$BJ374:$BT374,,T374)*(1-R374)+INDEX(Models!$BJ374:$BT374,,T374+1)*R374-ERP_i)*Q374*Ramure*Pc/MaxiM</f>
        <v>2.3719374704842241E-4</v>
      </c>
      <c r="Q374" s="305">
        <f t="shared" si="130"/>
        <v>0.5</v>
      </c>
      <c r="R374" s="177">
        <f t="shared" si="131"/>
        <v>0.47240096903432871</v>
      </c>
      <c r="S374" s="811">
        <f t="shared" si="132"/>
        <v>-1</v>
      </c>
      <c r="T374" s="176">
        <f t="shared" si="133"/>
        <v>5</v>
      </c>
      <c r="U374" s="251">
        <f t="shared" si="134"/>
        <v>-0.52759903096567129</v>
      </c>
      <c r="V374" s="383">
        <f t="shared" si="135"/>
        <v>22.460143988694018</v>
      </c>
      <c r="W374" s="402">
        <f t="shared" si="136"/>
        <v>20.757395510955632</v>
      </c>
      <c r="X374" s="157">
        <f t="shared" si="137"/>
        <v>46747</v>
      </c>
      <c r="Y374" s="385">
        <f t="shared" si="138"/>
        <v>19.857601174413627</v>
      </c>
      <c r="Z374" s="385">
        <f t="shared" si="139"/>
        <v>21.434115885553808</v>
      </c>
      <c r="AA374" s="386">
        <f t="shared" si="140"/>
        <v>23.001570336643052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6.8145540854320771E-2</v>
      </c>
      <c r="AD374" s="231">
        <f>(INDEX(Models!$BJ374:$BT374,,AH374)*(1-AF374)+INDEX(Models!$BJ374:$BT374,,AH374+1)*AF374-ERP_i)*AE374*Ramure*Pc/MaxiM</f>
        <v>1.3367467510882994E-3</v>
      </c>
      <c r="AE374" s="305">
        <f t="shared" si="142"/>
        <v>0.5</v>
      </c>
      <c r="AF374" s="177">
        <f t="shared" si="143"/>
        <v>0.99738853540830741</v>
      </c>
      <c r="AG374" s="811">
        <f t="shared" si="149"/>
        <v>2</v>
      </c>
      <c r="AH374" s="176">
        <f t="shared" si="144"/>
        <v>8</v>
      </c>
      <c r="AI374" s="225">
        <f t="shared" si="145"/>
        <v>2.9973885354083074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7.4804694552913267</v>
      </c>
      <c r="C375" s="841"/>
      <c r="D375" s="393">
        <f t="shared" si="127"/>
        <v>8.0745282196436001</v>
      </c>
      <c r="E375" s="385">
        <f t="shared" si="150"/>
        <v>8.2982062761902338</v>
      </c>
      <c r="F375" s="385">
        <f t="shared" si="128"/>
        <v>8.2982947388136168</v>
      </c>
      <c r="G375" s="110">
        <f t="shared" si="151"/>
        <v>0.3315317747689695</v>
      </c>
      <c r="H375" s="414" t="b">
        <f>Wh_hp&gt;='2026'!Maxi_hp</f>
        <v>0</v>
      </c>
      <c r="I375" s="390">
        <f>IF(H375,Wh_hp,'2026'!Maxi_hp)</f>
        <v>24.678488393426758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7.3571947263377679E-2</v>
      </c>
      <c r="M375" s="845"/>
      <c r="N375" s="845"/>
      <c r="O375" s="48">
        <f>IF(t&lt;Tnet,'2026'!Resal+('2026'!Salim-'2026'!Resal)*(1-EXP(('2026'!Tnet-t)/('2026'!Tau_j))),Resal+(Salim-Resal)*(1-EXP((Tnet-t)/(Tau_j))))*Salcycl</f>
        <v>2.6954988717070815E-2</v>
      </c>
      <c r="P375" s="169">
        <f>(INDEX(Models!$BJ375:$BT375,,T375)*(1-R375)+INDEX(Models!$BJ375:$BT375,,T375+1)*R375-ERP_i)*Q375*Ramure*Pc/MaxiM</f>
        <v>2.3609791431688517E-4</v>
      </c>
      <c r="Q375" s="305">
        <f t="shared" si="130"/>
        <v>0.5</v>
      </c>
      <c r="R375" s="177">
        <f t="shared" si="131"/>
        <v>0.47240096903432871</v>
      </c>
      <c r="S375" s="811">
        <f t="shared" si="132"/>
        <v>-1</v>
      </c>
      <c r="T375" s="176">
        <f t="shared" si="133"/>
        <v>5</v>
      </c>
      <c r="U375" s="251">
        <f t="shared" si="134"/>
        <v>-0.52759903096567129</v>
      </c>
      <c r="V375" s="383">
        <f t="shared" si="135"/>
        <v>22.558269305012093</v>
      </c>
      <c r="W375" s="402">
        <f t="shared" si="136"/>
        <v>7.4804694552913267</v>
      </c>
      <c r="X375" s="157">
        <f t="shared" si="137"/>
        <v>46748</v>
      </c>
      <c r="Y375" s="385">
        <f t="shared" si="138"/>
        <v>7.163195534353787</v>
      </c>
      <c r="Z375" s="385">
        <f t="shared" si="139"/>
        <v>7.7320581055313085</v>
      </c>
      <c r="AA375" s="386">
        <f t="shared" si="140"/>
        <v>8.2977967460302917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6.8179380360170336E-2</v>
      </c>
      <c r="AD375" s="231">
        <f>(INDEX(Models!$BJ375:$BT375,,AH375)*(1-AF375)+INDEX(Models!$BJ375:$BT375,,AH375+1)*AF375-ERP_i)*AE375*Ramure*Pc/MaxiM</f>
        <v>1.3290930450951274E-3</v>
      </c>
      <c r="AE375" s="305">
        <f t="shared" si="142"/>
        <v>0.5</v>
      </c>
      <c r="AF375" s="177">
        <f t="shared" si="143"/>
        <v>0.99738853540830741</v>
      </c>
      <c r="AG375" s="811">
        <f t="shared" si="149"/>
        <v>2</v>
      </c>
      <c r="AH375" s="176">
        <f t="shared" si="144"/>
        <v>8</v>
      </c>
      <c r="AI375" s="225">
        <f t="shared" si="145"/>
        <v>2.9973885354083074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19.937678025788657</v>
      </c>
      <c r="C376" s="841"/>
      <c r="D376" s="393">
        <f t="shared" si="127"/>
        <v>21.521492859347994</v>
      </c>
      <c r="E376" s="385">
        <f t="shared" si="150"/>
        <v>22.119464027324401</v>
      </c>
      <c r="F376" s="385">
        <f t="shared" si="128"/>
        <v>22.123767671242</v>
      </c>
      <c r="G376" s="110">
        <f t="shared" si="151"/>
        <v>0.8794361050759324</v>
      </c>
      <c r="H376" s="414" t="b">
        <f>Wh_hp&gt;='2026'!Maxi_hp</f>
        <v>0</v>
      </c>
      <c r="I376" s="390">
        <f>IF(H376,Wh_hp,'2026'!Maxi_hp)</f>
        <v>22.124423768538893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7.3592238415347566E-2</v>
      </c>
      <c r="M376" s="845"/>
      <c r="N376" s="845"/>
      <c r="O376" s="48">
        <f>IF(t&lt;Tnet,'2026'!Resal+('2026'!Salim-'2026'!Resal)*(1-EXP(('2026'!Tnet-t)/('2026'!Tau_j))),Resal+(Salim-Resal)*(1-EXP((Tnet-t)/(Tau_j))))*Salcycl</f>
        <v>2.7033709643132724E-2</v>
      </c>
      <c r="P376" s="169">
        <f>(INDEX(Models!$BJ376:$BT376,,T376)*(1-R376)+INDEX(Models!$BJ376:$BT376,,T376+1)*R376-ERP_i)*Q376*Ramure*Pc/MaxiM</f>
        <v>2.3498657622125381E-4</v>
      </c>
      <c r="Q376" s="305">
        <f t="shared" si="130"/>
        <v>0.5</v>
      </c>
      <c r="R376" s="177">
        <f t="shared" si="131"/>
        <v>0.47240096903432871</v>
      </c>
      <c r="S376" s="811">
        <f t="shared" si="132"/>
        <v>-1</v>
      </c>
      <c r="T376" s="176">
        <f t="shared" si="133"/>
        <v>5</v>
      </c>
      <c r="U376" s="251">
        <f t="shared" si="134"/>
        <v>-0.52759903096567129</v>
      </c>
      <c r="V376" s="383">
        <f t="shared" si="135"/>
        <v>22.670062168378337</v>
      </c>
      <c r="W376" s="402">
        <f t="shared" si="136"/>
        <v>19.937678025788657</v>
      </c>
      <c r="X376" s="157">
        <f t="shared" si="137"/>
        <v>46749</v>
      </c>
      <c r="Y376" s="385">
        <f t="shared" si="138"/>
        <v>19.076671856738383</v>
      </c>
      <c r="Z376" s="385">
        <f t="shared" si="139"/>
        <v>20.592089841850068</v>
      </c>
      <c r="AA376" s="386">
        <f t="shared" si="140"/>
        <v>22.099578805264159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6.8213470342475713E-2</v>
      </c>
      <c r="AD376" s="231">
        <f>(INDEX(Models!$BJ376:$BT376,,AH376)*(1-AF376)+INDEX(Models!$BJ376:$BT376,,AH376+1)*AF376-ERP_i)*AE376*Ramure*Pc/MaxiM</f>
        <v>1.3207549015767698E-3</v>
      </c>
      <c r="AE376" s="305">
        <f t="shared" si="142"/>
        <v>0.5</v>
      </c>
      <c r="AF376" s="177">
        <f t="shared" si="143"/>
        <v>0.99738853540830741</v>
      </c>
      <c r="AG376" s="811">
        <f t="shared" si="149"/>
        <v>2</v>
      </c>
      <c r="AH376" s="176">
        <f t="shared" si="144"/>
        <v>8</v>
      </c>
      <c r="AI376" s="225">
        <f t="shared" si="145"/>
        <v>2.9973885354083074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9.8007197647017037</v>
      </c>
      <c r="C377" s="841"/>
      <c r="D377" s="393">
        <f t="shared" si="127"/>
        <v>10.579503795989712</v>
      </c>
      <c r="E377" s="385">
        <f t="shared" si="150"/>
        <v>10.874333563045329</v>
      </c>
      <c r="F377" s="385">
        <f t="shared" si="128"/>
        <v>10.874805751190296</v>
      </c>
      <c r="G377" s="110">
        <f t="shared" si="151"/>
        <v>0.42987957789443343</v>
      </c>
      <c r="H377" s="414" t="b">
        <f>Wh_hp&gt;='2026'!Maxi_hp</f>
        <v>0</v>
      </c>
      <c r="I377" s="390">
        <f>IF(H377,Wh_hp,'2026'!Maxi_hp)</f>
        <v>24.70046719987749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7.361252912288907E-2</v>
      </c>
      <c r="M377" s="845"/>
      <c r="N377" s="845"/>
      <c r="O377" s="48">
        <f>IF(t&lt;Tnet,'2026'!Resal+('2026'!Salim-'2026'!Resal)*(1-EXP(('2026'!Tnet-t)/('2026'!Tau_j))),Resal+(Salim-Resal)*(1-EXP((Tnet-t)/(Tau_j))))*Salcycl</f>
        <v>2.711244467040707E-2</v>
      </c>
      <c r="P377" s="169">
        <f>(INDEX(Models!$BJ377:$BT377,,T377)*(1-R377)+INDEX(Models!$BJ377:$BT377,,T377+1)*R377-ERP_i)*Q377*Ramure*Pc/MaxiM</f>
        <v>2.3387133924099201E-4</v>
      </c>
      <c r="Q377" s="305">
        <f t="shared" si="130"/>
        <v>0.5</v>
      </c>
      <c r="R377" s="177">
        <f t="shared" si="131"/>
        <v>0.47240096903432871</v>
      </c>
      <c r="S377" s="811">
        <f t="shared" si="132"/>
        <v>-1</v>
      </c>
      <c r="T377" s="176">
        <f t="shared" si="133"/>
        <v>5</v>
      </c>
      <c r="U377" s="251">
        <f t="shared" si="134"/>
        <v>-0.52759903096567129</v>
      </c>
      <c r="V377" s="383">
        <f t="shared" si="135"/>
        <v>22.794414135973597</v>
      </c>
      <c r="W377" s="402">
        <f t="shared" si="136"/>
        <v>9.8007197647017037</v>
      </c>
      <c r="X377" s="157">
        <f t="shared" si="137"/>
        <v>46750</v>
      </c>
      <c r="Y377" s="385">
        <f t="shared" si="138"/>
        <v>9.3844501290700482</v>
      </c>
      <c r="Z377" s="385">
        <f t="shared" si="139"/>
        <v>10.130156574964012</v>
      </c>
      <c r="AA377" s="386">
        <f t="shared" si="140"/>
        <v>10.872157195460987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6.8247782584191632E-2</v>
      </c>
      <c r="AD377" s="231">
        <f>(INDEX(Models!$BJ377:$BT377,,AH377)*(1-AF377)+INDEX(Models!$BJ377:$BT377,,AH377+1)*AF377-ERP_i)*AE377*Ramure*Pc/MaxiM</f>
        <v>1.3118103071244475E-3</v>
      </c>
      <c r="AE377" s="305">
        <f t="shared" si="142"/>
        <v>0.5</v>
      </c>
      <c r="AF377" s="177">
        <f t="shared" si="143"/>
        <v>0.99738853540830741</v>
      </c>
      <c r="AG377" s="811">
        <f t="shared" si="149"/>
        <v>2</v>
      </c>
      <c r="AH377" s="176">
        <f t="shared" si="144"/>
        <v>8</v>
      </c>
      <c r="AI377" s="225">
        <f t="shared" si="145"/>
        <v>2.9973885354083074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12.90439394180782</v>
      </c>
      <c r="C378" s="841"/>
      <c r="D378" s="393">
        <f t="shared" si="127"/>
        <v>13.930106994134769</v>
      </c>
      <c r="E378" s="385">
        <f t="shared" si="150"/>
        <v>14.319470350166378</v>
      </c>
      <c r="F378" s="385">
        <f t="shared" si="128"/>
        <v>14.320721629618397</v>
      </c>
      <c r="G378" s="110">
        <f t="shared" si="151"/>
        <v>0.56268623677375118</v>
      </c>
      <c r="H378" s="414" t="b">
        <f>Wh_hp&gt;='2026'!Maxi_hp</f>
        <v>0</v>
      </c>
      <c r="I378" s="390">
        <f>IF(H378,Wh_hp,'2026'!Maxi_hp)</f>
        <v>26.021620495154139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7.3632819386012072E-2</v>
      </c>
      <c r="M378" s="845"/>
      <c r="N378" s="845"/>
      <c r="O378" s="48">
        <f>IF(t&lt;Tnet,'2026'!Resal+('2026'!Salim-'2026'!Resal)*(1-EXP(('2026'!Tnet-t)/('2026'!Tau_j))),Resal+(Salim-Resal)*(1-EXP((Tnet-t)/(Tau_j))))*Salcycl</f>
        <v>2.7191184206550267E-2</v>
      </c>
      <c r="P378" s="169">
        <f>(INDEX(Models!$BJ378:$BT378,,T378)*(1-R378)+INDEX(Models!$BJ378:$BT378,,T378+1)*R378-ERP_i)*Q378*Ramure*Pc/MaxiM</f>
        <v>2.3276349477297089E-4</v>
      </c>
      <c r="Q378" s="305">
        <f t="shared" si="130"/>
        <v>0.5</v>
      </c>
      <c r="R378" s="177">
        <f t="shared" si="131"/>
        <v>0.47240096903432871</v>
      </c>
      <c r="S378" s="811">
        <f t="shared" si="132"/>
        <v>-1</v>
      </c>
      <c r="T378" s="176">
        <f t="shared" si="133"/>
        <v>5</v>
      </c>
      <c r="U378" s="251">
        <f t="shared" si="134"/>
        <v>-0.52759903096567129</v>
      </c>
      <c r="V378" s="383">
        <f t="shared" si="135"/>
        <v>22.930217215190211</v>
      </c>
      <c r="W378" s="402">
        <f t="shared" si="136"/>
        <v>12.90439394180782</v>
      </c>
      <c r="X378" s="157">
        <f t="shared" si="137"/>
        <v>46751</v>
      </c>
      <c r="Y378" s="385">
        <f t="shared" si="138"/>
        <v>12.354354128503449</v>
      </c>
      <c r="Z378" s="385">
        <f t="shared" si="139"/>
        <v>13.336346955118911</v>
      </c>
      <c r="AA378" s="386">
        <f t="shared" si="140"/>
        <v>14.313720588064225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6.8282290892300673E-2</v>
      </c>
      <c r="AD378" s="231">
        <f>(INDEX(Models!$BJ378:$BT378,,AH378)*(1-AF378)+INDEX(Models!$BJ378:$BT378,,AH378+1)*AF378-ERP_i)*AE378*Ramure*Pc/MaxiM</f>
        <v>1.302336497710193E-3</v>
      </c>
      <c r="AE378" s="305">
        <f t="shared" si="142"/>
        <v>0.5</v>
      </c>
      <c r="AF378" s="177">
        <f t="shared" si="143"/>
        <v>0.99738853540830741</v>
      </c>
      <c r="AG378" s="811">
        <f t="shared" si="149"/>
        <v>2</v>
      </c>
      <c r="AH378" s="176">
        <f t="shared" si="144"/>
        <v>8</v>
      </c>
      <c r="AI378" s="225">
        <f t="shared" si="145"/>
        <v>2.9973885354083074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11.974603696932881</v>
      </c>
      <c r="C379" s="841"/>
      <c r="D379" s="393">
        <f t="shared" si="127"/>
        <v>12.926694973470058</v>
      </c>
      <c r="E379" s="385">
        <f t="shared" si="150"/>
        <v>13.289087313185785</v>
      </c>
      <c r="F379" s="385">
        <f t="shared" si="128"/>
        <v>13.290050200615056</v>
      </c>
      <c r="G379" s="110">
        <f t="shared" si="151"/>
        <v>0.51882944024416022</v>
      </c>
      <c r="H379" s="414" t="b">
        <f>Wh_hp&gt;='2026'!Maxi_hp</f>
        <v>0</v>
      </c>
      <c r="I379" s="390">
        <f>IF(H379,Wh_hp,'2026'!Maxi_hp)</f>
        <v>25.489311551615195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7.365310920472623E-2</v>
      </c>
      <c r="M379" s="845"/>
      <c r="N379" s="845"/>
      <c r="O379" s="48">
        <f>IF(t&lt;Tnet,'2026'!Resal+('2026'!Salim-'2026'!Resal)*(1-EXP(('2026'!Tnet-t)/('2026'!Tau_j))),Resal+(Salim-Resal)*(1-EXP((Tnet-t)/(Tau_j))))*Salcycl</f>
        <v>2.7269919383865589E-2</v>
      </c>
      <c r="P379" s="169">
        <f>(INDEX(Models!$BJ379:$BT379,,T379)*(1-R379)+INDEX(Models!$BJ379:$BT379,,T379+1)*R379-ERP_i)*Q379*Ramure*Pc/MaxiM</f>
        <v>2.3167396461519087E-4</v>
      </c>
      <c r="Q379" s="306">
        <f t="shared" si="130"/>
        <v>0.5</v>
      </c>
      <c r="R379" s="177">
        <f t="shared" si="131"/>
        <v>0.47240096903432871</v>
      </c>
      <c r="S379" s="811">
        <f t="shared" si="132"/>
        <v>-1</v>
      </c>
      <c r="T379" s="176">
        <f t="shared" si="133"/>
        <v>5</v>
      </c>
      <c r="U379" s="307">
        <f t="shared" si="134"/>
        <v>-0.52759903096567129</v>
      </c>
      <c r="V379" s="383">
        <f t="shared" si="135"/>
        <v>23.076363843697514</v>
      </c>
      <c r="W379" s="402">
        <f t="shared" si="136"/>
        <v>11.974603696932881</v>
      </c>
      <c r="X379" s="157">
        <f t="shared" si="137"/>
        <v>46752</v>
      </c>
      <c r="Y379" s="385">
        <f t="shared" si="138"/>
        <v>11.46549704780805</v>
      </c>
      <c r="Z379" s="385">
        <f t="shared" si="139"/>
        <v>12.377109657015051</v>
      </c>
      <c r="AA379" s="386">
        <f t="shared" si="140"/>
        <v>13.284678666152869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6.8316971147382888E-2</v>
      </c>
      <c r="AD379" s="231">
        <f>(INDEX(Models!$BJ379:$BT379,,AH379)*(1-AF379)+INDEX(Models!$BJ379:$BT379,,AH379+1)*AF379-ERP_i)*AE379*Ramure*Pc/MaxiM</f>
        <v>1.2924093171141654E-3</v>
      </c>
      <c r="AE379" s="306">
        <f t="shared" si="142"/>
        <v>0.5</v>
      </c>
      <c r="AF379" s="177">
        <f t="shared" si="143"/>
        <v>0.99738853540830741</v>
      </c>
      <c r="AG379" s="811">
        <f t="shared" si="149"/>
        <v>2</v>
      </c>
      <c r="AH379" s="176">
        <f t="shared" si="144"/>
        <v>8</v>
      </c>
      <c r="AI379" s="222">
        <f t="shared" si="145"/>
        <v>2.9973885354083074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7"/>
      <c r="B380" s="805"/>
      <c r="C380" s="842"/>
      <c r="D380" s="608"/>
      <c r="E380" s="387"/>
      <c r="F380" s="387"/>
      <c r="G380" s="609"/>
      <c r="H380" s="602" t="b">
        <f>Wh_hp&gt;='2026'!Maxi_hp</f>
        <v>0</v>
      </c>
      <c r="I380" s="603">
        <f>IF(H380,Wh_hp,'2026'!Maxi_hp)</f>
        <v>16.727521718765839</v>
      </c>
      <c r="J380" s="151">
        <f>IF(H380,An,'2026'!An_max)</f>
        <v>2024</v>
      </c>
      <c r="K380" s="234"/>
      <c r="L380" s="610"/>
      <c r="M380" s="846"/>
      <c r="N380" s="846"/>
      <c r="O380" s="611"/>
      <c r="P380" s="322"/>
      <c r="Q380" s="229"/>
      <c r="R380" s="229"/>
      <c r="S380" s="229"/>
      <c r="T380" s="229"/>
      <c r="U380" s="323"/>
      <c r="V380" s="397">
        <f>(V379+V15)/2</f>
        <v>22.955925272698817</v>
      </c>
      <c r="W380" s="804"/>
      <c r="X380" s="612"/>
      <c r="Y380" s="387"/>
      <c r="Z380" s="387"/>
      <c r="AA380" s="388"/>
      <c r="AB380" s="234"/>
      <c r="AC380" s="613"/>
      <c r="AD380" s="322"/>
      <c r="AE380" s="229"/>
      <c r="AF380" s="229"/>
      <c r="AG380" s="229"/>
      <c r="AH380" s="229"/>
      <c r="AI380" s="614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1.6757224424882289</v>
      </c>
      <c r="C381" s="375"/>
      <c r="D381" s="373">
        <f>MIN(D15:D380)</f>
        <v>1.7949468067856156</v>
      </c>
      <c r="E381" s="373">
        <f>MIN(E15:E380)</f>
        <v>1.8936556067273833</v>
      </c>
      <c r="F381" s="374">
        <f>MIN(F15:F380)</f>
        <v>1.8936556067273833</v>
      </c>
      <c r="G381" s="125">
        <f>+MIN(G15:G380)</f>
        <v>6.8503961443845338E-2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6.6238177126627273E-2</v>
      </c>
      <c r="M381" s="847"/>
      <c r="N381" s="847"/>
      <c r="O381" s="47">
        <f t="shared" si="152"/>
        <v>5.0553188945380769E-3</v>
      </c>
      <c r="P381" s="168">
        <f t="shared" si="152"/>
        <v>3.0201796105361953E-7</v>
      </c>
      <c r="Q381" s="310">
        <f t="shared" si="152"/>
        <v>0.5</v>
      </c>
      <c r="R381" s="311">
        <f t="shared" si="152"/>
        <v>5.6500363537892451E-4</v>
      </c>
      <c r="S381" s="811">
        <f t="shared" si="152"/>
        <v>-2</v>
      </c>
      <c r="T381" s="176">
        <f t="shared" si="152"/>
        <v>4</v>
      </c>
      <c r="U381" s="252">
        <f>MIN(U15:U380)</f>
        <v>-1.0275977579295004</v>
      </c>
      <c r="V381" s="57">
        <f>MIN(V15:V380)</f>
        <v>22.165885174312557</v>
      </c>
      <c r="W381" s="58"/>
      <c r="X381" s="112" t="s">
        <v>7</v>
      </c>
      <c r="Y381" s="373">
        <f>MIN(Y15:Y380)</f>
        <v>1.6263296417802804</v>
      </c>
      <c r="Z381" s="373">
        <f>MIN(Z15:Z380)</f>
        <v>1.742039805207666</v>
      </c>
      <c r="AA381" s="373">
        <f>MIN(AA15:AA380)</f>
        <v>1.8936556067273833</v>
      </c>
      <c r="AB381" s="200" t="s">
        <v>7</v>
      </c>
      <c r="AC381" s="47">
        <f t="shared" ref="AC381:AH381" si="153">MIN(AC15:AC380)</f>
        <v>5.8402425600910246E-2</v>
      </c>
      <c r="AD381" s="168">
        <f t="shared" si="153"/>
        <v>2.7445477192583034E-5</v>
      </c>
      <c r="AE381" s="310">
        <f t="shared" si="153"/>
        <v>0.5</v>
      </c>
      <c r="AF381" s="311">
        <f t="shared" si="153"/>
        <v>0.49738980844447855</v>
      </c>
      <c r="AG381" s="811">
        <f t="shared" si="153"/>
        <v>2</v>
      </c>
      <c r="AH381" s="176">
        <f t="shared" si="153"/>
        <v>8</v>
      </c>
      <c r="AI381" s="226">
        <f>MIN(AI15:AI380)</f>
        <v>2.4973898084444786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29.59954120174962</v>
      </c>
      <c r="C382" s="375"/>
      <c r="D382" s="375">
        <f>AVERAGE(D15:D380)</f>
        <v>31.823003136378361</v>
      </c>
      <c r="E382" s="375">
        <f>AVERAGE(E15:E380)</f>
        <v>32.658267894697232</v>
      </c>
      <c r="F382" s="376">
        <f>AVERAGE(F15:F380)</f>
        <v>32.659610407132526</v>
      </c>
      <c r="G382" s="126">
        <f>AVERAGE(G15:G380)</f>
        <v>0.67336960057399609</v>
      </c>
      <c r="H382" s="94"/>
      <c r="I382" s="376">
        <f>AVERAGE(I15:I380)</f>
        <v>43.935046677107124</v>
      </c>
      <c r="J382" s="59">
        <f>AVERAGE(J15:J380)</f>
        <v>2020.7650273224044</v>
      </c>
      <c r="K382" s="200" t="s">
        <v>8</v>
      </c>
      <c r="L382" s="147">
        <f t="shared" ref="L382:V382" si="154">AVERAGE(L15:L380)</f>
        <v>6.9950555997057851E-2</v>
      </c>
      <c r="M382" s="845"/>
      <c r="N382" s="845"/>
      <c r="O382" s="48">
        <f t="shared" si="154"/>
        <v>2.9375872334421439E-2</v>
      </c>
      <c r="P382" s="169">
        <f t="shared" si="154"/>
        <v>7.5985840369875073E-5</v>
      </c>
      <c r="Q382" s="312">
        <f t="shared" si="154"/>
        <v>0.5</v>
      </c>
      <c r="R382" s="177">
        <f t="shared" si="154"/>
        <v>0.50434063359019166</v>
      </c>
      <c r="S382" s="811">
        <f t="shared" si="154"/>
        <v>-1.252054794520548</v>
      </c>
      <c r="T382" s="176">
        <f t="shared" si="154"/>
        <v>4.7479452054794518</v>
      </c>
      <c r="U382" s="251">
        <f>AVERAGE(U15:U380)</f>
        <v>-0.74771416093035725</v>
      </c>
      <c r="V382" s="59">
        <f t="shared" si="154"/>
        <v>42.489203107327782</v>
      </c>
      <c r="X382" s="112" t="s">
        <v>8</v>
      </c>
      <c r="Y382" s="375">
        <f>AVERAGE(Y15:Y380)</f>
        <v>28.271669101553019</v>
      </c>
      <c r="Z382" s="375">
        <f>AVERAGE(Z15:Z380)</f>
        <v>30.395036352074598</v>
      </c>
      <c r="AA382" s="375">
        <f>AVERAGE(AA15:AA380)</f>
        <v>32.648435587891619</v>
      </c>
      <c r="AB382" s="200" t="s">
        <v>8</v>
      </c>
      <c r="AC382" s="48">
        <f t="shared" ref="AC382:AH382" si="155">AVERAGE(AC15:AC380)</f>
        <v>7.0502114058700313E-2</v>
      </c>
      <c r="AD382" s="169">
        <f t="shared" si="155"/>
        <v>6.113005358113012E-4</v>
      </c>
      <c r="AE382" s="312">
        <f t="shared" si="155"/>
        <v>0.5</v>
      </c>
      <c r="AF382" s="177">
        <f t="shared" si="155"/>
        <v>0.77727340544362311</v>
      </c>
      <c r="AG382" s="811">
        <f t="shared" si="155"/>
        <v>2</v>
      </c>
      <c r="AH382" s="176">
        <f t="shared" si="155"/>
        <v>8</v>
      </c>
      <c r="AI382" s="225">
        <f>AVERAGE(AI15:AI380)</f>
        <v>2.7772734054436206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57.682524135362591</v>
      </c>
      <c r="C383" s="377"/>
      <c r="D383" s="377">
        <f>MAX(D15:D380)</f>
        <v>61.974917656891058</v>
      </c>
      <c r="E383" s="377">
        <f>MAX(E15:E380)</f>
        <v>62.485674877227495</v>
      </c>
      <c r="F383" s="378">
        <f>MAX(F15:F380)</f>
        <v>62.48920271690799</v>
      </c>
      <c r="G383" s="127">
        <f>+MAX(G15:G380)</f>
        <v>1.0465926037131026</v>
      </c>
      <c r="H383" s="94"/>
      <c r="I383" s="378">
        <f>MAX(I15:I380)</f>
        <v>66.115436428019962</v>
      </c>
      <c r="J383" s="60">
        <f>MAX(J15:J380)</f>
        <v>2027</v>
      </c>
      <c r="K383" s="200" t="s">
        <v>9</v>
      </c>
      <c r="L383" s="148">
        <f t="shared" ref="L383:T383" si="156">MAX(L15:L380)</f>
        <v>7.365310920472623E-2</v>
      </c>
      <c r="M383" s="848"/>
      <c r="N383" s="848"/>
      <c r="O383" s="49">
        <f t="shared" si="156"/>
        <v>5.8324147087504954E-2</v>
      </c>
      <c r="P383" s="170">
        <f t="shared" si="156"/>
        <v>2.4380450818513387E-4</v>
      </c>
      <c r="Q383" s="313">
        <f t="shared" si="156"/>
        <v>0.5</v>
      </c>
      <c r="R383" s="314">
        <f t="shared" si="156"/>
        <v>0.99946741883056545</v>
      </c>
      <c r="S383" s="812">
        <f t="shared" si="156"/>
        <v>-1</v>
      </c>
      <c r="T383" s="233">
        <f t="shared" si="156"/>
        <v>5</v>
      </c>
      <c r="U383" s="253">
        <f>MAX(U15:U380)</f>
        <v>-0.52759903096567129</v>
      </c>
      <c r="V383" s="60">
        <f>MAX(V15:V380)</f>
        <v>58.850094972475503</v>
      </c>
      <c r="X383" s="112" t="s">
        <v>9</v>
      </c>
      <c r="Y383" s="377">
        <f>MAX(Y15:Y380)</f>
        <v>54.588916136730845</v>
      </c>
      <c r="Z383" s="377">
        <f>MAX(Z15:Z380)</f>
        <v>58.65110158171408</v>
      </c>
      <c r="AA383" s="377">
        <f>MAX(AA15:AA380)</f>
        <v>62.45642199863768</v>
      </c>
      <c r="AB383" s="200" t="s">
        <v>9</v>
      </c>
      <c r="AC383" s="49">
        <f t="shared" ref="AC383:AH383" si="157">MAX(AC15:AC380)</f>
        <v>8.3560000853503888E-2</v>
      </c>
      <c r="AD383" s="170">
        <f t="shared" si="157"/>
        <v>1.3658476153855551E-3</v>
      </c>
      <c r="AE383" s="313">
        <f t="shared" si="157"/>
        <v>0.5</v>
      </c>
      <c r="AF383" s="314">
        <f t="shared" si="157"/>
        <v>0.99738853540830741</v>
      </c>
      <c r="AG383" s="812">
        <f t="shared" si="157"/>
        <v>2</v>
      </c>
      <c r="AH383" s="233">
        <f t="shared" si="157"/>
        <v>8</v>
      </c>
      <c r="AI383" s="227">
        <f>MAX(AI15:AI380)</f>
        <v>2.9973885354083074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2" priority="5" stopIfTrue="1" operator="lessThan">
      <formula>0.01</formula>
    </cfRule>
    <cfRule type="cellIs" dxfId="1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6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3" sqref="A83:Z9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4" customWidth="1"/>
    <col min="14" max="14" width="9.140625" style="63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6" customWidth="1"/>
    <col min="50" max="51" width="6.85546875" style="15" customWidth="1"/>
    <col min="52" max="16384" width="11.42578125" style="15"/>
  </cols>
  <sheetData>
    <row r="1" spans="1:49" ht="21.75" thickBot="1" x14ac:dyDescent="0.4">
      <c r="A1" s="661" t="str">
        <f>"Calcul Masques  "&amp;Station</f>
        <v>Calcul Masques  Garderie Labège</v>
      </c>
      <c r="B1" s="1211" t="str">
        <f>Station</f>
        <v>Garderie Labège</v>
      </c>
      <c r="C1" s="1212"/>
      <c r="D1" s="1212"/>
      <c r="E1" s="1212"/>
      <c r="F1" s="1213"/>
      <c r="H1" s="22" t="s">
        <v>281</v>
      </c>
      <c r="I1" s="1232">
        <v>44600</v>
      </c>
      <c r="J1" s="1233"/>
      <c r="K1" s="889"/>
      <c r="M1" s="791" t="s">
        <v>171</v>
      </c>
      <c r="N1" s="663"/>
      <c r="O1" s="664"/>
      <c r="P1" s="664"/>
      <c r="Q1" s="663"/>
      <c r="R1" s="663"/>
      <c r="S1" s="665"/>
      <c r="T1" s="666"/>
      <c r="U1" s="665"/>
      <c r="V1" s="663"/>
      <c r="W1" s="665"/>
      <c r="X1" s="663"/>
      <c r="Y1" s="15"/>
      <c r="AA1" s="15"/>
    </row>
    <row r="2" spans="1:49" s="6" customFormat="1" ht="12.75" customHeight="1" thickBot="1" x14ac:dyDescent="0.25">
      <c r="A2" s="573"/>
      <c r="C2" s="667"/>
      <c r="D2" s="668"/>
      <c r="E2" s="1034"/>
      <c r="F2" s="1034"/>
      <c r="G2" s="26"/>
      <c r="H2" s="25"/>
      <c r="L2" s="8"/>
      <c r="P2" s="1126"/>
      <c r="Q2" s="565"/>
      <c r="R2" s="565"/>
      <c r="S2" s="1121"/>
      <c r="T2" s="1121"/>
      <c r="U2" s="565"/>
      <c r="V2" s="1121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9" t="s">
        <v>312</v>
      </c>
      <c r="B3" s="670"/>
      <c r="C3" s="670"/>
      <c r="E3" s="1035"/>
      <c r="F3" s="1036" t="s">
        <v>191</v>
      </c>
      <c r="G3" s="20"/>
      <c r="H3" s="22" t="s">
        <v>15</v>
      </c>
      <c r="I3" s="890">
        <v>0.33</v>
      </c>
      <c r="J3" s="891">
        <f>DEGREES(ATAN(I3))</f>
        <v>18.262889942194128</v>
      </c>
      <c r="K3" s="891"/>
      <c r="L3" s="562" t="s">
        <v>303</v>
      </c>
      <c r="M3" s="892" t="s">
        <v>135</v>
      </c>
      <c r="P3" s="1127"/>
      <c r="Q3" s="1127"/>
      <c r="R3" s="1127"/>
      <c r="S3" s="1128"/>
      <c r="T3" s="1128"/>
      <c r="U3" s="1129"/>
      <c r="V3" s="1128"/>
      <c r="W3" s="1129"/>
      <c r="X3" s="1129"/>
      <c r="Y3" s="1129"/>
      <c r="Z3" s="1129"/>
      <c r="AA3" s="1129"/>
      <c r="AB3" s="1129"/>
      <c r="AC3" s="1129"/>
      <c r="AD3" s="1129"/>
      <c r="AE3" s="1129"/>
      <c r="AF3" s="1129"/>
    </row>
    <row r="4" spans="1:49" s="25" customFormat="1" ht="12" thickBot="1" x14ac:dyDescent="0.25">
      <c r="A4" s="671" t="s">
        <v>139</v>
      </c>
      <c r="B4" s="893" t="s">
        <v>140</v>
      </c>
      <c r="C4" s="893" t="s">
        <v>141</v>
      </c>
      <c r="D4" s="893" t="s">
        <v>142</v>
      </c>
      <c r="E4" s="894" t="s">
        <v>169</v>
      </c>
      <c r="F4" s="672" t="s">
        <v>190</v>
      </c>
      <c r="I4" s="6"/>
      <c r="J4" s="895"/>
      <c r="K4" s="895"/>
      <c r="L4" s="6"/>
      <c r="O4" s="895" t="s">
        <v>282</v>
      </c>
      <c r="P4" s="1130"/>
      <c r="Q4" s="1131"/>
      <c r="R4" s="565"/>
      <c r="S4" s="1130"/>
      <c r="T4" s="1121"/>
      <c r="U4" s="565"/>
      <c r="V4" s="1121"/>
      <c r="W4" s="565"/>
      <c r="X4" s="1130"/>
      <c r="Y4" s="1130"/>
      <c r="Z4" s="1130"/>
      <c r="AA4" s="1130"/>
      <c r="AB4" s="1130"/>
      <c r="AC4" s="1130"/>
      <c r="AD4" s="1130"/>
      <c r="AE4" s="1130"/>
      <c r="AF4" s="1130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3" t="s">
        <v>143</v>
      </c>
      <c r="B5" s="896">
        <v>2</v>
      </c>
      <c r="C5" s="897">
        <v>15</v>
      </c>
      <c r="D5" s="171">
        <f>+C5*B5</f>
        <v>30</v>
      </c>
      <c r="E5" s="898">
        <v>0.3</v>
      </c>
      <c r="F5" s="674">
        <f>+D5*E5</f>
        <v>9</v>
      </c>
      <c r="G5" s="634"/>
      <c r="H5" s="22" t="s">
        <v>283</v>
      </c>
      <c r="I5" s="892">
        <f>+Azi_pvD-90</f>
        <v>-39</v>
      </c>
      <c r="J5" s="891"/>
      <c r="K5" s="891"/>
      <c r="L5" s="22" t="s">
        <v>284</v>
      </c>
      <c r="M5" s="892">
        <v>51</v>
      </c>
      <c r="N5" s="899">
        <f>+IF($M$3="G",Azi_pvG,Azi_pvD)</f>
        <v>51</v>
      </c>
      <c r="O5" s="900">
        <f>90-$J$3</f>
        <v>71.737110057805864</v>
      </c>
      <c r="P5" s="1132"/>
      <c r="Q5" s="1128"/>
      <c r="R5" s="1133"/>
      <c r="S5" s="1128"/>
      <c r="T5" s="1128"/>
      <c r="U5" s="1129"/>
      <c r="V5" s="1128"/>
      <c r="W5" s="1129"/>
      <c r="X5" s="1129"/>
      <c r="Y5" s="1129"/>
      <c r="Z5" s="1129"/>
      <c r="AA5" s="1129"/>
      <c r="AB5" s="1129"/>
      <c r="AC5" s="1129"/>
      <c r="AD5" s="1134"/>
      <c r="AE5" s="1134"/>
      <c r="AF5" s="1129"/>
    </row>
    <row r="6" spans="1:49" s="6" customFormat="1" ht="11.25" x14ac:dyDescent="0.2">
      <c r="A6" s="562" t="s">
        <v>138</v>
      </c>
      <c r="B6" s="8">
        <f>1.776+0.002+0.01</f>
        <v>1.788</v>
      </c>
      <c r="C6" s="8">
        <f>1.052+0.002+0.01</f>
        <v>1.0640000000000001</v>
      </c>
      <c r="E6" s="633"/>
      <c r="F6" s="599"/>
      <c r="G6" s="25"/>
      <c r="N6" s="18"/>
      <c r="P6" s="565"/>
      <c r="Q6" s="565"/>
      <c r="R6" s="1121"/>
      <c r="S6" s="1122"/>
      <c r="T6" s="1121"/>
      <c r="U6" s="565"/>
      <c r="V6" s="1121"/>
      <c r="W6" s="565"/>
      <c r="X6" s="565"/>
      <c r="Y6" s="565"/>
      <c r="Z6" s="565"/>
      <c r="AA6" s="565"/>
      <c r="AB6" s="565"/>
      <c r="AC6" s="565"/>
      <c r="AD6" s="1134"/>
      <c r="AE6" s="1134"/>
      <c r="AF6" s="565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5"/>
      <c r="F7" s="8"/>
      <c r="G7" s="26"/>
      <c r="H7" s="565"/>
      <c r="I7" s="565"/>
      <c r="M7" s="676" t="s">
        <v>144</v>
      </c>
      <c r="N7" s="26"/>
      <c r="O7" s="18"/>
      <c r="P7" s="18"/>
      <c r="S7" s="676" t="s">
        <v>144</v>
      </c>
      <c r="U7" s="26"/>
      <c r="V7" s="1121"/>
      <c r="W7" s="565"/>
      <c r="X7" s="565"/>
      <c r="Y7" s="1135"/>
      <c r="Z7" s="1122"/>
      <c r="AA7" s="565"/>
      <c r="AB7" s="565"/>
      <c r="AC7" s="565"/>
      <c r="AD7" s="565"/>
      <c r="AE7" s="565"/>
      <c r="AF7" s="565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9" t="s">
        <v>305</v>
      </c>
      <c r="D8" s="105"/>
      <c r="E8" s="901">
        <v>2.84</v>
      </c>
      <c r="F8" s="678" t="s">
        <v>237</v>
      </c>
      <c r="H8" s="29"/>
      <c r="I8" s="31"/>
      <c r="L8" s="677" t="s">
        <v>172</v>
      </c>
      <c r="M8" s="29"/>
      <c r="O8" s="29"/>
      <c r="P8" s="34"/>
      <c r="R8" s="677" t="s">
        <v>173</v>
      </c>
      <c r="S8" s="29"/>
      <c r="U8" s="29"/>
      <c r="V8" s="29"/>
      <c r="Y8" s="677" t="s">
        <v>174</v>
      </c>
      <c r="Z8" s="67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9" t="s">
        <v>175</v>
      </c>
      <c r="B9" s="902" t="s">
        <v>176</v>
      </c>
      <c r="C9" s="902" t="s">
        <v>177</v>
      </c>
      <c r="D9" s="902" t="s">
        <v>180</v>
      </c>
      <c r="E9" s="903" t="s">
        <v>181</v>
      </c>
      <c r="F9" s="679" t="s">
        <v>178</v>
      </c>
      <c r="G9" s="679" t="s">
        <v>179</v>
      </c>
      <c r="H9" s="680" t="s">
        <v>147</v>
      </c>
      <c r="I9" s="681" t="s">
        <v>182</v>
      </c>
      <c r="L9" s="682" t="s">
        <v>149</v>
      </c>
      <c r="M9" s="690" t="s">
        <v>150</v>
      </c>
      <c r="N9" s="690" t="s">
        <v>151</v>
      </c>
      <c r="O9" s="690" t="s">
        <v>152</v>
      </c>
      <c r="P9" s="34"/>
      <c r="R9" s="682" t="s">
        <v>149</v>
      </c>
      <c r="S9" s="690" t="s">
        <v>150</v>
      </c>
      <c r="T9" s="690" t="s">
        <v>151</v>
      </c>
      <c r="U9" s="690" t="s">
        <v>152</v>
      </c>
      <c r="V9" s="560"/>
      <c r="W9" s="796" t="s">
        <v>351</v>
      </c>
      <c r="X9" s="560"/>
      <c r="Y9" s="560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2" t="s">
        <v>353</v>
      </c>
      <c r="B10" s="904">
        <v>3.18</v>
      </c>
      <c r="C10" s="905">
        <v>-3.14</v>
      </c>
      <c r="D10" s="904">
        <f>Hrm*B10/(B10-C10)</f>
        <v>1.4289873417721519</v>
      </c>
      <c r="E10" s="905">
        <f>+D10*C10/B10</f>
        <v>-1.4110126582278482</v>
      </c>
      <c r="F10" s="906">
        <f>DEGREES(ATAN2(H10,D10))</f>
        <v>1.1894015784779228</v>
      </c>
      <c r="G10" s="906">
        <f>DEGREES(ATAN2(H10,E10))</f>
        <v>-1.1744447693932147</v>
      </c>
      <c r="H10" s="556">
        <f>SQRT(POWER(N10-T$10,2)+POWER(M10-S$10,2))</f>
        <v>68.827201744659106</v>
      </c>
      <c r="I10" s="684">
        <f>(F10-G10)/(B10-C10)</f>
        <v>0.37402632086568632</v>
      </c>
      <c r="J10" s="43"/>
      <c r="K10" s="43"/>
      <c r="L10" s="793" t="str">
        <f>A10</f>
        <v>Toit préfabriqué blanc</v>
      </c>
      <c r="M10" s="907">
        <v>668.43</v>
      </c>
      <c r="N10" s="908">
        <v>658.48</v>
      </c>
      <c r="O10" s="909">
        <v>156.9</v>
      </c>
      <c r="P10" s="823"/>
      <c r="Q10" s="823"/>
      <c r="R10" s="794" t="s">
        <v>352</v>
      </c>
      <c r="S10" s="907">
        <v>708.64</v>
      </c>
      <c r="T10" s="908">
        <v>602.62</v>
      </c>
      <c r="U10" s="909">
        <v>157.09</v>
      </c>
      <c r="V10" s="685" t="s">
        <v>183</v>
      </c>
      <c r="W10" s="910">
        <f>1.55-0.03</f>
        <v>1.52</v>
      </c>
      <c r="X10" s="823" t="s">
        <v>85</v>
      </c>
      <c r="Y10" s="623" t="s">
        <v>346</v>
      </c>
      <c r="Z10" s="626"/>
      <c r="AA10" s="560"/>
      <c r="AB10" s="560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2" t="s">
        <v>354</v>
      </c>
      <c r="B11" s="911">
        <v>0.24</v>
      </c>
      <c r="C11" s="912">
        <v>-2.79</v>
      </c>
      <c r="D11" s="911">
        <f>2.46*B11/(B11-C11)</f>
        <v>0.1948514851485148</v>
      </c>
      <c r="E11" s="912">
        <f>+D11*C11/B11</f>
        <v>-2.2651485148514849</v>
      </c>
      <c r="F11" s="906">
        <f>DEGREES(ATAN2(H11,D11))</f>
        <v>0.45027440048555711</v>
      </c>
      <c r="G11" s="906">
        <f>DEGREES(ATAN2(H11,E11))</f>
        <v>-5.2200564970209653</v>
      </c>
      <c r="H11" s="556">
        <f>SQRT(POWER(N11-T$11,2)+POWER(M11-S$11,2))</f>
        <v>24.793632247010578</v>
      </c>
      <c r="I11" s="684">
        <f>(F11-G11)/(B11-C11)</f>
        <v>1.8713963358107333</v>
      </c>
      <c r="J11" s="117"/>
      <c r="K11" s="43"/>
      <c r="L11" s="793" t="str">
        <f>A11</f>
        <v>poteau gauche box poubelle</v>
      </c>
      <c r="M11" s="913">
        <v>597.63</v>
      </c>
      <c r="N11" s="627">
        <v>729.54</v>
      </c>
      <c r="O11" s="914">
        <v>156.51</v>
      </c>
      <c r="P11" s="824"/>
      <c r="Q11" s="824"/>
      <c r="R11" s="795" t="s">
        <v>349</v>
      </c>
      <c r="S11" s="913">
        <v>609.82000000000005</v>
      </c>
      <c r="T11" s="627">
        <v>751.13</v>
      </c>
      <c r="U11" s="914">
        <v>157.16</v>
      </c>
      <c r="V11" s="686" t="s">
        <v>184</v>
      </c>
      <c r="W11" s="915">
        <f>+Hobs1-U10+U11</f>
        <v>1.5900000000000034</v>
      </c>
      <c r="X11" s="824" t="s">
        <v>85</v>
      </c>
      <c r="Y11" s="624" t="s">
        <v>347</v>
      </c>
      <c r="Z11" s="626"/>
      <c r="AA11" s="560"/>
      <c r="AB11" s="560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2" t="s">
        <v>355</v>
      </c>
      <c r="B12" s="916">
        <v>1.73</v>
      </c>
      <c r="C12" s="917">
        <v>-3.41</v>
      </c>
      <c r="D12" s="916">
        <f>2.82*B12/(B12-C12)</f>
        <v>0.94914396887159513</v>
      </c>
      <c r="E12" s="917">
        <f>+D12*C12/B12</f>
        <v>-1.8708560311284044</v>
      </c>
      <c r="F12" s="906">
        <f>DEGREES(ATAN2(H12,D12))</f>
        <v>2.0709004119397054</v>
      </c>
      <c r="G12" s="906">
        <f>DEGREES(ATAN2(H12,E12))</f>
        <v>-4.0768325018420173</v>
      </c>
      <c r="H12" s="556">
        <f>SQRT(POWER(N12-T$12,2)+POWER(M12-S$12,2))</f>
        <v>26.248611391843287</v>
      </c>
      <c r="I12" s="684">
        <f>(F12-G12)/(B12-C12)</f>
        <v>1.1960569871170665</v>
      </c>
      <c r="J12" s="117"/>
      <c r="K12" s="43"/>
      <c r="L12" s="793" t="str">
        <f>A12</f>
        <v>Panneau sans issue</v>
      </c>
      <c r="M12" s="918">
        <v>637.55999999999995</v>
      </c>
      <c r="N12" s="919">
        <v>680.59</v>
      </c>
      <c r="O12" s="920">
        <v>156.43</v>
      </c>
      <c r="P12" s="824"/>
      <c r="Q12" s="824"/>
      <c r="R12" s="795" t="s">
        <v>350</v>
      </c>
      <c r="S12" s="918">
        <v>659.7</v>
      </c>
      <c r="T12" s="919">
        <v>666.49</v>
      </c>
      <c r="U12" s="920">
        <v>156.72999999999999</v>
      </c>
      <c r="V12" s="686" t="s">
        <v>238</v>
      </c>
      <c r="W12" s="921">
        <f>+Hobs1-U10+U12+0.06</f>
        <v>1.2199999999999966</v>
      </c>
      <c r="X12" s="824" t="s">
        <v>85</v>
      </c>
      <c r="Y12" s="624" t="s">
        <v>348</v>
      </c>
      <c r="Z12" s="626"/>
      <c r="AA12" s="560"/>
      <c r="AB12" s="560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2"/>
      <c r="C13" s="1112" t="s">
        <v>333</v>
      </c>
      <c r="D13" s="10" t="e">
        <f>Hrm*B13/(B13-C13)</f>
        <v>#VALUE!</v>
      </c>
      <c r="E13" s="1113" t="e">
        <f>+D13*C13/B13</f>
        <v>#VALUE!</v>
      </c>
      <c r="F13" s="565"/>
      <c r="G13" s="1117"/>
      <c r="H13" s="1118"/>
      <c r="I13" s="1119"/>
      <c r="J13" s="565"/>
      <c r="K13" s="565"/>
      <c r="L13" s="565"/>
      <c r="O13" s="18"/>
      <c r="P13" s="1120"/>
      <c r="Q13" s="565"/>
      <c r="R13" s="565"/>
      <c r="U13" s="797"/>
      <c r="V13" s="26"/>
      <c r="Y13" s="1121"/>
      <c r="Z13" s="1122"/>
      <c r="AA13" s="1123"/>
      <c r="AB13" s="1124"/>
      <c r="AC13" s="1125"/>
      <c r="AD13" s="1124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x14ac:dyDescent="0.25">
      <c r="A14" s="669" t="s">
        <v>162</v>
      </c>
      <c r="B14" s="689"/>
      <c r="C14" s="28"/>
      <c r="D14" s="676" t="s">
        <v>306</v>
      </c>
      <c r="E14" s="71"/>
      <c r="F14" s="82"/>
      <c r="G14" s="894" t="s">
        <v>186</v>
      </c>
      <c r="K14" s="1022" t="s">
        <v>307</v>
      </c>
      <c r="L14" s="1021">
        <f>+CHOOSE(N14,L16,L17,L18,L19)</f>
        <v>6.3844887990947772</v>
      </c>
      <c r="M14" s="136" t="s">
        <v>286</v>
      </c>
      <c r="N14" s="922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90" t="s">
        <v>149</v>
      </c>
      <c r="B15" s="691" t="s">
        <v>185</v>
      </c>
      <c r="C15" s="690" t="s">
        <v>145</v>
      </c>
      <c r="D15" s="690" t="s">
        <v>150</v>
      </c>
      <c r="E15" s="690" t="s">
        <v>151</v>
      </c>
      <c r="F15" s="1033" t="s">
        <v>287</v>
      </c>
      <c r="G15" s="1032" t="s">
        <v>187</v>
      </c>
      <c r="H15" s="690" t="s">
        <v>153</v>
      </c>
      <c r="I15" s="690" t="s">
        <v>155</v>
      </c>
      <c r="J15" s="690" t="s">
        <v>146</v>
      </c>
      <c r="K15" s="690" t="s">
        <v>147</v>
      </c>
      <c r="L15" s="690" t="s">
        <v>148</v>
      </c>
      <c r="M15" s="690" t="s">
        <v>154</v>
      </c>
      <c r="N15" s="69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4" t="s">
        <v>299</v>
      </c>
      <c r="B16" s="923">
        <v>1</v>
      </c>
      <c r="C16" s="983">
        <v>5.47</v>
      </c>
      <c r="D16" s="924">
        <v>606.84</v>
      </c>
      <c r="E16" s="924">
        <v>693.06</v>
      </c>
      <c r="F16" s="996"/>
      <c r="G16" s="1000"/>
      <c r="H16" s="1000"/>
      <c r="I16" s="1000"/>
      <c r="J16" s="1007">
        <f>IF(B16="",0,C16*CHOOSE(B16,Rata1,Rata2,Rata3))</f>
        <v>2.0459239751353042</v>
      </c>
      <c r="K16" s="1002">
        <f>IF(B16="",0,SQRT(+POWER(D16-CHOOSE(B16,$S$10,$S$11,$S$12),2)+POWER(E16-CHOOSE(B16,$T$10,$T$11,$T$12),2)))</f>
        <v>136.17133912832017</v>
      </c>
      <c r="L16" s="1137">
        <f>IF(B16="",0,K16*TAN(RADIANS(J16))+CHOOSE(B16,Hobs1,Hobs2,Hobs3))</f>
        <v>6.3844887990947772</v>
      </c>
      <c r="M16" s="1008"/>
      <c r="N16" s="1017" t="str">
        <f t="shared" ref="N16:N43" si="0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5" t="s">
        <v>299</v>
      </c>
      <c r="B17" s="925">
        <v>3</v>
      </c>
      <c r="C17" s="984">
        <v>4.17</v>
      </c>
      <c r="D17" s="926">
        <v>606.84</v>
      </c>
      <c r="E17" s="926">
        <v>693.06</v>
      </c>
      <c r="F17" s="997"/>
      <c r="G17" s="987"/>
      <c r="H17" s="987"/>
      <c r="I17" s="987"/>
      <c r="J17" s="1009">
        <f>IF(B17="",0,C17*CHOOSE(B17,Rata1,Rata2,Rata3))</f>
        <v>4.9875576362781677</v>
      </c>
      <c r="K17" s="1004">
        <f>IF(B17="",0,SQRT(+POWER(D17-CHOOSE(B17,$S$10,$S$11,$S$12),2)+POWER(E17-CHOOSE(B17,$T$10,$T$11,$T$12),2)))</f>
        <v>59.162019066289467</v>
      </c>
      <c r="L17" s="1003">
        <f>IF(B17="",0,K17*TAN(RADIANS(J17))+CHOOSE(B17,Hobs1,Hobs2,Hobs3))</f>
        <v>6.3830602494241369</v>
      </c>
      <c r="M17" s="1010"/>
      <c r="N17" s="1018" t="str">
        <f t="shared" si="0"/>
        <v>Centre du champ PV G.: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5" t="s">
        <v>300</v>
      </c>
      <c r="B18" s="925"/>
      <c r="C18" s="984"/>
      <c r="D18" s="926">
        <v>595.05999999999995</v>
      </c>
      <c r="E18" s="926">
        <v>695.43</v>
      </c>
      <c r="F18" s="998"/>
      <c r="G18" s="988"/>
      <c r="H18" s="988"/>
      <c r="I18" s="988"/>
      <c r="J18" s="1009">
        <f>IF(B18="",0,C18*CHOOSE(B18,Rata1,Rata2,Rata3))</f>
        <v>0</v>
      </c>
      <c r="K18" s="1004">
        <f>IF(B18="",0,SQRT(+POWER(D18-CHOOSE(B18,$S$10,$S$11,$S$12),2)+POWER(E18-CHOOSE(B18,$T$10,$T$11,$T$12),2)))</f>
        <v>0</v>
      </c>
      <c r="L18" s="1136">
        <f>+L16</f>
        <v>6.3844887990947772</v>
      </c>
      <c r="M18" s="1010"/>
      <c r="N18" s="1018" t="str">
        <f t="shared" si="0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6"/>
      <c r="B19" s="973"/>
      <c r="C19" s="1012"/>
      <c r="D19" s="977"/>
      <c r="E19" s="978"/>
      <c r="F19" s="999"/>
      <c r="G19" s="989"/>
      <c r="H19" s="989"/>
      <c r="I19" s="989"/>
      <c r="J19" s="1011">
        <f>IF(B19="",0,C19*CHOOSE(B19,Rata1,Rata2,Rata3))</f>
        <v>0</v>
      </c>
      <c r="K19" s="1006">
        <f>IF(B19="",0,SQRT(+POWER(D19-CHOOSE(B19,$S$10,$S$11,$S$12),2)+POWER(E19-CHOOSE(B19,$T$10,$T$11,$T$12),2)))</f>
        <v>0</v>
      </c>
      <c r="L19" s="1005">
        <f>IF(B19="",0,K19*TAN(RADIANS(J19))+CHOOSE(B19,Hobs1,Hobs2,Hobs3))</f>
        <v>0</v>
      </c>
      <c r="M19" s="1013"/>
      <c r="N19" s="1019">
        <f t="shared" si="0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7" t="s">
        <v>163</v>
      </c>
      <c r="B20" s="925"/>
      <c r="C20" s="984"/>
      <c r="D20" s="926"/>
      <c r="E20" s="926"/>
      <c r="F20" s="986"/>
      <c r="G20" s="1014">
        <f t="shared" ref="G20:G42" si="1">IF(AND(H20=H21,H20&gt;=Azi_pv_sel+90),"",P58-P57)</f>
        <v>90</v>
      </c>
      <c r="H20" s="990">
        <f>+Azi_pv_sel-180</f>
        <v>-129</v>
      </c>
      <c r="I20" s="991">
        <f>J3</f>
        <v>18.262889942194128</v>
      </c>
      <c r="J20" s="1009">
        <f t="shared" ref="J20:J42" si="2">IF(B20="",0,C20*CHOOSE(B20,Rata1,Rata2,Rata3))</f>
        <v>0</v>
      </c>
      <c r="K20" s="1004">
        <f t="shared" ref="K20:K42" si="3">IF(B20="",0,SQRT(+POWER(D20-CHOOSE(B20,$S$10,$S$11,$S$12),2)+POWER(E20-CHOOSE(B20,$T$10,$T$11,$T$12),2)))</f>
        <v>0</v>
      </c>
      <c r="L20" s="1003">
        <f t="shared" ref="L20:L42" si="4">IF(B20="",0,K20*TAN(RADIANS(J20))+CHOOSE(B20,Hobs1,Hobs2,Hobs3))</f>
        <v>0</v>
      </c>
      <c r="M20" s="1004">
        <f t="shared" ref="M20:M42" si="5">IF(B20="",0,SQRT(POWER($E20-CHOOSE($N$14,E$16,E$17,E$18,E$19),2)+POWER($D20-CHOOSE($N$14,D$16,D$17,D$18,D$19),2)))</f>
        <v>0</v>
      </c>
      <c r="N20" s="1015" t="str">
        <f t="shared" si="0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7" t="s">
        <v>288</v>
      </c>
      <c r="B21" s="925"/>
      <c r="C21" s="984"/>
      <c r="D21" s="926"/>
      <c r="E21" s="926"/>
      <c r="F21" s="986"/>
      <c r="G21" s="1014">
        <f t="shared" si="1"/>
        <v>25.798688363531468</v>
      </c>
      <c r="H21" s="992">
        <f>+Azi_pv_sel-90</f>
        <v>-39</v>
      </c>
      <c r="I21" s="993">
        <v>1</v>
      </c>
      <c r="J21" s="1009">
        <f t="shared" si="2"/>
        <v>0</v>
      </c>
      <c r="K21" s="1004">
        <f t="shared" si="3"/>
        <v>0</v>
      </c>
      <c r="L21" s="1003">
        <f t="shared" si="4"/>
        <v>0</v>
      </c>
      <c r="M21" s="1004">
        <f t="shared" si="5"/>
        <v>0</v>
      </c>
      <c r="N21" s="1015" t="str">
        <f t="shared" si="0"/>
        <v>Toiture D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7" t="s">
        <v>161</v>
      </c>
      <c r="B22" s="925">
        <v>1</v>
      </c>
      <c r="C22" s="984">
        <v>13.23</v>
      </c>
      <c r="D22" s="926">
        <v>616.08000000000004</v>
      </c>
      <c r="E22" s="926">
        <v>605.82000000000005</v>
      </c>
      <c r="F22" s="986"/>
      <c r="G22" s="1014">
        <f t="shared" si="1"/>
        <v>13.387300720010273</v>
      </c>
      <c r="H22" s="992">
        <f t="shared" ref="H22:H29" si="6">DEGREES(ATAN2(CHOOSE($N$14,E$16,E$17,E$18,E$19)-$E22,CHOOSE($N$14,D$16,D$17,D$18,D$19)-$D22))</f>
        <v>-13.201311636468532</v>
      </c>
      <c r="I22" s="993">
        <v>2</v>
      </c>
      <c r="J22" s="1009">
        <f t="shared" si="2"/>
        <v>4.9483682250530299</v>
      </c>
      <c r="K22" s="1004">
        <f t="shared" si="3"/>
        <v>92.615298952170903</v>
      </c>
      <c r="L22" s="1003">
        <f t="shared" si="4"/>
        <v>9.5386967465383972</v>
      </c>
      <c r="M22" s="1004">
        <f t="shared" si="5"/>
        <v>92.042340800307699</v>
      </c>
      <c r="N22" s="1015" t="str">
        <f t="shared" si="0"/>
        <v>Arbre 6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7" t="s">
        <v>339</v>
      </c>
      <c r="B23" s="925">
        <v>1</v>
      </c>
      <c r="C23" s="984">
        <v>10.02</v>
      </c>
      <c r="D23" s="926">
        <v>594.89</v>
      </c>
      <c r="E23" s="926">
        <v>643.05999999999995</v>
      </c>
      <c r="F23" s="986"/>
      <c r="G23" s="1014">
        <f t="shared" si="1"/>
        <v>34.663362636190861</v>
      </c>
      <c r="H23" s="992">
        <f t="shared" si="6"/>
        <v>0.18598908354174226</v>
      </c>
      <c r="I23" s="993">
        <f t="shared" ref="I23:I29" si="7">DEGREES(ATAN2(M23,$L23-L$14))</f>
        <v>3.3259528893225832</v>
      </c>
      <c r="J23" s="1009">
        <f t="shared" si="2"/>
        <v>3.7477437350741769</v>
      </c>
      <c r="K23" s="1004">
        <f t="shared" si="3"/>
        <v>120.72471205184129</v>
      </c>
      <c r="L23" s="1003">
        <f t="shared" si="4"/>
        <v>9.4279412156074258</v>
      </c>
      <c r="M23" s="1004">
        <f t="shared" si="5"/>
        <v>52.37027592060214</v>
      </c>
      <c r="N23" s="1015" t="str">
        <f t="shared" si="0"/>
        <v>Arbre 7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7" t="s">
        <v>340</v>
      </c>
      <c r="B24" s="925">
        <v>2</v>
      </c>
      <c r="C24" s="984">
        <v>2.56</v>
      </c>
      <c r="D24" s="926">
        <v>547.12</v>
      </c>
      <c r="E24" s="926">
        <v>626.58000000000004</v>
      </c>
      <c r="F24" s="986"/>
      <c r="G24" s="1014">
        <f t="shared" si="1"/>
        <v>20.562038058309248</v>
      </c>
      <c r="H24" s="992">
        <f t="shared" si="6"/>
        <v>34.849351719732603</v>
      </c>
      <c r="I24" s="993">
        <f t="shared" si="7"/>
        <v>4.696356714752798</v>
      </c>
      <c r="J24" s="1009">
        <f t="shared" si="2"/>
        <v>4.790774619675477</v>
      </c>
      <c r="K24" s="1004">
        <f t="shared" si="3"/>
        <v>139.4417172154732</v>
      </c>
      <c r="L24" s="1003">
        <f t="shared" si="4"/>
        <v>13.276638171546788</v>
      </c>
      <c r="M24" s="1004">
        <f t="shared" si="5"/>
        <v>83.896162605926037</v>
      </c>
      <c r="N24" s="1015" t="str">
        <f t="shared" si="0"/>
        <v>Arbre 8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7" t="s">
        <v>341</v>
      </c>
      <c r="B25" s="925">
        <v>2</v>
      </c>
      <c r="C25" s="984">
        <v>2.84</v>
      </c>
      <c r="D25" s="926">
        <v>522.26</v>
      </c>
      <c r="E25" s="926">
        <v>645.23</v>
      </c>
      <c r="F25" s="986" t="s">
        <v>135</v>
      </c>
      <c r="G25" s="1014">
        <f t="shared" si="1"/>
        <v>7.5009999999999977</v>
      </c>
      <c r="H25" s="992">
        <f t="shared" si="6"/>
        <v>55.411389778041851</v>
      </c>
      <c r="I25" s="993">
        <f t="shared" si="7"/>
        <v>5.1618397152417588</v>
      </c>
      <c r="J25" s="1009">
        <f t="shared" si="2"/>
        <v>5.3147655937024822</v>
      </c>
      <c r="K25" s="1004">
        <f t="shared" si="3"/>
        <v>137.41020195021912</v>
      </c>
      <c r="L25" s="1003">
        <f t="shared" si="4"/>
        <v>14.372876366164663</v>
      </c>
      <c r="M25" s="1004">
        <f t="shared" si="5"/>
        <v>88.430085378224007</v>
      </c>
      <c r="N25" s="1015" t="str">
        <f t="shared" si="0"/>
        <v>Arbre 9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7" t="s">
        <v>342</v>
      </c>
      <c r="B26" s="925">
        <v>2</v>
      </c>
      <c r="C26" s="984">
        <v>1.5</v>
      </c>
      <c r="D26" s="926">
        <v>569.26</v>
      </c>
      <c r="E26" s="926">
        <v>681.28</v>
      </c>
      <c r="F26" s="986"/>
      <c r="G26" s="1014">
        <f t="shared" si="1"/>
        <v>19.696391444055273</v>
      </c>
      <c r="H26" s="992">
        <f t="shared" si="6"/>
        <v>61.257451030248376</v>
      </c>
      <c r="I26" s="993">
        <f t="shared" si="7"/>
        <v>-1.6235761846460082</v>
      </c>
      <c r="J26" s="1009">
        <f t="shared" si="2"/>
        <v>2.8070945037161001</v>
      </c>
      <c r="K26" s="1004">
        <f t="shared" si="3"/>
        <v>80.772124523253737</v>
      </c>
      <c r="L26" s="1003">
        <f t="shared" si="4"/>
        <v>5.5504413293830446</v>
      </c>
      <c r="M26" s="1004">
        <f t="shared" si="5"/>
        <v>29.425541626281021</v>
      </c>
      <c r="N26" s="1015" t="str">
        <f t="shared" si="0"/>
        <v>Arbre 10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7" t="s">
        <v>343</v>
      </c>
      <c r="B27" s="925">
        <v>2</v>
      </c>
      <c r="C27" s="984">
        <v>2.4900000000000002</v>
      </c>
      <c r="D27" s="926">
        <v>542.64</v>
      </c>
      <c r="E27" s="926">
        <v>688.63</v>
      </c>
      <c r="F27" s="986"/>
      <c r="G27" s="1014">
        <f t="shared" si="1"/>
        <v>15.954624533878814</v>
      </c>
      <c r="H27" s="992">
        <f t="shared" si="6"/>
        <v>82.608781222097122</v>
      </c>
      <c r="I27" s="993">
        <f t="shared" si="7"/>
        <v>2.9073028621022723</v>
      </c>
      <c r="J27" s="1009">
        <f t="shared" si="2"/>
        <v>4.6597768761687259</v>
      </c>
      <c r="K27" s="1004">
        <f t="shared" si="3"/>
        <v>91.757301616819618</v>
      </c>
      <c r="L27" s="1003">
        <f t="shared" si="4"/>
        <v>9.06897572895652</v>
      </c>
      <c r="M27" s="1004">
        <f t="shared" si="5"/>
        <v>52.859213009654191</v>
      </c>
      <c r="N27" s="1015" t="str">
        <f t="shared" si="0"/>
        <v>Arbre 12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7" t="s">
        <v>344</v>
      </c>
      <c r="B28" s="925">
        <v>2</v>
      </c>
      <c r="C28" s="984">
        <v>1.7</v>
      </c>
      <c r="D28" s="926">
        <v>549.57000000000005</v>
      </c>
      <c r="E28" s="926">
        <v>702.28</v>
      </c>
      <c r="F28" s="986"/>
      <c r="G28" s="1014">
        <f t="shared" si="1"/>
        <v>10.865997888746477</v>
      </c>
      <c r="H28" s="992">
        <f t="shared" si="6"/>
        <v>98.563405755975936</v>
      </c>
      <c r="I28" s="993">
        <f t="shared" si="7"/>
        <v>-0.60180274032356051</v>
      </c>
      <c r="J28" s="1009">
        <f t="shared" si="2"/>
        <v>3.1813737708782464</v>
      </c>
      <c r="K28" s="1004">
        <f t="shared" si="3"/>
        <v>77.565359536329112</v>
      </c>
      <c r="L28" s="1003">
        <f t="shared" si="4"/>
        <v>5.9012828437274232</v>
      </c>
      <c r="M28" s="1004">
        <f t="shared" si="5"/>
        <v>46.002854259273853</v>
      </c>
      <c r="N28" s="1015" t="str">
        <f t="shared" si="0"/>
        <v>Arbre 11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7" t="s">
        <v>345</v>
      </c>
      <c r="B29" s="925">
        <v>2</v>
      </c>
      <c r="C29" s="984">
        <v>4.74</v>
      </c>
      <c r="D29" s="926">
        <v>518.94000000000005</v>
      </c>
      <c r="E29" s="926">
        <v>722.28</v>
      </c>
      <c r="F29" s="986"/>
      <c r="G29" s="1014">
        <f t="shared" si="1"/>
        <v>31.570596355277587</v>
      </c>
      <c r="H29" s="992">
        <f t="shared" si="6"/>
        <v>109.42940364472241</v>
      </c>
      <c r="I29" s="993">
        <f t="shared" si="7"/>
        <v>7.1227851388083225</v>
      </c>
      <c r="J29" s="1009">
        <f t="shared" si="2"/>
        <v>8.8704186317428757</v>
      </c>
      <c r="K29" s="1004">
        <f t="shared" si="3"/>
        <v>95.349341371610961</v>
      </c>
      <c r="L29" s="1003">
        <f t="shared" si="4"/>
        <v>16.470877154411461</v>
      </c>
      <c r="M29" s="1004">
        <f t="shared" si="5"/>
        <v>80.716645742993961</v>
      </c>
      <c r="N29" s="1015" t="str">
        <f t="shared" si="0"/>
        <v>Arbre 13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7" t="s">
        <v>288</v>
      </c>
      <c r="B30" s="925"/>
      <c r="C30" s="984"/>
      <c r="D30" s="926"/>
      <c r="E30" s="926"/>
      <c r="F30" s="986"/>
      <c r="G30" s="1014">
        <f t="shared" si="1"/>
        <v>90</v>
      </c>
      <c r="H30" s="992">
        <f>+Azi_pv_sel+90</f>
        <v>141</v>
      </c>
      <c r="I30" s="993">
        <v>1</v>
      </c>
      <c r="J30" s="1009">
        <f t="shared" si="2"/>
        <v>0</v>
      </c>
      <c r="K30" s="1004">
        <f t="shared" si="3"/>
        <v>0</v>
      </c>
      <c r="L30" s="1003">
        <f t="shared" si="4"/>
        <v>0</v>
      </c>
      <c r="M30" s="1004">
        <f t="shared" si="5"/>
        <v>0</v>
      </c>
      <c r="N30" s="1015" t="str">
        <f t="shared" si="0"/>
        <v>Toiture 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7" t="s">
        <v>163</v>
      </c>
      <c r="B31" s="925"/>
      <c r="C31" s="984"/>
      <c r="D31" s="926"/>
      <c r="E31" s="926"/>
      <c r="F31" s="986"/>
      <c r="G31" s="1014" t="str">
        <f t="shared" si="1"/>
        <v/>
      </c>
      <c r="H31" s="992">
        <f>+Azi_pv_sel+180</f>
        <v>231</v>
      </c>
      <c r="I31" s="993">
        <v>18.262889942194128</v>
      </c>
      <c r="J31" s="1009">
        <f t="shared" si="2"/>
        <v>0</v>
      </c>
      <c r="K31" s="1004">
        <f t="shared" si="3"/>
        <v>0</v>
      </c>
      <c r="L31" s="1003">
        <f t="shared" si="4"/>
        <v>0</v>
      </c>
      <c r="M31" s="1004">
        <f t="shared" si="5"/>
        <v>0</v>
      </c>
      <c r="N31" s="1015" t="str">
        <f t="shared" si="0"/>
        <v>Arrière PV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7"/>
      <c r="B32" s="925"/>
      <c r="C32" s="985"/>
      <c r="D32" s="926"/>
      <c r="E32" s="926"/>
      <c r="F32" s="986"/>
      <c r="G32" s="1014" t="str">
        <f t="shared" si="1"/>
        <v/>
      </c>
      <c r="H32" s="992">
        <f t="shared" ref="H32:I32" si="8">+H31</f>
        <v>231</v>
      </c>
      <c r="I32" s="993">
        <f t="shared" si="8"/>
        <v>18.262889942194128</v>
      </c>
      <c r="J32" s="1009">
        <f t="shared" si="2"/>
        <v>0</v>
      </c>
      <c r="K32" s="1004">
        <f t="shared" si="3"/>
        <v>0</v>
      </c>
      <c r="L32" s="1003">
        <f t="shared" si="4"/>
        <v>0</v>
      </c>
      <c r="M32" s="1004">
        <f t="shared" si="5"/>
        <v>0</v>
      </c>
      <c r="N32" s="1015">
        <f t="shared" si="0"/>
        <v>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7"/>
      <c r="B33" s="925"/>
      <c r="C33" s="985"/>
      <c r="D33" s="926"/>
      <c r="E33" s="926"/>
      <c r="F33" s="986"/>
      <c r="G33" s="1014" t="str">
        <f t="shared" si="1"/>
        <v/>
      </c>
      <c r="H33" s="992">
        <f t="shared" ref="H33:I33" si="9">+H32</f>
        <v>231</v>
      </c>
      <c r="I33" s="993">
        <f t="shared" si="9"/>
        <v>18.262889942194128</v>
      </c>
      <c r="J33" s="1009">
        <f t="shared" si="2"/>
        <v>0</v>
      </c>
      <c r="K33" s="1004">
        <f t="shared" si="3"/>
        <v>0</v>
      </c>
      <c r="L33" s="1003">
        <f t="shared" si="4"/>
        <v>0</v>
      </c>
      <c r="M33" s="1004">
        <f t="shared" si="5"/>
        <v>0</v>
      </c>
      <c r="N33" s="1015">
        <f t="shared" si="0"/>
        <v>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7"/>
      <c r="B34" s="925"/>
      <c r="C34" s="985"/>
      <c r="D34" s="926"/>
      <c r="E34" s="926"/>
      <c r="F34" s="986"/>
      <c r="G34" s="1014" t="str">
        <f t="shared" si="1"/>
        <v/>
      </c>
      <c r="H34" s="992">
        <f t="shared" ref="H34:I34" si="10">+H33</f>
        <v>231</v>
      </c>
      <c r="I34" s="993">
        <f t="shared" si="10"/>
        <v>18.262889942194128</v>
      </c>
      <c r="J34" s="1009">
        <f t="shared" si="2"/>
        <v>0</v>
      </c>
      <c r="K34" s="1004">
        <f t="shared" si="3"/>
        <v>0</v>
      </c>
      <c r="L34" s="1003">
        <f t="shared" si="4"/>
        <v>0</v>
      </c>
      <c r="M34" s="1004">
        <f t="shared" si="5"/>
        <v>0</v>
      </c>
      <c r="N34" s="1015">
        <f t="shared" si="0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7"/>
      <c r="B35" s="925"/>
      <c r="C35" s="979"/>
      <c r="D35" s="926"/>
      <c r="E35" s="926"/>
      <c r="F35" s="986"/>
      <c r="G35" s="1014" t="str">
        <f t="shared" si="1"/>
        <v/>
      </c>
      <c r="H35" s="992">
        <f t="shared" ref="H35:I35" si="11">+H34</f>
        <v>231</v>
      </c>
      <c r="I35" s="993">
        <f t="shared" si="11"/>
        <v>18.262889942194128</v>
      </c>
      <c r="J35" s="1009">
        <f t="shared" si="2"/>
        <v>0</v>
      </c>
      <c r="K35" s="1004">
        <f t="shared" si="3"/>
        <v>0</v>
      </c>
      <c r="L35" s="1003">
        <f t="shared" si="4"/>
        <v>0</v>
      </c>
      <c r="M35" s="1004">
        <f t="shared" si="5"/>
        <v>0</v>
      </c>
      <c r="N35" s="1015">
        <f t="shared" si="0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7"/>
      <c r="B36" s="925"/>
      <c r="C36" s="979"/>
      <c r="D36" s="926"/>
      <c r="E36" s="926"/>
      <c r="F36" s="986"/>
      <c r="G36" s="1014" t="str">
        <f t="shared" si="1"/>
        <v/>
      </c>
      <c r="H36" s="992">
        <f t="shared" ref="H36:I36" si="12">+H35</f>
        <v>231</v>
      </c>
      <c r="I36" s="993">
        <f t="shared" si="12"/>
        <v>18.262889942194128</v>
      </c>
      <c r="J36" s="1009">
        <f t="shared" si="2"/>
        <v>0</v>
      </c>
      <c r="K36" s="1004">
        <f t="shared" si="3"/>
        <v>0</v>
      </c>
      <c r="L36" s="1003">
        <f t="shared" si="4"/>
        <v>0</v>
      </c>
      <c r="M36" s="1004">
        <f t="shared" si="5"/>
        <v>0</v>
      </c>
      <c r="N36" s="1015">
        <f t="shared" si="0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7"/>
      <c r="B37" s="925"/>
      <c r="C37" s="979"/>
      <c r="D37" s="926"/>
      <c r="E37" s="926"/>
      <c r="F37" s="986"/>
      <c r="G37" s="1014" t="str">
        <f t="shared" si="1"/>
        <v/>
      </c>
      <c r="H37" s="992">
        <f t="shared" ref="H37:I37" si="13">+H36</f>
        <v>231</v>
      </c>
      <c r="I37" s="993">
        <f t="shared" si="13"/>
        <v>18.262889942194128</v>
      </c>
      <c r="J37" s="1009">
        <f t="shared" si="2"/>
        <v>0</v>
      </c>
      <c r="K37" s="1004">
        <f t="shared" si="3"/>
        <v>0</v>
      </c>
      <c r="L37" s="1003">
        <f t="shared" si="4"/>
        <v>0</v>
      </c>
      <c r="M37" s="1004">
        <f t="shared" si="5"/>
        <v>0</v>
      </c>
      <c r="N37" s="1015">
        <f t="shared" si="0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7"/>
      <c r="B38" s="925"/>
      <c r="C38" s="979"/>
      <c r="D38" s="926"/>
      <c r="E38" s="926"/>
      <c r="F38" s="986"/>
      <c r="G38" s="1014" t="str">
        <f t="shared" si="1"/>
        <v/>
      </c>
      <c r="H38" s="992">
        <f t="shared" ref="H38:I38" si="14">+H37</f>
        <v>231</v>
      </c>
      <c r="I38" s="993">
        <f t="shared" si="14"/>
        <v>18.262889942194128</v>
      </c>
      <c r="J38" s="1009">
        <f t="shared" si="2"/>
        <v>0</v>
      </c>
      <c r="K38" s="1004">
        <f t="shared" si="3"/>
        <v>0</v>
      </c>
      <c r="L38" s="1003">
        <f t="shared" si="4"/>
        <v>0</v>
      </c>
      <c r="M38" s="1004">
        <f t="shared" si="5"/>
        <v>0</v>
      </c>
      <c r="N38" s="1015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7"/>
      <c r="B39" s="925"/>
      <c r="C39" s="979"/>
      <c r="D39" s="926"/>
      <c r="E39" s="926"/>
      <c r="F39" s="986"/>
      <c r="G39" s="1014" t="str">
        <f t="shared" si="1"/>
        <v/>
      </c>
      <c r="H39" s="992">
        <f t="shared" ref="H39:I39" si="15">+H38</f>
        <v>231</v>
      </c>
      <c r="I39" s="993">
        <f t="shared" si="15"/>
        <v>18.262889942194128</v>
      </c>
      <c r="J39" s="1009">
        <f t="shared" si="2"/>
        <v>0</v>
      </c>
      <c r="K39" s="1004">
        <f t="shared" si="3"/>
        <v>0</v>
      </c>
      <c r="L39" s="1003">
        <f t="shared" si="4"/>
        <v>0</v>
      </c>
      <c r="M39" s="1004">
        <f t="shared" si="5"/>
        <v>0</v>
      </c>
      <c r="N39" s="1015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7"/>
      <c r="B40" s="925"/>
      <c r="C40" s="979"/>
      <c r="D40" s="926"/>
      <c r="E40" s="926"/>
      <c r="F40" s="986"/>
      <c r="G40" s="1014" t="str">
        <f t="shared" si="1"/>
        <v/>
      </c>
      <c r="H40" s="992">
        <f t="shared" ref="H40:I40" si="16">+H39</f>
        <v>231</v>
      </c>
      <c r="I40" s="993">
        <f t="shared" si="16"/>
        <v>18.262889942194128</v>
      </c>
      <c r="J40" s="1009">
        <f t="shared" si="2"/>
        <v>0</v>
      </c>
      <c r="K40" s="1004">
        <f t="shared" si="3"/>
        <v>0</v>
      </c>
      <c r="L40" s="1003">
        <f t="shared" si="4"/>
        <v>0</v>
      </c>
      <c r="M40" s="1004">
        <f t="shared" si="5"/>
        <v>0</v>
      </c>
      <c r="N40" s="1015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7"/>
      <c r="B41" s="925"/>
      <c r="C41" s="979"/>
      <c r="D41" s="926"/>
      <c r="E41" s="926"/>
      <c r="F41" s="986"/>
      <c r="G41" s="1014" t="str">
        <f t="shared" si="1"/>
        <v/>
      </c>
      <c r="H41" s="992">
        <f t="shared" ref="H41:I41" si="17">+H40</f>
        <v>231</v>
      </c>
      <c r="I41" s="993">
        <f t="shared" si="17"/>
        <v>18.262889942194128</v>
      </c>
      <c r="J41" s="1009">
        <f t="shared" si="2"/>
        <v>0</v>
      </c>
      <c r="K41" s="1004">
        <f t="shared" si="3"/>
        <v>0</v>
      </c>
      <c r="L41" s="1003">
        <f t="shared" si="4"/>
        <v>0</v>
      </c>
      <c r="M41" s="1004">
        <f t="shared" si="5"/>
        <v>0</v>
      </c>
      <c r="N41" s="1015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7"/>
      <c r="B42" s="925"/>
      <c r="C42" s="979"/>
      <c r="D42" s="926"/>
      <c r="E42" s="926"/>
      <c r="F42" s="986"/>
      <c r="G42" s="1014" t="str">
        <f t="shared" si="1"/>
        <v/>
      </c>
      <c r="H42" s="992">
        <f t="shared" ref="H42:I42" si="18">+H41</f>
        <v>231</v>
      </c>
      <c r="I42" s="993">
        <f t="shared" si="18"/>
        <v>18.262889942194128</v>
      </c>
      <c r="J42" s="1009">
        <f t="shared" si="2"/>
        <v>0</v>
      </c>
      <c r="K42" s="1004">
        <f t="shared" si="3"/>
        <v>0</v>
      </c>
      <c r="L42" s="1003">
        <f t="shared" si="4"/>
        <v>0</v>
      </c>
      <c r="M42" s="1004">
        <f t="shared" si="5"/>
        <v>0</v>
      </c>
      <c r="N42" s="1015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71"/>
      <c r="B43" s="972"/>
      <c r="C43" s="981"/>
      <c r="D43" s="982"/>
      <c r="E43" s="982"/>
      <c r="F43" s="1001"/>
      <c r="G43" s="1114"/>
      <c r="H43" s="994">
        <f t="shared" ref="H43:I43" si="19">+H42</f>
        <v>231</v>
      </c>
      <c r="I43" s="995">
        <f t="shared" si="19"/>
        <v>18.262889942194128</v>
      </c>
      <c r="J43" s="1011"/>
      <c r="K43" s="1006"/>
      <c r="L43" s="1005"/>
      <c r="M43" s="1006"/>
      <c r="N43" s="1016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70" t="s">
        <v>188</v>
      </c>
      <c r="B44" s="928"/>
      <c r="C44" s="929"/>
      <c r="D44" s="625"/>
      <c r="E44" s="660"/>
      <c r="F44" s="980"/>
      <c r="G44" s="625"/>
      <c r="H44" s="930"/>
      <c r="I44" s="930"/>
      <c r="J44" s="929"/>
      <c r="K44" s="625"/>
      <c r="L44" s="928"/>
      <c r="M44" s="928"/>
      <c r="N44" s="1020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7" t="s">
        <v>337</v>
      </c>
      <c r="B45" s="925">
        <v>1</v>
      </c>
      <c r="C45" s="984"/>
      <c r="D45" s="926">
        <v>668.36</v>
      </c>
      <c r="E45" s="926">
        <v>726.51</v>
      </c>
      <c r="F45" s="986"/>
      <c r="G45" s="1014"/>
      <c r="H45" s="992"/>
      <c r="I45" s="993"/>
      <c r="J45" s="1009"/>
      <c r="K45" s="1004"/>
      <c r="L45" s="1003"/>
      <c r="M45" s="1004"/>
      <c r="N45" s="1015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7" t="s">
        <v>336</v>
      </c>
      <c r="B46" s="925">
        <v>1</v>
      </c>
      <c r="C46" s="984">
        <v>21.06</v>
      </c>
      <c r="D46" s="926">
        <v>670.82</v>
      </c>
      <c r="E46" s="926">
        <v>714.58</v>
      </c>
      <c r="F46" s="986"/>
      <c r="G46" s="1014"/>
      <c r="H46" s="992"/>
      <c r="I46" s="993"/>
      <c r="J46" s="1009"/>
      <c r="K46" s="1004"/>
      <c r="L46" s="1003"/>
      <c r="M46" s="1004"/>
      <c r="N46" s="1015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9" customFormat="1" ht="12.75" x14ac:dyDescent="0.2">
      <c r="A47" s="927" t="s">
        <v>338</v>
      </c>
      <c r="B47" s="925">
        <v>1</v>
      </c>
      <c r="C47" s="984">
        <v>8</v>
      </c>
      <c r="D47" s="926">
        <v>681.06</v>
      </c>
      <c r="E47" s="926">
        <v>701.07</v>
      </c>
      <c r="F47" s="986"/>
      <c r="G47" s="1014"/>
      <c r="H47" s="992"/>
      <c r="I47" s="993"/>
      <c r="J47" s="1009"/>
      <c r="K47" s="1004"/>
      <c r="L47" s="1003"/>
      <c r="M47" s="1004"/>
      <c r="N47" s="1015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7" t="s">
        <v>157</v>
      </c>
      <c r="B48" s="925">
        <v>3</v>
      </c>
      <c r="C48" s="984">
        <v>7.94</v>
      </c>
      <c r="D48" s="926">
        <v>629.08000000000004</v>
      </c>
      <c r="E48" s="926">
        <v>685.77</v>
      </c>
      <c r="F48" s="986"/>
      <c r="G48" s="1014"/>
      <c r="H48" s="992"/>
      <c r="I48" s="993"/>
      <c r="J48" s="1009"/>
      <c r="K48" s="1004"/>
      <c r="L48" s="1003"/>
      <c r="M48" s="1004"/>
      <c r="N48" s="1015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4" customFormat="1" ht="12.75" x14ac:dyDescent="0.2">
      <c r="A49" s="927" t="s">
        <v>158</v>
      </c>
      <c r="B49" s="925">
        <v>1</v>
      </c>
      <c r="C49" s="984">
        <v>23.71</v>
      </c>
      <c r="D49" s="926">
        <v>656.77</v>
      </c>
      <c r="E49" s="926">
        <v>676.18</v>
      </c>
      <c r="F49" s="986"/>
      <c r="G49" s="1014"/>
      <c r="H49" s="992"/>
      <c r="I49" s="993"/>
      <c r="J49" s="1009"/>
      <c r="K49" s="1004"/>
      <c r="L49" s="1003"/>
      <c r="M49" s="1004"/>
      <c r="N49" s="1015"/>
      <c r="O49" s="698"/>
      <c r="P49" s="694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9" customFormat="1" ht="12.75" x14ac:dyDescent="0.2">
      <c r="A50" s="927" t="s">
        <v>156</v>
      </c>
      <c r="B50" s="925">
        <v>1</v>
      </c>
      <c r="C50" s="984">
        <v>38.5</v>
      </c>
      <c r="D50" s="926">
        <v>688.01</v>
      </c>
      <c r="E50" s="926">
        <v>665</v>
      </c>
      <c r="F50" s="986"/>
      <c r="G50" s="1014"/>
      <c r="H50" s="992"/>
      <c r="I50" s="993"/>
      <c r="J50" s="1009"/>
      <c r="K50" s="1004"/>
      <c r="L50" s="1003"/>
      <c r="M50" s="1004"/>
      <c r="N50" s="1015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7" t="s">
        <v>159</v>
      </c>
      <c r="B51" s="925">
        <v>1</v>
      </c>
      <c r="C51" s="984">
        <v>44.7</v>
      </c>
      <c r="D51" s="926">
        <v>664.48</v>
      </c>
      <c r="E51" s="926">
        <v>632.73</v>
      </c>
      <c r="F51" s="986"/>
      <c r="G51" s="1014"/>
      <c r="H51" s="992"/>
      <c r="I51" s="993"/>
      <c r="J51" s="1009"/>
      <c r="K51" s="1004"/>
      <c r="L51" s="1003"/>
      <c r="M51" s="1004"/>
      <c r="N51" s="1015"/>
      <c r="O51" s="698"/>
      <c r="P51" s="69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s="34" customFormat="1" ht="12.75" x14ac:dyDescent="0.2">
      <c r="A52" s="927" t="s">
        <v>160</v>
      </c>
      <c r="B52" s="925">
        <v>3</v>
      </c>
      <c r="C52" s="984">
        <v>2.94</v>
      </c>
      <c r="D52" s="926">
        <v>608.53</v>
      </c>
      <c r="E52" s="926">
        <v>683.25</v>
      </c>
      <c r="F52" s="986"/>
      <c r="G52" s="1014"/>
      <c r="H52" s="992"/>
      <c r="I52" s="993"/>
      <c r="J52" s="1009"/>
      <c r="K52" s="1004"/>
      <c r="L52" s="1003"/>
      <c r="M52" s="1004"/>
      <c r="N52" s="1015"/>
      <c r="O52" s="698"/>
      <c r="P52" s="694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</row>
    <row r="53" spans="1:51" ht="21" x14ac:dyDescent="0.35">
      <c r="A53" s="661" t="s">
        <v>170</v>
      </c>
      <c r="C53" s="634"/>
      <c r="F53" s="15"/>
      <c r="K53" s="15"/>
      <c r="L53" s="634"/>
      <c r="M53" s="931"/>
      <c r="N53" s="41"/>
      <c r="O53" s="932"/>
      <c r="P53" s="21"/>
      <c r="R53" s="21"/>
      <c r="S53" s="342"/>
    </row>
    <row r="54" spans="1:51" s="36" customFormat="1" ht="15.75" x14ac:dyDescent="0.25">
      <c r="A54" s="696"/>
      <c r="B54" s="696" t="s">
        <v>199</v>
      </c>
      <c r="C54" s="1111">
        <v>1</v>
      </c>
      <c r="E54" s="694"/>
      <c r="G54" s="696" t="s">
        <v>334</v>
      </c>
      <c r="H54" s="1138">
        <f>I1</f>
        <v>44600</v>
      </c>
      <c r="L54" s="1037"/>
      <c r="P54" s="693" t="s">
        <v>289</v>
      </c>
      <c r="R54" s="694"/>
      <c r="V54" s="694"/>
      <c r="X54" s="694"/>
      <c r="Y54" s="700"/>
      <c r="Z54" s="694"/>
      <c r="AA54" s="693" t="s">
        <v>290</v>
      </c>
      <c r="AM54" s="82"/>
      <c r="AN54" s="1222" t="s">
        <v>324</v>
      </c>
      <c r="AO54" s="1223"/>
      <c r="AP54" s="1218" t="s">
        <v>325</v>
      </c>
      <c r="AQ54" s="1219"/>
      <c r="AR54" s="1218" t="s">
        <v>326</v>
      </c>
      <c r="AS54" s="1219"/>
      <c r="AT54" s="1218" t="s">
        <v>327</v>
      </c>
      <c r="AU54" s="1219"/>
      <c r="AV54" s="1218" t="s">
        <v>328</v>
      </c>
      <c r="AW54" s="1219"/>
    </row>
    <row r="55" spans="1:51" s="4" customFormat="1" x14ac:dyDescent="0.25">
      <c r="A55" s="718" t="str">
        <f>Station</f>
        <v>Garderie Labège</v>
      </c>
      <c r="B55" s="1231" t="s">
        <v>314</v>
      </c>
      <c r="C55" s="1228" t="str">
        <f>"Hauteur fonction de la croissance vue du champ PV "&amp;ZonePV</f>
        <v>Hauteur fonction de la croissance vue du champ PV 3</v>
      </c>
      <c r="D55" s="1229"/>
      <c r="E55" s="1229"/>
      <c r="F55" s="1229"/>
      <c r="G55" s="1229"/>
      <c r="H55" s="1229"/>
      <c r="I55" s="1229"/>
      <c r="J55" s="1229"/>
      <c r="K55" s="1229"/>
      <c r="L55" s="1229"/>
      <c r="M55" s="1230"/>
      <c r="O55" s="933" t="str">
        <f>Station</f>
        <v>Garderie Labège</v>
      </c>
      <c r="P55" s="934">
        <f>Azi_pv_sel</f>
        <v>51</v>
      </c>
      <c r="Q55" s="1228" t="str">
        <f>"Elevation vue du champ PV zone: "&amp;ZonePV</f>
        <v>Elevation vue du champ PV zone: 3</v>
      </c>
      <c r="R55" s="1229"/>
      <c r="S55" s="1229"/>
      <c r="T55" s="1229"/>
      <c r="U55" s="1229"/>
      <c r="V55" s="1229"/>
      <c r="W55" s="1229"/>
      <c r="X55" s="1229"/>
      <c r="Y55" s="1229"/>
      <c r="Z55" s="1230"/>
      <c r="AA55" s="935">
        <f>Ram_pv</f>
        <v>0.33</v>
      </c>
      <c r="AB55" s="2"/>
      <c r="AC55" s="2"/>
      <c r="AD55" s="28"/>
      <c r="AG55" s="936"/>
      <c r="AH55" s="937" t="s">
        <v>291</v>
      </c>
      <c r="AJ55" s="1226" t="s">
        <v>321</v>
      </c>
      <c r="AK55" s="1078"/>
      <c r="AL55" s="1078"/>
      <c r="AM55" s="1078"/>
      <c r="AN55" s="1224" t="s">
        <v>315</v>
      </c>
      <c r="AO55" s="1225"/>
      <c r="AP55" s="1220" t="s">
        <v>315</v>
      </c>
      <c r="AQ55" s="1221"/>
      <c r="AR55" s="1220" t="s">
        <v>315</v>
      </c>
      <c r="AS55" s="1221"/>
      <c r="AT55" s="1220" t="s">
        <v>315</v>
      </c>
      <c r="AU55" s="1221"/>
      <c r="AV55" s="1220" t="s">
        <v>315</v>
      </c>
      <c r="AW55" s="1221"/>
    </row>
    <row r="56" spans="1:51" s="19" customFormat="1" ht="13.5" thickBot="1" x14ac:dyDescent="0.25">
      <c r="A56" s="719" t="s">
        <v>313</v>
      </c>
      <c r="B56" s="1231"/>
      <c r="C56" s="701">
        <f>+D$56-$C$54</f>
        <v>-5</v>
      </c>
      <c r="D56" s="701">
        <f>+E$56-$C$54</f>
        <v>-4</v>
      </c>
      <c r="E56" s="701">
        <f>+F$56-$C$54</f>
        <v>-3</v>
      </c>
      <c r="F56" s="701">
        <f>+G$56-$C$54</f>
        <v>-2</v>
      </c>
      <c r="G56" s="701">
        <f>+H$56-$C$54</f>
        <v>-1</v>
      </c>
      <c r="H56" s="702">
        <v>0</v>
      </c>
      <c r="I56" s="701">
        <f>$C$54+H$56</f>
        <v>1</v>
      </c>
      <c r="J56" s="701">
        <f>$C$54+I$56</f>
        <v>2</v>
      </c>
      <c r="K56" s="701">
        <f>$C$54+J$56</f>
        <v>3</v>
      </c>
      <c r="L56" s="701">
        <f>$C$54+K$56</f>
        <v>4</v>
      </c>
      <c r="M56" s="701">
        <f>$C$54+L$56</f>
        <v>5</v>
      </c>
      <c r="N56" s="683" t="s">
        <v>154</v>
      </c>
      <c r="O56" s="683" t="str">
        <f>"zone "&amp;ZonePV</f>
        <v>zone 3</v>
      </c>
      <c r="P56" s="703" t="s">
        <v>153</v>
      </c>
      <c r="Q56" s="701">
        <f t="shared" ref="Q56:AA56" si="20">C56</f>
        <v>-5</v>
      </c>
      <c r="R56" s="701">
        <f t="shared" si="20"/>
        <v>-4</v>
      </c>
      <c r="S56" s="701">
        <f t="shared" si="20"/>
        <v>-3</v>
      </c>
      <c r="T56" s="701">
        <f t="shared" si="20"/>
        <v>-2</v>
      </c>
      <c r="U56" s="701">
        <f t="shared" si="20"/>
        <v>-1</v>
      </c>
      <c r="V56" s="702">
        <f t="shared" si="20"/>
        <v>0</v>
      </c>
      <c r="W56" s="701">
        <f t="shared" si="20"/>
        <v>1</v>
      </c>
      <c r="X56" s="701">
        <f t="shared" si="20"/>
        <v>2</v>
      </c>
      <c r="Y56" s="701">
        <f t="shared" si="20"/>
        <v>3</v>
      </c>
      <c r="Z56" s="701">
        <f t="shared" si="20"/>
        <v>4</v>
      </c>
      <c r="AA56" s="701">
        <f t="shared" si="20"/>
        <v>5</v>
      </c>
      <c r="AB56" s="124" t="s">
        <v>298</v>
      </c>
      <c r="AC56" s="939" t="s">
        <v>293</v>
      </c>
      <c r="AD56" s="938" t="s">
        <v>292</v>
      </c>
      <c r="AE56" s="939" t="s">
        <v>294</v>
      </c>
      <c r="AF56" s="940" t="s">
        <v>295</v>
      </c>
      <c r="AG56" s="941" t="s">
        <v>296</v>
      </c>
      <c r="AH56" s="942" t="s">
        <v>297</v>
      </c>
      <c r="AJ56" s="1227"/>
      <c r="AK56" s="82" t="s">
        <v>317</v>
      </c>
      <c r="AL56" s="82" t="s">
        <v>319</v>
      </c>
      <c r="AM56" s="82" t="s">
        <v>320</v>
      </c>
      <c r="AN56" s="1087" t="s">
        <v>318</v>
      </c>
      <c r="AO56" s="1088" t="s">
        <v>316</v>
      </c>
      <c r="AP56" s="1089" t="s">
        <v>318</v>
      </c>
      <c r="AQ56" s="1090" t="s">
        <v>316</v>
      </c>
      <c r="AR56" s="1089" t="s">
        <v>318</v>
      </c>
      <c r="AS56" s="1090" t="s">
        <v>316</v>
      </c>
      <c r="AT56" s="1089" t="s">
        <v>318</v>
      </c>
      <c r="AU56" s="1090" t="s">
        <v>316</v>
      </c>
      <c r="AV56" s="1089" t="s">
        <v>318</v>
      </c>
      <c r="AW56" s="1090" t="s">
        <v>316</v>
      </c>
    </row>
    <row r="57" spans="1:51" s="28" customFormat="1" ht="12.75" x14ac:dyDescent="0.2">
      <c r="A57" s="1038" t="str">
        <f t="shared" ref="A57:A80" si="21">A20</f>
        <v>Arrière PV</v>
      </c>
      <c r="B57" s="1041">
        <v>1</v>
      </c>
      <c r="C57" s="1097">
        <f t="shared" ref="C57:M57" si="22">$L20+C$56*Rapous</f>
        <v>-5</v>
      </c>
      <c r="D57" s="1097">
        <f t="shared" si="22"/>
        <v>-4</v>
      </c>
      <c r="E57" s="1097">
        <f t="shared" si="22"/>
        <v>-3</v>
      </c>
      <c r="F57" s="1097">
        <f t="shared" si="22"/>
        <v>-2</v>
      </c>
      <c r="G57" s="1098">
        <f t="shared" si="22"/>
        <v>-1</v>
      </c>
      <c r="H57" s="1099">
        <f t="shared" si="22"/>
        <v>0</v>
      </c>
      <c r="I57" s="1100">
        <f t="shared" si="22"/>
        <v>1</v>
      </c>
      <c r="J57" s="1097">
        <f t="shared" si="22"/>
        <v>2</v>
      </c>
      <c r="K57" s="1097">
        <f t="shared" si="22"/>
        <v>3</v>
      </c>
      <c r="L57" s="1097">
        <f t="shared" si="22"/>
        <v>4</v>
      </c>
      <c r="M57" s="1098">
        <f t="shared" si="22"/>
        <v>5</v>
      </c>
      <c r="N57" s="698">
        <f t="shared" ref="N57:N80" si="23">$M20</f>
        <v>0</v>
      </c>
      <c r="O57" s="943" t="str">
        <f t="shared" ref="O57:O80" si="24">N20</f>
        <v>Arrière PV</v>
      </c>
      <c r="P57" s="688">
        <f t="shared" ref="P57:P80" si="25">$H20+Azi_decal</f>
        <v>-129</v>
      </c>
      <c r="Q57" s="1101">
        <f t="shared" ref="Q57:Q80" si="26">MAX(IF($N57=0,$I20,DEGREES(ATAN2($N57,C57-H_pv))),Elev_F+0)</f>
        <v>18.262889942194128</v>
      </c>
      <c r="R57" s="698">
        <f t="shared" ref="R57:R80" si="27">MAX(IF($N57=0,$I20,DEGREES(ATAN2($N57,D57-H_pv))),Elev_F+0)</f>
        <v>18.262889942194128</v>
      </c>
      <c r="S57" s="698">
        <f t="shared" ref="S57:S80" si="28">MAX(IF($N57=0,$I20,DEGREES(ATAN2($N57,E57-H_pv))),Elev_F+0)</f>
        <v>18.262889942194128</v>
      </c>
      <c r="T57" s="698">
        <f t="shared" ref="T57:T80" si="29">MAX(IF($N57=0,$I20,DEGREES(ATAN2($N57,F57-H_pv))),Elev_F+0)</f>
        <v>18.262889942194128</v>
      </c>
      <c r="U57" s="959">
        <f t="shared" ref="U57:U80" si="30">MAX(IF($N57=0,$I20,DEGREES(ATAN2($N57,G57-H_pv))),Elev_F+0)</f>
        <v>18.262889942194128</v>
      </c>
      <c r="V57" s="1102">
        <f t="shared" ref="V57:V80" si="31">MAX(IF($N57=0,$I20,DEGREES(ATAN2($N57,H57-H_pv))),Elev_F+0)</f>
        <v>18.262889942194128</v>
      </c>
      <c r="W57" s="695">
        <f t="shared" ref="W57:W80" si="32">MAX(IF($N57=0,$I20,DEGREES(ATAN2($N57,I57-H_pv))),Elev_F+0)</f>
        <v>18.262889942194128</v>
      </c>
      <c r="X57" s="698">
        <f t="shared" ref="X57:X80" si="33">MAX(IF($N57=0,$I20,DEGREES(ATAN2($N57,J57-H_pv))),Elev_F+0)</f>
        <v>18.262889942194128</v>
      </c>
      <c r="Y57" s="698">
        <f t="shared" ref="Y57:Y80" si="34">MAX(IF($N57=0,$I20,DEGREES(ATAN2($N57,K57-H_pv))),Elev_F+0)</f>
        <v>18.262889942194128</v>
      </c>
      <c r="Z57" s="698">
        <f t="shared" ref="Z57:Z80" si="35">MAX(IF($N57=0,$I20,DEGREES(ATAN2($N57,L57-H_pv))),Elev_F+0)</f>
        <v>18.262889942194128</v>
      </c>
      <c r="AA57" s="959">
        <f t="shared" ref="AA57:AA80" si="36">MAX(IF($N57=0,$I20,DEGREES(ATAN2($N57,M57-H_pv))),Elev_F+0)</f>
        <v>18.262889942194128</v>
      </c>
      <c r="AB57" s="1065">
        <f t="shared" ref="AB57:AB79" si="37">(AA57+AA58)/2</f>
        <v>9.6314449710970642</v>
      </c>
      <c r="AC57" s="1066">
        <f>INDEX($AH$57:$AH$83,MATCH(AB57,$AG$57:$AG$83)+1)</f>
        <v>7.5010000000000003</v>
      </c>
      <c r="AD57" s="1067" t="b">
        <f t="shared" ref="AD57:AD80" si="38">G20&lt;AC57</f>
        <v>0</v>
      </c>
      <c r="AE57" s="1066">
        <f t="shared" ref="AE57:AE80" si="39">H21-H20</f>
        <v>90</v>
      </c>
      <c r="AF57" s="1068">
        <f>+IF(F15="D",AC56-AE56,IF(F20="G",AE57-AC57,0))</f>
        <v>0</v>
      </c>
      <c r="AG57" s="944">
        <v>-10</v>
      </c>
      <c r="AH57" s="945">
        <v>7.5</v>
      </c>
      <c r="AJ57" s="1079">
        <f t="shared" ref="AJ57:AJ80" si="40">AM57+(INDEX($AO$57:$AO$80,$AK57+1)-AM57)/(INDEX($AN$57:$AN$80,AK57+1)-AL57)*($H20-AL57)</f>
        <v>1</v>
      </c>
      <c r="AK57" s="82">
        <f t="shared" ref="AK57:AK80" si="41">MATCH($H20,$AN$57:$AN$80)</f>
        <v>1</v>
      </c>
      <c r="AL57" s="1080">
        <f>INDEX($AN$57:$AN$80,$AK57)</f>
        <v>-129</v>
      </c>
      <c r="AM57" s="1080">
        <f>INDEX($AO$57:$AO$80,$AK57)</f>
        <v>1</v>
      </c>
      <c r="AN57" s="1091">
        <f t="shared" ref="AN57:AN68" si="42">IF(AND(AX57=0,AX58=0),MAX(AN56,$H$43+1),AX57)</f>
        <v>-129</v>
      </c>
      <c r="AO57" s="1092">
        <f>IF(AND(AY57=0,AY58=0),$I$43,AY57)</f>
        <v>1</v>
      </c>
      <c r="AP57" s="1084">
        <f>$H$20</f>
        <v>-129</v>
      </c>
      <c r="AQ57" s="1085">
        <v>1</v>
      </c>
      <c r="AR57" s="1084">
        <f>$H$20</f>
        <v>-129</v>
      </c>
      <c r="AS57" s="1085">
        <f>AS58</f>
        <v>1</v>
      </c>
      <c r="AT57" s="1084">
        <f>$H$20</f>
        <v>-129</v>
      </c>
      <c r="AU57" s="1085">
        <f>AU58</f>
        <v>1</v>
      </c>
      <c r="AV57" s="1084">
        <f>$H$20</f>
        <v>-129</v>
      </c>
      <c r="AW57" s="1085">
        <f>AW58</f>
        <v>1</v>
      </c>
      <c r="AX57" s="28">
        <f t="shared" ref="AX57:AX80" si="43">CHOOSE(ZonePV,AP57,AR57,AT57,AV57)</f>
        <v>-129</v>
      </c>
      <c r="AY57" s="28">
        <f t="shared" ref="AY57:AY80" si="44">CHOOSE(ZonePV,AQ57,AS57,AU57,AW57)</f>
        <v>1</v>
      </c>
    </row>
    <row r="58" spans="1:51" s="28" customFormat="1" ht="12.75" x14ac:dyDescent="0.2">
      <c r="A58" s="1038" t="str">
        <f t="shared" si="21"/>
        <v>Toiture D</v>
      </c>
      <c r="B58" s="1042">
        <v>1</v>
      </c>
      <c r="C58" s="1097">
        <f t="shared" ref="C58:M58" si="45">$L21+C$56*Rapous</f>
        <v>-5</v>
      </c>
      <c r="D58" s="1097">
        <f t="shared" si="45"/>
        <v>-4</v>
      </c>
      <c r="E58" s="1097">
        <f t="shared" si="45"/>
        <v>-3</v>
      </c>
      <c r="F58" s="1097">
        <f t="shared" si="45"/>
        <v>-2</v>
      </c>
      <c r="G58" s="1098">
        <f t="shared" si="45"/>
        <v>-1</v>
      </c>
      <c r="H58" s="1099">
        <f t="shared" si="45"/>
        <v>0</v>
      </c>
      <c r="I58" s="1100">
        <f t="shared" si="45"/>
        <v>1</v>
      </c>
      <c r="J58" s="1097">
        <f t="shared" si="45"/>
        <v>2</v>
      </c>
      <c r="K58" s="1097">
        <f t="shared" si="45"/>
        <v>3</v>
      </c>
      <c r="L58" s="1097">
        <f t="shared" si="45"/>
        <v>4</v>
      </c>
      <c r="M58" s="1098">
        <f t="shared" si="45"/>
        <v>5</v>
      </c>
      <c r="N58" s="698">
        <f t="shared" si="23"/>
        <v>0</v>
      </c>
      <c r="O58" s="943" t="str">
        <f t="shared" si="24"/>
        <v>Toiture D</v>
      </c>
      <c r="P58" s="688">
        <f t="shared" si="25"/>
        <v>-39</v>
      </c>
      <c r="Q58" s="695">
        <f t="shared" si="26"/>
        <v>1</v>
      </c>
      <c r="R58" s="698">
        <f t="shared" si="27"/>
        <v>1</v>
      </c>
      <c r="S58" s="698">
        <f t="shared" si="28"/>
        <v>1</v>
      </c>
      <c r="T58" s="698">
        <f t="shared" si="29"/>
        <v>1</v>
      </c>
      <c r="U58" s="959">
        <f t="shared" si="30"/>
        <v>1</v>
      </c>
      <c r="V58" s="1102">
        <f t="shared" si="31"/>
        <v>1</v>
      </c>
      <c r="W58" s="695">
        <f t="shared" si="32"/>
        <v>1</v>
      </c>
      <c r="X58" s="698">
        <f t="shared" si="33"/>
        <v>1</v>
      </c>
      <c r="Y58" s="698">
        <f t="shared" si="34"/>
        <v>1</v>
      </c>
      <c r="Z58" s="698">
        <f t="shared" si="35"/>
        <v>1</v>
      </c>
      <c r="AA58" s="959">
        <f t="shared" si="36"/>
        <v>1</v>
      </c>
      <c r="AB58" s="1069">
        <f t="shared" si="37"/>
        <v>3.0313629488778928</v>
      </c>
      <c r="AC58" s="1070">
        <f t="shared" ref="AC58:AC80" si="46">INDEX($AH$57:$AH$83,MATCH(AB58,$AG$57:$AG$83)+1)</f>
        <v>7.5010000000000003</v>
      </c>
      <c r="AD58" s="39" t="b">
        <f t="shared" si="38"/>
        <v>0</v>
      </c>
      <c r="AE58" s="1070">
        <f t="shared" si="39"/>
        <v>25.798688363531468</v>
      </c>
      <c r="AF58" s="1071">
        <f t="shared" ref="AF58:AF80" si="47">+IF(F20="D",AC57-AE57,IF(F21="G",AE58-AC58,0))</f>
        <v>0</v>
      </c>
      <c r="AG58" s="944">
        <v>22.98</v>
      </c>
      <c r="AH58" s="945">
        <v>7.5010000000000003</v>
      </c>
      <c r="AJ58" s="1079">
        <f t="shared" si="40"/>
        <v>1</v>
      </c>
      <c r="AK58" s="82">
        <f t="shared" si="41"/>
        <v>1</v>
      </c>
      <c r="AL58" s="1080">
        <f t="shared" ref="AL58:AL80" si="48">INDEX($AN$57:$AN$80,$AK58)</f>
        <v>-129</v>
      </c>
      <c r="AM58" s="1080">
        <f t="shared" ref="AM58:AM80" si="49">INDEX($AO$57:$AO$80,$AK58)</f>
        <v>1</v>
      </c>
      <c r="AN58" s="1091">
        <f t="shared" si="42"/>
        <v>231</v>
      </c>
      <c r="AO58" s="1092">
        <f t="shared" ref="AO58:AO80" si="50">IF(AND(AY58=0,AY59=0),$I$43,AY58)</f>
        <v>1</v>
      </c>
      <c r="AP58" s="1084">
        <f>$H$43</f>
        <v>231</v>
      </c>
      <c r="AQ58" s="1085">
        <v>1</v>
      </c>
      <c r="AR58" s="1084">
        <f>$H$43</f>
        <v>231</v>
      </c>
      <c r="AS58" s="1085">
        <v>1</v>
      </c>
      <c r="AT58" s="1084">
        <f>$H$43</f>
        <v>231</v>
      </c>
      <c r="AU58" s="1085">
        <v>1</v>
      </c>
      <c r="AV58" s="1084">
        <f>$H$43</f>
        <v>231</v>
      </c>
      <c r="AW58" s="1085">
        <v>1</v>
      </c>
      <c r="AX58" s="28">
        <f t="shared" si="43"/>
        <v>231</v>
      </c>
      <c r="AY58" s="28">
        <f t="shared" si="44"/>
        <v>1</v>
      </c>
    </row>
    <row r="59" spans="1:51" s="19" customFormat="1" ht="12.75" x14ac:dyDescent="0.2">
      <c r="A59" s="1038" t="str">
        <f t="shared" si="21"/>
        <v>Arbre 6</v>
      </c>
      <c r="B59" s="1042">
        <v>1</v>
      </c>
      <c r="C59" s="1097">
        <f t="shared" ref="C59:M59" si="51">$L22+C$56*Rapous</f>
        <v>4.5386967465383972</v>
      </c>
      <c r="D59" s="1097">
        <f t="shared" si="51"/>
        <v>5.5386967465383972</v>
      </c>
      <c r="E59" s="1097">
        <f t="shared" si="51"/>
        <v>6.5386967465383972</v>
      </c>
      <c r="F59" s="1097">
        <f t="shared" si="51"/>
        <v>7.5386967465383972</v>
      </c>
      <c r="G59" s="1098">
        <f t="shared" si="51"/>
        <v>8.5386967465383972</v>
      </c>
      <c r="H59" s="1099">
        <f t="shared" si="51"/>
        <v>9.5386967465383972</v>
      </c>
      <c r="I59" s="1100">
        <f t="shared" si="51"/>
        <v>10.538696746538397</v>
      </c>
      <c r="J59" s="1097">
        <f t="shared" si="51"/>
        <v>11.538696746538397</v>
      </c>
      <c r="K59" s="1097">
        <f t="shared" si="51"/>
        <v>12.538696746538397</v>
      </c>
      <c r="L59" s="1097">
        <f t="shared" si="51"/>
        <v>13.538696746538397</v>
      </c>
      <c r="M59" s="1098">
        <f t="shared" si="51"/>
        <v>14.538696746538397</v>
      </c>
      <c r="N59" s="698">
        <f t="shared" si="23"/>
        <v>92.042340800307699</v>
      </c>
      <c r="O59" s="943" t="str">
        <f t="shared" si="24"/>
        <v>Arbre 6</v>
      </c>
      <c r="P59" s="688">
        <f t="shared" si="25"/>
        <v>-13.201311636468532</v>
      </c>
      <c r="Q59" s="695">
        <f t="shared" si="26"/>
        <v>1</v>
      </c>
      <c r="R59" s="698">
        <f t="shared" si="27"/>
        <v>1</v>
      </c>
      <c r="S59" s="698">
        <f t="shared" si="28"/>
        <v>1</v>
      </c>
      <c r="T59" s="698">
        <f t="shared" si="29"/>
        <v>1</v>
      </c>
      <c r="U59" s="959">
        <f t="shared" si="30"/>
        <v>1.3407361577831629</v>
      </c>
      <c r="V59" s="1102">
        <f t="shared" si="31"/>
        <v>1.9627065774564294</v>
      </c>
      <c r="W59" s="695">
        <f t="shared" si="32"/>
        <v>2.5842146060394704</v>
      </c>
      <c r="X59" s="698">
        <f t="shared" si="33"/>
        <v>3.2051146964836721</v>
      </c>
      <c r="Y59" s="698">
        <f t="shared" si="34"/>
        <v>3.8252621572189676</v>
      </c>
      <c r="Z59" s="698">
        <f t="shared" si="35"/>
        <v>4.4445133522811977</v>
      </c>
      <c r="AA59" s="959">
        <f t="shared" si="36"/>
        <v>5.0627258977557856</v>
      </c>
      <c r="AB59" s="1069">
        <f t="shared" si="37"/>
        <v>6.8972226949425224</v>
      </c>
      <c r="AC59" s="1070">
        <f t="shared" si="46"/>
        <v>7.5010000000000003</v>
      </c>
      <c r="AD59" s="39" t="b">
        <f t="shared" si="38"/>
        <v>0</v>
      </c>
      <c r="AE59" s="1070">
        <f t="shared" si="39"/>
        <v>13.387300720010273</v>
      </c>
      <c r="AF59" s="1071">
        <f t="shared" si="47"/>
        <v>0</v>
      </c>
      <c r="AG59" s="944">
        <v>23.38</v>
      </c>
      <c r="AH59" s="945">
        <v>7.5199999999999818</v>
      </c>
      <c r="AJ59" s="1079">
        <f t="shared" si="40"/>
        <v>1</v>
      </c>
      <c r="AK59" s="82">
        <f t="shared" si="41"/>
        <v>1</v>
      </c>
      <c r="AL59" s="1080">
        <f t="shared" si="48"/>
        <v>-129</v>
      </c>
      <c r="AM59" s="1080">
        <f t="shared" si="49"/>
        <v>1</v>
      </c>
      <c r="AN59" s="1091">
        <f t="shared" si="42"/>
        <v>232</v>
      </c>
      <c r="AO59" s="1092">
        <f t="shared" si="50"/>
        <v>18.262889942194128</v>
      </c>
      <c r="AP59" s="1084"/>
      <c r="AQ59" s="1085"/>
      <c r="AR59" s="1084"/>
      <c r="AS59" s="1085"/>
      <c r="AT59" s="1084"/>
      <c r="AU59" s="1085"/>
      <c r="AV59" s="1084"/>
      <c r="AW59" s="1085"/>
      <c r="AX59" s="28">
        <f t="shared" si="43"/>
        <v>0</v>
      </c>
      <c r="AY59" s="28">
        <f t="shared" si="44"/>
        <v>0</v>
      </c>
    </row>
    <row r="60" spans="1:51" s="19" customFormat="1" ht="12.75" x14ac:dyDescent="0.2">
      <c r="A60" s="1038" t="str">
        <f t="shared" si="21"/>
        <v>Arbre 7</v>
      </c>
      <c r="B60" s="1042">
        <v>1</v>
      </c>
      <c r="C60" s="1097">
        <f t="shared" ref="C60:M60" si="52">$L23+C$56*Rapous</f>
        <v>4.4279412156074258</v>
      </c>
      <c r="D60" s="1097">
        <f t="shared" si="52"/>
        <v>5.4279412156074258</v>
      </c>
      <c r="E60" s="1097">
        <f t="shared" si="52"/>
        <v>6.4279412156074258</v>
      </c>
      <c r="F60" s="1097">
        <f t="shared" si="52"/>
        <v>7.4279412156074258</v>
      </c>
      <c r="G60" s="1098">
        <f t="shared" si="52"/>
        <v>8.4279412156074258</v>
      </c>
      <c r="H60" s="1099">
        <f t="shared" si="52"/>
        <v>9.4279412156074258</v>
      </c>
      <c r="I60" s="1100">
        <f t="shared" si="52"/>
        <v>10.427941215607426</v>
      </c>
      <c r="J60" s="1097">
        <f t="shared" si="52"/>
        <v>11.427941215607426</v>
      </c>
      <c r="K60" s="1097">
        <f t="shared" si="52"/>
        <v>12.427941215607426</v>
      </c>
      <c r="L60" s="1097">
        <f t="shared" si="52"/>
        <v>13.427941215607426</v>
      </c>
      <c r="M60" s="1098">
        <f t="shared" si="52"/>
        <v>14.427941215607426</v>
      </c>
      <c r="N60" s="698">
        <f t="shared" si="23"/>
        <v>52.37027592060214</v>
      </c>
      <c r="O60" s="943" t="str">
        <f t="shared" si="24"/>
        <v>Arbre 7</v>
      </c>
      <c r="P60" s="688">
        <f t="shared" si="25"/>
        <v>0.18598908354174226</v>
      </c>
      <c r="Q60" s="695">
        <f t="shared" si="26"/>
        <v>1</v>
      </c>
      <c r="R60" s="698">
        <f t="shared" si="27"/>
        <v>1</v>
      </c>
      <c r="S60" s="698">
        <f t="shared" si="28"/>
        <v>1</v>
      </c>
      <c r="T60" s="698">
        <f t="shared" si="29"/>
        <v>1.1414396638194959</v>
      </c>
      <c r="U60" s="959">
        <f t="shared" si="30"/>
        <v>2.2345086459584587</v>
      </c>
      <c r="V60" s="1102">
        <f t="shared" si="31"/>
        <v>3.3259528893225832</v>
      </c>
      <c r="W60" s="695">
        <f t="shared" si="32"/>
        <v>4.4149862319355577</v>
      </c>
      <c r="X60" s="698">
        <f t="shared" si="33"/>
        <v>5.5008329390793929</v>
      </c>
      <c r="Y60" s="698">
        <f t="shared" si="34"/>
        <v>6.5827309523564956</v>
      </c>
      <c r="Z60" s="698">
        <f t="shared" si="35"/>
        <v>7.6599349934451482</v>
      </c>
      <c r="AA60" s="959">
        <f t="shared" si="36"/>
        <v>8.73171949212926</v>
      </c>
      <c r="AB60" s="1069">
        <f t="shared" si="37"/>
        <v>8.3997790784879651</v>
      </c>
      <c r="AC60" s="1070">
        <f t="shared" si="46"/>
        <v>7.5010000000000003</v>
      </c>
      <c r="AD60" s="39" t="b">
        <f t="shared" si="38"/>
        <v>0</v>
      </c>
      <c r="AE60" s="1070">
        <f t="shared" si="39"/>
        <v>34.663362636190861</v>
      </c>
      <c r="AF60" s="1071">
        <f t="shared" si="47"/>
        <v>0</v>
      </c>
      <c r="AG60" s="944">
        <v>24.23</v>
      </c>
      <c r="AH60" s="945">
        <v>7.6000000000000227</v>
      </c>
      <c r="AJ60" s="1079">
        <f t="shared" si="40"/>
        <v>1</v>
      </c>
      <c r="AK60" s="82">
        <f t="shared" si="41"/>
        <v>1</v>
      </c>
      <c r="AL60" s="1080">
        <f t="shared" si="48"/>
        <v>-129</v>
      </c>
      <c r="AM60" s="1080">
        <f t="shared" si="49"/>
        <v>1</v>
      </c>
      <c r="AN60" s="1091">
        <f t="shared" si="42"/>
        <v>232</v>
      </c>
      <c r="AO60" s="1092">
        <f t="shared" si="50"/>
        <v>18.262889942194128</v>
      </c>
      <c r="AP60" s="1084"/>
      <c r="AQ60" s="1085"/>
      <c r="AR60" s="1084"/>
      <c r="AS60" s="1085"/>
      <c r="AT60" s="1084"/>
      <c r="AU60" s="1085"/>
      <c r="AV60" s="1084"/>
      <c r="AW60" s="1085"/>
      <c r="AX60" s="28">
        <f t="shared" si="43"/>
        <v>0</v>
      </c>
      <c r="AY60" s="28">
        <f t="shared" si="44"/>
        <v>0</v>
      </c>
    </row>
    <row r="61" spans="1:51" s="19" customFormat="1" ht="12.75" x14ac:dyDescent="0.2">
      <c r="A61" s="1038" t="str">
        <f t="shared" si="21"/>
        <v>Arbre 8</v>
      </c>
      <c r="B61" s="1042">
        <v>1</v>
      </c>
      <c r="C61" s="1097">
        <f t="shared" ref="C61:M61" si="53">$L24+C$56*Rapous</f>
        <v>8.2766381715467876</v>
      </c>
      <c r="D61" s="1097">
        <f t="shared" si="53"/>
        <v>9.2766381715467876</v>
      </c>
      <c r="E61" s="1097">
        <f t="shared" si="53"/>
        <v>10.276638171546788</v>
      </c>
      <c r="F61" s="1097">
        <f t="shared" si="53"/>
        <v>11.276638171546788</v>
      </c>
      <c r="G61" s="1098">
        <f t="shared" si="53"/>
        <v>12.276638171546788</v>
      </c>
      <c r="H61" s="1099">
        <f t="shared" si="53"/>
        <v>13.276638171546788</v>
      </c>
      <c r="I61" s="1100">
        <f t="shared" si="53"/>
        <v>14.276638171546788</v>
      </c>
      <c r="J61" s="1097">
        <f t="shared" si="53"/>
        <v>15.276638171546788</v>
      </c>
      <c r="K61" s="1097">
        <f t="shared" si="53"/>
        <v>16.276638171546786</v>
      </c>
      <c r="L61" s="1097">
        <f t="shared" si="53"/>
        <v>17.276638171546786</v>
      </c>
      <c r="M61" s="1098">
        <f t="shared" si="53"/>
        <v>18.276638171546786</v>
      </c>
      <c r="N61" s="698">
        <f t="shared" si="23"/>
        <v>83.896162605926037</v>
      </c>
      <c r="O61" s="943" t="str">
        <f t="shared" si="24"/>
        <v>Arbre 8</v>
      </c>
      <c r="P61" s="688">
        <f t="shared" si="25"/>
        <v>34.849351719732603</v>
      </c>
      <c r="Q61" s="695">
        <f t="shared" si="26"/>
        <v>1.2919994655957467</v>
      </c>
      <c r="R61" s="698">
        <f t="shared" si="27"/>
        <v>1.9743734725740234</v>
      </c>
      <c r="S61" s="698">
        <f t="shared" si="28"/>
        <v>2.6561876523804475</v>
      </c>
      <c r="T61" s="698">
        <f t="shared" si="29"/>
        <v>3.337249885386826</v>
      </c>
      <c r="U61" s="959">
        <f t="shared" si="30"/>
        <v>4.0173693249894473</v>
      </c>
      <c r="V61" s="1102">
        <f t="shared" si="31"/>
        <v>4.696356714752798</v>
      </c>
      <c r="W61" s="695">
        <f t="shared" si="32"/>
        <v>5.3740246988833285</v>
      </c>
      <c r="X61" s="698">
        <f t="shared" si="33"/>
        <v>6.0501881247839515</v>
      </c>
      <c r="Y61" s="698">
        <f t="shared" si="34"/>
        <v>6.7246643365011094</v>
      </c>
      <c r="Z61" s="698">
        <f t="shared" si="35"/>
        <v>7.3972734579457402</v>
      </c>
      <c r="AA61" s="959">
        <f t="shared" si="36"/>
        <v>8.0678386648466702</v>
      </c>
      <c r="AB61" s="1069">
        <f t="shared" si="37"/>
        <v>8.2117769570862116</v>
      </c>
      <c r="AC61" s="1070">
        <f t="shared" si="46"/>
        <v>7.5010000000000003</v>
      </c>
      <c r="AD61" s="39" t="b">
        <f t="shared" si="38"/>
        <v>0</v>
      </c>
      <c r="AE61" s="1070">
        <f t="shared" si="39"/>
        <v>20.562038058309248</v>
      </c>
      <c r="AF61" s="1071">
        <f t="shared" si="47"/>
        <v>0</v>
      </c>
      <c r="AG61" s="944">
        <v>25.31</v>
      </c>
      <c r="AH61" s="945">
        <v>7.7300000000000182</v>
      </c>
      <c r="AJ61" s="1079">
        <f t="shared" si="40"/>
        <v>1</v>
      </c>
      <c r="AK61" s="82">
        <f t="shared" si="41"/>
        <v>1</v>
      </c>
      <c r="AL61" s="1080">
        <f t="shared" si="48"/>
        <v>-129</v>
      </c>
      <c r="AM61" s="1080">
        <f t="shared" si="49"/>
        <v>1</v>
      </c>
      <c r="AN61" s="1091">
        <f t="shared" si="42"/>
        <v>232</v>
      </c>
      <c r="AO61" s="1092">
        <f t="shared" si="50"/>
        <v>18.262889942194128</v>
      </c>
      <c r="AP61" s="1084"/>
      <c r="AQ61" s="1085"/>
      <c r="AR61" s="1084"/>
      <c r="AS61" s="1085"/>
      <c r="AT61" s="1084"/>
      <c r="AU61" s="1085"/>
      <c r="AV61" s="1084"/>
      <c r="AW61" s="1085"/>
      <c r="AX61" s="28">
        <f t="shared" si="43"/>
        <v>0</v>
      </c>
      <c r="AY61" s="28">
        <f t="shared" si="44"/>
        <v>0</v>
      </c>
    </row>
    <row r="62" spans="1:51" s="19" customFormat="1" ht="12.75" x14ac:dyDescent="0.2">
      <c r="A62" s="1038" t="str">
        <f t="shared" si="21"/>
        <v>Arbre 9</v>
      </c>
      <c r="B62" s="1042">
        <v>1</v>
      </c>
      <c r="C62" s="1097">
        <f t="shared" ref="C62:M62" si="54">$L25+C$56*Rapous</f>
        <v>9.3728763661646628</v>
      </c>
      <c r="D62" s="1097">
        <f t="shared" si="54"/>
        <v>10.372876366164663</v>
      </c>
      <c r="E62" s="1097">
        <f t="shared" si="54"/>
        <v>11.372876366164663</v>
      </c>
      <c r="F62" s="1097">
        <f t="shared" si="54"/>
        <v>12.372876366164663</v>
      </c>
      <c r="G62" s="1098">
        <f t="shared" si="54"/>
        <v>13.372876366164663</v>
      </c>
      <c r="H62" s="1099">
        <f t="shared" si="54"/>
        <v>14.372876366164663</v>
      </c>
      <c r="I62" s="1100">
        <f t="shared" si="54"/>
        <v>15.372876366164663</v>
      </c>
      <c r="J62" s="1097">
        <f t="shared" si="54"/>
        <v>16.372876366164661</v>
      </c>
      <c r="K62" s="1097">
        <f t="shared" si="54"/>
        <v>17.372876366164661</v>
      </c>
      <c r="L62" s="1097">
        <f t="shared" si="54"/>
        <v>18.372876366164661</v>
      </c>
      <c r="M62" s="1098">
        <f t="shared" si="54"/>
        <v>19.372876366164661</v>
      </c>
      <c r="N62" s="698">
        <f t="shared" si="23"/>
        <v>88.430085378224007</v>
      </c>
      <c r="O62" s="943" t="str">
        <f t="shared" si="24"/>
        <v>Arbre 9</v>
      </c>
      <c r="P62" s="688">
        <f t="shared" si="25"/>
        <v>55.411389778041851</v>
      </c>
      <c r="Q62" s="695">
        <f t="shared" si="26"/>
        <v>1.9355048610634349</v>
      </c>
      <c r="R62" s="698">
        <f t="shared" si="27"/>
        <v>2.5824131221156374</v>
      </c>
      <c r="S62" s="698">
        <f t="shared" si="28"/>
        <v>3.2286632260840942</v>
      </c>
      <c r="T62" s="698">
        <f t="shared" si="29"/>
        <v>3.8740920371171077</v>
      </c>
      <c r="U62" s="959">
        <f t="shared" si="30"/>
        <v>4.5185376670815902</v>
      </c>
      <c r="V62" s="1102">
        <f t="shared" si="31"/>
        <v>5.1618397152417588</v>
      </c>
      <c r="W62" s="695">
        <f t="shared" si="32"/>
        <v>5.8038395023505096</v>
      </c>
      <c r="X62" s="698">
        <f t="shared" si="33"/>
        <v>6.4443802983207119</v>
      </c>
      <c r="Y62" s="698">
        <f t="shared" si="34"/>
        <v>7.0833075426879777</v>
      </c>
      <c r="Z62" s="698">
        <f t="shared" si="35"/>
        <v>7.7204690571255838</v>
      </c>
      <c r="AA62" s="959">
        <f t="shared" si="36"/>
        <v>8.3557152493257512</v>
      </c>
      <c r="AB62" s="1069">
        <f t="shared" si="37"/>
        <v>8.2069363253820029</v>
      </c>
      <c r="AC62" s="1070">
        <f t="shared" si="46"/>
        <v>7.5010000000000003</v>
      </c>
      <c r="AD62" s="39" t="b">
        <f t="shared" si="38"/>
        <v>0</v>
      </c>
      <c r="AE62" s="1070">
        <f t="shared" si="39"/>
        <v>5.8460612522065247</v>
      </c>
      <c r="AF62" s="1071">
        <f t="shared" si="47"/>
        <v>0</v>
      </c>
      <c r="AG62" s="944">
        <v>26.83</v>
      </c>
      <c r="AH62" s="945">
        <v>7.9000000000000057</v>
      </c>
      <c r="AJ62" s="1079">
        <f t="shared" si="40"/>
        <v>1</v>
      </c>
      <c r="AK62" s="82">
        <f t="shared" si="41"/>
        <v>1</v>
      </c>
      <c r="AL62" s="1080">
        <f t="shared" si="48"/>
        <v>-129</v>
      </c>
      <c r="AM62" s="1080">
        <f t="shared" si="49"/>
        <v>1</v>
      </c>
      <c r="AN62" s="1091">
        <f t="shared" si="42"/>
        <v>232</v>
      </c>
      <c r="AO62" s="1092">
        <f t="shared" si="50"/>
        <v>18.262889942194128</v>
      </c>
      <c r="AP62" s="1084"/>
      <c r="AQ62" s="1085"/>
      <c r="AR62" s="1084"/>
      <c r="AS62" s="1085"/>
      <c r="AT62" s="1084"/>
      <c r="AU62" s="1085"/>
      <c r="AV62" s="1084"/>
      <c r="AW62" s="1085"/>
      <c r="AX62" s="28">
        <f t="shared" si="43"/>
        <v>0</v>
      </c>
      <c r="AY62" s="28">
        <f t="shared" si="44"/>
        <v>0</v>
      </c>
    </row>
    <row r="63" spans="1:51" s="19" customFormat="1" ht="12.75" x14ac:dyDescent="0.2">
      <c r="A63" s="1038" t="str">
        <f t="shared" si="21"/>
        <v>Arbre 10</v>
      </c>
      <c r="B63" s="1042">
        <v>1</v>
      </c>
      <c r="C63" s="1097">
        <f t="shared" ref="C63:M63" si="55">$L26+C$56*Rapous</f>
        <v>0.55044132938304458</v>
      </c>
      <c r="D63" s="1097">
        <f t="shared" si="55"/>
        <v>1.5504413293830446</v>
      </c>
      <c r="E63" s="1097">
        <f t="shared" si="55"/>
        <v>2.5504413293830446</v>
      </c>
      <c r="F63" s="1097">
        <f t="shared" si="55"/>
        <v>3.5504413293830446</v>
      </c>
      <c r="G63" s="1098">
        <f t="shared" si="55"/>
        <v>4.5504413293830446</v>
      </c>
      <c r="H63" s="1099">
        <f t="shared" si="55"/>
        <v>5.5504413293830446</v>
      </c>
      <c r="I63" s="1100">
        <f t="shared" si="55"/>
        <v>6.5504413293830446</v>
      </c>
      <c r="J63" s="1097">
        <f t="shared" si="55"/>
        <v>7.5504413293830446</v>
      </c>
      <c r="K63" s="1097">
        <f t="shared" si="55"/>
        <v>8.5504413293830446</v>
      </c>
      <c r="L63" s="1097">
        <f t="shared" si="55"/>
        <v>9.5504413293830446</v>
      </c>
      <c r="M63" s="1098">
        <f t="shared" si="55"/>
        <v>10.550441329383045</v>
      </c>
      <c r="N63" s="698">
        <f t="shared" si="23"/>
        <v>29.425541626281021</v>
      </c>
      <c r="O63" s="943" t="str">
        <f t="shared" si="24"/>
        <v>Arbre 10</v>
      </c>
      <c r="P63" s="688">
        <f t="shared" si="25"/>
        <v>62.912389778041849</v>
      </c>
      <c r="Q63" s="695">
        <f t="shared" si="26"/>
        <v>1</v>
      </c>
      <c r="R63" s="698">
        <f t="shared" si="27"/>
        <v>1</v>
      </c>
      <c r="S63" s="698">
        <f t="shared" si="28"/>
        <v>1</v>
      </c>
      <c r="T63" s="698">
        <f t="shared" si="29"/>
        <v>1</v>
      </c>
      <c r="U63" s="959">
        <f t="shared" si="30"/>
        <v>1</v>
      </c>
      <c r="V63" s="1102">
        <f t="shared" si="31"/>
        <v>1</v>
      </c>
      <c r="W63" s="695">
        <f t="shared" si="32"/>
        <v>1</v>
      </c>
      <c r="X63" s="698">
        <f t="shared" si="33"/>
        <v>2.2690909462967142</v>
      </c>
      <c r="Y63" s="698">
        <f t="shared" si="34"/>
        <v>4.2098302344441336</v>
      </c>
      <c r="Z63" s="698">
        <f t="shared" si="35"/>
        <v>6.140943618553564</v>
      </c>
      <c r="AA63" s="959">
        <f t="shared" si="36"/>
        <v>8.0581574014382564</v>
      </c>
      <c r="AB63" s="1069">
        <f t="shared" si="37"/>
        <v>8.1648353369814775</v>
      </c>
      <c r="AC63" s="1070">
        <f t="shared" si="46"/>
        <v>7.5010000000000003</v>
      </c>
      <c r="AD63" s="39" t="b">
        <f t="shared" si="38"/>
        <v>0</v>
      </c>
      <c r="AE63" s="1070">
        <f t="shared" si="39"/>
        <v>21.351330191848746</v>
      </c>
      <c r="AF63" s="1071">
        <f t="shared" si="47"/>
        <v>1.6549387477934756</v>
      </c>
      <c r="AG63" s="944">
        <v>28.54</v>
      </c>
      <c r="AH63" s="945">
        <v>8.1200000000000045</v>
      </c>
      <c r="AJ63" s="1079">
        <f t="shared" si="40"/>
        <v>1</v>
      </c>
      <c r="AK63" s="82">
        <f t="shared" si="41"/>
        <v>1</v>
      </c>
      <c r="AL63" s="1080">
        <f t="shared" si="48"/>
        <v>-129</v>
      </c>
      <c r="AM63" s="1080">
        <f t="shared" si="49"/>
        <v>1</v>
      </c>
      <c r="AN63" s="1091">
        <f t="shared" si="42"/>
        <v>232</v>
      </c>
      <c r="AO63" s="1092">
        <f t="shared" si="50"/>
        <v>18.262889942194128</v>
      </c>
      <c r="AP63" s="1084"/>
      <c r="AQ63" s="1085"/>
      <c r="AR63" s="1084"/>
      <c r="AS63" s="1085"/>
      <c r="AT63" s="1084"/>
      <c r="AU63" s="1085"/>
      <c r="AV63" s="1084"/>
      <c r="AW63" s="1085"/>
      <c r="AX63" s="28">
        <f t="shared" si="43"/>
        <v>0</v>
      </c>
      <c r="AY63" s="28">
        <f t="shared" si="44"/>
        <v>0</v>
      </c>
    </row>
    <row r="64" spans="1:51" s="19" customFormat="1" ht="12.75" x14ac:dyDescent="0.2">
      <c r="A64" s="1038" t="str">
        <f t="shared" si="21"/>
        <v>Arbre 12</v>
      </c>
      <c r="B64" s="1042">
        <v>1</v>
      </c>
      <c r="C64" s="1097">
        <f t="shared" ref="C64:M64" si="56">$L27+C$56*Rapous</f>
        <v>4.06897572895652</v>
      </c>
      <c r="D64" s="1097">
        <f t="shared" si="56"/>
        <v>5.06897572895652</v>
      </c>
      <c r="E64" s="1097">
        <f t="shared" si="56"/>
        <v>6.06897572895652</v>
      </c>
      <c r="F64" s="1097">
        <f t="shared" si="56"/>
        <v>7.06897572895652</v>
      </c>
      <c r="G64" s="1098">
        <f t="shared" si="56"/>
        <v>8.06897572895652</v>
      </c>
      <c r="H64" s="1099">
        <f t="shared" si="56"/>
        <v>9.06897572895652</v>
      </c>
      <c r="I64" s="1100">
        <f t="shared" si="56"/>
        <v>10.06897572895652</v>
      </c>
      <c r="J64" s="1097">
        <f t="shared" si="56"/>
        <v>11.06897572895652</v>
      </c>
      <c r="K64" s="1097">
        <f t="shared" si="56"/>
        <v>12.06897572895652</v>
      </c>
      <c r="L64" s="1097">
        <f t="shared" si="56"/>
        <v>13.06897572895652</v>
      </c>
      <c r="M64" s="1098">
        <f t="shared" si="56"/>
        <v>14.06897572895652</v>
      </c>
      <c r="N64" s="698">
        <f t="shared" si="23"/>
        <v>52.859213009654191</v>
      </c>
      <c r="O64" s="943" t="str">
        <f t="shared" si="24"/>
        <v>Arbre 12</v>
      </c>
      <c r="P64" s="688">
        <f t="shared" si="25"/>
        <v>82.608781222097122</v>
      </c>
      <c r="Q64" s="695">
        <f t="shared" si="26"/>
        <v>1</v>
      </c>
      <c r="R64" s="698">
        <f t="shared" si="27"/>
        <v>1</v>
      </c>
      <c r="S64" s="698">
        <f t="shared" si="28"/>
        <v>1</v>
      </c>
      <c r="T64" s="698">
        <f t="shared" si="29"/>
        <v>1</v>
      </c>
      <c r="U64" s="959">
        <f t="shared" si="30"/>
        <v>1.825251173591806</v>
      </c>
      <c r="V64" s="1102">
        <f t="shared" si="31"/>
        <v>2.9073028621022723</v>
      </c>
      <c r="W64" s="695">
        <f t="shared" si="32"/>
        <v>3.9872831682494478</v>
      </c>
      <c r="X64" s="698">
        <f t="shared" si="33"/>
        <v>5.0644333567537405</v>
      </c>
      <c r="Y64" s="698">
        <f t="shared" si="34"/>
        <v>6.1380066545587315</v>
      </c>
      <c r="Z64" s="698">
        <f t="shared" si="35"/>
        <v>7.2072712725908614</v>
      </c>
      <c r="AA64" s="959">
        <f t="shared" si="36"/>
        <v>8.2715132725246985</v>
      </c>
      <c r="AB64" s="1069">
        <f t="shared" si="37"/>
        <v>6.9395652419879656</v>
      </c>
      <c r="AC64" s="1070">
        <f t="shared" si="46"/>
        <v>7.5010000000000003</v>
      </c>
      <c r="AD64" s="39" t="b">
        <f t="shared" si="38"/>
        <v>0</v>
      </c>
      <c r="AE64" s="1070">
        <f t="shared" si="39"/>
        <v>15.954624533878814</v>
      </c>
      <c r="AF64" s="1071">
        <f t="shared" si="47"/>
        <v>0</v>
      </c>
      <c r="AG64" s="944">
        <v>30.6</v>
      </c>
      <c r="AH64" s="945">
        <v>8.3700000000000045</v>
      </c>
      <c r="AJ64" s="1079">
        <f t="shared" si="40"/>
        <v>1</v>
      </c>
      <c r="AK64" s="82">
        <f t="shared" si="41"/>
        <v>1</v>
      </c>
      <c r="AL64" s="1080">
        <f t="shared" si="48"/>
        <v>-129</v>
      </c>
      <c r="AM64" s="1080">
        <f t="shared" si="49"/>
        <v>1</v>
      </c>
      <c r="AN64" s="1091">
        <f t="shared" si="42"/>
        <v>232</v>
      </c>
      <c r="AO64" s="1092">
        <f t="shared" si="50"/>
        <v>18.262889942194128</v>
      </c>
      <c r="AP64" s="1084"/>
      <c r="AQ64" s="1085"/>
      <c r="AR64" s="1084"/>
      <c r="AS64" s="1085"/>
      <c r="AT64" s="1084"/>
      <c r="AU64" s="1085"/>
      <c r="AV64" s="1084"/>
      <c r="AW64" s="1085"/>
      <c r="AX64" s="28">
        <f t="shared" si="43"/>
        <v>0</v>
      </c>
      <c r="AY64" s="28">
        <f t="shared" si="44"/>
        <v>0</v>
      </c>
    </row>
    <row r="65" spans="1:51" s="19" customFormat="1" ht="12.75" x14ac:dyDescent="0.2">
      <c r="A65" s="1038" t="str">
        <f t="shared" si="21"/>
        <v>Arbre 11</v>
      </c>
      <c r="B65" s="1042">
        <v>1</v>
      </c>
      <c r="C65" s="1097">
        <f t="shared" ref="C65:M65" si="57">$L28+C$56*Rapous</f>
        <v>0.90128284372742318</v>
      </c>
      <c r="D65" s="1097">
        <f t="shared" si="57"/>
        <v>1.9012828437274232</v>
      </c>
      <c r="E65" s="1097">
        <f t="shared" si="57"/>
        <v>2.9012828437274232</v>
      </c>
      <c r="F65" s="1097">
        <f t="shared" si="57"/>
        <v>3.9012828437274232</v>
      </c>
      <c r="G65" s="1098">
        <f t="shared" si="57"/>
        <v>4.9012828437274232</v>
      </c>
      <c r="H65" s="1099">
        <f t="shared" si="57"/>
        <v>5.9012828437274232</v>
      </c>
      <c r="I65" s="1100">
        <f t="shared" si="57"/>
        <v>6.9012828437274232</v>
      </c>
      <c r="J65" s="1097">
        <f t="shared" si="57"/>
        <v>7.9012828437274232</v>
      </c>
      <c r="K65" s="1097">
        <f t="shared" si="57"/>
        <v>8.9012828437274223</v>
      </c>
      <c r="L65" s="1097">
        <f t="shared" si="57"/>
        <v>9.9012828437274223</v>
      </c>
      <c r="M65" s="1098">
        <f t="shared" si="57"/>
        <v>10.901282843727422</v>
      </c>
      <c r="N65" s="698">
        <f t="shared" si="23"/>
        <v>46.002854259273853</v>
      </c>
      <c r="O65" s="943" t="str">
        <f t="shared" si="24"/>
        <v>Arbre 11</v>
      </c>
      <c r="P65" s="688">
        <f t="shared" si="25"/>
        <v>98.563405755975936</v>
      </c>
      <c r="Q65" s="695">
        <f t="shared" si="26"/>
        <v>1</v>
      </c>
      <c r="R65" s="698">
        <f t="shared" si="27"/>
        <v>1</v>
      </c>
      <c r="S65" s="698">
        <f t="shared" si="28"/>
        <v>1</v>
      </c>
      <c r="T65" s="698">
        <f t="shared" si="29"/>
        <v>1</v>
      </c>
      <c r="U65" s="959">
        <f t="shared" si="30"/>
        <v>1</v>
      </c>
      <c r="V65" s="1102">
        <f t="shared" si="31"/>
        <v>1</v>
      </c>
      <c r="W65" s="695">
        <f t="shared" si="32"/>
        <v>1</v>
      </c>
      <c r="X65" s="698">
        <f t="shared" si="33"/>
        <v>1.8884572760714167</v>
      </c>
      <c r="Y65" s="698">
        <f t="shared" si="34"/>
        <v>3.1315027138687968</v>
      </c>
      <c r="Z65" s="698">
        <f t="shared" si="35"/>
        <v>4.3716047690839384</v>
      </c>
      <c r="AA65" s="959">
        <f t="shared" si="36"/>
        <v>5.6076172114512319</v>
      </c>
      <c r="AB65" s="1069">
        <f t="shared" si="37"/>
        <v>8.0971828604560088</v>
      </c>
      <c r="AC65" s="1070">
        <f t="shared" si="46"/>
        <v>7.5010000000000003</v>
      </c>
      <c r="AD65" s="39" t="b">
        <f t="shared" si="38"/>
        <v>0</v>
      </c>
      <c r="AE65" s="1070">
        <f t="shared" si="39"/>
        <v>10.865997888746477</v>
      </c>
      <c r="AF65" s="1071">
        <f t="shared" si="47"/>
        <v>0</v>
      </c>
      <c r="AG65" s="944">
        <v>32.76</v>
      </c>
      <c r="AH65" s="945">
        <v>8.660000000000025</v>
      </c>
      <c r="AJ65" s="1079">
        <f t="shared" si="40"/>
        <v>1</v>
      </c>
      <c r="AK65" s="82">
        <f t="shared" si="41"/>
        <v>1</v>
      </c>
      <c r="AL65" s="1080">
        <f t="shared" si="48"/>
        <v>-129</v>
      </c>
      <c r="AM65" s="1080">
        <f t="shared" si="49"/>
        <v>1</v>
      </c>
      <c r="AN65" s="1091">
        <f t="shared" si="42"/>
        <v>232</v>
      </c>
      <c r="AO65" s="1092">
        <f t="shared" si="50"/>
        <v>18.262889942194128</v>
      </c>
      <c r="AP65" s="1084"/>
      <c r="AQ65" s="1085"/>
      <c r="AR65" s="1084"/>
      <c r="AS65" s="1085"/>
      <c r="AT65" s="1084"/>
      <c r="AU65" s="1085"/>
      <c r="AV65" s="1084"/>
      <c r="AW65" s="1085"/>
      <c r="AX65" s="28">
        <f t="shared" si="43"/>
        <v>0</v>
      </c>
      <c r="AY65" s="28">
        <f t="shared" si="44"/>
        <v>0</v>
      </c>
    </row>
    <row r="66" spans="1:51" s="19" customFormat="1" ht="12.75" x14ac:dyDescent="0.2">
      <c r="A66" s="1038" t="str">
        <f t="shared" si="21"/>
        <v>Arbre 13</v>
      </c>
      <c r="B66" s="1042">
        <v>1</v>
      </c>
      <c r="C66" s="1097">
        <f t="shared" ref="C66:M66" si="58">$L29+C$56*Rapous</f>
        <v>11.470877154411461</v>
      </c>
      <c r="D66" s="1097">
        <f t="shared" si="58"/>
        <v>12.470877154411461</v>
      </c>
      <c r="E66" s="1097">
        <f t="shared" si="58"/>
        <v>13.470877154411461</v>
      </c>
      <c r="F66" s="1097">
        <f t="shared" si="58"/>
        <v>14.470877154411461</v>
      </c>
      <c r="G66" s="1098">
        <f t="shared" si="58"/>
        <v>15.470877154411461</v>
      </c>
      <c r="H66" s="1099">
        <f t="shared" si="58"/>
        <v>16.470877154411461</v>
      </c>
      <c r="I66" s="1100">
        <f t="shared" si="58"/>
        <v>17.470877154411461</v>
      </c>
      <c r="J66" s="1097">
        <f t="shared" si="58"/>
        <v>18.470877154411461</v>
      </c>
      <c r="K66" s="1097">
        <f t="shared" si="58"/>
        <v>19.470877154411461</v>
      </c>
      <c r="L66" s="1097">
        <f t="shared" si="58"/>
        <v>20.470877154411461</v>
      </c>
      <c r="M66" s="1098">
        <f t="shared" si="58"/>
        <v>21.470877154411461</v>
      </c>
      <c r="N66" s="698">
        <f t="shared" si="23"/>
        <v>80.716645742993961</v>
      </c>
      <c r="O66" s="943" t="str">
        <f t="shared" si="24"/>
        <v>Arbre 13</v>
      </c>
      <c r="P66" s="688">
        <f t="shared" si="25"/>
        <v>109.42940364472241</v>
      </c>
      <c r="Q66" s="695">
        <f t="shared" si="26"/>
        <v>3.6057463920445221</v>
      </c>
      <c r="R66" s="698">
        <f t="shared" si="27"/>
        <v>4.3121921095111064</v>
      </c>
      <c r="S66" s="698">
        <f t="shared" si="28"/>
        <v>5.0173267361208564</v>
      </c>
      <c r="T66" s="698">
        <f t="shared" si="29"/>
        <v>5.7209409762830896</v>
      </c>
      <c r="U66" s="959">
        <f t="shared" si="30"/>
        <v>6.422828269187419</v>
      </c>
      <c r="V66" s="1102">
        <f t="shared" si="31"/>
        <v>7.1227851388083225</v>
      </c>
      <c r="W66" s="695">
        <f t="shared" si="32"/>
        <v>7.8206115303318198</v>
      </c>
      <c r="X66" s="698">
        <f t="shared" si="33"/>
        <v>8.5161111316969738</v>
      </c>
      <c r="Y66" s="698">
        <f t="shared" si="34"/>
        <v>9.2090916790635493</v>
      </c>
      <c r="Z66" s="698">
        <f t="shared" si="35"/>
        <v>9.8993652451429099</v>
      </c>
      <c r="AA66" s="959">
        <f t="shared" si="36"/>
        <v>10.586748509460785</v>
      </c>
      <c r="AB66" s="1069">
        <f t="shared" si="37"/>
        <v>5.7933742547303924</v>
      </c>
      <c r="AC66" s="1070">
        <f t="shared" si="46"/>
        <v>7.5010000000000003</v>
      </c>
      <c r="AD66" s="39" t="b">
        <f t="shared" si="38"/>
        <v>0</v>
      </c>
      <c r="AE66" s="1070">
        <f t="shared" si="39"/>
        <v>31.570596355277587</v>
      </c>
      <c r="AF66" s="1071">
        <f t="shared" si="47"/>
        <v>0</v>
      </c>
      <c r="AG66" s="944">
        <v>35.270000000000003</v>
      </c>
      <c r="AH66" s="945">
        <v>9</v>
      </c>
      <c r="AJ66" s="1079">
        <f t="shared" si="40"/>
        <v>1</v>
      </c>
      <c r="AK66" s="82">
        <f t="shared" si="41"/>
        <v>1</v>
      </c>
      <c r="AL66" s="1080">
        <f t="shared" si="48"/>
        <v>-129</v>
      </c>
      <c r="AM66" s="1080">
        <f t="shared" si="49"/>
        <v>1</v>
      </c>
      <c r="AN66" s="1091">
        <f t="shared" si="42"/>
        <v>232</v>
      </c>
      <c r="AO66" s="1092">
        <f t="shared" si="50"/>
        <v>18.262889942194128</v>
      </c>
      <c r="AP66" s="1084"/>
      <c r="AQ66" s="1085"/>
      <c r="AR66" s="1084"/>
      <c r="AS66" s="1085"/>
      <c r="AT66" s="1084"/>
      <c r="AU66" s="1085"/>
      <c r="AV66" s="1084"/>
      <c r="AW66" s="1085"/>
      <c r="AX66" s="28">
        <f t="shared" si="43"/>
        <v>0</v>
      </c>
      <c r="AY66" s="28">
        <f t="shared" si="44"/>
        <v>0</v>
      </c>
    </row>
    <row r="67" spans="1:51" s="19" customFormat="1" ht="12.75" x14ac:dyDescent="0.2">
      <c r="A67" s="1038" t="str">
        <f t="shared" si="21"/>
        <v>Toiture D</v>
      </c>
      <c r="B67" s="1042">
        <v>1</v>
      </c>
      <c r="C67" s="1097">
        <f t="shared" ref="C67:M67" si="59">$L30+C$56*Rapous</f>
        <v>-5</v>
      </c>
      <c r="D67" s="1097">
        <f t="shared" si="59"/>
        <v>-4</v>
      </c>
      <c r="E67" s="1097">
        <f t="shared" si="59"/>
        <v>-3</v>
      </c>
      <c r="F67" s="1097">
        <f t="shared" si="59"/>
        <v>-2</v>
      </c>
      <c r="G67" s="1098">
        <f t="shared" si="59"/>
        <v>-1</v>
      </c>
      <c r="H67" s="1099">
        <f t="shared" si="59"/>
        <v>0</v>
      </c>
      <c r="I67" s="1100">
        <f t="shared" si="59"/>
        <v>1</v>
      </c>
      <c r="J67" s="1097">
        <f t="shared" si="59"/>
        <v>2</v>
      </c>
      <c r="K67" s="1097">
        <f t="shared" si="59"/>
        <v>3</v>
      </c>
      <c r="L67" s="1097">
        <f t="shared" si="59"/>
        <v>4</v>
      </c>
      <c r="M67" s="1098">
        <f t="shared" si="59"/>
        <v>5</v>
      </c>
      <c r="N67" s="698">
        <f t="shared" si="23"/>
        <v>0</v>
      </c>
      <c r="O67" s="943" t="str">
        <f t="shared" si="24"/>
        <v>Toiture D</v>
      </c>
      <c r="P67" s="688">
        <f t="shared" si="25"/>
        <v>141</v>
      </c>
      <c r="Q67" s="695">
        <f t="shared" si="26"/>
        <v>1</v>
      </c>
      <c r="R67" s="698">
        <f t="shared" si="27"/>
        <v>1</v>
      </c>
      <c r="S67" s="698">
        <f t="shared" si="28"/>
        <v>1</v>
      </c>
      <c r="T67" s="698">
        <f t="shared" si="29"/>
        <v>1</v>
      </c>
      <c r="U67" s="959">
        <f t="shared" si="30"/>
        <v>1</v>
      </c>
      <c r="V67" s="1102">
        <f t="shared" si="31"/>
        <v>1</v>
      </c>
      <c r="W67" s="695">
        <f t="shared" si="32"/>
        <v>1</v>
      </c>
      <c r="X67" s="698">
        <f t="shared" si="33"/>
        <v>1</v>
      </c>
      <c r="Y67" s="698">
        <f t="shared" si="34"/>
        <v>1</v>
      </c>
      <c r="Z67" s="698">
        <f t="shared" si="35"/>
        <v>1</v>
      </c>
      <c r="AA67" s="959">
        <f t="shared" si="36"/>
        <v>1</v>
      </c>
      <c r="AB67" s="1069">
        <f t="shared" si="37"/>
        <v>9.6314449710970642</v>
      </c>
      <c r="AC67" s="1070">
        <f t="shared" si="46"/>
        <v>7.5010000000000003</v>
      </c>
      <c r="AD67" s="39" t="b">
        <f t="shared" si="38"/>
        <v>0</v>
      </c>
      <c r="AE67" s="1070">
        <f t="shared" si="39"/>
        <v>90</v>
      </c>
      <c r="AF67" s="1071">
        <f t="shared" si="47"/>
        <v>0</v>
      </c>
      <c r="AG67" s="944">
        <v>37.65</v>
      </c>
      <c r="AH67" s="945">
        <v>9.3500000000000227</v>
      </c>
      <c r="AJ67" s="1079">
        <f t="shared" si="40"/>
        <v>1</v>
      </c>
      <c r="AK67" s="82">
        <f t="shared" si="41"/>
        <v>1</v>
      </c>
      <c r="AL67" s="1080">
        <f t="shared" si="48"/>
        <v>-129</v>
      </c>
      <c r="AM67" s="1080">
        <f t="shared" si="49"/>
        <v>1</v>
      </c>
      <c r="AN67" s="1091">
        <f t="shared" si="42"/>
        <v>232</v>
      </c>
      <c r="AO67" s="1092">
        <f t="shared" si="50"/>
        <v>18.262889942194128</v>
      </c>
      <c r="AP67" s="1084"/>
      <c r="AQ67" s="1085"/>
      <c r="AR67" s="1084"/>
      <c r="AS67" s="1085"/>
      <c r="AT67" s="1084"/>
      <c r="AU67" s="1085"/>
      <c r="AV67" s="1084"/>
      <c r="AW67" s="1085"/>
      <c r="AX67" s="28">
        <f t="shared" si="43"/>
        <v>0</v>
      </c>
      <c r="AY67" s="28">
        <f t="shared" si="44"/>
        <v>0</v>
      </c>
    </row>
    <row r="68" spans="1:51" s="19" customFormat="1" ht="12.75" x14ac:dyDescent="0.2">
      <c r="A68" s="1038" t="str">
        <f t="shared" si="21"/>
        <v>Arrière PV</v>
      </c>
      <c r="B68" s="1042">
        <v>1</v>
      </c>
      <c r="C68" s="1097">
        <f t="shared" ref="C68:M68" si="60">$L31+C$56*Rapous</f>
        <v>-5</v>
      </c>
      <c r="D68" s="1097">
        <f t="shared" si="60"/>
        <v>-4</v>
      </c>
      <c r="E68" s="1097">
        <f t="shared" si="60"/>
        <v>-3</v>
      </c>
      <c r="F68" s="1097">
        <f t="shared" si="60"/>
        <v>-2</v>
      </c>
      <c r="G68" s="1098">
        <f t="shared" si="60"/>
        <v>-1</v>
      </c>
      <c r="H68" s="1099">
        <f t="shared" si="60"/>
        <v>0</v>
      </c>
      <c r="I68" s="1100">
        <f t="shared" si="60"/>
        <v>1</v>
      </c>
      <c r="J68" s="1097">
        <f t="shared" si="60"/>
        <v>2</v>
      </c>
      <c r="K68" s="1097">
        <f t="shared" si="60"/>
        <v>3</v>
      </c>
      <c r="L68" s="1097">
        <f t="shared" si="60"/>
        <v>4</v>
      </c>
      <c r="M68" s="1098">
        <f t="shared" si="60"/>
        <v>5</v>
      </c>
      <c r="N68" s="698">
        <f t="shared" si="23"/>
        <v>0</v>
      </c>
      <c r="O68" s="943" t="str">
        <f t="shared" si="24"/>
        <v>Arrière PV</v>
      </c>
      <c r="P68" s="688">
        <f t="shared" si="25"/>
        <v>231</v>
      </c>
      <c r="Q68" s="695">
        <f t="shared" si="26"/>
        <v>18.262889942194128</v>
      </c>
      <c r="R68" s="698">
        <f t="shared" si="27"/>
        <v>18.262889942194128</v>
      </c>
      <c r="S68" s="698">
        <f t="shared" si="28"/>
        <v>18.262889942194128</v>
      </c>
      <c r="T68" s="698">
        <f t="shared" si="29"/>
        <v>18.262889942194128</v>
      </c>
      <c r="U68" s="959">
        <f t="shared" si="30"/>
        <v>18.262889942194128</v>
      </c>
      <c r="V68" s="1102">
        <f t="shared" si="31"/>
        <v>18.262889942194128</v>
      </c>
      <c r="W68" s="695">
        <f t="shared" si="32"/>
        <v>18.262889942194128</v>
      </c>
      <c r="X68" s="698">
        <f t="shared" si="33"/>
        <v>18.262889942194128</v>
      </c>
      <c r="Y68" s="698">
        <f t="shared" si="34"/>
        <v>18.262889942194128</v>
      </c>
      <c r="Z68" s="698">
        <f t="shared" si="35"/>
        <v>18.262889942194128</v>
      </c>
      <c r="AA68" s="959">
        <f t="shared" si="36"/>
        <v>18.262889942194128</v>
      </c>
      <c r="AB68" s="1069">
        <f t="shared" si="37"/>
        <v>18.262889942194128</v>
      </c>
      <c r="AC68" s="1070">
        <f t="shared" si="46"/>
        <v>7.5010000000000003</v>
      </c>
      <c r="AD68" s="39" t="b">
        <f t="shared" si="38"/>
        <v>0</v>
      </c>
      <c r="AE68" s="1070">
        <f t="shared" si="39"/>
        <v>0</v>
      </c>
      <c r="AF68" s="1071">
        <f t="shared" si="47"/>
        <v>0</v>
      </c>
      <c r="AG68" s="944">
        <v>40.520000000000003</v>
      </c>
      <c r="AH68" s="945">
        <v>9.789999999999992</v>
      </c>
      <c r="AJ68" s="1079">
        <f t="shared" si="40"/>
        <v>1</v>
      </c>
      <c r="AK68" s="82">
        <f t="shared" si="41"/>
        <v>2</v>
      </c>
      <c r="AL68" s="1080">
        <f t="shared" si="48"/>
        <v>231</v>
      </c>
      <c r="AM68" s="1080">
        <f t="shared" si="49"/>
        <v>1</v>
      </c>
      <c r="AN68" s="1091">
        <f t="shared" si="42"/>
        <v>232</v>
      </c>
      <c r="AO68" s="1092">
        <f t="shared" si="50"/>
        <v>18.262889942194128</v>
      </c>
      <c r="AP68" s="1084"/>
      <c r="AQ68" s="1085"/>
      <c r="AR68" s="1084"/>
      <c r="AS68" s="1085"/>
      <c r="AT68" s="1084"/>
      <c r="AU68" s="1085"/>
      <c r="AV68" s="1084"/>
      <c r="AW68" s="1085"/>
      <c r="AX68" s="28">
        <f t="shared" si="43"/>
        <v>0</v>
      </c>
      <c r="AY68" s="28">
        <f t="shared" si="44"/>
        <v>0</v>
      </c>
    </row>
    <row r="69" spans="1:51" s="19" customFormat="1" ht="12.75" x14ac:dyDescent="0.2">
      <c r="A69" s="1038">
        <f t="shared" si="21"/>
        <v>0</v>
      </c>
      <c r="B69" s="1042">
        <v>1</v>
      </c>
      <c r="C69" s="1097">
        <f t="shared" ref="C69:M69" si="61">$L32+C$56*Rapous</f>
        <v>-5</v>
      </c>
      <c r="D69" s="1097">
        <f t="shared" si="61"/>
        <v>-4</v>
      </c>
      <c r="E69" s="1097">
        <f t="shared" si="61"/>
        <v>-3</v>
      </c>
      <c r="F69" s="1097">
        <f t="shared" si="61"/>
        <v>-2</v>
      </c>
      <c r="G69" s="1098">
        <f t="shared" si="61"/>
        <v>-1</v>
      </c>
      <c r="H69" s="1099">
        <f t="shared" si="61"/>
        <v>0</v>
      </c>
      <c r="I69" s="1100">
        <f t="shared" si="61"/>
        <v>1</v>
      </c>
      <c r="J69" s="1097">
        <f t="shared" si="61"/>
        <v>2</v>
      </c>
      <c r="K69" s="1097">
        <f t="shared" si="61"/>
        <v>3</v>
      </c>
      <c r="L69" s="1097">
        <f t="shared" si="61"/>
        <v>4</v>
      </c>
      <c r="M69" s="1098">
        <f t="shared" si="61"/>
        <v>5</v>
      </c>
      <c r="N69" s="698">
        <f t="shared" si="23"/>
        <v>0</v>
      </c>
      <c r="O69" s="943">
        <f t="shared" si="24"/>
        <v>0</v>
      </c>
      <c r="P69" s="688">
        <f t="shared" si="25"/>
        <v>231</v>
      </c>
      <c r="Q69" s="695">
        <f t="shared" si="26"/>
        <v>18.262889942194128</v>
      </c>
      <c r="R69" s="698">
        <f t="shared" si="27"/>
        <v>18.262889942194128</v>
      </c>
      <c r="S69" s="698">
        <f t="shared" si="28"/>
        <v>18.262889942194128</v>
      </c>
      <c r="T69" s="698">
        <f t="shared" si="29"/>
        <v>18.262889942194128</v>
      </c>
      <c r="U69" s="959">
        <f t="shared" si="30"/>
        <v>18.262889942194128</v>
      </c>
      <c r="V69" s="1102">
        <f t="shared" si="31"/>
        <v>18.262889942194128</v>
      </c>
      <c r="W69" s="695">
        <f t="shared" si="32"/>
        <v>18.262889942194128</v>
      </c>
      <c r="X69" s="698">
        <f t="shared" si="33"/>
        <v>18.262889942194128</v>
      </c>
      <c r="Y69" s="698">
        <f t="shared" si="34"/>
        <v>18.262889942194128</v>
      </c>
      <c r="Z69" s="698">
        <f t="shared" si="35"/>
        <v>18.262889942194128</v>
      </c>
      <c r="AA69" s="959">
        <f t="shared" si="36"/>
        <v>18.262889942194128</v>
      </c>
      <c r="AB69" s="1069">
        <f t="shared" si="37"/>
        <v>18.262889942194128</v>
      </c>
      <c r="AC69" s="1070">
        <f t="shared" si="46"/>
        <v>7.5010000000000003</v>
      </c>
      <c r="AD69" s="39" t="b">
        <f t="shared" si="38"/>
        <v>0</v>
      </c>
      <c r="AE69" s="1070">
        <f t="shared" si="39"/>
        <v>0</v>
      </c>
      <c r="AF69" s="1071">
        <f t="shared" si="47"/>
        <v>0</v>
      </c>
      <c r="AG69" s="944">
        <v>42.91</v>
      </c>
      <c r="AH69" s="945">
        <v>10.22999999999999</v>
      </c>
      <c r="AJ69" s="1079">
        <f t="shared" si="40"/>
        <v>1</v>
      </c>
      <c r="AK69" s="82">
        <f t="shared" si="41"/>
        <v>2</v>
      </c>
      <c r="AL69" s="1080">
        <f t="shared" si="48"/>
        <v>231</v>
      </c>
      <c r="AM69" s="1080">
        <f t="shared" si="49"/>
        <v>1</v>
      </c>
      <c r="AN69" s="1091">
        <f>IF(AND(AX69=0,AX70=0),MAX(AN68,$H$43+1),AX69)</f>
        <v>232</v>
      </c>
      <c r="AO69" s="1092">
        <f t="shared" si="50"/>
        <v>18.262889942194128</v>
      </c>
      <c r="AP69" s="1084"/>
      <c r="AQ69" s="1085"/>
      <c r="AR69" s="1084"/>
      <c r="AS69" s="1085"/>
      <c r="AT69" s="1084"/>
      <c r="AU69" s="1085"/>
      <c r="AV69" s="1084"/>
      <c r="AW69" s="1085"/>
      <c r="AX69" s="28">
        <f t="shared" si="43"/>
        <v>0</v>
      </c>
      <c r="AY69" s="28">
        <f t="shared" si="44"/>
        <v>0</v>
      </c>
    </row>
    <row r="70" spans="1:51" s="19" customFormat="1" ht="12.75" x14ac:dyDescent="0.2">
      <c r="A70" s="1038">
        <f t="shared" si="21"/>
        <v>0</v>
      </c>
      <c r="B70" s="1042">
        <v>1</v>
      </c>
      <c r="C70" s="1097">
        <f t="shared" ref="C70:M70" si="62">$L33+C$56*Rapous</f>
        <v>-5</v>
      </c>
      <c r="D70" s="1097">
        <f t="shared" si="62"/>
        <v>-4</v>
      </c>
      <c r="E70" s="1097">
        <f t="shared" si="62"/>
        <v>-3</v>
      </c>
      <c r="F70" s="1097">
        <f t="shared" si="62"/>
        <v>-2</v>
      </c>
      <c r="G70" s="1098">
        <f t="shared" si="62"/>
        <v>-1</v>
      </c>
      <c r="H70" s="1099">
        <f t="shared" si="62"/>
        <v>0</v>
      </c>
      <c r="I70" s="1100">
        <f t="shared" si="62"/>
        <v>1</v>
      </c>
      <c r="J70" s="1097">
        <f t="shared" si="62"/>
        <v>2</v>
      </c>
      <c r="K70" s="1097">
        <f t="shared" si="62"/>
        <v>3</v>
      </c>
      <c r="L70" s="1097">
        <f t="shared" si="62"/>
        <v>4</v>
      </c>
      <c r="M70" s="1098">
        <f t="shared" si="62"/>
        <v>5</v>
      </c>
      <c r="N70" s="698">
        <f t="shared" si="23"/>
        <v>0</v>
      </c>
      <c r="O70" s="943">
        <f t="shared" si="24"/>
        <v>0</v>
      </c>
      <c r="P70" s="688">
        <f t="shared" si="25"/>
        <v>231</v>
      </c>
      <c r="Q70" s="695">
        <f t="shared" si="26"/>
        <v>18.262889942194128</v>
      </c>
      <c r="R70" s="698">
        <f t="shared" si="27"/>
        <v>18.262889942194128</v>
      </c>
      <c r="S70" s="698">
        <f t="shared" si="28"/>
        <v>18.262889942194128</v>
      </c>
      <c r="T70" s="698">
        <f t="shared" si="29"/>
        <v>18.262889942194128</v>
      </c>
      <c r="U70" s="959">
        <f t="shared" si="30"/>
        <v>18.262889942194128</v>
      </c>
      <c r="V70" s="1102">
        <f t="shared" si="31"/>
        <v>18.262889942194128</v>
      </c>
      <c r="W70" s="695">
        <f t="shared" si="32"/>
        <v>18.262889942194128</v>
      </c>
      <c r="X70" s="698">
        <f t="shared" si="33"/>
        <v>18.262889942194128</v>
      </c>
      <c r="Y70" s="698">
        <f t="shared" si="34"/>
        <v>18.262889942194128</v>
      </c>
      <c r="Z70" s="698">
        <f t="shared" si="35"/>
        <v>18.262889942194128</v>
      </c>
      <c r="AA70" s="959">
        <f t="shared" si="36"/>
        <v>18.262889942194128</v>
      </c>
      <c r="AB70" s="1069">
        <f t="shared" si="37"/>
        <v>18.262889942194128</v>
      </c>
      <c r="AC70" s="1070">
        <f t="shared" si="46"/>
        <v>7.5010000000000003</v>
      </c>
      <c r="AD70" s="39" t="b">
        <f t="shared" si="38"/>
        <v>0</v>
      </c>
      <c r="AE70" s="1070">
        <f t="shared" si="39"/>
        <v>0</v>
      </c>
      <c r="AF70" s="1071">
        <f t="shared" si="47"/>
        <v>0</v>
      </c>
      <c r="AG70" s="944">
        <v>46.04</v>
      </c>
      <c r="AH70" s="945">
        <v>10.759999999999991</v>
      </c>
      <c r="AJ70" s="1079">
        <f t="shared" si="40"/>
        <v>1</v>
      </c>
      <c r="AK70" s="82">
        <f t="shared" si="41"/>
        <v>2</v>
      </c>
      <c r="AL70" s="1080">
        <f t="shared" si="48"/>
        <v>231</v>
      </c>
      <c r="AM70" s="1080">
        <f t="shared" si="49"/>
        <v>1</v>
      </c>
      <c r="AN70" s="1091">
        <f>IF(AND(AX70=0,AX71=0),MAX(AN69,$H$43+1),AX70)</f>
        <v>232</v>
      </c>
      <c r="AO70" s="1092">
        <f t="shared" si="50"/>
        <v>18.262889942194128</v>
      </c>
      <c r="AP70" s="1084"/>
      <c r="AQ70" s="1085"/>
      <c r="AR70" s="1084"/>
      <c r="AS70" s="1085"/>
      <c r="AT70" s="1084"/>
      <c r="AU70" s="1085"/>
      <c r="AV70" s="1084"/>
      <c r="AW70" s="1085"/>
      <c r="AX70" s="28">
        <f t="shared" si="43"/>
        <v>0</v>
      </c>
      <c r="AY70" s="28">
        <f t="shared" si="44"/>
        <v>0</v>
      </c>
    </row>
    <row r="71" spans="1:51" s="28" customFormat="1" ht="12.75" x14ac:dyDescent="0.2">
      <c r="A71" s="1039">
        <f t="shared" si="21"/>
        <v>0</v>
      </c>
      <c r="B71" s="1042">
        <v>1</v>
      </c>
      <c r="C71" s="1097">
        <f t="shared" ref="C71:M71" si="63">$L34+C$56*Rapous</f>
        <v>-5</v>
      </c>
      <c r="D71" s="1097">
        <f t="shared" si="63"/>
        <v>-4</v>
      </c>
      <c r="E71" s="1097">
        <f t="shared" si="63"/>
        <v>-3</v>
      </c>
      <c r="F71" s="1097">
        <f t="shared" si="63"/>
        <v>-2</v>
      </c>
      <c r="G71" s="1098">
        <f t="shared" si="63"/>
        <v>-1</v>
      </c>
      <c r="H71" s="1099">
        <f t="shared" si="63"/>
        <v>0</v>
      </c>
      <c r="I71" s="1100">
        <f t="shared" si="63"/>
        <v>1</v>
      </c>
      <c r="J71" s="1097">
        <f t="shared" si="63"/>
        <v>2</v>
      </c>
      <c r="K71" s="1097">
        <f t="shared" si="63"/>
        <v>3</v>
      </c>
      <c r="L71" s="1097">
        <f t="shared" si="63"/>
        <v>4</v>
      </c>
      <c r="M71" s="1098">
        <f t="shared" si="63"/>
        <v>5</v>
      </c>
      <c r="N71" s="698">
        <f t="shared" si="23"/>
        <v>0</v>
      </c>
      <c r="O71" s="943">
        <f t="shared" si="24"/>
        <v>0</v>
      </c>
      <c r="P71" s="688">
        <f t="shared" si="25"/>
        <v>231</v>
      </c>
      <c r="Q71" s="695">
        <f t="shared" si="26"/>
        <v>18.262889942194128</v>
      </c>
      <c r="R71" s="698">
        <f t="shared" si="27"/>
        <v>18.262889942194128</v>
      </c>
      <c r="S71" s="698">
        <f t="shared" si="28"/>
        <v>18.262889942194128</v>
      </c>
      <c r="T71" s="698">
        <f t="shared" si="29"/>
        <v>18.262889942194128</v>
      </c>
      <c r="U71" s="959">
        <f t="shared" si="30"/>
        <v>18.262889942194128</v>
      </c>
      <c r="V71" s="1102">
        <f t="shared" si="31"/>
        <v>18.262889942194128</v>
      </c>
      <c r="W71" s="695">
        <f t="shared" si="32"/>
        <v>18.262889942194128</v>
      </c>
      <c r="X71" s="698">
        <f t="shared" si="33"/>
        <v>18.262889942194128</v>
      </c>
      <c r="Y71" s="698">
        <f t="shared" si="34"/>
        <v>18.262889942194128</v>
      </c>
      <c r="Z71" s="698">
        <f t="shared" si="35"/>
        <v>18.262889942194128</v>
      </c>
      <c r="AA71" s="959">
        <f t="shared" si="36"/>
        <v>18.262889942194128</v>
      </c>
      <c r="AB71" s="1069">
        <f t="shared" si="37"/>
        <v>18.262889942194128</v>
      </c>
      <c r="AC71" s="1070">
        <f t="shared" si="46"/>
        <v>7.5010000000000003</v>
      </c>
      <c r="AD71" s="39" t="b">
        <f t="shared" si="38"/>
        <v>0</v>
      </c>
      <c r="AE71" s="1070">
        <f t="shared" si="39"/>
        <v>0</v>
      </c>
      <c r="AF71" s="1071">
        <f t="shared" si="47"/>
        <v>0</v>
      </c>
      <c r="AG71" s="944">
        <v>48.37</v>
      </c>
      <c r="AH71" s="945">
        <v>11.280000000000001</v>
      </c>
      <c r="AJ71" s="1079">
        <f t="shared" si="40"/>
        <v>1</v>
      </c>
      <c r="AK71" s="82">
        <f t="shared" si="41"/>
        <v>2</v>
      </c>
      <c r="AL71" s="1080">
        <f t="shared" si="48"/>
        <v>231</v>
      </c>
      <c r="AM71" s="1080">
        <f t="shared" si="49"/>
        <v>1</v>
      </c>
      <c r="AN71" s="1091">
        <f t="shared" ref="AN71:AN80" si="64">IF(AND(AX71=0,AX72=0),MAX(AN70,$H$43+1),AX71)</f>
        <v>232</v>
      </c>
      <c r="AO71" s="1092">
        <f t="shared" si="50"/>
        <v>18.262889942194128</v>
      </c>
      <c r="AP71" s="1084"/>
      <c r="AQ71" s="1085"/>
      <c r="AR71" s="1084"/>
      <c r="AS71" s="1085"/>
      <c r="AT71" s="1084"/>
      <c r="AU71" s="1085"/>
      <c r="AV71" s="1084"/>
      <c r="AW71" s="1085"/>
      <c r="AX71" s="28">
        <f t="shared" si="43"/>
        <v>0</v>
      </c>
      <c r="AY71" s="28">
        <f t="shared" si="44"/>
        <v>0</v>
      </c>
    </row>
    <row r="72" spans="1:51" s="28" customFormat="1" ht="12.75" x14ac:dyDescent="0.2">
      <c r="A72" s="1039">
        <f t="shared" si="21"/>
        <v>0</v>
      </c>
      <c r="B72" s="1042">
        <v>1</v>
      </c>
      <c r="C72" s="1097">
        <f t="shared" ref="C72:M72" si="65">$L35+C$56*Rapous</f>
        <v>-5</v>
      </c>
      <c r="D72" s="1097">
        <f t="shared" si="65"/>
        <v>-4</v>
      </c>
      <c r="E72" s="1097">
        <f t="shared" si="65"/>
        <v>-3</v>
      </c>
      <c r="F72" s="1097">
        <f t="shared" si="65"/>
        <v>-2</v>
      </c>
      <c r="G72" s="1098">
        <f t="shared" si="65"/>
        <v>-1</v>
      </c>
      <c r="H72" s="1099">
        <f t="shared" si="65"/>
        <v>0</v>
      </c>
      <c r="I72" s="1100">
        <f t="shared" si="65"/>
        <v>1</v>
      </c>
      <c r="J72" s="1097">
        <f t="shared" si="65"/>
        <v>2</v>
      </c>
      <c r="K72" s="1097">
        <f t="shared" si="65"/>
        <v>3</v>
      </c>
      <c r="L72" s="1097">
        <f t="shared" si="65"/>
        <v>4</v>
      </c>
      <c r="M72" s="1098">
        <f t="shared" si="65"/>
        <v>5</v>
      </c>
      <c r="N72" s="698">
        <f t="shared" si="23"/>
        <v>0</v>
      </c>
      <c r="O72" s="943">
        <f t="shared" si="24"/>
        <v>0</v>
      </c>
      <c r="P72" s="688">
        <f t="shared" si="25"/>
        <v>231</v>
      </c>
      <c r="Q72" s="695">
        <f t="shared" si="26"/>
        <v>18.262889942194128</v>
      </c>
      <c r="R72" s="698">
        <f t="shared" si="27"/>
        <v>18.262889942194128</v>
      </c>
      <c r="S72" s="698">
        <f t="shared" si="28"/>
        <v>18.262889942194128</v>
      </c>
      <c r="T72" s="698">
        <f t="shared" si="29"/>
        <v>18.262889942194128</v>
      </c>
      <c r="U72" s="959">
        <f t="shared" si="30"/>
        <v>18.262889942194128</v>
      </c>
      <c r="V72" s="1102">
        <f t="shared" si="31"/>
        <v>18.262889942194128</v>
      </c>
      <c r="W72" s="695">
        <f t="shared" si="32"/>
        <v>18.262889942194128</v>
      </c>
      <c r="X72" s="698">
        <f t="shared" si="33"/>
        <v>18.262889942194128</v>
      </c>
      <c r="Y72" s="698">
        <f t="shared" si="34"/>
        <v>18.262889942194128</v>
      </c>
      <c r="Z72" s="698">
        <f t="shared" si="35"/>
        <v>18.262889942194128</v>
      </c>
      <c r="AA72" s="959">
        <f t="shared" si="36"/>
        <v>18.262889942194128</v>
      </c>
      <c r="AB72" s="1069">
        <f t="shared" si="37"/>
        <v>18.262889942194128</v>
      </c>
      <c r="AC72" s="1070">
        <f t="shared" si="46"/>
        <v>7.5010000000000003</v>
      </c>
      <c r="AD72" s="39" t="b">
        <f t="shared" si="38"/>
        <v>0</v>
      </c>
      <c r="AE72" s="1070">
        <f t="shared" si="39"/>
        <v>0</v>
      </c>
      <c r="AF72" s="1071">
        <f t="shared" si="47"/>
        <v>0</v>
      </c>
      <c r="AG72" s="944">
        <v>51.52</v>
      </c>
      <c r="AH72" s="945">
        <v>11.930000000000007</v>
      </c>
      <c r="AJ72" s="1079">
        <f t="shared" si="40"/>
        <v>1</v>
      </c>
      <c r="AK72" s="82">
        <f t="shared" si="41"/>
        <v>2</v>
      </c>
      <c r="AL72" s="1080">
        <f t="shared" si="48"/>
        <v>231</v>
      </c>
      <c r="AM72" s="1080">
        <f t="shared" si="49"/>
        <v>1</v>
      </c>
      <c r="AN72" s="1091">
        <f t="shared" si="64"/>
        <v>232</v>
      </c>
      <c r="AO72" s="1092">
        <f t="shared" si="50"/>
        <v>18.262889942194128</v>
      </c>
      <c r="AP72" s="1084"/>
      <c r="AQ72" s="1085"/>
      <c r="AR72" s="1084"/>
      <c r="AS72" s="1085"/>
      <c r="AT72" s="1084"/>
      <c r="AU72" s="1085"/>
      <c r="AV72" s="1084"/>
      <c r="AW72" s="1085"/>
      <c r="AX72" s="28">
        <f t="shared" si="43"/>
        <v>0</v>
      </c>
      <c r="AY72" s="28">
        <f t="shared" si="44"/>
        <v>0</v>
      </c>
    </row>
    <row r="73" spans="1:51" s="28" customFormat="1" ht="12.75" x14ac:dyDescent="0.2">
      <c r="A73" s="1039">
        <f t="shared" si="21"/>
        <v>0</v>
      </c>
      <c r="B73" s="1042">
        <v>1</v>
      </c>
      <c r="C73" s="1097">
        <f t="shared" ref="C73:M73" si="66">$L36+C$56*Rapous</f>
        <v>-5</v>
      </c>
      <c r="D73" s="1097">
        <f t="shared" si="66"/>
        <v>-4</v>
      </c>
      <c r="E73" s="1097">
        <f t="shared" si="66"/>
        <v>-3</v>
      </c>
      <c r="F73" s="1097">
        <f t="shared" si="66"/>
        <v>-2</v>
      </c>
      <c r="G73" s="1098">
        <f t="shared" si="66"/>
        <v>-1</v>
      </c>
      <c r="H73" s="1099">
        <f t="shared" si="66"/>
        <v>0</v>
      </c>
      <c r="I73" s="1100">
        <f t="shared" si="66"/>
        <v>1</v>
      </c>
      <c r="J73" s="1097">
        <f t="shared" si="66"/>
        <v>2</v>
      </c>
      <c r="K73" s="1097">
        <f t="shared" si="66"/>
        <v>3</v>
      </c>
      <c r="L73" s="1097">
        <f t="shared" si="66"/>
        <v>4</v>
      </c>
      <c r="M73" s="1098">
        <f t="shared" si="66"/>
        <v>5</v>
      </c>
      <c r="N73" s="698">
        <f t="shared" si="23"/>
        <v>0</v>
      </c>
      <c r="O73" s="943">
        <f t="shared" si="24"/>
        <v>0</v>
      </c>
      <c r="P73" s="688">
        <f t="shared" si="25"/>
        <v>231</v>
      </c>
      <c r="Q73" s="695">
        <f t="shared" si="26"/>
        <v>18.262889942194128</v>
      </c>
      <c r="R73" s="698">
        <f t="shared" si="27"/>
        <v>18.262889942194128</v>
      </c>
      <c r="S73" s="698">
        <f t="shared" si="28"/>
        <v>18.262889942194128</v>
      </c>
      <c r="T73" s="698">
        <f t="shared" si="29"/>
        <v>18.262889942194128</v>
      </c>
      <c r="U73" s="959">
        <f t="shared" si="30"/>
        <v>18.262889942194128</v>
      </c>
      <c r="V73" s="1102">
        <f t="shared" si="31"/>
        <v>18.262889942194128</v>
      </c>
      <c r="W73" s="695">
        <f t="shared" si="32"/>
        <v>18.262889942194128</v>
      </c>
      <c r="X73" s="698">
        <f t="shared" si="33"/>
        <v>18.262889942194128</v>
      </c>
      <c r="Y73" s="698">
        <f t="shared" si="34"/>
        <v>18.262889942194128</v>
      </c>
      <c r="Z73" s="698">
        <f t="shared" si="35"/>
        <v>18.262889942194128</v>
      </c>
      <c r="AA73" s="959">
        <f t="shared" si="36"/>
        <v>18.262889942194128</v>
      </c>
      <c r="AB73" s="1069">
        <f t="shared" si="37"/>
        <v>18.262889942194128</v>
      </c>
      <c r="AC73" s="1070">
        <f t="shared" si="46"/>
        <v>7.5010000000000003</v>
      </c>
      <c r="AD73" s="39" t="b">
        <f t="shared" si="38"/>
        <v>0</v>
      </c>
      <c r="AE73" s="1070">
        <f t="shared" si="39"/>
        <v>0</v>
      </c>
      <c r="AF73" s="1071">
        <f t="shared" si="47"/>
        <v>0</v>
      </c>
      <c r="AG73" s="944">
        <v>53.73</v>
      </c>
      <c r="AH73" s="947">
        <v>12.530000000000001</v>
      </c>
      <c r="AJ73" s="1079">
        <f t="shared" si="40"/>
        <v>1</v>
      </c>
      <c r="AK73" s="82">
        <f t="shared" si="41"/>
        <v>2</v>
      </c>
      <c r="AL73" s="1080">
        <f t="shared" si="48"/>
        <v>231</v>
      </c>
      <c r="AM73" s="1080">
        <f t="shared" si="49"/>
        <v>1</v>
      </c>
      <c r="AN73" s="1091">
        <f t="shared" si="64"/>
        <v>232</v>
      </c>
      <c r="AO73" s="1092">
        <f t="shared" si="50"/>
        <v>18.262889942194128</v>
      </c>
      <c r="AP73" s="1084"/>
      <c r="AQ73" s="1085"/>
      <c r="AR73" s="1084"/>
      <c r="AS73" s="1085"/>
      <c r="AT73" s="1084"/>
      <c r="AU73" s="1085"/>
      <c r="AV73" s="1084"/>
      <c r="AW73" s="1085"/>
      <c r="AX73" s="28">
        <f t="shared" si="43"/>
        <v>0</v>
      </c>
      <c r="AY73" s="28">
        <f t="shared" si="44"/>
        <v>0</v>
      </c>
    </row>
    <row r="74" spans="1:51" s="28" customFormat="1" ht="12.75" x14ac:dyDescent="0.2">
      <c r="A74" s="1039">
        <f t="shared" si="21"/>
        <v>0</v>
      </c>
      <c r="B74" s="1042">
        <v>1</v>
      </c>
      <c r="C74" s="1097">
        <f t="shared" ref="C74:M74" si="67">$L37+C$56*Rapous</f>
        <v>-5</v>
      </c>
      <c r="D74" s="1097">
        <f t="shared" si="67"/>
        <v>-4</v>
      </c>
      <c r="E74" s="1097">
        <f t="shared" si="67"/>
        <v>-3</v>
      </c>
      <c r="F74" s="1097">
        <f t="shared" si="67"/>
        <v>-2</v>
      </c>
      <c r="G74" s="1098">
        <f t="shared" si="67"/>
        <v>-1</v>
      </c>
      <c r="H74" s="1099">
        <f t="shared" si="67"/>
        <v>0</v>
      </c>
      <c r="I74" s="1100">
        <f t="shared" si="67"/>
        <v>1</v>
      </c>
      <c r="J74" s="1097">
        <f t="shared" si="67"/>
        <v>2</v>
      </c>
      <c r="K74" s="1097">
        <f t="shared" si="67"/>
        <v>3</v>
      </c>
      <c r="L74" s="1097">
        <f t="shared" si="67"/>
        <v>4</v>
      </c>
      <c r="M74" s="1098">
        <f t="shared" si="67"/>
        <v>5</v>
      </c>
      <c r="N74" s="698">
        <f t="shared" si="23"/>
        <v>0</v>
      </c>
      <c r="O74" s="943">
        <f t="shared" si="24"/>
        <v>0</v>
      </c>
      <c r="P74" s="688">
        <f t="shared" si="25"/>
        <v>231</v>
      </c>
      <c r="Q74" s="695">
        <f t="shared" si="26"/>
        <v>18.262889942194128</v>
      </c>
      <c r="R74" s="698">
        <f t="shared" si="27"/>
        <v>18.262889942194128</v>
      </c>
      <c r="S74" s="698">
        <f t="shared" si="28"/>
        <v>18.262889942194128</v>
      </c>
      <c r="T74" s="698">
        <f t="shared" si="29"/>
        <v>18.262889942194128</v>
      </c>
      <c r="U74" s="959">
        <f t="shared" si="30"/>
        <v>18.262889942194128</v>
      </c>
      <c r="V74" s="1102">
        <f t="shared" si="31"/>
        <v>18.262889942194128</v>
      </c>
      <c r="W74" s="695">
        <f t="shared" si="32"/>
        <v>18.262889942194128</v>
      </c>
      <c r="X74" s="698">
        <f t="shared" si="33"/>
        <v>18.262889942194128</v>
      </c>
      <c r="Y74" s="698">
        <f t="shared" si="34"/>
        <v>18.262889942194128</v>
      </c>
      <c r="Z74" s="698">
        <f t="shared" si="35"/>
        <v>18.262889942194128</v>
      </c>
      <c r="AA74" s="959">
        <f t="shared" si="36"/>
        <v>18.262889942194128</v>
      </c>
      <c r="AB74" s="1069">
        <f t="shared" si="37"/>
        <v>18.262889942194128</v>
      </c>
      <c r="AC74" s="1070">
        <f t="shared" si="46"/>
        <v>7.5010000000000003</v>
      </c>
      <c r="AD74" s="39" t="b">
        <f t="shared" si="38"/>
        <v>0</v>
      </c>
      <c r="AE74" s="1070">
        <f t="shared" si="39"/>
        <v>0</v>
      </c>
      <c r="AF74" s="1071">
        <f t="shared" si="47"/>
        <v>0</v>
      </c>
      <c r="AG74" s="944">
        <v>56.67</v>
      </c>
      <c r="AH74" s="947">
        <v>13.370000000000005</v>
      </c>
      <c r="AJ74" s="1079">
        <f t="shared" si="40"/>
        <v>1</v>
      </c>
      <c r="AK74" s="82">
        <f t="shared" si="41"/>
        <v>2</v>
      </c>
      <c r="AL74" s="1080">
        <f t="shared" si="48"/>
        <v>231</v>
      </c>
      <c r="AM74" s="1080">
        <f t="shared" si="49"/>
        <v>1</v>
      </c>
      <c r="AN74" s="1091">
        <f t="shared" si="64"/>
        <v>232</v>
      </c>
      <c r="AO74" s="1092">
        <f t="shared" si="50"/>
        <v>18.262889942194128</v>
      </c>
      <c r="AP74" s="1084"/>
      <c r="AQ74" s="1085"/>
      <c r="AR74" s="1084"/>
      <c r="AS74" s="1085"/>
      <c r="AT74" s="1084"/>
      <c r="AU74" s="1085"/>
      <c r="AV74" s="1084"/>
      <c r="AW74" s="1085"/>
      <c r="AX74" s="28">
        <f t="shared" si="43"/>
        <v>0</v>
      </c>
      <c r="AY74" s="28">
        <f t="shared" si="44"/>
        <v>0</v>
      </c>
    </row>
    <row r="75" spans="1:51" s="28" customFormat="1" ht="12.75" x14ac:dyDescent="0.2">
      <c r="A75" s="1039">
        <f t="shared" si="21"/>
        <v>0</v>
      </c>
      <c r="B75" s="1042">
        <v>1</v>
      </c>
      <c r="C75" s="1097">
        <f t="shared" ref="C75:M75" si="68">$L38+C$56*Rapous</f>
        <v>-5</v>
      </c>
      <c r="D75" s="1097">
        <f t="shared" si="68"/>
        <v>-4</v>
      </c>
      <c r="E75" s="1097">
        <f t="shared" si="68"/>
        <v>-3</v>
      </c>
      <c r="F75" s="1097">
        <f t="shared" si="68"/>
        <v>-2</v>
      </c>
      <c r="G75" s="1098">
        <f t="shared" si="68"/>
        <v>-1</v>
      </c>
      <c r="H75" s="1099">
        <f t="shared" si="68"/>
        <v>0</v>
      </c>
      <c r="I75" s="1100">
        <f t="shared" si="68"/>
        <v>1</v>
      </c>
      <c r="J75" s="1097">
        <f t="shared" si="68"/>
        <v>2</v>
      </c>
      <c r="K75" s="1097">
        <f t="shared" si="68"/>
        <v>3</v>
      </c>
      <c r="L75" s="1097">
        <f t="shared" si="68"/>
        <v>4</v>
      </c>
      <c r="M75" s="1098">
        <f t="shared" si="68"/>
        <v>5</v>
      </c>
      <c r="N75" s="698">
        <f t="shared" si="23"/>
        <v>0</v>
      </c>
      <c r="O75" s="943">
        <f t="shared" si="24"/>
        <v>0</v>
      </c>
      <c r="P75" s="688">
        <f t="shared" si="25"/>
        <v>231</v>
      </c>
      <c r="Q75" s="695">
        <f t="shared" si="26"/>
        <v>18.262889942194128</v>
      </c>
      <c r="R75" s="698">
        <f t="shared" si="27"/>
        <v>18.262889942194128</v>
      </c>
      <c r="S75" s="698">
        <f t="shared" si="28"/>
        <v>18.262889942194128</v>
      </c>
      <c r="T75" s="698">
        <f t="shared" si="29"/>
        <v>18.262889942194128</v>
      </c>
      <c r="U75" s="959">
        <f t="shared" si="30"/>
        <v>18.262889942194128</v>
      </c>
      <c r="V75" s="1102">
        <f t="shared" si="31"/>
        <v>18.262889942194128</v>
      </c>
      <c r="W75" s="695">
        <f t="shared" si="32"/>
        <v>18.262889942194128</v>
      </c>
      <c r="X75" s="698">
        <f t="shared" si="33"/>
        <v>18.262889942194128</v>
      </c>
      <c r="Y75" s="698">
        <f t="shared" si="34"/>
        <v>18.262889942194128</v>
      </c>
      <c r="Z75" s="698">
        <f t="shared" si="35"/>
        <v>18.262889942194128</v>
      </c>
      <c r="AA75" s="959">
        <f t="shared" si="36"/>
        <v>18.262889942194128</v>
      </c>
      <c r="AB75" s="1069">
        <f t="shared" si="37"/>
        <v>18.262889942194128</v>
      </c>
      <c r="AC75" s="1070">
        <f t="shared" si="46"/>
        <v>7.5010000000000003</v>
      </c>
      <c r="AD75" s="39" t="b">
        <f t="shared" si="38"/>
        <v>0</v>
      </c>
      <c r="AE75" s="1070">
        <f t="shared" si="39"/>
        <v>0</v>
      </c>
      <c r="AF75" s="1071">
        <f t="shared" si="47"/>
        <v>0</v>
      </c>
      <c r="AG75" s="944">
        <v>58.66</v>
      </c>
      <c r="AH75" s="947">
        <v>13.969999999999999</v>
      </c>
      <c r="AJ75" s="1079">
        <f t="shared" si="40"/>
        <v>1</v>
      </c>
      <c r="AK75" s="82">
        <f t="shared" si="41"/>
        <v>2</v>
      </c>
      <c r="AL75" s="1080">
        <f t="shared" si="48"/>
        <v>231</v>
      </c>
      <c r="AM75" s="1080">
        <f t="shared" si="49"/>
        <v>1</v>
      </c>
      <c r="AN75" s="1091">
        <f t="shared" si="64"/>
        <v>232</v>
      </c>
      <c r="AO75" s="1092">
        <f t="shared" si="50"/>
        <v>18.262889942194128</v>
      </c>
      <c r="AP75" s="1084"/>
      <c r="AQ75" s="1085"/>
      <c r="AR75" s="1084"/>
      <c r="AS75" s="1085"/>
      <c r="AT75" s="1084"/>
      <c r="AU75" s="1085"/>
      <c r="AV75" s="1084"/>
      <c r="AW75" s="1085"/>
      <c r="AX75" s="28">
        <f t="shared" si="43"/>
        <v>0</v>
      </c>
      <c r="AY75" s="28">
        <f t="shared" si="44"/>
        <v>0</v>
      </c>
    </row>
    <row r="76" spans="1:51" s="28" customFormat="1" ht="12.75" x14ac:dyDescent="0.2">
      <c r="A76" s="1039">
        <f t="shared" si="21"/>
        <v>0</v>
      </c>
      <c r="B76" s="1042">
        <v>1</v>
      </c>
      <c r="C76" s="698">
        <f t="shared" ref="C76:M76" si="69">$L39+C$56*Rapous</f>
        <v>-5</v>
      </c>
      <c r="D76" s="698">
        <f t="shared" si="69"/>
        <v>-4</v>
      </c>
      <c r="E76" s="698">
        <f t="shared" si="69"/>
        <v>-3</v>
      </c>
      <c r="F76" s="698">
        <f t="shared" si="69"/>
        <v>-2</v>
      </c>
      <c r="G76" s="959">
        <f t="shared" si="69"/>
        <v>-1</v>
      </c>
      <c r="H76" s="1099">
        <f t="shared" si="69"/>
        <v>0</v>
      </c>
      <c r="I76" s="1100">
        <f t="shared" si="69"/>
        <v>1</v>
      </c>
      <c r="J76" s="1103">
        <f t="shared" si="69"/>
        <v>2</v>
      </c>
      <c r="K76" s="1097">
        <f t="shared" si="69"/>
        <v>3</v>
      </c>
      <c r="L76" s="1103">
        <f t="shared" si="69"/>
        <v>4</v>
      </c>
      <c r="M76" s="1098">
        <f t="shared" si="69"/>
        <v>5</v>
      </c>
      <c r="N76" s="698">
        <f t="shared" si="23"/>
        <v>0</v>
      </c>
      <c r="O76" s="943">
        <f t="shared" si="24"/>
        <v>0</v>
      </c>
      <c r="P76" s="698">
        <f t="shared" si="25"/>
        <v>231</v>
      </c>
      <c r="Q76" s="695">
        <f t="shared" si="26"/>
        <v>18.262889942194128</v>
      </c>
      <c r="R76" s="698">
        <f t="shared" si="27"/>
        <v>18.262889942194128</v>
      </c>
      <c r="S76" s="698">
        <f t="shared" si="28"/>
        <v>18.262889942194128</v>
      </c>
      <c r="T76" s="698">
        <f t="shared" si="29"/>
        <v>18.262889942194128</v>
      </c>
      <c r="U76" s="959">
        <f t="shared" si="30"/>
        <v>18.262889942194128</v>
      </c>
      <c r="V76" s="1102">
        <f t="shared" si="31"/>
        <v>18.262889942194128</v>
      </c>
      <c r="W76" s="695">
        <f t="shared" si="32"/>
        <v>18.262889942194128</v>
      </c>
      <c r="X76" s="698">
        <f t="shared" si="33"/>
        <v>18.262889942194128</v>
      </c>
      <c r="Y76" s="698">
        <f t="shared" si="34"/>
        <v>18.262889942194128</v>
      </c>
      <c r="Z76" s="698">
        <f t="shared" si="35"/>
        <v>18.262889942194128</v>
      </c>
      <c r="AA76" s="959">
        <f t="shared" si="36"/>
        <v>18.262889942194128</v>
      </c>
      <c r="AB76" s="1069">
        <f t="shared" si="37"/>
        <v>18.262889942194128</v>
      </c>
      <c r="AC76" s="1070">
        <f t="shared" si="46"/>
        <v>7.5010000000000003</v>
      </c>
      <c r="AD76" s="39" t="b">
        <f t="shared" si="38"/>
        <v>0</v>
      </c>
      <c r="AE76" s="1070">
        <f t="shared" si="39"/>
        <v>0</v>
      </c>
      <c r="AF76" s="1071">
        <f t="shared" si="47"/>
        <v>0</v>
      </c>
      <c r="AG76" s="944">
        <v>61.27</v>
      </c>
      <c r="AH76" s="947">
        <v>15.02000000000001</v>
      </c>
      <c r="AJ76" s="1079">
        <f t="shared" si="40"/>
        <v>1</v>
      </c>
      <c r="AK76" s="82">
        <f t="shared" si="41"/>
        <v>2</v>
      </c>
      <c r="AL76" s="1080">
        <f t="shared" si="48"/>
        <v>231</v>
      </c>
      <c r="AM76" s="1080">
        <f t="shared" si="49"/>
        <v>1</v>
      </c>
      <c r="AN76" s="1091">
        <f t="shared" si="64"/>
        <v>232</v>
      </c>
      <c r="AO76" s="1092">
        <f t="shared" si="50"/>
        <v>18.262889942194128</v>
      </c>
      <c r="AP76" s="1084"/>
      <c r="AQ76" s="1085"/>
      <c r="AR76" s="1084"/>
      <c r="AS76" s="1085"/>
      <c r="AT76" s="1084"/>
      <c r="AU76" s="1085"/>
      <c r="AV76" s="1084"/>
      <c r="AW76" s="1085"/>
      <c r="AX76" s="28">
        <f t="shared" si="43"/>
        <v>0</v>
      </c>
      <c r="AY76" s="28">
        <f t="shared" si="44"/>
        <v>0</v>
      </c>
    </row>
    <row r="77" spans="1:51" s="28" customFormat="1" ht="12.75" x14ac:dyDescent="0.2">
      <c r="A77" s="1039">
        <f t="shared" si="21"/>
        <v>0</v>
      </c>
      <c r="B77" s="1042">
        <v>1</v>
      </c>
      <c r="C77" s="698">
        <f t="shared" ref="C77:M77" si="70">$L40+C$56*Rapous</f>
        <v>-5</v>
      </c>
      <c r="D77" s="698">
        <f t="shared" si="70"/>
        <v>-4</v>
      </c>
      <c r="E77" s="698">
        <f t="shared" si="70"/>
        <v>-3</v>
      </c>
      <c r="F77" s="698">
        <f t="shared" si="70"/>
        <v>-2</v>
      </c>
      <c r="G77" s="959">
        <f t="shared" si="70"/>
        <v>-1</v>
      </c>
      <c r="H77" s="1099">
        <f t="shared" si="70"/>
        <v>0</v>
      </c>
      <c r="I77" s="1100">
        <f t="shared" si="70"/>
        <v>1</v>
      </c>
      <c r="J77" s="1103">
        <f t="shared" si="70"/>
        <v>2</v>
      </c>
      <c r="K77" s="1097">
        <f t="shared" si="70"/>
        <v>3</v>
      </c>
      <c r="L77" s="1103">
        <f t="shared" si="70"/>
        <v>4</v>
      </c>
      <c r="M77" s="1098">
        <f t="shared" si="70"/>
        <v>5</v>
      </c>
      <c r="N77" s="698">
        <f t="shared" si="23"/>
        <v>0</v>
      </c>
      <c r="O77" s="943">
        <f t="shared" si="24"/>
        <v>0</v>
      </c>
      <c r="P77" s="698">
        <f t="shared" si="25"/>
        <v>231</v>
      </c>
      <c r="Q77" s="695">
        <f t="shared" si="26"/>
        <v>18.262889942194128</v>
      </c>
      <c r="R77" s="698">
        <f t="shared" si="27"/>
        <v>18.262889942194128</v>
      </c>
      <c r="S77" s="698">
        <f t="shared" si="28"/>
        <v>18.262889942194128</v>
      </c>
      <c r="T77" s="698">
        <f t="shared" si="29"/>
        <v>18.262889942194128</v>
      </c>
      <c r="U77" s="959">
        <f t="shared" si="30"/>
        <v>18.262889942194128</v>
      </c>
      <c r="V77" s="1102">
        <f t="shared" si="31"/>
        <v>18.262889942194128</v>
      </c>
      <c r="W77" s="695">
        <f t="shared" si="32"/>
        <v>18.262889942194128</v>
      </c>
      <c r="X77" s="698">
        <f t="shared" si="33"/>
        <v>18.262889942194128</v>
      </c>
      <c r="Y77" s="698">
        <f t="shared" si="34"/>
        <v>18.262889942194128</v>
      </c>
      <c r="Z77" s="698">
        <f t="shared" si="35"/>
        <v>18.262889942194128</v>
      </c>
      <c r="AA77" s="959">
        <f t="shared" si="36"/>
        <v>18.262889942194128</v>
      </c>
      <c r="AB77" s="1069">
        <f t="shared" si="37"/>
        <v>18.262889942194128</v>
      </c>
      <c r="AC77" s="1070">
        <f t="shared" si="46"/>
        <v>7.5010000000000003</v>
      </c>
      <c r="AD77" s="39" t="b">
        <f t="shared" si="38"/>
        <v>0</v>
      </c>
      <c r="AE77" s="1070">
        <f t="shared" si="39"/>
        <v>0</v>
      </c>
      <c r="AF77" s="1071">
        <f t="shared" si="47"/>
        <v>0</v>
      </c>
      <c r="AG77" s="944">
        <v>62.95</v>
      </c>
      <c r="AH77" s="947">
        <v>15.569999999999993</v>
      </c>
      <c r="AJ77" s="1079">
        <f t="shared" si="40"/>
        <v>1</v>
      </c>
      <c r="AK77" s="82">
        <f t="shared" si="41"/>
        <v>2</v>
      </c>
      <c r="AL77" s="1080">
        <f t="shared" si="48"/>
        <v>231</v>
      </c>
      <c r="AM77" s="1080">
        <f t="shared" si="49"/>
        <v>1</v>
      </c>
      <c r="AN77" s="1091">
        <f t="shared" si="64"/>
        <v>232</v>
      </c>
      <c r="AO77" s="1092">
        <f t="shared" si="50"/>
        <v>18.262889942194128</v>
      </c>
      <c r="AP77" s="1084"/>
      <c r="AQ77" s="1085"/>
      <c r="AR77" s="1084"/>
      <c r="AS77" s="1085"/>
      <c r="AT77" s="1084"/>
      <c r="AU77" s="1085"/>
      <c r="AV77" s="1084"/>
      <c r="AW77" s="1085"/>
      <c r="AX77" s="28">
        <f t="shared" si="43"/>
        <v>0</v>
      </c>
      <c r="AY77" s="28">
        <f t="shared" si="44"/>
        <v>0</v>
      </c>
    </row>
    <row r="78" spans="1:51" s="28" customFormat="1" ht="12.75" x14ac:dyDescent="0.2">
      <c r="A78" s="1039">
        <f t="shared" si="21"/>
        <v>0</v>
      </c>
      <c r="B78" s="1042">
        <v>1</v>
      </c>
      <c r="C78" s="698">
        <f t="shared" ref="C78:M78" si="71">$L41+C$56*Rapous</f>
        <v>-5</v>
      </c>
      <c r="D78" s="698">
        <f t="shared" si="71"/>
        <v>-4</v>
      </c>
      <c r="E78" s="698">
        <f t="shared" si="71"/>
        <v>-3</v>
      </c>
      <c r="F78" s="698">
        <f t="shared" si="71"/>
        <v>-2</v>
      </c>
      <c r="G78" s="959">
        <f t="shared" si="71"/>
        <v>-1</v>
      </c>
      <c r="H78" s="1099">
        <f t="shared" si="71"/>
        <v>0</v>
      </c>
      <c r="I78" s="1100">
        <f t="shared" si="71"/>
        <v>1</v>
      </c>
      <c r="J78" s="1103">
        <f t="shared" si="71"/>
        <v>2</v>
      </c>
      <c r="K78" s="1097">
        <f t="shared" si="71"/>
        <v>3</v>
      </c>
      <c r="L78" s="1103">
        <f t="shared" si="71"/>
        <v>4</v>
      </c>
      <c r="M78" s="1098">
        <f t="shared" si="71"/>
        <v>5</v>
      </c>
      <c r="N78" s="698">
        <f t="shared" si="23"/>
        <v>0</v>
      </c>
      <c r="O78" s="943">
        <f t="shared" si="24"/>
        <v>0</v>
      </c>
      <c r="P78" s="698">
        <f t="shared" si="25"/>
        <v>231</v>
      </c>
      <c r="Q78" s="695">
        <f t="shared" si="26"/>
        <v>18.262889942194128</v>
      </c>
      <c r="R78" s="698">
        <f t="shared" si="27"/>
        <v>18.262889942194128</v>
      </c>
      <c r="S78" s="698">
        <f t="shared" si="28"/>
        <v>18.262889942194128</v>
      </c>
      <c r="T78" s="698">
        <f t="shared" si="29"/>
        <v>18.262889942194128</v>
      </c>
      <c r="U78" s="959">
        <f t="shared" si="30"/>
        <v>18.262889942194128</v>
      </c>
      <c r="V78" s="1102">
        <f t="shared" si="31"/>
        <v>18.262889942194128</v>
      </c>
      <c r="W78" s="695">
        <f t="shared" si="32"/>
        <v>18.262889942194128</v>
      </c>
      <c r="X78" s="698">
        <f t="shared" si="33"/>
        <v>18.262889942194128</v>
      </c>
      <c r="Y78" s="698">
        <f t="shared" si="34"/>
        <v>18.262889942194128</v>
      </c>
      <c r="Z78" s="698">
        <f t="shared" si="35"/>
        <v>18.262889942194128</v>
      </c>
      <c r="AA78" s="959">
        <f t="shared" si="36"/>
        <v>18.262889942194128</v>
      </c>
      <c r="AB78" s="1069">
        <f t="shared" si="37"/>
        <v>18.262889942194128</v>
      </c>
      <c r="AC78" s="1070">
        <f t="shared" si="46"/>
        <v>7.5010000000000003</v>
      </c>
      <c r="AD78" s="39" t="b">
        <f t="shared" si="38"/>
        <v>0</v>
      </c>
      <c r="AE78" s="1070">
        <f t="shared" si="39"/>
        <v>0</v>
      </c>
      <c r="AF78" s="1071">
        <f t="shared" si="47"/>
        <v>0</v>
      </c>
      <c r="AG78" s="944">
        <v>65.069999999999993</v>
      </c>
      <c r="AH78" s="947">
        <v>16.789999999999992</v>
      </c>
      <c r="AJ78" s="1079">
        <f t="shared" si="40"/>
        <v>1</v>
      </c>
      <c r="AK78" s="82">
        <f t="shared" si="41"/>
        <v>2</v>
      </c>
      <c r="AL78" s="1080">
        <f t="shared" si="48"/>
        <v>231</v>
      </c>
      <c r="AM78" s="1080">
        <f t="shared" si="49"/>
        <v>1</v>
      </c>
      <c r="AN78" s="1091">
        <f t="shared" si="64"/>
        <v>232</v>
      </c>
      <c r="AO78" s="1092">
        <f t="shared" si="50"/>
        <v>18.262889942194128</v>
      </c>
      <c r="AP78" s="1084"/>
      <c r="AQ78" s="1085"/>
      <c r="AR78" s="1084"/>
      <c r="AS78" s="1085"/>
      <c r="AT78" s="1084"/>
      <c r="AU78" s="1085"/>
      <c r="AV78" s="1084"/>
      <c r="AW78" s="1085"/>
      <c r="AX78" s="28">
        <f t="shared" si="43"/>
        <v>0</v>
      </c>
      <c r="AY78" s="28">
        <f t="shared" si="44"/>
        <v>0</v>
      </c>
    </row>
    <row r="79" spans="1:51" s="28" customFormat="1" ht="12.75" x14ac:dyDescent="0.2">
      <c r="A79" s="1039">
        <f t="shared" si="21"/>
        <v>0</v>
      </c>
      <c r="B79" s="1042">
        <v>1</v>
      </c>
      <c r="C79" s="698">
        <f t="shared" ref="C79:M79" si="72">$L42+C$56*Rapous</f>
        <v>-5</v>
      </c>
      <c r="D79" s="698">
        <f t="shared" si="72"/>
        <v>-4</v>
      </c>
      <c r="E79" s="698">
        <f t="shared" si="72"/>
        <v>-3</v>
      </c>
      <c r="F79" s="698">
        <f t="shared" si="72"/>
        <v>-2</v>
      </c>
      <c r="G79" s="959">
        <f t="shared" si="72"/>
        <v>-1</v>
      </c>
      <c r="H79" s="1099">
        <f t="shared" si="72"/>
        <v>0</v>
      </c>
      <c r="I79" s="1100">
        <f t="shared" si="72"/>
        <v>1</v>
      </c>
      <c r="J79" s="1103">
        <f t="shared" si="72"/>
        <v>2</v>
      </c>
      <c r="K79" s="1097">
        <f t="shared" si="72"/>
        <v>3</v>
      </c>
      <c r="L79" s="1103">
        <f t="shared" si="72"/>
        <v>4</v>
      </c>
      <c r="M79" s="1098">
        <f t="shared" si="72"/>
        <v>5</v>
      </c>
      <c r="N79" s="698">
        <f t="shared" si="23"/>
        <v>0</v>
      </c>
      <c r="O79" s="943">
        <f t="shared" si="24"/>
        <v>0</v>
      </c>
      <c r="P79" s="698">
        <f t="shared" si="25"/>
        <v>231</v>
      </c>
      <c r="Q79" s="695">
        <f t="shared" si="26"/>
        <v>18.262889942194128</v>
      </c>
      <c r="R79" s="698">
        <f t="shared" si="27"/>
        <v>18.262889942194128</v>
      </c>
      <c r="S79" s="698">
        <f t="shared" si="28"/>
        <v>18.262889942194128</v>
      </c>
      <c r="T79" s="698">
        <f t="shared" si="29"/>
        <v>18.262889942194128</v>
      </c>
      <c r="U79" s="959">
        <f t="shared" si="30"/>
        <v>18.262889942194128</v>
      </c>
      <c r="V79" s="1102">
        <f t="shared" si="31"/>
        <v>18.262889942194128</v>
      </c>
      <c r="W79" s="695">
        <f t="shared" si="32"/>
        <v>18.262889942194128</v>
      </c>
      <c r="X79" s="698">
        <f t="shared" si="33"/>
        <v>18.262889942194128</v>
      </c>
      <c r="Y79" s="698">
        <f t="shared" si="34"/>
        <v>18.262889942194128</v>
      </c>
      <c r="Z79" s="698">
        <f t="shared" si="35"/>
        <v>18.262889942194128</v>
      </c>
      <c r="AA79" s="959">
        <f t="shared" si="36"/>
        <v>18.262889942194128</v>
      </c>
      <c r="AB79" s="1069">
        <f t="shared" si="37"/>
        <v>18.262889942194128</v>
      </c>
      <c r="AC79" s="1070">
        <f t="shared" si="46"/>
        <v>7.5010000000000003</v>
      </c>
      <c r="AD79" s="39" t="b">
        <f t="shared" si="38"/>
        <v>0</v>
      </c>
      <c r="AE79" s="1070">
        <f t="shared" si="39"/>
        <v>0</v>
      </c>
      <c r="AF79" s="1071">
        <f t="shared" si="47"/>
        <v>0</v>
      </c>
      <c r="AG79" s="944">
        <v>66.36</v>
      </c>
      <c r="AH79" s="947">
        <v>17.259999999999991</v>
      </c>
      <c r="AJ79" s="1079">
        <f t="shared" si="40"/>
        <v>1</v>
      </c>
      <c r="AK79" s="82">
        <f t="shared" si="41"/>
        <v>2</v>
      </c>
      <c r="AL79" s="1080">
        <f t="shared" si="48"/>
        <v>231</v>
      </c>
      <c r="AM79" s="1080">
        <f t="shared" si="49"/>
        <v>1</v>
      </c>
      <c r="AN79" s="1091">
        <f t="shared" si="64"/>
        <v>232</v>
      </c>
      <c r="AO79" s="1092">
        <f t="shared" si="50"/>
        <v>18.262889942194128</v>
      </c>
      <c r="AP79" s="1084"/>
      <c r="AQ79" s="1085"/>
      <c r="AR79" s="1084"/>
      <c r="AS79" s="1085"/>
      <c r="AT79" s="1084"/>
      <c r="AU79" s="1085"/>
      <c r="AV79" s="1084"/>
      <c r="AW79" s="1085"/>
      <c r="AX79" s="28">
        <f t="shared" si="43"/>
        <v>0</v>
      </c>
      <c r="AY79" s="28">
        <f t="shared" si="44"/>
        <v>0</v>
      </c>
    </row>
    <row r="80" spans="1:51" s="28" customFormat="1" ht="13.5" thickBot="1" x14ac:dyDescent="0.25">
      <c r="A80" s="1040">
        <f t="shared" si="21"/>
        <v>0</v>
      </c>
      <c r="B80" s="1043">
        <v>1</v>
      </c>
      <c r="C80" s="707">
        <f t="shared" ref="C80:M80" si="73">$L43+C$56*Rapous</f>
        <v>-5</v>
      </c>
      <c r="D80" s="707">
        <f t="shared" si="73"/>
        <v>-4</v>
      </c>
      <c r="E80" s="707">
        <f t="shared" si="73"/>
        <v>-3</v>
      </c>
      <c r="F80" s="707">
        <f t="shared" si="73"/>
        <v>-2</v>
      </c>
      <c r="G80" s="965">
        <f t="shared" si="73"/>
        <v>-1</v>
      </c>
      <c r="H80" s="1104">
        <f t="shared" si="73"/>
        <v>0</v>
      </c>
      <c r="I80" s="1105">
        <f t="shared" si="73"/>
        <v>1</v>
      </c>
      <c r="J80" s="1106">
        <f t="shared" si="73"/>
        <v>2</v>
      </c>
      <c r="K80" s="1107">
        <f t="shared" si="73"/>
        <v>3</v>
      </c>
      <c r="L80" s="1106">
        <f t="shared" si="73"/>
        <v>4</v>
      </c>
      <c r="M80" s="1108">
        <f t="shared" si="73"/>
        <v>5</v>
      </c>
      <c r="N80" s="707">
        <f t="shared" si="23"/>
        <v>0</v>
      </c>
      <c r="O80" s="948">
        <f t="shared" si="24"/>
        <v>0</v>
      </c>
      <c r="P80" s="707">
        <f t="shared" si="25"/>
        <v>231</v>
      </c>
      <c r="Q80" s="964">
        <f t="shared" si="26"/>
        <v>18.262889942194128</v>
      </c>
      <c r="R80" s="707">
        <f t="shared" si="27"/>
        <v>18.262889942194128</v>
      </c>
      <c r="S80" s="707">
        <f t="shared" si="28"/>
        <v>18.262889942194128</v>
      </c>
      <c r="T80" s="707">
        <f t="shared" si="29"/>
        <v>18.262889942194128</v>
      </c>
      <c r="U80" s="965">
        <f t="shared" si="30"/>
        <v>18.262889942194128</v>
      </c>
      <c r="V80" s="1109">
        <f t="shared" si="31"/>
        <v>18.262889942194128</v>
      </c>
      <c r="W80" s="964">
        <f t="shared" si="32"/>
        <v>18.262889942194128</v>
      </c>
      <c r="X80" s="707">
        <f t="shared" si="33"/>
        <v>18.262889942194128</v>
      </c>
      <c r="Y80" s="707">
        <f t="shared" si="34"/>
        <v>18.262889942194128</v>
      </c>
      <c r="Z80" s="707">
        <f t="shared" si="35"/>
        <v>18.262889942194128</v>
      </c>
      <c r="AA80" s="965">
        <f t="shared" si="36"/>
        <v>18.262889942194128</v>
      </c>
      <c r="AB80" s="1072">
        <f>(AA80+Z81)/2</f>
        <v>9.1314449710970642</v>
      </c>
      <c r="AC80" s="1073">
        <f t="shared" si="46"/>
        <v>7.5010000000000003</v>
      </c>
      <c r="AD80" s="1074" t="b">
        <f t="shared" si="38"/>
        <v>1</v>
      </c>
      <c r="AE80" s="1073">
        <f t="shared" si="39"/>
        <v>-231</v>
      </c>
      <c r="AF80" s="1075">
        <f t="shared" si="47"/>
        <v>0</v>
      </c>
      <c r="AG80" s="944">
        <v>67.87</v>
      </c>
      <c r="AH80" s="947">
        <v>18.400000000000006</v>
      </c>
      <c r="AJ80" s="1081">
        <f t="shared" si="40"/>
        <v>1</v>
      </c>
      <c r="AK80" s="1082">
        <f t="shared" si="41"/>
        <v>2</v>
      </c>
      <c r="AL80" s="1083">
        <f t="shared" si="48"/>
        <v>231</v>
      </c>
      <c r="AM80" s="1083">
        <f t="shared" si="49"/>
        <v>1</v>
      </c>
      <c r="AN80" s="1093">
        <f t="shared" si="64"/>
        <v>232</v>
      </c>
      <c r="AO80" s="1094">
        <f t="shared" si="50"/>
        <v>18.262889942194128</v>
      </c>
      <c r="AP80" s="1095"/>
      <c r="AQ80" s="1096"/>
      <c r="AR80" s="1095"/>
      <c r="AS80" s="1096"/>
      <c r="AT80" s="1095"/>
      <c r="AU80" s="1096"/>
      <c r="AV80" s="1095"/>
      <c r="AW80" s="1096"/>
      <c r="AX80" s="28">
        <f t="shared" si="43"/>
        <v>0</v>
      </c>
      <c r="AY80" s="28">
        <f t="shared" si="44"/>
        <v>0</v>
      </c>
    </row>
    <row r="81" spans="1:49" s="19" customFormat="1" ht="12.75" x14ac:dyDescent="0.2">
      <c r="G81" s="31"/>
      <c r="H81" s="31"/>
      <c r="U81" s="29"/>
      <c r="W81" s="29"/>
      <c r="X81" s="704"/>
      <c r="Y81" s="29"/>
      <c r="AB81" s="1044"/>
      <c r="AC81" s="29"/>
      <c r="AG81" s="944">
        <v>68.69</v>
      </c>
      <c r="AH81" s="947">
        <v>18.659999999999997</v>
      </c>
      <c r="AJ81" s="946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5.75" x14ac:dyDescent="0.25">
      <c r="A82" s="662" t="s">
        <v>197</v>
      </c>
      <c r="F82" s="30"/>
      <c r="G82" s="29"/>
      <c r="H82" s="31"/>
      <c r="K82" s="30"/>
      <c r="Q82" s="29"/>
      <c r="R82" s="678"/>
      <c r="S82" s="29"/>
      <c r="U82" s="29"/>
      <c r="W82" s="29"/>
      <c r="X82" s="704"/>
      <c r="Y82" s="29"/>
      <c r="AB82" s="1044"/>
      <c r="AC82" s="29"/>
      <c r="AG82" s="944">
        <v>69.48</v>
      </c>
      <c r="AH82" s="947">
        <v>19.439999999999998</v>
      </c>
      <c r="AJ82" s="946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691" t="str">
        <f t="array" ref="A83:Z95">TRANSPOSE(O55:AA80)</f>
        <v>Garderie Labège</v>
      </c>
      <c r="B83" s="949" t="str">
        <v>zone 3</v>
      </c>
      <c r="C83" s="950" t="str">
        <v>Arrière PV</v>
      </c>
      <c r="D83" s="950" t="str">
        <v>Toiture D</v>
      </c>
      <c r="E83" s="950" t="str">
        <v>Arbre 6</v>
      </c>
      <c r="F83" s="950" t="str">
        <v>Arbre 7</v>
      </c>
      <c r="G83" s="950" t="str">
        <v>Arbre 8</v>
      </c>
      <c r="H83" s="950" t="str">
        <v>Arbre 9</v>
      </c>
      <c r="I83" s="950" t="str">
        <v>Arbre 10</v>
      </c>
      <c r="J83" s="950" t="str">
        <v>Arbre 12</v>
      </c>
      <c r="K83" s="950" t="str">
        <v>Arbre 11</v>
      </c>
      <c r="L83" s="950" t="str">
        <v>Arbre 13</v>
      </c>
      <c r="M83" s="950" t="str">
        <v>Toiture D</v>
      </c>
      <c r="N83" s="950" t="str">
        <v>Arrière PV</v>
      </c>
      <c r="O83" s="950">
        <v>0</v>
      </c>
      <c r="P83" s="950">
        <v>0</v>
      </c>
      <c r="Q83" s="950">
        <v>0</v>
      </c>
      <c r="R83" s="950">
        <v>0</v>
      </c>
      <c r="S83" s="950">
        <v>0</v>
      </c>
      <c r="T83" s="950">
        <v>0</v>
      </c>
      <c r="U83" s="950">
        <v>0</v>
      </c>
      <c r="V83" s="950">
        <v>0</v>
      </c>
      <c r="W83" s="950">
        <v>0</v>
      </c>
      <c r="X83" s="950">
        <v>0</v>
      </c>
      <c r="Y83" s="950">
        <v>0</v>
      </c>
      <c r="Z83" s="950">
        <v>0</v>
      </c>
      <c r="AB83" s="1045"/>
      <c r="AG83" s="966">
        <v>69.760000000000005</v>
      </c>
      <c r="AH83" s="967">
        <v>19.519999999999982</v>
      </c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1">
        <v>51</v>
      </c>
      <c r="B84" s="952" t="str">
        <v>Azi.S / PV</v>
      </c>
      <c r="C84" s="953">
        <v>-129</v>
      </c>
      <c r="D84" s="705">
        <v>-39</v>
      </c>
      <c r="E84" s="705">
        <v>-13.201311636468532</v>
      </c>
      <c r="F84" s="705">
        <v>0.18598908354174226</v>
      </c>
      <c r="G84" s="705">
        <v>34.849351719732603</v>
      </c>
      <c r="H84" s="705">
        <v>55.411389778041851</v>
      </c>
      <c r="I84" s="705">
        <v>62.912389778041849</v>
      </c>
      <c r="J84" s="705">
        <v>82.608781222097122</v>
      </c>
      <c r="K84" s="705">
        <v>98.563405755975936</v>
      </c>
      <c r="L84" s="705">
        <v>109.42940364472241</v>
      </c>
      <c r="M84" s="705">
        <v>141</v>
      </c>
      <c r="N84" s="705">
        <v>231</v>
      </c>
      <c r="O84" s="705">
        <v>231</v>
      </c>
      <c r="P84" s="705">
        <v>231</v>
      </c>
      <c r="Q84" s="705">
        <v>231</v>
      </c>
      <c r="R84" s="705">
        <v>231</v>
      </c>
      <c r="S84" s="705">
        <v>231</v>
      </c>
      <c r="T84" s="705">
        <v>231</v>
      </c>
      <c r="U84" s="705">
        <v>231</v>
      </c>
      <c r="V84" s="705">
        <v>231</v>
      </c>
      <c r="W84" s="705">
        <v>231</v>
      </c>
      <c r="X84" s="705">
        <v>231</v>
      </c>
      <c r="Y84" s="705">
        <v>231</v>
      </c>
      <c r="Z84" s="954">
        <v>231</v>
      </c>
      <c r="AD84" s="28"/>
      <c r="AE84" s="34"/>
      <c r="AF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5" t="str">
        <v>Elevation vue du champ PV zone: 3</v>
      </c>
      <c r="B85" s="956">
        <v>-5</v>
      </c>
      <c r="C85" s="825">
        <v>18.262889942194128</v>
      </c>
      <c r="D85" s="706">
        <v>1</v>
      </c>
      <c r="E85" s="706">
        <v>1</v>
      </c>
      <c r="F85" s="706">
        <v>1</v>
      </c>
      <c r="G85" s="706">
        <v>1.2919994655957467</v>
      </c>
      <c r="H85" s="706">
        <v>1.9355048610634349</v>
      </c>
      <c r="I85" s="706">
        <v>1</v>
      </c>
      <c r="J85" s="706">
        <v>1</v>
      </c>
      <c r="K85" s="706">
        <v>1</v>
      </c>
      <c r="L85" s="706">
        <v>3.6057463920445221</v>
      </c>
      <c r="M85" s="706">
        <v>1</v>
      </c>
      <c r="N85" s="706">
        <v>18.262889942194128</v>
      </c>
      <c r="O85" s="706">
        <v>18.262889942194128</v>
      </c>
      <c r="P85" s="706">
        <v>18.262889942194128</v>
      </c>
      <c r="Q85" s="706">
        <v>18.262889942194128</v>
      </c>
      <c r="R85" s="706">
        <v>18.262889942194128</v>
      </c>
      <c r="S85" s="706">
        <v>18.262889942194128</v>
      </c>
      <c r="T85" s="706">
        <v>18.262889942194128</v>
      </c>
      <c r="U85" s="706">
        <v>18.262889942194128</v>
      </c>
      <c r="V85" s="706">
        <v>18.262889942194128</v>
      </c>
      <c r="W85" s="706">
        <v>18.262889942194128</v>
      </c>
      <c r="X85" s="706">
        <v>18.262889942194128</v>
      </c>
      <c r="Y85" s="706">
        <v>18.262889942194128</v>
      </c>
      <c r="Z85" s="957">
        <v>18.262889942194128</v>
      </c>
      <c r="AD85" s="28"/>
      <c r="AE85" s="34"/>
      <c r="AF85" s="28"/>
      <c r="AG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8">
        <v>0</v>
      </c>
      <c r="B86" s="956">
        <v>-4</v>
      </c>
      <c r="C86" s="695">
        <v>18.262889942194128</v>
      </c>
      <c r="D86" s="698">
        <v>1</v>
      </c>
      <c r="E86" s="698">
        <v>1</v>
      </c>
      <c r="F86" s="698">
        <v>1</v>
      </c>
      <c r="G86" s="698">
        <v>1.9743734725740234</v>
      </c>
      <c r="H86" s="698">
        <v>2.5824131221156374</v>
      </c>
      <c r="I86" s="698">
        <v>1</v>
      </c>
      <c r="J86" s="698">
        <v>1</v>
      </c>
      <c r="K86" s="698">
        <v>1</v>
      </c>
      <c r="L86" s="698">
        <v>4.3121921095111064</v>
      </c>
      <c r="M86" s="698">
        <v>1</v>
      </c>
      <c r="N86" s="698">
        <v>18.262889942194128</v>
      </c>
      <c r="O86" s="698">
        <v>18.262889942194128</v>
      </c>
      <c r="P86" s="698">
        <v>18.262889942194128</v>
      </c>
      <c r="Q86" s="698">
        <v>18.262889942194128</v>
      </c>
      <c r="R86" s="698">
        <v>18.262889942194128</v>
      </c>
      <c r="S86" s="698">
        <v>18.262889942194128</v>
      </c>
      <c r="T86" s="698">
        <v>18.262889942194128</v>
      </c>
      <c r="U86" s="698">
        <v>18.262889942194128</v>
      </c>
      <c r="V86" s="698">
        <v>18.262889942194128</v>
      </c>
      <c r="W86" s="698">
        <v>18.262889942194128</v>
      </c>
      <c r="X86" s="698">
        <v>18.262889942194128</v>
      </c>
      <c r="Y86" s="698">
        <v>18.262889942194128</v>
      </c>
      <c r="Z86" s="959">
        <v>18.262889942194128</v>
      </c>
      <c r="AD86" s="28"/>
      <c r="AE86" s="34"/>
      <c r="AF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8">
        <v>0</v>
      </c>
      <c r="B87" s="956">
        <v>-3</v>
      </c>
      <c r="C87" s="695">
        <v>18.262889942194128</v>
      </c>
      <c r="D87" s="698">
        <v>1</v>
      </c>
      <c r="E87" s="698">
        <v>1</v>
      </c>
      <c r="F87" s="698">
        <v>1</v>
      </c>
      <c r="G87" s="698">
        <v>2.6561876523804475</v>
      </c>
      <c r="H87" s="698">
        <v>3.2286632260840942</v>
      </c>
      <c r="I87" s="698">
        <v>1</v>
      </c>
      <c r="J87" s="698">
        <v>1</v>
      </c>
      <c r="K87" s="698">
        <v>1</v>
      </c>
      <c r="L87" s="698">
        <v>5.0173267361208564</v>
      </c>
      <c r="M87" s="698">
        <v>1</v>
      </c>
      <c r="N87" s="698">
        <v>18.262889942194128</v>
      </c>
      <c r="O87" s="698">
        <v>18.262889942194128</v>
      </c>
      <c r="P87" s="698">
        <v>18.262889942194128</v>
      </c>
      <c r="Q87" s="698">
        <v>18.262889942194128</v>
      </c>
      <c r="R87" s="698">
        <v>18.262889942194128</v>
      </c>
      <c r="S87" s="698">
        <v>18.262889942194128</v>
      </c>
      <c r="T87" s="698">
        <v>18.262889942194128</v>
      </c>
      <c r="U87" s="698">
        <v>18.262889942194128</v>
      </c>
      <c r="V87" s="698">
        <v>18.262889942194128</v>
      </c>
      <c r="W87" s="698">
        <v>18.262889942194128</v>
      </c>
      <c r="X87" s="698">
        <v>18.262889942194128</v>
      </c>
      <c r="Y87" s="698">
        <v>18.262889942194128</v>
      </c>
      <c r="Z87" s="959">
        <v>18.262889942194128</v>
      </c>
      <c r="AD87" s="28"/>
      <c r="AF87" s="28"/>
      <c r="AG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8">
        <v>0</v>
      </c>
      <c r="B88" s="956">
        <v>-2</v>
      </c>
      <c r="C88" s="695">
        <v>18.262889942194128</v>
      </c>
      <c r="D88" s="698">
        <v>1</v>
      </c>
      <c r="E88" s="698">
        <v>1</v>
      </c>
      <c r="F88" s="698">
        <v>1.1414396638194959</v>
      </c>
      <c r="G88" s="698">
        <v>3.337249885386826</v>
      </c>
      <c r="H88" s="698">
        <v>3.8740920371171077</v>
      </c>
      <c r="I88" s="698">
        <v>1</v>
      </c>
      <c r="J88" s="698">
        <v>1</v>
      </c>
      <c r="K88" s="698">
        <v>1</v>
      </c>
      <c r="L88" s="698">
        <v>5.7209409762830896</v>
      </c>
      <c r="M88" s="698">
        <v>1</v>
      </c>
      <c r="N88" s="698">
        <v>18.262889942194128</v>
      </c>
      <c r="O88" s="698">
        <v>18.262889942194128</v>
      </c>
      <c r="P88" s="698">
        <v>18.262889942194128</v>
      </c>
      <c r="Q88" s="698">
        <v>18.262889942194128</v>
      </c>
      <c r="R88" s="698">
        <v>18.262889942194128</v>
      </c>
      <c r="S88" s="698">
        <v>18.262889942194128</v>
      </c>
      <c r="T88" s="698">
        <v>18.262889942194128</v>
      </c>
      <c r="U88" s="698">
        <v>18.262889942194128</v>
      </c>
      <c r="V88" s="698">
        <v>18.262889942194128</v>
      </c>
      <c r="W88" s="698">
        <v>18.262889942194128</v>
      </c>
      <c r="X88" s="698">
        <v>18.262889942194128</v>
      </c>
      <c r="Y88" s="698">
        <v>18.262889942194128</v>
      </c>
      <c r="Z88" s="959">
        <v>18.262889942194128</v>
      </c>
      <c r="AD88" s="28"/>
      <c r="AF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8">
        <v>0</v>
      </c>
      <c r="B89" s="960">
        <v>-1</v>
      </c>
      <c r="C89" s="695">
        <v>18.262889942194128</v>
      </c>
      <c r="D89" s="698">
        <v>1</v>
      </c>
      <c r="E89" s="698">
        <v>1.3407361577831629</v>
      </c>
      <c r="F89" s="698">
        <v>2.2345086459584587</v>
      </c>
      <c r="G89" s="698">
        <v>4.0173693249894473</v>
      </c>
      <c r="H89" s="698">
        <v>4.5185376670815902</v>
      </c>
      <c r="I89" s="698">
        <v>1</v>
      </c>
      <c r="J89" s="698">
        <v>1.825251173591806</v>
      </c>
      <c r="K89" s="698">
        <v>1</v>
      </c>
      <c r="L89" s="698">
        <v>6.422828269187419</v>
      </c>
      <c r="M89" s="698">
        <v>1</v>
      </c>
      <c r="N89" s="698">
        <v>18.262889942194128</v>
      </c>
      <c r="O89" s="698">
        <v>18.262889942194128</v>
      </c>
      <c r="P89" s="698">
        <v>18.262889942194128</v>
      </c>
      <c r="Q89" s="698">
        <v>18.262889942194128</v>
      </c>
      <c r="R89" s="698">
        <v>18.262889942194128</v>
      </c>
      <c r="S89" s="698">
        <v>18.262889942194128</v>
      </c>
      <c r="T89" s="698">
        <v>18.262889942194128</v>
      </c>
      <c r="U89" s="698">
        <v>18.262889942194128</v>
      </c>
      <c r="V89" s="698">
        <v>18.262889942194128</v>
      </c>
      <c r="W89" s="698">
        <v>18.262889942194128</v>
      </c>
      <c r="X89" s="698">
        <v>18.262889942194128</v>
      </c>
      <c r="Y89" s="698">
        <v>18.262889942194128</v>
      </c>
      <c r="Z89" s="959">
        <v>18.262889942194128</v>
      </c>
      <c r="AF89" s="28"/>
      <c r="AG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8">
        <v>0</v>
      </c>
      <c r="B90" s="956">
        <v>0</v>
      </c>
      <c r="C90" s="961">
        <v>18.262889942194128</v>
      </c>
      <c r="D90" s="687">
        <v>1</v>
      </c>
      <c r="E90" s="687">
        <v>1.9627065774564294</v>
      </c>
      <c r="F90" s="687">
        <v>3.3259528893225832</v>
      </c>
      <c r="G90" s="687">
        <v>4.696356714752798</v>
      </c>
      <c r="H90" s="687">
        <v>5.1618397152417588</v>
      </c>
      <c r="I90" s="687">
        <v>1</v>
      </c>
      <c r="J90" s="687">
        <v>2.9073028621022723</v>
      </c>
      <c r="K90" s="687">
        <v>1</v>
      </c>
      <c r="L90" s="687">
        <v>7.1227851388083225</v>
      </c>
      <c r="M90" s="687">
        <v>1</v>
      </c>
      <c r="N90" s="687">
        <v>18.262889942194128</v>
      </c>
      <c r="O90" s="687">
        <v>18.262889942194128</v>
      </c>
      <c r="P90" s="687">
        <v>18.262889942194128</v>
      </c>
      <c r="Q90" s="687">
        <v>18.262889942194128</v>
      </c>
      <c r="R90" s="687">
        <v>18.262889942194128</v>
      </c>
      <c r="S90" s="687">
        <v>18.262889942194128</v>
      </c>
      <c r="T90" s="687">
        <v>18.262889942194128</v>
      </c>
      <c r="U90" s="687">
        <v>18.262889942194128</v>
      </c>
      <c r="V90" s="687">
        <v>18.262889942194128</v>
      </c>
      <c r="W90" s="687">
        <v>18.262889942194128</v>
      </c>
      <c r="X90" s="687">
        <v>18.262889942194128</v>
      </c>
      <c r="Y90" s="687">
        <v>18.262889942194128</v>
      </c>
      <c r="Z90" s="697">
        <v>18.262889942194128</v>
      </c>
      <c r="AF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8">
        <v>0</v>
      </c>
      <c r="B91" s="962">
        <v>1</v>
      </c>
      <c r="C91" s="695">
        <v>18.262889942194128</v>
      </c>
      <c r="D91" s="698">
        <v>1</v>
      </c>
      <c r="E91" s="698">
        <v>2.5842146060394704</v>
      </c>
      <c r="F91" s="698">
        <v>4.4149862319355577</v>
      </c>
      <c r="G91" s="698">
        <v>5.3740246988833285</v>
      </c>
      <c r="H91" s="698">
        <v>5.8038395023505096</v>
      </c>
      <c r="I91" s="698">
        <v>1</v>
      </c>
      <c r="J91" s="698">
        <v>3.9872831682494478</v>
      </c>
      <c r="K91" s="698">
        <v>1</v>
      </c>
      <c r="L91" s="698">
        <v>7.8206115303318198</v>
      </c>
      <c r="M91" s="698">
        <v>1</v>
      </c>
      <c r="N91" s="698">
        <v>18.262889942194128</v>
      </c>
      <c r="O91" s="698">
        <v>18.262889942194128</v>
      </c>
      <c r="P91" s="698">
        <v>18.262889942194128</v>
      </c>
      <c r="Q91" s="698">
        <v>18.262889942194128</v>
      </c>
      <c r="R91" s="698">
        <v>18.262889942194128</v>
      </c>
      <c r="S91" s="698">
        <v>18.262889942194128</v>
      </c>
      <c r="T91" s="698">
        <v>18.262889942194128</v>
      </c>
      <c r="U91" s="698">
        <v>18.262889942194128</v>
      </c>
      <c r="V91" s="698">
        <v>18.262889942194128</v>
      </c>
      <c r="W91" s="698">
        <v>18.262889942194128</v>
      </c>
      <c r="X91" s="698">
        <v>18.262889942194128</v>
      </c>
      <c r="Y91" s="698">
        <v>18.262889942194128</v>
      </c>
      <c r="Z91" s="959">
        <v>18.262889942194128</v>
      </c>
      <c r="AF91" s="28"/>
      <c r="AG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8">
        <v>0</v>
      </c>
      <c r="B92" s="956">
        <v>2</v>
      </c>
      <c r="C92" s="695">
        <v>18.262889942194128</v>
      </c>
      <c r="D92" s="698">
        <v>1</v>
      </c>
      <c r="E92" s="698">
        <v>3.2051146964836721</v>
      </c>
      <c r="F92" s="698">
        <v>5.5008329390793929</v>
      </c>
      <c r="G92" s="698">
        <v>6.0501881247839515</v>
      </c>
      <c r="H92" s="698">
        <v>6.4443802983207119</v>
      </c>
      <c r="I92" s="698">
        <v>2.2690909462967142</v>
      </c>
      <c r="J92" s="698">
        <v>5.0644333567537405</v>
      </c>
      <c r="K92" s="698">
        <v>1.8884572760714167</v>
      </c>
      <c r="L92" s="698">
        <v>8.5161111316969738</v>
      </c>
      <c r="M92" s="698">
        <v>1</v>
      </c>
      <c r="N92" s="698">
        <v>18.262889942194128</v>
      </c>
      <c r="O92" s="698">
        <v>18.262889942194128</v>
      </c>
      <c r="P92" s="698">
        <v>18.262889942194128</v>
      </c>
      <c r="Q92" s="698">
        <v>18.262889942194128</v>
      </c>
      <c r="R92" s="698">
        <v>18.262889942194128</v>
      </c>
      <c r="S92" s="698">
        <v>18.262889942194128</v>
      </c>
      <c r="T92" s="698">
        <v>18.262889942194128</v>
      </c>
      <c r="U92" s="698">
        <v>18.262889942194128</v>
      </c>
      <c r="V92" s="698">
        <v>18.262889942194128</v>
      </c>
      <c r="W92" s="698">
        <v>18.262889942194128</v>
      </c>
      <c r="X92" s="698">
        <v>18.262889942194128</v>
      </c>
      <c r="Y92" s="698">
        <v>18.262889942194128</v>
      </c>
      <c r="Z92" s="959">
        <v>18.262889942194128</v>
      </c>
      <c r="AF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8">
        <v>0</v>
      </c>
      <c r="B93" s="956">
        <v>3</v>
      </c>
      <c r="C93" s="695">
        <v>18.262889942194128</v>
      </c>
      <c r="D93" s="698">
        <v>1</v>
      </c>
      <c r="E93" s="698">
        <v>3.8252621572189676</v>
      </c>
      <c r="F93" s="698">
        <v>6.5827309523564956</v>
      </c>
      <c r="G93" s="698">
        <v>6.7246643365011094</v>
      </c>
      <c r="H93" s="698">
        <v>7.0833075426879777</v>
      </c>
      <c r="I93" s="698">
        <v>4.2098302344441336</v>
      </c>
      <c r="J93" s="698">
        <v>6.1380066545587315</v>
      </c>
      <c r="K93" s="698">
        <v>3.1315027138687968</v>
      </c>
      <c r="L93" s="698">
        <v>9.2090916790635493</v>
      </c>
      <c r="M93" s="698">
        <v>1</v>
      </c>
      <c r="N93" s="698">
        <v>18.262889942194128</v>
      </c>
      <c r="O93" s="698">
        <v>18.262889942194128</v>
      </c>
      <c r="P93" s="698">
        <v>18.262889942194128</v>
      </c>
      <c r="Q93" s="698">
        <v>18.262889942194128</v>
      </c>
      <c r="R93" s="698">
        <v>18.262889942194128</v>
      </c>
      <c r="S93" s="698">
        <v>18.262889942194128</v>
      </c>
      <c r="T93" s="698">
        <v>18.262889942194128</v>
      </c>
      <c r="U93" s="698">
        <v>18.262889942194128</v>
      </c>
      <c r="V93" s="698">
        <v>18.262889942194128</v>
      </c>
      <c r="W93" s="698">
        <v>18.262889942194128</v>
      </c>
      <c r="X93" s="698">
        <v>18.262889942194128</v>
      </c>
      <c r="Y93" s="698">
        <v>18.262889942194128</v>
      </c>
      <c r="Z93" s="959">
        <v>18.262889942194128</v>
      </c>
      <c r="AF93" s="28"/>
      <c r="AG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58">
        <v>0</v>
      </c>
      <c r="B94" s="956">
        <v>4</v>
      </c>
      <c r="C94" s="695">
        <v>18.262889942194128</v>
      </c>
      <c r="D94" s="698">
        <v>1</v>
      </c>
      <c r="E94" s="698">
        <v>4.4445133522811977</v>
      </c>
      <c r="F94" s="698">
        <v>7.6599349934451482</v>
      </c>
      <c r="G94" s="698">
        <v>7.3972734579457402</v>
      </c>
      <c r="H94" s="698">
        <v>7.7204690571255838</v>
      </c>
      <c r="I94" s="698">
        <v>6.140943618553564</v>
      </c>
      <c r="J94" s="698">
        <v>7.2072712725908614</v>
      </c>
      <c r="K94" s="698">
        <v>4.3716047690839384</v>
      </c>
      <c r="L94" s="698">
        <v>9.8993652451429099</v>
      </c>
      <c r="M94" s="698">
        <v>1</v>
      </c>
      <c r="N94" s="698">
        <v>18.262889942194128</v>
      </c>
      <c r="O94" s="698">
        <v>18.262889942194128</v>
      </c>
      <c r="P94" s="698">
        <v>18.262889942194128</v>
      </c>
      <c r="Q94" s="698">
        <v>18.262889942194128</v>
      </c>
      <c r="R94" s="698">
        <v>18.262889942194128</v>
      </c>
      <c r="S94" s="698">
        <v>18.262889942194128</v>
      </c>
      <c r="T94" s="698">
        <v>18.262889942194128</v>
      </c>
      <c r="U94" s="698">
        <v>18.262889942194128</v>
      </c>
      <c r="V94" s="698">
        <v>18.262889942194128</v>
      </c>
      <c r="W94" s="698">
        <v>18.262889942194128</v>
      </c>
      <c r="X94" s="698">
        <v>18.262889942194128</v>
      </c>
      <c r="Y94" s="698">
        <v>18.262889942194128</v>
      </c>
      <c r="Z94" s="959">
        <v>18.262889942194128</v>
      </c>
      <c r="AF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5" spans="1:49" s="19" customFormat="1" ht="12.75" x14ac:dyDescent="0.2">
      <c r="A95" s="963">
        <v>0.33</v>
      </c>
      <c r="B95" s="956">
        <v>5</v>
      </c>
      <c r="C95" s="964">
        <v>18.262889942194128</v>
      </c>
      <c r="D95" s="707">
        <v>1</v>
      </c>
      <c r="E95" s="707">
        <v>5.0627258977557856</v>
      </c>
      <c r="F95" s="707">
        <v>8.73171949212926</v>
      </c>
      <c r="G95" s="707">
        <v>8.0678386648466702</v>
      </c>
      <c r="H95" s="707">
        <v>8.3557152493257512</v>
      </c>
      <c r="I95" s="707">
        <v>8.0581574014382564</v>
      </c>
      <c r="J95" s="707">
        <v>8.2715132725246985</v>
      </c>
      <c r="K95" s="707">
        <v>5.6076172114512319</v>
      </c>
      <c r="L95" s="707">
        <v>10.586748509460785</v>
      </c>
      <c r="M95" s="707">
        <v>1</v>
      </c>
      <c r="N95" s="707">
        <v>18.262889942194128</v>
      </c>
      <c r="O95" s="707">
        <v>18.262889942194128</v>
      </c>
      <c r="P95" s="707">
        <v>18.262889942194128</v>
      </c>
      <c r="Q95" s="707">
        <v>18.262889942194128</v>
      </c>
      <c r="R95" s="707">
        <v>18.262889942194128</v>
      </c>
      <c r="S95" s="707">
        <v>18.262889942194128</v>
      </c>
      <c r="T95" s="707">
        <v>18.262889942194128</v>
      </c>
      <c r="U95" s="707">
        <v>18.262889942194128</v>
      </c>
      <c r="V95" s="707">
        <v>18.262889942194128</v>
      </c>
      <c r="W95" s="707">
        <v>18.262889942194128</v>
      </c>
      <c r="X95" s="707">
        <v>18.262889942194128</v>
      </c>
      <c r="Y95" s="707">
        <v>18.262889942194128</v>
      </c>
      <c r="Z95" s="965">
        <v>18.262889942194128</v>
      </c>
      <c r="AF95" s="28"/>
      <c r="AG95" s="28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</row>
    <row r="97" spans="1:49" s="677" customFormat="1" x14ac:dyDescent="0.25">
      <c r="A97" s="1110" t="s">
        <v>311</v>
      </c>
      <c r="F97" s="1028"/>
      <c r="G97" s="1029"/>
      <c r="H97" s="699"/>
      <c r="I97" s="1110" t="s">
        <v>310</v>
      </c>
      <c r="N97" s="1028"/>
      <c r="Q97" s="1110" t="s">
        <v>308</v>
      </c>
      <c r="V97" s="1028"/>
      <c r="W97" s="1029"/>
      <c r="X97" s="699"/>
      <c r="Y97" s="1110" t="s">
        <v>309</v>
      </c>
      <c r="AD97" s="1028"/>
      <c r="AH97" s="1030"/>
      <c r="AM97" s="1077"/>
      <c r="AN97" s="1077"/>
      <c r="AO97" s="1077"/>
      <c r="AP97" s="1077"/>
      <c r="AQ97" s="1077"/>
      <c r="AR97" s="1077"/>
      <c r="AS97" s="1077"/>
      <c r="AT97" s="1077"/>
      <c r="AU97" s="1077"/>
      <c r="AV97" s="1077"/>
      <c r="AW97" s="1077"/>
    </row>
    <row r="98" spans="1:49" s="19" customFormat="1" ht="12.75" x14ac:dyDescent="0.2">
      <c r="A98" s="1023" t="s">
        <v>163</v>
      </c>
      <c r="B98" s="1024"/>
      <c r="C98" s="1025"/>
      <c r="D98" s="1026"/>
      <c r="E98" s="1026"/>
      <c r="F98" s="1027"/>
      <c r="G98" s="29"/>
      <c r="H98" s="31"/>
      <c r="I98" s="1023"/>
      <c r="J98" s="1024"/>
      <c r="K98" s="1025"/>
      <c r="L98" s="1026"/>
      <c r="M98" s="1026"/>
      <c r="N98" s="1027"/>
      <c r="Q98" s="1023" t="s">
        <v>163</v>
      </c>
      <c r="R98" s="1024"/>
      <c r="S98" s="1025"/>
      <c r="T98" s="1026"/>
      <c r="U98" s="1026"/>
      <c r="V98" s="1027"/>
      <c r="W98" s="29"/>
      <c r="X98" s="704"/>
      <c r="Y98" s="1023"/>
      <c r="Z98" s="1024"/>
      <c r="AA98" s="1025"/>
      <c r="AB98" s="1026"/>
      <c r="AC98" s="1026"/>
      <c r="AD98" s="1027"/>
      <c r="AH98" s="1031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7" t="s">
        <v>288</v>
      </c>
      <c r="B99" s="925"/>
      <c r="C99" s="984"/>
      <c r="D99" s="926"/>
      <c r="E99" s="926"/>
      <c r="F99" s="986"/>
      <c r="G99" s="29"/>
      <c r="H99" s="31"/>
      <c r="I99" s="927"/>
      <c r="J99" s="925"/>
      <c r="K99" s="984"/>
      <c r="L99" s="926"/>
      <c r="M99" s="926"/>
      <c r="N99" s="986"/>
      <c r="Q99" s="927" t="s">
        <v>288</v>
      </c>
      <c r="R99" s="925"/>
      <c r="S99" s="984"/>
      <c r="T99" s="926"/>
      <c r="U99" s="926"/>
      <c r="V99" s="986"/>
      <c r="W99" s="29"/>
      <c r="X99" s="704"/>
      <c r="Y99" s="927"/>
      <c r="Z99" s="925"/>
      <c r="AA99" s="984"/>
      <c r="AB99" s="926"/>
      <c r="AC99" s="926"/>
      <c r="AD99" s="986"/>
      <c r="AH99" s="1031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7" t="s">
        <v>337</v>
      </c>
      <c r="B100" s="925">
        <v>1</v>
      </c>
      <c r="C100" s="984"/>
      <c r="D100" s="926">
        <v>668.36</v>
      </c>
      <c r="E100" s="926">
        <v>726.51</v>
      </c>
      <c r="F100" s="986"/>
      <c r="G100" s="29"/>
      <c r="H100" s="31"/>
      <c r="I100" s="927"/>
      <c r="J100" s="925"/>
      <c r="K100" s="984"/>
      <c r="L100" s="926"/>
      <c r="M100" s="926"/>
      <c r="N100" s="986"/>
      <c r="Q100" s="927" t="s">
        <v>161</v>
      </c>
      <c r="R100" s="925">
        <v>1</v>
      </c>
      <c r="S100" s="984">
        <v>13.23</v>
      </c>
      <c r="T100" s="926">
        <v>616.08000000000004</v>
      </c>
      <c r="U100" s="926">
        <v>605.82000000000005</v>
      </c>
      <c r="V100" s="986"/>
      <c r="W100" s="29"/>
      <c r="X100" s="704"/>
      <c r="Y100" s="927"/>
      <c r="Z100" s="925"/>
      <c r="AA100" s="984"/>
      <c r="AB100" s="926"/>
      <c r="AC100" s="926"/>
      <c r="AD100" s="986"/>
      <c r="AH100" s="1031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7" t="s">
        <v>336</v>
      </c>
      <c r="B101" s="925">
        <v>1</v>
      </c>
      <c r="C101" s="984">
        <v>21.06</v>
      </c>
      <c r="D101" s="926">
        <v>670.82</v>
      </c>
      <c r="E101" s="926">
        <v>714.58</v>
      </c>
      <c r="F101" s="986"/>
      <c r="G101" s="29"/>
      <c r="H101" s="31"/>
      <c r="I101" s="927"/>
      <c r="J101" s="925"/>
      <c r="K101" s="984"/>
      <c r="L101" s="926"/>
      <c r="M101" s="926"/>
      <c r="N101" s="986"/>
      <c r="Q101" s="927" t="s">
        <v>339</v>
      </c>
      <c r="R101" s="925">
        <v>1</v>
      </c>
      <c r="S101" s="984">
        <v>10.02</v>
      </c>
      <c r="T101" s="926">
        <v>594.89</v>
      </c>
      <c r="U101" s="926">
        <v>643.05999999999995</v>
      </c>
      <c r="V101" s="986"/>
      <c r="W101" s="29"/>
      <c r="X101" s="704"/>
      <c r="Y101" s="927"/>
      <c r="Z101" s="925"/>
      <c r="AA101" s="984"/>
      <c r="AB101" s="926"/>
      <c r="AC101" s="926"/>
      <c r="AD101" s="986"/>
      <c r="AH101" s="1031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7" t="s">
        <v>338</v>
      </c>
      <c r="B102" s="925">
        <v>1</v>
      </c>
      <c r="C102" s="984">
        <v>8</v>
      </c>
      <c r="D102" s="926">
        <v>681.06</v>
      </c>
      <c r="E102" s="926">
        <v>701.07</v>
      </c>
      <c r="F102" s="986"/>
      <c r="G102" s="29"/>
      <c r="H102" s="31"/>
      <c r="I102" s="927"/>
      <c r="J102" s="925"/>
      <c r="K102" s="984"/>
      <c r="L102" s="926"/>
      <c r="M102" s="926"/>
      <c r="N102" s="986"/>
      <c r="Q102" s="927" t="s">
        <v>340</v>
      </c>
      <c r="R102" s="925">
        <v>2</v>
      </c>
      <c r="S102" s="984">
        <v>2.56</v>
      </c>
      <c r="T102" s="926">
        <v>547.12</v>
      </c>
      <c r="U102" s="926">
        <v>626.58000000000004</v>
      </c>
      <c r="V102" s="986"/>
      <c r="W102" s="29"/>
      <c r="X102" s="704"/>
      <c r="Y102" s="927"/>
      <c r="Z102" s="925"/>
      <c r="AA102" s="984"/>
      <c r="AB102" s="926"/>
      <c r="AC102" s="926"/>
      <c r="AD102" s="986"/>
      <c r="AH102" s="1031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7" t="s">
        <v>157</v>
      </c>
      <c r="B103" s="925">
        <v>3</v>
      </c>
      <c r="C103" s="984">
        <v>7.94</v>
      </c>
      <c r="D103" s="926">
        <v>629.08000000000004</v>
      </c>
      <c r="E103" s="926">
        <v>685.77</v>
      </c>
      <c r="F103" s="986" t="s">
        <v>285</v>
      </c>
      <c r="G103" s="29"/>
      <c r="H103" s="31"/>
      <c r="I103" s="927"/>
      <c r="J103" s="925"/>
      <c r="K103" s="984"/>
      <c r="L103" s="926"/>
      <c r="M103" s="926"/>
      <c r="N103" s="986"/>
      <c r="Q103" s="927" t="s">
        <v>341</v>
      </c>
      <c r="R103" s="925">
        <v>2</v>
      </c>
      <c r="S103" s="984">
        <v>2.84</v>
      </c>
      <c r="T103" s="926">
        <v>522.26</v>
      </c>
      <c r="U103" s="926">
        <v>645.23</v>
      </c>
      <c r="V103" s="986" t="s">
        <v>135</v>
      </c>
      <c r="W103" s="29"/>
      <c r="X103" s="704"/>
      <c r="Y103" s="927"/>
      <c r="Z103" s="925"/>
      <c r="AA103" s="984"/>
      <c r="AB103" s="926"/>
      <c r="AC103" s="926"/>
      <c r="AD103" s="986"/>
      <c r="AH103" s="1031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7" t="s">
        <v>158</v>
      </c>
      <c r="B104" s="925">
        <v>1</v>
      </c>
      <c r="C104" s="984">
        <v>23.71</v>
      </c>
      <c r="D104" s="926">
        <v>656.77</v>
      </c>
      <c r="E104" s="926">
        <v>676.18</v>
      </c>
      <c r="F104" s="986" t="s">
        <v>135</v>
      </c>
      <c r="G104" s="29"/>
      <c r="H104" s="31"/>
      <c r="I104" s="927"/>
      <c r="J104" s="925"/>
      <c r="K104" s="984"/>
      <c r="L104" s="926"/>
      <c r="M104" s="926"/>
      <c r="N104" s="986"/>
      <c r="Q104" s="927" t="s">
        <v>342</v>
      </c>
      <c r="R104" s="925">
        <v>2</v>
      </c>
      <c r="S104" s="984">
        <v>1.5</v>
      </c>
      <c r="T104" s="926">
        <v>569.26</v>
      </c>
      <c r="U104" s="926">
        <v>681.28</v>
      </c>
      <c r="V104" s="986"/>
      <c r="W104" s="29"/>
      <c r="X104" s="704"/>
      <c r="Y104" s="927"/>
      <c r="Z104" s="925"/>
      <c r="AA104" s="984"/>
      <c r="AB104" s="926"/>
      <c r="AC104" s="926"/>
      <c r="AD104" s="986"/>
      <c r="AH104" s="1031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7" t="s">
        <v>156</v>
      </c>
      <c r="B105" s="925">
        <v>1</v>
      </c>
      <c r="C105" s="984">
        <v>38.5</v>
      </c>
      <c r="D105" s="926">
        <v>688.01</v>
      </c>
      <c r="E105" s="926">
        <v>665</v>
      </c>
      <c r="F105" s="986"/>
      <c r="G105" s="29"/>
      <c r="H105" s="31"/>
      <c r="I105" s="927"/>
      <c r="J105" s="925"/>
      <c r="K105" s="984"/>
      <c r="L105" s="926"/>
      <c r="M105" s="926"/>
      <c r="N105" s="986"/>
      <c r="Q105" s="927" t="s">
        <v>343</v>
      </c>
      <c r="R105" s="925">
        <v>2</v>
      </c>
      <c r="S105" s="984">
        <v>2.4900000000000002</v>
      </c>
      <c r="T105" s="926">
        <v>542.64</v>
      </c>
      <c r="U105" s="926">
        <v>688.63</v>
      </c>
      <c r="V105" s="986"/>
      <c r="W105" s="29"/>
      <c r="X105" s="704"/>
      <c r="Y105" s="927"/>
      <c r="Z105" s="925"/>
      <c r="AA105" s="984"/>
      <c r="AB105" s="926"/>
      <c r="AC105" s="926"/>
      <c r="AD105" s="986"/>
      <c r="AH105" s="1031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7" t="s">
        <v>159</v>
      </c>
      <c r="B106" s="925">
        <v>1</v>
      </c>
      <c r="C106" s="984">
        <v>44.7</v>
      </c>
      <c r="D106" s="926">
        <v>664.48</v>
      </c>
      <c r="E106" s="926">
        <v>632.73</v>
      </c>
      <c r="F106" s="986"/>
      <c r="G106" s="29"/>
      <c r="H106" s="31"/>
      <c r="I106" s="927"/>
      <c r="J106" s="925"/>
      <c r="K106" s="984"/>
      <c r="L106" s="926"/>
      <c r="M106" s="926"/>
      <c r="N106" s="986"/>
      <c r="Q106" s="927" t="s">
        <v>344</v>
      </c>
      <c r="R106" s="925">
        <v>2</v>
      </c>
      <c r="S106" s="984">
        <v>1.7</v>
      </c>
      <c r="T106" s="926">
        <v>549.57000000000005</v>
      </c>
      <c r="U106" s="926">
        <v>702.28</v>
      </c>
      <c r="V106" s="986"/>
      <c r="W106" s="29"/>
      <c r="X106" s="704"/>
      <c r="Y106" s="927"/>
      <c r="Z106" s="925"/>
      <c r="AA106" s="984"/>
      <c r="AB106" s="926"/>
      <c r="AC106" s="926"/>
      <c r="AD106" s="986"/>
      <c r="AH106" s="1031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7" t="s">
        <v>160</v>
      </c>
      <c r="B107" s="925">
        <v>3</v>
      </c>
      <c r="C107" s="984">
        <v>2.94</v>
      </c>
      <c r="D107" s="926">
        <v>608.53</v>
      </c>
      <c r="E107" s="926">
        <v>683.25</v>
      </c>
      <c r="F107" s="986" t="s">
        <v>285</v>
      </c>
      <c r="G107" s="29"/>
      <c r="H107" s="31"/>
      <c r="I107" s="927"/>
      <c r="J107" s="925"/>
      <c r="K107" s="984"/>
      <c r="L107" s="926"/>
      <c r="M107" s="926"/>
      <c r="N107" s="986"/>
      <c r="Q107" s="927" t="s">
        <v>345</v>
      </c>
      <c r="R107" s="925">
        <v>2</v>
      </c>
      <c r="S107" s="984">
        <v>4.74</v>
      </c>
      <c r="T107" s="926">
        <v>518.94000000000005</v>
      </c>
      <c r="U107" s="926">
        <v>722.28</v>
      </c>
      <c r="V107" s="986"/>
      <c r="W107" s="29"/>
      <c r="X107" s="704"/>
      <c r="Y107" s="927"/>
      <c r="Z107" s="925"/>
      <c r="AA107" s="984"/>
      <c r="AB107" s="926"/>
      <c r="AC107" s="926"/>
      <c r="AD107" s="986"/>
      <c r="AH107" s="1031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7" t="s">
        <v>161</v>
      </c>
      <c r="B108" s="925">
        <v>1</v>
      </c>
      <c r="C108" s="984">
        <v>13.23</v>
      </c>
      <c r="D108" s="926">
        <v>616.08000000000004</v>
      </c>
      <c r="E108" s="926">
        <v>605.82000000000005</v>
      </c>
      <c r="F108" s="986"/>
      <c r="G108" s="29"/>
      <c r="H108" s="31"/>
      <c r="I108" s="927"/>
      <c r="J108" s="925"/>
      <c r="K108" s="984"/>
      <c r="L108" s="926"/>
      <c r="M108" s="926"/>
      <c r="N108" s="986"/>
      <c r="Q108" s="927" t="s">
        <v>288</v>
      </c>
      <c r="R108" s="925"/>
      <c r="S108" s="984"/>
      <c r="T108" s="926"/>
      <c r="U108" s="926"/>
      <c r="V108" s="986"/>
      <c r="W108" s="29"/>
      <c r="X108" s="704"/>
      <c r="Y108" s="927"/>
      <c r="Z108" s="925"/>
      <c r="AA108" s="984"/>
      <c r="AB108" s="926"/>
      <c r="AC108" s="926"/>
      <c r="AD108" s="986"/>
      <c r="AH108" s="1031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7" t="s">
        <v>339</v>
      </c>
      <c r="B109" s="925">
        <v>1</v>
      </c>
      <c r="C109" s="984">
        <v>10.02</v>
      </c>
      <c r="D109" s="926">
        <v>594.89</v>
      </c>
      <c r="E109" s="926">
        <v>643.05999999999995</v>
      </c>
      <c r="F109" s="986"/>
      <c r="G109" s="29"/>
      <c r="H109" s="31"/>
      <c r="I109" s="927"/>
      <c r="J109" s="925"/>
      <c r="K109" s="984"/>
      <c r="L109" s="926"/>
      <c r="M109" s="926"/>
      <c r="N109" s="986"/>
      <c r="Q109" s="927" t="s">
        <v>163</v>
      </c>
      <c r="R109" s="925"/>
      <c r="S109" s="984"/>
      <c r="T109" s="926"/>
      <c r="U109" s="926"/>
      <c r="V109" s="986"/>
      <c r="W109" s="29"/>
      <c r="X109" s="704"/>
      <c r="Y109" s="927"/>
      <c r="Z109" s="925"/>
      <c r="AA109" s="984"/>
      <c r="AB109" s="926"/>
      <c r="AC109" s="926"/>
      <c r="AD109" s="986"/>
      <c r="AH109" s="1031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7" t="s">
        <v>340</v>
      </c>
      <c r="B110" s="925">
        <v>2</v>
      </c>
      <c r="C110" s="985">
        <v>2.56</v>
      </c>
      <c r="D110" s="926">
        <v>547.12</v>
      </c>
      <c r="E110" s="926">
        <v>626.58000000000004</v>
      </c>
      <c r="F110" s="986"/>
      <c r="G110" s="29"/>
      <c r="H110" s="31"/>
      <c r="I110" s="927"/>
      <c r="J110" s="925"/>
      <c r="K110" s="985"/>
      <c r="L110" s="926"/>
      <c r="M110" s="926"/>
      <c r="N110" s="986"/>
      <c r="Q110" s="927"/>
      <c r="R110" s="925"/>
      <c r="S110" s="985"/>
      <c r="T110" s="926"/>
      <c r="U110" s="926"/>
      <c r="V110" s="986"/>
      <c r="W110" s="29"/>
      <c r="X110" s="704"/>
      <c r="Y110" s="927"/>
      <c r="Z110" s="925"/>
      <c r="AA110" s="985"/>
      <c r="AB110" s="926"/>
      <c r="AC110" s="926"/>
      <c r="AD110" s="986"/>
      <c r="AH110" s="1031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7" t="s">
        <v>288</v>
      </c>
      <c r="B111" s="925"/>
      <c r="C111" s="985"/>
      <c r="D111" s="926"/>
      <c r="E111" s="926"/>
      <c r="F111" s="986"/>
      <c r="G111" s="29"/>
      <c r="H111" s="31"/>
      <c r="I111" s="927"/>
      <c r="J111" s="925"/>
      <c r="K111" s="985"/>
      <c r="L111" s="926"/>
      <c r="M111" s="926"/>
      <c r="N111" s="986"/>
      <c r="Q111" s="927"/>
      <c r="R111" s="925"/>
      <c r="S111" s="985"/>
      <c r="T111" s="926"/>
      <c r="U111" s="926"/>
      <c r="V111" s="986"/>
      <c r="W111" s="29"/>
      <c r="X111" s="704"/>
      <c r="Y111" s="927"/>
      <c r="Z111" s="925"/>
      <c r="AA111" s="985"/>
      <c r="AB111" s="926"/>
      <c r="AC111" s="926"/>
      <c r="AD111" s="986"/>
      <c r="AH111" s="1031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7" t="s">
        <v>163</v>
      </c>
      <c r="B112" s="925"/>
      <c r="C112" s="985"/>
      <c r="D112" s="926"/>
      <c r="E112" s="926"/>
      <c r="F112" s="986"/>
      <c r="G112" s="29"/>
      <c r="H112" s="31"/>
      <c r="I112" s="927"/>
      <c r="J112" s="925"/>
      <c r="K112" s="985"/>
      <c r="L112" s="926"/>
      <c r="M112" s="926"/>
      <c r="N112" s="986"/>
      <c r="Q112" s="927"/>
      <c r="R112" s="925"/>
      <c r="S112" s="985"/>
      <c r="T112" s="926"/>
      <c r="U112" s="926"/>
      <c r="V112" s="986"/>
      <c r="W112" s="29"/>
      <c r="X112" s="704"/>
      <c r="Y112" s="927"/>
      <c r="Z112" s="925"/>
      <c r="AA112" s="985"/>
      <c r="AB112" s="926"/>
      <c r="AC112" s="926"/>
      <c r="AD112" s="986"/>
      <c r="AH112" s="1031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7"/>
      <c r="B113" s="925"/>
      <c r="C113" s="979"/>
      <c r="D113" s="926"/>
      <c r="E113" s="926"/>
      <c r="F113" s="986"/>
      <c r="G113" s="29"/>
      <c r="H113" s="31"/>
      <c r="I113" s="927"/>
      <c r="J113" s="925"/>
      <c r="K113" s="979"/>
      <c r="L113" s="926"/>
      <c r="M113" s="926"/>
      <c r="N113" s="986"/>
      <c r="Q113" s="927"/>
      <c r="R113" s="925"/>
      <c r="S113" s="979"/>
      <c r="T113" s="926"/>
      <c r="U113" s="926"/>
      <c r="V113" s="986"/>
      <c r="W113" s="29"/>
      <c r="X113" s="704"/>
      <c r="Y113" s="927"/>
      <c r="Z113" s="925"/>
      <c r="AA113" s="979"/>
      <c r="AB113" s="926"/>
      <c r="AC113" s="926"/>
      <c r="AD113" s="986"/>
      <c r="AH113" s="1031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7"/>
      <c r="B114" s="925"/>
      <c r="C114" s="979"/>
      <c r="D114" s="926"/>
      <c r="E114" s="926"/>
      <c r="F114" s="986"/>
      <c r="G114" s="29"/>
      <c r="H114" s="31"/>
      <c r="I114" s="927"/>
      <c r="J114" s="925"/>
      <c r="K114" s="979"/>
      <c r="L114" s="926"/>
      <c r="M114" s="926"/>
      <c r="N114" s="986"/>
      <c r="Q114" s="927"/>
      <c r="R114" s="925"/>
      <c r="S114" s="979"/>
      <c r="T114" s="926"/>
      <c r="U114" s="926"/>
      <c r="V114" s="986"/>
      <c r="W114" s="29"/>
      <c r="X114" s="704"/>
      <c r="Y114" s="927"/>
      <c r="Z114" s="925"/>
      <c r="AA114" s="979"/>
      <c r="AB114" s="926"/>
      <c r="AC114" s="926"/>
      <c r="AD114" s="986"/>
      <c r="AH114" s="1031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7"/>
      <c r="B115" s="925"/>
      <c r="C115" s="979"/>
      <c r="D115" s="926"/>
      <c r="E115" s="926"/>
      <c r="F115" s="986"/>
      <c r="G115" s="29"/>
      <c r="H115" s="31"/>
      <c r="I115" s="927"/>
      <c r="J115" s="925"/>
      <c r="K115" s="979"/>
      <c r="L115" s="926"/>
      <c r="M115" s="926"/>
      <c r="N115" s="986"/>
      <c r="Q115" s="927"/>
      <c r="R115" s="925"/>
      <c r="S115" s="979"/>
      <c r="T115" s="926"/>
      <c r="U115" s="926"/>
      <c r="V115" s="986"/>
      <c r="W115" s="29"/>
      <c r="X115" s="704"/>
      <c r="Y115" s="927"/>
      <c r="Z115" s="925"/>
      <c r="AA115" s="979"/>
      <c r="AB115" s="926"/>
      <c r="AC115" s="926"/>
      <c r="AD115" s="986"/>
      <c r="AH115" s="1031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7"/>
      <c r="B116" s="925"/>
      <c r="C116" s="979"/>
      <c r="D116" s="926"/>
      <c r="E116" s="926"/>
      <c r="F116" s="986"/>
      <c r="G116" s="29"/>
      <c r="H116" s="31"/>
      <c r="I116" s="927"/>
      <c r="J116" s="925"/>
      <c r="K116" s="979"/>
      <c r="L116" s="926"/>
      <c r="M116" s="926"/>
      <c r="N116" s="986"/>
      <c r="Q116" s="927"/>
      <c r="R116" s="925"/>
      <c r="S116" s="979"/>
      <c r="T116" s="926"/>
      <c r="U116" s="926"/>
      <c r="V116" s="986"/>
      <c r="W116" s="29"/>
      <c r="X116" s="704"/>
      <c r="Y116" s="927"/>
      <c r="Z116" s="925"/>
      <c r="AA116" s="979"/>
      <c r="AB116" s="926"/>
      <c r="AC116" s="926"/>
      <c r="AD116" s="986"/>
      <c r="AH116" s="1031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7"/>
      <c r="B117" s="925"/>
      <c r="C117" s="979"/>
      <c r="D117" s="926"/>
      <c r="E117" s="926"/>
      <c r="F117" s="986"/>
      <c r="G117" s="29"/>
      <c r="H117" s="31"/>
      <c r="I117" s="927"/>
      <c r="J117" s="925"/>
      <c r="K117" s="979"/>
      <c r="L117" s="926"/>
      <c r="M117" s="926"/>
      <c r="N117" s="986"/>
      <c r="Q117" s="927"/>
      <c r="R117" s="925"/>
      <c r="S117" s="979"/>
      <c r="T117" s="926"/>
      <c r="U117" s="926"/>
      <c r="V117" s="986"/>
      <c r="W117" s="29"/>
      <c r="X117" s="704"/>
      <c r="Y117" s="927"/>
      <c r="Z117" s="925"/>
      <c r="AA117" s="979"/>
      <c r="AB117" s="926"/>
      <c r="AC117" s="926"/>
      <c r="AD117" s="986"/>
      <c r="AH117" s="1031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7"/>
      <c r="B118" s="925"/>
      <c r="C118" s="979"/>
      <c r="D118" s="926"/>
      <c r="E118" s="926"/>
      <c r="F118" s="986"/>
      <c r="G118" s="29"/>
      <c r="H118" s="31"/>
      <c r="I118" s="927"/>
      <c r="J118" s="925"/>
      <c r="K118" s="979"/>
      <c r="L118" s="926"/>
      <c r="M118" s="926"/>
      <c r="N118" s="986"/>
      <c r="Q118" s="927"/>
      <c r="R118" s="925"/>
      <c r="S118" s="979"/>
      <c r="T118" s="926"/>
      <c r="U118" s="926"/>
      <c r="V118" s="986"/>
      <c r="W118" s="29"/>
      <c r="X118" s="704"/>
      <c r="Y118" s="927"/>
      <c r="Z118" s="925"/>
      <c r="AA118" s="979"/>
      <c r="AB118" s="926"/>
      <c r="AC118" s="926"/>
      <c r="AD118" s="986"/>
      <c r="AH118" s="1031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7"/>
      <c r="B119" s="925"/>
      <c r="C119" s="979"/>
      <c r="D119" s="926"/>
      <c r="E119" s="926"/>
      <c r="F119" s="986"/>
      <c r="G119" s="29"/>
      <c r="H119" s="31"/>
      <c r="I119" s="927"/>
      <c r="J119" s="925"/>
      <c r="K119" s="979"/>
      <c r="L119" s="926"/>
      <c r="M119" s="926"/>
      <c r="N119" s="986"/>
      <c r="Q119" s="927"/>
      <c r="R119" s="925"/>
      <c r="S119" s="979"/>
      <c r="T119" s="926"/>
      <c r="U119" s="926"/>
      <c r="V119" s="986"/>
      <c r="W119" s="29"/>
      <c r="X119" s="704"/>
      <c r="Y119" s="927"/>
      <c r="Z119" s="925"/>
      <c r="AA119" s="979"/>
      <c r="AB119" s="926"/>
      <c r="AC119" s="926"/>
      <c r="AD119" s="986"/>
      <c r="AH119" s="1031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2.75" x14ac:dyDescent="0.2">
      <c r="A120" s="927"/>
      <c r="B120" s="925"/>
      <c r="C120" s="979"/>
      <c r="D120" s="926"/>
      <c r="E120" s="926"/>
      <c r="F120" s="986"/>
      <c r="G120" s="29"/>
      <c r="H120" s="31"/>
      <c r="I120" s="927"/>
      <c r="J120" s="925"/>
      <c r="K120" s="979"/>
      <c r="L120" s="926"/>
      <c r="M120" s="926"/>
      <c r="N120" s="986"/>
      <c r="Q120" s="927"/>
      <c r="R120" s="925"/>
      <c r="S120" s="979"/>
      <c r="T120" s="926"/>
      <c r="U120" s="926"/>
      <c r="V120" s="986"/>
      <c r="W120" s="29"/>
      <c r="X120" s="704"/>
      <c r="Y120" s="927"/>
      <c r="Z120" s="925"/>
      <c r="AA120" s="979"/>
      <c r="AB120" s="926"/>
      <c r="AC120" s="926"/>
      <c r="AD120" s="986"/>
      <c r="AH120" s="1031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19" customFormat="1" ht="13.5" thickBot="1" x14ac:dyDescent="0.25">
      <c r="A121" s="971"/>
      <c r="B121" s="972"/>
      <c r="C121" s="981"/>
      <c r="D121" s="982"/>
      <c r="E121" s="982"/>
      <c r="F121" s="1001"/>
      <c r="G121" s="29"/>
      <c r="H121" s="31"/>
      <c r="I121" s="971"/>
      <c r="J121" s="972"/>
      <c r="K121" s="981"/>
      <c r="L121" s="982"/>
      <c r="M121" s="982"/>
      <c r="N121" s="1001"/>
      <c r="Q121" s="971"/>
      <c r="R121" s="972"/>
      <c r="S121" s="981"/>
      <c r="T121" s="982"/>
      <c r="U121" s="982"/>
      <c r="V121" s="1001"/>
      <c r="W121" s="29"/>
      <c r="X121" s="704"/>
      <c r="Y121" s="971"/>
      <c r="Z121" s="972"/>
      <c r="AA121" s="981"/>
      <c r="AB121" s="982"/>
      <c r="AC121" s="982"/>
      <c r="AD121" s="1001"/>
      <c r="AH121" s="1031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</row>
    <row r="122" spans="1:49" s="677" customFormat="1" x14ac:dyDescent="0.25">
      <c r="A122" s="1110" t="s">
        <v>329</v>
      </c>
      <c r="F122" s="1028"/>
      <c r="G122" s="1029"/>
      <c r="H122" s="699"/>
      <c r="I122" s="1110" t="s">
        <v>330</v>
      </c>
      <c r="N122" s="1028"/>
      <c r="Q122" s="1110" t="s">
        <v>331</v>
      </c>
      <c r="V122" s="1028"/>
      <c r="W122" s="1029"/>
      <c r="X122" s="699"/>
      <c r="Y122" s="1110" t="s">
        <v>332</v>
      </c>
      <c r="AD122" s="1028"/>
      <c r="AH122" s="1030"/>
      <c r="AM122" s="1077"/>
      <c r="AN122" s="1077"/>
      <c r="AO122" s="1077"/>
      <c r="AP122" s="1077"/>
      <c r="AQ122" s="1077"/>
      <c r="AR122" s="1077"/>
      <c r="AS122" s="1077"/>
      <c r="AT122" s="1077"/>
      <c r="AU122" s="1077"/>
      <c r="AV122" s="1077"/>
      <c r="AW122" s="1077"/>
    </row>
    <row r="123" spans="1:49" s="19" customFormat="1" ht="12.75" x14ac:dyDescent="0.2">
      <c r="A123" s="1023"/>
      <c r="B123" s="1024"/>
      <c r="C123" s="1025"/>
      <c r="D123" s="1026"/>
      <c r="E123" s="1026"/>
      <c r="F123" s="1027"/>
      <c r="G123" s="29"/>
      <c r="H123" s="31"/>
      <c r="I123" s="1023"/>
      <c r="J123" s="1024"/>
      <c r="K123" s="1025"/>
      <c r="L123" s="1026"/>
      <c r="M123" s="1026"/>
      <c r="N123" s="1027"/>
      <c r="Q123" s="1023"/>
      <c r="R123" s="1024"/>
      <c r="S123" s="1025"/>
      <c r="T123" s="1026"/>
      <c r="U123" s="1026"/>
      <c r="V123" s="1027"/>
      <c r="W123" s="29"/>
      <c r="X123" s="704"/>
      <c r="Y123" s="1023"/>
      <c r="Z123" s="1024"/>
      <c r="AA123" s="1025"/>
      <c r="AB123" s="1026"/>
      <c r="AC123" s="1026"/>
      <c r="AD123" s="1027"/>
      <c r="AH123" s="1031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7"/>
      <c r="B124" s="925"/>
      <c r="C124" s="984"/>
      <c r="D124" s="926"/>
      <c r="E124" s="926"/>
      <c r="F124" s="986"/>
      <c r="G124" s="29"/>
      <c r="H124" s="31"/>
      <c r="I124" s="927"/>
      <c r="J124" s="925"/>
      <c r="K124" s="984"/>
      <c r="L124" s="926"/>
      <c r="M124" s="926"/>
      <c r="N124" s="986"/>
      <c r="Q124" s="927"/>
      <c r="R124" s="925"/>
      <c r="S124" s="984"/>
      <c r="T124" s="926"/>
      <c r="U124" s="926"/>
      <c r="V124" s="986"/>
      <c r="W124" s="29"/>
      <c r="X124" s="704"/>
      <c r="Y124" s="927"/>
      <c r="Z124" s="925"/>
      <c r="AA124" s="984"/>
      <c r="AB124" s="926"/>
      <c r="AC124" s="926"/>
      <c r="AD124" s="986"/>
      <c r="AH124" s="1031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7"/>
      <c r="B125" s="925"/>
      <c r="C125" s="984"/>
      <c r="D125" s="926"/>
      <c r="E125" s="926"/>
      <c r="F125" s="986"/>
      <c r="G125" s="29"/>
      <c r="H125" s="31"/>
      <c r="I125" s="927"/>
      <c r="J125" s="925"/>
      <c r="K125" s="984"/>
      <c r="L125" s="926"/>
      <c r="M125" s="926"/>
      <c r="N125" s="986"/>
      <c r="Q125" s="927"/>
      <c r="R125" s="925"/>
      <c r="S125" s="984"/>
      <c r="T125" s="926"/>
      <c r="U125" s="926"/>
      <c r="V125" s="986"/>
      <c r="W125" s="29"/>
      <c r="X125" s="704"/>
      <c r="Y125" s="927"/>
      <c r="Z125" s="925"/>
      <c r="AA125" s="984"/>
      <c r="AB125" s="926"/>
      <c r="AC125" s="926"/>
      <c r="AD125" s="986"/>
      <c r="AH125" s="1031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7"/>
      <c r="B126" s="925"/>
      <c r="C126" s="984"/>
      <c r="D126" s="926"/>
      <c r="E126" s="926"/>
      <c r="F126" s="986"/>
      <c r="G126" s="29"/>
      <c r="H126" s="31"/>
      <c r="I126" s="927"/>
      <c r="J126" s="925"/>
      <c r="K126" s="984"/>
      <c r="L126" s="926"/>
      <c r="M126" s="926"/>
      <c r="N126" s="986"/>
      <c r="Q126" s="927"/>
      <c r="R126" s="925"/>
      <c r="S126" s="984"/>
      <c r="T126" s="926"/>
      <c r="U126" s="926"/>
      <c r="V126" s="986"/>
      <c r="W126" s="29"/>
      <c r="X126" s="704"/>
      <c r="Y126" s="927"/>
      <c r="Z126" s="925"/>
      <c r="AA126" s="984"/>
      <c r="AB126" s="926"/>
      <c r="AC126" s="926"/>
      <c r="AD126" s="986"/>
      <c r="AH126" s="1031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7"/>
      <c r="B127" s="925"/>
      <c r="C127" s="984"/>
      <c r="D127" s="926"/>
      <c r="E127" s="926"/>
      <c r="F127" s="986"/>
      <c r="G127" s="29"/>
      <c r="H127" s="31"/>
      <c r="I127" s="927"/>
      <c r="J127" s="925"/>
      <c r="K127" s="984"/>
      <c r="L127" s="926"/>
      <c r="M127" s="926"/>
      <c r="N127" s="986"/>
      <c r="Q127" s="927"/>
      <c r="R127" s="925"/>
      <c r="S127" s="984"/>
      <c r="T127" s="926"/>
      <c r="U127" s="926"/>
      <c r="V127" s="986"/>
      <c r="W127" s="29"/>
      <c r="X127" s="704"/>
      <c r="Y127" s="927"/>
      <c r="Z127" s="925"/>
      <c r="AA127" s="984"/>
      <c r="AB127" s="926"/>
      <c r="AC127" s="926"/>
      <c r="AD127" s="986"/>
      <c r="AH127" s="1031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7"/>
      <c r="B128" s="925"/>
      <c r="C128" s="984"/>
      <c r="D128" s="926"/>
      <c r="E128" s="926"/>
      <c r="F128" s="986"/>
      <c r="G128" s="29"/>
      <c r="H128" s="31"/>
      <c r="I128" s="927"/>
      <c r="J128" s="925"/>
      <c r="K128" s="984"/>
      <c r="L128" s="926"/>
      <c r="M128" s="926"/>
      <c r="N128" s="986"/>
      <c r="Q128" s="927"/>
      <c r="R128" s="925"/>
      <c r="S128" s="984"/>
      <c r="T128" s="926"/>
      <c r="U128" s="926"/>
      <c r="V128" s="986"/>
      <c r="W128" s="29"/>
      <c r="X128" s="704"/>
      <c r="Y128" s="927"/>
      <c r="Z128" s="925"/>
      <c r="AA128" s="984"/>
      <c r="AB128" s="926"/>
      <c r="AC128" s="926"/>
      <c r="AD128" s="986"/>
      <c r="AH128" s="1031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7"/>
      <c r="B129" s="925"/>
      <c r="C129" s="984"/>
      <c r="D129" s="926"/>
      <c r="E129" s="926"/>
      <c r="F129" s="986"/>
      <c r="G129" s="29"/>
      <c r="H129" s="31"/>
      <c r="I129" s="927"/>
      <c r="J129" s="925"/>
      <c r="K129" s="984"/>
      <c r="L129" s="926"/>
      <c r="M129" s="926"/>
      <c r="N129" s="986"/>
      <c r="Q129" s="927"/>
      <c r="R129" s="925"/>
      <c r="S129" s="984"/>
      <c r="T129" s="926"/>
      <c r="U129" s="926"/>
      <c r="V129" s="986"/>
      <c r="W129" s="29"/>
      <c r="X129" s="704"/>
      <c r="Y129" s="927"/>
      <c r="Z129" s="925"/>
      <c r="AA129" s="984"/>
      <c r="AB129" s="926"/>
      <c r="AC129" s="926"/>
      <c r="AD129" s="986"/>
      <c r="AH129" s="1031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7"/>
      <c r="B130" s="925"/>
      <c r="C130" s="984"/>
      <c r="D130" s="926"/>
      <c r="E130" s="926"/>
      <c r="F130" s="986"/>
      <c r="G130" s="29"/>
      <c r="H130" s="31"/>
      <c r="I130" s="927"/>
      <c r="J130" s="925"/>
      <c r="K130" s="984"/>
      <c r="L130" s="926"/>
      <c r="M130" s="926"/>
      <c r="N130" s="986"/>
      <c r="Q130" s="927"/>
      <c r="R130" s="925"/>
      <c r="S130" s="984"/>
      <c r="T130" s="926"/>
      <c r="U130" s="926"/>
      <c r="V130" s="986"/>
      <c r="W130" s="29"/>
      <c r="X130" s="704"/>
      <c r="Y130" s="927"/>
      <c r="Z130" s="925"/>
      <c r="AA130" s="984"/>
      <c r="AB130" s="926"/>
      <c r="AC130" s="926"/>
      <c r="AD130" s="986"/>
      <c r="AH130" s="1031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7"/>
      <c r="B131" s="925"/>
      <c r="C131" s="984"/>
      <c r="D131" s="926"/>
      <c r="E131" s="926"/>
      <c r="F131" s="986"/>
      <c r="G131" s="29"/>
      <c r="H131" s="31"/>
      <c r="I131" s="927"/>
      <c r="J131" s="925"/>
      <c r="K131" s="984"/>
      <c r="L131" s="926"/>
      <c r="M131" s="926"/>
      <c r="N131" s="986"/>
      <c r="Q131" s="927"/>
      <c r="R131" s="925"/>
      <c r="S131" s="984"/>
      <c r="T131" s="926"/>
      <c r="U131" s="926"/>
      <c r="V131" s="986"/>
      <c r="W131" s="29"/>
      <c r="X131" s="704"/>
      <c r="Y131" s="927"/>
      <c r="Z131" s="925"/>
      <c r="AA131" s="984"/>
      <c r="AB131" s="926"/>
      <c r="AC131" s="926"/>
      <c r="AD131" s="986"/>
      <c r="AH131" s="1031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7"/>
      <c r="B132" s="925"/>
      <c r="C132" s="984"/>
      <c r="D132" s="926"/>
      <c r="E132" s="926"/>
      <c r="F132" s="986"/>
      <c r="G132" s="29"/>
      <c r="H132" s="31"/>
      <c r="I132" s="927"/>
      <c r="J132" s="925"/>
      <c r="K132" s="984"/>
      <c r="L132" s="926"/>
      <c r="M132" s="926"/>
      <c r="N132" s="986"/>
      <c r="Q132" s="927"/>
      <c r="R132" s="925"/>
      <c r="S132" s="984"/>
      <c r="T132" s="926"/>
      <c r="U132" s="926"/>
      <c r="V132" s="986"/>
      <c r="W132" s="29"/>
      <c r="X132" s="704"/>
      <c r="Y132" s="927"/>
      <c r="Z132" s="925"/>
      <c r="AA132" s="984"/>
      <c r="AB132" s="926"/>
      <c r="AC132" s="926"/>
      <c r="AD132" s="986"/>
      <c r="AH132" s="1031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7"/>
      <c r="B133" s="925"/>
      <c r="C133" s="984"/>
      <c r="D133" s="926"/>
      <c r="E133" s="926"/>
      <c r="F133" s="986"/>
      <c r="G133" s="29"/>
      <c r="H133" s="31"/>
      <c r="I133" s="927"/>
      <c r="J133" s="925"/>
      <c r="K133" s="984"/>
      <c r="L133" s="926"/>
      <c r="M133" s="926"/>
      <c r="N133" s="986"/>
      <c r="Q133" s="927"/>
      <c r="R133" s="925"/>
      <c r="S133" s="984"/>
      <c r="T133" s="926"/>
      <c r="U133" s="926"/>
      <c r="V133" s="986"/>
      <c r="W133" s="29"/>
      <c r="X133" s="704"/>
      <c r="Y133" s="927"/>
      <c r="Z133" s="925"/>
      <c r="AA133" s="984"/>
      <c r="AB133" s="926"/>
      <c r="AC133" s="926"/>
      <c r="AD133" s="986"/>
      <c r="AH133" s="1031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7"/>
      <c r="B134" s="925"/>
      <c r="C134" s="984"/>
      <c r="D134" s="926"/>
      <c r="E134" s="926"/>
      <c r="F134" s="986"/>
      <c r="G134" s="29"/>
      <c r="H134" s="31"/>
      <c r="I134" s="927"/>
      <c r="J134" s="925"/>
      <c r="K134" s="984"/>
      <c r="L134" s="926"/>
      <c r="M134" s="926"/>
      <c r="N134" s="986"/>
      <c r="Q134" s="927"/>
      <c r="R134" s="925"/>
      <c r="S134" s="984"/>
      <c r="T134" s="926"/>
      <c r="U134" s="926"/>
      <c r="V134" s="986"/>
      <c r="W134" s="29"/>
      <c r="X134" s="704"/>
      <c r="Y134" s="927"/>
      <c r="Z134" s="925"/>
      <c r="AA134" s="984"/>
      <c r="AB134" s="926"/>
      <c r="AC134" s="926"/>
      <c r="AD134" s="986"/>
      <c r="AH134" s="1031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7"/>
      <c r="B135" s="925"/>
      <c r="C135" s="985"/>
      <c r="D135" s="926"/>
      <c r="E135" s="926"/>
      <c r="F135" s="986"/>
      <c r="G135" s="29"/>
      <c r="H135" s="31"/>
      <c r="I135" s="927"/>
      <c r="J135" s="925"/>
      <c r="K135" s="985"/>
      <c r="L135" s="926"/>
      <c r="M135" s="926"/>
      <c r="N135" s="986"/>
      <c r="Q135" s="927"/>
      <c r="R135" s="925"/>
      <c r="S135" s="985"/>
      <c r="T135" s="926"/>
      <c r="U135" s="926"/>
      <c r="V135" s="986"/>
      <c r="W135" s="29"/>
      <c r="X135" s="704"/>
      <c r="Y135" s="927"/>
      <c r="Z135" s="925"/>
      <c r="AA135" s="985"/>
      <c r="AB135" s="926"/>
      <c r="AC135" s="926"/>
      <c r="AD135" s="986"/>
      <c r="AH135" s="1031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7"/>
      <c r="B136" s="925"/>
      <c r="C136" s="985"/>
      <c r="D136" s="926"/>
      <c r="E136" s="926"/>
      <c r="F136" s="986"/>
      <c r="G136" s="29"/>
      <c r="H136" s="31"/>
      <c r="I136" s="927"/>
      <c r="J136" s="925"/>
      <c r="K136" s="985"/>
      <c r="L136" s="926"/>
      <c r="M136" s="926"/>
      <c r="N136" s="986"/>
      <c r="Q136" s="927"/>
      <c r="R136" s="925"/>
      <c r="S136" s="985"/>
      <c r="T136" s="926"/>
      <c r="U136" s="926"/>
      <c r="V136" s="986"/>
      <c r="W136" s="29"/>
      <c r="X136" s="704"/>
      <c r="Y136" s="927"/>
      <c r="Z136" s="925"/>
      <c r="AA136" s="985"/>
      <c r="AB136" s="926"/>
      <c r="AC136" s="926"/>
      <c r="AD136" s="986"/>
      <c r="AH136" s="1031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7"/>
      <c r="B137" s="925"/>
      <c r="C137" s="985"/>
      <c r="D137" s="926"/>
      <c r="E137" s="926"/>
      <c r="F137" s="986"/>
      <c r="G137" s="29"/>
      <c r="H137" s="31"/>
      <c r="I137" s="927"/>
      <c r="J137" s="925"/>
      <c r="K137" s="985"/>
      <c r="L137" s="926"/>
      <c r="M137" s="926"/>
      <c r="N137" s="986"/>
      <c r="Q137" s="927"/>
      <c r="R137" s="925"/>
      <c r="S137" s="985"/>
      <c r="T137" s="926"/>
      <c r="U137" s="926"/>
      <c r="V137" s="986"/>
      <c r="W137" s="29"/>
      <c r="X137" s="704"/>
      <c r="Y137" s="927"/>
      <c r="Z137" s="925"/>
      <c r="AA137" s="985"/>
      <c r="AB137" s="926"/>
      <c r="AC137" s="926"/>
      <c r="AD137" s="986"/>
      <c r="AH137" s="1031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7"/>
      <c r="B138" s="925"/>
      <c r="C138" s="979"/>
      <c r="D138" s="926"/>
      <c r="E138" s="926"/>
      <c r="F138" s="986"/>
      <c r="G138" s="29"/>
      <c r="H138" s="31"/>
      <c r="I138" s="927"/>
      <c r="J138" s="925"/>
      <c r="K138" s="979"/>
      <c r="L138" s="926"/>
      <c r="M138" s="926"/>
      <c r="N138" s="986"/>
      <c r="Q138" s="927"/>
      <c r="R138" s="925"/>
      <c r="S138" s="979"/>
      <c r="T138" s="926"/>
      <c r="U138" s="926"/>
      <c r="V138" s="986"/>
      <c r="W138" s="29"/>
      <c r="X138" s="704"/>
      <c r="Y138" s="927"/>
      <c r="Z138" s="925"/>
      <c r="AA138" s="979"/>
      <c r="AB138" s="926"/>
      <c r="AC138" s="926"/>
      <c r="AD138" s="986"/>
      <c r="AH138" s="1031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7"/>
      <c r="B139" s="925"/>
      <c r="C139" s="979"/>
      <c r="D139" s="926"/>
      <c r="E139" s="926"/>
      <c r="F139" s="986"/>
      <c r="G139" s="29"/>
      <c r="H139" s="31"/>
      <c r="I139" s="927"/>
      <c r="J139" s="925"/>
      <c r="K139" s="979"/>
      <c r="L139" s="926"/>
      <c r="M139" s="926"/>
      <c r="N139" s="986"/>
      <c r="Q139" s="927"/>
      <c r="R139" s="925"/>
      <c r="S139" s="979"/>
      <c r="T139" s="926"/>
      <c r="U139" s="926"/>
      <c r="V139" s="986"/>
      <c r="W139" s="29"/>
      <c r="X139" s="704"/>
      <c r="Y139" s="927"/>
      <c r="Z139" s="925"/>
      <c r="AA139" s="979"/>
      <c r="AB139" s="926"/>
      <c r="AC139" s="926"/>
      <c r="AD139" s="986"/>
      <c r="AH139" s="1031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7"/>
      <c r="B140" s="925"/>
      <c r="C140" s="979"/>
      <c r="D140" s="926"/>
      <c r="E140" s="926"/>
      <c r="F140" s="986"/>
      <c r="G140" s="29"/>
      <c r="H140" s="31"/>
      <c r="I140" s="927"/>
      <c r="J140" s="925"/>
      <c r="K140" s="979"/>
      <c r="L140" s="926"/>
      <c r="M140" s="926"/>
      <c r="N140" s="986"/>
      <c r="Q140" s="927"/>
      <c r="R140" s="925"/>
      <c r="S140" s="979"/>
      <c r="T140" s="926"/>
      <c r="U140" s="926"/>
      <c r="V140" s="986"/>
      <c r="W140" s="29"/>
      <c r="X140" s="704"/>
      <c r="Y140" s="927"/>
      <c r="Z140" s="925"/>
      <c r="AA140" s="979"/>
      <c r="AB140" s="926"/>
      <c r="AC140" s="926"/>
      <c r="AD140" s="986"/>
      <c r="AH140" s="1031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7"/>
      <c r="B141" s="925"/>
      <c r="C141" s="979"/>
      <c r="D141" s="926"/>
      <c r="E141" s="926"/>
      <c r="F141" s="986"/>
      <c r="G141" s="29"/>
      <c r="H141" s="31"/>
      <c r="I141" s="927"/>
      <c r="J141" s="925"/>
      <c r="K141" s="979"/>
      <c r="L141" s="926"/>
      <c r="M141" s="926"/>
      <c r="N141" s="986"/>
      <c r="Q141" s="927"/>
      <c r="R141" s="925"/>
      <c r="S141" s="979"/>
      <c r="T141" s="926"/>
      <c r="U141" s="926"/>
      <c r="V141" s="986"/>
      <c r="W141" s="29"/>
      <c r="X141" s="704"/>
      <c r="Y141" s="927"/>
      <c r="Z141" s="925"/>
      <c r="AA141" s="979"/>
      <c r="AB141" s="926"/>
      <c r="AC141" s="926"/>
      <c r="AD141" s="986"/>
      <c r="AH141" s="1031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7"/>
      <c r="B142" s="925"/>
      <c r="C142" s="979"/>
      <c r="D142" s="926"/>
      <c r="E142" s="926"/>
      <c r="F142" s="986"/>
      <c r="G142" s="29"/>
      <c r="H142" s="31"/>
      <c r="I142" s="927"/>
      <c r="J142" s="925"/>
      <c r="K142" s="979"/>
      <c r="L142" s="926"/>
      <c r="M142" s="926"/>
      <c r="N142" s="986"/>
      <c r="Q142" s="927"/>
      <c r="R142" s="925"/>
      <c r="S142" s="979"/>
      <c r="T142" s="926"/>
      <c r="U142" s="926"/>
      <c r="V142" s="986"/>
      <c r="W142" s="29"/>
      <c r="X142" s="704"/>
      <c r="Y142" s="927"/>
      <c r="Z142" s="925"/>
      <c r="AA142" s="979"/>
      <c r="AB142" s="926"/>
      <c r="AC142" s="926"/>
      <c r="AD142" s="986"/>
      <c r="AH142" s="1031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7"/>
      <c r="B143" s="925"/>
      <c r="C143" s="979"/>
      <c r="D143" s="926"/>
      <c r="E143" s="926"/>
      <c r="F143" s="986"/>
      <c r="G143" s="29"/>
      <c r="H143" s="31"/>
      <c r="I143" s="927"/>
      <c r="J143" s="925"/>
      <c r="K143" s="979"/>
      <c r="L143" s="926"/>
      <c r="M143" s="926"/>
      <c r="N143" s="986"/>
      <c r="Q143" s="927"/>
      <c r="R143" s="925"/>
      <c r="S143" s="979"/>
      <c r="T143" s="926"/>
      <c r="U143" s="926"/>
      <c r="V143" s="986"/>
      <c r="W143" s="29"/>
      <c r="X143" s="704"/>
      <c r="Y143" s="927"/>
      <c r="Z143" s="925"/>
      <c r="AA143" s="979"/>
      <c r="AB143" s="926"/>
      <c r="AC143" s="926"/>
      <c r="AD143" s="986"/>
      <c r="AH143" s="1031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7"/>
      <c r="B144" s="925"/>
      <c r="C144" s="979"/>
      <c r="D144" s="926"/>
      <c r="E144" s="926"/>
      <c r="F144" s="986"/>
      <c r="G144" s="29"/>
      <c r="H144" s="31"/>
      <c r="I144" s="927"/>
      <c r="J144" s="925"/>
      <c r="K144" s="979"/>
      <c r="L144" s="926"/>
      <c r="M144" s="926"/>
      <c r="N144" s="986"/>
      <c r="Q144" s="927"/>
      <c r="R144" s="925"/>
      <c r="S144" s="979"/>
      <c r="T144" s="926"/>
      <c r="U144" s="926"/>
      <c r="V144" s="986"/>
      <c r="W144" s="29"/>
      <c r="X144" s="704"/>
      <c r="Y144" s="927"/>
      <c r="Z144" s="925"/>
      <c r="AA144" s="979"/>
      <c r="AB144" s="926"/>
      <c r="AC144" s="926"/>
      <c r="AD144" s="986"/>
      <c r="AH144" s="1031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2.75" x14ac:dyDescent="0.2">
      <c r="A145" s="927"/>
      <c r="B145" s="925"/>
      <c r="C145" s="979"/>
      <c r="D145" s="926"/>
      <c r="E145" s="926"/>
      <c r="F145" s="986"/>
      <c r="G145" s="29"/>
      <c r="H145" s="31"/>
      <c r="I145" s="927"/>
      <c r="J145" s="925"/>
      <c r="K145" s="979"/>
      <c r="L145" s="926"/>
      <c r="M145" s="926"/>
      <c r="N145" s="986"/>
      <c r="Q145" s="927"/>
      <c r="R145" s="925"/>
      <c r="S145" s="979"/>
      <c r="T145" s="926"/>
      <c r="U145" s="926"/>
      <c r="V145" s="986"/>
      <c r="W145" s="29"/>
      <c r="X145" s="704"/>
      <c r="Y145" s="927"/>
      <c r="Z145" s="925"/>
      <c r="AA145" s="979"/>
      <c r="AB145" s="926"/>
      <c r="AC145" s="926"/>
      <c r="AD145" s="986"/>
      <c r="AH145" s="1031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  <row r="146" spans="1:49" s="19" customFormat="1" ht="13.5" thickBot="1" x14ac:dyDescent="0.25">
      <c r="A146" s="971"/>
      <c r="B146" s="972"/>
      <c r="C146" s="981"/>
      <c r="D146" s="982"/>
      <c r="E146" s="982"/>
      <c r="F146" s="1001"/>
      <c r="G146" s="29"/>
      <c r="H146" s="31"/>
      <c r="I146" s="971"/>
      <c r="J146" s="972"/>
      <c r="K146" s="981"/>
      <c r="L146" s="982"/>
      <c r="M146" s="982"/>
      <c r="N146" s="1001"/>
      <c r="Q146" s="971"/>
      <c r="R146" s="972"/>
      <c r="S146" s="981"/>
      <c r="T146" s="982"/>
      <c r="U146" s="982"/>
      <c r="V146" s="1001"/>
      <c r="W146" s="29"/>
      <c r="X146" s="704"/>
      <c r="Y146" s="971"/>
      <c r="Z146" s="972"/>
      <c r="AA146" s="981"/>
      <c r="AB146" s="982"/>
      <c r="AC146" s="982"/>
      <c r="AD146" s="1001"/>
      <c r="AH146" s="1031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</row>
  </sheetData>
  <sheetProtection sheet="1" objects="1" scenarios="1" formatCells="0" formatColumns="0" formatRows="0" sort="0"/>
  <mergeCells count="16">
    <mergeCell ref="Q55:Z55"/>
    <mergeCell ref="B55:B56"/>
    <mergeCell ref="B1:F1"/>
    <mergeCell ref="I1:J1"/>
    <mergeCell ref="C55:M55"/>
    <mergeCell ref="AN54:AO54"/>
    <mergeCell ref="AP55:AQ55"/>
    <mergeCell ref="AR55:AS55"/>
    <mergeCell ref="AN55:AO55"/>
    <mergeCell ref="AJ55:AJ56"/>
    <mergeCell ref="AV54:AW54"/>
    <mergeCell ref="AV55:AW55"/>
    <mergeCell ref="AT54:AU54"/>
    <mergeCell ref="AT55:AU55"/>
    <mergeCell ref="AP54:AQ54"/>
    <mergeCell ref="AR54:AS54"/>
  </mergeCells>
  <conditionalFormatting sqref="C83:Z95">
    <cfRule type="expression" dxfId="41" priority="2086" stopIfTrue="1">
      <formula>C$83=0</formula>
    </cfRule>
  </conditionalFormatting>
  <conditionalFormatting sqref="A16:N43">
    <cfRule type="expression" dxfId="40" priority="13" stopIfTrue="1">
      <formula>$B16=""</formula>
    </cfRule>
  </conditionalFormatting>
  <conditionalFormatting sqref="A57:A80 C57:AA80">
    <cfRule type="expression" dxfId="39" priority="2094" stopIfTrue="1">
      <formula>$N57=0</formula>
    </cfRule>
  </conditionalFormatting>
  <conditionalFormatting sqref="F20:G43">
    <cfRule type="expression" dxfId="38" priority="2095" stopIfTrue="1">
      <formula>$AD57=TRUE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3" customWidth="1"/>
    <col min="66" max="69" width="10.140625" style="6" customWidth="1"/>
    <col min="70" max="70" width="10.140625" style="573" customWidth="1"/>
    <col min="71" max="71" width="10.140625" style="569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7" t="s">
        <v>196</v>
      </c>
      <c r="B1" s="90"/>
      <c r="K1" s="4"/>
      <c r="L1" s="4"/>
      <c r="M1" s="4"/>
      <c r="N1" s="273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4">
        <v>0.98199999999999998</v>
      </c>
      <c r="Z1" s="678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1" t="s">
        <v>75</v>
      </c>
      <c r="AN1" s="4"/>
      <c r="AO1" s="4"/>
      <c r="AT1" s="765"/>
      <c r="AY1" s="765"/>
      <c r="BC1" s="1243" t="s">
        <v>209</v>
      </c>
      <c r="BD1" s="1243"/>
      <c r="BE1" s="1243"/>
      <c r="BF1" s="809"/>
      <c r="BH1" s="735" t="s">
        <v>201</v>
      </c>
      <c r="BJ1" s="720"/>
      <c r="BK1" s="720"/>
      <c r="BL1" s="720"/>
      <c r="BM1" s="720"/>
      <c r="BN1" s="720"/>
      <c r="BO1" s="720"/>
      <c r="BP1" s="720"/>
      <c r="BQ1" s="720"/>
      <c r="BR1" s="574"/>
      <c r="BS1" s="575"/>
      <c r="BT1" s="462"/>
    </row>
    <row r="2" spans="1:84" s="4" customFormat="1" ht="12.75" customHeight="1" thickBot="1" x14ac:dyDescent="0.3">
      <c r="A2" s="1234" t="str">
        <f>'Réglage perte'!B2</f>
        <v>Garderie Labège</v>
      </c>
      <c r="B2" s="1235"/>
      <c r="C2" s="1235"/>
      <c r="D2" s="1236"/>
      <c r="I2" s="1190" t="s">
        <v>369</v>
      </c>
      <c r="J2" s="1191">
        <f>AVERAGEIF($BW$15:$CF$380,"&gt;0,97")</f>
        <v>0.99771932359644555</v>
      </c>
      <c r="L2" s="175">
        <v>43079</v>
      </c>
      <c r="M2" s="175">
        <v>43093</v>
      </c>
      <c r="N2" s="76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3"/>
      <c r="BC2" s="1243"/>
      <c r="BD2" s="1243"/>
      <c r="BE2" s="1243"/>
      <c r="BF2" s="809"/>
      <c r="BH2" s="28"/>
      <c r="BI2" s="566"/>
      <c r="BJ2" s="567"/>
      <c r="BK2" s="282"/>
      <c r="BL2" s="567"/>
      <c r="BM2" s="568"/>
      <c r="BN2" s="282"/>
      <c r="BP2" s="6"/>
      <c r="BQ2" s="282"/>
      <c r="BR2" s="568"/>
      <c r="BS2" s="569"/>
      <c r="BT2" s="6"/>
    </row>
    <row r="3" spans="1:84" s="4" customFormat="1" ht="12.75" customHeight="1" thickBot="1" x14ac:dyDescent="0.3">
      <c r="A3" s="1237"/>
      <c r="B3" s="1238"/>
      <c r="C3" s="1238"/>
      <c r="D3" s="1239"/>
      <c r="E3" s="3"/>
      <c r="L3" s="757">
        <f>AL3</f>
        <v>255</v>
      </c>
      <c r="M3" s="761">
        <f>+AM3</f>
        <v>252</v>
      </c>
      <c r="N3" s="171">
        <v>277</v>
      </c>
      <c r="O3" s="171">
        <v>314</v>
      </c>
      <c r="P3" s="171">
        <v>362</v>
      </c>
      <c r="Q3" s="171">
        <v>411</v>
      </c>
      <c r="R3" s="171">
        <v>463</v>
      </c>
      <c r="S3" s="171">
        <v>515</v>
      </c>
      <c r="T3" s="171">
        <v>565</v>
      </c>
      <c r="U3" s="171">
        <v>603</v>
      </c>
      <c r="V3" s="171">
        <v>628</v>
      </c>
      <c r="W3" s="171">
        <v>643</v>
      </c>
      <c r="X3" s="171">
        <v>649</v>
      </c>
      <c r="Y3" s="171">
        <v>648</v>
      </c>
      <c r="Z3" s="171">
        <v>639</v>
      </c>
      <c r="AA3" s="171">
        <v>626</v>
      </c>
      <c r="AB3" s="171">
        <v>609</v>
      </c>
      <c r="AC3" s="171">
        <v>589</v>
      </c>
      <c r="AD3" s="171">
        <v>566</v>
      </c>
      <c r="AE3" s="171">
        <v>539</v>
      </c>
      <c r="AF3" s="171">
        <v>500</v>
      </c>
      <c r="AG3" s="171">
        <v>453</v>
      </c>
      <c r="AH3" s="171">
        <v>406</v>
      </c>
      <c r="AI3" s="171">
        <v>359</v>
      </c>
      <c r="AJ3" s="171">
        <v>316</v>
      </c>
      <c r="AK3" s="171">
        <v>281</v>
      </c>
      <c r="AL3" s="171">
        <v>255</v>
      </c>
      <c r="AM3" s="171">
        <v>252</v>
      </c>
      <c r="AN3" s="757">
        <f>+N3</f>
        <v>277</v>
      </c>
      <c r="AO3" s="758">
        <f>+O3</f>
        <v>314</v>
      </c>
      <c r="BC3" s="1243"/>
      <c r="BD3" s="1243"/>
      <c r="BE3" s="1243"/>
      <c r="BF3" s="809"/>
      <c r="BH3" s="28"/>
      <c r="BI3" s="6"/>
      <c r="BJ3" s="6"/>
      <c r="BK3" s="6"/>
      <c r="BL3" s="6"/>
      <c r="BM3" s="6"/>
      <c r="BN3" s="6"/>
      <c r="BO3" s="798" t="s">
        <v>239</v>
      </c>
      <c r="BP3" s="799">
        <v>0.3</v>
      </c>
      <c r="BQ3" s="800" t="s">
        <v>240</v>
      </c>
      <c r="BR3" s="801" t="s">
        <v>245</v>
      </c>
      <c r="BS3" s="567"/>
    </row>
    <row r="4" spans="1:84" s="4" customFormat="1" ht="12.75" customHeight="1" x14ac:dyDescent="0.25">
      <c r="A4" s="2"/>
      <c r="B4" s="418"/>
      <c r="E4" s="33"/>
      <c r="F4" s="570"/>
      <c r="K4" s="2"/>
      <c r="M4" s="636" t="s">
        <v>193</v>
      </c>
      <c r="N4" s="763">
        <f>MAX($BA15:$BA28)-1</f>
        <v>4.6501424249861367E-2</v>
      </c>
      <c r="O4" s="652">
        <f>MAX($BA29:$BA42)-1</f>
        <v>2.0891005371974192E-2</v>
      </c>
      <c r="P4" s="652">
        <f>MAX($BA43:$BA56)-1</f>
        <v>3.3857050758687723E-2</v>
      </c>
      <c r="Q4" s="652">
        <f>MAX(BA57:BA70)-1</f>
        <v>3.9730126852131731E-2</v>
      </c>
      <c r="R4" s="652">
        <f>MAX(BA71:BA84)-1</f>
        <v>3.1203719459276247E-3</v>
      </c>
      <c r="S4" s="652">
        <f>MAX(BA85:BA98)-1</f>
        <v>2.020076196182985E-2</v>
      </c>
      <c r="T4" s="652">
        <f>MAX(BA99:BA112)-1</f>
        <v>4.7327367668172693E-2</v>
      </c>
      <c r="U4" s="652">
        <f>MAX(BA113:BA126)-1</f>
        <v>2.0068440125745379E-2</v>
      </c>
      <c r="V4" s="652">
        <f>MAX(BA127:BA140)-1</f>
        <v>2.8420797443345913E-2</v>
      </c>
      <c r="W4" s="652">
        <f>MAX(BA141:BA154)-1</f>
        <v>3.713566779572619E-2</v>
      </c>
      <c r="X4" s="652">
        <f>MAX(BA155:BA168)-1</f>
        <v>1.4935211295741269E-2</v>
      </c>
      <c r="Y4" s="652">
        <f>MAX(BA169:BA182)-1</f>
        <v>4.0335960608231192E-2</v>
      </c>
      <c r="Z4" s="652">
        <f>MAX(BA183:BA196)-1</f>
        <v>3.9421482565682453E-4</v>
      </c>
      <c r="AA4" s="652">
        <f>MAX(BA197:BA210)-1</f>
        <v>4.1790410166280711E-2</v>
      </c>
      <c r="AB4" s="652">
        <f>MAX(BA211:BA224)-1</f>
        <v>1.0944394164882576E-2</v>
      </c>
      <c r="AC4" s="652">
        <f>MAX(BA225:BA238)-1</f>
        <v>-6.534380726215594E-3</v>
      </c>
      <c r="AD4" s="652">
        <f>MAX(BA239:BA252)-1</f>
        <v>2.900843476579773E-2</v>
      </c>
      <c r="AE4" s="652">
        <f>MAX(BA253:BA266)-1</f>
        <v>4.7367195727860301E-2</v>
      </c>
      <c r="AF4" s="652">
        <f>MAX(BA267:BA280)-1</f>
        <v>4.6592603713102809E-2</v>
      </c>
      <c r="AG4" s="652">
        <f>MAX(BA281:BA294)-1</f>
        <v>2.1182500415825034E-2</v>
      </c>
      <c r="AH4" s="652">
        <f>MAX(BA295:BA308)-1</f>
        <v>4.2565711872035283E-2</v>
      </c>
      <c r="AI4" s="652">
        <f>MAX(BA309:BA322)-1</f>
        <v>4.6091765264368645E-2</v>
      </c>
      <c r="AJ4" s="652">
        <f>MAX(BA323:BA336)-1</f>
        <v>-1.4171953987845654E-2</v>
      </c>
      <c r="AK4" s="652">
        <f>MAX(BA337:BA350)-1</f>
        <v>4.6179566378834469E-2</v>
      </c>
      <c r="AL4" s="652">
        <f>MAX(BA351:BA364)-1</f>
        <v>3.6102155247474732E-2</v>
      </c>
      <c r="AM4" s="652">
        <f>MAX(BA365:BA380)-1</f>
        <v>4.6574803264006315E-2</v>
      </c>
      <c r="AN4" s="640"/>
      <c r="AP4" s="570"/>
      <c r="AU4" s="570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241</v>
      </c>
      <c r="BP4" s="802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0" t="s">
        <v>192</v>
      </c>
      <c r="B5" s="1241"/>
      <c r="C5" s="1241"/>
      <c r="D5" s="1241"/>
      <c r="E5" s="1241"/>
      <c r="F5" s="1241"/>
      <c r="G5" s="1241"/>
      <c r="H5" s="1241"/>
      <c r="I5" s="1241"/>
      <c r="J5" s="1242"/>
      <c r="K5" s="89"/>
      <c r="N5" s="88"/>
      <c r="O5" s="88"/>
      <c r="P5" s="19"/>
      <c r="Q5" s="70"/>
      <c r="R5" s="70"/>
      <c r="S5" s="70"/>
      <c r="T5" s="70"/>
      <c r="U5" s="70"/>
      <c r="V5" s="637"/>
      <c r="W5" s="70"/>
      <c r="X5" s="70"/>
      <c r="Y5" s="70"/>
      <c r="Z5" s="70"/>
      <c r="AA5" s="70"/>
      <c r="AB5" s="70"/>
      <c r="AC5" s="70"/>
      <c r="AD5" s="70"/>
      <c r="AE5" s="638"/>
      <c r="AF5" s="19"/>
      <c r="AG5" s="19"/>
      <c r="AH5" s="71"/>
      <c r="AI5" s="651"/>
      <c r="AJ5" s="651"/>
      <c r="AK5" s="651"/>
      <c r="AL5" s="651"/>
      <c r="AM5" s="88"/>
      <c r="AN5" s="650"/>
      <c r="AP5" s="759"/>
      <c r="AQ5" s="759"/>
      <c r="AR5" s="759"/>
      <c r="AS5" s="759"/>
      <c r="AT5" s="766"/>
      <c r="AU5" s="759"/>
      <c r="AV5" s="759"/>
      <c r="AW5" s="759"/>
      <c r="AX5" s="759"/>
      <c r="AY5" s="766"/>
      <c r="AZ5" s="759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8.9659887314030851E-3</v>
      </c>
      <c r="B7" s="269">
        <f>'2019'!Dépas_env</f>
        <v>4.7367195727860301E-2</v>
      </c>
      <c r="C7" s="269">
        <f>'2020'!Dépas_env</f>
        <v>4.7327367668172693E-2</v>
      </c>
      <c r="D7" s="269">
        <f>'2021'!Dépas_env</f>
        <v>4.6574803264006315E-2</v>
      </c>
      <c r="E7" s="269">
        <f>'2022'!Dépas_env</f>
        <v>4.6592603713102809E-2</v>
      </c>
      <c r="F7" s="600">
        <f>'2023'!Dépas_env</f>
        <v>4.6592603713102809E-2</v>
      </c>
      <c r="G7" s="600">
        <f>'2024'!Dépas_env</f>
        <v>4.6592603713102809E-2</v>
      </c>
      <c r="H7" s="600">
        <f>'2025'!Dépas_env</f>
        <v>4.6592603713102809E-2</v>
      </c>
      <c r="I7" s="600">
        <f>'2026'!Dépas_env</f>
        <v>4.6592603713102809E-2</v>
      </c>
      <c r="J7" s="600">
        <f>'2027'!Dépas_env</f>
        <v>4.6592603713102587E-2</v>
      </c>
      <c r="K7" s="2"/>
      <c r="BA7" s="641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1"/>
      <c r="BC8" s="6"/>
      <c r="BD8" s="282"/>
      <c r="BE8" s="282"/>
      <c r="BF8" s="282"/>
      <c r="BJ8" s="6"/>
      <c r="BK8" s="6"/>
      <c r="BL8" s="6"/>
      <c r="BM8" s="6"/>
      <c r="BN8" s="6"/>
      <c r="BO8" s="571"/>
      <c r="BP8" s="571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1"/>
      <c r="BB9" s="19"/>
      <c r="BC9" s="19"/>
      <c r="BD9" s="283"/>
      <c r="BE9" s="283"/>
      <c r="BF9" s="283"/>
      <c r="BH9" s="702">
        <f>PousHi*($A$6-BP13-INDEX(Croivg,MIN(MAX(BO13-DATE(BP13,1,1)+1,0),366)))</f>
        <v>-2.0026106892122759</v>
      </c>
      <c r="BI9" s="968" t="s">
        <v>301</v>
      </c>
      <c r="BJ9" s="6"/>
      <c r="BK9" s="6"/>
      <c r="BL9" s="6"/>
      <c r="BM9" s="6"/>
      <c r="BN9" s="6"/>
      <c r="BO9" s="571"/>
      <c r="BP9" s="571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50"/>
      <c r="BD10" s="282"/>
      <c r="BE10" s="282"/>
      <c r="BF10" s="282"/>
      <c r="BH10" s="1047">
        <f>MIN(MATCH(H_i,Echel_vg),10)</f>
        <v>3</v>
      </c>
      <c r="BI10" s="562"/>
      <c r="BO10" s="734"/>
      <c r="BP10" s="73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2" t="s">
        <v>322</v>
      </c>
      <c r="D11" s="1086">
        <v>0.97</v>
      </c>
      <c r="E11" s="8"/>
      <c r="J11" s="9"/>
      <c r="K11" s="7"/>
      <c r="L11" s="760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9" t="s">
        <v>231</v>
      </c>
      <c r="AT11" s="27"/>
      <c r="AU11" s="689" t="s">
        <v>232</v>
      </c>
      <c r="AY11" s="27"/>
      <c r="AZ11" s="771" t="s">
        <v>235</v>
      </c>
      <c r="BA11" s="641"/>
      <c r="BB11" s="19"/>
      <c r="BC11" s="15"/>
      <c r="BD11" s="1244" t="s">
        <v>251</v>
      </c>
      <c r="BE11" s="1245"/>
      <c r="BF11" s="1248" t="s">
        <v>246</v>
      </c>
      <c r="BH11" s="1048">
        <f>INDEX(Echel_vg,$BH$10)</f>
        <v>-3</v>
      </c>
      <c r="BI11" s="562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10.56169638849005</v>
      </c>
      <c r="C12" s="12">
        <f>+MIN(C15:C379)</f>
        <v>2018</v>
      </c>
      <c r="D12" s="1059">
        <f>+MIN(D15:D379)</f>
        <v>0.97012084314958424</v>
      </c>
      <c r="E12" s="12">
        <f t="shared" ref="E12:J12" si="1">+MIN(E15:E379)</f>
        <v>24.746400000000001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24.574760404867785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24.82213927235069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24.660729344215774</v>
      </c>
      <c r="AZ12" s="391">
        <f t="shared" si="3"/>
        <v>24.769791837347206</v>
      </c>
      <c r="BA12" s="639"/>
      <c r="BC12" s="15"/>
      <c r="BD12" s="1246"/>
      <c r="BE12" s="1247"/>
      <c r="BF12" s="1249"/>
      <c r="BH12" s="1049">
        <f>(H_i-BH11)/(INDEX(Echel_vg,$BH$10+1)-BH$11)</f>
        <v>0.99738931078772408</v>
      </c>
      <c r="BJ12" s="6"/>
      <c r="BK12" s="6"/>
      <c r="BL12" s="6"/>
      <c r="BN12" s="356" t="str">
        <f>Masques!B54</f>
        <v>Pas de calcul pousse en hauteur:</v>
      </c>
      <c r="BO12" s="1115">
        <f>+Masques!C54</f>
        <v>1</v>
      </c>
      <c r="BP12" s="571"/>
      <c r="BQ12" s="571"/>
      <c r="BR12" s="572"/>
      <c r="BS12" s="569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66.115436428019962</v>
      </c>
      <c r="C13" s="12">
        <f>+MAX(C15:C379)</f>
        <v>2022</v>
      </c>
      <c r="D13" s="1059">
        <f>+MAX(D15:D379)</f>
        <v>1.0473671957278603</v>
      </c>
      <c r="E13" s="12">
        <f t="shared" ref="E13:J13" si="4">+MAX(E15:E379)</f>
        <v>63.7318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63.779665342851409</v>
      </c>
      <c r="K13" s="6"/>
      <c r="L13" s="774">
        <f>AL13</f>
        <v>250.41</v>
      </c>
      <c r="M13" s="774">
        <f>+AM13</f>
        <v>247.464</v>
      </c>
      <c r="N13" s="773">
        <f t="shared" ref="N13:AM13" si="5">Ajust_M*N3</f>
        <v>272.01400000000001</v>
      </c>
      <c r="O13" s="764">
        <f t="shared" si="5"/>
        <v>308.34800000000001</v>
      </c>
      <c r="P13" s="764">
        <f t="shared" si="5"/>
        <v>355.48399999999998</v>
      </c>
      <c r="Q13" s="764">
        <f t="shared" si="5"/>
        <v>403.60199999999998</v>
      </c>
      <c r="R13" s="764">
        <f t="shared" si="5"/>
        <v>454.666</v>
      </c>
      <c r="S13" s="764">
        <f t="shared" si="5"/>
        <v>505.73</v>
      </c>
      <c r="T13" s="764">
        <f t="shared" si="5"/>
        <v>554.83000000000004</v>
      </c>
      <c r="U13" s="764">
        <f t="shared" si="5"/>
        <v>592.14599999999996</v>
      </c>
      <c r="V13" s="764">
        <f t="shared" si="5"/>
        <v>616.69600000000003</v>
      </c>
      <c r="W13" s="764">
        <f t="shared" si="5"/>
        <v>631.42600000000004</v>
      </c>
      <c r="X13" s="764">
        <f t="shared" si="5"/>
        <v>637.31799999999998</v>
      </c>
      <c r="Y13" s="764">
        <f t="shared" si="5"/>
        <v>636.33600000000001</v>
      </c>
      <c r="Z13" s="764">
        <f t="shared" si="5"/>
        <v>627.49799999999993</v>
      </c>
      <c r="AA13" s="764">
        <f t="shared" si="5"/>
        <v>614.73199999999997</v>
      </c>
      <c r="AB13" s="764">
        <f t="shared" si="5"/>
        <v>598.03800000000001</v>
      </c>
      <c r="AC13" s="764">
        <f t="shared" si="5"/>
        <v>578.39800000000002</v>
      </c>
      <c r="AD13" s="764">
        <f t="shared" si="5"/>
        <v>555.81200000000001</v>
      </c>
      <c r="AE13" s="764">
        <f t="shared" si="5"/>
        <v>529.298</v>
      </c>
      <c r="AF13" s="764">
        <f t="shared" si="5"/>
        <v>491</v>
      </c>
      <c r="AG13" s="764">
        <f t="shared" si="5"/>
        <v>444.846</v>
      </c>
      <c r="AH13" s="764">
        <f t="shared" si="5"/>
        <v>398.69200000000001</v>
      </c>
      <c r="AI13" s="764">
        <f t="shared" si="5"/>
        <v>352.53800000000001</v>
      </c>
      <c r="AJ13" s="764">
        <f t="shared" si="5"/>
        <v>310.31200000000001</v>
      </c>
      <c r="AK13" s="764">
        <f t="shared" si="5"/>
        <v>275.94200000000001</v>
      </c>
      <c r="AL13" s="764">
        <f t="shared" si="5"/>
        <v>250.41</v>
      </c>
      <c r="AM13" s="764">
        <f t="shared" si="5"/>
        <v>247.464</v>
      </c>
      <c r="AN13" s="774">
        <f>+N13</f>
        <v>272.01400000000001</v>
      </c>
      <c r="AO13" s="774">
        <f>+O13</f>
        <v>308.34800000000001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63.768446065006515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63.794821210524859</v>
      </c>
      <c r="AZ13" s="391">
        <f t="shared" si="6"/>
        <v>63.781633637765687</v>
      </c>
      <c r="BA13" s="639"/>
      <c r="BC13" s="37"/>
      <c r="BD13" s="285" t="s">
        <v>49</v>
      </c>
      <c r="BE13" s="285" t="s">
        <v>48</v>
      </c>
      <c r="BF13" s="285" t="s">
        <v>249</v>
      </c>
      <c r="BH13" s="1050" t="s">
        <v>89</v>
      </c>
      <c r="BJ13" s="6"/>
      <c r="BN13" s="33" t="str">
        <f>Masques!G54</f>
        <v>Date de relevés hauteurs (ref. 0m):</v>
      </c>
      <c r="BO13" s="1116">
        <f>+Masques!I1</f>
        <v>44600</v>
      </c>
      <c r="BP13" s="801">
        <f>YEAR(BO13)</f>
        <v>2022</v>
      </c>
      <c r="BW13" s="677" t="s">
        <v>368</v>
      </c>
    </row>
    <row r="14" spans="1:84" ht="37.5" customHeight="1" thickBot="1" x14ac:dyDescent="0.3">
      <c r="A14" s="356" t="s">
        <v>114</v>
      </c>
      <c r="B14" s="1058" t="s">
        <v>3</v>
      </c>
      <c r="C14" s="1058" t="s">
        <v>13</v>
      </c>
      <c r="D14" s="1060" t="s">
        <v>323</v>
      </c>
      <c r="E14" s="174" t="s">
        <v>225</v>
      </c>
      <c r="F14" s="174" t="s">
        <v>221</v>
      </c>
      <c r="G14" s="174" t="s">
        <v>222</v>
      </c>
      <c r="H14" s="174" t="s">
        <v>223</v>
      </c>
      <c r="I14" s="744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221</v>
      </c>
      <c r="AQ14" s="174" t="s">
        <v>222</v>
      </c>
      <c r="AR14" s="174" t="s">
        <v>223</v>
      </c>
      <c r="AS14" s="744" t="s">
        <v>224</v>
      </c>
      <c r="AT14" s="767" t="s">
        <v>233</v>
      </c>
      <c r="AU14" s="174" t="s">
        <v>221</v>
      </c>
      <c r="AV14" s="174" t="s">
        <v>222</v>
      </c>
      <c r="AW14" s="174" t="s">
        <v>223</v>
      </c>
      <c r="AX14" s="744" t="s">
        <v>224</v>
      </c>
      <c r="AY14" s="767" t="s">
        <v>234</v>
      </c>
      <c r="AZ14" s="78" t="s">
        <v>236</v>
      </c>
      <c r="BA14" s="642" t="s">
        <v>194</v>
      </c>
      <c r="BB14" s="72"/>
      <c r="BC14" s="356" t="s">
        <v>114</v>
      </c>
      <c r="BD14" s="286" t="s">
        <v>19</v>
      </c>
      <c r="BE14" s="287" t="s">
        <v>21</v>
      </c>
      <c r="BF14" s="814" t="s">
        <v>250</v>
      </c>
      <c r="BH14" s="1051" t="s">
        <v>90</v>
      </c>
      <c r="BI14" s="1046" t="s">
        <v>302</v>
      </c>
      <c r="BJ14" s="721">
        <f>+Masques!C56</f>
        <v>-5</v>
      </c>
      <c r="BK14" s="721">
        <f>+Masques!D56</f>
        <v>-4</v>
      </c>
      <c r="BL14" s="721">
        <f>+Masques!E56</f>
        <v>-3</v>
      </c>
      <c r="BM14" s="722">
        <f>+Masques!F56</f>
        <v>-2</v>
      </c>
      <c r="BN14" s="722">
        <f>+Masques!G56</f>
        <v>-1</v>
      </c>
      <c r="BO14" s="723">
        <f>+Masques!H56</f>
        <v>0</v>
      </c>
      <c r="BP14" s="721">
        <f>+Masques!I56</f>
        <v>1</v>
      </c>
      <c r="BQ14" s="721">
        <f>+Masques!J56</f>
        <v>2</v>
      </c>
      <c r="BR14" s="721">
        <f>+Masques!K56</f>
        <v>3</v>
      </c>
      <c r="BS14" s="721">
        <f>+Masques!L56</f>
        <v>4</v>
      </c>
      <c r="BT14" s="721">
        <f>+Masques!M56</f>
        <v>5</v>
      </c>
      <c r="BU14" s="969" t="s">
        <v>200</v>
      </c>
      <c r="BW14" s="1182">
        <v>2018</v>
      </c>
      <c r="BX14" s="1182">
        <v>2019</v>
      </c>
      <c r="BY14" s="1182">
        <v>2020</v>
      </c>
      <c r="BZ14" s="1182">
        <v>2021</v>
      </c>
      <c r="CA14" s="1182">
        <v>2022</v>
      </c>
      <c r="CB14" s="1182">
        <v>2023</v>
      </c>
      <c r="CC14" s="1182">
        <v>2024</v>
      </c>
      <c r="CD14" s="1182">
        <v>2025</v>
      </c>
      <c r="CE14" s="1182">
        <v>2026</v>
      </c>
      <c r="CF14" s="1182">
        <v>2027</v>
      </c>
    </row>
    <row r="15" spans="1:84" s="6" customFormat="1" ht="11.25" x14ac:dyDescent="0.2">
      <c r="A15" s="11">
        <v>43101</v>
      </c>
      <c r="B15" s="379">
        <f>'2022'!Maxi_hp</f>
        <v>24.528525019852513</v>
      </c>
      <c r="C15" s="750">
        <f>'2022'!An_max</f>
        <v>2022</v>
      </c>
      <c r="D15" s="1061" t="str">
        <f t="shared" ref="D15:D78" si="7">IF($BA15&gt;$D$11,BA15,"")</f>
        <v/>
      </c>
      <c r="E15" s="1056"/>
      <c r="F15" s="750">
        <f>INT(MATCH($A15,x.2m)/2)*2+1</f>
        <v>1</v>
      </c>
      <c r="G15" s="750">
        <f>INT((MATCH($A15,x.2m)+1)/2)*2</f>
        <v>2</v>
      </c>
      <c r="H15" s="751">
        <f t="shared" ref="H15:H78" si="8">INDEX(x.2m,F15)</f>
        <v>43093</v>
      </c>
      <c r="I15" s="752">
        <f t="shared" ref="I15:I78" si="9">($A15-H15)/(INDEX(x.2m,G15)-H15)</f>
        <v>0.53333333333333333</v>
      </c>
      <c r="J15" s="745">
        <f>((1-I15)*(INDEX(a.m,F15)*$A15*$A15+INDEX(b.m,F15)*$A15+INDEX(c.m,F15))+I15*(INDEX(a.m,G15)*$A15*$A15+INDEX(b.m,G15)*$A15+INDEX(c.m,G15)))/10</f>
        <v>25.790555709302424</v>
      </c>
      <c r="L15" s="754" t="s">
        <v>210</v>
      </c>
      <c r="M15" s="784">
        <f t="shared" ref="M15:AN15" si="10">L12</f>
        <v>43079</v>
      </c>
      <c r="N15" s="785">
        <f t="shared" si="10"/>
        <v>43093</v>
      </c>
      <c r="O15" s="775">
        <f t="shared" si="10"/>
        <v>43108</v>
      </c>
      <c r="P15" s="775">
        <f t="shared" si="10"/>
        <v>43122</v>
      </c>
      <c r="Q15" s="775">
        <f t="shared" si="10"/>
        <v>43136</v>
      </c>
      <c r="R15" s="775">
        <f t="shared" si="10"/>
        <v>43150</v>
      </c>
      <c r="S15" s="775">
        <f t="shared" si="10"/>
        <v>43164</v>
      </c>
      <c r="T15" s="775">
        <f t="shared" si="10"/>
        <v>43178</v>
      </c>
      <c r="U15" s="775">
        <f t="shared" si="10"/>
        <v>43192</v>
      </c>
      <c r="V15" s="775">
        <f t="shared" si="10"/>
        <v>43206</v>
      </c>
      <c r="W15" s="775">
        <f t="shared" si="10"/>
        <v>43220</v>
      </c>
      <c r="X15" s="775">
        <f t="shared" si="10"/>
        <v>43234</v>
      </c>
      <c r="Y15" s="775">
        <f t="shared" si="10"/>
        <v>43248</v>
      </c>
      <c r="Z15" s="775">
        <f t="shared" si="10"/>
        <v>43262</v>
      </c>
      <c r="AA15" s="775">
        <f t="shared" si="10"/>
        <v>43276</v>
      </c>
      <c r="AB15" s="775">
        <f t="shared" si="10"/>
        <v>43290</v>
      </c>
      <c r="AC15" s="775">
        <f t="shared" si="10"/>
        <v>43304</v>
      </c>
      <c r="AD15" s="775">
        <f t="shared" si="10"/>
        <v>43318</v>
      </c>
      <c r="AE15" s="775">
        <f t="shared" si="10"/>
        <v>43332</v>
      </c>
      <c r="AF15" s="775">
        <f t="shared" si="10"/>
        <v>43346</v>
      </c>
      <c r="AG15" s="775">
        <f t="shared" si="10"/>
        <v>43360</v>
      </c>
      <c r="AH15" s="775">
        <f t="shared" si="10"/>
        <v>43374</v>
      </c>
      <c r="AI15" s="775">
        <f t="shared" si="10"/>
        <v>43388</v>
      </c>
      <c r="AJ15" s="775">
        <f t="shared" si="10"/>
        <v>43402</v>
      </c>
      <c r="AK15" s="775">
        <f t="shared" si="10"/>
        <v>43416</v>
      </c>
      <c r="AL15" s="775">
        <f t="shared" si="10"/>
        <v>43430</v>
      </c>
      <c r="AM15" s="775">
        <f t="shared" si="10"/>
        <v>43444</v>
      </c>
      <c r="AN15" s="777">
        <f t="shared" si="10"/>
        <v>43458</v>
      </c>
      <c r="AO15" s="1055">
        <v>43101</v>
      </c>
      <c r="AP15" s="750">
        <f t="shared" ref="AP15:AP78" si="11">INT(MATCH($A15,x.2lg)/2)*2+1</f>
        <v>1</v>
      </c>
      <c r="AQ15" s="750">
        <f t="shared" ref="AQ15:AQ78" si="12">INT((MATCH($A15,x.2lg)+1)/2)*2</f>
        <v>2</v>
      </c>
      <c r="AR15" s="751">
        <f t="shared" ref="AR15:AR78" si="13">INDEX(x.2lg,AP15)</f>
        <v>43079</v>
      </c>
      <c r="AS15" s="752">
        <f t="shared" ref="AS15:AS78" si="14">($A15-AR15)/(INDEX(x.2lg,AQ15)-AR15)</f>
        <v>0.75862068965517238</v>
      </c>
      <c r="AT15" s="768">
        <f t="shared" ref="AT15:AT78" si="15">((1-AS15)*(INDEX(a.lg,AP15)*$A15*$A15+INDEX(b.lg,AP15)*$A15+INDEX(c.lg,AP15))+AS15*(INDEX(a.lg,AQ15)*$A15*$A15+INDEX(b.lg,AQ15)*$A15+INDEX(c.lg,AQ15)))/10</f>
        <v>26.033509944430715</v>
      </c>
      <c r="AU15" s="750">
        <f t="shared" ref="AU15:AU78" si="16">INT(MATCH($A15,x.2ld)/2)*2+1</f>
        <v>1</v>
      </c>
      <c r="AV15" s="750">
        <f t="shared" ref="AV15:AV78" si="17">INT((MATCH($A15,x.2ld)+1)/2)*2</f>
        <v>2</v>
      </c>
      <c r="AW15" s="751">
        <f t="shared" ref="AW15:AW78" si="18">INDEX(x.2ld,AU15)</f>
        <v>43093</v>
      </c>
      <c r="AX15" s="752">
        <f t="shared" ref="AX15:AX78" si="19">($A15-AW15)/(INDEX(x.2ld,AV15)-AW15)</f>
        <v>0.27586206896551724</v>
      </c>
      <c r="AY15" s="768">
        <f t="shared" ref="AY15:AY78" si="20">((1-AX15)*(INDEX(a.ld,AU15)*$A15*$A15+INDEX(b.ld,AU15)*$A15+INDEX(c.ld,AU15))+AX15*(INDEX(a.ld,AV15)*$A15*$A15+INDEX(b.ld,AV15)*$A15+INDEX(c.ld,AV15)))/10</f>
        <v>25.654899030204479</v>
      </c>
      <c r="AZ15" s="745">
        <f>(AY15+AT15)/2</f>
        <v>25.844204487317597</v>
      </c>
      <c r="BA15" s="643">
        <f t="shared" ref="BA15:BA78" si="21">+B15/J15</f>
        <v>0.95106616919484566</v>
      </c>
      <c r="BC15" s="11">
        <v>43101</v>
      </c>
      <c r="BD15" s="288">
        <f>[3]!FeuilCaduc*(1-Persistant)+Persistant</f>
        <v>0.60457829942861385</v>
      </c>
      <c r="BE15" s="289">
        <f>[3]!CroissVégét</f>
        <v>2.3909964587625958E-6</v>
      </c>
      <c r="BF15" s="815">
        <f>1+[3]!Salcycl*Ksac</f>
        <v>1.0005722874285767</v>
      </c>
      <c r="BH15" s="1052">
        <f t="shared" ref="BH15:BH78" si="22">INDEX($BJ15:$BT15,,$BH$10)*(1-Ratini)+INDEX($BJ15:$BT15,,$BH$10+1)*Ratini</f>
        <v>2.4150959137955916E-3</v>
      </c>
      <c r="BI15" s="11">
        <v>44197</v>
      </c>
      <c r="BJ15" s="821">
        <v>5.1861063850512916E-4</v>
      </c>
      <c r="BK15" s="724">
        <v>9.5194527570198917E-4</v>
      </c>
      <c r="BL15" s="724">
        <v>1.5388949190492079E-3</v>
      </c>
      <c r="BM15" s="724">
        <v>2.4173893898335121E-3</v>
      </c>
      <c r="BN15" s="724">
        <v>3.6554122516709673E-3</v>
      </c>
      <c r="BO15" s="725">
        <v>5.6575957336878436E-3</v>
      </c>
      <c r="BP15" s="724">
        <v>8.1971506317892323E-3</v>
      </c>
      <c r="BQ15" s="724">
        <v>1.1240540101526794E-2</v>
      </c>
      <c r="BR15" s="724">
        <v>1.4577788776549801E-2</v>
      </c>
      <c r="BS15" s="724">
        <v>1.8754085640803279E-2</v>
      </c>
      <c r="BT15" s="724">
        <v>2.3651718495327767E-2</v>
      </c>
      <c r="BW15" s="1183">
        <f>'2018'!R\Max</f>
        <v>0</v>
      </c>
      <c r="BX15" s="1184">
        <f>'2019'!R\Max</f>
        <v>6.9822949212937954E-2</v>
      </c>
      <c r="BY15" s="1184">
        <f>'2020'!R\Max</f>
        <v>0.59335726300892178</v>
      </c>
      <c r="BZ15" s="1184">
        <f>'2021'!R\Max</f>
        <v>0.30735408525185709</v>
      </c>
      <c r="CA15" s="1184">
        <f>'2022'!R\Max</f>
        <v>0.95106616919484566</v>
      </c>
      <c r="CB15" s="1184">
        <f>'2023'!R\Max</f>
        <v>0.95105727077822177</v>
      </c>
      <c r="CC15" s="1184">
        <f>'2024'!R\Max</f>
        <v>0.95104836030293005</v>
      </c>
      <c r="CD15" s="1184">
        <f>'2025'!R\Max</f>
        <v>0.95103768834022306</v>
      </c>
      <c r="CE15" s="1184">
        <f>'2026'!R\Max</f>
        <v>0.95108475435450779</v>
      </c>
      <c r="CF15" s="1185">
        <f>'2027'!R\Max</f>
        <v>0.9510804141505349</v>
      </c>
    </row>
    <row r="16" spans="1:84" s="6" customFormat="1" ht="11.25" x14ac:dyDescent="0.2">
      <c r="A16" s="11">
        <v>43102</v>
      </c>
      <c r="B16" s="380">
        <f>'2022'!Maxi_hp</f>
        <v>24.297474136240545</v>
      </c>
      <c r="C16" s="13">
        <f>'2022'!An_max</f>
        <v>2020</v>
      </c>
      <c r="D16" s="1062" t="str">
        <f t="shared" si="7"/>
        <v/>
      </c>
      <c r="E16" s="1057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3">
        <f t="shared" si="9"/>
        <v>0.6</v>
      </c>
      <c r="J16" s="746">
        <f>((1-I16)*(INDEX(a.m,F16)*$A16*$A16+INDEX(b.m,F16)*$A16+INDEX(c.m,F16))+I16*(INDEX(a.m,G16)*$A16*$A16+INDEX(b.m,G16)*$A16+INDEX(c.m,G16)))/10</f>
        <v>25.974722366333008</v>
      </c>
      <c r="L16" s="755" t="s">
        <v>211</v>
      </c>
      <c r="M16" s="741">
        <f t="shared" ref="M16:AN16" si="25">L13</f>
        <v>250.41</v>
      </c>
      <c r="N16" s="780">
        <f t="shared" si="25"/>
        <v>247.464</v>
      </c>
      <c r="O16" s="742">
        <f t="shared" si="25"/>
        <v>272.01400000000001</v>
      </c>
      <c r="P16" s="742">
        <f t="shared" si="25"/>
        <v>308.34800000000001</v>
      </c>
      <c r="Q16" s="742">
        <f t="shared" si="25"/>
        <v>355.48399999999998</v>
      </c>
      <c r="R16" s="742">
        <f t="shared" si="25"/>
        <v>403.60199999999998</v>
      </c>
      <c r="S16" s="742">
        <f t="shared" si="25"/>
        <v>454.666</v>
      </c>
      <c r="T16" s="742">
        <f t="shared" si="25"/>
        <v>505.73</v>
      </c>
      <c r="U16" s="742">
        <f t="shared" si="25"/>
        <v>554.83000000000004</v>
      </c>
      <c r="V16" s="742">
        <f t="shared" si="25"/>
        <v>592.14599999999996</v>
      </c>
      <c r="W16" s="742">
        <f t="shared" si="25"/>
        <v>616.69600000000003</v>
      </c>
      <c r="X16" s="742">
        <f t="shared" si="25"/>
        <v>631.42600000000004</v>
      </c>
      <c r="Y16" s="742">
        <f t="shared" si="25"/>
        <v>637.31799999999998</v>
      </c>
      <c r="Z16" s="742">
        <f t="shared" si="25"/>
        <v>636.33600000000001</v>
      </c>
      <c r="AA16" s="742">
        <f t="shared" si="25"/>
        <v>627.49799999999993</v>
      </c>
      <c r="AB16" s="742">
        <f t="shared" si="25"/>
        <v>614.73199999999997</v>
      </c>
      <c r="AC16" s="742">
        <f t="shared" si="25"/>
        <v>598.03800000000001</v>
      </c>
      <c r="AD16" s="742">
        <f t="shared" si="25"/>
        <v>578.39800000000002</v>
      </c>
      <c r="AE16" s="742">
        <f t="shared" si="25"/>
        <v>555.81200000000001</v>
      </c>
      <c r="AF16" s="742">
        <f t="shared" si="25"/>
        <v>529.298</v>
      </c>
      <c r="AG16" s="742">
        <f t="shared" si="25"/>
        <v>491</v>
      </c>
      <c r="AH16" s="742">
        <f t="shared" si="25"/>
        <v>444.846</v>
      </c>
      <c r="AI16" s="742">
        <f t="shared" si="25"/>
        <v>398.69200000000001</v>
      </c>
      <c r="AJ16" s="742">
        <f t="shared" si="25"/>
        <v>352.53800000000001</v>
      </c>
      <c r="AK16" s="742">
        <f t="shared" si="25"/>
        <v>310.31200000000001</v>
      </c>
      <c r="AL16" s="742">
        <f t="shared" si="25"/>
        <v>275.94200000000001</v>
      </c>
      <c r="AM16" s="742">
        <f t="shared" si="25"/>
        <v>250.41</v>
      </c>
      <c r="AN16" s="778">
        <f t="shared" si="25"/>
        <v>247.464</v>
      </c>
      <c r="AO16" s="1055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3">
        <f t="shared" si="14"/>
        <v>0.7931034482758621</v>
      </c>
      <c r="AT16" s="769">
        <f t="shared" si="15"/>
        <v>26.180578022630051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3">
        <f t="shared" si="19"/>
        <v>0.31034482758620691</v>
      </c>
      <c r="AY16" s="769">
        <f t="shared" si="20"/>
        <v>25.829521779253565</v>
      </c>
      <c r="AZ16" s="746">
        <f t="shared" ref="AZ16:AZ79" si="26">(AY16+AT16)/2</f>
        <v>26.005049900941806</v>
      </c>
      <c r="BA16" s="643">
        <f>+B16/J16</f>
        <v>0.93542767439676588</v>
      </c>
      <c r="BC16" s="11">
        <v>43102</v>
      </c>
      <c r="BD16" s="290">
        <f>[3]!FeuilCaduc*(1-Persistant)+Persistant</f>
        <v>0.60425825265103927</v>
      </c>
      <c r="BE16" s="291">
        <f>[3]!CroissVégét</f>
        <v>6.0820224447240291E-5</v>
      </c>
      <c r="BF16" s="816">
        <f>1+[3]!Salcycl*Ksac</f>
        <v>1.00053228158138</v>
      </c>
      <c r="BH16" s="1053">
        <f t="shared" si="22"/>
        <v>2.4203727142960195E-3</v>
      </c>
      <c r="BI16" s="11">
        <v>44198</v>
      </c>
      <c r="BJ16" s="726">
        <v>5.1797775669451117E-4</v>
      </c>
      <c r="BK16" s="726">
        <v>9.5177281058244376E-4</v>
      </c>
      <c r="BL16" s="726">
        <v>1.5409455082916414E-3</v>
      </c>
      <c r="BM16" s="726">
        <v>2.4226746350153065E-3</v>
      </c>
      <c r="BN16" s="726">
        <v>3.6648082685987954E-3</v>
      </c>
      <c r="BO16" s="727">
        <v>5.6679954794048417E-3</v>
      </c>
      <c r="BP16" s="726">
        <v>8.2067786862826796E-3</v>
      </c>
      <c r="BQ16" s="726">
        <v>1.1247093936795637E-2</v>
      </c>
      <c r="BR16" s="726">
        <v>1.457586823841949E-2</v>
      </c>
      <c r="BS16" s="726">
        <v>1.8743444062860729E-2</v>
      </c>
      <c r="BT16" s="726">
        <v>2.3636132301146084E-2</v>
      </c>
      <c r="BW16" s="1186">
        <f>'2018'!R\Max</f>
        <v>0</v>
      </c>
      <c r="BX16" s="1184">
        <f>'2019'!R\Max</f>
        <v>0.28751111952792929</v>
      </c>
      <c r="BY16" s="1184">
        <f>'2020'!R\Max</f>
        <v>0.93542767439676588</v>
      </c>
      <c r="BZ16" s="1184">
        <f>'2021'!R\Max</f>
        <v>0.17169779832815238</v>
      </c>
      <c r="CA16" s="1184">
        <f>'2022'!R\Max</f>
        <v>0.67896861632916805</v>
      </c>
      <c r="CB16" s="1184">
        <f>'2023'!R\Max</f>
        <v>0.67892727149478405</v>
      </c>
      <c r="CC16" s="1184">
        <f>'2024'!R\Max</f>
        <v>0.67888587563802749</v>
      </c>
      <c r="CD16" s="1184">
        <f>'2025'!R\Max</f>
        <v>0.67883633648088226</v>
      </c>
      <c r="CE16" s="1184">
        <f>'2026'!R\Max</f>
        <v>0.67905511178089661</v>
      </c>
      <c r="CF16" s="1185">
        <f>'2027'!R\Max</f>
        <v>0.67903486805295921</v>
      </c>
    </row>
    <row r="17" spans="1:84" s="6" customFormat="1" ht="11.25" x14ac:dyDescent="0.2">
      <c r="A17" s="11">
        <v>43103</v>
      </c>
      <c r="B17" s="380">
        <f>'2022'!Maxi_hp</f>
        <v>27.383515682442006</v>
      </c>
      <c r="C17" s="13">
        <f>'2022'!An_max</f>
        <v>2019</v>
      </c>
      <c r="D17" s="1062">
        <f t="shared" si="7"/>
        <v>1.0465014242498614</v>
      </c>
      <c r="E17" s="1057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3">
        <f t="shared" si="9"/>
        <v>0.66666666666666663</v>
      </c>
      <c r="J17" s="746">
        <f t="shared" ref="J17:J78" si="27">((1-I17)*(INDEX(a.m,F17)*$A17*$A17+INDEX(b.m,F17)*$A17+INDEX(c.m,F17))+I17*(INDEX(a.m,G17)*$A17*$A17+INDEX(b.m,G17)*$A17+INDEX(c.m,G17)))/10</f>
        <v>26.166725670794648</v>
      </c>
      <c r="L17" s="755" t="s">
        <v>212</v>
      </c>
      <c r="M17" s="781">
        <f t="shared" ref="M17:AN17" si="28">M12</f>
        <v>43093</v>
      </c>
      <c r="N17" s="737">
        <f t="shared" si="28"/>
        <v>43108</v>
      </c>
      <c r="O17" s="737">
        <f t="shared" si="28"/>
        <v>43122</v>
      </c>
      <c r="P17" s="737">
        <f t="shared" si="28"/>
        <v>43136</v>
      </c>
      <c r="Q17" s="737">
        <f t="shared" si="28"/>
        <v>43150</v>
      </c>
      <c r="R17" s="737">
        <f t="shared" si="28"/>
        <v>43164</v>
      </c>
      <c r="S17" s="737">
        <f t="shared" si="28"/>
        <v>43178</v>
      </c>
      <c r="T17" s="737">
        <f t="shared" si="28"/>
        <v>43192</v>
      </c>
      <c r="U17" s="737">
        <f t="shared" si="28"/>
        <v>43206</v>
      </c>
      <c r="V17" s="737">
        <f t="shared" si="28"/>
        <v>43220</v>
      </c>
      <c r="W17" s="737">
        <f t="shared" si="28"/>
        <v>43234</v>
      </c>
      <c r="X17" s="737">
        <f t="shared" si="28"/>
        <v>43248</v>
      </c>
      <c r="Y17" s="737">
        <f t="shared" si="28"/>
        <v>43262</v>
      </c>
      <c r="Z17" s="737">
        <f t="shared" si="28"/>
        <v>43276</v>
      </c>
      <c r="AA17" s="737">
        <f t="shared" si="28"/>
        <v>43290</v>
      </c>
      <c r="AB17" s="737">
        <f t="shared" si="28"/>
        <v>43304</v>
      </c>
      <c r="AC17" s="737">
        <f t="shared" si="28"/>
        <v>43318</v>
      </c>
      <c r="AD17" s="737">
        <f t="shared" si="28"/>
        <v>43332</v>
      </c>
      <c r="AE17" s="737">
        <f t="shared" si="28"/>
        <v>43346</v>
      </c>
      <c r="AF17" s="737">
        <f t="shared" si="28"/>
        <v>43360</v>
      </c>
      <c r="AG17" s="737">
        <f t="shared" si="28"/>
        <v>43374</v>
      </c>
      <c r="AH17" s="737">
        <f t="shared" si="28"/>
        <v>43388</v>
      </c>
      <c r="AI17" s="737">
        <f t="shared" si="28"/>
        <v>43402</v>
      </c>
      <c r="AJ17" s="737">
        <f t="shared" si="28"/>
        <v>43416</v>
      </c>
      <c r="AK17" s="737">
        <f t="shared" si="28"/>
        <v>43430</v>
      </c>
      <c r="AL17" s="737">
        <f t="shared" si="28"/>
        <v>43444</v>
      </c>
      <c r="AM17" s="779">
        <f t="shared" si="28"/>
        <v>43458</v>
      </c>
      <c r="AN17" s="786">
        <f t="shared" si="28"/>
        <v>43473</v>
      </c>
      <c r="AO17" s="1055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3">
        <f t="shared" si="14"/>
        <v>0.82758620689655171</v>
      </c>
      <c r="AT17" s="769">
        <f t="shared" si="15"/>
        <v>26.334629365596278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3">
        <f t="shared" si="19"/>
        <v>0.34482758620689657</v>
      </c>
      <c r="AY17" s="769">
        <f t="shared" si="20"/>
        <v>26.015518651799908</v>
      </c>
      <c r="AZ17" s="746">
        <f t="shared" si="26"/>
        <v>26.175074008698093</v>
      </c>
      <c r="BA17" s="643">
        <f t="shared" si="21"/>
        <v>1.0465014242498614</v>
      </c>
      <c r="BC17" s="11">
        <v>43103</v>
      </c>
      <c r="BD17" s="290">
        <f>[3]!FeuilCaduc*(1-Persistant)+Persistant</f>
        <v>0.60395621458428694</v>
      </c>
      <c r="BE17" s="291">
        <f>[3]!CroissVégét</f>
        <v>1.216934154264056E-4</v>
      </c>
      <c r="BF17" s="816">
        <f>1+[3]!Salcycl*Ksac</f>
        <v>1.0004945268230359</v>
      </c>
      <c r="BH17" s="1053">
        <f t="shared" si="22"/>
        <v>2.4231232567360071E-3</v>
      </c>
      <c r="BI17" s="11">
        <v>44199</v>
      </c>
      <c r="BJ17" s="726">
        <v>5.1738984055470802E-4</v>
      </c>
      <c r="BK17" s="726">
        <v>9.5072019539327486E-4</v>
      </c>
      <c r="BL17" s="726">
        <v>1.5414082165388125E-3</v>
      </c>
      <c r="BM17" s="726">
        <v>2.4254311659133434E-3</v>
      </c>
      <c r="BN17" s="726">
        <v>3.6706727577414163E-3</v>
      </c>
      <c r="BO17" s="727">
        <v>5.6738231257845422E-3</v>
      </c>
      <c r="BP17" s="726">
        <v>8.2113648102420302E-3</v>
      </c>
      <c r="BQ17" s="726">
        <v>1.1249500322103215E-2</v>
      </c>
      <c r="BR17" s="726">
        <v>1.4571899587665372E-2</v>
      </c>
      <c r="BS17" s="726">
        <v>1.8732012174823596E-2</v>
      </c>
      <c r="BT17" s="726">
        <v>2.3619045311040376E-2</v>
      </c>
      <c r="BW17" s="1186">
        <f>'2018'!R\Max</f>
        <v>0</v>
      </c>
      <c r="BX17" s="1184">
        <f>'2019'!R\Max</f>
        <v>1.0465014242498614</v>
      </c>
      <c r="BY17" s="1184">
        <f>'2020'!R\Max</f>
        <v>0.3188663598556673</v>
      </c>
      <c r="BZ17" s="1184">
        <f>'2021'!R\Max</f>
        <v>0.99352580130195089</v>
      </c>
      <c r="CA17" s="1184">
        <f>'2022'!R\Max</f>
        <v>0.72537030779553135</v>
      </c>
      <c r="CB17" s="1184">
        <f>'2023'!R\Max</f>
        <v>0.72533283529676607</v>
      </c>
      <c r="CC17" s="1184">
        <f>'2024'!R\Max</f>
        <v>0.7252953164973972</v>
      </c>
      <c r="CD17" s="1184">
        <f>'2025'!R\Max</f>
        <v>0.72525042602572887</v>
      </c>
      <c r="CE17" s="1184">
        <f>'2026'!R\Max</f>
        <v>0.72544878540273938</v>
      </c>
      <c r="CF17" s="1185">
        <f>'2027'!R\Max</f>
        <v>0.72543038376293079</v>
      </c>
    </row>
    <row r="18" spans="1:84" s="6" customFormat="1" ht="11.25" x14ac:dyDescent="0.2">
      <c r="A18" s="11">
        <v>43104</v>
      </c>
      <c r="B18" s="380">
        <f>'2022'!Maxi_hp</f>
        <v>24.454097030053351</v>
      </c>
      <c r="C18" s="13">
        <f>'2022'!An_max</f>
        <v>2019</v>
      </c>
      <c r="D18" s="1062" t="str">
        <f t="shared" si="7"/>
        <v/>
      </c>
      <c r="E18" s="1057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3">
        <f t="shared" si="9"/>
        <v>0.73333333333333328</v>
      </c>
      <c r="J18" s="746">
        <f t="shared" si="27"/>
        <v>26.365340142846104</v>
      </c>
      <c r="L18" s="755" t="s">
        <v>213</v>
      </c>
      <c r="M18" s="780">
        <f t="shared" ref="M18:AN18" si="29">M13</f>
        <v>247.464</v>
      </c>
      <c r="N18" s="743">
        <f t="shared" si="29"/>
        <v>272.01400000000001</v>
      </c>
      <c r="O18" s="743">
        <f t="shared" si="29"/>
        <v>308.34800000000001</v>
      </c>
      <c r="P18" s="743">
        <f t="shared" si="29"/>
        <v>355.48399999999998</v>
      </c>
      <c r="Q18" s="743">
        <f t="shared" si="29"/>
        <v>403.60199999999998</v>
      </c>
      <c r="R18" s="743">
        <f t="shared" si="29"/>
        <v>454.666</v>
      </c>
      <c r="S18" s="743">
        <f t="shared" si="29"/>
        <v>505.73</v>
      </c>
      <c r="T18" s="743">
        <f t="shared" si="29"/>
        <v>554.83000000000004</v>
      </c>
      <c r="U18" s="743">
        <f t="shared" si="29"/>
        <v>592.14599999999996</v>
      </c>
      <c r="V18" s="743">
        <f t="shared" si="29"/>
        <v>616.69600000000003</v>
      </c>
      <c r="W18" s="743">
        <f t="shared" si="29"/>
        <v>631.42600000000004</v>
      </c>
      <c r="X18" s="743">
        <f t="shared" si="29"/>
        <v>637.31799999999998</v>
      </c>
      <c r="Y18" s="743">
        <f t="shared" si="29"/>
        <v>636.33600000000001</v>
      </c>
      <c r="Z18" s="743">
        <f t="shared" si="29"/>
        <v>627.49799999999993</v>
      </c>
      <c r="AA18" s="743">
        <f t="shared" si="29"/>
        <v>614.73199999999997</v>
      </c>
      <c r="AB18" s="743">
        <f t="shared" si="29"/>
        <v>598.03800000000001</v>
      </c>
      <c r="AC18" s="743">
        <f t="shared" si="29"/>
        <v>578.39800000000002</v>
      </c>
      <c r="AD18" s="743">
        <f t="shared" si="29"/>
        <v>555.81200000000001</v>
      </c>
      <c r="AE18" s="743">
        <f t="shared" si="29"/>
        <v>529.298</v>
      </c>
      <c r="AF18" s="743">
        <f t="shared" si="29"/>
        <v>491</v>
      </c>
      <c r="AG18" s="743">
        <f t="shared" si="29"/>
        <v>444.846</v>
      </c>
      <c r="AH18" s="743">
        <f t="shared" si="29"/>
        <v>398.69200000000001</v>
      </c>
      <c r="AI18" s="743">
        <f t="shared" si="29"/>
        <v>352.53800000000001</v>
      </c>
      <c r="AJ18" s="743">
        <f t="shared" si="29"/>
        <v>310.31200000000001</v>
      </c>
      <c r="AK18" s="743">
        <f t="shared" si="29"/>
        <v>275.94200000000001</v>
      </c>
      <c r="AL18" s="743">
        <f t="shared" si="29"/>
        <v>250.41</v>
      </c>
      <c r="AM18" s="778">
        <f t="shared" si="29"/>
        <v>247.464</v>
      </c>
      <c r="AN18" s="776">
        <f t="shared" si="29"/>
        <v>272.01400000000001</v>
      </c>
      <c r="AO18" s="1055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3">
        <f t="shared" si="14"/>
        <v>0.86206896551724133</v>
      </c>
      <c r="AT18" s="769">
        <f t="shared" si="15"/>
        <v>26.495428685381494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3">
        <f t="shared" si="19"/>
        <v>0.37931034482758619</v>
      </c>
      <c r="AY18" s="769">
        <f t="shared" si="20"/>
        <v>26.212231198878122</v>
      </c>
      <c r="AZ18" s="746">
        <f t="shared" si="26"/>
        <v>26.353829942129806</v>
      </c>
      <c r="BA18" s="643">
        <f t="shared" si="21"/>
        <v>0.92750925637834625</v>
      </c>
      <c r="BC18" s="11">
        <v>43104</v>
      </c>
      <c r="BD18" s="290">
        <f>[3]!FeuilCaduc*(1-Persistant)+Persistant</f>
        <v>0.60367031220166523</v>
      </c>
      <c r="BE18" s="291">
        <f>[3]!CroissVégét</f>
        <v>1.8511247801664469E-4</v>
      </c>
      <c r="BF18" s="816">
        <f>1+[3]!Salcycl*Ksac</f>
        <v>1.0004587890252081</v>
      </c>
      <c r="BH18" s="1053">
        <f t="shared" si="22"/>
        <v>2.4233377453216571E-3</v>
      </c>
      <c r="BI18" s="11">
        <v>44200</v>
      </c>
      <c r="BJ18" s="726">
        <v>5.168456182867131E-4</v>
      </c>
      <c r="BK18" s="726">
        <v>9.4878371555041029E-4</v>
      </c>
      <c r="BL18" s="726">
        <v>1.5402768216624609E-3</v>
      </c>
      <c r="BM18" s="726">
        <v>2.4256491773795752E-3</v>
      </c>
      <c r="BN18" s="726">
        <v>3.6729913266621401E-3</v>
      </c>
      <c r="BO18" s="727">
        <v>5.6750576495235771E-3</v>
      </c>
      <c r="BP18" s="726">
        <v>8.210880777889543E-3</v>
      </c>
      <c r="BQ18" s="726">
        <v>1.1247724483916074E-2</v>
      </c>
      <c r="BR18" s="726">
        <v>1.4565842438711014E-2</v>
      </c>
      <c r="BS18" s="726">
        <v>1.8719740609282387E-2</v>
      </c>
      <c r="BT18" s="726">
        <v>2.3600394518509371E-2</v>
      </c>
      <c r="BW18" s="1186">
        <f>'2018'!R\Max</f>
        <v>0</v>
      </c>
      <c r="BX18" s="1184">
        <f>'2019'!R\Max</f>
        <v>0.92750925637834625</v>
      </c>
      <c r="BY18" s="1184">
        <f>'2020'!R\Max</f>
        <v>0.26804500641810364</v>
      </c>
      <c r="BZ18" s="1184">
        <f>'2021'!R\Max</f>
        <v>0.84153335268951457</v>
      </c>
      <c r="CA18" s="1184">
        <f>'2022'!R\Max</f>
        <v>0.76074029851663227</v>
      </c>
      <c r="CB18" s="1184">
        <f>'2023'!R\Max</f>
        <v>0.76070635666960817</v>
      </c>
      <c r="CC18" s="1184">
        <f>'2024'!R\Max</f>
        <v>0.76067237295582368</v>
      </c>
      <c r="CD18" s="1184">
        <f>'2025'!R\Max</f>
        <v>0.76063170097452193</v>
      </c>
      <c r="CE18" s="1184">
        <f>'2026'!R\Max</f>
        <v>0.76081142921555978</v>
      </c>
      <c r="CF18" s="1185">
        <f>'2027'!R\Max</f>
        <v>0.76079472264137959</v>
      </c>
    </row>
    <row r="19" spans="1:84" s="6" customFormat="1" ht="11.25" x14ac:dyDescent="0.2">
      <c r="A19" s="11">
        <v>43105</v>
      </c>
      <c r="B19" s="380">
        <f>'2022'!Maxi_hp</f>
        <v>27.046839831733369</v>
      </c>
      <c r="C19" s="13">
        <f>'2022'!An_max</f>
        <v>2019</v>
      </c>
      <c r="D19" s="1062">
        <f t="shared" si="7"/>
        <v>1.0179718250670069</v>
      </c>
      <c r="E19" s="1057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3">
        <f t="shared" si="9"/>
        <v>0.8</v>
      </c>
      <c r="J19" s="746">
        <f t="shared" si="27"/>
        <v>26.569340295791626</v>
      </c>
      <c r="L19" s="755" t="s">
        <v>214</v>
      </c>
      <c r="M19" s="782">
        <f t="shared" ref="M19:AN19" si="30">N12</f>
        <v>43108</v>
      </c>
      <c r="N19" s="738">
        <f t="shared" si="30"/>
        <v>43122</v>
      </c>
      <c r="O19" s="738">
        <f t="shared" si="30"/>
        <v>43136</v>
      </c>
      <c r="P19" s="738">
        <f t="shared" si="30"/>
        <v>43150</v>
      </c>
      <c r="Q19" s="738">
        <f t="shared" si="30"/>
        <v>43164</v>
      </c>
      <c r="R19" s="738">
        <f t="shared" si="30"/>
        <v>43178</v>
      </c>
      <c r="S19" s="738">
        <f t="shared" si="30"/>
        <v>43192</v>
      </c>
      <c r="T19" s="738">
        <f t="shared" si="30"/>
        <v>43206</v>
      </c>
      <c r="U19" s="738">
        <f t="shared" si="30"/>
        <v>43220</v>
      </c>
      <c r="V19" s="738">
        <f t="shared" si="30"/>
        <v>43234</v>
      </c>
      <c r="W19" s="738">
        <f t="shared" si="30"/>
        <v>43248</v>
      </c>
      <c r="X19" s="738">
        <f t="shared" si="30"/>
        <v>43262</v>
      </c>
      <c r="Y19" s="738">
        <f t="shared" si="30"/>
        <v>43276</v>
      </c>
      <c r="Z19" s="738">
        <f t="shared" si="30"/>
        <v>43290</v>
      </c>
      <c r="AA19" s="738">
        <f t="shared" si="30"/>
        <v>43304</v>
      </c>
      <c r="AB19" s="738">
        <f t="shared" si="30"/>
        <v>43318</v>
      </c>
      <c r="AC19" s="738">
        <f t="shared" si="30"/>
        <v>43332</v>
      </c>
      <c r="AD19" s="738">
        <f t="shared" si="30"/>
        <v>43346</v>
      </c>
      <c r="AE19" s="738">
        <f t="shared" si="30"/>
        <v>43360</v>
      </c>
      <c r="AF19" s="738">
        <f t="shared" si="30"/>
        <v>43374</v>
      </c>
      <c r="AG19" s="738">
        <f t="shared" si="30"/>
        <v>43388</v>
      </c>
      <c r="AH19" s="738">
        <f t="shared" si="30"/>
        <v>43402</v>
      </c>
      <c r="AI19" s="738">
        <f t="shared" si="30"/>
        <v>43416</v>
      </c>
      <c r="AJ19" s="738">
        <f t="shared" si="30"/>
        <v>43430</v>
      </c>
      <c r="AK19" s="738">
        <f t="shared" si="30"/>
        <v>43444</v>
      </c>
      <c r="AL19" s="779">
        <f t="shared" si="30"/>
        <v>43458</v>
      </c>
      <c r="AM19" s="739">
        <f t="shared" si="30"/>
        <v>43473</v>
      </c>
      <c r="AN19" s="739">
        <f t="shared" si="30"/>
        <v>43487</v>
      </c>
      <c r="AO19" s="1055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3">
        <f t="shared" si="14"/>
        <v>0.89655172413793105</v>
      </c>
      <c r="AT19" s="769">
        <f t="shared" si="15"/>
        <v>26.662740697120796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3">
        <f t="shared" si="19"/>
        <v>0.41379310344827586</v>
      </c>
      <c r="AY19" s="769">
        <f t="shared" si="20"/>
        <v>26.419000962171062</v>
      </c>
      <c r="AZ19" s="746">
        <f t="shared" si="26"/>
        <v>26.540870829645929</v>
      </c>
      <c r="BA19" s="643">
        <f t="shared" si="21"/>
        <v>1.0179718250670069</v>
      </c>
      <c r="BC19" s="11">
        <v>43105</v>
      </c>
      <c r="BD19" s="290">
        <f>[3]!FeuilCaduc*(1-Persistant)+Persistant</f>
        <v>0.60339891408843827</v>
      </c>
      <c r="BE19" s="291">
        <f>[3]!CroissVégét</f>
        <v>2.5118354313997834E-4</v>
      </c>
      <c r="BF19" s="816">
        <f>1+[3]!Salcycl*Ksac</f>
        <v>1.0004248642610547</v>
      </c>
      <c r="BH19" s="1053">
        <f t="shared" si="22"/>
        <v>2.4210063282542041E-3</v>
      </c>
      <c r="BI19" s="11">
        <v>44201</v>
      </c>
      <c r="BJ19" s="726">
        <v>5.1634382728210442E-4</v>
      </c>
      <c r="BK19" s="726">
        <v>9.4595965802720923E-4</v>
      </c>
      <c r="BL19" s="726">
        <v>1.5375450793655059E-3</v>
      </c>
      <c r="BM19" s="726">
        <v>2.4233188081725179E-3</v>
      </c>
      <c r="BN19" s="726">
        <v>3.6717494853429722E-3</v>
      </c>
      <c r="BO19" s="727">
        <v>5.6716779234403658E-3</v>
      </c>
      <c r="BP19" s="726">
        <v>8.2052982770676151E-3</v>
      </c>
      <c r="BQ19" s="726">
        <v>1.1241731613131174E-2</v>
      </c>
      <c r="BR19" s="726">
        <v>1.4557656484305535E-2</v>
      </c>
      <c r="BS19" s="726">
        <v>1.8706580193032084E-2</v>
      </c>
      <c r="BT19" s="726">
        <v>2.3580117181366031E-2</v>
      </c>
      <c r="BW19" s="1186">
        <f>'2018'!R\Max</f>
        <v>0</v>
      </c>
      <c r="BX19" s="1184">
        <f>'2019'!R\Max</f>
        <v>1.0179718250670069</v>
      </c>
      <c r="BY19" s="1184">
        <f>'2020'!R\Max</f>
        <v>0.54454730801095907</v>
      </c>
      <c r="BZ19" s="1184">
        <f>'2021'!R\Max</f>
        <v>0.12840103590828195</v>
      </c>
      <c r="CA19" s="1184">
        <f>'2022'!R\Max</f>
        <v>0.60103544161242772</v>
      </c>
      <c r="CB19" s="1184">
        <f>'2023'!R\Max</f>
        <v>0.6009911281546283</v>
      </c>
      <c r="CC19" s="1184">
        <f>'2024'!R\Max</f>
        <v>0.60094676330870089</v>
      </c>
      <c r="CD19" s="1184">
        <f>'2025'!R\Max</f>
        <v>0.60089363124247963</v>
      </c>
      <c r="CE19" s="1184">
        <f>'2026'!R\Max</f>
        <v>0.60112834226184009</v>
      </c>
      <c r="CF19" s="1185">
        <f>'2027'!R\Max</f>
        <v>0.60110648982271864</v>
      </c>
    </row>
    <row r="20" spans="1:84" s="6" customFormat="1" ht="11.25" x14ac:dyDescent="0.2">
      <c r="A20" s="11">
        <v>43106</v>
      </c>
      <c r="B20" s="380">
        <f>'2022'!Maxi_hp</f>
        <v>26.739364860323523</v>
      </c>
      <c r="C20" s="13">
        <f>'2022'!An_max</f>
        <v>2020</v>
      </c>
      <c r="D20" s="1062">
        <f t="shared" si="7"/>
        <v>0.99857582726667371</v>
      </c>
      <c r="E20" s="1057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3">
        <f t="shared" si="9"/>
        <v>0.8666666666666667</v>
      </c>
      <c r="J20" s="746">
        <f t="shared" si="27"/>
        <v>26.777500646611053</v>
      </c>
      <c r="L20" s="755" t="s">
        <v>215</v>
      </c>
      <c r="M20" s="783">
        <f>N13</f>
        <v>272.01400000000001</v>
      </c>
      <c r="N20" s="743">
        <f t="shared" ref="N20:AN20" si="31">O13</f>
        <v>308.34800000000001</v>
      </c>
      <c r="O20" s="743">
        <f t="shared" si="31"/>
        <v>355.48399999999998</v>
      </c>
      <c r="P20" s="743">
        <f t="shared" si="31"/>
        <v>403.60199999999998</v>
      </c>
      <c r="Q20" s="743">
        <f t="shared" si="31"/>
        <v>454.666</v>
      </c>
      <c r="R20" s="743">
        <f t="shared" si="31"/>
        <v>505.73</v>
      </c>
      <c r="S20" s="743">
        <f t="shared" si="31"/>
        <v>554.83000000000004</v>
      </c>
      <c r="T20" s="743">
        <f t="shared" si="31"/>
        <v>592.14599999999996</v>
      </c>
      <c r="U20" s="743">
        <f t="shared" si="31"/>
        <v>616.69600000000003</v>
      </c>
      <c r="V20" s="743">
        <f t="shared" si="31"/>
        <v>631.42600000000004</v>
      </c>
      <c r="W20" s="743">
        <f t="shared" si="31"/>
        <v>637.31799999999998</v>
      </c>
      <c r="X20" s="743">
        <f t="shared" si="31"/>
        <v>636.33600000000001</v>
      </c>
      <c r="Y20" s="743">
        <f t="shared" si="31"/>
        <v>627.49799999999993</v>
      </c>
      <c r="Z20" s="743">
        <f t="shared" si="31"/>
        <v>614.73199999999997</v>
      </c>
      <c r="AA20" s="743">
        <f t="shared" si="31"/>
        <v>598.03800000000001</v>
      </c>
      <c r="AB20" s="743">
        <f t="shared" si="31"/>
        <v>578.39800000000002</v>
      </c>
      <c r="AC20" s="743">
        <f t="shared" si="31"/>
        <v>555.81200000000001</v>
      </c>
      <c r="AD20" s="743">
        <f t="shared" si="31"/>
        <v>529.298</v>
      </c>
      <c r="AE20" s="743">
        <f t="shared" si="31"/>
        <v>491</v>
      </c>
      <c r="AF20" s="743">
        <f t="shared" si="31"/>
        <v>444.846</v>
      </c>
      <c r="AG20" s="743">
        <f t="shared" si="31"/>
        <v>398.69200000000001</v>
      </c>
      <c r="AH20" s="743">
        <f t="shared" si="31"/>
        <v>352.53800000000001</v>
      </c>
      <c r="AI20" s="743">
        <f t="shared" si="31"/>
        <v>310.31200000000001</v>
      </c>
      <c r="AJ20" s="743">
        <f t="shared" si="31"/>
        <v>275.94200000000001</v>
      </c>
      <c r="AK20" s="743">
        <f t="shared" si="31"/>
        <v>250.41</v>
      </c>
      <c r="AL20" s="778">
        <f t="shared" si="31"/>
        <v>247.464</v>
      </c>
      <c r="AM20" s="776">
        <f t="shared" si="31"/>
        <v>272.01400000000001</v>
      </c>
      <c r="AN20" s="776">
        <f t="shared" si="31"/>
        <v>308.34800000000001</v>
      </c>
      <c r="AO20" s="1055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3">
        <f t="shared" si="14"/>
        <v>0.93103448275862066</v>
      </c>
      <c r="AT20" s="769">
        <f>((1-AS20)*(INDEX(a.lg,AP20)*$A20*$A20+INDEX(b.lg,AP20)*$A20+INDEX(c.lg,AP20))+AS20*(INDEX(a.lg,AQ20)*$A20*$A20+INDEX(b.lg,AQ20)*$A20+INDEX(c.lg,AQ20)))/10</f>
        <v>26.83633011070819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3">
        <f t="shared" si="19"/>
        <v>0.44827586206896552</v>
      </c>
      <c r="AY20" s="769">
        <f t="shared" si="20"/>
        <v>26.635169492790407</v>
      </c>
      <c r="AZ20" s="746">
        <f t="shared" si="26"/>
        <v>26.7357498017493</v>
      </c>
      <c r="BA20" s="643">
        <f t="shared" si="21"/>
        <v>0.99857582726667371</v>
      </c>
      <c r="BC20" s="11">
        <v>43106</v>
      </c>
      <c r="BD20" s="290">
        <f>[3]!FeuilCaduc*(1-Persistant)+Persistant</f>
        <v>0.6031406226112801</v>
      </c>
      <c r="BE20" s="291">
        <f>[3]!CroissVégét</f>
        <v>3.2001713664140156E-4</v>
      </c>
      <c r="BF20" s="816">
        <f>1+[3]!Salcycl*Ksac</f>
        <v>1.00039257782641</v>
      </c>
      <c r="BH20" s="1053">
        <f t="shared" si="22"/>
        <v>2.416119162643544E-3</v>
      </c>
      <c r="BI20" s="11">
        <v>44202</v>
      </c>
      <c r="BJ20" s="726">
        <v>5.1588321303286909E-4</v>
      </c>
      <c r="BK20" s="726">
        <v>9.4224433393682574E-4</v>
      </c>
      <c r="BL20" s="726">
        <v>1.5332067639555632E-3</v>
      </c>
      <c r="BM20" s="726">
        <v>2.4184302059339709E-3</v>
      </c>
      <c r="BN20" s="726">
        <v>3.6669327370172536E-3</v>
      </c>
      <c r="BO20" s="727">
        <v>5.6636628341579127E-3</v>
      </c>
      <c r="BP20" s="726">
        <v>8.1945890392431317E-3</v>
      </c>
      <c r="BQ20" s="726">
        <v>1.1231486972610727E-2</v>
      </c>
      <c r="BR20" s="726">
        <v>1.454730154976103E-2</v>
      </c>
      <c r="BS20" s="726">
        <v>1.8692481969591848E-2</v>
      </c>
      <c r="BT20" s="726">
        <v>2.3558150862945534E-2</v>
      </c>
      <c r="BW20" s="1186">
        <f>'2018'!R\Max</f>
        <v>0</v>
      </c>
      <c r="BX20" s="1184">
        <f>'2019'!R\Max</f>
        <v>0.17648679125961181</v>
      </c>
      <c r="BY20" s="1184">
        <f>'2020'!R\Max</f>
        <v>0.99857582726667371</v>
      </c>
      <c r="BZ20" s="1184">
        <f>'2021'!R\Max</f>
        <v>0.27715316867781475</v>
      </c>
      <c r="CA20" s="1184">
        <f>'2022'!R\Max</f>
        <v>0.86015445761813725</v>
      </c>
      <c r="CB20" s="1184">
        <f>'2023'!R\Max</f>
        <v>0.86013243271160766</v>
      </c>
      <c r="CC20" s="1184">
        <f>'2024'!R\Max</f>
        <v>0.86011038046720423</v>
      </c>
      <c r="CD20" s="1184">
        <f>'2025'!R\Max</f>
        <v>0.8600839352749905</v>
      </c>
      <c r="CE20" s="1184">
        <f>'2026'!R\Max</f>
        <v>0.86020061898819433</v>
      </c>
      <c r="CF20" s="1185">
        <f>'2027'!R\Max</f>
        <v>0.86018974811895965</v>
      </c>
    </row>
    <row r="21" spans="1:84" s="6" customFormat="1" ht="11.25" x14ac:dyDescent="0.2">
      <c r="A21" s="11">
        <v>43107</v>
      </c>
      <c r="B21" s="380">
        <f>'2022'!Maxi_hp</f>
        <v>14.932480243717823</v>
      </c>
      <c r="C21" s="13">
        <f>'2022'!An_max</f>
        <v>2021</v>
      </c>
      <c r="D21" s="1062" t="str">
        <f t="shared" si="7"/>
        <v/>
      </c>
      <c r="E21" s="1057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3">
        <f t="shared" si="9"/>
        <v>0.93333333333333335</v>
      </c>
      <c r="J21" s="746">
        <f t="shared" si="27"/>
        <v>26.988595708608624</v>
      </c>
      <c r="L21" s="756" t="s">
        <v>216</v>
      </c>
      <c r="M21" s="740">
        <f>x.1m*x.1m-x.2m*x.2m</f>
        <v>-1206408</v>
      </c>
      <c r="N21" s="740">
        <f t="shared" ref="N21:AM21" si="32">x.1m*x.1m-x.2m*x.2m</f>
        <v>-1293015</v>
      </c>
      <c r="O21" s="740">
        <f t="shared" si="32"/>
        <v>-1207220</v>
      </c>
      <c r="P21" s="740">
        <f t="shared" si="32"/>
        <v>-1207612</v>
      </c>
      <c r="Q21" s="740">
        <f t="shared" si="32"/>
        <v>-1208004</v>
      </c>
      <c r="R21" s="740">
        <f t="shared" si="32"/>
        <v>-1208396</v>
      </c>
      <c r="S21" s="740">
        <f t="shared" si="32"/>
        <v>-1208788</v>
      </c>
      <c r="T21" s="740">
        <f t="shared" si="32"/>
        <v>-1209180</v>
      </c>
      <c r="U21" s="740">
        <f t="shared" si="32"/>
        <v>-1209572</v>
      </c>
      <c r="V21" s="740">
        <f t="shared" si="32"/>
        <v>-1209964</v>
      </c>
      <c r="W21" s="740">
        <f t="shared" si="32"/>
        <v>-1210356</v>
      </c>
      <c r="X21" s="740">
        <f t="shared" si="32"/>
        <v>-1210748</v>
      </c>
      <c r="Y21" s="740">
        <f t="shared" si="32"/>
        <v>-1211140</v>
      </c>
      <c r="Z21" s="740">
        <f t="shared" si="32"/>
        <v>-1211532</v>
      </c>
      <c r="AA21" s="740">
        <f t="shared" si="32"/>
        <v>-1211924</v>
      </c>
      <c r="AB21" s="740">
        <f t="shared" si="32"/>
        <v>-1212316</v>
      </c>
      <c r="AC21" s="740">
        <f t="shared" si="32"/>
        <v>-1212708</v>
      </c>
      <c r="AD21" s="740">
        <f t="shared" si="32"/>
        <v>-1213100</v>
      </c>
      <c r="AE21" s="740">
        <f t="shared" si="32"/>
        <v>-1213492</v>
      </c>
      <c r="AF21" s="740">
        <f t="shared" si="32"/>
        <v>-1213884</v>
      </c>
      <c r="AG21" s="740">
        <f t="shared" si="32"/>
        <v>-1214276</v>
      </c>
      <c r="AH21" s="740">
        <f t="shared" si="32"/>
        <v>-1214668</v>
      </c>
      <c r="AI21" s="740">
        <f t="shared" si="32"/>
        <v>-1215060</v>
      </c>
      <c r="AJ21" s="740">
        <f t="shared" si="32"/>
        <v>-1215452</v>
      </c>
      <c r="AK21" s="740">
        <f t="shared" si="32"/>
        <v>-1215844</v>
      </c>
      <c r="AL21" s="740">
        <f t="shared" si="32"/>
        <v>-1216236</v>
      </c>
      <c r="AM21" s="740">
        <f t="shared" si="32"/>
        <v>-1216628</v>
      </c>
      <c r="AN21" s="740">
        <f>x.1m*x.1m-x.2m*x.2m</f>
        <v>-1303965</v>
      </c>
      <c r="AO21" s="1055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3">
        <f t="shared" si="14"/>
        <v>0.96551724137931039</v>
      </c>
      <c r="AT21" s="769">
        <f t="shared" si="15"/>
        <v>27.015961643128559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3">
        <f t="shared" si="19"/>
        <v>0.48275862068965519</v>
      </c>
      <c r="AY21" s="769">
        <f t="shared" si="20"/>
        <v>26.860078335322179</v>
      </c>
      <c r="AZ21" s="746">
        <f t="shared" si="26"/>
        <v>26.938019989225367</v>
      </c>
      <c r="BA21" s="643">
        <f t="shared" si="21"/>
        <v>0.55328852249080784</v>
      </c>
      <c r="BC21" s="11">
        <v>43107</v>
      </c>
      <c r="BD21" s="290">
        <f>[3]!FeuilCaduc*(1-Persistant)+Persistant</f>
        <v>0.60289426432719972</v>
      </c>
      <c r="BE21" s="291">
        <f>[3]!CroissVégét</f>
        <v>3.9172835876776901E-4</v>
      </c>
      <c r="BF21" s="816">
        <f>1+[3]!Salcycl*Ksac</f>
        <v>1.0003617830409</v>
      </c>
      <c r="BH21" s="1053">
        <f t="shared" si="22"/>
        <v>2.4086664794527105E-3</v>
      </c>
      <c r="BI21" s="11">
        <v>44203</v>
      </c>
      <c r="BJ21" s="726">
        <v>5.1546252804782167E-4</v>
      </c>
      <c r="BK21" s="726">
        <v>9.3763410112663085E-4</v>
      </c>
      <c r="BL21" s="726">
        <v>1.5272557091380843E-3</v>
      </c>
      <c r="BM21" s="726">
        <v>2.4109735921967069E-3</v>
      </c>
      <c r="BN21" s="726">
        <v>3.6585266690492388E-3</v>
      </c>
      <c r="BO21" s="727">
        <v>5.6509913998590133E-3</v>
      </c>
      <c r="BP21" s="726">
        <v>8.1787249696166076E-3</v>
      </c>
      <c r="BQ21" s="726">
        <v>1.1216956004860655E-2</v>
      </c>
      <c r="BR21" s="726">
        <v>1.4534737647375954E-2</v>
      </c>
      <c r="BS21" s="726">
        <v>1.8677397221963595E-2</v>
      </c>
      <c r="BT21" s="726">
        <v>2.3534433473614547E-2</v>
      </c>
      <c r="BW21" s="1186">
        <f>'2018'!R\Max</f>
        <v>0</v>
      </c>
      <c r="BX21" s="1184">
        <f>'2019'!R\Max</f>
        <v>0.10553907647971467</v>
      </c>
      <c r="BY21" s="1184">
        <f>'2020'!R\Max</f>
        <v>0.27399451491949961</v>
      </c>
      <c r="BZ21" s="1184">
        <f>'2021'!R\Max</f>
        <v>0.55328852249080784</v>
      </c>
      <c r="CA21" s="1184">
        <f>'2022'!R\Max</f>
        <v>0.43638764093172078</v>
      </c>
      <c r="CB21" s="1184">
        <f>'2023'!R\Max</f>
        <v>0.43634303664290619</v>
      </c>
      <c r="CC21" s="1184">
        <f>'2024'!R\Max</f>
        <v>0.43629838447232377</v>
      </c>
      <c r="CD21" s="1184">
        <f>'2025'!R\Max</f>
        <v>0.43624475505007004</v>
      </c>
      <c r="CE21" s="1184">
        <f>'2026'!R\Max</f>
        <v>0.43648109825795967</v>
      </c>
      <c r="CF21" s="1185">
        <f>'2027'!R\Max</f>
        <v>0.43645906400587159</v>
      </c>
    </row>
    <row r="22" spans="1:84" s="6" customFormat="1" ht="11.25" x14ac:dyDescent="0.2">
      <c r="A22" s="11">
        <v>43108</v>
      </c>
      <c r="B22" s="380">
        <f>'2022'!Maxi_hp</f>
        <v>20.323342747491672</v>
      </c>
      <c r="C22" s="13">
        <f>'2022'!An_max</f>
        <v>2021</v>
      </c>
      <c r="D22" s="1062" t="str">
        <f t="shared" si="7"/>
        <v/>
      </c>
      <c r="E22" s="1057">
        <f>N$13/10</f>
        <v>27.2014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3">
        <f t="shared" si="9"/>
        <v>1</v>
      </c>
      <c r="J22" s="746">
        <f t="shared" si="27"/>
        <v>27.20139999985695</v>
      </c>
      <c r="L22" s="756" t="s">
        <v>217</v>
      </c>
      <c r="M22" s="740">
        <f t="shared" ref="M22:AM22" si="33">x.2m*x.2m-x.3m*x.3m</f>
        <v>-1293015</v>
      </c>
      <c r="N22" s="740">
        <f>x.2m*x.2m-x.3m*x.3m</f>
        <v>-1207220</v>
      </c>
      <c r="O22" s="740">
        <f t="shared" si="33"/>
        <v>-1207612</v>
      </c>
      <c r="P22" s="740">
        <f t="shared" si="33"/>
        <v>-1208004</v>
      </c>
      <c r="Q22" s="740">
        <f t="shared" si="33"/>
        <v>-1208396</v>
      </c>
      <c r="R22" s="740">
        <f t="shared" si="33"/>
        <v>-1208788</v>
      </c>
      <c r="S22" s="740">
        <f t="shared" si="33"/>
        <v>-1209180</v>
      </c>
      <c r="T22" s="740">
        <f t="shared" si="33"/>
        <v>-1209572</v>
      </c>
      <c r="U22" s="740">
        <f t="shared" si="33"/>
        <v>-1209964</v>
      </c>
      <c r="V22" s="740">
        <f t="shared" si="33"/>
        <v>-1210356</v>
      </c>
      <c r="W22" s="740">
        <f t="shared" si="33"/>
        <v>-1210748</v>
      </c>
      <c r="X22" s="740">
        <f t="shared" si="33"/>
        <v>-1211140</v>
      </c>
      <c r="Y22" s="740">
        <f t="shared" si="33"/>
        <v>-1211532</v>
      </c>
      <c r="Z22" s="740">
        <f t="shared" si="33"/>
        <v>-1211924</v>
      </c>
      <c r="AA22" s="740">
        <f t="shared" si="33"/>
        <v>-1212316</v>
      </c>
      <c r="AB22" s="740">
        <f t="shared" si="33"/>
        <v>-1212708</v>
      </c>
      <c r="AC22" s="740">
        <f t="shared" si="33"/>
        <v>-1213100</v>
      </c>
      <c r="AD22" s="740">
        <f t="shared" si="33"/>
        <v>-1213492</v>
      </c>
      <c r="AE22" s="740">
        <f t="shared" si="33"/>
        <v>-1213884</v>
      </c>
      <c r="AF22" s="740">
        <f t="shared" si="33"/>
        <v>-1214276</v>
      </c>
      <c r="AG22" s="740">
        <f t="shared" si="33"/>
        <v>-1214668</v>
      </c>
      <c r="AH22" s="740">
        <f t="shared" si="33"/>
        <v>-1215060</v>
      </c>
      <c r="AI22" s="740">
        <f t="shared" si="33"/>
        <v>-1215452</v>
      </c>
      <c r="AJ22" s="740">
        <f t="shared" si="33"/>
        <v>-1215844</v>
      </c>
      <c r="AK22" s="740">
        <f t="shared" si="33"/>
        <v>-1216236</v>
      </c>
      <c r="AL22" s="740">
        <f t="shared" si="33"/>
        <v>-1216628</v>
      </c>
      <c r="AM22" s="740">
        <f t="shared" si="33"/>
        <v>-1303965</v>
      </c>
      <c r="AN22" s="740">
        <f>x.2m*x.2m-x.3m*x.3m</f>
        <v>-1217440</v>
      </c>
      <c r="AO22" s="1055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3">
        <f t="shared" si="14"/>
        <v>1</v>
      </c>
      <c r="AT22" s="769">
        <f t="shared" si="15"/>
        <v>27.201400002837183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3">
        <f t="shared" si="19"/>
        <v>0.51724137931034486</v>
      </c>
      <c r="AY22" s="769">
        <f t="shared" si="20"/>
        <v>27.093069034686373</v>
      </c>
      <c r="AZ22" s="746">
        <f t="shared" si="26"/>
        <v>27.147234518761778</v>
      </c>
      <c r="BA22" s="643">
        <f t="shared" si="21"/>
        <v>0.7471432627584812</v>
      </c>
      <c r="BC22" s="11">
        <v>43108</v>
      </c>
      <c r="BD22" s="290">
        <f>[3]!FeuilCaduc*(1-Persistant)+Persistant</f>
        <v>0.60265887878487523</v>
      </c>
      <c r="BE22" s="291">
        <f>[3]!CroissVégét</f>
        <v>4.664370707620742E-4</v>
      </c>
      <c r="BF22" s="816">
        <f>1+[3]!Salcycl*Ksac</f>
        <v>1.0003323598481093</v>
      </c>
      <c r="BH22" s="1053">
        <f t="shared" si="22"/>
        <v>2.3986386483878142E-3</v>
      </c>
      <c r="BI22" s="11">
        <v>44204</v>
      </c>
      <c r="BJ22" s="726">
        <v>5.1508053075740082E-4</v>
      </c>
      <c r="BK22" s="726">
        <v>9.3212538675134342E-4</v>
      </c>
      <c r="BL22" s="726">
        <v>1.5196858487748831E-3</v>
      </c>
      <c r="BM22" s="726">
        <v>2.4009393273375784E-3</v>
      </c>
      <c r="BN22" s="726">
        <v>3.6465170437309739E-3</v>
      </c>
      <c r="BO22" s="727">
        <v>5.6336428879138027E-3</v>
      </c>
      <c r="BP22" s="726">
        <v>8.1576782770466476E-3</v>
      </c>
      <c r="BQ22" s="726">
        <v>1.1198104439455996E-2</v>
      </c>
      <c r="BR22" s="726">
        <v>1.451992503053082E-2</v>
      </c>
      <c r="BS22" s="726">
        <v>1.8661277494969573E-2</v>
      </c>
      <c r="BT22" s="726">
        <v>2.3508903311749634E-2</v>
      </c>
      <c r="BW22" s="1186">
        <f>'2018'!R\Max</f>
        <v>0</v>
      </c>
      <c r="BX22" s="1184">
        <f>'2019'!R\Max</f>
        <v>0.16396355509438559</v>
      </c>
      <c r="BY22" s="1184">
        <f>'2020'!R\Max</f>
        <v>0.48536723189441539</v>
      </c>
      <c r="BZ22" s="1184">
        <f>'2021'!R\Max</f>
        <v>0.7471432627584812</v>
      </c>
      <c r="CA22" s="1184">
        <f>'2022'!R\Max</f>
        <v>0.30374256016128504</v>
      </c>
      <c r="CB22" s="1184">
        <f>'2023'!R\Max</f>
        <v>0.30370457829084169</v>
      </c>
      <c r="CC22" s="1184">
        <f>'2024'!R\Max</f>
        <v>0.30366655790668423</v>
      </c>
      <c r="CD22" s="1184">
        <f>'2025'!R\Max</f>
        <v>0.30362079588090629</v>
      </c>
      <c r="CE22" s="1184">
        <f>'2026'!R\Max</f>
        <v>0.30382207247203907</v>
      </c>
      <c r="CF22" s="1185">
        <f>'2027'!R\Max</f>
        <v>0.30380331000741501</v>
      </c>
    </row>
    <row r="23" spans="1:84" s="6" customFormat="1" ht="11.25" x14ac:dyDescent="0.2">
      <c r="A23" s="11">
        <v>43109</v>
      </c>
      <c r="B23" s="380">
        <f>'2022'!Maxi_hp</f>
        <v>26.033603222307448</v>
      </c>
      <c r="C23" s="13">
        <f>'2022'!An_max</f>
        <v>2020</v>
      </c>
      <c r="D23" s="1062" t="str">
        <f t="shared" si="7"/>
        <v/>
      </c>
      <c r="E23" s="1057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3">
        <f t="shared" si="9"/>
        <v>0.9285714285714286</v>
      </c>
      <c r="J23" s="746">
        <f t="shared" si="27"/>
        <v>27.418466680869461</v>
      </c>
      <c r="L23" s="756" t="s">
        <v>218</v>
      </c>
      <c r="M23" s="740">
        <f t="shared" ref="M23:AM23" si="34">(y.1m-y.2m-b.m*(x.1m-x.2m))/D2x12</f>
        <v>6.3692939244642907E-2</v>
      </c>
      <c r="N23" s="740">
        <f>(y.1m-y.2m-b.m*(x.1m-x.2m))/D2x12</f>
        <v>3.3055829228233219E-2</v>
      </c>
      <c r="O23" s="740">
        <f t="shared" si="34"/>
        <v>2.7556122448981684E-2</v>
      </c>
      <c r="P23" s="740">
        <f t="shared" si="34"/>
        <v>2.5051020408170029E-3</v>
      </c>
      <c r="Q23" s="740">
        <f t="shared" si="34"/>
        <v>7.5153061224501015E-3</v>
      </c>
      <c r="R23" s="740">
        <f t="shared" si="34"/>
        <v>8.2732285543353424E-18</v>
      </c>
      <c r="S23" s="740">
        <f t="shared" si="34"/>
        <v>-5.0102040816319051E-3</v>
      </c>
      <c r="T23" s="740">
        <f t="shared" si="34"/>
        <v>-3.006122448979703E-2</v>
      </c>
      <c r="U23" s="740">
        <f t="shared" si="34"/>
        <v>-3.2566326530610458E-2</v>
      </c>
      <c r="V23" s="740">
        <f t="shared" si="34"/>
        <v>-2.5051020408166872E-2</v>
      </c>
      <c r="W23" s="740">
        <f t="shared" si="34"/>
        <v>-2.2545918367346412E-2</v>
      </c>
      <c r="X23" s="740">
        <f t="shared" si="34"/>
        <v>-1.7535714285710335E-2</v>
      </c>
      <c r="Y23" s="740">
        <f t="shared" si="34"/>
        <v>-2.0040816326535042E-2</v>
      </c>
      <c r="Z23" s="740">
        <f t="shared" si="34"/>
        <v>-1.0020408163265418E-2</v>
      </c>
      <c r="AA23" s="740">
        <f t="shared" si="34"/>
        <v>-1.0020408163262672E-2</v>
      </c>
      <c r="AB23" s="740">
        <f t="shared" si="34"/>
        <v>-7.5153061224491301E-3</v>
      </c>
      <c r="AC23" s="740">
        <f t="shared" si="34"/>
        <v>-7.5153061224473693E-3</v>
      </c>
      <c r="AD23" s="740">
        <f t="shared" si="34"/>
        <v>-1.0020408163268048E-2</v>
      </c>
      <c r="AE23" s="740">
        <f t="shared" si="34"/>
        <v>-3.0061224489803612E-2</v>
      </c>
      <c r="AF23" s="740">
        <f t="shared" si="34"/>
        <v>-2.0040816326532852E-2</v>
      </c>
      <c r="AG23" s="740">
        <f t="shared" si="34"/>
        <v>-5.3834492067642953E-18</v>
      </c>
      <c r="AH23" s="740">
        <f t="shared" si="34"/>
        <v>9.359498868959751E-20</v>
      </c>
      <c r="AI23" s="740">
        <f t="shared" si="34"/>
        <v>1.0020408163263781E-2</v>
      </c>
      <c r="AJ23" s="740">
        <f t="shared" si="34"/>
        <v>2.0040816326531763E-2</v>
      </c>
      <c r="AK23" s="740">
        <f t="shared" si="34"/>
        <v>2.2545918367342641E-2</v>
      </c>
      <c r="AL23" s="740">
        <f t="shared" si="34"/>
        <v>5.7617346938757093E-2</v>
      </c>
      <c r="AM23" s="740">
        <f t="shared" si="34"/>
        <v>6.369293924466686E-2</v>
      </c>
      <c r="AN23" s="740">
        <f>(y.1m-y.2m-b.m*(x.1m-x.2m))/D2x12</f>
        <v>3.3055829228244418E-2</v>
      </c>
      <c r="AO23" s="1055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3">
        <f t="shared" si="14"/>
        <v>0.9642857142857143</v>
      </c>
      <c r="AT23" s="769">
        <f t="shared" si="15"/>
        <v>27.396402969823349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3">
        <f t="shared" si="19"/>
        <v>0.55172413793103448</v>
      </c>
      <c r="AY23" s="769">
        <f t="shared" si="20"/>
        <v>27.333483139451211</v>
      </c>
      <c r="AZ23" s="746">
        <f t="shared" si="26"/>
        <v>27.36494305463728</v>
      </c>
      <c r="BA23" s="643">
        <f t="shared" si="21"/>
        <v>0.94949157899014591</v>
      </c>
      <c r="BC23" s="11">
        <v>43109</v>
      </c>
      <c r="BD23" s="290">
        <f>[3]!FeuilCaduc*(1-Persistant)+Persistant</f>
        <v>0.60243370588267942</v>
      </c>
      <c r="BE23" s="291">
        <f>[3]!CroissVégét</f>
        <v>5.4426808883230738E-4</v>
      </c>
      <c r="BF23" s="816">
        <f>1+[3]!Salcycl*Ksac</f>
        <v>1.000304213235335</v>
      </c>
      <c r="BH23" s="1053">
        <f t="shared" si="22"/>
        <v>2.3860262428220137E-3</v>
      </c>
      <c r="BI23" s="11">
        <v>44205</v>
      </c>
      <c r="BJ23" s="726">
        <v>5.1473598442569937E-4</v>
      </c>
      <c r="BK23" s="726">
        <v>9.2571470985947785E-4</v>
      </c>
      <c r="BL23" s="726">
        <v>1.5104912576642819E-3</v>
      </c>
      <c r="BM23" s="726">
        <v>2.3883179755646838E-3</v>
      </c>
      <c r="BN23" s="726">
        <v>3.6308898891307256E-3</v>
      </c>
      <c r="BO23" s="727">
        <v>5.6115969325868757E-3</v>
      </c>
      <c r="BP23" s="726">
        <v>8.1314216040894519E-3</v>
      </c>
      <c r="BQ23" s="726">
        <v>1.1174898400623868E-2</v>
      </c>
      <c r="BR23" s="726">
        <v>1.4502824247987862E-2</v>
      </c>
      <c r="BS23" s="726">
        <v>1.8644074617851971E-2</v>
      </c>
      <c r="BT23" s="726">
        <v>2.3481499105046131E-2</v>
      </c>
      <c r="BW23" s="1186">
        <f>'2018'!R\Max</f>
        <v>0</v>
      </c>
      <c r="BX23" s="1184">
        <f>'2019'!R\Max</f>
        <v>0.43382453258493081</v>
      </c>
      <c r="BY23" s="1184">
        <f>'2020'!R\Max</f>
        <v>0.94949157899014591</v>
      </c>
      <c r="BZ23" s="1184">
        <f>'2021'!R\Max</f>
        <v>0.23986970058724583</v>
      </c>
      <c r="CA23" s="1184">
        <f>'2022'!R\Max</f>
        <v>8.8953846335015394E-2</v>
      </c>
      <c r="CB23" s="1184">
        <f>'2023'!R\Max</f>
        <v>8.8942772779861928E-2</v>
      </c>
      <c r="CC23" s="1184">
        <f>'2024'!R\Max</f>
        <v>8.8931688131161632E-2</v>
      </c>
      <c r="CD23" s="1184">
        <f>'2025'!R\Max</f>
        <v>8.8918310725262364E-2</v>
      </c>
      <c r="CE23" s="1184">
        <f>'2026'!R\Max</f>
        <v>8.8976996529951474E-2</v>
      </c>
      <c r="CF23" s="1185">
        <f>'2027'!R\Max</f>
        <v>8.8971530485705441E-2</v>
      </c>
    </row>
    <row r="24" spans="1:84" s="6" customFormat="1" ht="11.25" x14ac:dyDescent="0.2">
      <c r="A24" s="11">
        <v>43110</v>
      </c>
      <c r="B24" s="380">
        <f>'2022'!Maxi_hp</f>
        <v>13.230713123965954</v>
      </c>
      <c r="C24" s="13">
        <f>'2022'!An_max</f>
        <v>2019</v>
      </c>
      <c r="D24" s="1062" t="str">
        <f t="shared" si="7"/>
        <v/>
      </c>
      <c r="E24" s="1057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3">
        <f t="shared" si="9"/>
        <v>0.8571428571428571</v>
      </c>
      <c r="J24" s="746">
        <f t="shared" si="27"/>
        <v>27.643008766429766</v>
      </c>
      <c r="L24" s="756" t="s">
        <v>219</v>
      </c>
      <c r="M24" s="740">
        <f t="shared" ref="M24:AM24" si="35">(y.2m-y.3m-(y.1m-y.2m)*D2x23/D2x12)/(x.2m-x.3m)/(1-(x.2m+x.3m)/(x.1m+x.2m))</f>
        <v>-5488.7583891607965</v>
      </c>
      <c r="N24" s="740">
        <f>(y.2m-y.3m-(y.1m-y.2m)*D2x23/D2x12)/(x.2m-x.3m)/(1-(x.2m+x.3m)/(x.1m+x.2m))</f>
        <v>-2847.8088686362644</v>
      </c>
      <c r="O24" s="740">
        <f t="shared" si="35"/>
        <v>-2373.5691530614049</v>
      </c>
      <c r="P24" s="740">
        <f t="shared" si="35"/>
        <v>-212.7182346939359</v>
      </c>
      <c r="Q24" s="740">
        <f t="shared" si="35"/>
        <v>-645.02870408172942</v>
      </c>
      <c r="R24" s="740">
        <f t="shared" si="35"/>
        <v>3.6474285714278589</v>
      </c>
      <c r="S24" s="740">
        <f t="shared" si="35"/>
        <v>436.23846938769054</v>
      </c>
      <c r="T24" s="740">
        <f t="shared" si="35"/>
        <v>2599.8951020409122</v>
      </c>
      <c r="U24" s="740">
        <f t="shared" si="35"/>
        <v>2816.3309081631105</v>
      </c>
      <c r="V24" s="740">
        <f t="shared" si="35"/>
        <v>2166.8130612248015</v>
      </c>
      <c r="W24" s="740">
        <f t="shared" si="35"/>
        <v>1950.2369693877095</v>
      </c>
      <c r="X24" s="740">
        <f t="shared" si="35"/>
        <v>1516.9444999996581</v>
      </c>
      <c r="Y24" s="740">
        <f t="shared" si="35"/>
        <v>1733.6608775514035</v>
      </c>
      <c r="Z24" s="740">
        <f t="shared" si="35"/>
        <v>866.51479591837699</v>
      </c>
      <c r="AA24" s="740">
        <f t="shared" si="35"/>
        <v>866.51479591813938</v>
      </c>
      <c r="AB24" s="740">
        <f t="shared" si="35"/>
        <v>649.58798979593143</v>
      </c>
      <c r="AC24" s="740">
        <f t="shared" si="35"/>
        <v>649.58798979577898</v>
      </c>
      <c r="AD24" s="740">
        <f t="shared" si="35"/>
        <v>866.65508163289076</v>
      </c>
      <c r="AE24" s="740">
        <f t="shared" si="35"/>
        <v>2603.7529591843404</v>
      </c>
      <c r="AF24" s="740">
        <f t="shared" si="35"/>
        <v>1734.9234489797861</v>
      </c>
      <c r="AG24" s="740">
        <f t="shared" si="35"/>
        <v>-3.2967142857138185</v>
      </c>
      <c r="AH24" s="740">
        <f t="shared" si="35"/>
        <v>-3.2967142857142937</v>
      </c>
      <c r="AI24" s="740">
        <f t="shared" si="35"/>
        <v>-872.96793877537789</v>
      </c>
      <c r="AJ24" s="740">
        <f t="shared" si="35"/>
        <v>-1742.9197346939773</v>
      </c>
      <c r="AK24" s="740">
        <f t="shared" si="35"/>
        <v>-1960.4778265302389</v>
      </c>
      <c r="AL24" s="740">
        <f t="shared" si="35"/>
        <v>-5007.2731122432979</v>
      </c>
      <c r="AM24" s="740">
        <f t="shared" si="35"/>
        <v>-5535.2542348114675</v>
      </c>
      <c r="AN24" s="740">
        <f>(y.2m-y.3m-(y.1m-y.2m)*D2x23/D2x12)/(x.2m-x.3m)/(1-(x.2m+x.3m)/(x.1m+x.2m))</f>
        <v>-2871.9396239738489</v>
      </c>
      <c r="AO24" s="1055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3">
        <f t="shared" si="14"/>
        <v>0.9285714285714286</v>
      </c>
      <c r="AT24" s="769">
        <f t="shared" si="15"/>
        <v>27.60446790994278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3">
        <f t="shared" si="19"/>
        <v>0.58620689655172409</v>
      </c>
      <c r="AY24" s="769">
        <f t="shared" si="20"/>
        <v>27.580662197080152</v>
      </c>
      <c r="AZ24" s="746">
        <f t="shared" si="26"/>
        <v>27.592565053511464</v>
      </c>
      <c r="BA24" s="643">
        <f t="shared" si="21"/>
        <v>0.47862782361208095</v>
      </c>
      <c r="BC24" s="11">
        <v>43110</v>
      </c>
      <c r="BD24" s="290">
        <f>[3]!FeuilCaduc*(1-Persistant)+Persistant</f>
        <v>0.60221817195725846</v>
      </c>
      <c r="BE24" s="291">
        <f>[3]!CroissVégét</f>
        <v>6.2535138577142317E-4</v>
      </c>
      <c r="BF24" s="816">
        <f>1+[3]!Salcycl*Ksac</f>
        <v>1.0002772714946573</v>
      </c>
      <c r="BH24" s="1053">
        <f t="shared" si="22"/>
        <v>2.3704664616209089E-3</v>
      </c>
      <c r="BI24" s="1055">
        <v>44206</v>
      </c>
      <c r="BJ24" s="726">
        <v>5.1423954889435141E-4</v>
      </c>
      <c r="BK24" s="726">
        <v>9.1895298341914094E-4</v>
      </c>
      <c r="BL24" s="726">
        <v>1.5001608343607141E-3</v>
      </c>
      <c r="BM24" s="726">
        <v>2.3727445064003106E-3</v>
      </c>
      <c r="BN24" s="726">
        <v>3.6093354306875958E-3</v>
      </c>
      <c r="BO24" s="727">
        <v>5.5804836498446579E-3</v>
      </c>
      <c r="BP24" s="726">
        <v>8.0931277882552183E-3</v>
      </c>
      <c r="BQ24" s="726">
        <v>1.1141497201004921E-2</v>
      </c>
      <c r="BR24" s="726">
        <v>1.4479278275642604E-2</v>
      </c>
      <c r="BS24" s="726">
        <v>1.8624623119333435E-2</v>
      </c>
      <c r="BT24" s="726">
        <v>2.3451794800076826E-2</v>
      </c>
      <c r="BW24" s="1186">
        <f>'2018'!R\Max</f>
        <v>0</v>
      </c>
      <c r="BX24" s="1184">
        <f>'2019'!R\Max</f>
        <v>0.47862782361208095</v>
      </c>
      <c r="BY24" s="1184">
        <f>'2020'!R\Max</f>
        <v>0.34425662228984061</v>
      </c>
      <c r="BZ24" s="1184">
        <f>'2021'!R\Max</f>
        <v>0.21043074751734622</v>
      </c>
      <c r="CA24" s="1184">
        <f>'2022'!R\Max</f>
        <v>6.8490525871064106E-2</v>
      </c>
      <c r="CB24" s="1184">
        <f>'2023'!R\Max</f>
        <v>6.8482096046299415E-2</v>
      </c>
      <c r="CC24" s="1184">
        <f>'2024'!R\Max</f>
        <v>6.8473657862532608E-2</v>
      </c>
      <c r="CD24" s="1184">
        <f>'2025'!R\Max</f>
        <v>6.846342882924876E-2</v>
      </c>
      <c r="CE24" s="1184">
        <f>'2026'!R\Max</f>
        <v>6.8508114272852846E-2</v>
      </c>
      <c r="CF24" s="1185">
        <f>'2027'!R\Max</f>
        <v>6.8503961443845338E-2</v>
      </c>
    </row>
    <row r="25" spans="1:84" s="6" customFormat="1" ht="11.25" x14ac:dyDescent="0.2">
      <c r="A25" s="11">
        <v>43111</v>
      </c>
      <c r="B25" s="380">
        <f>'2022'!Maxi_hp</f>
        <v>27.813177241518638</v>
      </c>
      <c r="C25" s="13">
        <f>'2022'!An_max</f>
        <v>2020</v>
      </c>
      <c r="D25" s="1062">
        <f t="shared" si="7"/>
        <v>0.99778964030270345</v>
      </c>
      <c r="E25" s="1057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3">
        <f t="shared" si="9"/>
        <v>0.7857142857142857</v>
      </c>
      <c r="J25" s="746">
        <f t="shared" si="27"/>
        <v>27.874790555132286</v>
      </c>
      <c r="L25" s="756" t="s">
        <v>220</v>
      </c>
      <c r="M25" s="740">
        <f t="shared" ref="M25:AM25" si="36">(y.1m+y.2m+y.3m-a.m*(x.3m*x.3m+x.2m*x.2m+x.1m*x.1m)-b.m*(x.3m+x.2m+x.1m))/3</f>
        <v>118249101.05645131</v>
      </c>
      <c r="N25" s="740">
        <f>(y.1m+y.2m+y.3m-a.m*(x.3m*x.3m+x.2m*x.2m+x.1m*x.1m)-b.m*(x.3m+x.2m+x.1m))/3</f>
        <v>61335980.375104912</v>
      </c>
      <c r="O25" s="740">
        <f t="shared" si="36"/>
        <v>51112557.976085521</v>
      </c>
      <c r="P25" s="740">
        <f t="shared" si="36"/>
        <v>4514889.5744502377</v>
      </c>
      <c r="Q25" s="740">
        <f t="shared" si="36"/>
        <v>13840474.619349025</v>
      </c>
      <c r="R25" s="740">
        <f t="shared" si="36"/>
        <v>-156982.94085712751</v>
      </c>
      <c r="S25" s="740">
        <f t="shared" si="36"/>
        <v>-9494676.6068965662</v>
      </c>
      <c r="T25" s="740">
        <f t="shared" si="36"/>
        <v>-56213431.219961233</v>
      </c>
      <c r="U25" s="740">
        <f t="shared" si="36"/>
        <v>-60888336.291547678</v>
      </c>
      <c r="V25" s="740">
        <f t="shared" si="36"/>
        <v>-46854529.299925096</v>
      </c>
      <c r="W25" s="740">
        <f t="shared" si="36"/>
        <v>-42173562.061754115</v>
      </c>
      <c r="X25" s="740">
        <f t="shared" si="36"/>
        <v>-32805562.472849742</v>
      </c>
      <c r="Y25" s="740">
        <f t="shared" si="36"/>
        <v>-37492595.805600114</v>
      </c>
      <c r="Z25" s="740">
        <f t="shared" si="36"/>
        <v>-18732324.393510412</v>
      </c>
      <c r="AA25" s="740">
        <f t="shared" si="36"/>
        <v>-18732324.393505272</v>
      </c>
      <c r="AB25" s="740">
        <f t="shared" si="36"/>
        <v>-14036184.553918652</v>
      </c>
      <c r="AC25" s="740">
        <f t="shared" si="36"/>
        <v>-14036184.553915352</v>
      </c>
      <c r="AD25" s="740">
        <f t="shared" si="36"/>
        <v>-18738400.308086779</v>
      </c>
      <c r="AE25" s="740">
        <f t="shared" si="36"/>
        <v>-56380441.783687912</v>
      </c>
      <c r="AF25" s="740">
        <f t="shared" si="36"/>
        <v>-37547259.396738909</v>
      </c>
      <c r="AG25" s="740">
        <f t="shared" si="36"/>
        <v>143436.53142856128</v>
      </c>
      <c r="AH25" s="740">
        <f t="shared" si="36"/>
        <v>143436.53142857159</v>
      </c>
      <c r="AI25" s="740">
        <f t="shared" si="36"/>
        <v>19013127.433793049</v>
      </c>
      <c r="AJ25" s="740">
        <f t="shared" si="36"/>
        <v>37894995.69730828</v>
      </c>
      <c r="AK25" s="740">
        <f t="shared" si="36"/>
        <v>42618508.085461281</v>
      </c>
      <c r="AL25" s="740">
        <f t="shared" si="36"/>
        <v>108790329.77972035</v>
      </c>
      <c r="AM25" s="740">
        <f t="shared" si="36"/>
        <v>120260983.36037107</v>
      </c>
      <c r="AN25" s="740">
        <f>(y.1m+y.2m+y.3m-a.m*(x.3m*x.3m+x.2m*x.2m+x.1m*x.1m)-b.m*(x.3m+x.2m+x.1m))/3</f>
        <v>62379834.475027271</v>
      </c>
      <c r="AO25" s="1055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3">
        <f t="shared" si="14"/>
        <v>0.8928571428571429</v>
      </c>
      <c r="AT25" s="769">
        <f>((1-AS25)*(INDEX(a.lg,AP25)*$A25*$A25+INDEX(b.lg,AP25)*$A25+INDEX(c.lg,AP25))+AS25*(INDEX(a.lg,AQ25)*$A25*$A25+INDEX(b.lg,AQ25)*$A25+INDEX(c.lg,AQ25)))/10</f>
        <v>27.824968903365413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3">
        <f t="shared" si="19"/>
        <v>0.62068965517241381</v>
      </c>
      <c r="AY25" s="769">
        <f t="shared" si="20"/>
        <v>27.83394774989835</v>
      </c>
      <c r="AZ25" s="746">
        <f t="shared" si="26"/>
        <v>27.82945832663188</v>
      </c>
      <c r="BA25" s="643">
        <f t="shared" si="21"/>
        <v>0.99778964030270345</v>
      </c>
      <c r="BC25" s="11">
        <v>43111</v>
      </c>
      <c r="BD25" s="290">
        <f>[3]!FeuilCaduc*(1-Persistant)+Persistant</f>
        <v>0.60201187478427232</v>
      </c>
      <c r="BE25" s="291">
        <f>[3]!CroissVégét</f>
        <v>7.0982230050345072E-4</v>
      </c>
      <c r="BF25" s="816">
        <f>1+[3]!Salcycl*Ksac</f>
        <v>1.0002514843480341</v>
      </c>
      <c r="BH25" s="1053">
        <f t="shared" si="22"/>
        <v>2.3525118939561099E-3</v>
      </c>
      <c r="BI25" s="11">
        <v>44207</v>
      </c>
      <c r="BJ25" s="726">
        <v>5.1325772117355375E-4</v>
      </c>
      <c r="BK25" s="726">
        <v>9.1240246718356309E-4</v>
      </c>
      <c r="BL25" s="726">
        <v>1.4894946489613448E-3</v>
      </c>
      <c r="BM25" s="726">
        <v>2.3547708612291166E-3</v>
      </c>
      <c r="BN25" s="726">
        <v>3.5818562087077299E-3</v>
      </c>
      <c r="BO25" s="727">
        <v>5.5394196960925693E-3</v>
      </c>
      <c r="BP25" s="726">
        <v>8.0414786484109182E-3</v>
      </c>
      <c r="BQ25" s="726">
        <v>1.1097042271096147E-2</v>
      </c>
      <c r="BR25" s="726">
        <v>1.4449216472635164E-2</v>
      </c>
      <c r="BS25" s="726">
        <v>1.8603562306804228E-2</v>
      </c>
      <c r="BT25" s="726">
        <v>2.3420644255595102E-2</v>
      </c>
      <c r="BW25" s="1186">
        <f>'2018'!R\Max</f>
        <v>0</v>
      </c>
      <c r="BX25" s="1184">
        <f>'2019'!R\Max</f>
        <v>0.90774683309718207</v>
      </c>
      <c r="BY25" s="1184">
        <f>'2020'!R\Max</f>
        <v>0.99778964030270345</v>
      </c>
      <c r="BZ25" s="1184">
        <f>'2021'!R\Max</f>
        <v>0.20059413086720806</v>
      </c>
      <c r="CA25" s="1184">
        <f>'2022'!R\Max</f>
        <v>0.97919583747879835</v>
      </c>
      <c r="CB25" s="1184">
        <f>'2023'!R\Max</f>
        <v>0.9791923016069537</v>
      </c>
      <c r="CC25" s="1184">
        <f>'2024'!R\Max</f>
        <v>0.97918876142457911</v>
      </c>
      <c r="CD25" s="1184">
        <f>'2025'!R\Max</f>
        <v>0.97918444048597431</v>
      </c>
      <c r="CE25" s="1184">
        <f>'2026'!R\Max</f>
        <v>0.97920319093400854</v>
      </c>
      <c r="CF25" s="1185">
        <f>'2027'!R\Max</f>
        <v>0.97920145608642151</v>
      </c>
    </row>
    <row r="26" spans="1:84" s="6" customFormat="1" ht="11.25" x14ac:dyDescent="0.2">
      <c r="A26" s="11">
        <v>43112</v>
      </c>
      <c r="B26" s="380">
        <f>'2022'!Maxi_hp</f>
        <v>27.969146072299974</v>
      </c>
      <c r="C26" s="13">
        <f>'2022'!An_max</f>
        <v>2020</v>
      </c>
      <c r="D26" s="1062">
        <f t="shared" si="7"/>
        <v>0.99486261464518266</v>
      </c>
      <c r="E26" s="1057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3">
        <f t="shared" si="9"/>
        <v>0.7142857142857143</v>
      </c>
      <c r="J26" s="746">
        <f t="shared" si="27"/>
        <v>28.113576347700189</v>
      </c>
      <c r="L26" s="10"/>
      <c r="AO26" s="1055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3">
        <f t="shared" si="14"/>
        <v>0.8571428571428571</v>
      </c>
      <c r="AT26" s="769">
        <f>((1-AS26)*(INDEX(a.lg,AP26)*$A26*$A26+INDEX(b.lg,AP26)*$A26+INDEX(c.lg,AP26))+AS26*(INDEX(a.lg,AQ26)*$A26*$A26+INDEX(b.lg,AQ26)*$A26+INDEX(c.lg,AQ26)))/10</f>
        <v>28.057280030527284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3">
        <f t="shared" si="19"/>
        <v>0.65517241379310343</v>
      </c>
      <c r="AY26" s="769">
        <f t="shared" si="20"/>
        <v>28.092681348914731</v>
      </c>
      <c r="AZ26" s="746">
        <f t="shared" si="26"/>
        <v>28.074980689721009</v>
      </c>
      <c r="BA26" s="643">
        <f t="shared" si="21"/>
        <v>0.99486261464518266</v>
      </c>
      <c r="BC26" s="11">
        <v>43112</v>
      </c>
      <c r="BD26" s="290">
        <f>[3]!FeuilCaduc*(1-Persistant)+Persistant</f>
        <v>0.6018145676787835</v>
      </c>
      <c r="BE26" s="291">
        <f>[3]!CroissVégét</f>
        <v>7.9782175584567966E-4</v>
      </c>
      <c r="BF26" s="816">
        <f>1+[3]!Salcycl*Ksac</f>
        <v>1.0002268209598479</v>
      </c>
      <c r="BH26" s="1053">
        <f t="shared" si="22"/>
        <v>2.3321543908367479E-3</v>
      </c>
      <c r="BI26" s="11">
        <v>44208</v>
      </c>
      <c r="BJ26" s="726">
        <v>5.1178863408927913E-4</v>
      </c>
      <c r="BK26" s="726">
        <v>9.0606145740808677E-4</v>
      </c>
      <c r="BL26" s="726">
        <v>1.4784890376228947E-3</v>
      </c>
      <c r="BM26" s="726">
        <v>2.3343888793202557E-3</v>
      </c>
      <c r="BN26" s="726">
        <v>3.5484368721855914E-3</v>
      </c>
      <c r="BO26" s="727">
        <v>5.4883802434529871E-3</v>
      </c>
      <c r="BP26" s="726">
        <v>7.976439181125599E-3</v>
      </c>
      <c r="BQ26" s="726">
        <v>1.1041493603481684E-2</v>
      </c>
      <c r="BR26" s="726">
        <v>1.441259564406866E-2</v>
      </c>
      <c r="BS26" s="726">
        <v>1.8580844519664207E-2</v>
      </c>
      <c r="BT26" s="726">
        <v>2.3387988437643004E-2</v>
      </c>
      <c r="BW26" s="1186">
        <f>'2018'!R\Max</f>
        <v>0</v>
      </c>
      <c r="BX26" s="1184">
        <f>'2019'!R\Max</f>
        <v>0.34279406548845121</v>
      </c>
      <c r="BY26" s="1184">
        <f>'2020'!R\Max</f>
        <v>0.99486261464518266</v>
      </c>
      <c r="BZ26" s="1184">
        <f>'2021'!R\Max</f>
        <v>0.45110022135821626</v>
      </c>
      <c r="CA26" s="1184">
        <f>'2022'!R\Max</f>
        <v>0.82837685540656858</v>
      </c>
      <c r="CB26" s="1184">
        <f>'2023'!R\Max</f>
        <v>0.82835253411499865</v>
      </c>
      <c r="CC26" s="1184">
        <f>'2024'!R\Max</f>
        <v>0.82832818469134983</v>
      </c>
      <c r="CD26" s="1184">
        <f>'2025'!R\Max</f>
        <v>0.82829820742547222</v>
      </c>
      <c r="CE26" s="1184">
        <f>'2026'!R\Max</f>
        <v>0.82842724650909072</v>
      </c>
      <c r="CF26" s="1185">
        <f>'2027'!R\Max</f>
        <v>0.82841537235966123</v>
      </c>
    </row>
    <row r="27" spans="1:84" s="6" customFormat="1" ht="11.25" x14ac:dyDescent="0.2">
      <c r="A27" s="11">
        <v>43113</v>
      </c>
      <c r="B27" s="380">
        <f>'2022'!Maxi_hp</f>
        <v>16.029400800100351</v>
      </c>
      <c r="C27" s="13">
        <f>'2022'!An_max</f>
        <v>2020</v>
      </c>
      <c r="D27" s="1062" t="str">
        <f t="shared" si="7"/>
        <v/>
      </c>
      <c r="E27" s="1057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3">
        <f t="shared" si="9"/>
        <v>0.6428571428571429</v>
      </c>
      <c r="J27" s="746">
        <f t="shared" si="27"/>
        <v>28.359130439481568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55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3">
        <f t="shared" si="14"/>
        <v>0.8214285714285714</v>
      </c>
      <c r="AT27" s="769">
        <f>((1-AS27)*(INDEX(a.lg,AP27)*$A27*$A27+INDEX(b.lg,AP27)*$A27+INDEX(c.lg,AP27))+AS27*(INDEX(a.lg,AQ27)*$A27*$A27+INDEX(b.lg,AQ27)*$A27+INDEX(c.lg,AQ27)))/10</f>
        <v>28.300775374445532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3">
        <f t="shared" si="19"/>
        <v>0.68965517241379315</v>
      </c>
      <c r="AY27" s="769">
        <f t="shared" si="20"/>
        <v>28.356204538047315</v>
      </c>
      <c r="AZ27" s="746">
        <f t="shared" si="26"/>
        <v>28.328489956246422</v>
      </c>
      <c r="BA27" s="643">
        <f t="shared" si="21"/>
        <v>0.56522892457182772</v>
      </c>
      <c r="BC27" s="11">
        <v>43113</v>
      </c>
      <c r="BD27" s="290">
        <f>[3]!FeuilCaduc*(1-Persistant)+Persistant</f>
        <v>0.60162614288674821</v>
      </c>
      <c r="BE27" s="291">
        <f>[3]!CroissVégét</f>
        <v>8.8949648478391823E-4</v>
      </c>
      <c r="BF27" s="816">
        <f>1+[3]!Salcycl*Ksac</f>
        <v>1.0002032678608435</v>
      </c>
      <c r="BH27" s="1053">
        <f t="shared" si="22"/>
        <v>2.3093862459565109E-3</v>
      </c>
      <c r="BI27" s="11">
        <v>44209</v>
      </c>
      <c r="BJ27" s="726">
        <v>5.0983048352214904E-4</v>
      </c>
      <c r="BK27" s="726">
        <v>8.9992829642613909E-4</v>
      </c>
      <c r="BL27" s="726">
        <v>1.4671404839516251E-3</v>
      </c>
      <c r="BM27" s="726">
        <v>2.311590843400226E-3</v>
      </c>
      <c r="BN27" s="726">
        <v>3.5090629883120059E-3</v>
      </c>
      <c r="BO27" s="727">
        <v>5.4273419535569769E-3</v>
      </c>
      <c r="BP27" s="726">
        <v>7.8979763489189312E-3</v>
      </c>
      <c r="BQ27" s="726">
        <v>1.0974812847639431E-2</v>
      </c>
      <c r="BR27" s="726">
        <v>1.4369373632939038E-2</v>
      </c>
      <c r="BS27" s="726">
        <v>1.8556422533530667E-2</v>
      </c>
      <c r="BT27" s="726">
        <v>2.3353768846379134E-2</v>
      </c>
      <c r="BW27" s="1186">
        <f>'2018'!R\Max</f>
        <v>0</v>
      </c>
      <c r="BX27" s="1184">
        <f>'2019'!R\Max</f>
        <v>0.14408637583231149</v>
      </c>
      <c r="BY27" s="1184">
        <f>'2020'!R\Max</f>
        <v>0.56522892457182772</v>
      </c>
      <c r="BZ27" s="1184">
        <f>'2021'!R\Max</f>
        <v>0.35931515609241987</v>
      </c>
      <c r="CA27" s="1184">
        <f>'2022'!R\Max</f>
        <v>0.19773068563293011</v>
      </c>
      <c r="CB27" s="1184">
        <f>'2023'!R\Max</f>
        <v>0.19770738288981396</v>
      </c>
      <c r="CC27" s="1184">
        <f>'2024'!R\Max</f>
        <v>0.19768405755354071</v>
      </c>
      <c r="CD27" s="1184">
        <f>'2025'!R\Max</f>
        <v>0.19765503384176827</v>
      </c>
      <c r="CE27" s="1184">
        <f>'2026'!R\Max</f>
        <v>0.197778747586208</v>
      </c>
      <c r="CF27" s="1185">
        <f>'2027'!R\Max</f>
        <v>0.19776744221439319</v>
      </c>
    </row>
    <row r="28" spans="1:84" s="6" customFormat="1" ht="11.25" x14ac:dyDescent="0.2">
      <c r="A28" s="11">
        <v>43114</v>
      </c>
      <c r="B28" s="380">
        <f>'2022'!Maxi_hp</f>
        <v>27.813666688911876</v>
      </c>
      <c r="C28" s="13">
        <f>'2022'!An_max</f>
        <v>2020</v>
      </c>
      <c r="D28" s="1062">
        <f t="shared" si="7"/>
        <v>0.97212455387113228</v>
      </c>
      <c r="E28" s="1057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3">
        <f t="shared" si="9"/>
        <v>0.5714285714285714</v>
      </c>
      <c r="J28" s="746">
        <f t="shared" si="27"/>
        <v>28.611217130720615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5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3">
        <f t="shared" si="14"/>
        <v>0.7857142857142857</v>
      </c>
      <c r="AT28" s="769">
        <f t="shared" si="15"/>
        <v>28.554829019201652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3">
        <f t="shared" si="19"/>
        <v>0.72413793103448276</v>
      </c>
      <c r="AY28" s="769">
        <f t="shared" si="20"/>
        <v>28.623858864245744</v>
      </c>
      <c r="AZ28" s="746">
        <f t="shared" si="26"/>
        <v>28.589343941723698</v>
      </c>
      <c r="BA28" s="643">
        <f t="shared" si="21"/>
        <v>0.97212455387113228</v>
      </c>
      <c r="BC28" s="11">
        <v>43114</v>
      </c>
      <c r="BD28" s="290">
        <f>[3]!FeuilCaduc*(1-Persistant)+Persistant</f>
        <v>0.60144661446112435</v>
      </c>
      <c r="BE28" s="291">
        <f>[3]!CroissVégét</f>
        <v>9.849992655628797E-4</v>
      </c>
      <c r="BF28" s="816">
        <f>1+[3]!Salcycl*Ksac</f>
        <v>1.0001808268076406</v>
      </c>
      <c r="BH28" s="1053">
        <f t="shared" si="22"/>
        <v>2.2842002553279234E-3</v>
      </c>
      <c r="BI28" s="11">
        <v>44210</v>
      </c>
      <c r="BJ28" s="726">
        <v>5.0738154054133836E-4</v>
      </c>
      <c r="BK28" s="726">
        <v>8.9400136678691004E-4</v>
      </c>
      <c r="BL28" s="726">
        <v>1.4554456267463836E-3</v>
      </c>
      <c r="BM28" s="726">
        <v>2.2863695394229702E-3</v>
      </c>
      <c r="BN28" s="726">
        <v>3.4637211912313024E-3</v>
      </c>
      <c r="BO28" s="727">
        <v>5.3562832276760862E-3</v>
      </c>
      <c r="BP28" s="726">
        <v>7.8060594158287106E-3</v>
      </c>
      <c r="BQ28" s="726">
        <v>1.0896963585982165E-2</v>
      </c>
      <c r="BR28" s="726">
        <v>1.4319509479814058E-2</v>
      </c>
      <c r="BS28" s="726">
        <v>1.8530249593756085E-2</v>
      </c>
      <c r="BT28" s="726">
        <v>2.3317927543420904E-2</v>
      </c>
      <c r="BW28" s="1186">
        <f>'2018'!R\Max</f>
        <v>0</v>
      </c>
      <c r="BX28" s="1184">
        <f>'2019'!R\Max</f>
        <v>0.19928263344208766</v>
      </c>
      <c r="BY28" s="1184">
        <f>'2020'!R\Max</f>
        <v>0.97212455387113228</v>
      </c>
      <c r="BZ28" s="1184">
        <f>'2021'!R\Max</f>
        <v>0.44768831128363806</v>
      </c>
      <c r="CA28" s="1184">
        <f>'2022'!R\Max</f>
        <v>0.9692988101766945</v>
      </c>
      <c r="CB28" s="1184">
        <f>'2023'!R\Max</f>
        <v>0.96929388767531721</v>
      </c>
      <c r="CC28" s="1184">
        <f>'2024'!R\Max</f>
        <v>0.96928895933361803</v>
      </c>
      <c r="CD28" s="1184">
        <f>'2025'!R\Max</f>
        <v>0.96928274510981305</v>
      </c>
      <c r="CE28" s="1184">
        <f>'2026'!R\Max</f>
        <v>0.96930890007654491</v>
      </c>
      <c r="CF28" s="1185">
        <f>'2027'!R\Max</f>
        <v>0.96930653327272809</v>
      </c>
    </row>
    <row r="29" spans="1:84" s="6" customFormat="1" ht="11.25" x14ac:dyDescent="0.2">
      <c r="A29" s="11">
        <v>43115</v>
      </c>
      <c r="B29" s="380">
        <f>'2022'!Maxi_hp</f>
        <v>29.472715702164702</v>
      </c>
      <c r="C29" s="13">
        <f>'2022'!An_max</f>
        <v>2022</v>
      </c>
      <c r="D29" s="1062">
        <f t="shared" si="7"/>
        <v>1.0208910053719742</v>
      </c>
      <c r="E29" s="1057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3">
        <f t="shared" si="9"/>
        <v>0.5</v>
      </c>
      <c r="J29" s="746">
        <f t="shared" si="27"/>
        <v>28.869600718468426</v>
      </c>
      <c r="L29" s="774">
        <f>AJ13</f>
        <v>310.31200000000001</v>
      </c>
      <c r="M29" s="774">
        <f>L13</f>
        <v>250.41</v>
      </c>
      <c r="N29" s="764">
        <f>N13</f>
        <v>272.01400000000001</v>
      </c>
      <c r="O29" s="764">
        <f>P13</f>
        <v>355.48399999999998</v>
      </c>
      <c r="P29" s="764">
        <f>R13</f>
        <v>454.666</v>
      </c>
      <c r="Q29" s="764">
        <f>T13</f>
        <v>554.83000000000004</v>
      </c>
      <c r="R29" s="764">
        <f>V13</f>
        <v>616.69600000000003</v>
      </c>
      <c r="S29" s="764">
        <f>X13</f>
        <v>637.31799999999998</v>
      </c>
      <c r="T29" s="764">
        <f>Z13</f>
        <v>627.49799999999993</v>
      </c>
      <c r="U29" s="764">
        <f>AB13</f>
        <v>598.03800000000001</v>
      </c>
      <c r="V29" s="764">
        <f>AD13</f>
        <v>555.81200000000001</v>
      </c>
      <c r="W29" s="764">
        <f>AF13</f>
        <v>491</v>
      </c>
      <c r="X29" s="764">
        <f>AH13</f>
        <v>398.69200000000001</v>
      </c>
      <c r="Y29" s="764">
        <f>AJ13</f>
        <v>310.31200000000001</v>
      </c>
      <c r="Z29" s="764">
        <f>AL13</f>
        <v>250.41</v>
      </c>
      <c r="AA29" s="772">
        <f>AN13</f>
        <v>272.01400000000001</v>
      </c>
      <c r="AB29" s="772">
        <f>P13</f>
        <v>355.48399999999998</v>
      </c>
      <c r="AO29" s="1055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3">
        <f t="shared" si="14"/>
        <v>0.75</v>
      </c>
      <c r="AT29" s="769">
        <f t="shared" si="15"/>
        <v>28.818815041705967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3">
        <f t="shared" si="19"/>
        <v>0.75862068965517238</v>
      </c>
      <c r="AY29" s="769">
        <f t="shared" si="20"/>
        <v>28.894985875024879</v>
      </c>
      <c r="AZ29" s="746">
        <f t="shared" si="26"/>
        <v>28.856900458365423</v>
      </c>
      <c r="BA29" s="643">
        <f t="shared" si="21"/>
        <v>1.0208910053719742</v>
      </c>
      <c r="BC29" s="11">
        <v>43115</v>
      </c>
      <c r="BD29" s="290">
        <f>[3]!FeuilCaduc*(1-Persistant)+Persistant</f>
        <v>0.60127610081626426</v>
      </c>
      <c r="BE29" s="291">
        <f>[3]!CroissVégét</f>
        <v>1.0844891659074879E-3</v>
      </c>
      <c r="BF29" s="816">
        <f>1+[3]!Salcycl*Ksac</f>
        <v>1.0001595126020331</v>
      </c>
      <c r="BH29" s="1053">
        <f t="shared" si="22"/>
        <v>2.2565897768776788E-3</v>
      </c>
      <c r="BI29" s="11">
        <v>44211</v>
      </c>
      <c r="BJ29" s="726">
        <v>5.0444016352980991E-4</v>
      </c>
      <c r="BK29" s="726">
        <v>8.8827908537777349E-4</v>
      </c>
      <c r="BL29" s="726">
        <v>1.4434012677168103E-3</v>
      </c>
      <c r="BM29" s="726">
        <v>2.2587183163010022E-3</v>
      </c>
      <c r="BN29" s="726">
        <v>3.4123993307394272E-3</v>
      </c>
      <c r="BO29" s="727">
        <v>5.2751844567628459E-3</v>
      </c>
      <c r="BP29" s="726">
        <v>7.7006602828452808E-3</v>
      </c>
      <c r="BQ29" s="726">
        <v>1.0807911609712619E-2</v>
      </c>
      <c r="BR29" s="726">
        <v>1.4262963582267394E-2</v>
      </c>
      <c r="BS29" s="726">
        <v>1.8502279448628707E-2</v>
      </c>
      <c r="BT29" s="726">
        <v>2.3280407178787918E-2</v>
      </c>
      <c r="BW29" s="1186">
        <f>'2018'!R\Max</f>
        <v>0</v>
      </c>
      <c r="BX29" s="1184">
        <f>'2019'!R\Max</f>
        <v>1.0068387652678221</v>
      </c>
      <c r="BY29" s="1184">
        <f>'2020'!R\Max</f>
        <v>0.81222054515572728</v>
      </c>
      <c r="BZ29" s="1184">
        <f>'2021'!R\Max</f>
        <v>0.68388588039517695</v>
      </c>
      <c r="CA29" s="1184">
        <f>'2022'!R\Max</f>
        <v>1.0208910053719742</v>
      </c>
      <c r="CB29" s="1184">
        <f>'2023'!R\Max</f>
        <v>1.020891005371974</v>
      </c>
      <c r="CC29" s="1184">
        <f>'2024'!R\Max</f>
        <v>1.0208910053719742</v>
      </c>
      <c r="CD29" s="1184">
        <f>'2025'!R\Max</f>
        <v>1.0208910053719744</v>
      </c>
      <c r="CE29" s="1184">
        <f>'2026'!R\Max</f>
        <v>1.0208910053719742</v>
      </c>
      <c r="CF29" s="1185">
        <f>'2027'!R\Max</f>
        <v>1.0208910053719742</v>
      </c>
    </row>
    <row r="30" spans="1:84" s="6" customFormat="1" ht="11.25" x14ac:dyDescent="0.2">
      <c r="A30" s="11">
        <v>43116</v>
      </c>
      <c r="B30" s="380">
        <f>'2022'!Maxi_hp</f>
        <v>29.178076379468706</v>
      </c>
      <c r="C30" s="13">
        <f>'2022'!An_max</f>
        <v>2019</v>
      </c>
      <c r="D30" s="1062">
        <f t="shared" si="7"/>
        <v>1.0015113204419337</v>
      </c>
      <c r="E30" s="1057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3">
        <f t="shared" si="9"/>
        <v>0.42857142857142855</v>
      </c>
      <c r="J30" s="746">
        <f t="shared" si="27"/>
        <v>29.1340455009469</v>
      </c>
      <c r="L30" s="754" t="s">
        <v>210</v>
      </c>
      <c r="M30" s="784">
        <f t="shared" ref="M30:AA30" si="37">L28</f>
        <v>43051</v>
      </c>
      <c r="N30" s="785">
        <f t="shared" si="37"/>
        <v>43079</v>
      </c>
      <c r="O30" s="736">
        <f t="shared" si="37"/>
        <v>43108</v>
      </c>
      <c r="P30" s="736">
        <f t="shared" si="37"/>
        <v>43136</v>
      </c>
      <c r="Q30" s="736">
        <f t="shared" si="37"/>
        <v>43164</v>
      </c>
      <c r="R30" s="736">
        <f t="shared" si="37"/>
        <v>43192</v>
      </c>
      <c r="S30" s="736">
        <f t="shared" si="37"/>
        <v>43220</v>
      </c>
      <c r="T30" s="736">
        <f t="shared" si="37"/>
        <v>43248</v>
      </c>
      <c r="U30" s="736">
        <f t="shared" si="37"/>
        <v>43276</v>
      </c>
      <c r="V30" s="736">
        <f t="shared" si="37"/>
        <v>43304</v>
      </c>
      <c r="W30" s="736">
        <f t="shared" si="37"/>
        <v>43332</v>
      </c>
      <c r="X30" s="736">
        <f t="shared" si="37"/>
        <v>43360</v>
      </c>
      <c r="Y30" s="736">
        <f t="shared" si="37"/>
        <v>43388</v>
      </c>
      <c r="Z30" s="736">
        <f t="shared" si="37"/>
        <v>43416</v>
      </c>
      <c r="AA30" s="777">
        <f t="shared" si="37"/>
        <v>43444</v>
      </c>
      <c r="AO30" s="1055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3">
        <f t="shared" si="14"/>
        <v>0.7142857142857143</v>
      </c>
      <c r="AT30" s="769">
        <f t="shared" si="15"/>
        <v>29.092107526000056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3">
        <f t="shared" si="19"/>
        <v>0.7931034482758621</v>
      </c>
      <c r="AY30" s="769">
        <f t="shared" si="20"/>
        <v>29.168927116589298</v>
      </c>
      <c r="AZ30" s="746">
        <f t="shared" si="26"/>
        <v>29.130517321294676</v>
      </c>
      <c r="BA30" s="643">
        <f t="shared" si="21"/>
        <v>1.0015113204419337</v>
      </c>
      <c r="BC30" s="11">
        <v>43116</v>
      </c>
      <c r="BD30" s="290">
        <f>[3]!FeuilCaduc*(1-Persistant)+Persistant</f>
        <v>0.60111480715254595</v>
      </c>
      <c r="BE30" s="291">
        <f>[3]!CroissVégét</f>
        <v>1.1881317966940647E-3</v>
      </c>
      <c r="BF30" s="816">
        <f>1+[3]!Salcycl*Ksac</f>
        <v>1.0001393508940681</v>
      </c>
      <c r="BH30" s="1053">
        <f t="shared" si="22"/>
        <v>2.2268425425168701E-3</v>
      </c>
      <c r="BI30" s="11">
        <v>44212</v>
      </c>
      <c r="BJ30" s="726">
        <v>5.0104429178496053E-4</v>
      </c>
      <c r="BK30" s="726">
        <v>8.824293484010759E-4</v>
      </c>
      <c r="BL30" s="726">
        <v>1.4307244665554071E-3</v>
      </c>
      <c r="BM30" s="726">
        <v>2.2289263996929298E-3</v>
      </c>
      <c r="BN30" s="726">
        <v>3.3560794934367672E-3</v>
      </c>
      <c r="BO30" s="727">
        <v>5.1850138949949302E-3</v>
      </c>
      <c r="BP30" s="726">
        <v>7.5809806456274796E-3</v>
      </c>
      <c r="BQ30" s="726">
        <v>1.0702518521655499E-2</v>
      </c>
      <c r="BR30" s="726">
        <v>1.4191286673234728E-2</v>
      </c>
      <c r="BS30" s="726">
        <v>1.846424273232115E-2</v>
      </c>
      <c r="BT30" s="726">
        <v>2.3237641698820154E-2</v>
      </c>
      <c r="BW30" s="1186">
        <f>'2018'!R\Max</f>
        <v>0</v>
      </c>
      <c r="BX30" s="1184">
        <f>'2019'!R\Max</f>
        <v>1.0015113204419337</v>
      </c>
      <c r="BY30" s="1184">
        <f>'2020'!R\Max</f>
        <v>0.83279382637072163</v>
      </c>
      <c r="BZ30" s="1184">
        <f>'2021'!R\Max</f>
        <v>0.65966316504967104</v>
      </c>
      <c r="CA30" s="1184">
        <f>'2022'!R\Max</f>
        <v>0.99364153021511825</v>
      </c>
      <c r="CB30" s="1184">
        <f>'2023'!R\Max</f>
        <v>0.99364052697403527</v>
      </c>
      <c r="CC30" s="1184">
        <f>'2024'!R\Max</f>
        <v>0.99363952255291521</v>
      </c>
      <c r="CD30" s="1184">
        <f>'2025'!R\Max</f>
        <v>0.9936382148579378</v>
      </c>
      <c r="CE30" s="1184">
        <f>'2026'!R\Max</f>
        <v>0.99364355746615252</v>
      </c>
      <c r="CF30" s="1185">
        <f>'2027'!R\Max</f>
        <v>0.9936430852905429</v>
      </c>
    </row>
    <row r="31" spans="1:84" s="6" customFormat="1" ht="11.25" x14ac:dyDescent="0.2">
      <c r="A31" s="11">
        <v>43117</v>
      </c>
      <c r="B31" s="380">
        <f>'2022'!Maxi_hp</f>
        <v>14.816853446814875</v>
      </c>
      <c r="C31" s="13">
        <f>'2022'!An_max</f>
        <v>2022</v>
      </c>
      <c r="D31" s="1062" t="str">
        <f t="shared" si="7"/>
        <v/>
      </c>
      <c r="E31" s="1057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3">
        <f t="shared" si="9"/>
        <v>0.35714285714285715</v>
      </c>
      <c r="J31" s="746">
        <f t="shared" si="27"/>
        <v>29.404315777548721</v>
      </c>
      <c r="L31" s="755" t="s">
        <v>211</v>
      </c>
      <c r="M31" s="776">
        <f t="shared" ref="M31:AA31" si="38">L29</f>
        <v>310.31200000000001</v>
      </c>
      <c r="N31" s="780">
        <f t="shared" si="38"/>
        <v>250.41</v>
      </c>
      <c r="O31" s="742">
        <f t="shared" si="38"/>
        <v>272.01400000000001</v>
      </c>
      <c r="P31" s="742">
        <f t="shared" si="38"/>
        <v>355.48399999999998</v>
      </c>
      <c r="Q31" s="742">
        <f t="shared" si="38"/>
        <v>454.666</v>
      </c>
      <c r="R31" s="742">
        <f t="shared" si="38"/>
        <v>554.83000000000004</v>
      </c>
      <c r="S31" s="742">
        <f t="shared" si="38"/>
        <v>616.69600000000003</v>
      </c>
      <c r="T31" s="742">
        <f t="shared" si="38"/>
        <v>637.31799999999998</v>
      </c>
      <c r="U31" s="742">
        <f t="shared" si="38"/>
        <v>627.49799999999993</v>
      </c>
      <c r="V31" s="742">
        <f t="shared" si="38"/>
        <v>598.03800000000001</v>
      </c>
      <c r="W31" s="742">
        <f t="shared" si="38"/>
        <v>555.81200000000001</v>
      </c>
      <c r="X31" s="742">
        <f t="shared" si="38"/>
        <v>491</v>
      </c>
      <c r="Y31" s="742">
        <f t="shared" si="38"/>
        <v>398.69200000000001</v>
      </c>
      <c r="Z31" s="742">
        <f t="shared" si="38"/>
        <v>310.31200000000001</v>
      </c>
      <c r="AA31" s="778">
        <f t="shared" si="38"/>
        <v>250.41</v>
      </c>
      <c r="AO31" s="1055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3">
        <f t="shared" si="14"/>
        <v>0.6785714285714286</v>
      </c>
      <c r="AT31" s="769">
        <f t="shared" si="15"/>
        <v>29.374080553863728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3">
        <f t="shared" si="19"/>
        <v>0.82758620689655171</v>
      </c>
      <c r="AY31" s="769">
        <f t="shared" si="20"/>
        <v>29.445024133396561</v>
      </c>
      <c r="AZ31" s="746">
        <f t="shared" si="26"/>
        <v>29.409552343630146</v>
      </c>
      <c r="BA31" s="643">
        <f t="shared" si="21"/>
        <v>0.50390063686256858</v>
      </c>
      <c r="BC31" s="11">
        <v>43117</v>
      </c>
      <c r="BD31" s="290">
        <f>[3]!FeuilCaduc*(1-Persistant)+Persistant</f>
        <v>0.60096300793964963</v>
      </c>
      <c r="BE31" s="291">
        <f>[3]!CroissVégét</f>
        <v>1.2960995754023115E-3</v>
      </c>
      <c r="BF31" s="816">
        <f>1+[3]!Salcycl*Ksac</f>
        <v>1.0001203759924562</v>
      </c>
      <c r="BH31" s="1053">
        <f t="shared" si="22"/>
        <v>2.1969500951403943E-3</v>
      </c>
      <c r="BI31" s="11">
        <v>44213</v>
      </c>
      <c r="BJ31" s="726">
        <v>4.9748233263185104E-4</v>
      </c>
      <c r="BK31" s="726">
        <v>8.767748385120651E-4</v>
      </c>
      <c r="BL31" s="726">
        <v>1.4182132532072056E-3</v>
      </c>
      <c r="BM31" s="726">
        <v>2.1989884565409503E-3</v>
      </c>
      <c r="BN31" s="726">
        <v>3.298316336529333E-3</v>
      </c>
      <c r="BO31" s="727">
        <v>5.091258437511203E-3</v>
      </c>
      <c r="BP31" s="726">
        <v>7.453410725993358E-3</v>
      </c>
      <c r="BQ31" s="726">
        <v>1.058581193171463E-2</v>
      </c>
      <c r="BR31" s="726">
        <v>1.4106601468453241E-2</v>
      </c>
      <c r="BS31" s="726">
        <v>1.8416286921974404E-2</v>
      </c>
      <c r="BT31" s="726">
        <v>2.3190282248382044E-2</v>
      </c>
      <c r="BW31" s="1186">
        <f>'2018'!R\Max</f>
        <v>0</v>
      </c>
      <c r="BX31" s="1184">
        <f>'2019'!R\Max</f>
        <v>0.3627681022814187</v>
      </c>
      <c r="BY31" s="1184">
        <f>'2020'!R\Max</f>
        <v>0.16576968098754291</v>
      </c>
      <c r="BZ31" s="1184">
        <f>'2021'!R\Max</f>
        <v>0.30170494274568976</v>
      </c>
      <c r="CA31" s="1184">
        <f>'2022'!R\Max</f>
        <v>0.50390063686256858</v>
      </c>
      <c r="CB31" s="1184">
        <f>'2023'!R\Max</f>
        <v>0.50386187441179742</v>
      </c>
      <c r="CC31" s="1184">
        <f>'2024'!R\Max</f>
        <v>0.50382307280033911</v>
      </c>
      <c r="CD31" s="1184">
        <f>'2025'!R\Max</f>
        <v>0.50377166467966328</v>
      </c>
      <c r="CE31" s="1184">
        <f>'2026'!R\Max</f>
        <v>0.50397844335436359</v>
      </c>
      <c r="CF31" s="1185">
        <f>'2027'!R\Max</f>
        <v>0.50396038911727081</v>
      </c>
    </row>
    <row r="32" spans="1:84" s="6" customFormat="1" ht="11.25" x14ac:dyDescent="0.2">
      <c r="A32" s="11">
        <v>43118</v>
      </c>
      <c r="B32" s="380">
        <f>'2022'!Maxi_hp</f>
        <v>28.469265740450702</v>
      </c>
      <c r="C32" s="13">
        <f>'2022'!An_max</f>
        <v>2021</v>
      </c>
      <c r="D32" s="1062" t="str">
        <f t="shared" si="7"/>
        <v/>
      </c>
      <c r="E32" s="1057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3">
        <f t="shared" si="9"/>
        <v>0.2857142857142857</v>
      </c>
      <c r="J32" s="746">
        <f t="shared" si="27"/>
        <v>29.680175844686374</v>
      </c>
      <c r="L32" s="755" t="s">
        <v>212</v>
      </c>
      <c r="M32" s="787">
        <f t="shared" ref="M32:AA32" si="39">M28</f>
        <v>43079</v>
      </c>
      <c r="N32" s="737">
        <f t="shared" si="39"/>
        <v>43108</v>
      </c>
      <c r="O32" s="737">
        <f t="shared" si="39"/>
        <v>43136</v>
      </c>
      <c r="P32" s="737">
        <f t="shared" si="39"/>
        <v>43164</v>
      </c>
      <c r="Q32" s="737">
        <f t="shared" si="39"/>
        <v>43192</v>
      </c>
      <c r="R32" s="737">
        <f t="shared" si="39"/>
        <v>43220</v>
      </c>
      <c r="S32" s="737">
        <f t="shared" si="39"/>
        <v>43248</v>
      </c>
      <c r="T32" s="737">
        <f t="shared" si="39"/>
        <v>43276</v>
      </c>
      <c r="U32" s="737">
        <f t="shared" si="39"/>
        <v>43304</v>
      </c>
      <c r="V32" s="737">
        <f t="shared" si="39"/>
        <v>43332</v>
      </c>
      <c r="W32" s="737">
        <f t="shared" si="39"/>
        <v>43360</v>
      </c>
      <c r="X32" s="737">
        <f t="shared" si="39"/>
        <v>43388</v>
      </c>
      <c r="Y32" s="737">
        <f t="shared" si="39"/>
        <v>43416</v>
      </c>
      <c r="Z32" s="779">
        <f t="shared" si="39"/>
        <v>43444</v>
      </c>
      <c r="AA32" s="786">
        <f t="shared" si="39"/>
        <v>43473</v>
      </c>
      <c r="AO32" s="1055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3">
        <f t="shared" si="14"/>
        <v>0.6428571428571429</v>
      </c>
      <c r="AT32" s="769">
        <f t="shared" si="15"/>
        <v>29.664108206039025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3">
        <f t="shared" si="19"/>
        <v>0.86206896551724133</v>
      </c>
      <c r="AY32" s="769">
        <f t="shared" si="20"/>
        <v>29.722618474220404</v>
      </c>
      <c r="AZ32" s="746">
        <f t="shared" si="26"/>
        <v>29.693363340129714</v>
      </c>
      <c r="BA32" s="643">
        <f t="shared" si="21"/>
        <v>0.95920138375957564</v>
      </c>
      <c r="BC32" s="11">
        <v>43118</v>
      </c>
      <c r="BD32" s="290">
        <f>[3]!FeuilCaduc*(1-Persistant)+Persistant</f>
        <v>0.60082102964158302</v>
      </c>
      <c r="BE32" s="291">
        <f>[3]!CroissVégét</f>
        <v>1.4085719996856784E-3</v>
      </c>
      <c r="BF32" s="816">
        <f>1+[3]!Salcycl*Ksac</f>
        <v>1.0001026287051979</v>
      </c>
      <c r="BH32" s="1053">
        <f t="shared" si="22"/>
        <v>2.1669095938243164E-3</v>
      </c>
      <c r="BI32" s="11">
        <v>44214</v>
      </c>
      <c r="BJ32" s="726">
        <v>4.9375323215843884E-4</v>
      </c>
      <c r="BK32" s="726">
        <v>8.7131406750531578E-4</v>
      </c>
      <c r="BL32" s="726">
        <v>1.4058653978805884E-3</v>
      </c>
      <c r="BM32" s="726">
        <v>2.1689016443214755E-3</v>
      </c>
      <c r="BN32" s="726">
        <v>3.2391057061873217E-3</v>
      </c>
      <c r="BO32" s="727">
        <v>4.9939109079602546E-3</v>
      </c>
      <c r="BP32" s="726">
        <v>7.3179368206857621E-3</v>
      </c>
      <c r="BQ32" s="726">
        <v>1.0457766368971578E-2</v>
      </c>
      <c r="BR32" s="726">
        <v>1.4008869334169147E-2</v>
      </c>
      <c r="BS32" s="726">
        <v>1.8358362010433098E-2</v>
      </c>
      <c r="BT32" s="726">
        <v>2.3138271562484197E-2</v>
      </c>
      <c r="BW32" s="1186">
        <f>'2018'!R\Max</f>
        <v>0</v>
      </c>
      <c r="BX32" s="1184">
        <f>'2019'!R\Max</f>
        <v>0.51475090985968175</v>
      </c>
      <c r="BY32" s="1184">
        <f>'2020'!R\Max</f>
        <v>0.64710815682014799</v>
      </c>
      <c r="BZ32" s="1184">
        <f>'2021'!R\Max</f>
        <v>0.95920138375957564</v>
      </c>
      <c r="CA32" s="1184">
        <f>'2022'!R\Max</f>
        <v>0.13180194315499236</v>
      </c>
      <c r="CB32" s="1184">
        <f>'2023'!R\Max</f>
        <v>0.13178800100404908</v>
      </c>
      <c r="CC32" s="1184">
        <f>'2024'!R\Max</f>
        <v>0.13177404581871288</v>
      </c>
      <c r="CD32" s="1184">
        <f>'2025'!R\Max</f>
        <v>0.13175521062207918</v>
      </c>
      <c r="CE32" s="1184">
        <f>'2026'!R\Max</f>
        <v>0.13182974926487356</v>
      </c>
      <c r="CF32" s="1185">
        <f>'2027'!R\Max</f>
        <v>0.13182332296129876</v>
      </c>
    </row>
    <row r="33" spans="1:84" s="6" customFormat="1" ht="11.25" x14ac:dyDescent="0.2">
      <c r="A33" s="11">
        <v>43119</v>
      </c>
      <c r="B33" s="380">
        <f>'2022'!Maxi_hp</f>
        <v>30.474199442688686</v>
      </c>
      <c r="C33" s="13">
        <f>'2022'!An_max</f>
        <v>2021</v>
      </c>
      <c r="D33" s="1062">
        <f t="shared" si="7"/>
        <v>1.0171156758545088</v>
      </c>
      <c r="E33" s="1057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3">
        <f t="shared" si="9"/>
        <v>0.21428571428571427</v>
      </c>
      <c r="J33" s="746">
        <f t="shared" si="27"/>
        <v>29.961390003242663</v>
      </c>
      <c r="L33" s="755" t="s">
        <v>213</v>
      </c>
      <c r="M33" s="780">
        <f t="shared" ref="M33:AA33" si="40">M29</f>
        <v>250.41</v>
      </c>
      <c r="N33" s="743">
        <f t="shared" si="40"/>
        <v>272.01400000000001</v>
      </c>
      <c r="O33" s="743">
        <f t="shared" si="40"/>
        <v>355.48399999999998</v>
      </c>
      <c r="P33" s="743">
        <f t="shared" si="40"/>
        <v>454.666</v>
      </c>
      <c r="Q33" s="743">
        <f t="shared" si="40"/>
        <v>554.83000000000004</v>
      </c>
      <c r="R33" s="743">
        <f t="shared" si="40"/>
        <v>616.69600000000003</v>
      </c>
      <c r="S33" s="743">
        <f t="shared" si="40"/>
        <v>637.31799999999998</v>
      </c>
      <c r="T33" s="743">
        <f t="shared" si="40"/>
        <v>627.49799999999993</v>
      </c>
      <c r="U33" s="743">
        <f t="shared" si="40"/>
        <v>598.03800000000001</v>
      </c>
      <c r="V33" s="743">
        <f t="shared" si="40"/>
        <v>555.81200000000001</v>
      </c>
      <c r="W33" s="743">
        <f t="shared" si="40"/>
        <v>491</v>
      </c>
      <c r="X33" s="743">
        <f t="shared" si="40"/>
        <v>398.69200000000001</v>
      </c>
      <c r="Y33" s="743">
        <f t="shared" si="40"/>
        <v>310.31200000000001</v>
      </c>
      <c r="Z33" s="778">
        <f t="shared" si="40"/>
        <v>250.41</v>
      </c>
      <c r="AA33" s="776">
        <f t="shared" si="40"/>
        <v>272.01400000000001</v>
      </c>
      <c r="AO33" s="1055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3">
        <f t="shared" si="14"/>
        <v>0.6071428571428571</v>
      </c>
      <c r="AT33" s="769">
        <f t="shared" si="15"/>
        <v>29.961564566048661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3">
        <f t="shared" si="19"/>
        <v>0.89655172413793105</v>
      </c>
      <c r="AY33" s="769">
        <f t="shared" si="20"/>
        <v>30.001051685419576</v>
      </c>
      <c r="AZ33" s="746">
        <f t="shared" si="26"/>
        <v>29.981308125734117</v>
      </c>
      <c r="BA33" s="643">
        <f t="shared" si="21"/>
        <v>1.0171156758545088</v>
      </c>
      <c r="BC33" s="11">
        <v>43119</v>
      </c>
      <c r="BD33" s="290">
        <f>[3]!FeuilCaduc*(1-Persistant)+Persistant</f>
        <v>0.60068923385957229</v>
      </c>
      <c r="BE33" s="291">
        <f>[3]!CroissVégét</f>
        <v>1.5257359314074395E-3</v>
      </c>
      <c r="BF33" s="816">
        <f>1+[3]!Salcycl*Ksac</f>
        <v>1.0000861542324466</v>
      </c>
      <c r="BH33" s="1053">
        <f t="shared" si="22"/>
        <v>2.1367185194532904E-3</v>
      </c>
      <c r="BI33" s="11">
        <v>44215</v>
      </c>
      <c r="BJ33" s="726">
        <v>4.8985600351452308E-4</v>
      </c>
      <c r="BK33" s="726">
        <v>8.6604556268585588E-4</v>
      </c>
      <c r="BL33" s="726">
        <v>1.3936787592755222E-3</v>
      </c>
      <c r="BM33" s="726">
        <v>2.1386634429302184E-3</v>
      </c>
      <c r="BN33" s="726">
        <v>3.1784443030025054E-3</v>
      </c>
      <c r="BO33" s="727">
        <v>4.8929657630858818E-3</v>
      </c>
      <c r="BP33" s="726">
        <v>7.174548042378724E-3</v>
      </c>
      <c r="BQ33" s="726">
        <v>1.0318359736971086E-2</v>
      </c>
      <c r="BR33" s="726">
        <v>1.3898055014866755E-2</v>
      </c>
      <c r="BS33" s="726">
        <v>1.8290420377567021E-2</v>
      </c>
      <c r="BT33" s="726">
        <v>2.3081553690761262E-2</v>
      </c>
      <c r="BW33" s="1186">
        <f>'2018'!R\Max</f>
        <v>0</v>
      </c>
      <c r="BX33" s="1184">
        <f>'2019'!R\Max</f>
        <v>0.57143561428112322</v>
      </c>
      <c r="BY33" s="1184">
        <f>'2020'!R\Max</f>
        <v>0.96615898976648318</v>
      </c>
      <c r="BZ33" s="1184">
        <f>'2021'!R\Max</f>
        <v>1.0171156758545088</v>
      </c>
      <c r="CA33" s="1184">
        <f>'2022'!R\Max</f>
        <v>0.37770240000387884</v>
      </c>
      <c r="CB33" s="1184">
        <f>'2023'!R\Max</f>
        <v>0.37766786784171391</v>
      </c>
      <c r="CC33" s="1184">
        <f>'2024'!R\Max</f>
        <v>0.37763330313665988</v>
      </c>
      <c r="CD33" s="1184">
        <f>'2025'!R\Max</f>
        <v>0.37758572312704503</v>
      </c>
      <c r="CE33" s="1184">
        <f>'2026'!R\Max</f>
        <v>0.37777084575695219</v>
      </c>
      <c r="CF33" s="1185">
        <f>'2027'!R\Max</f>
        <v>0.37775509482564784</v>
      </c>
    </row>
    <row r="34" spans="1:84" s="6" customFormat="1" ht="11.25" x14ac:dyDescent="0.2">
      <c r="A34" s="11">
        <v>43120</v>
      </c>
      <c r="B34" s="380">
        <f>'2022'!Maxi_hp</f>
        <v>12.344744575403277</v>
      </c>
      <c r="C34" s="13">
        <f>'2022'!An_max</f>
        <v>2020</v>
      </c>
      <c r="D34" s="1062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3">
        <f t="shared" si="9"/>
        <v>0.14285714285714285</v>
      </c>
      <c r="J34" s="746">
        <f t="shared" si="27"/>
        <v>30.247722550162244</v>
      </c>
      <c r="L34" s="755" t="s">
        <v>214</v>
      </c>
      <c r="M34" s="782">
        <f t="shared" ref="M34:AA34" si="41">N28</f>
        <v>43108</v>
      </c>
      <c r="N34" s="738">
        <f t="shared" si="41"/>
        <v>43136</v>
      </c>
      <c r="O34" s="738">
        <f t="shared" si="41"/>
        <v>43164</v>
      </c>
      <c r="P34" s="738">
        <f t="shared" si="41"/>
        <v>43192</v>
      </c>
      <c r="Q34" s="738">
        <f t="shared" si="41"/>
        <v>43220</v>
      </c>
      <c r="R34" s="738">
        <f t="shared" si="41"/>
        <v>43248</v>
      </c>
      <c r="S34" s="738">
        <f t="shared" si="41"/>
        <v>43276</v>
      </c>
      <c r="T34" s="738">
        <f t="shared" si="41"/>
        <v>43304</v>
      </c>
      <c r="U34" s="738">
        <f t="shared" si="41"/>
        <v>43332</v>
      </c>
      <c r="V34" s="738">
        <f t="shared" si="41"/>
        <v>43360</v>
      </c>
      <c r="W34" s="738">
        <f t="shared" si="41"/>
        <v>43388</v>
      </c>
      <c r="X34" s="738">
        <f t="shared" si="41"/>
        <v>43416</v>
      </c>
      <c r="Y34" s="738">
        <f t="shared" si="41"/>
        <v>43444</v>
      </c>
      <c r="Z34" s="788">
        <f t="shared" si="41"/>
        <v>43473</v>
      </c>
      <c r="AA34" s="786">
        <f t="shared" si="41"/>
        <v>43501</v>
      </c>
      <c r="AO34" s="1055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3">
        <f t="shared" si="14"/>
        <v>0.5714285714285714</v>
      </c>
      <c r="AT34" s="769">
        <f t="shared" si="15"/>
        <v>30.265823715712344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3">
        <f t="shared" si="19"/>
        <v>0.93103448275862066</v>
      </c>
      <c r="AY34" s="769">
        <f t="shared" si="20"/>
        <v>30.279665311477309</v>
      </c>
      <c r="AZ34" s="746">
        <f t="shared" si="26"/>
        <v>30.272744513594827</v>
      </c>
      <c r="BA34" s="643">
        <f t="shared" si="21"/>
        <v>0.40812145624950735</v>
      </c>
      <c r="BC34" s="11">
        <v>43120</v>
      </c>
      <c r="BD34" s="290">
        <f>[3]!FeuilCaduc*(1-Persistant)+Persistant</f>
        <v>0.60056800106036667</v>
      </c>
      <c r="BE34" s="291">
        <f>[3]!CroissVégét</f>
        <v>1.6477858914927391E-3</v>
      </c>
      <c r="BF34" s="816">
        <f>1+[3]!Salcycl*Ksac</f>
        <v>1.0000710001325459</v>
      </c>
      <c r="BH34" s="1053">
        <f t="shared" si="22"/>
        <v>2.1063864254335829E-3</v>
      </c>
      <c r="BI34" s="11">
        <v>44216</v>
      </c>
      <c r="BJ34" s="726">
        <v>4.8579244038545995E-4</v>
      </c>
      <c r="BK34" s="726">
        <v>8.6097266356373022E-4</v>
      </c>
      <c r="BL34" s="726">
        <v>1.3816589858363026E-3</v>
      </c>
      <c r="BM34" s="726">
        <v>2.1082834159947736E-3</v>
      </c>
      <c r="BN34" s="726">
        <v>3.1163470978000174E-3</v>
      </c>
      <c r="BO34" s="727">
        <v>4.7884458877162518E-3</v>
      </c>
      <c r="BP34" s="726">
        <v>7.0232756872084983E-3</v>
      </c>
      <c r="BQ34" s="726">
        <v>1.0167630304771681E-2</v>
      </c>
      <c r="BR34" s="726">
        <v>1.3774203782227443E-2</v>
      </c>
      <c r="BS34" s="726">
        <v>1.8212518614566634E-2</v>
      </c>
      <c r="BT34" s="726">
        <v>2.3020202499720713E-2</v>
      </c>
      <c r="BW34" s="1186">
        <f>'2018'!R\Max</f>
        <v>0</v>
      </c>
      <c r="BX34" s="1184">
        <f>'2019'!R\Max</f>
        <v>0.26140000471272734</v>
      </c>
      <c r="BY34" s="1184">
        <f>'2020'!R\Max</f>
        <v>0.40812145624950735</v>
      </c>
      <c r="BZ34" s="1184">
        <f>'2021'!R\Max</f>
        <v>0.23175920527910882</v>
      </c>
      <c r="CA34" s="1184">
        <f>'2022'!R\Max</f>
        <v>0.23536410152400106</v>
      </c>
      <c r="CB34" s="1184">
        <f>'2023'!R\Max</f>
        <v>0.23534061874079121</v>
      </c>
      <c r="CC34" s="1184">
        <f>'2024'!R\Max</f>
        <v>0.23531711480431311</v>
      </c>
      <c r="CD34" s="1184">
        <f>'2025'!R\Max</f>
        <v>0.23528407949346106</v>
      </c>
      <c r="CE34" s="1184">
        <f>'2026'!R\Max</f>
        <v>0.23541037959078073</v>
      </c>
      <c r="CF34" s="1185">
        <f>'2027'!R\Max</f>
        <v>0.23539977768062706</v>
      </c>
    </row>
    <row r="35" spans="1:84" s="6" customFormat="1" ht="11.25" x14ac:dyDescent="0.2">
      <c r="A35" s="11">
        <v>43121</v>
      </c>
      <c r="B35" s="380">
        <f>'2022'!Maxi_hp</f>
        <v>22.745493436016041</v>
      </c>
      <c r="C35" s="13">
        <f>'2022'!An_max</f>
        <v>2022</v>
      </c>
      <c r="D35" s="1062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3">
        <f t="shared" si="9"/>
        <v>7.1428571428571425E-2</v>
      </c>
      <c r="J35" s="746">
        <f t="shared" si="27"/>
        <v>30.538937782070469</v>
      </c>
      <c r="L35" s="755" t="s">
        <v>215</v>
      </c>
      <c r="M35" s="783">
        <f t="shared" ref="M35:AA35" si="42">N29</f>
        <v>272.01400000000001</v>
      </c>
      <c r="N35" s="743">
        <f t="shared" si="42"/>
        <v>355.48399999999998</v>
      </c>
      <c r="O35" s="743">
        <f t="shared" si="42"/>
        <v>454.666</v>
      </c>
      <c r="P35" s="743">
        <f t="shared" si="42"/>
        <v>554.83000000000004</v>
      </c>
      <c r="Q35" s="743">
        <f t="shared" si="42"/>
        <v>616.69600000000003</v>
      </c>
      <c r="R35" s="743">
        <f t="shared" si="42"/>
        <v>637.31799999999998</v>
      </c>
      <c r="S35" s="743">
        <f t="shared" si="42"/>
        <v>627.49799999999993</v>
      </c>
      <c r="T35" s="743">
        <f t="shared" si="42"/>
        <v>598.03800000000001</v>
      </c>
      <c r="U35" s="743">
        <f t="shared" si="42"/>
        <v>555.81200000000001</v>
      </c>
      <c r="V35" s="743">
        <f t="shared" si="42"/>
        <v>491</v>
      </c>
      <c r="W35" s="743">
        <f t="shared" si="42"/>
        <v>398.69200000000001</v>
      </c>
      <c r="X35" s="743">
        <f t="shared" si="42"/>
        <v>310.31200000000001</v>
      </c>
      <c r="Y35" s="743">
        <f t="shared" si="42"/>
        <v>250.41</v>
      </c>
      <c r="Z35" s="789">
        <f t="shared" si="42"/>
        <v>272.01400000000001</v>
      </c>
      <c r="AA35" s="776">
        <f t="shared" si="42"/>
        <v>355.48399999999998</v>
      </c>
      <c r="AO35" s="1055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3">
        <f t="shared" si="14"/>
        <v>0.5357142857142857</v>
      </c>
      <c r="AT35" s="769">
        <f t="shared" si="15"/>
        <v>30.576259733869563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3">
        <f t="shared" si="19"/>
        <v>0.96551724137931039</v>
      </c>
      <c r="AY35" s="769">
        <f t="shared" si="20"/>
        <v>30.557800900627832</v>
      </c>
      <c r="AZ35" s="746">
        <f t="shared" si="26"/>
        <v>30.567030317248697</v>
      </c>
      <c r="BA35" s="643">
        <f t="shared" si="21"/>
        <v>0.74480303140635129</v>
      </c>
      <c r="BC35" s="11">
        <v>43121</v>
      </c>
      <c r="BD35" s="290">
        <f>[3]!FeuilCaduc*(1-Persistant)+Persistant</f>
        <v>0.60045771504746426</v>
      </c>
      <c r="BE35" s="291">
        <f>[3]!CroissVégét</f>
        <v>1.7749243659651206E-3</v>
      </c>
      <c r="BF35" s="816">
        <f>1+[3]!Salcycl*Ksac</f>
        <v>1.000057214380933</v>
      </c>
      <c r="BH35" s="1053">
        <f t="shared" si="22"/>
        <v>2.0759277408244855E-3</v>
      </c>
      <c r="BI35" s="11">
        <v>44217</v>
      </c>
      <c r="BJ35" s="726">
        <v>4.8156553008673085E-4</v>
      </c>
      <c r="BK35" s="726">
        <v>8.5610076200668826E-4</v>
      </c>
      <c r="BL35" s="726">
        <v>1.3698149905655239E-3</v>
      </c>
      <c r="BM35" s="726">
        <v>2.0777760070128364E-3</v>
      </c>
      <c r="BN35" s="726">
        <v>3.0528362568856262E-3</v>
      </c>
      <c r="BO35" s="727">
        <v>4.6803853523256517E-3</v>
      </c>
      <c r="BP35" s="726">
        <v>6.8641679967954084E-3</v>
      </c>
      <c r="BQ35" s="726">
        <v>1.0005641865551591E-2</v>
      </c>
      <c r="BR35" s="726">
        <v>1.3637396229673991E-2</v>
      </c>
      <c r="BS35" s="726">
        <v>1.8124759881399919E-2</v>
      </c>
      <c r="BT35" s="726">
        <v>2.2954349731782672E-2</v>
      </c>
      <c r="BW35" s="1186">
        <f>'2018'!R\Max</f>
        <v>0</v>
      </c>
      <c r="BX35" s="1184">
        <f>'2019'!R\Max</f>
        <v>0.24382115055059117</v>
      </c>
      <c r="BY35" s="1184">
        <f>'2020'!R\Max</f>
        <v>0.11778898292036648</v>
      </c>
      <c r="BZ35" s="1184">
        <f>'2021'!R\Max</f>
        <v>0.44452067418846458</v>
      </c>
      <c r="CA35" s="1184">
        <f>'2022'!R\Max</f>
        <v>0.74480303140635129</v>
      </c>
      <c r="CB35" s="1184">
        <f>'2023'!R\Max</f>
        <v>0.7447768169066219</v>
      </c>
      <c r="CC35" s="1184">
        <f>'2024'!R\Max</f>
        <v>0.74475057614883122</v>
      </c>
      <c r="CD35" s="1184">
        <f>'2025'!R\Max</f>
        <v>0.74471286161418326</v>
      </c>
      <c r="CE35" s="1184">
        <f>'2026'!R\Max</f>
        <v>0.7448544046986082</v>
      </c>
      <c r="CF35" s="1185">
        <f>'2027'!R\Max</f>
        <v>0.74484269283756877</v>
      </c>
    </row>
    <row r="36" spans="1:84" s="6" customFormat="1" ht="11.25" x14ac:dyDescent="0.2">
      <c r="A36" s="11">
        <v>43122</v>
      </c>
      <c r="B36" s="380">
        <f>'2022'!Maxi_hp</f>
        <v>30.694958235093285</v>
      </c>
      <c r="C36" s="13">
        <f>'2022'!An_max</f>
        <v>2022</v>
      </c>
      <c r="D36" s="1062">
        <f t="shared" si="7"/>
        <v>0.99546480714479813</v>
      </c>
      <c r="E36" s="1057">
        <f>O$13/10</f>
        <v>30.834800000000001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3">
        <f t="shared" si="9"/>
        <v>0</v>
      </c>
      <c r="J36" s="746">
        <f t="shared" si="27"/>
        <v>30.834799999743701</v>
      </c>
      <c r="L36" s="756" t="s">
        <v>216</v>
      </c>
      <c r="M36" s="740">
        <f t="shared" ref="M36:AA36" si="43">x.1lg*x.1lg-x.2lg*x.2lg</f>
        <v>-2411640</v>
      </c>
      <c r="N36" s="740">
        <f t="shared" si="43"/>
        <v>-2499423</v>
      </c>
      <c r="O36" s="740">
        <f t="shared" si="43"/>
        <v>-2414832</v>
      </c>
      <c r="P36" s="740">
        <f t="shared" si="43"/>
        <v>-2416400</v>
      </c>
      <c r="Q36" s="740">
        <f t="shared" si="43"/>
        <v>-2417968</v>
      </c>
      <c r="R36" s="740">
        <f t="shared" si="43"/>
        <v>-2419536</v>
      </c>
      <c r="S36" s="740">
        <f t="shared" si="43"/>
        <v>-2421104</v>
      </c>
      <c r="T36" s="740">
        <f t="shared" si="43"/>
        <v>-2422672</v>
      </c>
      <c r="U36" s="740">
        <f t="shared" si="43"/>
        <v>-2424240</v>
      </c>
      <c r="V36" s="740">
        <f t="shared" si="43"/>
        <v>-2425808</v>
      </c>
      <c r="W36" s="740">
        <f t="shared" si="43"/>
        <v>-2427376</v>
      </c>
      <c r="X36" s="740">
        <f t="shared" si="43"/>
        <v>-2428944</v>
      </c>
      <c r="Y36" s="740">
        <f t="shared" si="43"/>
        <v>-2430512</v>
      </c>
      <c r="Z36" s="740">
        <f t="shared" si="43"/>
        <v>-2432080</v>
      </c>
      <c r="AA36" s="740">
        <f t="shared" si="43"/>
        <v>-2520593</v>
      </c>
      <c r="AO36" s="1055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3">
        <f t="shared" si="14"/>
        <v>0.5</v>
      </c>
      <c r="AT36" s="769">
        <f t="shared" si="15"/>
        <v>30.892246703244744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3">
        <f t="shared" si="19"/>
        <v>1</v>
      </c>
      <c r="AY36" s="769">
        <f t="shared" si="20"/>
        <v>30.834799999743701</v>
      </c>
      <c r="AZ36" s="746">
        <f t="shared" si="26"/>
        <v>30.863523351494223</v>
      </c>
      <c r="BA36" s="643">
        <f t="shared" si="21"/>
        <v>0.99546480714479813</v>
      </c>
      <c r="BC36" s="11">
        <v>43122</v>
      </c>
      <c r="BD36" s="290">
        <f>[3]!FeuilCaduc*(1-Persistant)+Persistant</f>
        <v>0.60035874832137592</v>
      </c>
      <c r="BE36" s="291">
        <f>[3]!CroissVégét</f>
        <v>1.9073621235293117E-3</v>
      </c>
      <c r="BF36" s="816">
        <f>1+[3]!Salcycl*Ksac</f>
        <v>1.0000448435401721</v>
      </c>
      <c r="BH36" s="1053">
        <f t="shared" si="22"/>
        <v>2.0453473937470197E-3</v>
      </c>
      <c r="BI36" s="11">
        <v>44218</v>
      </c>
      <c r="BJ36" s="726">
        <v>4.7717613005064473E-4</v>
      </c>
      <c r="BK36" s="726">
        <v>8.5143142691123026E-4</v>
      </c>
      <c r="BL36" s="726">
        <v>1.3581495215080231E-3</v>
      </c>
      <c r="BM36" s="726">
        <v>2.0471461498118267E-3</v>
      </c>
      <c r="BN36" s="726">
        <v>2.9879198476266927E-3</v>
      </c>
      <c r="BO36" s="727">
        <v>4.5687966546195408E-3</v>
      </c>
      <c r="BP36" s="726">
        <v>6.6972420160118984E-3</v>
      </c>
      <c r="BQ36" s="726">
        <v>9.8324139705064199E-3</v>
      </c>
      <c r="BR36" s="726">
        <v>1.3487653753860934E-2</v>
      </c>
      <c r="BS36" s="726">
        <v>1.8027169096053355E-2</v>
      </c>
      <c r="BT36" s="726">
        <v>2.2884027487171263E-2</v>
      </c>
      <c r="BW36" s="1186">
        <f>'2018'!R\Max</f>
        <v>0</v>
      </c>
      <c r="BX36" s="1184">
        <f>'2019'!R\Max</f>
        <v>0.3820349682239777</v>
      </c>
      <c r="BY36" s="1184">
        <f>'2020'!R\Max</f>
        <v>4.2205459470827288E-2</v>
      </c>
      <c r="BZ36" s="1184">
        <f>'2021'!R\Max</f>
        <v>0.20985541435284147</v>
      </c>
      <c r="CA36" s="1184">
        <f>'2022'!R\Max</f>
        <v>0.99546480714479813</v>
      </c>
      <c r="CB36" s="1184">
        <f>'2023'!R\Max</f>
        <v>0.99546420616090348</v>
      </c>
      <c r="CC36" s="1184">
        <f>'2024'!R\Max</f>
        <v>0.99546360455265248</v>
      </c>
      <c r="CD36" s="1184">
        <f>'2025'!R\Max</f>
        <v>0.9954627191321288</v>
      </c>
      <c r="CE36" s="1184">
        <f>'2026'!R\Max</f>
        <v>0.99546597888261523</v>
      </c>
      <c r="CF36" s="1185">
        <f>'2027'!R\Max</f>
        <v>0.9954657131304866</v>
      </c>
    </row>
    <row r="37" spans="1:84" s="6" customFormat="1" ht="11.25" x14ac:dyDescent="0.2">
      <c r="A37" s="11">
        <v>43123</v>
      </c>
      <c r="B37" s="380">
        <f>'2022'!Maxi_hp</f>
        <v>30.768234513818296</v>
      </c>
      <c r="C37" s="13">
        <f>'2022'!An_max</f>
        <v>2022</v>
      </c>
      <c r="D37" s="1062">
        <f t="shared" si="7"/>
        <v>0.98812529582591346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3">
        <f t="shared" si="9"/>
        <v>7.1428571428571425E-2</v>
      </c>
      <c r="J37" s="746">
        <f>((1-I37)*(INDEX(a.m,F37)*$A37*$A37+INDEX(b.m,F37)*$A37+INDEX(c.m,F37))+I37*(INDEX(a.m,G37)*$A37*$A37+INDEX(b.m,G37)*$A37+INDEX(c.m,G37)))/10</f>
        <v>31.137988920829127</v>
      </c>
      <c r="L37" s="756" t="s">
        <v>217</v>
      </c>
      <c r="M37" s="740">
        <f t="shared" ref="M37:AA37" si="44">x.2lg*x.2lg-x.3lg*x.3lg</f>
        <v>-2499423</v>
      </c>
      <c r="N37" s="740">
        <f t="shared" si="44"/>
        <v>-2414832</v>
      </c>
      <c r="O37" s="740">
        <f t="shared" si="44"/>
        <v>-2416400</v>
      </c>
      <c r="P37" s="740">
        <f t="shared" si="44"/>
        <v>-2417968</v>
      </c>
      <c r="Q37" s="740">
        <f t="shared" si="44"/>
        <v>-2419536</v>
      </c>
      <c r="R37" s="740">
        <f t="shared" si="44"/>
        <v>-2421104</v>
      </c>
      <c r="S37" s="740">
        <f t="shared" si="44"/>
        <v>-2422672</v>
      </c>
      <c r="T37" s="740">
        <f t="shared" si="44"/>
        <v>-2424240</v>
      </c>
      <c r="U37" s="740">
        <f t="shared" si="44"/>
        <v>-2425808</v>
      </c>
      <c r="V37" s="740">
        <f t="shared" si="44"/>
        <v>-2427376</v>
      </c>
      <c r="W37" s="740">
        <f t="shared" si="44"/>
        <v>-2428944</v>
      </c>
      <c r="X37" s="740">
        <f t="shared" si="44"/>
        <v>-2430512</v>
      </c>
      <c r="Y37" s="740">
        <f t="shared" si="44"/>
        <v>-2432080</v>
      </c>
      <c r="Z37" s="740">
        <f t="shared" si="44"/>
        <v>-2520593</v>
      </c>
      <c r="AA37" s="740">
        <f t="shared" si="44"/>
        <v>-2435272</v>
      </c>
      <c r="AO37" s="1055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3">
        <f t="shared" si="14"/>
        <v>0.4642857142857143</v>
      </c>
      <c r="AT37" s="769">
        <f t="shared" si="15"/>
        <v>31.213158707240858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3">
        <f t="shared" si="19"/>
        <v>0.9642857142857143</v>
      </c>
      <c r="AY37" s="769">
        <f t="shared" si="20"/>
        <v>31.115077130499827</v>
      </c>
      <c r="AZ37" s="746">
        <f t="shared" si="26"/>
        <v>31.164117918870343</v>
      </c>
      <c r="BA37" s="643">
        <f t="shared" si="21"/>
        <v>0.98812529582591346</v>
      </c>
      <c r="BC37" s="11">
        <v>43123</v>
      </c>
      <c r="BD37" s="290">
        <f>[3]!FeuilCaduc*(1-Persistant)+Persistant</f>
        <v>0.60027144846244596</v>
      </c>
      <c r="BE37" s="291">
        <f>[3]!CroissVégét</f>
        <v>2.045318545083899E-3</v>
      </c>
      <c r="BF37" s="816">
        <f>1+[3]!Salcycl*Ksac</f>
        <v>1.0000339310578057</v>
      </c>
      <c r="BH37" s="1053">
        <f t="shared" si="22"/>
        <v>2.0146501670739664E-3</v>
      </c>
      <c r="BI37" s="11">
        <v>44219</v>
      </c>
      <c r="BJ37" s="726">
        <v>4.7262509792610143E-4</v>
      </c>
      <c r="BK37" s="726">
        <v>8.4696616924832217E-4</v>
      </c>
      <c r="BL37" s="726">
        <v>1.3466652348093884E-3</v>
      </c>
      <c r="BM37" s="726">
        <v>2.016398632831283E-3</v>
      </c>
      <c r="BN37" s="726">
        <v>2.9216058081258777E-3</v>
      </c>
      <c r="BO37" s="727">
        <v>4.4536922403716119E-3</v>
      </c>
      <c r="BP37" s="726">
        <v>6.5225150958984901E-3</v>
      </c>
      <c r="BQ37" s="726">
        <v>9.6479669473680512E-3</v>
      </c>
      <c r="BR37" s="726">
        <v>1.3324998886253254E-2</v>
      </c>
      <c r="BS37" s="726">
        <v>1.7919772086704477E-2</v>
      </c>
      <c r="BT37" s="726">
        <v>2.2809268083637563E-2</v>
      </c>
      <c r="BW37" s="1186">
        <f>'2018'!R\Max</f>
        <v>0</v>
      </c>
      <c r="BX37" s="1184">
        <f>'2019'!R\Max</f>
        <v>0.34102158121469367</v>
      </c>
      <c r="BY37" s="1184">
        <f>'2020'!R\Max</f>
        <v>0.41395322592003864</v>
      </c>
      <c r="BZ37" s="1184">
        <f>'2021'!R\Max</f>
        <v>0.27183781793986378</v>
      </c>
      <c r="CA37" s="1184">
        <f>'2022'!R\Max</f>
        <v>0.98812529582591346</v>
      </c>
      <c r="CB37" s="1184">
        <f>'2023'!R\Max</f>
        <v>0.98812379257200689</v>
      </c>
      <c r="CC37" s="1184">
        <f>'2024'!R\Max</f>
        <v>0.98812228781273126</v>
      </c>
      <c r="CD37" s="1184">
        <f>'2025'!R\Max</f>
        <v>0.98812001645261605</v>
      </c>
      <c r="CE37" s="1184">
        <f>'2026'!R\Max</f>
        <v>0.98812821314122767</v>
      </c>
      <c r="CF37" s="1185">
        <f>'2027'!R\Max</f>
        <v>0.98812755511236461</v>
      </c>
    </row>
    <row r="38" spans="1:84" s="6" customFormat="1" ht="11.25" x14ac:dyDescent="0.2">
      <c r="A38" s="11">
        <v>43124</v>
      </c>
      <c r="B38" s="380">
        <f>'2022'!Maxi_hp</f>
        <v>31.46244680579083</v>
      </c>
      <c r="C38" s="13">
        <f>'2022'!An_max</f>
        <v>2022</v>
      </c>
      <c r="D38" s="1062">
        <f t="shared" si="7"/>
        <v>1.0003758637461395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3">
        <f t="shared" si="9"/>
        <v>0.14285714285714285</v>
      </c>
      <c r="J38" s="746">
        <f t="shared" si="27"/>
        <v>31.450625655813404</v>
      </c>
      <c r="L38" s="756" t="s">
        <v>218</v>
      </c>
      <c r="M38" s="740">
        <f t="shared" ref="M38:AA38" si="45">(y.1lg-y.2lg-b.lg*(x.1lg-x.2lg))/D2x12Lg</f>
        <v>5.0602151931548899E-2</v>
      </c>
      <c r="N38" s="740">
        <f t="shared" si="45"/>
        <v>3.9229928268951844E-2</v>
      </c>
      <c r="O38" s="740">
        <f t="shared" si="45"/>
        <v>1.0020408163263866E-2</v>
      </c>
      <c r="P38" s="740">
        <f t="shared" si="45"/>
        <v>6.2627551020410924E-4</v>
      </c>
      <c r="Q38" s="740">
        <f t="shared" si="45"/>
        <v>-2.4424744897962165E-2</v>
      </c>
      <c r="R38" s="740">
        <f t="shared" si="45"/>
        <v>-2.6303571428569643E-2</v>
      </c>
      <c r="S38" s="740">
        <f t="shared" si="45"/>
        <v>-1.9414540816326889E-2</v>
      </c>
      <c r="T38" s="740">
        <f t="shared" si="45"/>
        <v>-1.2525510204082135E-2</v>
      </c>
      <c r="U38" s="740">
        <f t="shared" si="45"/>
        <v>-8.1415816326541948E-3</v>
      </c>
      <c r="V38" s="740">
        <f t="shared" si="45"/>
        <v>-1.4404336734696006E-2</v>
      </c>
      <c r="W38" s="740">
        <f t="shared" si="45"/>
        <v>-1.7535714285714928E-2</v>
      </c>
      <c r="X38" s="740">
        <f t="shared" si="45"/>
        <v>2.5051020408167418E-3</v>
      </c>
      <c r="Y38" s="740">
        <f t="shared" si="45"/>
        <v>1.816198979591668E-2</v>
      </c>
      <c r="Z38" s="740">
        <f t="shared" si="45"/>
        <v>5.0602151931558169E-2</v>
      </c>
      <c r="AA38" s="740">
        <f t="shared" si="45"/>
        <v>3.9229928268944787E-2</v>
      </c>
      <c r="AO38" s="1055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3">
        <f t="shared" si="14"/>
        <v>0.42857142857142855</v>
      </c>
      <c r="AT38" s="769">
        <f t="shared" si="15"/>
        <v>31.538369826120988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3">
        <f t="shared" si="19"/>
        <v>0.9285714285714286</v>
      </c>
      <c r="AY38" s="769">
        <f t="shared" si="20"/>
        <v>31.403221973903214</v>
      </c>
      <c r="AZ38" s="746">
        <f t="shared" si="26"/>
        <v>31.470795900012099</v>
      </c>
      <c r="BA38" s="643">
        <f t="shared" si="21"/>
        <v>1.0003758637461395</v>
      </c>
      <c r="BC38" s="11">
        <v>43124</v>
      </c>
      <c r="BD38" s="290">
        <f>[3]!FeuilCaduc*(1-Persistant)+Persistant</f>
        <v>0.60019612565608527</v>
      </c>
      <c r="BE38" s="291">
        <f>[3]!CroissVégét</f>
        <v>2.1890219655428525E-3</v>
      </c>
      <c r="BF38" s="816">
        <f>1+[3]!Salcycl*Ksac</f>
        <v>1.0000245157070107</v>
      </c>
      <c r="BH38" s="1053">
        <f t="shared" si="22"/>
        <v>1.9840849651784967E-3</v>
      </c>
      <c r="BI38" s="11">
        <v>44220</v>
      </c>
      <c r="BJ38" s="726">
        <v>4.6843846084154874E-4</v>
      </c>
      <c r="BK38" s="726">
        <v>8.4287805372655167E-4</v>
      </c>
      <c r="BL38" s="726">
        <v>1.3353442541271128E-3</v>
      </c>
      <c r="BM38" s="726">
        <v>1.9857830587489689E-3</v>
      </c>
      <c r="BN38" s="726">
        <v>2.8551805250508541E-3</v>
      </c>
      <c r="BO38" s="727">
        <v>4.337774050753097E-3</v>
      </c>
      <c r="BP38" s="726">
        <v>6.3443103153847684E-3</v>
      </c>
      <c r="BQ38" s="726">
        <v>9.4530789510510419E-3</v>
      </c>
      <c r="BR38" s="726">
        <v>1.3145975851819168E-2</v>
      </c>
      <c r="BS38" s="726">
        <v>1.7795927379437096E-2</v>
      </c>
      <c r="BT38" s="726">
        <v>2.272650885633452E-2</v>
      </c>
      <c r="BW38" s="1186">
        <f>'2018'!R\Max</f>
        <v>0</v>
      </c>
      <c r="BX38" s="1184">
        <f>'2019'!R\Max</f>
        <v>0.35663519742131805</v>
      </c>
      <c r="BY38" s="1184">
        <f>'2020'!R\Max</f>
        <v>0.52343548540821705</v>
      </c>
      <c r="BZ38" s="1184">
        <f>'2021'!R\Max</f>
        <v>0.51190401311206102</v>
      </c>
      <c r="CA38" s="1184">
        <f>'2022'!R\Max</f>
        <v>1.0003758637461395</v>
      </c>
      <c r="CB38" s="1184">
        <f>'2023'!R\Max</f>
        <v>1.0003758637461395</v>
      </c>
      <c r="CC38" s="1184">
        <f>'2024'!R\Max</f>
        <v>1.0003758637461395</v>
      </c>
      <c r="CD38" s="1184">
        <f>'2025'!R\Max</f>
        <v>1.0003758637461395</v>
      </c>
      <c r="CE38" s="1184">
        <f>'2026'!R\Max</f>
        <v>1.0003758637461393</v>
      </c>
      <c r="CF38" s="1185">
        <f>'2027'!R\Max</f>
        <v>1.0003758637461395</v>
      </c>
    </row>
    <row r="39" spans="1:84" s="6" customFormat="1" ht="11.25" x14ac:dyDescent="0.2">
      <c r="A39" s="11">
        <v>43125</v>
      </c>
      <c r="B39" s="380">
        <f>'2022'!Maxi_hp</f>
        <v>29.965963471414504</v>
      </c>
      <c r="C39" s="13">
        <f>'2022'!An_max</f>
        <v>2022</v>
      </c>
      <c r="D39" s="1062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3">
        <f t="shared" si="9"/>
        <v>0.21428571428571427</v>
      </c>
      <c r="J39" s="746">
        <f t="shared" si="27"/>
        <v>31.771636589430273</v>
      </c>
      <c r="L39" s="756" t="s">
        <v>219</v>
      </c>
      <c r="M39" s="740">
        <f t="shared" ref="M39:AA39" si="46">(y.2lg-y.3lg-(y.1lg-y.2lg)*D2x23Lg/D2x12Lg)/(x.2lg-x.3lg)/(1-(x.2lg+x.3lg)/(x.1lg+x.2lg))</f>
        <v>-4360.5027030071642</v>
      </c>
      <c r="N39" s="740">
        <f t="shared" si="46"/>
        <v>-3380.3648621989109</v>
      </c>
      <c r="O39" s="740">
        <f t="shared" si="46"/>
        <v>-861.2190102039574</v>
      </c>
      <c r="P39" s="740">
        <f t="shared" si="46"/>
        <v>-50.50536224490034</v>
      </c>
      <c r="Q39" s="740">
        <f t="shared" si="46"/>
        <v>2112.8005561227064</v>
      </c>
      <c r="R39" s="740">
        <f t="shared" si="46"/>
        <v>2275.15371428556</v>
      </c>
      <c r="S39" s="740">
        <f t="shared" si="46"/>
        <v>1679.4730153061537</v>
      </c>
      <c r="T39" s="740">
        <f t="shared" si="46"/>
        <v>1083.4065306122884</v>
      </c>
      <c r="U39" s="740">
        <f t="shared" si="46"/>
        <v>703.84599489805737</v>
      </c>
      <c r="V39" s="740">
        <f t="shared" si="46"/>
        <v>1246.4260459185516</v>
      </c>
      <c r="W39" s="740">
        <f t="shared" si="46"/>
        <v>1517.8914285714843</v>
      </c>
      <c r="X39" s="740">
        <f t="shared" si="46"/>
        <v>-220.60930612248501</v>
      </c>
      <c r="Y39" s="740">
        <f t="shared" si="46"/>
        <v>-1579.6897908161798</v>
      </c>
      <c r="Z39" s="740">
        <f t="shared" si="46"/>
        <v>-4397.442273918</v>
      </c>
      <c r="AA39" s="740">
        <f t="shared" si="46"/>
        <v>-3409.0027098346322</v>
      </c>
      <c r="AO39" s="1055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3">
        <f t="shared" si="14"/>
        <v>0.39285714285714285</v>
      </c>
      <c r="AT39" s="769">
        <f t="shared" si="15"/>
        <v>31.867254142689386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3">
        <f t="shared" si="19"/>
        <v>0.8928571428571429</v>
      </c>
      <c r="AY39" s="769">
        <f t="shared" si="20"/>
        <v>31.698838819862743</v>
      </c>
      <c r="AZ39" s="746">
        <f t="shared" si="26"/>
        <v>31.783046481276067</v>
      </c>
      <c r="BA39" s="643">
        <f t="shared" si="21"/>
        <v>0.94316713547527875</v>
      </c>
      <c r="BC39" s="11">
        <v>43125</v>
      </c>
      <c r="BD39" s="290">
        <f>[3]!FeuilCaduc*(1-Persistant)+Persistant</f>
        <v>0.60013304146569446</v>
      </c>
      <c r="BE39" s="291">
        <f>[3]!CroissVégét</f>
        <v>2.3387100283593187E-3</v>
      </c>
      <c r="BF39" s="816">
        <f>1+[3]!Salcycl*Ksac</f>
        <v>1.0000166301832119</v>
      </c>
      <c r="BH39" s="1053">
        <f t="shared" si="22"/>
        <v>1.9540113447724808E-3</v>
      </c>
      <c r="BI39" s="11">
        <v>44221</v>
      </c>
      <c r="BJ39" s="726">
        <v>4.6480602597828523E-4</v>
      </c>
      <c r="BK39" s="726">
        <v>8.3861209983020538E-4</v>
      </c>
      <c r="BL39" s="726">
        <v>1.3236924999825766E-3</v>
      </c>
      <c r="BM39" s="726">
        <v>1.9556612186889034E-3</v>
      </c>
      <c r="BN39" s="726">
        <v>2.7909569610655616E-3</v>
      </c>
      <c r="BO39" s="727">
        <v>4.225421742906822E-3</v>
      </c>
      <c r="BP39" s="726">
        <v>6.1694730071794367E-3</v>
      </c>
      <c r="BQ39" s="726">
        <v>9.2536013994746254E-3</v>
      </c>
      <c r="BR39" s="726">
        <v>1.2954742034578914E-2</v>
      </c>
      <c r="BS39" s="726">
        <v>1.7656782677387607E-2</v>
      </c>
      <c r="BT39" s="726">
        <v>2.263614825428277E-2</v>
      </c>
      <c r="BW39" s="1186">
        <f>'2018'!R\Max</f>
        <v>0</v>
      </c>
      <c r="BX39" s="1184">
        <f>'2019'!R\Max</f>
        <v>0.1765605727805197</v>
      </c>
      <c r="BY39" s="1184">
        <f>'2020'!R\Max</f>
        <v>0.52392680560233207</v>
      </c>
      <c r="BZ39" s="1184">
        <f>'2021'!R\Max</f>
        <v>0.26435869735093437</v>
      </c>
      <c r="CA39" s="1184">
        <f>'2022'!R\Max</f>
        <v>0.94316713547527875</v>
      </c>
      <c r="CB39" s="1184">
        <f>'2023'!R\Max</f>
        <v>0.94316081221940762</v>
      </c>
      <c r="CC39" s="1184">
        <f>'2024'!R\Max</f>
        <v>0.94315448322014561</v>
      </c>
      <c r="CD39" s="1184">
        <f>'2025'!R\Max</f>
        <v>0.94314445135125502</v>
      </c>
      <c r="CE39" s="1184">
        <f>'2026'!R\Max</f>
        <v>0.9431793205711313</v>
      </c>
      <c r="CF39" s="1185">
        <f>'2027'!R\Max</f>
        <v>0.94317660253097091</v>
      </c>
    </row>
    <row r="40" spans="1:84" s="6" customFormat="1" ht="11.25" x14ac:dyDescent="0.2">
      <c r="A40" s="11">
        <v>43126</v>
      </c>
      <c r="B40" s="380">
        <f>'2022'!Maxi_hp</f>
        <v>31.037921449908918</v>
      </c>
      <c r="C40" s="13">
        <f>'2022'!An_max</f>
        <v>2022</v>
      </c>
      <c r="D40" s="1062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3">
        <f t="shared" si="9"/>
        <v>0.2857142857142857</v>
      </c>
      <c r="J40" s="746">
        <f t="shared" si="27"/>
        <v>32.099948104258097</v>
      </c>
      <c r="L40" s="756" t="s">
        <v>220</v>
      </c>
      <c r="M40" s="740">
        <f t="shared" ref="M40:AA40" si="47">(y.1lg+y.2lg+y.3lg-a.lg*(x.3lg*x.3lg+x.2lg*x.2lg+x.1lg*x.1lg)-b.lg*(x.3lg+x.2lg+x.1lg))/3</f>
        <v>93938860.603158578</v>
      </c>
      <c r="N40" s="740">
        <f t="shared" si="47"/>
        <v>72820077.972733349</v>
      </c>
      <c r="O40" s="740">
        <f t="shared" si="47"/>
        <v>18504779.982936095</v>
      </c>
      <c r="P40" s="740">
        <f t="shared" si="47"/>
        <v>1013634.869469439</v>
      </c>
      <c r="Q40" s="740">
        <f t="shared" si="47"/>
        <v>-45689971.692168832</v>
      </c>
      <c r="R40" s="740">
        <f t="shared" si="47"/>
        <v>-49197286.599710941</v>
      </c>
      <c r="S40" s="740">
        <f t="shared" si="47"/>
        <v>-36320458.280123129</v>
      </c>
      <c r="T40" s="740">
        <f t="shared" si="47"/>
        <v>-23426945.499960124</v>
      </c>
      <c r="U40" s="740">
        <f t="shared" si="47"/>
        <v>-15211358.563675595</v>
      </c>
      <c r="V40" s="740">
        <f t="shared" si="47"/>
        <v>-26963098.661228478</v>
      </c>
      <c r="W40" s="740">
        <f t="shared" si="47"/>
        <v>-32846567.285715494</v>
      </c>
      <c r="X40" s="740">
        <f t="shared" si="47"/>
        <v>4856294.2195926188</v>
      </c>
      <c r="Y40" s="740">
        <f t="shared" si="47"/>
        <v>34349696.749180488</v>
      </c>
      <c r="Z40" s="740">
        <f t="shared" si="47"/>
        <v>95537185.561464742</v>
      </c>
      <c r="AA40" s="740">
        <f t="shared" si="47"/>
        <v>74059137.554616228</v>
      </c>
      <c r="AB40" s="7"/>
      <c r="AC40" s="7"/>
      <c r="AD40" s="7"/>
      <c r="AE40" s="7"/>
      <c r="AF40" s="7"/>
      <c r="AH40" s="7"/>
      <c r="AI40" s="74"/>
      <c r="AO40" s="1055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3">
        <f t="shared" si="14"/>
        <v>0.35714285714285715</v>
      </c>
      <c r="AT40" s="769">
        <f t="shared" si="15"/>
        <v>32.199185738685934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3">
        <f t="shared" si="19"/>
        <v>0.8571428571428571</v>
      </c>
      <c r="AY40" s="769">
        <f t="shared" si="20"/>
        <v>32.001531953338002</v>
      </c>
      <c r="AZ40" s="746">
        <f t="shared" si="26"/>
        <v>32.100358846011972</v>
      </c>
      <c r="BA40" s="643">
        <f t="shared" si="21"/>
        <v>0.96691500400873542</v>
      </c>
      <c r="BC40" s="11">
        <v>43126</v>
      </c>
      <c r="BD40" s="290">
        <f>[3]!FeuilCaduc*(1-Persistant)+Persistant</f>
        <v>0.60008239894324023</v>
      </c>
      <c r="BE40" s="291">
        <f>[3]!CroissVégét</f>
        <v>2.4946300531446561E-3</v>
      </c>
      <c r="BF40" s="816">
        <f>1+[3]!Salcycl*Ksac</f>
        <v>1.000010299867905</v>
      </c>
      <c r="BH40" s="1053">
        <f t="shared" si="22"/>
        <v>1.9244337353076795E-3</v>
      </c>
      <c r="BI40" s="11">
        <v>44222</v>
      </c>
      <c r="BJ40" s="726">
        <v>4.6172873026986211E-4</v>
      </c>
      <c r="BK40" s="726">
        <v>8.3416958627499779E-4</v>
      </c>
      <c r="BL40" s="726">
        <v>1.3117122825856236E-3</v>
      </c>
      <c r="BM40" s="726">
        <v>1.9260375476500115E-3</v>
      </c>
      <c r="BN40" s="726">
        <v>2.7289430992347569E-3</v>
      </c>
      <c r="BO40" s="727">
        <v>4.1166483889409772E-3</v>
      </c>
      <c r="BP40" s="726">
        <v>5.998022500828413E-3</v>
      </c>
      <c r="BQ40" s="726">
        <v>9.0495571989428914E-3</v>
      </c>
      <c r="BR40" s="726">
        <v>1.2751322743824881E-2</v>
      </c>
      <c r="BS40" s="726">
        <v>1.7502365290777838E-2</v>
      </c>
      <c r="BT40" s="726">
        <v>2.2538218620604011E-2</v>
      </c>
      <c r="BW40" s="1186">
        <f>'2018'!R\Max</f>
        <v>0</v>
      </c>
      <c r="BX40" s="1184">
        <f>'2019'!R\Max</f>
        <v>0.50396565185733599</v>
      </c>
      <c r="BY40" s="1184">
        <f>'2020'!R\Max</f>
        <v>0.22929455619754616</v>
      </c>
      <c r="BZ40" s="1184">
        <f>'2021'!R\Max</f>
        <v>0.61142915654870511</v>
      </c>
      <c r="CA40" s="1184">
        <f>'2022'!R\Max</f>
        <v>0.96691500400873542</v>
      </c>
      <c r="CB40" s="1184">
        <f>'2023'!R\Max</f>
        <v>0.96691138946848965</v>
      </c>
      <c r="CC40" s="1184">
        <f>'2024'!R\Max</f>
        <v>0.96690777179421372</v>
      </c>
      <c r="CD40" s="1184">
        <f>'2025'!R\Max</f>
        <v>0.96690190900959538</v>
      </c>
      <c r="CE40" s="1184">
        <f>'2026'!R\Max</f>
        <v>0.96692195622603971</v>
      </c>
      <c r="CF40" s="1185">
        <f>'2027'!R\Max</f>
        <v>0.96692041307435572</v>
      </c>
    </row>
    <row r="41" spans="1:84" s="6" customFormat="1" ht="11.25" x14ac:dyDescent="0.2">
      <c r="A41" s="11">
        <v>43127</v>
      </c>
      <c r="B41" s="380">
        <f>'2022'!Maxi_hp</f>
        <v>28.920232617261767</v>
      </c>
      <c r="C41" s="13">
        <f>'2022'!An_max</f>
        <v>2022</v>
      </c>
      <c r="D41" s="1062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3">
        <f t="shared" si="9"/>
        <v>0.35714285714285715</v>
      </c>
      <c r="J41" s="746">
        <f t="shared" si="27"/>
        <v>32.434486589035281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5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3">
        <f t="shared" si="14"/>
        <v>0.32142857142857145</v>
      </c>
      <c r="AT41" s="769">
        <f t="shared" si="15"/>
        <v>32.533538694214073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3">
        <f t="shared" si="19"/>
        <v>0.8214285714285714</v>
      </c>
      <c r="AY41" s="769">
        <f t="shared" si="20"/>
        <v>32.310905661507107</v>
      </c>
      <c r="AZ41" s="746">
        <f t="shared" si="26"/>
        <v>32.42222217786059</v>
      </c>
      <c r="BA41" s="643">
        <f t="shared" si="21"/>
        <v>0.89165069833534738</v>
      </c>
      <c r="BC41" s="11">
        <v>43127</v>
      </c>
      <c r="BD41" s="290">
        <f>[3]!FeuilCaduc*(1-Persistant)+Persistant</f>
        <v>0.60004433415154113</v>
      </c>
      <c r="BE41" s="291">
        <f>[3]!CroissVégét</f>
        <v>2.6570394167881404E-3</v>
      </c>
      <c r="BF41" s="816">
        <f>1+[3]!Salcycl*Ksac</f>
        <v>1.0000055417689426</v>
      </c>
      <c r="BH41" s="1053">
        <f t="shared" si="22"/>
        <v>1.8953563527541197E-3</v>
      </c>
      <c r="BI41" s="11">
        <v>44223</v>
      </c>
      <c r="BJ41" s="726">
        <v>4.5920742693361666E-4</v>
      </c>
      <c r="BK41" s="726">
        <v>8.295517885820717E-4</v>
      </c>
      <c r="BL41" s="726">
        <v>1.2994058881914876E-3</v>
      </c>
      <c r="BM41" s="726">
        <v>1.8969162666533932E-3</v>
      </c>
      <c r="BN41" s="726">
        <v>2.6691463372340357E-3</v>
      </c>
      <c r="BO41" s="727">
        <v>4.0114660718184288E-3</v>
      </c>
      <c r="BP41" s="726">
        <v>5.8299768403307362E-3</v>
      </c>
      <c r="BQ41" s="726">
        <v>8.8409687590061108E-3</v>
      </c>
      <c r="BR41" s="726">
        <v>1.2535743705486994E-2</v>
      </c>
      <c r="BS41" s="726">
        <v>1.7332703552627473E-2</v>
      </c>
      <c r="BT41" s="726">
        <v>2.2432752661021974E-2</v>
      </c>
      <c r="BW41" s="1186">
        <f>'2018'!R\Max</f>
        <v>0</v>
      </c>
      <c r="BX41" s="1184">
        <f>'2019'!R\Max</f>
        <v>0.4619899847359612</v>
      </c>
      <c r="BY41" s="1184">
        <f>'2020'!R\Max</f>
        <v>0.35829593627643441</v>
      </c>
      <c r="BZ41" s="1184">
        <f>'2021'!R\Max</f>
        <v>0.18730010929157728</v>
      </c>
      <c r="CA41" s="1184">
        <f>'2022'!R\Max</f>
        <v>0.89165069833534738</v>
      </c>
      <c r="CB41" s="1184">
        <f>'2023'!R\Max</f>
        <v>0.89164025649277134</v>
      </c>
      <c r="CC41" s="1184">
        <f>'2024'!R\Max</f>
        <v>0.89162980629516675</v>
      </c>
      <c r="CD41" s="1184">
        <f>'2025'!R\Max</f>
        <v>0.8916125180649227</v>
      </c>
      <c r="CE41" s="1184">
        <f>'2026'!R\Max</f>
        <v>0.89167077053031218</v>
      </c>
      <c r="CF41" s="1185">
        <f>'2027'!R\Max</f>
        <v>0.89166633467873146</v>
      </c>
    </row>
    <row r="42" spans="1:84" s="6" customFormat="1" ht="11.25" x14ac:dyDescent="0.2">
      <c r="A42" s="11">
        <v>43128</v>
      </c>
      <c r="B42" s="380">
        <f>'2022'!Maxi_hp</f>
        <v>18.517028420857695</v>
      </c>
      <c r="C42" s="13">
        <f>'2022'!An_max</f>
        <v>2021</v>
      </c>
      <c r="D42" s="1062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3">
        <f t="shared" si="9"/>
        <v>0.42857142857142855</v>
      </c>
      <c r="J42" s="746">
        <f t="shared" si="27"/>
        <v>32.774178424996457</v>
      </c>
      <c r="M42" s="6" t="s">
        <v>230</v>
      </c>
      <c r="AC42" s="7"/>
      <c r="AD42" s="7"/>
      <c r="AE42" s="7"/>
      <c r="AF42" s="7"/>
      <c r="AH42" s="7"/>
      <c r="AI42" s="74"/>
      <c r="AO42" s="1055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3">
        <f t="shared" si="14"/>
        <v>0.2857142857142857</v>
      </c>
      <c r="AT42" s="769">
        <f t="shared" si="15"/>
        <v>32.869687092144574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3">
        <f t="shared" si="19"/>
        <v>0.7857142857142857</v>
      </c>
      <c r="AY42" s="769">
        <f t="shared" si="20"/>
        <v>32.626564231488324</v>
      </c>
      <c r="AZ42" s="746">
        <f t="shared" si="26"/>
        <v>32.748125661816445</v>
      </c>
      <c r="BA42" s="643">
        <f t="shared" si="21"/>
        <v>0.56498833260561576</v>
      </c>
      <c r="BC42" s="11">
        <v>43128</v>
      </c>
      <c r="BD42" s="290">
        <f>[3]!FeuilCaduc*(1-Persistant)+Persistant</f>
        <v>0.60001890915601352</v>
      </c>
      <c r="BE42" s="291">
        <f>[3]!CroissVégét</f>
        <v>2.826205948480045E-3</v>
      </c>
      <c r="BF42" s="816">
        <f>1+[3]!Salcycl*Ksac</f>
        <v>1.0000023636445017</v>
      </c>
      <c r="BH42" s="1053">
        <f t="shared" si="22"/>
        <v>1.8667832063131195E-3</v>
      </c>
      <c r="BI42" s="11">
        <v>44224</v>
      </c>
      <c r="BJ42" s="726">
        <v>4.5724289252688E-4</v>
      </c>
      <c r="BK42" s="726">
        <v>8.2475997707597687E-4</v>
      </c>
      <c r="BL42" s="726">
        <v>1.2867755753266435E-3</v>
      </c>
      <c r="BM42" s="726">
        <v>1.8683013894827971E-3</v>
      </c>
      <c r="BN42" s="726">
        <v>2.6115735157419859E-3</v>
      </c>
      <c r="BO42" s="727">
        <v>3.909885931286391E-3</v>
      </c>
      <c r="BP42" s="726">
        <v>5.665352828229565E-3</v>
      </c>
      <c r="BQ42" s="726">
        <v>8.6278579378884033E-3</v>
      </c>
      <c r="BR42" s="726">
        <v>1.2308030913171539E-2</v>
      </c>
      <c r="BS42" s="726">
        <v>1.7147826632221308E-2</v>
      </c>
      <c r="BT42" s="726">
        <v>2.2319783354735698E-2</v>
      </c>
      <c r="BW42" s="1186">
        <f>'2018'!R\Max</f>
        <v>0</v>
      </c>
      <c r="BX42" s="1184">
        <f>'2019'!R\Max</f>
        <v>0.46811616738851508</v>
      </c>
      <c r="BY42" s="1184">
        <f>'2020'!R\Max</f>
        <v>0.53777491509292719</v>
      </c>
      <c r="BZ42" s="1184">
        <f>'2021'!R\Max</f>
        <v>0.56498833260561576</v>
      </c>
      <c r="CA42" s="1184">
        <f>'2022'!R\Max</f>
        <v>0.14412296653231677</v>
      </c>
      <c r="CB42" s="1184">
        <f>'2023'!R\Max</f>
        <v>0.14411254951422572</v>
      </c>
      <c r="CC42" s="1184">
        <f>'2024'!R\Max</f>
        <v>0.14410212599282976</v>
      </c>
      <c r="CD42" s="1184">
        <f>'2025'!R\Max</f>
        <v>0.14408455255486649</v>
      </c>
      <c r="CE42" s="1184">
        <f>'2026'!R\Max</f>
        <v>0.1441430106698095</v>
      </c>
      <c r="CF42" s="1185">
        <f>'2027'!R\Max</f>
        <v>0.1441385973066612</v>
      </c>
    </row>
    <row r="43" spans="1:84" s="6" customFormat="1" ht="11.25" x14ac:dyDescent="0.2">
      <c r="A43" s="11">
        <v>43129</v>
      </c>
      <c r="B43" s="380">
        <f>'2022'!Maxi_hp</f>
        <v>20.355528257182332</v>
      </c>
      <c r="C43" s="13">
        <f>'2022'!An_max</f>
        <v>2020</v>
      </c>
      <c r="D43" s="1062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3">
        <f t="shared" si="9"/>
        <v>0.5</v>
      </c>
      <c r="J43" s="746">
        <f t="shared" si="27"/>
        <v>33.11794999972917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5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3">
        <f t="shared" si="14"/>
        <v>0.25</v>
      </c>
      <c r="AT43" s="769">
        <f t="shared" si="15"/>
        <v>33.207005013898012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3">
        <f t="shared" si="19"/>
        <v>0.75</v>
      </c>
      <c r="AY43" s="769">
        <f t="shared" si="20"/>
        <v>32.948111952701581</v>
      </c>
      <c r="AZ43" s="746">
        <f t="shared" si="26"/>
        <v>33.077558483299796</v>
      </c>
      <c r="BA43" s="643">
        <f t="shared" si="21"/>
        <v>0.61463732680763139</v>
      </c>
      <c r="BC43" s="11">
        <v>43129</v>
      </c>
      <c r="BD43" s="290">
        <f>[3]!FeuilCaduc*(1-Persistant)+Persistant</f>
        <v>0.60000610652707764</v>
      </c>
      <c r="BE43" s="291">
        <f>[3]!CroissVégét</f>
        <v>3.0024083390505912E-3</v>
      </c>
      <c r="BF43" s="816">
        <f>1+[3]!Salcycl*Ksac</f>
        <v>1.0000007633158847</v>
      </c>
      <c r="BH43" s="1053">
        <f t="shared" si="22"/>
        <v>1.8387181051717338E-3</v>
      </c>
      <c r="BI43" s="11">
        <v>44225</v>
      </c>
      <c r="BJ43" s="726">
        <v>4.5583583401314064E-4</v>
      </c>
      <c r="BK43" s="726">
        <v>8.197954149006297E-4</v>
      </c>
      <c r="BL43" s="726">
        <v>1.2738235710429086E-3</v>
      </c>
      <c r="BM43" s="726">
        <v>1.840196729466553E-3</v>
      </c>
      <c r="BN43" s="726">
        <v>2.5562309468910296E-3</v>
      </c>
      <c r="BO43" s="727">
        <v>3.8119182098945454E-3</v>
      </c>
      <c r="BP43" s="726">
        <v>5.5041660698320095E-3</v>
      </c>
      <c r="BQ43" s="726">
        <v>8.4102459881098685E-3</v>
      </c>
      <c r="BR43" s="726">
        <v>1.2068210479474253E-2</v>
      </c>
      <c r="BS43" s="726">
        <v>1.6947764348953467E-2</v>
      </c>
      <c r="BT43" s="726">
        <v>2.2199343865778518E-2</v>
      </c>
      <c r="BW43" s="1186">
        <f>'2018'!R\Max</f>
        <v>0</v>
      </c>
      <c r="BX43" s="1184">
        <f>'2019'!R\Max</f>
        <v>0.17663277160244062</v>
      </c>
      <c r="BY43" s="1184">
        <f>'2020'!R\Max</f>
        <v>0.61463732680763139</v>
      </c>
      <c r="BZ43" s="1184">
        <f>'2021'!R\Max</f>
        <v>0.48554591649233619</v>
      </c>
      <c r="CA43" s="1184">
        <f>'2022'!R\Max</f>
        <v>0.31278021592959032</v>
      </c>
      <c r="CB43" s="1184">
        <f>'2023'!R\Max</f>
        <v>0.31275904366863921</v>
      </c>
      <c r="CC43" s="1184">
        <f>'2024'!R\Max</f>
        <v>0.31273785922389435</v>
      </c>
      <c r="CD43" s="1184">
        <f>'2025'!R\Max</f>
        <v>0.31270151300135457</v>
      </c>
      <c r="CE43" s="1184">
        <f>'2026'!R\Max</f>
        <v>0.31282105104647029</v>
      </c>
      <c r="CF43" s="1185">
        <f>'2027'!R\Max</f>
        <v>0.31281208742811339</v>
      </c>
    </row>
    <row r="44" spans="1:84" s="6" customFormat="1" ht="11.25" x14ac:dyDescent="0.2">
      <c r="A44" s="11">
        <v>43130</v>
      </c>
      <c r="B44" s="380">
        <f>'2022'!Maxi_hp</f>
        <v>12.271638358981564</v>
      </c>
      <c r="C44" s="13">
        <f>'2022'!An_max</f>
        <v>2020</v>
      </c>
      <c r="D44" s="1062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3">
        <f t="shared" si="9"/>
        <v>0.5714285714285714</v>
      </c>
      <c r="J44" s="746">
        <f t="shared" si="27"/>
        <v>33.464727697095704</v>
      </c>
      <c r="L44" s="774">
        <f>AK13</f>
        <v>275.94200000000001</v>
      </c>
      <c r="M44" s="774">
        <f>M13</f>
        <v>247.464</v>
      </c>
      <c r="N44" s="764">
        <f>O13</f>
        <v>308.34800000000001</v>
      </c>
      <c r="O44" s="764">
        <f>Q13</f>
        <v>403.60199999999998</v>
      </c>
      <c r="P44" s="764">
        <f>S13</f>
        <v>505.73</v>
      </c>
      <c r="Q44" s="764">
        <f>U13</f>
        <v>592.14599999999996</v>
      </c>
      <c r="R44" s="764">
        <f>W13</f>
        <v>631.42600000000004</v>
      </c>
      <c r="S44" s="764">
        <f>Y13</f>
        <v>636.33600000000001</v>
      </c>
      <c r="T44" s="764">
        <f>AA13</f>
        <v>614.73199999999997</v>
      </c>
      <c r="U44" s="764">
        <f>AC13</f>
        <v>578.39800000000002</v>
      </c>
      <c r="V44" s="764">
        <f>AE13</f>
        <v>529.298</v>
      </c>
      <c r="W44" s="764">
        <f>AG13</f>
        <v>444.846</v>
      </c>
      <c r="X44" s="764">
        <f>AI13</f>
        <v>352.53800000000001</v>
      </c>
      <c r="Y44" s="764">
        <f>AK13</f>
        <v>275.94200000000001</v>
      </c>
      <c r="Z44" s="764">
        <f>AM13</f>
        <v>247.464</v>
      </c>
      <c r="AA44" s="772">
        <f>AO13</f>
        <v>308.34800000000001</v>
      </c>
      <c r="AB44" s="772">
        <f>Q13</f>
        <v>403.60199999999998</v>
      </c>
      <c r="AD44" s="7"/>
      <c r="AE44" s="7"/>
      <c r="AF44" s="7"/>
      <c r="AH44" s="7"/>
      <c r="AI44" s="74"/>
      <c r="AO44" s="1055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3">
        <f t="shared" si="14"/>
        <v>0.21428571428571427</v>
      </c>
      <c r="AT44" s="769">
        <f t="shared" si="15"/>
        <v>33.544866541107851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3">
        <f t="shared" si="19"/>
        <v>0.7142857142857143</v>
      </c>
      <c r="AY44" s="769">
        <f t="shared" si="20"/>
        <v>33.275153109271614</v>
      </c>
      <c r="AZ44" s="746">
        <f t="shared" si="26"/>
        <v>33.410009825189732</v>
      </c>
      <c r="BA44" s="643">
        <f t="shared" si="21"/>
        <v>0.36670366691932116</v>
      </c>
      <c r="BC44" s="11">
        <v>43130</v>
      </c>
      <c r="BD44" s="290">
        <f>[3]!FeuilCaduc*(1-Persistant)+Persistant</f>
        <v>0.60000582537781422</v>
      </c>
      <c r="BE44" s="291">
        <f>[3]!CroissVégét</f>
        <v>3.1859365650375344E-3</v>
      </c>
      <c r="BF44" s="816">
        <f>1+[3]!Salcycl*Ksac</f>
        <v>1.0000007281722267</v>
      </c>
      <c r="BH44" s="1053">
        <f t="shared" si="22"/>
        <v>1.8148703980913614E-3</v>
      </c>
      <c r="BI44" s="11">
        <v>44226</v>
      </c>
      <c r="BJ44" s="726">
        <v>4.5503061390630745E-4</v>
      </c>
      <c r="BK44" s="726">
        <v>8.1581939570507652E-4</v>
      </c>
      <c r="BL44" s="726">
        <v>1.2628963915964357E-3</v>
      </c>
      <c r="BM44" s="726">
        <v>1.8163152026111481E-3</v>
      </c>
      <c r="BN44" s="726">
        <v>2.5084821884308211E-3</v>
      </c>
      <c r="BO44" s="727">
        <v>3.7237930590898242E-3</v>
      </c>
      <c r="BP44" s="726">
        <v>5.3542332641064632E-3</v>
      </c>
      <c r="BQ44" s="726">
        <v>8.1978939979146549E-3</v>
      </c>
      <c r="BR44" s="726">
        <v>1.1825648193137797E-2</v>
      </c>
      <c r="BS44" s="726">
        <v>1.6737834945766566E-2</v>
      </c>
      <c r="BT44" s="726">
        <v>2.2069161698513393E-2</v>
      </c>
      <c r="BW44" s="1186">
        <f>'2018'!R\Max</f>
        <v>0</v>
      </c>
      <c r="BX44" s="1184">
        <f>'2019'!R\Max</f>
        <v>0.25298139636213829</v>
      </c>
      <c r="BY44" s="1184">
        <f>'2020'!R\Max</f>
        <v>0.36670366691932116</v>
      </c>
      <c r="BZ44" s="1184">
        <f>'2021'!R\Max</f>
        <v>0.27925805899691225</v>
      </c>
      <c r="CA44" s="1184">
        <f>'2022'!R\Max</f>
        <v>0.14724388530443536</v>
      </c>
      <c r="CB44" s="1184">
        <f>'2023'!R\Max</f>
        <v>0.14723420398793252</v>
      </c>
      <c r="CC44" s="1184">
        <f>'2024'!R\Max</f>
        <v>0.14722451764997824</v>
      </c>
      <c r="CD44" s="1184">
        <f>'2025'!R\Max</f>
        <v>0.14720763832619613</v>
      </c>
      <c r="CE44" s="1184">
        <f>'2026'!R\Max</f>
        <v>0.14726263676786439</v>
      </c>
      <c r="CF44" s="1185">
        <f>'2027'!R\Max</f>
        <v>0.14725852464935504</v>
      </c>
    </row>
    <row r="45" spans="1:84" s="6" customFormat="1" ht="11.25" x14ac:dyDescent="0.2">
      <c r="A45" s="11">
        <v>43131</v>
      </c>
      <c r="B45" s="380">
        <f>'2022'!Maxi_hp</f>
        <v>23.585730416186674</v>
      </c>
      <c r="C45" s="13">
        <f>'2022'!An_max</f>
        <v>2020</v>
      </c>
      <c r="D45" s="1062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3">
        <f t="shared" si="9"/>
        <v>0.6428571428571429</v>
      </c>
      <c r="J45" s="746">
        <f t="shared" si="27"/>
        <v>33.813437900665619</v>
      </c>
      <c r="L45" s="754" t="s">
        <v>210</v>
      </c>
      <c r="M45" s="784">
        <f t="shared" ref="M45:AA45" si="48">L43</f>
        <v>43065</v>
      </c>
      <c r="N45" s="785">
        <f t="shared" si="48"/>
        <v>43093</v>
      </c>
      <c r="O45" s="736">
        <f t="shared" si="48"/>
        <v>43122</v>
      </c>
      <c r="P45" s="736">
        <f t="shared" si="48"/>
        <v>43150</v>
      </c>
      <c r="Q45" s="736">
        <f t="shared" si="48"/>
        <v>43178</v>
      </c>
      <c r="R45" s="736">
        <f t="shared" si="48"/>
        <v>43206</v>
      </c>
      <c r="S45" s="736">
        <f t="shared" si="48"/>
        <v>43234</v>
      </c>
      <c r="T45" s="736">
        <f t="shared" si="48"/>
        <v>43262</v>
      </c>
      <c r="U45" s="736">
        <f t="shared" si="48"/>
        <v>43290</v>
      </c>
      <c r="V45" s="736">
        <f t="shared" si="48"/>
        <v>43318</v>
      </c>
      <c r="W45" s="736">
        <f t="shared" si="48"/>
        <v>43346</v>
      </c>
      <c r="X45" s="736">
        <f t="shared" si="48"/>
        <v>43374</v>
      </c>
      <c r="Y45" s="736">
        <f t="shared" si="48"/>
        <v>43402</v>
      </c>
      <c r="Z45" s="736">
        <f t="shared" si="48"/>
        <v>43430</v>
      </c>
      <c r="AA45" s="777">
        <f t="shared" si="48"/>
        <v>43458</v>
      </c>
      <c r="AD45" s="7"/>
      <c r="AE45" s="7"/>
      <c r="AF45" s="7"/>
      <c r="AH45" s="7"/>
      <c r="AI45" s="74"/>
      <c r="AO45" s="1055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3">
        <f t="shared" si="14"/>
        <v>0.17857142857142858</v>
      </c>
      <c r="AT45" s="769">
        <f t="shared" si="15"/>
        <v>33.882645755859883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3">
        <f t="shared" si="19"/>
        <v>0.6785714285714286</v>
      </c>
      <c r="AY45" s="769">
        <f t="shared" si="20"/>
        <v>33.607291988981885</v>
      </c>
      <c r="AZ45" s="746">
        <f t="shared" si="26"/>
        <v>33.744968872420884</v>
      </c>
      <c r="BA45" s="643">
        <f t="shared" si="21"/>
        <v>0.69752535916267744</v>
      </c>
      <c r="BC45" s="11">
        <v>43131</v>
      </c>
      <c r="BD45" s="290">
        <f>[3]!FeuilCaduc*(1-Persistant)+Persistant</f>
        <v>0.60001787894495195</v>
      </c>
      <c r="BE45" s="291">
        <f>[3]!CroissVégét</f>
        <v>3.3770923278976551E-3</v>
      </c>
      <c r="BF45" s="816">
        <f>1+[3]!Salcycl*Ksac</f>
        <v>1.000002234868119</v>
      </c>
      <c r="BH45" s="1053">
        <f t="shared" si="22"/>
        <v>1.794949014366471E-3</v>
      </c>
      <c r="BI45" s="11">
        <v>44227</v>
      </c>
      <c r="BJ45" s="726">
        <v>4.5478827102891987E-4</v>
      </c>
      <c r="BK45" s="726">
        <v>8.131641795928199E-4</v>
      </c>
      <c r="BL45" s="726">
        <v>1.2542764035529091E-3</v>
      </c>
      <c r="BM45" s="726">
        <v>1.7963642372259474E-3</v>
      </c>
      <c r="BN45" s="726">
        <v>2.4673376831015463E-3</v>
      </c>
      <c r="BO45" s="727">
        <v>3.6445313680201138E-3</v>
      </c>
      <c r="BP45" s="726">
        <v>5.2163416710075726E-3</v>
      </c>
      <c r="BQ45" s="726">
        <v>7.9959363233058217E-3</v>
      </c>
      <c r="BR45" s="726">
        <v>1.1588794464661984E-2</v>
      </c>
      <c r="BS45" s="726">
        <v>1.652630593094849E-2</v>
      </c>
      <c r="BT45" s="726">
        <v>2.1932785433387433E-2</v>
      </c>
      <c r="BW45" s="1186">
        <f>'2018'!R\Max</f>
        <v>0</v>
      </c>
      <c r="BX45" s="1184">
        <f>'2019'!R\Max</f>
        <v>0.22968584189890107</v>
      </c>
      <c r="BY45" s="1184">
        <f>'2020'!R\Max</f>
        <v>0.69752535916267744</v>
      </c>
      <c r="BZ45" s="1184">
        <f>'2021'!R\Max</f>
        <v>0.26486569137418714</v>
      </c>
      <c r="CA45" s="1184">
        <f>'2022'!R\Max</f>
        <v>0.29807894617882846</v>
      </c>
      <c r="CB45" s="1184">
        <f>'2023'!R\Max</f>
        <v>0.29806024574623541</v>
      </c>
      <c r="CC45" s="1184">
        <f>'2024'!R\Max</f>
        <v>0.29804153664796534</v>
      </c>
      <c r="CD45" s="1184">
        <f>'2025'!R\Max</f>
        <v>0.29800847794243551</v>
      </c>
      <c r="CE45" s="1184">
        <f>'2026'!R\Max</f>
        <v>0.29811534476307605</v>
      </c>
      <c r="CF45" s="1185">
        <f>'2027'!R\Max</f>
        <v>0.29810735823435075</v>
      </c>
    </row>
    <row r="46" spans="1:84" s="6" customFormat="1" ht="11.25" x14ac:dyDescent="0.2">
      <c r="A46" s="11">
        <v>43132</v>
      </c>
      <c r="B46" s="380">
        <f>'2022'!Maxi_hp</f>
        <v>27.944973498874095</v>
      </c>
      <c r="C46" s="13">
        <f>'2022'!An_max</f>
        <v>2019</v>
      </c>
      <c r="D46" s="1062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3">
        <f t="shared" si="9"/>
        <v>0.7142857142857143</v>
      </c>
      <c r="J46" s="746">
        <f t="shared" si="27"/>
        <v>34.163006996922192</v>
      </c>
      <c r="L46" s="755" t="s">
        <v>211</v>
      </c>
      <c r="M46" s="776">
        <f t="shared" ref="M46:AA46" si="49">L44</f>
        <v>275.94200000000001</v>
      </c>
      <c r="N46" s="780">
        <f t="shared" si="49"/>
        <v>247.464</v>
      </c>
      <c r="O46" s="742">
        <f t="shared" si="49"/>
        <v>308.34800000000001</v>
      </c>
      <c r="P46" s="742">
        <f t="shared" si="49"/>
        <v>403.60199999999998</v>
      </c>
      <c r="Q46" s="742">
        <f t="shared" si="49"/>
        <v>505.73</v>
      </c>
      <c r="R46" s="742">
        <f t="shared" si="49"/>
        <v>592.14599999999996</v>
      </c>
      <c r="S46" s="742">
        <f t="shared" si="49"/>
        <v>631.42600000000004</v>
      </c>
      <c r="T46" s="742">
        <f t="shared" si="49"/>
        <v>636.33600000000001</v>
      </c>
      <c r="U46" s="742">
        <f t="shared" si="49"/>
        <v>614.73199999999997</v>
      </c>
      <c r="V46" s="742">
        <f t="shared" si="49"/>
        <v>578.39800000000002</v>
      </c>
      <c r="W46" s="742">
        <f t="shared" si="49"/>
        <v>529.298</v>
      </c>
      <c r="X46" s="742">
        <f t="shared" si="49"/>
        <v>444.846</v>
      </c>
      <c r="Y46" s="742">
        <f t="shared" si="49"/>
        <v>352.53800000000001</v>
      </c>
      <c r="Z46" s="742">
        <f t="shared" si="49"/>
        <v>275.94200000000001</v>
      </c>
      <c r="AA46" s="778">
        <f t="shared" si="49"/>
        <v>247.464</v>
      </c>
      <c r="AD46" s="7"/>
      <c r="AE46" s="7"/>
      <c r="AF46" s="7"/>
      <c r="AH46" s="7"/>
      <c r="AI46" s="74"/>
      <c r="AO46" s="1055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3">
        <f t="shared" si="14"/>
        <v>0.14285714285714285</v>
      </c>
      <c r="AT46" s="769">
        <f t="shared" si="15"/>
        <v>34.219716739548105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3">
        <f t="shared" si="19"/>
        <v>0.6428571428571429</v>
      </c>
      <c r="AY46" s="769">
        <f t="shared" si="20"/>
        <v>33.944132880806663</v>
      </c>
      <c r="AZ46" s="746">
        <f t="shared" si="26"/>
        <v>34.081924810177384</v>
      </c>
      <c r="BA46" s="643">
        <f t="shared" si="21"/>
        <v>0.81798928008274296</v>
      </c>
      <c r="BC46" s="11">
        <v>43132</v>
      </c>
      <c r="BD46" s="290">
        <f>[3]!FeuilCaduc*(1-Persistant)+Persistant</f>
        <v>0.60004199370502986</v>
      </c>
      <c r="BE46" s="291">
        <f>[3]!CroissVégét</f>
        <v>3.5761895087786043E-3</v>
      </c>
      <c r="BF46" s="816">
        <f>1+[3]!Salcycl*Ksac</f>
        <v>1.0000052492131288</v>
      </c>
      <c r="BH46" s="1053">
        <f t="shared" si="22"/>
        <v>1.7789567040106581E-3</v>
      </c>
      <c r="BI46" s="11">
        <v>44228</v>
      </c>
      <c r="BJ46" s="726">
        <v>4.55109343874412E-4</v>
      </c>
      <c r="BK46" s="726">
        <v>8.1183079469850843E-4</v>
      </c>
      <c r="BL46" s="726">
        <v>1.2479653512132392E-3</v>
      </c>
      <c r="BM46" s="726">
        <v>1.780346585957022E-3</v>
      </c>
      <c r="BN46" s="726">
        <v>2.4328016663927718E-3</v>
      </c>
      <c r="BO46" s="727">
        <v>3.5741401775172166E-3</v>
      </c>
      <c r="BP46" s="726">
        <v>5.0905023686324226E-3</v>
      </c>
      <c r="BQ46" s="726">
        <v>7.8043901317863141E-3</v>
      </c>
      <c r="BR46" s="726">
        <v>1.1357672633971359E-2</v>
      </c>
      <c r="BS46" s="726">
        <v>1.6313206319824518E-2</v>
      </c>
      <c r="BT46" s="726">
        <v>2.1790248210605465E-2</v>
      </c>
      <c r="BW46" s="1186">
        <f>'2018'!R\Max</f>
        <v>0</v>
      </c>
      <c r="BX46" s="1184">
        <f>'2019'!R\Max</f>
        <v>0.81798928008274296</v>
      </c>
      <c r="BY46" s="1184">
        <f>'2020'!R\Max</f>
        <v>0.4341726635370276</v>
      </c>
      <c r="BZ46" s="1184">
        <f>'2021'!R\Max</f>
        <v>0.2394038383281927</v>
      </c>
      <c r="CA46" s="1184">
        <f>'2022'!R\Max</f>
        <v>0.4283636738327416</v>
      </c>
      <c r="CB46" s="1184">
        <f>'2023'!R\Max</f>
        <v>0.42834271782605282</v>
      </c>
      <c r="CC46" s="1184">
        <f>'2024'!R\Max</f>
        <v>0.42832175282513119</v>
      </c>
      <c r="CD46" s="1184">
        <f>'2025'!R\Max</f>
        <v>0.42828425711661833</v>
      </c>
      <c r="CE46" s="1184">
        <f>'2026'!R\Max</f>
        <v>0.42840469200391074</v>
      </c>
      <c r="CF46" s="1185">
        <f>'2027'!R\Max</f>
        <v>0.42839567189860994</v>
      </c>
    </row>
    <row r="47" spans="1:84" s="6" customFormat="1" ht="11.25" x14ac:dyDescent="0.2">
      <c r="A47" s="11">
        <v>43133</v>
      </c>
      <c r="B47" s="380">
        <f>'2022'!Maxi_hp</f>
        <v>29.540538398179784</v>
      </c>
      <c r="C47" s="13">
        <f>'2022'!An_max</f>
        <v>2020</v>
      </c>
      <c r="D47" s="1062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3">
        <f t="shared" si="9"/>
        <v>0.7857142857142857</v>
      </c>
      <c r="J47" s="746">
        <f t="shared" si="27"/>
        <v>34.512361370120196</v>
      </c>
      <c r="L47" s="755" t="s">
        <v>212</v>
      </c>
      <c r="M47" s="787">
        <f t="shared" ref="M47:AA47" si="50">M43</f>
        <v>43093</v>
      </c>
      <c r="N47" s="737">
        <f t="shared" si="50"/>
        <v>43122</v>
      </c>
      <c r="O47" s="737">
        <f t="shared" si="50"/>
        <v>43150</v>
      </c>
      <c r="P47" s="737">
        <f t="shared" si="50"/>
        <v>43178</v>
      </c>
      <c r="Q47" s="737">
        <f t="shared" si="50"/>
        <v>43206</v>
      </c>
      <c r="R47" s="737">
        <f t="shared" si="50"/>
        <v>43234</v>
      </c>
      <c r="S47" s="737">
        <f t="shared" si="50"/>
        <v>43262</v>
      </c>
      <c r="T47" s="737">
        <f t="shared" si="50"/>
        <v>43290</v>
      </c>
      <c r="U47" s="737">
        <f t="shared" si="50"/>
        <v>43318</v>
      </c>
      <c r="V47" s="737">
        <f t="shared" si="50"/>
        <v>43346</v>
      </c>
      <c r="W47" s="737">
        <f t="shared" si="50"/>
        <v>43374</v>
      </c>
      <c r="X47" s="737">
        <f t="shared" si="50"/>
        <v>43402</v>
      </c>
      <c r="Y47" s="737">
        <f t="shared" si="50"/>
        <v>43430</v>
      </c>
      <c r="Z47" s="779">
        <f t="shared" si="50"/>
        <v>43458</v>
      </c>
      <c r="AA47" s="786">
        <f t="shared" si="50"/>
        <v>43487</v>
      </c>
      <c r="AD47" s="7"/>
      <c r="AE47" s="7"/>
      <c r="AF47" s="7"/>
      <c r="AH47" s="7"/>
      <c r="AI47" s="74"/>
      <c r="AO47" s="1055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3">
        <f t="shared" si="14"/>
        <v>0.10714285714285714</v>
      </c>
      <c r="AT47" s="769">
        <f t="shared" si="15"/>
        <v>34.55545357467075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3">
        <f t="shared" si="19"/>
        <v>0.6071428571428571</v>
      </c>
      <c r="AY47" s="769">
        <f t="shared" si="20"/>
        <v>34.285280068950463</v>
      </c>
      <c r="AZ47" s="746">
        <f t="shared" si="26"/>
        <v>34.420366821810603</v>
      </c>
      <c r="BA47" s="643">
        <f t="shared" si="21"/>
        <v>0.85594080571244624</v>
      </c>
      <c r="BC47" s="11">
        <v>43133</v>
      </c>
      <c r="BD47" s="290">
        <f>[3]!FeuilCaduc*(1-Persistant)+Persistant</f>
        <v>0.60007781000177363</v>
      </c>
      <c r="BE47" s="291">
        <f>[3]!CroissVégét</f>
        <v>3.7835546392683654E-3</v>
      </c>
      <c r="BF47" s="816">
        <f>1+[3]!Salcycl*Ksac</f>
        <v>1.0000097262502217</v>
      </c>
      <c r="BH47" s="1053">
        <f t="shared" si="22"/>
        <v>1.7668958382078305E-3</v>
      </c>
      <c r="BI47" s="11">
        <v>44229</v>
      </c>
      <c r="BJ47" s="726">
        <v>4.5599432952785112E-4</v>
      </c>
      <c r="BK47" s="726">
        <v>8.1182016177250857E-4</v>
      </c>
      <c r="BL47" s="726">
        <v>1.2439647715316859E-3</v>
      </c>
      <c r="BM47" s="726">
        <v>1.7682646221718948E-3</v>
      </c>
      <c r="BN47" s="726">
        <v>2.4048776988741171E-3</v>
      </c>
      <c r="BO47" s="727">
        <v>3.5126255021455089E-3</v>
      </c>
      <c r="BP47" s="726">
        <v>4.9767248896119866E-3</v>
      </c>
      <c r="BQ47" s="726">
        <v>7.623270839296219E-3</v>
      </c>
      <c r="BR47" s="726">
        <v>1.1132304443438944E-2</v>
      </c>
      <c r="BS47" s="726">
        <v>1.6098564169610974E-2</v>
      </c>
      <c r="BT47" s="726">
        <v>2.1641582908448604E-2</v>
      </c>
      <c r="BW47" s="1186">
        <f>'2018'!R\Max</f>
        <v>0</v>
      </c>
      <c r="BX47" s="1184">
        <f>'2019'!R\Max</f>
        <v>9.9583836136544562E-2</v>
      </c>
      <c r="BY47" s="1184">
        <f>'2020'!R\Max</f>
        <v>0.85594080571244624</v>
      </c>
      <c r="BZ47" s="1184">
        <f>'2021'!R\Max</f>
        <v>0.85379400102113912</v>
      </c>
      <c r="CA47" s="1184">
        <f>'2022'!R\Max</f>
        <v>0.17035138597572935</v>
      </c>
      <c r="CB47" s="1184">
        <f>'2023'!R\Max</f>
        <v>0.17034163071694319</v>
      </c>
      <c r="CC47" s="1184">
        <f>'2024'!R\Max</f>
        <v>0.17033187204157341</v>
      </c>
      <c r="CD47" s="1184">
        <f>'2025'!R\Max</f>
        <v>0.17031424333340908</v>
      </c>
      <c r="CE47" s="1184">
        <f>'2026'!R\Max</f>
        <v>0.17037060370663146</v>
      </c>
      <c r="CF47" s="1185">
        <f>'2027'!R\Max</f>
        <v>0.17036636048352452</v>
      </c>
    </row>
    <row r="48" spans="1:84" s="6" customFormat="1" ht="11.25" x14ac:dyDescent="0.2">
      <c r="A48" s="11">
        <v>43134</v>
      </c>
      <c r="B48" s="380">
        <f>'2022'!Maxi_hp</f>
        <v>27.40840746637317</v>
      </c>
      <c r="C48" s="13">
        <f>'2022'!An_max</f>
        <v>2020</v>
      </c>
      <c r="D48" s="1062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3">
        <f t="shared" si="9"/>
        <v>0.8571428571428571</v>
      </c>
      <c r="J48" s="746">
        <f t="shared" si="27"/>
        <v>34.860427405259436</v>
      </c>
      <c r="L48" s="755" t="s">
        <v>213</v>
      </c>
      <c r="M48" s="780">
        <f t="shared" ref="M48:AA48" si="51">M44</f>
        <v>247.464</v>
      </c>
      <c r="N48" s="743">
        <f t="shared" si="51"/>
        <v>308.34800000000001</v>
      </c>
      <c r="O48" s="743">
        <f t="shared" si="51"/>
        <v>403.60199999999998</v>
      </c>
      <c r="P48" s="743">
        <f t="shared" si="51"/>
        <v>505.73</v>
      </c>
      <c r="Q48" s="743">
        <f t="shared" si="51"/>
        <v>592.14599999999996</v>
      </c>
      <c r="R48" s="743">
        <f t="shared" si="51"/>
        <v>631.42600000000004</v>
      </c>
      <c r="S48" s="743">
        <f t="shared" si="51"/>
        <v>636.33600000000001</v>
      </c>
      <c r="T48" s="743">
        <f t="shared" si="51"/>
        <v>614.73199999999997</v>
      </c>
      <c r="U48" s="743">
        <f t="shared" si="51"/>
        <v>578.39800000000002</v>
      </c>
      <c r="V48" s="743">
        <f t="shared" si="51"/>
        <v>529.298</v>
      </c>
      <c r="W48" s="743">
        <f t="shared" si="51"/>
        <v>444.846</v>
      </c>
      <c r="X48" s="743">
        <f t="shared" si="51"/>
        <v>352.53800000000001</v>
      </c>
      <c r="Y48" s="743">
        <f t="shared" si="51"/>
        <v>275.94200000000001</v>
      </c>
      <c r="Z48" s="778">
        <f t="shared" si="51"/>
        <v>247.464</v>
      </c>
      <c r="AA48" s="776">
        <f t="shared" si="51"/>
        <v>308.34800000000001</v>
      </c>
      <c r="AD48" s="7"/>
      <c r="AE48" s="7"/>
      <c r="AF48" s="7"/>
      <c r="AH48" s="7"/>
      <c r="AI48" s="74"/>
      <c r="AO48" s="1055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3">
        <f t="shared" si="14"/>
        <v>7.1428571428571425E-2</v>
      </c>
      <c r="AT48" s="769">
        <f t="shared" si="15"/>
        <v>34.889230341357845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3">
        <f t="shared" si="19"/>
        <v>0.5714285714285714</v>
      </c>
      <c r="AY48" s="769">
        <f t="shared" si="20"/>
        <v>34.630337841928544</v>
      </c>
      <c r="AZ48" s="746">
        <f t="shared" si="26"/>
        <v>34.759784091643198</v>
      </c>
      <c r="BA48" s="643">
        <f t="shared" si="21"/>
        <v>0.78623268578279193</v>
      </c>
      <c r="BC48" s="11">
        <v>43134</v>
      </c>
      <c r="BD48" s="290">
        <f>[3]!FeuilCaduc*(1-Persistant)+Persistant</f>
        <v>0.60012488414550325</v>
      </c>
      <c r="BE48" s="291">
        <f>[3]!CroissVégét</f>
        <v>3.9995273885343324E-3</v>
      </c>
      <c r="BF48" s="816">
        <f>1+[3]!Salcycl*Ksac</f>
        <v>1.0000156105181879</v>
      </c>
      <c r="BH48" s="1053">
        <f t="shared" si="22"/>
        <v>1.7587684586891804E-3</v>
      </c>
      <c r="BI48" s="11">
        <v>44230</v>
      </c>
      <c r="BJ48" s="726">
        <v>4.5744369077805718E-4</v>
      </c>
      <c r="BK48" s="726">
        <v>8.1313311082692702E-4</v>
      </c>
      <c r="BL48" s="726">
        <v>1.2422760231647098E-3</v>
      </c>
      <c r="BM48" s="726">
        <v>1.7601203893897219E-3</v>
      </c>
      <c r="BN48" s="726">
        <v>2.3835687491559972E-3</v>
      </c>
      <c r="BO48" s="727">
        <v>3.459992441591786E-3</v>
      </c>
      <c r="BP48" s="726">
        <v>4.8750173724736012E-3</v>
      </c>
      <c r="BQ48" s="726">
        <v>7.4525922414337593E-3</v>
      </c>
      <c r="BR48" s="726">
        <v>1.0912710111118763E-2</v>
      </c>
      <c r="BS48" s="726">
        <v>1.5882406562114048E-2</v>
      </c>
      <c r="BT48" s="726">
        <v>2.1486822069453435E-2</v>
      </c>
      <c r="BW48" s="1186">
        <f>'2018'!R\Max</f>
        <v>0</v>
      </c>
      <c r="BX48" s="1184">
        <f>'2019'!R\Max</f>
        <v>0.39824836934609198</v>
      </c>
      <c r="BY48" s="1184">
        <f>'2020'!R\Max</f>
        <v>0.78623268578279193</v>
      </c>
      <c r="BZ48" s="1184">
        <f>'2021'!R\Max</f>
        <v>0.66716987122581539</v>
      </c>
      <c r="CA48" s="1184">
        <f>'2022'!R\Max</f>
        <v>0.31791478711732662</v>
      </c>
      <c r="CB48" s="1184">
        <f>'2023'!R\Max</f>
        <v>0.31789781198998684</v>
      </c>
      <c r="CC48" s="1184">
        <f>'2024'!R\Max</f>
        <v>0.31788083184780419</v>
      </c>
      <c r="CD48" s="1184">
        <f>'2025'!R\Max</f>
        <v>0.31784991817113362</v>
      </c>
      <c r="CE48" s="1184">
        <f>'2026'!R\Max</f>
        <v>0.31794846936673088</v>
      </c>
      <c r="CF48" s="1185">
        <f>'2027'!R\Max</f>
        <v>0.31794098812422306</v>
      </c>
    </row>
    <row r="49" spans="1:84" s="6" customFormat="1" ht="11.25" x14ac:dyDescent="0.2">
      <c r="A49" s="11">
        <v>43135</v>
      </c>
      <c r="B49" s="380">
        <f>'2022'!Maxi_hp</f>
        <v>27.911356460515268</v>
      </c>
      <c r="C49" s="13">
        <f>'2022'!An_max</f>
        <v>2019</v>
      </c>
      <c r="D49" s="1062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3">
        <f t="shared" si="9"/>
        <v>0.9285714285714286</v>
      </c>
      <c r="J49" s="746">
        <f t="shared" si="27"/>
        <v>35.206131486814201</v>
      </c>
      <c r="L49" s="755" t="s">
        <v>214</v>
      </c>
      <c r="M49" s="782">
        <f t="shared" ref="M49:AA49" si="52">N43</f>
        <v>43122</v>
      </c>
      <c r="N49" s="738">
        <f t="shared" si="52"/>
        <v>43150</v>
      </c>
      <c r="O49" s="738">
        <f t="shared" si="52"/>
        <v>43178</v>
      </c>
      <c r="P49" s="738">
        <f t="shared" si="52"/>
        <v>43206</v>
      </c>
      <c r="Q49" s="738">
        <f t="shared" si="52"/>
        <v>43234</v>
      </c>
      <c r="R49" s="738">
        <f t="shared" si="52"/>
        <v>43262</v>
      </c>
      <c r="S49" s="738">
        <f t="shared" si="52"/>
        <v>43290</v>
      </c>
      <c r="T49" s="738">
        <f t="shared" si="52"/>
        <v>43318</v>
      </c>
      <c r="U49" s="738">
        <f t="shared" si="52"/>
        <v>43346</v>
      </c>
      <c r="V49" s="738">
        <f t="shared" si="52"/>
        <v>43374</v>
      </c>
      <c r="W49" s="738">
        <f t="shared" si="52"/>
        <v>43402</v>
      </c>
      <c r="X49" s="738">
        <f t="shared" si="52"/>
        <v>43430</v>
      </c>
      <c r="Y49" s="738">
        <f t="shared" si="52"/>
        <v>43458</v>
      </c>
      <c r="Z49" s="788">
        <f t="shared" si="52"/>
        <v>43487</v>
      </c>
      <c r="AA49" s="786">
        <f t="shared" si="52"/>
        <v>43515</v>
      </c>
      <c r="AD49" s="7"/>
      <c r="AE49" s="7"/>
      <c r="AF49" s="7"/>
      <c r="AH49" s="7"/>
      <c r="AI49" s="74"/>
      <c r="AO49" s="1055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3">
        <f t="shared" si="14"/>
        <v>3.5714285714285712E-2</v>
      </c>
      <c r="AT49" s="769">
        <f t="shared" si="15"/>
        <v>35.220421122533402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3">
        <f t="shared" si="19"/>
        <v>0.5357142857142857</v>
      </c>
      <c r="AY49" s="769">
        <f t="shared" si="20"/>
        <v>34.978910487328122</v>
      </c>
      <c r="AZ49" s="746">
        <f t="shared" si="26"/>
        <v>35.099665804930765</v>
      </c>
      <c r="BA49" s="643">
        <f t="shared" si="21"/>
        <v>0.79279816559706218</v>
      </c>
      <c r="BC49" s="11">
        <v>43135</v>
      </c>
      <c r="BD49" s="290">
        <f>[3]!FeuilCaduc*(1-Persistant)+Persistant</f>
        <v>0.60018269193090101</v>
      </c>
      <c r="BE49" s="291">
        <f>[3]!CroissVégét</f>
        <v>4.2244610672662677E-3</v>
      </c>
      <c r="BF49" s="816">
        <f>1+[3]!Salcycl*Ksac</f>
        <v>1.0000228364913626</v>
      </c>
      <c r="BH49" s="1053">
        <f t="shared" si="22"/>
        <v>1.7545763271181454E-3</v>
      </c>
      <c r="BI49" s="11">
        <v>44231</v>
      </c>
      <c r="BJ49" s="726">
        <v>4.5945786323178085E-4</v>
      </c>
      <c r="BK49" s="726">
        <v>8.1577039778529814E-4</v>
      </c>
      <c r="BL49" s="726">
        <v>1.2429003155254624E-3</v>
      </c>
      <c r="BM49" s="726">
        <v>1.7559156507194686E-3</v>
      </c>
      <c r="BN49" s="726">
        <v>2.3688772768612637E-3</v>
      </c>
      <c r="BO49" s="727">
        <v>3.4162452920711277E-3</v>
      </c>
      <c r="BP49" s="726">
        <v>4.7853867130262344E-3</v>
      </c>
      <c r="BQ49" s="726">
        <v>7.2923666447113344E-3</v>
      </c>
      <c r="BR49" s="726">
        <v>1.0698908404029501E-2</v>
      </c>
      <c r="BS49" s="726">
        <v>1.5664759586502462E-2</v>
      </c>
      <c r="BT49" s="726">
        <v>2.1325997826690007E-2</v>
      </c>
      <c r="BW49" s="1186">
        <f>'2018'!R\Max</f>
        <v>0</v>
      </c>
      <c r="BX49" s="1184">
        <f>'2019'!R\Max</f>
        <v>0.79279816559706218</v>
      </c>
      <c r="BY49" s="1184">
        <f>'2020'!R\Max</f>
        <v>0.51421351645412339</v>
      </c>
      <c r="BZ49" s="1184">
        <f>'2021'!R\Max</f>
        <v>0.48302464417439533</v>
      </c>
      <c r="CA49" s="1184">
        <f>'2022'!R\Max</f>
        <v>0.31173532602903298</v>
      </c>
      <c r="CB49" s="1184">
        <f>'2023'!R\Max</f>
        <v>0.31171923182270544</v>
      </c>
      <c r="CC49" s="1184">
        <f>'2024'!R\Max</f>
        <v>0.31170313381393466</v>
      </c>
      <c r="CD49" s="1184">
        <f>'2025'!R\Max</f>
        <v>0.31167367067181651</v>
      </c>
      <c r="CE49" s="1184">
        <f>'2026'!R\Max</f>
        <v>0.31176751737911024</v>
      </c>
      <c r="CF49" s="1185">
        <f>'2027'!R\Max</f>
        <v>0.31176031037742369</v>
      </c>
    </row>
    <row r="50" spans="1:84" s="6" customFormat="1" ht="11.25" x14ac:dyDescent="0.2">
      <c r="A50" s="11">
        <v>43136</v>
      </c>
      <c r="B50" s="380">
        <f>'2022'!Maxi_hp</f>
        <v>35.533389786711119</v>
      </c>
      <c r="C50" s="13">
        <f>'2022'!An_max</f>
        <v>2020</v>
      </c>
      <c r="D50" s="1062">
        <f t="shared" si="7"/>
        <v>0.99957775277613303</v>
      </c>
      <c r="E50" s="1057">
        <f>P$13/10</f>
        <v>35.548400000000001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3">
        <f t="shared" si="9"/>
        <v>1</v>
      </c>
      <c r="J50" s="746">
        <f t="shared" si="27"/>
        <v>35.548399999924001</v>
      </c>
      <c r="L50" s="755" t="s">
        <v>215</v>
      </c>
      <c r="M50" s="783">
        <f t="shared" ref="M50:AA50" si="53">N44</f>
        <v>308.34800000000001</v>
      </c>
      <c r="N50" s="743">
        <f t="shared" si="53"/>
        <v>403.60199999999998</v>
      </c>
      <c r="O50" s="743">
        <f t="shared" si="53"/>
        <v>505.73</v>
      </c>
      <c r="P50" s="743">
        <f t="shared" si="53"/>
        <v>592.14599999999996</v>
      </c>
      <c r="Q50" s="743">
        <f t="shared" si="53"/>
        <v>631.42600000000004</v>
      </c>
      <c r="R50" s="743">
        <f t="shared" si="53"/>
        <v>636.33600000000001</v>
      </c>
      <c r="S50" s="743">
        <f t="shared" si="53"/>
        <v>614.73199999999997</v>
      </c>
      <c r="T50" s="743">
        <f t="shared" si="53"/>
        <v>578.39800000000002</v>
      </c>
      <c r="U50" s="743">
        <f t="shared" si="53"/>
        <v>529.298</v>
      </c>
      <c r="V50" s="743">
        <f t="shared" si="53"/>
        <v>444.846</v>
      </c>
      <c r="W50" s="743">
        <f t="shared" si="53"/>
        <v>352.53800000000001</v>
      </c>
      <c r="X50" s="743">
        <f t="shared" si="53"/>
        <v>275.94200000000001</v>
      </c>
      <c r="Y50" s="743">
        <f t="shared" si="53"/>
        <v>247.464</v>
      </c>
      <c r="Z50" s="789">
        <f t="shared" si="53"/>
        <v>308.34800000000001</v>
      </c>
      <c r="AA50" s="776">
        <f t="shared" si="53"/>
        <v>403.60199999999998</v>
      </c>
      <c r="AD50" s="7"/>
      <c r="AE50" s="7"/>
      <c r="AF50" s="7"/>
      <c r="AH50" s="7"/>
      <c r="AI50" s="74"/>
      <c r="AO50" s="1055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3">
        <f t="shared" si="14"/>
        <v>0</v>
      </c>
      <c r="AT50" s="769">
        <f t="shared" si="15"/>
        <v>35.54839999973774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3">
        <f t="shared" si="19"/>
        <v>0.5</v>
      </c>
      <c r="AY50" s="769">
        <f t="shared" si="20"/>
        <v>35.330602291226384</v>
      </c>
      <c r="AZ50" s="746">
        <f t="shared" si="26"/>
        <v>35.439501145482062</v>
      </c>
      <c r="BA50" s="643">
        <f t="shared" si="21"/>
        <v>0.99957775277613303</v>
      </c>
      <c r="BC50" s="11">
        <v>43136</v>
      </c>
      <c r="BD50" s="290">
        <f>[3]!FeuilCaduc*(1-Persistant)+Persistant</f>
        <v>0.60025063350584451</v>
      </c>
      <c r="BE50" s="291">
        <f>[3]!CroissVégét</f>
        <v>4.4587231488279668E-3</v>
      </c>
      <c r="BF50" s="816">
        <f>1+[3]!Salcycl*Ksac</f>
        <v>1.0000313291882306</v>
      </c>
      <c r="BH50" s="1053">
        <f t="shared" si="22"/>
        <v>1.7543209744738176E-3</v>
      </c>
      <c r="BI50" s="11">
        <v>44232</v>
      </c>
      <c r="BJ50" s="726">
        <v>4.6203726242752805E-4</v>
      </c>
      <c r="BK50" s="726">
        <v>8.1973272113162218E-4</v>
      </c>
      <c r="BL50" s="726">
        <v>1.2458387378372245E-3</v>
      </c>
      <c r="BM50" s="726">
        <v>1.7556519382965327E-3</v>
      </c>
      <c r="BN50" s="726">
        <v>2.3608053155946026E-3</v>
      </c>
      <c r="BO50" s="727">
        <v>3.3813876577291832E-3</v>
      </c>
      <c r="BP50" s="726">
        <v>4.7078387157403097E-3</v>
      </c>
      <c r="BQ50" s="726">
        <v>7.1426049978031043E-3</v>
      </c>
      <c r="BR50" s="726">
        <v>1.0490916711426363E-2</v>
      </c>
      <c r="BS50" s="726">
        <v>1.5445648322064335E-2</v>
      </c>
      <c r="BT50" s="726">
        <v>2.115914183002035E-2</v>
      </c>
      <c r="BW50" s="1186">
        <f>'2018'!R\Max</f>
        <v>0</v>
      </c>
      <c r="BX50" s="1184">
        <f>'2019'!R\Max</f>
        <v>0.11078401028311217</v>
      </c>
      <c r="BY50" s="1184">
        <f>'2020'!R\Max</f>
        <v>0.99957775277613303</v>
      </c>
      <c r="BZ50" s="1184">
        <f>'2021'!R\Max</f>
        <v>0.41012121670384977</v>
      </c>
      <c r="CA50" s="1184">
        <f>'2022'!R\Max</f>
        <v>0.29873639193629603</v>
      </c>
      <c r="CB50" s="1184">
        <f>'2023'!R\Max</f>
        <v>0.29872133794641681</v>
      </c>
      <c r="CC50" s="1184">
        <f>'2024'!R\Max</f>
        <v>0.29870628130649218</v>
      </c>
      <c r="CD50" s="1184">
        <f>'2025'!R\Max</f>
        <v>0.29867865370828772</v>
      </c>
      <c r="CE50" s="1184">
        <f>'2026'!R\Max</f>
        <v>0.29876677017590042</v>
      </c>
      <c r="CF50" s="1185">
        <f>'2027'!R\Max</f>
        <v>0.29875990103704597</v>
      </c>
    </row>
    <row r="51" spans="1:84" s="6" customFormat="1" ht="11.25" x14ac:dyDescent="0.2">
      <c r="A51" s="11">
        <v>43137</v>
      </c>
      <c r="B51" s="380">
        <f>'2022'!Maxi_hp</f>
        <v>37.103452774243969</v>
      </c>
      <c r="C51" s="13">
        <f>'2022'!An_max</f>
        <v>2020</v>
      </c>
      <c r="D51" s="1062">
        <f t="shared" si="7"/>
        <v>1.0338570507586877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3">
        <f t="shared" si="9"/>
        <v>0.9285714285714286</v>
      </c>
      <c r="J51" s="746">
        <f t="shared" si="27"/>
        <v>35.888378134110411</v>
      </c>
      <c r="L51" s="756" t="s">
        <v>216</v>
      </c>
      <c r="M51" s="740">
        <f t="shared" ref="M51:AA51" si="54">x.1ld*x.1ld-x.2ld*x.2ld</f>
        <v>-2412424</v>
      </c>
      <c r="N51" s="740">
        <f t="shared" si="54"/>
        <v>-2500235</v>
      </c>
      <c r="O51" s="740">
        <f t="shared" si="54"/>
        <v>-2415616</v>
      </c>
      <c r="P51" s="740">
        <f t="shared" si="54"/>
        <v>-2417184</v>
      </c>
      <c r="Q51" s="740">
        <f t="shared" si="54"/>
        <v>-2418752</v>
      </c>
      <c r="R51" s="740">
        <f t="shared" si="54"/>
        <v>-2420320</v>
      </c>
      <c r="S51" s="740">
        <f t="shared" si="54"/>
        <v>-2421888</v>
      </c>
      <c r="T51" s="740">
        <f t="shared" si="54"/>
        <v>-2423456</v>
      </c>
      <c r="U51" s="740">
        <f t="shared" si="54"/>
        <v>-2425024</v>
      </c>
      <c r="V51" s="740">
        <f t="shared" si="54"/>
        <v>-2426592</v>
      </c>
      <c r="W51" s="740">
        <f t="shared" si="54"/>
        <v>-2428160</v>
      </c>
      <c r="X51" s="740">
        <f t="shared" si="54"/>
        <v>-2429728</v>
      </c>
      <c r="Y51" s="740">
        <f t="shared" si="54"/>
        <v>-2431296</v>
      </c>
      <c r="Z51" s="740">
        <f t="shared" si="54"/>
        <v>-2432864</v>
      </c>
      <c r="AA51" s="740">
        <f t="shared" si="54"/>
        <v>-2521405</v>
      </c>
      <c r="AC51" s="7"/>
      <c r="AD51" s="7"/>
      <c r="AE51" s="7"/>
      <c r="AF51" s="7"/>
      <c r="AH51" s="7"/>
      <c r="AI51" s="74"/>
      <c r="AO51" s="1055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3">
        <f t="shared" si="14"/>
        <v>3.5714285714285712E-2</v>
      </c>
      <c r="AT51" s="769">
        <f t="shared" si="15"/>
        <v>35.876472189248723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3">
        <f t="shared" si="19"/>
        <v>0.4642857142857143</v>
      </c>
      <c r="AY51" s="769">
        <f t="shared" si="20"/>
        <v>35.685017540951129</v>
      </c>
      <c r="AZ51" s="746">
        <f t="shared" si="26"/>
        <v>35.780744865099926</v>
      </c>
      <c r="BA51" s="643">
        <f t="shared" si="21"/>
        <v>1.0338570507586877</v>
      </c>
      <c r="BC51" s="11">
        <v>43137</v>
      </c>
      <c r="BD51" s="290">
        <f>[3]!FeuilCaduc*(1-Persistant)+Persistant</f>
        <v>0.60032803951137059</v>
      </c>
      <c r="BE51" s="291">
        <f>[3]!CroissVégét</f>
        <v>4.7026958080162657E-3</v>
      </c>
      <c r="BF51" s="816">
        <f>1+[3]!Salcycl*Ksac</f>
        <v>1.0000410049389212</v>
      </c>
      <c r="BH51" s="1053">
        <f t="shared" si="22"/>
        <v>1.7580037504307921E-3</v>
      </c>
      <c r="BI51" s="11">
        <v>44233</v>
      </c>
      <c r="BJ51" s="726">
        <v>4.6518229094846147E-4</v>
      </c>
      <c r="BK51" s="726">
        <v>8.2502073855776582E-4</v>
      </c>
      <c r="BL51" s="726">
        <v>1.2510922881843411E-3</v>
      </c>
      <c r="BM51" s="726">
        <v>1.7593306027158047E-3</v>
      </c>
      <c r="BN51" s="726">
        <v>2.3593545559070844E-3</v>
      </c>
      <c r="BO51" s="727">
        <v>3.3554225620373492E-3</v>
      </c>
      <c r="BP51" s="726">
        <v>4.6423782451174471E-3</v>
      </c>
      <c r="BQ51" s="726">
        <v>7.0033170227768986E-3</v>
      </c>
      <c r="BR51" s="726">
        <v>1.0288751118049751E-2</v>
      </c>
      <c r="BS51" s="726">
        <v>1.5225096820930536E-2</v>
      </c>
      <c r="BT51" s="726">
        <v>2.0986285172312085E-2</v>
      </c>
      <c r="BW51" s="1186">
        <f>'2018'!R\Max</f>
        <v>0</v>
      </c>
      <c r="BX51" s="1184">
        <f>'2019'!R\Max</f>
        <v>0.30723971944864864</v>
      </c>
      <c r="BY51" s="1184">
        <f>'2020'!R\Max</f>
        <v>1.0338570507586877</v>
      </c>
      <c r="BZ51" s="1184">
        <f>'2021'!R\Max</f>
        <v>0.29356161084271681</v>
      </c>
      <c r="CA51" s="1184">
        <f>'2022'!R\Max</f>
        <v>0.6770966774682674</v>
      </c>
      <c r="CB51" s="1184">
        <f>'2023'!R\Max</f>
        <v>0.67708154895713446</v>
      </c>
      <c r="CC51" s="1184">
        <f>'2024'!R\Max</f>
        <v>0.67706641788032063</v>
      </c>
      <c r="CD51" s="1184">
        <f>'2025'!R\Max</f>
        <v>0.67703866420987902</v>
      </c>
      <c r="CE51" s="1184">
        <f>'2026'!R\Max</f>
        <v>0.67712750027093738</v>
      </c>
      <c r="CF51" s="1185">
        <f>'2027'!R\Max</f>
        <v>0.67712044684787087</v>
      </c>
    </row>
    <row r="52" spans="1:84" s="6" customFormat="1" ht="11.25" x14ac:dyDescent="0.2">
      <c r="A52" s="11">
        <v>43138</v>
      </c>
      <c r="B52" s="380">
        <f>'2022'!Maxi_hp</f>
        <v>25.358898167859724</v>
      </c>
      <c r="C52" s="13">
        <f>'2022'!An_max</f>
        <v>2020</v>
      </c>
      <c r="D52" s="1062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3">
        <f t="shared" si="9"/>
        <v>0.8571428571428571</v>
      </c>
      <c r="J52" s="746">
        <f t="shared" si="27"/>
        <v>36.22806997086321</v>
      </c>
      <c r="L52" s="756" t="s">
        <v>217</v>
      </c>
      <c r="M52" s="740">
        <f t="shared" ref="M52:AA52" si="55">x.2ld*x.2ld-x.3ld*x.3ld</f>
        <v>-2500235</v>
      </c>
      <c r="N52" s="740">
        <f t="shared" si="55"/>
        <v>-2415616</v>
      </c>
      <c r="O52" s="740">
        <f t="shared" si="55"/>
        <v>-2417184</v>
      </c>
      <c r="P52" s="740">
        <f t="shared" si="55"/>
        <v>-2418752</v>
      </c>
      <c r="Q52" s="740">
        <f t="shared" si="55"/>
        <v>-2420320</v>
      </c>
      <c r="R52" s="740">
        <f t="shared" si="55"/>
        <v>-2421888</v>
      </c>
      <c r="S52" s="740">
        <f t="shared" si="55"/>
        <v>-2423456</v>
      </c>
      <c r="T52" s="740">
        <f t="shared" si="55"/>
        <v>-2425024</v>
      </c>
      <c r="U52" s="740">
        <f t="shared" si="55"/>
        <v>-2426592</v>
      </c>
      <c r="V52" s="740">
        <f t="shared" si="55"/>
        <v>-2428160</v>
      </c>
      <c r="W52" s="740">
        <f t="shared" si="55"/>
        <v>-2429728</v>
      </c>
      <c r="X52" s="740">
        <f t="shared" si="55"/>
        <v>-2431296</v>
      </c>
      <c r="Y52" s="740">
        <f t="shared" si="55"/>
        <v>-2432864</v>
      </c>
      <c r="Z52" s="740">
        <f t="shared" si="55"/>
        <v>-2521405</v>
      </c>
      <c r="AA52" s="740">
        <f t="shared" si="55"/>
        <v>-2436056</v>
      </c>
      <c r="AC52" s="7"/>
      <c r="AD52" s="7"/>
      <c r="AE52" s="7"/>
      <c r="AF52" s="7"/>
      <c r="AH52" s="7"/>
      <c r="AI52" s="74"/>
      <c r="AO52" s="1055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3">
        <f t="shared" si="14"/>
        <v>7.1428571428571425E-2</v>
      </c>
      <c r="AT52" s="769">
        <f t="shared" si="15"/>
        <v>36.208225983836122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3">
        <f t="shared" si="19"/>
        <v>0.42857142857142855</v>
      </c>
      <c r="AY52" s="769">
        <f t="shared" si="20"/>
        <v>36.041760524734855</v>
      </c>
      <c r="AZ52" s="746">
        <f t="shared" si="26"/>
        <v>36.124993254285485</v>
      </c>
      <c r="BA52" s="643">
        <f t="shared" si="21"/>
        <v>0.6999792754141988</v>
      </c>
      <c r="BC52" s="11">
        <v>43138</v>
      </c>
      <c r="BD52" s="290">
        <f>[3]!FeuilCaduc*(1-Persistant)+Persistant</f>
        <v>0.60041417840130806</v>
      </c>
      <c r="BE52" s="291">
        <f>[3]!CroissVégét</f>
        <v>4.9567764778191995E-3</v>
      </c>
      <c r="BF52" s="816">
        <f>1+[3]!Salcycl*Ksac</f>
        <v>1.0000517723001634</v>
      </c>
      <c r="BH52" s="1053">
        <f t="shared" si="22"/>
        <v>1.7687365080557545E-3</v>
      </c>
      <c r="BI52" s="11">
        <v>44234</v>
      </c>
      <c r="BJ52" s="726">
        <v>4.6708099316541718E-4</v>
      </c>
      <c r="BK52" s="726">
        <v>8.3101469767937189E-4</v>
      </c>
      <c r="BL52" s="726">
        <v>1.2597033347848774E-3</v>
      </c>
      <c r="BM52" s="726">
        <v>1.7700689139676438E-3</v>
      </c>
      <c r="BN52" s="726">
        <v>2.36995335051586E-3</v>
      </c>
      <c r="BO52" s="727">
        <v>3.3463088147022649E-3</v>
      </c>
      <c r="BP52" s="726">
        <v>4.6000021322034354E-3</v>
      </c>
      <c r="BQ52" s="726">
        <v>6.8890569885262576E-3</v>
      </c>
      <c r="BR52" s="726">
        <v>1.0109804213004076E-2</v>
      </c>
      <c r="BS52" s="726">
        <v>1.501877355631618E-2</v>
      </c>
      <c r="BT52" s="726">
        <v>2.0816809090191127E-2</v>
      </c>
      <c r="BW52" s="1186">
        <f>'2018'!R\Max</f>
        <v>0</v>
      </c>
      <c r="BX52" s="1184">
        <f>'2019'!R\Max</f>
        <v>0.20249872283504589</v>
      </c>
      <c r="BY52" s="1184">
        <f>'2020'!R\Max</f>
        <v>0.6999792754141988</v>
      </c>
      <c r="BZ52" s="1184">
        <f>'2021'!R\Max</f>
        <v>0.54909619998691073</v>
      </c>
      <c r="CA52" s="1184">
        <f>'2022'!R\Max</f>
        <v>0.28782709515133342</v>
      </c>
      <c r="CB52" s="1184">
        <f>'2023'!R\Max</f>
        <v>0.28781363850644875</v>
      </c>
      <c r="CC52" s="1184">
        <f>'2024'!R\Max</f>
        <v>0.2878001810719949</v>
      </c>
      <c r="CD52" s="1184">
        <f>'2025'!R\Max</f>
        <v>0.28777561277804758</v>
      </c>
      <c r="CE52" s="1184">
        <f>'2026'!R\Max</f>
        <v>0.28785481604251251</v>
      </c>
      <c r="CF52" s="1185">
        <f>'2027'!R\Max</f>
        <v>0.28784837674402364</v>
      </c>
    </row>
    <row r="53" spans="1:84" s="6" customFormat="1" ht="11.25" x14ac:dyDescent="0.2">
      <c r="A53" s="11">
        <v>43139</v>
      </c>
      <c r="B53" s="380">
        <f>'2022'!Maxi_hp</f>
        <v>36.556625907813178</v>
      </c>
      <c r="C53" s="13">
        <f>'2022'!An_max</f>
        <v>2022</v>
      </c>
      <c r="D53" s="1062">
        <f t="shared" si="7"/>
        <v>0.99969742892253066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3">
        <f t="shared" si="9"/>
        <v>0.7857142857142857</v>
      </c>
      <c r="J53" s="746">
        <f t="shared" si="27"/>
        <v>36.567690233247617</v>
      </c>
      <c r="L53" s="756" t="s">
        <v>218</v>
      </c>
      <c r="M53" s="740">
        <f t="shared" ref="M53:AA53" si="56">(y.1ld-y.2ld-b.ld*(x.1ld-x.2ld))/D2x12Ld</f>
        <v>5.4675784288303879E-2</v>
      </c>
      <c r="N53" s="740">
        <f t="shared" si="56"/>
        <v>2.2850531501163944E-2</v>
      </c>
      <c r="O53" s="740">
        <f t="shared" si="56"/>
        <v>4.3839285714281275E-3</v>
      </c>
      <c r="P53" s="740">
        <f t="shared" si="56"/>
        <v>-1.002040816326682E-2</v>
      </c>
      <c r="Q53" s="740">
        <f t="shared" si="56"/>
        <v>-3.0061224489797068E-2</v>
      </c>
      <c r="R53" s="740">
        <f t="shared" si="56"/>
        <v>-2.1919642857144733E-2</v>
      </c>
      <c r="S53" s="740">
        <f t="shared" si="56"/>
        <v>-1.6909438775508077E-2</v>
      </c>
      <c r="T53" s="740">
        <f t="shared" si="56"/>
        <v>-9.3941326530627388E-3</v>
      </c>
      <c r="U53" s="740">
        <f t="shared" si="56"/>
        <v>-8.1415816326539294E-3</v>
      </c>
      <c r="V53" s="740">
        <f t="shared" si="56"/>
        <v>-2.2545918367345246E-2</v>
      </c>
      <c r="W53" s="740">
        <f t="shared" si="56"/>
        <v>-5.0102040816325036E-3</v>
      </c>
      <c r="X53" s="740">
        <f t="shared" si="56"/>
        <v>1.0020408163264671E-2</v>
      </c>
      <c r="Y53" s="740">
        <f t="shared" si="56"/>
        <v>3.0687499999997484E-2</v>
      </c>
      <c r="Z53" s="740">
        <f t="shared" si="56"/>
        <v>5.4675784288299903E-2</v>
      </c>
      <c r="AA53" s="740">
        <f t="shared" si="56"/>
        <v>2.2850531501169283E-2</v>
      </c>
      <c r="AC53" s="7"/>
      <c r="AD53" s="7"/>
      <c r="AE53" s="7"/>
      <c r="AF53" s="7"/>
      <c r="AH53" s="7"/>
      <c r="AI53" s="74"/>
      <c r="AO53" s="1055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3">
        <f t="shared" si="14"/>
        <v>0.10714285714285714</v>
      </c>
      <c r="AT53" s="769">
        <f t="shared" si="15"/>
        <v>36.54346008101254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3">
        <f t="shared" si="19"/>
        <v>0.39285714285714285</v>
      </c>
      <c r="AY53" s="769">
        <f t="shared" si="20"/>
        <v>36.400435527799914</v>
      </c>
      <c r="AZ53" s="746">
        <f t="shared" si="26"/>
        <v>36.471947804406227</v>
      </c>
      <c r="BA53" s="643">
        <f t="shared" si="21"/>
        <v>0.99969742892253066</v>
      </c>
      <c r="BC53" s="11">
        <v>43139</v>
      </c>
      <c r="BD53" s="290">
        <f>[3]!FeuilCaduc*(1-Persistant)+Persistant</f>
        <v>0.60050826483977415</v>
      </c>
      <c r="BE53" s="291">
        <f>[3]!CroissVégét</f>
        <v>5.2213784245517241E-3</v>
      </c>
      <c r="BF53" s="816">
        <f>1+[3]!Salcycl*Ksac</f>
        <v>1.0000635331049719</v>
      </c>
      <c r="BH53" s="1053">
        <f t="shared" si="22"/>
        <v>1.7862753996817475E-3</v>
      </c>
      <c r="BI53" s="11">
        <v>44235</v>
      </c>
      <c r="BJ53" s="726">
        <v>4.672092518120557E-4</v>
      </c>
      <c r="BK53" s="726">
        <v>8.3754383725754568E-4</v>
      </c>
      <c r="BL53" s="726">
        <v>1.2716929477455377E-3</v>
      </c>
      <c r="BM53" s="726">
        <v>1.7876223309567932E-3</v>
      </c>
      <c r="BN53" s="726">
        <v>2.3913234158855672E-3</v>
      </c>
      <c r="BO53" s="727">
        <v>3.3513579324283092E-3</v>
      </c>
      <c r="BP53" s="726">
        <v>4.5764070040390618E-3</v>
      </c>
      <c r="BQ53" s="726">
        <v>6.799071887076946E-3</v>
      </c>
      <c r="BR53" s="726">
        <v>9.9575632443233662E-3</v>
      </c>
      <c r="BS53" s="726">
        <v>1.4833362142345853E-2</v>
      </c>
      <c r="BT53" s="726">
        <v>2.065433479083954E-2</v>
      </c>
      <c r="BW53" s="1186">
        <f>'2018'!R\Max</f>
        <v>0</v>
      </c>
      <c r="BX53" s="1184">
        <f>'2019'!R\Max</f>
        <v>0.85293480600708205</v>
      </c>
      <c r="BY53" s="1184">
        <f>'2020'!R\Max</f>
        <v>0.81877388564221665</v>
      </c>
      <c r="BZ53" s="1184">
        <f>'2021'!R\Max</f>
        <v>0.13666249888676851</v>
      </c>
      <c r="CA53" s="1184">
        <f>'2022'!R\Max</f>
        <v>0.99969742892253066</v>
      </c>
      <c r="CB53" s="1184">
        <f>'2023'!R\Max</f>
        <v>0.99969740936096374</v>
      </c>
      <c r="CC53" s="1184">
        <f>'2024'!R\Max</f>
        <v>0.99969738979762346</v>
      </c>
      <c r="CD53" s="1184">
        <f>'2025'!R\Max</f>
        <v>0.99969735429841711</v>
      </c>
      <c r="CE53" s="1184">
        <f>'2026'!R\Max</f>
        <v>0.999697469698135</v>
      </c>
      <c r="CF53" s="1185">
        <f>'2027'!R\Max</f>
        <v>0.99969746006028293</v>
      </c>
    </row>
    <row r="54" spans="1:84" s="6" customFormat="1" ht="11.25" x14ac:dyDescent="0.2">
      <c r="A54" s="11">
        <v>43140</v>
      </c>
      <c r="B54" s="380">
        <f>'2022'!Maxi_hp</f>
        <v>36.800486280884854</v>
      </c>
      <c r="C54" s="13">
        <f>'2022'!An_max</f>
        <v>2022</v>
      </c>
      <c r="D54" s="1062">
        <f t="shared" si="7"/>
        <v>0.99710174089725456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3">
        <f t="shared" si="9"/>
        <v>0.7142857142857143</v>
      </c>
      <c r="J54" s="746">
        <f t="shared" si="27"/>
        <v>36.9074536443688</v>
      </c>
      <c r="L54" s="756" t="s">
        <v>219</v>
      </c>
      <c r="M54" s="740">
        <f t="shared" ref="M54:AA54" si="57">(y.2ld-y.3ld-(y.1ld-y.2ld)*D2x23Ld/D2x12Ld)/(x.2ld-x.3ld)/(1-(x.2ld+x.3ld)/(x.1ld+x.2ld))</f>
        <v>-4711.7732941402573</v>
      </c>
      <c r="N54" s="740">
        <f t="shared" si="57"/>
        <v>-1967.9591250969875</v>
      </c>
      <c r="O54" s="740">
        <f t="shared" si="57"/>
        <v>-374.80835714281881</v>
      </c>
      <c r="P54" s="740">
        <f t="shared" si="57"/>
        <v>868.68922448992657</v>
      </c>
      <c r="Q54" s="740">
        <f t="shared" si="57"/>
        <v>2599.8951020409154</v>
      </c>
      <c r="R54" s="740">
        <f t="shared" si="57"/>
        <v>1896.1367857144478</v>
      </c>
      <c r="S54" s="740">
        <f t="shared" si="57"/>
        <v>1462.774173469204</v>
      </c>
      <c r="T54" s="740">
        <f t="shared" si="57"/>
        <v>812.30939795931477</v>
      </c>
      <c r="U54" s="740">
        <f t="shared" si="57"/>
        <v>703.82845918374869</v>
      </c>
      <c r="V54" s="740">
        <f t="shared" si="57"/>
        <v>1952.165897959037</v>
      </c>
      <c r="W54" s="740">
        <f t="shared" si="57"/>
        <v>431.4687551020279</v>
      </c>
      <c r="X54" s="740">
        <f t="shared" si="57"/>
        <v>-872.82765306116937</v>
      </c>
      <c r="Y54" s="740">
        <f t="shared" si="57"/>
        <v>-2667.3925714283532</v>
      </c>
      <c r="Z54" s="740">
        <f t="shared" si="57"/>
        <v>-4751.686616670374</v>
      </c>
      <c r="AA54" s="740">
        <f t="shared" si="57"/>
        <v>-1984.6400130933014</v>
      </c>
      <c r="AC54" s="7"/>
      <c r="AD54" s="7"/>
      <c r="AE54" s="7"/>
      <c r="AF54" s="7"/>
      <c r="AH54" s="7"/>
      <c r="AI54" s="74"/>
      <c r="AO54" s="1055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3">
        <f t="shared" si="14"/>
        <v>0.14285714285714285</v>
      </c>
      <c r="AT54" s="769">
        <f t="shared" si="15"/>
        <v>36.881973177612032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3">
        <f t="shared" si="19"/>
        <v>0.35714285714285715</v>
      </c>
      <c r="AY54" s="769">
        <f t="shared" si="20"/>
        <v>36.760646838142669</v>
      </c>
      <c r="AZ54" s="746">
        <f t="shared" si="26"/>
        <v>36.821310007877351</v>
      </c>
      <c r="BA54" s="643">
        <f t="shared" si="21"/>
        <v>0.99710174089725456</v>
      </c>
      <c r="BC54" s="11">
        <v>43140</v>
      </c>
      <c r="BD54" s="290">
        <f>[3]!FeuilCaduc*(1-Persistant)+Persistant</f>
        <v>0.6006094690656828</v>
      </c>
      <c r="BE54" s="291">
        <f>[3]!CroissVégét</f>
        <v>5.4969313417339892E-3</v>
      </c>
      <c r="BF54" s="816">
        <f>1+[3]!Salcycl*Ksac</f>
        <v>1.0000761836332104</v>
      </c>
      <c r="BH54" s="1053">
        <f t="shared" si="22"/>
        <v>1.8106207480026828E-3</v>
      </c>
      <c r="BI54" s="11">
        <v>44236</v>
      </c>
      <c r="BJ54" s="726">
        <v>4.6556810398556861E-4</v>
      </c>
      <c r="BK54" s="726">
        <v>8.4460900622519068E-4</v>
      </c>
      <c r="BL54" s="726">
        <v>1.2870617380625002E-3</v>
      </c>
      <c r="BM54" s="726">
        <v>1.8119911756225269E-3</v>
      </c>
      <c r="BN54" s="726">
        <v>2.4234647771019177E-3</v>
      </c>
      <c r="BO54" s="727">
        <v>3.3705704180711418E-3</v>
      </c>
      <c r="BP54" s="726">
        <v>4.5715939702276869E-3</v>
      </c>
      <c r="BQ54" s="726">
        <v>6.7333648018912716E-3</v>
      </c>
      <c r="BR54" s="726">
        <v>9.8320351870097092E-3</v>
      </c>
      <c r="BS54" s="726">
        <v>1.4668877436463687E-2</v>
      </c>
      <c r="BT54" s="726">
        <v>2.0498887764914771E-2</v>
      </c>
      <c r="BW54" s="1186">
        <f>'2018'!R\Max</f>
        <v>0</v>
      </c>
      <c r="BX54" s="1184">
        <f>'2019'!R\Max</f>
        <v>0.80759383102324678</v>
      </c>
      <c r="BY54" s="1184">
        <f>'2020'!R\Max</f>
        <v>0.81343635222447408</v>
      </c>
      <c r="BZ54" s="1184">
        <f>'2021'!R\Max</f>
        <v>0.3636819670983984</v>
      </c>
      <c r="CA54" s="1184">
        <f>'2022'!R\Max</f>
        <v>0.99710174089725456</v>
      </c>
      <c r="CB54" s="1184">
        <f>'2023'!R\Max</f>
        <v>0.99710155932976519</v>
      </c>
      <c r="CC54" s="1184">
        <f>'2024'!R\Max</f>
        <v>0.99710137770647767</v>
      </c>
      <c r="CD54" s="1184">
        <f>'2025'!R\Max</f>
        <v>0.99710105082709155</v>
      </c>
      <c r="CE54" s="1184">
        <f>'2026'!R\Max</f>
        <v>0.99710212429202216</v>
      </c>
      <c r="CF54" s="1185">
        <f>'2027'!R\Max</f>
        <v>0.99710203187018409</v>
      </c>
    </row>
    <row r="55" spans="1:84" s="6" customFormat="1" ht="11.25" x14ac:dyDescent="0.2">
      <c r="A55" s="11">
        <v>43141</v>
      </c>
      <c r="B55" s="380">
        <f>'2022'!Maxi_hp</f>
        <v>34.213417729613788</v>
      </c>
      <c r="C55" s="13">
        <f>'2022'!An_max</f>
        <v>2022</v>
      </c>
      <c r="D55" s="1062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3">
        <f t="shared" si="9"/>
        <v>0.6428571428571429</v>
      </c>
      <c r="J55" s="746">
        <f t="shared" si="27"/>
        <v>37.247574927085751</v>
      </c>
      <c r="L55" s="756" t="s">
        <v>220</v>
      </c>
      <c r="M55" s="740">
        <f t="shared" ref="M55:AA55" si="58">(y.1ld+y.2ld+y.3ld-a.ld*(x.3ld*x.3ld+x.2ld*x.2ld+x.1ld*x.1ld)-b.ld*(x.3ld+x.2ld+x.1ld))/3</f>
        <v>101511399.06571609</v>
      </c>
      <c r="N55" s="740">
        <f t="shared" si="58"/>
        <v>42371921.110959083</v>
      </c>
      <c r="O55" s="740">
        <f t="shared" si="58"/>
        <v>8010848.967177745</v>
      </c>
      <c r="P55" s="740">
        <f t="shared" si="58"/>
        <v>-18826313.016370166</v>
      </c>
      <c r="Q55" s="740">
        <f t="shared" si="58"/>
        <v>-56213431.219961315</v>
      </c>
      <c r="R55" s="740">
        <f t="shared" si="58"/>
        <v>-41005215.599896356</v>
      </c>
      <c r="S55" s="740">
        <f t="shared" si="58"/>
        <v>-31634183.454705212</v>
      </c>
      <c r="T55" s="740">
        <f t="shared" si="58"/>
        <v>-17559428.115222227</v>
      </c>
      <c r="U55" s="740">
        <f t="shared" si="58"/>
        <v>-15210599.074353671</v>
      </c>
      <c r="V55" s="740">
        <f t="shared" si="58"/>
        <v>-42257075.199609071</v>
      </c>
      <c r="W55" s="740">
        <f t="shared" si="58"/>
        <v>-9288364.579469109</v>
      </c>
      <c r="X55" s="740">
        <f t="shared" si="58"/>
        <v>19007038.753223293</v>
      </c>
      <c r="Y55" s="740">
        <f t="shared" si="58"/>
        <v>57963449.950388134</v>
      </c>
      <c r="Z55" s="740">
        <f t="shared" si="58"/>
        <v>103238480.49943157</v>
      </c>
      <c r="AA55" s="740">
        <f t="shared" si="58"/>
        <v>43093270.453688823</v>
      </c>
      <c r="AB55" s="7"/>
      <c r="AC55" s="7"/>
      <c r="AD55" s="7"/>
      <c r="AE55" s="7"/>
      <c r="AF55" s="7"/>
      <c r="AH55" s="7"/>
      <c r="AI55" s="74"/>
      <c r="AO55" s="1055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3">
        <f t="shared" si="14"/>
        <v>0.17857142857142858</v>
      </c>
      <c r="AT55" s="769">
        <f t="shared" si="15"/>
        <v>37.223563971118082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3">
        <f t="shared" si="19"/>
        <v>0.32142857142857145</v>
      </c>
      <c r="AY55" s="769">
        <f t="shared" si="20"/>
        <v>37.12199874301109</v>
      </c>
      <c r="AZ55" s="746">
        <f t="shared" si="26"/>
        <v>37.172781357064586</v>
      </c>
      <c r="BA55" s="643">
        <f t="shared" si="21"/>
        <v>0.91854081229686768</v>
      </c>
      <c r="BC55" s="11">
        <v>43141</v>
      </c>
      <c r="BD55" s="290">
        <f>[3]!FeuilCaduc*(1-Persistant)+Persistant</f>
        <v>0.60071692710570546</v>
      </c>
      <c r="BE55" s="291">
        <f>[3]!CroissVégét</f>
        <v>5.7838819630590035E-3</v>
      </c>
      <c r="BF55" s="816">
        <f>1+[3]!Salcycl*Ksac</f>
        <v>1.0000896158882131</v>
      </c>
      <c r="BH55" s="1053">
        <f t="shared" si="22"/>
        <v>1.841772891043453E-3</v>
      </c>
      <c r="BI55" s="11">
        <v>44237</v>
      </c>
      <c r="BJ55" s="726">
        <v>4.6215860661572619E-4</v>
      </c>
      <c r="BK55" s="726">
        <v>8.5221108074758902E-4</v>
      </c>
      <c r="BL55" s="726">
        <v>1.305810340912063E-3</v>
      </c>
      <c r="BM55" s="726">
        <v>1.8431757852119366E-3</v>
      </c>
      <c r="BN55" s="726">
        <v>2.4663774514035721E-3</v>
      </c>
      <c r="BO55" s="727">
        <v>3.4039466489766109E-3</v>
      </c>
      <c r="BP55" s="726">
        <v>4.5855638225051586E-3</v>
      </c>
      <c r="BQ55" s="726">
        <v>6.6919381084241886E-3</v>
      </c>
      <c r="BR55" s="726">
        <v>9.7332259718439489E-3</v>
      </c>
      <c r="BS55" s="726">
        <v>1.4525333150116651E-2</v>
      </c>
      <c r="BT55" s="726">
        <v>2.0350492623405117E-2</v>
      </c>
      <c r="BW55" s="1186">
        <f>'2018'!R\Max</f>
        <v>0</v>
      </c>
      <c r="BX55" s="1184">
        <f>'2019'!R\Max</f>
        <v>0.25266352897127858</v>
      </c>
      <c r="BY55" s="1184">
        <f>'2020'!R\Max</f>
        <v>0.25150056119223074</v>
      </c>
      <c r="BZ55" s="1184">
        <f>'2021'!R\Max</f>
        <v>0.41821005134829847</v>
      </c>
      <c r="CA55" s="1184">
        <f>'2022'!R\Max</f>
        <v>0.91854081229686768</v>
      </c>
      <c r="CB55" s="1184">
        <f>'2023'!R\Max</f>
        <v>0.9185362285966433</v>
      </c>
      <c r="CC55" s="1184">
        <f>'2024'!R\Max</f>
        <v>0.91853164253425867</v>
      </c>
      <c r="CD55" s="1184">
        <f>'2025'!R\Max</f>
        <v>0.9185234700577285</v>
      </c>
      <c r="CE55" s="1184">
        <f>'2026'!R\Max</f>
        <v>0.91855062466365123</v>
      </c>
      <c r="CF55" s="1185">
        <f>'2027'!R\Max</f>
        <v>0.91854820759059275</v>
      </c>
    </row>
    <row r="56" spans="1:84" s="6" customFormat="1" ht="11.25" x14ac:dyDescent="0.2">
      <c r="A56" s="11">
        <v>43142</v>
      </c>
      <c r="B56" s="380">
        <f>'2022'!Maxi_hp</f>
        <v>30.625815125737557</v>
      </c>
      <c r="C56" s="13">
        <f>'2022'!An_max</f>
        <v>2021</v>
      </c>
      <c r="D56" s="1062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3">
        <f t="shared" si="9"/>
        <v>0.5714285714285714</v>
      </c>
      <c r="J56" s="746">
        <f t="shared" si="27"/>
        <v>37.588268804630005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5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3">
        <f t="shared" si="14"/>
        <v>0.21428571428571427</v>
      </c>
      <c r="AT56" s="769">
        <f t="shared" si="15"/>
        <v>37.568031158678266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3">
        <f t="shared" si="19"/>
        <v>0.2857142857142857</v>
      </c>
      <c r="AY56" s="769">
        <f t="shared" si="20"/>
        <v>37.484095529373732</v>
      </c>
      <c r="AZ56" s="746">
        <f t="shared" si="26"/>
        <v>37.526063344025999</v>
      </c>
      <c r="BA56" s="643">
        <f t="shared" si="21"/>
        <v>0.81477056804396286</v>
      </c>
      <c r="BC56" s="11">
        <v>43142</v>
      </c>
      <c r="BD56" s="290">
        <f>[3]!FeuilCaduc*(1-Persistant)+Persistant</f>
        <v>0.60082975171083119</v>
      </c>
      <c r="BE56" s="291">
        <f>[3]!CroissVégét</f>
        <v>6.0826946947814143E-3</v>
      </c>
      <c r="BF56" s="816">
        <f>1+[3]!Salcycl*Ksac</f>
        <v>1.000103718963854</v>
      </c>
      <c r="BH56" s="1053">
        <f t="shared" si="22"/>
        <v>1.8797322674015515E-3</v>
      </c>
      <c r="BI56" s="11">
        <v>44238</v>
      </c>
      <c r="BJ56" s="726">
        <v>4.5698181434716579E-4</v>
      </c>
      <c r="BK56" s="726">
        <v>8.6035097097021402E-4</v>
      </c>
      <c r="BL56" s="726">
        <v>1.3279394579904121E-3</v>
      </c>
      <c r="BM56" s="726">
        <v>1.8811765976338489E-3</v>
      </c>
      <c r="BN56" s="726">
        <v>2.5200615830493537E-3</v>
      </c>
      <c r="BO56" s="727">
        <v>3.4514870542767962E-3</v>
      </c>
      <c r="BP56" s="726">
        <v>4.6183172697912035E-3</v>
      </c>
      <c r="BQ56" s="726">
        <v>6.6747937778544059E-3</v>
      </c>
      <c r="BR56" s="726">
        <v>9.6611408195462906E-3</v>
      </c>
      <c r="BS56" s="726">
        <v>1.4402742110627155E-2</v>
      </c>
      <c r="BT56" s="726">
        <v>2.0209173185878903E-2</v>
      </c>
      <c r="BW56" s="1186">
        <f>'2018'!R\Max</f>
        <v>0</v>
      </c>
      <c r="BX56" s="1184">
        <f>'2019'!R\Max</f>
        <v>0.57467473561134674</v>
      </c>
      <c r="BY56" s="1184">
        <f>'2020'!R\Max</f>
        <v>0.25065365086807512</v>
      </c>
      <c r="BZ56" s="1184">
        <f>'2021'!R\Max</f>
        <v>0.81477056804396286</v>
      </c>
      <c r="CA56" s="1184">
        <f>'2022'!R\Max</f>
        <v>0.50813435779203509</v>
      </c>
      <c r="CB56" s="1184">
        <f>'2023'!R\Max</f>
        <v>0.5081193730344602</v>
      </c>
      <c r="CC56" s="1184">
        <f>'2024'!R\Max</f>
        <v>0.50810437807248954</v>
      </c>
      <c r="CD56" s="1184">
        <f>'2025'!R\Max</f>
        <v>0.50807796665997129</v>
      </c>
      <c r="CE56" s="1184">
        <f>'2026'!R\Max</f>
        <v>0.50816690036969803</v>
      </c>
      <c r="CF56" s="1185">
        <f>'2027'!R\Max</f>
        <v>0.50815869612243758</v>
      </c>
    </row>
    <row r="57" spans="1:84" s="6" customFormat="1" ht="11.25" x14ac:dyDescent="0.2">
      <c r="A57" s="11">
        <v>43143</v>
      </c>
      <c r="B57" s="380">
        <f>'2022'!Maxi_hp</f>
        <v>38.463815462769276</v>
      </c>
      <c r="C57" s="13">
        <f>'2022'!An_max</f>
        <v>2019</v>
      </c>
      <c r="D57" s="1062">
        <f t="shared" si="7"/>
        <v>1.0140803844706845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3">
        <f t="shared" si="9"/>
        <v>0.5</v>
      </c>
      <c r="J57" s="746">
        <f t="shared" si="27"/>
        <v>37.929749999893829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5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3">
        <f t="shared" si="14"/>
        <v>0.25</v>
      </c>
      <c r="AT57" s="769">
        <f t="shared" si="15"/>
        <v>37.915173437140766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3">
        <f t="shared" si="19"/>
        <v>0.25</v>
      </c>
      <c r="AY57" s="769">
        <f t="shared" si="20"/>
        <v>37.84654148416594</v>
      </c>
      <c r="AZ57" s="746">
        <f t="shared" si="26"/>
        <v>37.880857460653353</v>
      </c>
      <c r="BA57" s="643">
        <f t="shared" si="21"/>
        <v>1.0140803844706845</v>
      </c>
      <c r="BC57" s="11">
        <v>43143</v>
      </c>
      <c r="BD57" s="290">
        <f>[3]!FeuilCaduc*(1-Persistant)+Persistant</f>
        <v>0.60094704388681452</v>
      </c>
      <c r="BE57" s="291">
        <f>[3]!CroissVégét</f>
        <v>6.3938522678270975E-3</v>
      </c>
      <c r="BF57" s="816">
        <f>1+[3]!Salcycl*Ksac</f>
        <v>1.0001183804858518</v>
      </c>
      <c r="BH57" s="1053">
        <f t="shared" si="22"/>
        <v>1.9244995014766179E-3</v>
      </c>
      <c r="BI57" s="11">
        <v>44239</v>
      </c>
      <c r="BJ57" s="726">
        <v>4.5003875741841107E-4</v>
      </c>
      <c r="BK57" s="726">
        <v>8.6902962776081046E-4</v>
      </c>
      <c r="BL57" s="726">
        <v>1.3534498998447576E-3</v>
      </c>
      <c r="BM57" s="726">
        <v>1.9259942368006584E-3</v>
      </c>
      <c r="BN57" s="726">
        <v>2.5845175781693108E-3</v>
      </c>
      <c r="BO57" s="727">
        <v>3.5131922921631826E-3</v>
      </c>
      <c r="BP57" s="726">
        <v>4.6698551732092834E-3</v>
      </c>
      <c r="BQ57" s="726">
        <v>6.6819336807681833E-3</v>
      </c>
      <c r="BR57" s="726">
        <v>9.6157845748672983E-3</v>
      </c>
      <c r="BS57" s="726">
        <v>1.4301116522961827E-2</v>
      </c>
      <c r="BT57" s="726">
        <v>2.0074952568589377E-2</v>
      </c>
      <c r="BW57" s="1186">
        <f>'2018'!R\Max</f>
        <v>0</v>
      </c>
      <c r="BX57" s="1184">
        <f>'2019'!R\Max</f>
        <v>1.0140803844706845</v>
      </c>
      <c r="BY57" s="1184">
        <f>'2020'!R\Max</f>
        <v>0.57468875033088762</v>
      </c>
      <c r="BZ57" s="1184">
        <f>'2021'!R\Max</f>
        <v>0.14962766347558676</v>
      </c>
      <c r="CA57" s="1184">
        <f>'2022'!R\Max</f>
        <v>0.76514409600772859</v>
      </c>
      <c r="CB57" s="1184">
        <f>'2023'!R\Max</f>
        <v>0.76513351000084306</v>
      </c>
      <c r="CC57" s="1184">
        <f>'2024'!R\Max</f>
        <v>0.76512291424106338</v>
      </c>
      <c r="CD57" s="1184">
        <f>'2025'!R\Max</f>
        <v>0.76510449690877391</v>
      </c>
      <c r="CE57" s="1184">
        <f>'2026'!R\Max</f>
        <v>0.76516742627003076</v>
      </c>
      <c r="CF57" s="1185">
        <f>'2027'!R\Max</f>
        <v>0.7651614001335757</v>
      </c>
    </row>
    <row r="58" spans="1:84" s="6" customFormat="1" ht="11.25" x14ac:dyDescent="0.2">
      <c r="A58" s="11">
        <v>43144</v>
      </c>
      <c r="B58" s="380">
        <f>'2022'!Maxi_hp</f>
        <v>39.79279391744533</v>
      </c>
      <c r="C58" s="13">
        <f>'2022'!An_max</f>
        <v>2019</v>
      </c>
      <c r="D58" s="1062">
        <f t="shared" si="7"/>
        <v>1.0397301268521317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3">
        <f t="shared" si="9"/>
        <v>0.42857142857142855</v>
      </c>
      <c r="J58" s="746">
        <f t="shared" si="27"/>
        <v>38.272233236062206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5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3">
        <f t="shared" si="14"/>
        <v>0.2857142857142857</v>
      </c>
      <c r="AT58" s="769">
        <f t="shared" si="15"/>
        <v>38.264789504248519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3">
        <f t="shared" si="19"/>
        <v>0.21428571428571427</v>
      </c>
      <c r="AY58" s="769">
        <f t="shared" si="20"/>
        <v>38.208940894336301</v>
      </c>
      <c r="AZ58" s="746">
        <f t="shared" si="26"/>
        <v>38.23686519929241</v>
      </c>
      <c r="BA58" s="643">
        <f t="shared" si="21"/>
        <v>1.0397301268521317</v>
      </c>
      <c r="BC58" s="11">
        <v>43144</v>
      </c>
      <c r="BD58" s="290">
        <f>[3]!FeuilCaduc*(1-Persistant)+Persistant</f>
        <v>0.60106790488540773</v>
      </c>
      <c r="BE58" s="291">
        <f>[3]!CroissVégét</f>
        <v>6.7178564099054624E-3</v>
      </c>
      <c r="BF58" s="816">
        <f>1+[3]!Salcycl*Ksac</f>
        <v>1.000133488110676</v>
      </c>
      <c r="BH58" s="1053">
        <f t="shared" si="22"/>
        <v>1.9678497000111261E-3</v>
      </c>
      <c r="BI58" s="11">
        <v>44240</v>
      </c>
      <c r="BJ58" s="726">
        <v>4.4059066479977283E-4</v>
      </c>
      <c r="BK58" s="726">
        <v>8.7530880255637595E-4</v>
      </c>
      <c r="BL58" s="726">
        <v>1.3769154161894866E-3</v>
      </c>
      <c r="BM58" s="726">
        <v>1.9693964839431885E-3</v>
      </c>
      <c r="BN58" s="726">
        <v>2.6485732295405246E-3</v>
      </c>
      <c r="BO58" s="727">
        <v>3.5840313322894621E-3</v>
      </c>
      <c r="BP58" s="726">
        <v>4.7431670905754685E-3</v>
      </c>
      <c r="BQ58" s="726">
        <v>6.7266575417611035E-3</v>
      </c>
      <c r="BR58" s="726">
        <v>9.6159261741281324E-3</v>
      </c>
      <c r="BS58" s="726">
        <v>1.4245333420091259E-2</v>
      </c>
      <c r="BT58" s="726">
        <v>1.9979259995137531E-2</v>
      </c>
      <c r="BW58" s="1186">
        <f>'2018'!R\Max</f>
        <v>0</v>
      </c>
      <c r="BX58" s="1184">
        <f>'2019'!R\Max</f>
        <v>1.0397301268521317</v>
      </c>
      <c r="BY58" s="1184">
        <f>'2020'!R\Max</f>
        <v>0.48078180158261574</v>
      </c>
      <c r="BZ58" s="1184">
        <f>'2021'!R\Max</f>
        <v>0.20548507102310248</v>
      </c>
      <c r="CA58" s="1184">
        <f>'2022'!R\Max</f>
        <v>0.89649393890537943</v>
      </c>
      <c r="CB58" s="1184">
        <f>'2023'!R\Max</f>
        <v>0.89648850871429087</v>
      </c>
      <c r="CC58" s="1184">
        <f>'2024'!R\Max</f>
        <v>0.8964830723678876</v>
      </c>
      <c r="CD58" s="1184">
        <f>'2025'!R\Max</f>
        <v>0.89647377880200951</v>
      </c>
      <c r="CE58" s="1184">
        <f>'2026'!R\Max</f>
        <v>0.89650604630857866</v>
      </c>
      <c r="CF58" s="1185">
        <f>'2027'!R\Max</f>
        <v>0.89650286511768718</v>
      </c>
    </row>
    <row r="59" spans="1:84" s="6" customFormat="1" ht="11.25" x14ac:dyDescent="0.2">
      <c r="A59" s="11">
        <v>43145</v>
      </c>
      <c r="B59" s="380">
        <f>'2022'!Maxi_hp</f>
        <v>40.073233720515397</v>
      </c>
      <c r="C59" s="13">
        <f>'2022'!An_max</f>
        <v>2019</v>
      </c>
      <c r="D59" s="1062">
        <f t="shared" si="7"/>
        <v>1.0377383210046889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3">
        <f t="shared" si="9"/>
        <v>0.35714285714285715</v>
      </c>
      <c r="J59" s="746">
        <f t="shared" si="27"/>
        <v>38.615933236153793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5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3">
        <f t="shared" si="14"/>
        <v>0.32142857142857145</v>
      </c>
      <c r="AT59" s="769">
        <f t="shared" si="15"/>
        <v>38.616678056591113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3">
        <f t="shared" si="19"/>
        <v>0.17857142857142858</v>
      </c>
      <c r="AY59" s="769">
        <f t="shared" si="20"/>
        <v>38.570898047575199</v>
      </c>
      <c r="AZ59" s="746">
        <f t="shared" si="26"/>
        <v>38.593788052083156</v>
      </c>
      <c r="BA59" s="643">
        <f t="shared" si="21"/>
        <v>1.0377383210046889</v>
      </c>
      <c r="BC59" s="11">
        <v>43145</v>
      </c>
      <c r="BD59" s="290">
        <f>[3]!FeuilCaduc*(1-Persistant)+Persistant</f>
        <v>0.60119144852134865</v>
      </c>
      <c r="BE59" s="291">
        <f>[3]!CroissVégét</f>
        <v>7.0552285378688686E-3</v>
      </c>
      <c r="BF59" s="816">
        <f>1+[3]!Salcycl*Ksac</f>
        <v>1.0001489310651686</v>
      </c>
      <c r="BH59" s="1053">
        <f t="shared" si="22"/>
        <v>2.0060843085971483E-3</v>
      </c>
      <c r="BI59" s="11">
        <v>44241</v>
      </c>
      <c r="BJ59" s="726">
        <v>4.2859495869458988E-4</v>
      </c>
      <c r="BK59" s="726">
        <v>8.7803145153993135E-4</v>
      </c>
      <c r="BL59" s="726">
        <v>1.3959966412009554E-3</v>
      </c>
      <c r="BM59" s="726">
        <v>2.0076812269464697E-3</v>
      </c>
      <c r="BN59" s="726">
        <v>2.7068805208021857E-3</v>
      </c>
      <c r="BO59" s="727">
        <v>3.6577928910394714E-3</v>
      </c>
      <c r="BP59" s="726">
        <v>4.8304602170698326E-3</v>
      </c>
      <c r="BQ59" s="726">
        <v>6.7992345857746019E-3</v>
      </c>
      <c r="BR59" s="726">
        <v>9.6522363998109029E-3</v>
      </c>
      <c r="BS59" s="726">
        <v>1.4230116199968643E-2</v>
      </c>
      <c r="BT59" s="726">
        <v>1.9924413154620704E-2</v>
      </c>
      <c r="BW59" s="1186">
        <f>'2018'!R\Max</f>
        <v>0</v>
      </c>
      <c r="BX59" s="1184">
        <f>'2019'!R\Max</f>
        <v>1.0377383210046889</v>
      </c>
      <c r="BY59" s="1184">
        <f>'2020'!R\Max</f>
        <v>0.74861315945057394</v>
      </c>
      <c r="BZ59" s="1184">
        <f>'2021'!R\Max</f>
        <v>0.93898901677532365</v>
      </c>
      <c r="CA59" s="1184">
        <f>'2022'!R\Max</f>
        <v>0.43518127735557949</v>
      </c>
      <c r="CB59" s="1184">
        <f>'2023'!R\Max</f>
        <v>0.43516685231753927</v>
      </c>
      <c r="CC59" s="1184">
        <f>'2024'!R\Max</f>
        <v>0.43515240910043795</v>
      </c>
      <c r="CD59" s="1184">
        <f>'2025'!R\Max</f>
        <v>0.43512819021111071</v>
      </c>
      <c r="CE59" s="1184">
        <f>'2026'!R\Max</f>
        <v>0.43521371236083756</v>
      </c>
      <c r="CF59" s="1185">
        <f>'2027'!R\Max</f>
        <v>0.43520511181066196</v>
      </c>
    </row>
    <row r="60" spans="1:84" s="6" customFormat="1" ht="11.25" x14ac:dyDescent="0.2">
      <c r="A60" s="11">
        <v>43146</v>
      </c>
      <c r="B60" s="380">
        <f>'2022'!Maxi_hp</f>
        <v>40.326165520091415</v>
      </c>
      <c r="C60" s="13">
        <f>'2022'!An_max</f>
        <v>2019</v>
      </c>
      <c r="D60" s="1062">
        <f t="shared" si="7"/>
        <v>1.035037563951998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3">
        <f t="shared" si="9"/>
        <v>0.2857142857142857</v>
      </c>
      <c r="J60" s="746">
        <f t="shared" si="27"/>
        <v>38.961064723213873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5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3">
        <f t="shared" si="14"/>
        <v>0.35714285714285715</v>
      </c>
      <c r="AT60" s="769">
        <f t="shared" si="15"/>
        <v>38.970637791345197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3">
        <f t="shared" si="19"/>
        <v>0.14285714285714285</v>
      </c>
      <c r="AY60" s="769">
        <f t="shared" si="20"/>
        <v>38.932017230402145</v>
      </c>
      <c r="AZ60" s="746">
        <f t="shared" si="26"/>
        <v>38.951327510873668</v>
      </c>
      <c r="BA60" s="643">
        <f t="shared" si="21"/>
        <v>1.035037563951998</v>
      </c>
      <c r="BC60" s="11">
        <v>43146</v>
      </c>
      <c r="BD60" s="290">
        <f>[3]!FeuilCaduc*(1-Persistant)+Persistant</f>
        <v>0.60131681367960876</v>
      </c>
      <c r="BE60" s="291">
        <f>[3]!CroissVégét</f>
        <v>7.4065104705297478E-3</v>
      </c>
      <c r="BF60" s="816">
        <f>1+[3]!Salcycl*Ksac</f>
        <v>1.000164601709951</v>
      </c>
      <c r="BH60" s="1053">
        <f t="shared" si="22"/>
        <v>2.039207582256234E-3</v>
      </c>
      <c r="BI60" s="11">
        <v>44242</v>
      </c>
      <c r="BJ60" s="726">
        <v>4.1405262848878449E-4</v>
      </c>
      <c r="BK60" s="726">
        <v>8.771995665901762E-4</v>
      </c>
      <c r="BL60" s="726">
        <v>1.4106966335188887E-3</v>
      </c>
      <c r="BM60" s="726">
        <v>2.0408527239636079E-3</v>
      </c>
      <c r="BN60" s="726">
        <v>2.7594450056576906E-3</v>
      </c>
      <c r="BO60" s="727">
        <v>3.734481836283218E-3</v>
      </c>
      <c r="BP60" s="726">
        <v>4.9317384130516534E-3</v>
      </c>
      <c r="BQ60" s="726">
        <v>6.8996676100154799E-3</v>
      </c>
      <c r="BR60" s="726">
        <v>9.7247191421206605E-3</v>
      </c>
      <c r="BS60" s="726">
        <v>1.4255472745917581E-2</v>
      </c>
      <c r="BT60" s="726">
        <v>1.9910426471559169E-2</v>
      </c>
      <c r="BW60" s="1186">
        <f>'2018'!R\Max</f>
        <v>0</v>
      </c>
      <c r="BX60" s="1184">
        <f>'2019'!R\Max</f>
        <v>1.035037563951998</v>
      </c>
      <c r="BY60" s="1184">
        <f>'2020'!R\Max</f>
        <v>0.9742190276535927</v>
      </c>
      <c r="BZ60" s="1184">
        <f>'2021'!R\Max</f>
        <v>0.90285978824839375</v>
      </c>
      <c r="CA60" s="1184">
        <f>'2022'!R\Max</f>
        <v>0.54235620172803933</v>
      </c>
      <c r="CB60" s="1184">
        <f>'2023'!R\Max</f>
        <v>0.54234145852443172</v>
      </c>
      <c r="CC60" s="1184">
        <f>'2024'!R\Max</f>
        <v>0.54232669416690693</v>
      </c>
      <c r="CD60" s="1184">
        <f>'2025'!R\Max</f>
        <v>0.54230245915957009</v>
      </c>
      <c r="CE60" s="1184">
        <f>'2026'!R\Max</f>
        <v>0.54238951764137755</v>
      </c>
      <c r="CF60" s="1185">
        <f>'2027'!R\Max</f>
        <v>0.54238066941104013</v>
      </c>
    </row>
    <row r="61" spans="1:84" s="6" customFormat="1" ht="11.25" x14ac:dyDescent="0.2">
      <c r="A61" s="11">
        <v>43147</v>
      </c>
      <c r="B61" s="380">
        <f>'2022'!Maxi_hp</f>
        <v>40.772992464506032</v>
      </c>
      <c r="C61" s="13">
        <f>'2022'!An_max</f>
        <v>2019</v>
      </c>
      <c r="D61" s="1062">
        <f t="shared" si="7"/>
        <v>1.0372737335473354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3">
        <f t="shared" si="9"/>
        <v>0.21428571428571427</v>
      </c>
      <c r="J61" s="746">
        <f t="shared" si="27"/>
        <v>39.307842419828688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5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3">
        <f t="shared" si="14"/>
        <v>0.39285714285714285</v>
      </c>
      <c r="AT61" s="769">
        <f t="shared" si="15"/>
        <v>39.326467405937727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3">
        <f t="shared" si="19"/>
        <v>0.10714285714285714</v>
      </c>
      <c r="AY61" s="769">
        <f t="shared" si="20"/>
        <v>39.291902729799041</v>
      </c>
      <c r="AZ61" s="746">
        <f t="shared" si="26"/>
        <v>39.309185067868384</v>
      </c>
      <c r="BA61" s="643">
        <f t="shared" si="21"/>
        <v>1.0372737335473354</v>
      </c>
      <c r="BC61" s="11">
        <v>43147</v>
      </c>
      <c r="BD61" s="290">
        <f>[3]!FeuilCaduc*(1-Persistant)+Persistant</f>
        <v>0.60144317687837145</v>
      </c>
      <c r="BE61" s="291">
        <f>[3]!CroissVégét</f>
        <v>7.7722651621059055E-3</v>
      </c>
      <c r="BF61" s="816">
        <f>1+[3]!Salcycl*Ksac</f>
        <v>1.0001803971097964</v>
      </c>
      <c r="BH61" s="1053">
        <f t="shared" si="22"/>
        <v>2.067223792658755E-3</v>
      </c>
      <c r="BI61" s="11">
        <v>44243</v>
      </c>
      <c r="BJ61" s="726">
        <v>3.9696451617788394E-4</v>
      </c>
      <c r="BK61" s="726">
        <v>8.7281503146155156E-4</v>
      </c>
      <c r="BL61" s="726">
        <v>1.4210183973760518E-3</v>
      </c>
      <c r="BM61" s="726">
        <v>2.0689152499825223E-3</v>
      </c>
      <c r="BN61" s="726">
        <v>2.8062723335252901E-3</v>
      </c>
      <c r="BO61" s="727">
        <v>3.8141035067302195E-3</v>
      </c>
      <c r="BP61" s="726">
        <v>5.0470064571748107E-3</v>
      </c>
      <c r="BQ61" s="726">
        <v>7.0279607325951969E-3</v>
      </c>
      <c r="BR61" s="726">
        <v>9.8333797164103804E-3</v>
      </c>
      <c r="BS61" s="726">
        <v>1.432141226022577E-2</v>
      </c>
      <c r="BT61" s="726">
        <v>1.9937315501930699E-2</v>
      </c>
      <c r="BW61" s="1186">
        <f>'2018'!R\Max</f>
        <v>0</v>
      </c>
      <c r="BX61" s="1184">
        <f>'2019'!R\Max</f>
        <v>1.0372737335473354</v>
      </c>
      <c r="BY61" s="1184">
        <f>'2020'!R\Max</f>
        <v>0.5762128228724418</v>
      </c>
      <c r="BZ61" s="1184">
        <f>'2021'!R\Max</f>
        <v>0.81211776657779966</v>
      </c>
      <c r="CA61" s="1184">
        <f>'2022'!R\Max</f>
        <v>0.28161733532278399</v>
      </c>
      <c r="CB61" s="1184">
        <f>'2023'!R\Max</f>
        <v>0.28160538063026497</v>
      </c>
      <c r="CC61" s="1184">
        <f>'2024'!R\Max</f>
        <v>0.28159340744192063</v>
      </c>
      <c r="CD61" s="1184">
        <f>'2025'!R\Max</f>
        <v>0.28157419936131028</v>
      </c>
      <c r="CE61" s="1184">
        <f>'2026'!R\Max</f>
        <v>0.28164439920814682</v>
      </c>
      <c r="CF61" s="1185">
        <f>'2027'!R\Max</f>
        <v>0.28163724951545843</v>
      </c>
    </row>
    <row r="62" spans="1:84" s="6" customFormat="1" ht="11.25" x14ac:dyDescent="0.2">
      <c r="A62" s="11">
        <v>43148</v>
      </c>
      <c r="B62" s="380">
        <f>'2022'!Maxi_hp</f>
        <v>41.216821259374889</v>
      </c>
      <c r="C62" s="13">
        <f>'2022'!An_max</f>
        <v>2019</v>
      </c>
      <c r="D62" s="1062">
        <f t="shared" si="7"/>
        <v>1.0393464111920436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3">
        <f t="shared" si="9"/>
        <v>0.14285714285714285</v>
      </c>
      <c r="J62" s="746">
        <f t="shared" si="27"/>
        <v>39.656481049569059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5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3">
        <f t="shared" si="14"/>
        <v>0.42857142857142855</v>
      </c>
      <c r="AT62" s="769">
        <f t="shared" si="15"/>
        <v>39.683965597476345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3">
        <f t="shared" si="19"/>
        <v>7.1428571428571425E-2</v>
      </c>
      <c r="AY62" s="769">
        <f t="shared" si="20"/>
        <v>39.650158833399686</v>
      </c>
      <c r="AZ62" s="746">
        <f t="shared" si="26"/>
        <v>39.667062215438015</v>
      </c>
      <c r="BA62" s="643">
        <f t="shared" si="21"/>
        <v>1.0393464111920436</v>
      </c>
      <c r="BC62" s="11">
        <v>43148</v>
      </c>
      <c r="BD62" s="290">
        <f>[3]!FeuilCaduc*(1-Persistant)+Persistant</f>
        <v>0.6015697647555619</v>
      </c>
      <c r="BE62" s="291">
        <f>[3]!CroissVégét</f>
        <v>8.1530774564185747E-3</v>
      </c>
      <c r="BF62" s="816">
        <f>1+[3]!Salcycl*Ksac</f>
        <v>1.0001962205944452</v>
      </c>
      <c r="BH62" s="1053">
        <f t="shared" si="22"/>
        <v>2.0901371641097086E-3</v>
      </c>
      <c r="BI62" s="11">
        <v>44244</v>
      </c>
      <c r="BJ62" s="726">
        <v>3.7733128444611814E-4</v>
      </c>
      <c r="BK62" s="726">
        <v>8.648795772511613E-4</v>
      </c>
      <c r="BL62" s="726">
        <v>1.426964827720114E-3</v>
      </c>
      <c r="BM62" s="726">
        <v>2.0918730327878329E-3</v>
      </c>
      <c r="BN62" s="726">
        <v>2.8473681776186987E-3</v>
      </c>
      <c r="BO62" s="727">
        <v>3.8966637484961022E-3</v>
      </c>
      <c r="BP62" s="726">
        <v>5.1762702213041765E-3</v>
      </c>
      <c r="BQ62" s="726">
        <v>7.1841197409029979E-3</v>
      </c>
      <c r="BR62" s="726">
        <v>9.9782253154010181E-3</v>
      </c>
      <c r="BS62" s="726">
        <v>1.4427945771078868E-2</v>
      </c>
      <c r="BT62" s="726">
        <v>2.0005097443276377E-2</v>
      </c>
      <c r="BW62" s="1186">
        <f>'2018'!R\Max</f>
        <v>0</v>
      </c>
      <c r="BX62" s="1184">
        <f>'2019'!R\Max</f>
        <v>1.0393464111920436</v>
      </c>
      <c r="BY62" s="1184">
        <f>'2020'!R\Max</f>
        <v>0.14578403454291278</v>
      </c>
      <c r="BZ62" s="1184">
        <f>'2021'!R\Max</f>
        <v>0.90094503896136513</v>
      </c>
      <c r="CA62" s="1184">
        <f>'2022'!R\Max</f>
        <v>0.30203303441031804</v>
      </c>
      <c r="CB62" s="1184">
        <f>'2023'!R\Max</f>
        <v>0.30201988056668816</v>
      </c>
      <c r="CC62" s="1184">
        <f>'2024'!R\Max</f>
        <v>0.30200670477977481</v>
      </c>
      <c r="CD62" s="1184">
        <f>'2025'!R\Max</f>
        <v>0.30198606487620067</v>
      </c>
      <c r="CE62" s="1184">
        <f>'2026'!R\Max</f>
        <v>0.30206277718262942</v>
      </c>
      <c r="CF62" s="1185">
        <f>'2027'!R\Max</f>
        <v>0.30205501099913573</v>
      </c>
    </row>
    <row r="63" spans="1:84" s="6" customFormat="1" ht="11.25" x14ac:dyDescent="0.2">
      <c r="A63" s="11">
        <v>43149</v>
      </c>
      <c r="B63" s="380">
        <f>'2022'!Maxi_hp</f>
        <v>40.739227562492772</v>
      </c>
      <c r="C63" s="13">
        <f>'2022'!An_max</f>
        <v>2019</v>
      </c>
      <c r="D63" s="1062">
        <f t="shared" si="7"/>
        <v>1.0182975142583373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3">
        <f t="shared" si="9"/>
        <v>7.1428571428571425E-2</v>
      </c>
      <c r="J63" s="746">
        <f t="shared" si="27"/>
        <v>40.007195335407076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5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3">
        <f t="shared" si="14"/>
        <v>0.4642857142857143</v>
      </c>
      <c r="AT63" s="769">
        <f t="shared" si="15"/>
        <v>40.042931062942287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3">
        <f t="shared" si="19"/>
        <v>3.5714285714285712E-2</v>
      </c>
      <c r="AY63" s="769">
        <f t="shared" si="20"/>
        <v>40.006389827640461</v>
      </c>
      <c r="AZ63" s="746">
        <f t="shared" si="26"/>
        <v>40.024660445291374</v>
      </c>
      <c r="BA63" s="643">
        <f t="shared" si="21"/>
        <v>1.0182975142583373</v>
      </c>
      <c r="BC63" s="11">
        <v>43149</v>
      </c>
      <c r="BD63" s="290">
        <f>[3]!FeuilCaduc*(1-Persistant)+Persistant</f>
        <v>0.60169586635044547</v>
      </c>
      <c r="BE63" s="291">
        <f>[3]!CroissVégét</f>
        <v>8.5495548619151183E-3</v>
      </c>
      <c r="BF63" s="816">
        <f>1+[3]!Salcycl*Ksac</f>
        <v>1.0002119832938057</v>
      </c>
      <c r="BH63" s="1053">
        <f t="shared" si="22"/>
        <v>2.107951809508026E-3</v>
      </c>
      <c r="BI63" s="11">
        <v>44245</v>
      </c>
      <c r="BJ63" s="726">
        <v>3.5515338474003836E-4</v>
      </c>
      <c r="BK63" s="726">
        <v>8.533947378542323E-4</v>
      </c>
      <c r="BL63" s="726">
        <v>1.4285386553171532E-3</v>
      </c>
      <c r="BM63" s="726">
        <v>2.1097301888962348E-3</v>
      </c>
      <c r="BN63" s="726">
        <v>2.882738162991894E-3</v>
      </c>
      <c r="BO63" s="727">
        <v>3.9821689516207548E-3</v>
      </c>
      <c r="BP63" s="726">
        <v>5.3195368453680331E-3</v>
      </c>
      <c r="BQ63" s="726">
        <v>7.3681524398893101E-3</v>
      </c>
      <c r="BR63" s="726">
        <v>1.0159265461274668E-2</v>
      </c>
      <c r="BS63" s="726">
        <v>1.457508663930809E-2</v>
      </c>
      <c r="BT63" s="726">
        <v>2.0113791644546051E-2</v>
      </c>
      <c r="BW63" s="1186">
        <f>'2018'!R\Max</f>
        <v>0</v>
      </c>
      <c r="BX63" s="1184">
        <f>'2019'!R\Max</f>
        <v>1.0182975142583373</v>
      </c>
      <c r="BY63" s="1184">
        <f>'2020'!R\Max</f>
        <v>0.76160919193516274</v>
      </c>
      <c r="BZ63" s="1184">
        <f>'2021'!R\Max</f>
        <v>0.3888644373519608</v>
      </c>
      <c r="CA63" s="1184">
        <f>'2022'!R\Max</f>
        <v>0.76255946070413105</v>
      </c>
      <c r="CB63" s="1184">
        <f>'2023'!R\Max</f>
        <v>0.76254775365830441</v>
      </c>
      <c r="CC63" s="1184">
        <f>'2024'!R\Max</f>
        <v>0.76253602519444519</v>
      </c>
      <c r="CD63" s="1184">
        <f>'2025'!R\Max</f>
        <v>0.76251808959835166</v>
      </c>
      <c r="CE63" s="1184">
        <f>'2026'!R\Max</f>
        <v>0.76258582789591522</v>
      </c>
      <c r="CF63" s="1185">
        <f>'2027'!R\Max</f>
        <v>0.76257906213880944</v>
      </c>
    </row>
    <row r="64" spans="1:84" s="6" customFormat="1" ht="11.25" x14ac:dyDescent="0.2">
      <c r="A64" s="11">
        <v>43150</v>
      </c>
      <c r="B64" s="380">
        <f>'2022'!Maxi_hp</f>
        <v>38.479174675338513</v>
      </c>
      <c r="C64" s="13">
        <f>'2022'!An_max</f>
        <v>2021</v>
      </c>
      <c r="D64" s="1062" t="str">
        <f t="shared" si="7"/>
        <v/>
      </c>
      <c r="E64" s="1057">
        <f>Q$13/10</f>
        <v>40.360199999999999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3">
        <f t="shared" si="9"/>
        <v>0</v>
      </c>
      <c r="J64" s="746">
        <f t="shared" si="27"/>
        <v>40.36019999999553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5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3">
        <f t="shared" si="14"/>
        <v>0.5</v>
      </c>
      <c r="AT64" s="769">
        <f t="shared" si="15"/>
        <v>40.403162499697643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3">
        <f t="shared" si="19"/>
        <v>0</v>
      </c>
      <c r="AY64" s="769">
        <f t="shared" si="20"/>
        <v>40.360200000181791</v>
      </c>
      <c r="AZ64" s="746">
        <f t="shared" si="26"/>
        <v>40.381681249939717</v>
      </c>
      <c r="BA64" s="643">
        <f t="shared" si="21"/>
        <v>0.95339405343241046</v>
      </c>
      <c r="BC64" s="11">
        <v>43150</v>
      </c>
      <c r="BD64" s="290">
        <f>[3]!FeuilCaduc*(1-Persistant)+Persistant</f>
        <v>0.60182084505675992</v>
      </c>
      <c r="BE64" s="291">
        <f>[3]!CroissVégét</f>
        <v>8.9623283475330478E-3</v>
      </c>
      <c r="BF64" s="816">
        <f>1+[3]!Salcycl*Ksac</f>
        <v>1.0002276056320949</v>
      </c>
      <c r="BH64" s="1053">
        <f t="shared" si="22"/>
        <v>2.12067166632437E-3</v>
      </c>
      <c r="BI64" s="11">
        <v>44246</v>
      </c>
      <c r="BJ64" s="726">
        <v>3.3043102534583172E-4</v>
      </c>
      <c r="BK64" s="726">
        <v>8.3836180542747421E-4</v>
      </c>
      <c r="BL64" s="726">
        <v>1.4257423918679136E-3</v>
      </c>
      <c r="BM64" s="726">
        <v>2.1224906595103759E-3</v>
      </c>
      <c r="BN64" s="726">
        <v>2.9123877946089513E-3</v>
      </c>
      <c r="BO64" s="727">
        <v>4.0706260866204512E-3</v>
      </c>
      <c r="BP64" s="726">
        <v>5.4768149122554378E-3</v>
      </c>
      <c r="BQ64" s="726">
        <v>7.5800690004120081E-3</v>
      </c>
      <c r="BR64" s="726">
        <v>1.0376512457856236E-2</v>
      </c>
      <c r="BS64" s="726">
        <v>1.4762851065267174E-2</v>
      </c>
      <c r="BT64" s="726">
        <v>2.026342011612418E-2</v>
      </c>
      <c r="BW64" s="1186">
        <f>'2018'!R\Max</f>
        <v>0</v>
      </c>
      <c r="BX64" s="1184">
        <f>'2019'!R\Max</f>
        <v>0.75487968478954237</v>
      </c>
      <c r="BY64" s="1184">
        <f>'2020'!R\Max</f>
        <v>0.67021127090334598</v>
      </c>
      <c r="BZ64" s="1184">
        <f>'2021'!R\Max</f>
        <v>0.95339405343241046</v>
      </c>
      <c r="CA64" s="1184">
        <f>'2022'!R\Max</f>
        <v>0.54783122225038794</v>
      </c>
      <c r="CB64" s="1184">
        <f>'2023'!R\Max</f>
        <v>0.54781452560990052</v>
      </c>
      <c r="CC64" s="1184">
        <f>'2024'!R\Max</f>
        <v>0.54779779745479595</v>
      </c>
      <c r="CD64" s="1184">
        <f>'2025'!R\Max</f>
        <v>0.54777282220486356</v>
      </c>
      <c r="CE64" s="1184">
        <f>'2026'!R\Max</f>
        <v>0.547868600423147</v>
      </c>
      <c r="CF64" s="1185">
        <f>'2027'!R\Max</f>
        <v>0.54785922220513505</v>
      </c>
    </row>
    <row r="65" spans="1:84" s="6" customFormat="1" ht="11.25" x14ac:dyDescent="0.2">
      <c r="A65" s="11">
        <v>43151</v>
      </c>
      <c r="B65" s="380">
        <f>'2022'!Maxi_hp</f>
        <v>40.655100676030095</v>
      </c>
      <c r="C65" s="13">
        <f>'2022'!An_max</f>
        <v>2020</v>
      </c>
      <c r="D65" s="1062">
        <f t="shared" si="7"/>
        <v>0.99850745835548305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3">
        <f t="shared" si="9"/>
        <v>7.1428571428571425E-2</v>
      </c>
      <c r="J65" s="746">
        <f t="shared" si="27"/>
        <v>40.715870808805008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5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3">
        <f t="shared" si="14"/>
        <v>0.5357142857142857</v>
      </c>
      <c r="AT65" s="769">
        <f t="shared" si="15"/>
        <v>40.76445860488748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3">
        <f t="shared" si="19"/>
        <v>3.5714285714285712E-2</v>
      </c>
      <c r="AY65" s="769">
        <f t="shared" si="20"/>
        <v>40.714495239722808</v>
      </c>
      <c r="AZ65" s="746">
        <f t="shared" si="26"/>
        <v>40.739476922305144</v>
      </c>
      <c r="BA65" s="643">
        <f t="shared" si="21"/>
        <v>0.99850745835548305</v>
      </c>
      <c r="BC65" s="11">
        <v>43151</v>
      </c>
      <c r="BD65" s="290">
        <f>[3]!FeuilCaduc*(1-Persistant)+Persistant</f>
        <v>0.60194415012999103</v>
      </c>
      <c r="BE65" s="291">
        <f>[3]!CroissVégét</f>
        <v>9.3920531593536197E-3</v>
      </c>
      <c r="BF65" s="816">
        <f>1+[3]!Salcycl*Ksac</f>
        <v>1.0002430187662488</v>
      </c>
      <c r="BH65" s="1053">
        <f t="shared" si="22"/>
        <v>2.1283004325661926E-3</v>
      </c>
      <c r="BI65" s="11">
        <v>44247</v>
      </c>
      <c r="BJ65" s="726">
        <v>3.0316413946431545E-4</v>
      </c>
      <c r="BK65" s="726">
        <v>8.1978178584716328E-4</v>
      </c>
      <c r="BL65" s="726">
        <v>1.418578275115376E-3</v>
      </c>
      <c r="BM65" s="726">
        <v>2.1301581464599844E-3</v>
      </c>
      <c r="BN65" s="726">
        <v>2.9363223853965453E-3</v>
      </c>
      <c r="BO65" s="727">
        <v>4.1620427410162288E-3</v>
      </c>
      <c r="BP65" s="726">
        <v>5.6481146226819885E-3</v>
      </c>
      <c r="BQ65" s="726">
        <v>7.8198823075387308E-3</v>
      </c>
      <c r="BR65" s="726">
        <v>1.0629981842733928E-2</v>
      </c>
      <c r="BS65" s="726">
        <v>1.4991258595620897E-2</v>
      </c>
      <c r="BT65" s="726">
        <v>2.0454008039733091E-2</v>
      </c>
      <c r="BW65" s="1186">
        <f>'2018'!R\Max</f>
        <v>0</v>
      </c>
      <c r="BX65" s="1184">
        <f>'2019'!R\Max</f>
        <v>0.99766316791412424</v>
      </c>
      <c r="BY65" s="1184">
        <f>'2020'!R\Max</f>
        <v>0.99850745835548305</v>
      </c>
      <c r="BZ65" s="1184">
        <f>'2021'!R\Max</f>
        <v>0.78561998185006765</v>
      </c>
      <c r="CA65" s="1184">
        <f>'2022'!R\Max</f>
        <v>0.51802553875008295</v>
      </c>
      <c r="CB65" s="1184">
        <f>'2023'!R\Max</f>
        <v>0.51800790550606657</v>
      </c>
      <c r="CC65" s="1184">
        <f>'2024'!R\Max</f>
        <v>0.51799023779128195</v>
      </c>
      <c r="CD65" s="1184">
        <f>'2025'!R\Max</f>
        <v>0.51796446653239936</v>
      </c>
      <c r="CE65" s="1184">
        <f>'2026'!R\Max</f>
        <v>0.51806470218499012</v>
      </c>
      <c r="CF65" s="1185">
        <f>'2027'!R\Max</f>
        <v>0.51805513722497953</v>
      </c>
    </row>
    <row r="66" spans="1:84" s="6" customFormat="1" ht="11.25" x14ac:dyDescent="0.2">
      <c r="A66" s="11">
        <v>43152</v>
      </c>
      <c r="B66" s="380">
        <f>'2022'!Maxi_hp</f>
        <v>38.737384022485628</v>
      </c>
      <c r="C66" s="13">
        <f>'2022'!An_max</f>
        <v>2019</v>
      </c>
      <c r="D66" s="1062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3">
        <f t="shared" si="9"/>
        <v>0.14285714285714285</v>
      </c>
      <c r="J66" s="746">
        <f t="shared" si="27"/>
        <v>41.074225655948979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5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3">
        <f t="shared" si="14"/>
        <v>0.5714285714285714</v>
      </c>
      <c r="AT66" s="769">
        <f t="shared" si="15"/>
        <v>41.126618075630226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3">
        <f t="shared" si="19"/>
        <v>7.1428571428571425E-2</v>
      </c>
      <c r="AY66" s="769">
        <f t="shared" si="20"/>
        <v>41.07223946804713</v>
      </c>
      <c r="AZ66" s="746">
        <f t="shared" si="26"/>
        <v>41.099428771838674</v>
      </c>
      <c r="BA66" s="643">
        <f t="shared" si="21"/>
        <v>0.94310686090499929</v>
      </c>
      <c r="BC66" s="11">
        <v>43152</v>
      </c>
      <c r="BD66" s="290">
        <f>[3]!FeuilCaduc*(1-Persistant)+Persistant</f>
        <v>0.60206532763862897</v>
      </c>
      <c r="BE66" s="291">
        <f>[3]!CroissVégét</f>
        <v>9.8394096579268626E-3</v>
      </c>
      <c r="BF66" s="816">
        <f>1+[3]!Salcycl*Ksac</f>
        <v>1.0002581659548286</v>
      </c>
      <c r="BH66" s="1053">
        <f t="shared" si="22"/>
        <v>2.1212861947049648E-3</v>
      </c>
      <c r="BI66" s="11">
        <v>44248</v>
      </c>
      <c r="BJ66" s="726">
        <v>2.7476405242099949E-4</v>
      </c>
      <c r="BK66" s="726">
        <v>7.9612303721142712E-4</v>
      </c>
      <c r="BL66" s="726">
        <v>1.4019222389216191E-3</v>
      </c>
      <c r="BM66" s="726">
        <v>2.1231691462252501E-3</v>
      </c>
      <c r="BN66" s="726">
        <v>2.9400314608549311E-3</v>
      </c>
      <c r="BO66" s="727">
        <v>4.237018246624185E-3</v>
      </c>
      <c r="BP66" s="726">
        <v>5.8105334034149157E-3</v>
      </c>
      <c r="BQ66" s="726">
        <v>8.0758303325446749E-3</v>
      </c>
      <c r="BR66" s="726">
        <v>1.0920998410974693E-2</v>
      </c>
      <c r="BS66" s="726">
        <v>1.5277596744478967E-2</v>
      </c>
      <c r="BT66" s="726">
        <v>2.0708174852902574E-2</v>
      </c>
      <c r="BW66" s="1186">
        <f>'2018'!R\Max</f>
        <v>0</v>
      </c>
      <c r="BX66" s="1184">
        <f>'2019'!R\Max</f>
        <v>0.94310686090499929</v>
      </c>
      <c r="BY66" s="1184">
        <f>'2020'!R\Max</f>
        <v>0.34388384830858509</v>
      </c>
      <c r="BZ66" s="1184">
        <f>'2021'!R\Max</f>
        <v>0.34563848486809196</v>
      </c>
      <c r="CA66" s="1184">
        <f>'2022'!R\Max</f>
        <v>0.56772915791118461</v>
      </c>
      <c r="CB66" s="1184">
        <f>'2023'!R\Max</f>
        <v>0.56771096215806638</v>
      </c>
      <c r="CC66" s="1184">
        <f>'2024'!R\Max</f>
        <v>0.56769272874527399</v>
      </c>
      <c r="CD66" s="1184">
        <f>'2025'!R\Max</f>
        <v>0.56766653108195064</v>
      </c>
      <c r="CE66" s="1184">
        <f>'2026'!R\Max</f>
        <v>0.56776910994550644</v>
      </c>
      <c r="CF66" s="1185">
        <f>'2027'!R\Max</f>
        <v>0.56775966485866936</v>
      </c>
    </row>
    <row r="67" spans="1:84" s="6" customFormat="1" ht="11.25" x14ac:dyDescent="0.2">
      <c r="A67" s="11">
        <v>43153</v>
      </c>
      <c r="B67" s="380">
        <f>'2022'!Maxi_hp</f>
        <v>40.196901311599696</v>
      </c>
      <c r="C67" s="13">
        <f>'2022'!An_max</f>
        <v>2019</v>
      </c>
      <c r="D67" s="1062">
        <f t="shared" si="7"/>
        <v>0.97012084314958424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3">
        <f t="shared" si="9"/>
        <v>0.21428571428571427</v>
      </c>
      <c r="J67" s="746">
        <f t="shared" si="27"/>
        <v>41.43494245634065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5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3">
        <f t="shared" si="14"/>
        <v>0.6071428571428571</v>
      </c>
      <c r="AT67" s="769">
        <f t="shared" si="15"/>
        <v>41.48943960896203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3">
        <f t="shared" si="19"/>
        <v>0.10714285714285714</v>
      </c>
      <c r="AY67" s="769">
        <f t="shared" si="20"/>
        <v>41.433124020645792</v>
      </c>
      <c r="AZ67" s="746">
        <f t="shared" si="26"/>
        <v>41.461281814803911</v>
      </c>
      <c r="BA67" s="643">
        <f t="shared" si="21"/>
        <v>0.97012084314958424</v>
      </c>
      <c r="BC67" s="11">
        <v>43153</v>
      </c>
      <c r="BD67" s="290">
        <f>[3]!FeuilCaduc*(1-Persistant)+Persistant</f>
        <v>0.60218403075745885</v>
      </c>
      <c r="BE67" s="291">
        <f>[3]!CroissVégét</f>
        <v>1.0305104176065441E-2</v>
      </c>
      <c r="BF67" s="816">
        <f>1+[3]!Salcycl*Ksac</f>
        <v>1.0002730038446823</v>
      </c>
      <c r="BH67" s="1053">
        <f t="shared" si="22"/>
        <v>2.0965128733085683E-3</v>
      </c>
      <c r="BI67" s="11">
        <v>44249</v>
      </c>
      <c r="BJ67" s="726">
        <v>2.4703930545943748E-4</v>
      </c>
      <c r="BK67" s="726">
        <v>7.6800144641491006E-4</v>
      </c>
      <c r="BL67" s="726">
        <v>1.374727859528877E-3</v>
      </c>
      <c r="BM67" s="726">
        <v>2.0984021620032395E-3</v>
      </c>
      <c r="BN67" s="726">
        <v>2.9180820781467961E-3</v>
      </c>
      <c r="BO67" s="727">
        <v>4.2875894733050519E-3</v>
      </c>
      <c r="BP67" s="726">
        <v>5.9530704257977256E-3</v>
      </c>
      <c r="BQ67" s="726">
        <v>8.3333549546646055E-3</v>
      </c>
      <c r="BR67" s="726">
        <v>1.1232162593527724E-2</v>
      </c>
      <c r="BS67" s="726">
        <v>1.5606176767032326E-2</v>
      </c>
      <c r="BT67" s="726">
        <v>2.1016496006584159E-2</v>
      </c>
      <c r="BW67" s="1186">
        <f>'2018'!R\Max</f>
        <v>0</v>
      </c>
      <c r="BX67" s="1184">
        <f>'2019'!R\Max</f>
        <v>0.97012084314958424</v>
      </c>
      <c r="BY67" s="1184">
        <f>'2020'!R\Max</f>
        <v>0.94699792158059981</v>
      </c>
      <c r="BZ67" s="1184">
        <f>'2021'!R\Max</f>
        <v>0.21875453977648843</v>
      </c>
      <c r="CA67" s="1184">
        <f>'2022'!R\Max</f>
        <v>0.86999305830977824</v>
      </c>
      <c r="CB67" s="1184">
        <f>'2023'!R\Max</f>
        <v>0.86998425747632013</v>
      </c>
      <c r="CC67" s="1184">
        <f>'2024'!R\Max</f>
        <v>0.86997543666077015</v>
      </c>
      <c r="CD67" s="1184">
        <f>'2025'!R\Max</f>
        <v>0.86996285614596314</v>
      </c>
      <c r="CE67" s="1184">
        <f>'2026'!R\Max</f>
        <v>0.87001209989027828</v>
      </c>
      <c r="CF67" s="1185">
        <f>'2027'!R\Max</f>
        <v>0.87000776941779767</v>
      </c>
    </row>
    <row r="68" spans="1:84" s="6" customFormat="1" ht="11.25" x14ac:dyDescent="0.2">
      <c r="A68" s="11">
        <v>43154</v>
      </c>
      <c r="B68" s="380">
        <f>'2022'!Maxi_hp</f>
        <v>40.899659056750139</v>
      </c>
      <c r="C68" s="13">
        <f>'2022'!An_max</f>
        <v>2020</v>
      </c>
      <c r="D68" s="1062">
        <f t="shared" si="7"/>
        <v>0.97851460516985611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3">
        <f t="shared" si="9"/>
        <v>0.2857142857142857</v>
      </c>
      <c r="J68" s="746">
        <f t="shared" si="27"/>
        <v>41.797699125452034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5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3">
        <f t="shared" si="14"/>
        <v>0.6428571428571429</v>
      </c>
      <c r="AT68" s="769">
        <f t="shared" si="15"/>
        <v>41.852721902188406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3">
        <f t="shared" si="19"/>
        <v>0.14285714285714285</v>
      </c>
      <c r="AY68" s="769">
        <f t="shared" si="20"/>
        <v>41.796840233302547</v>
      </c>
      <c r="AZ68" s="746">
        <f t="shared" si="26"/>
        <v>41.824781067745477</v>
      </c>
      <c r="BA68" s="643">
        <f t="shared" si="21"/>
        <v>0.97851460516985611</v>
      </c>
      <c r="BC68" s="11">
        <v>43154</v>
      </c>
      <c r="BD68" s="290">
        <f>[3]!FeuilCaduc*(1-Persistant)+Persistant</f>
        <v>0.60230002931003135</v>
      </c>
      <c r="BE68" s="291">
        <f>[3]!CroissVégét</f>
        <v>1.0789869896821172E-2</v>
      </c>
      <c r="BF68" s="816">
        <f>1+[3]!Salcycl*Ksac</f>
        <v>1.000287503663754</v>
      </c>
      <c r="BH68" s="1053">
        <f t="shared" si="22"/>
        <v>2.05396935055931E-3</v>
      </c>
      <c r="BI68" s="11">
        <v>44250</v>
      </c>
      <c r="BJ68" s="726">
        <v>2.1998799681433121E-4</v>
      </c>
      <c r="BK68" s="726">
        <v>7.3541248897719008E-4</v>
      </c>
      <c r="BL68" s="726">
        <v>1.3369875891346326E-3</v>
      </c>
      <c r="BM68" s="726">
        <v>2.0558460666316647E-3</v>
      </c>
      <c r="BN68" s="726">
        <v>2.8704590473338162E-3</v>
      </c>
      <c r="BO68" s="727">
        <v>4.3137353759873445E-3</v>
      </c>
      <c r="BP68" s="726">
        <v>6.0756975077682568E-3</v>
      </c>
      <c r="BQ68" s="726">
        <v>8.5924169895658046E-3</v>
      </c>
      <c r="BR68" s="726">
        <v>1.1563420281839277E-2</v>
      </c>
      <c r="BS68" s="726">
        <v>1.5976920925646284E-2</v>
      </c>
      <c r="BT68" s="726">
        <v>2.1378864164012509E-2</v>
      </c>
      <c r="BW68" s="1186">
        <f>'2018'!R\Max</f>
        <v>0</v>
      </c>
      <c r="BX68" s="1184">
        <f>'2019'!R\Max</f>
        <v>0.97662117062973619</v>
      </c>
      <c r="BY68" s="1184">
        <f>'2020'!R\Max</f>
        <v>0.97851460516985611</v>
      </c>
      <c r="BZ68" s="1184">
        <f>'2021'!R\Max</f>
        <v>0.74385443455552769</v>
      </c>
      <c r="CA68" s="1184">
        <f>'2022'!R\Max</f>
        <v>0.89245892832656259</v>
      </c>
      <c r="CB68" s="1184">
        <f>'2023'!R\Max</f>
        <v>0.89245109472388739</v>
      </c>
      <c r="CC68" s="1184">
        <f>'2024'!R\Max</f>
        <v>0.89244324167818811</v>
      </c>
      <c r="CD68" s="1184">
        <f>'2025'!R\Max</f>
        <v>0.89243205005984905</v>
      </c>
      <c r="CE68" s="1184">
        <f>'2026'!R\Max</f>
        <v>0.89247558547274208</v>
      </c>
      <c r="CF68" s="1185">
        <f>'2027'!R\Max</f>
        <v>0.89247196457984146</v>
      </c>
    </row>
    <row r="69" spans="1:84" s="6" customFormat="1" ht="11.25" x14ac:dyDescent="0.2">
      <c r="A69" s="11">
        <v>43155</v>
      </c>
      <c r="B69" s="380">
        <f>'2022'!Maxi_hp</f>
        <v>41.03378848015074</v>
      </c>
      <c r="C69" s="13">
        <f>'2022'!An_max</f>
        <v>2019</v>
      </c>
      <c r="D69" s="1062">
        <f t="shared" si="7"/>
        <v>0.97323702734677231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3">
        <f t="shared" si="9"/>
        <v>0.35714285714285715</v>
      </c>
      <c r="J69" s="746">
        <f t="shared" si="27"/>
        <v>42.162173578636427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5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3">
        <f t="shared" si="14"/>
        <v>0.6785714285714286</v>
      </c>
      <c r="AT69" s="769">
        <f t="shared" si="15"/>
        <v>42.216263652454451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3">
        <f t="shared" si="19"/>
        <v>0.17857142857142858</v>
      </c>
      <c r="AY69" s="769">
        <f t="shared" si="20"/>
        <v>42.163079441481798</v>
      </c>
      <c r="AZ69" s="746">
        <f t="shared" si="26"/>
        <v>42.189671546968128</v>
      </c>
      <c r="BA69" s="643">
        <f t="shared" si="21"/>
        <v>0.97323702734677231</v>
      </c>
      <c r="BC69" s="11">
        <v>43155</v>
      </c>
      <c r="BD69" s="290">
        <f>[3]!FeuilCaduc*(1-Persistant)+Persistant</f>
        <v>0.60241321847730278</v>
      </c>
      <c r="BE69" s="291">
        <f>[3]!CroissVégét</f>
        <v>1.1294467751257744E-2</v>
      </c>
      <c r="BF69" s="816">
        <f>1+[3]!Salcycl*Ksac</f>
        <v>1.0003016523096628</v>
      </c>
      <c r="BH69" s="1053">
        <f t="shared" si="22"/>
        <v>1.9936547611529502E-3</v>
      </c>
      <c r="BI69" s="11">
        <v>44251</v>
      </c>
      <c r="BJ69" s="726">
        <v>1.9360978091172295E-4</v>
      </c>
      <c r="BK69" s="726">
        <v>6.9835566148105895E-4</v>
      </c>
      <c r="BL69" s="726">
        <v>1.2887007536630424E-3</v>
      </c>
      <c r="BM69" s="726">
        <v>1.9954999943057406E-3</v>
      </c>
      <c r="BN69" s="726">
        <v>2.7971612836717947E-3</v>
      </c>
      <c r="BO69" s="727">
        <v>4.3154550058461466E-3</v>
      </c>
      <c r="BP69" s="726">
        <v>6.1784138773059334E-3</v>
      </c>
      <c r="BQ69" s="726">
        <v>8.8530156580649017E-3</v>
      </c>
      <c r="BR69" s="726">
        <v>1.1914769968024191E-2</v>
      </c>
      <c r="BS69" s="726">
        <v>1.6389826086301688E-2</v>
      </c>
      <c r="BT69" s="726">
        <v>2.1795273919261209E-2</v>
      </c>
      <c r="BW69" s="1186">
        <f>'2018'!R\Max</f>
        <v>0</v>
      </c>
      <c r="BX69" s="1184">
        <f>'2019'!R\Max</f>
        <v>0.97323702734677231</v>
      </c>
      <c r="BY69" s="1184">
        <f>'2020'!R\Max</f>
        <v>0.93116871118482358</v>
      </c>
      <c r="BZ69" s="1184">
        <f>'2021'!R\Max</f>
        <v>0.93633162538754855</v>
      </c>
      <c r="CA69" s="1184">
        <f>'2022'!R\Max</f>
        <v>0.5439450988718092</v>
      </c>
      <c r="CB69" s="1184">
        <f>'2023'!R\Max</f>
        <v>0.54392387241119633</v>
      </c>
      <c r="CC69" s="1184">
        <f>'2024'!R\Max</f>
        <v>0.54390258890650189</v>
      </c>
      <c r="CD69" s="1184">
        <f>'2025'!R\Max</f>
        <v>0.5438721118013734</v>
      </c>
      <c r="CE69" s="1184">
        <f>'2026'!R\Max</f>
        <v>0.54398935875624865</v>
      </c>
      <c r="CF69" s="1185">
        <f>'2027'!R\Max</f>
        <v>0.54398022557130266</v>
      </c>
    </row>
    <row r="70" spans="1:84" s="6" customFormat="1" ht="11.25" x14ac:dyDescent="0.2">
      <c r="A70" s="11">
        <v>43156</v>
      </c>
      <c r="B70" s="380">
        <f>'2022'!Maxi_hp</f>
        <v>42.028165575806206</v>
      </c>
      <c r="C70" s="13">
        <f>'2022'!An_max</f>
        <v>2019</v>
      </c>
      <c r="D70" s="1062">
        <f t="shared" si="7"/>
        <v>0.98824591699595865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3">
        <f t="shared" si="9"/>
        <v>0.42857142857142855</v>
      </c>
      <c r="J70" s="746">
        <f t="shared" si="27"/>
        <v>42.528043731829634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5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3">
        <f t="shared" si="14"/>
        <v>0.7142857142857143</v>
      </c>
      <c r="AT70" s="769">
        <f t="shared" si="15"/>
        <v>42.579863556748855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3">
        <f t="shared" si="19"/>
        <v>0.21428571428571427</v>
      </c>
      <c r="AY70" s="769">
        <f t="shared" si="20"/>
        <v>42.531532981206794</v>
      </c>
      <c r="AZ70" s="746">
        <f t="shared" si="26"/>
        <v>42.555698268977821</v>
      </c>
      <c r="BA70" s="643">
        <f t="shared" si="21"/>
        <v>0.98824591699595865</v>
      </c>
      <c r="BC70" s="11">
        <v>43156</v>
      </c>
      <c r="BD70" s="290">
        <f>[3]!FeuilCaduc*(1-Persistant)+Persistant</f>
        <v>0.60252362659990943</v>
      </c>
      <c r="BE70" s="291">
        <f>[3]!CroissVégét</f>
        <v>1.1819687335529849E-2</v>
      </c>
      <c r="BF70" s="816">
        <f>1+[3]!Salcycl*Ksac</f>
        <v>1.0003154533249887</v>
      </c>
      <c r="BH70" s="1053">
        <f t="shared" si="22"/>
        <v>1.915568009482892E-3</v>
      </c>
      <c r="BI70" s="11">
        <v>44252</v>
      </c>
      <c r="BJ70" s="726">
        <v>1.679043632966664E-4</v>
      </c>
      <c r="BK70" s="726">
        <v>6.5683043499165658E-4</v>
      </c>
      <c r="BL70" s="726">
        <v>1.2298665608392394E-3</v>
      </c>
      <c r="BM70" s="726">
        <v>1.9173628486248938E-3</v>
      </c>
      <c r="BN70" s="726">
        <v>2.6981873492110159E-3</v>
      </c>
      <c r="BO70" s="727">
        <v>4.2927469722082133E-3</v>
      </c>
      <c r="BP70" s="726">
        <v>6.261218252165985E-3</v>
      </c>
      <c r="BQ70" s="726">
        <v>9.1151498225135099E-3</v>
      </c>
      <c r="BR70" s="726">
        <v>1.2286209984817751E-2</v>
      </c>
      <c r="BS70" s="726">
        <v>1.6844889260964783E-2</v>
      </c>
      <c r="BT70" s="726">
        <v>2.2265720220460417E-2</v>
      </c>
      <c r="BW70" s="1186">
        <f>'2018'!R\Max</f>
        <v>0</v>
      </c>
      <c r="BX70" s="1184">
        <f>'2019'!R\Max</f>
        <v>0.98824591699595865</v>
      </c>
      <c r="BY70" s="1184">
        <f>'2020'!R\Max</f>
        <v>0.4167490324190129</v>
      </c>
      <c r="BZ70" s="1184">
        <f>'2021'!R\Max</f>
        <v>0.83878870890003354</v>
      </c>
      <c r="CA70" s="1184">
        <f>'2022'!R\Max</f>
        <v>0.78554484364824451</v>
      </c>
      <c r="CB70" s="1184">
        <f>'2023'!R\Max</f>
        <v>0.78552974019446253</v>
      </c>
      <c r="CC70" s="1184">
        <f>'2024'!R\Max</f>
        <v>0.78551459059806406</v>
      </c>
      <c r="CD70" s="1184">
        <f>'2025'!R\Max</f>
        <v>0.78549268904100833</v>
      </c>
      <c r="CE70" s="1184">
        <f>'2026'!R\Max</f>
        <v>0.78557565921574346</v>
      </c>
      <c r="CF70" s="1185">
        <f>'2027'!R\Max</f>
        <v>0.78556966941939099</v>
      </c>
    </row>
    <row r="71" spans="1:84" s="6" customFormat="1" ht="11.25" x14ac:dyDescent="0.2">
      <c r="A71" s="11">
        <v>43157</v>
      </c>
      <c r="B71" s="380">
        <f>'2022'!Maxi_hp</f>
        <v>43.028835815721592</v>
      </c>
      <c r="C71" s="13">
        <f>'2022'!An_max</f>
        <v>2022</v>
      </c>
      <c r="D71" s="1062">
        <f t="shared" si="7"/>
        <v>1.0031203719459276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3">
        <f t="shared" si="9"/>
        <v>0.5</v>
      </c>
      <c r="J71" s="746">
        <f t="shared" si="27"/>
        <v>42.894987500105344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5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3">
        <f t="shared" si="14"/>
        <v>0.75</v>
      </c>
      <c r="AT71" s="769">
        <f t="shared" si="15"/>
        <v>42.943320312318974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3">
        <f t="shared" si="19"/>
        <v>0.25</v>
      </c>
      <c r="AY71" s="769">
        <f t="shared" si="20"/>
        <v>42.901892187539488</v>
      </c>
      <c r="AZ71" s="746">
        <f t="shared" si="26"/>
        <v>42.922606249929231</v>
      </c>
      <c r="BA71" s="643">
        <f t="shared" si="21"/>
        <v>1.0031203719459276</v>
      </c>
      <c r="BC71" s="11">
        <v>43157</v>
      </c>
      <c r="BD71" s="290">
        <f>[3]!FeuilCaduc*(1-Persistant)+Persistant</f>
        <v>0.60263142201250741</v>
      </c>
      <c r="BE71" s="291">
        <f>[3]!CroissVégét</f>
        <v>1.236634784666045E-2</v>
      </c>
      <c r="BF71" s="816">
        <f>1+[3]!Salcycl*Ksac</f>
        <v>1.0003289277515635</v>
      </c>
      <c r="BH71" s="1053">
        <f t="shared" si="22"/>
        <v>1.8197078354090818E-3</v>
      </c>
      <c r="BI71" s="11">
        <v>44253</v>
      </c>
      <c r="BJ71" s="726">
        <v>1.4287149814608708E-4</v>
      </c>
      <c r="BK71" s="726">
        <v>6.1083627159450266E-4</v>
      </c>
      <c r="BL71" s="726">
        <v>1.1604841392226738E-3</v>
      </c>
      <c r="BM71" s="726">
        <v>1.8214333684316397E-3</v>
      </c>
      <c r="BN71" s="726">
        <v>2.5735355478144046E-3</v>
      </c>
      <c r="BO71" s="727">
        <v>4.2456095329639039E-3</v>
      </c>
      <c r="BP71" s="726">
        <v>6.3241089136006623E-3</v>
      </c>
      <c r="BQ71" s="726">
        <v>9.3788179811937298E-3</v>
      </c>
      <c r="BR71" s="726">
        <v>1.2677738431351343E-2</v>
      </c>
      <c r="BS71" s="726">
        <v>1.7342107451759702E-2</v>
      </c>
      <c r="BT71" s="726">
        <v>2.2790198170071052E-2</v>
      </c>
      <c r="BW71" s="1186">
        <f>'2018'!R\Max</f>
        <v>0</v>
      </c>
      <c r="BX71" s="1184">
        <f>'2019'!R\Max</f>
        <v>0.8919757836955996</v>
      </c>
      <c r="BY71" s="1184">
        <f>'2020'!R\Max</f>
        <v>0.44068646606510392</v>
      </c>
      <c r="BZ71" s="1184">
        <f>'2021'!R\Max</f>
        <v>0.20367514227628247</v>
      </c>
      <c r="CA71" s="1184">
        <f>'2022'!R\Max</f>
        <v>1.0031203719459276</v>
      </c>
      <c r="CB71" s="1184">
        <f>'2023'!R\Max</f>
        <v>1.0031203719459276</v>
      </c>
      <c r="CC71" s="1184">
        <f>'2024'!R\Max</f>
        <v>1.0031203719459276</v>
      </c>
      <c r="CD71" s="1184">
        <f>'2025'!R\Max</f>
        <v>1.0031203719459276</v>
      </c>
      <c r="CE71" s="1184">
        <f>'2026'!R\Max</f>
        <v>1.0031203719459276</v>
      </c>
      <c r="CF71" s="1185">
        <f>'2027'!R\Max</f>
        <v>1.0031203719459276</v>
      </c>
    </row>
    <row r="72" spans="1:84" s="6" customFormat="1" ht="11.25" x14ac:dyDescent="0.2">
      <c r="A72" s="11">
        <v>43158</v>
      </c>
      <c r="B72" s="380">
        <f>'2022'!Maxi_hp</f>
        <v>42.246597609719124</v>
      </c>
      <c r="C72" s="13">
        <f>'2022'!An_max</f>
        <v>2019</v>
      </c>
      <c r="D72" s="1062">
        <f t="shared" si="7"/>
        <v>0.9765135880799426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3">
        <f t="shared" si="9"/>
        <v>0.5714285714285714</v>
      </c>
      <c r="J72" s="746">
        <f t="shared" si="27"/>
        <v>43.262682798696083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5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3">
        <f t="shared" si="14"/>
        <v>0.7857142857142857</v>
      </c>
      <c r="AT72" s="769">
        <f t="shared" si="15"/>
        <v>43.306432616511927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3">
        <f t="shared" si="19"/>
        <v>0.2857142857142857</v>
      </c>
      <c r="AY72" s="769">
        <f t="shared" si="20"/>
        <v>43.273848396699343</v>
      </c>
      <c r="AZ72" s="746">
        <f t="shared" si="26"/>
        <v>43.290140506605638</v>
      </c>
      <c r="BA72" s="643">
        <f t="shared" si="21"/>
        <v>0.9765135880799426</v>
      </c>
      <c r="BC72" s="11">
        <v>43158</v>
      </c>
      <c r="BD72" s="290">
        <f>[3]!FeuilCaduc*(1-Persistant)+Persistant</f>
        <v>0.6027369188599403</v>
      </c>
      <c r="BE72" s="291">
        <f>[3]!CroissVégét</f>
        <v>1.2935299036280712E-2</v>
      </c>
      <c r="BF72" s="816">
        <f>1+[3]!Salcycl*Ksac</f>
        <v>1.0003421148574925</v>
      </c>
      <c r="BH72" s="1053">
        <f t="shared" si="22"/>
        <v>1.7118441802061585E-3</v>
      </c>
      <c r="BI72" s="11">
        <v>44254</v>
      </c>
      <c r="BJ72" s="726">
        <v>1.1938881444866482E-4</v>
      </c>
      <c r="BK72" s="726">
        <v>5.6267465612795165E-4</v>
      </c>
      <c r="BL72" s="726">
        <v>1.0844734700398676E-3</v>
      </c>
      <c r="BM72" s="726">
        <v>1.7134863373131316E-3</v>
      </c>
      <c r="BN72" s="726">
        <v>2.4309925229201927E-3</v>
      </c>
      <c r="BO72" s="727">
        <v>4.168530412938568E-3</v>
      </c>
      <c r="BP72" s="726">
        <v>6.3455203089565898E-3</v>
      </c>
      <c r="BQ72" s="726">
        <v>9.6054201138076022E-3</v>
      </c>
      <c r="BR72" s="726">
        <v>1.305189491476942E-2</v>
      </c>
      <c r="BS72" s="726">
        <v>1.7852055824794672E-2</v>
      </c>
      <c r="BT72" s="726">
        <v>2.3352296305104488E-2</v>
      </c>
      <c r="BW72" s="1186">
        <f>'2018'!R\Max</f>
        <v>0</v>
      </c>
      <c r="BX72" s="1184">
        <f>'2019'!R\Max</f>
        <v>0.9765135880799426</v>
      </c>
      <c r="BY72" s="1184">
        <f>'2020'!R\Max</f>
        <v>0.18834727732215412</v>
      </c>
      <c r="BZ72" s="1184">
        <f>'2021'!R\Max</f>
        <v>0.96119475529804632</v>
      </c>
      <c r="CA72" s="1184">
        <f>'2022'!R\Max</f>
        <v>0.69314942947439684</v>
      </c>
      <c r="CB72" s="1184">
        <f>'2023'!R\Max</f>
        <v>0.69312869161218638</v>
      </c>
      <c r="CC72" s="1184">
        <f>'2024'!R\Max</f>
        <v>0.69310787258556927</v>
      </c>
      <c r="CD72" s="1184">
        <f>'2025'!R\Max</f>
        <v>0.69307681363101281</v>
      </c>
      <c r="CE72" s="1184">
        <f>'2026'!R\Max</f>
        <v>0.69318981199455521</v>
      </c>
      <c r="CF72" s="1185">
        <f>'2027'!R\Max</f>
        <v>0.69318297827404285</v>
      </c>
    </row>
    <row r="73" spans="1:84" s="6" customFormat="1" ht="11.25" x14ac:dyDescent="0.2">
      <c r="A73" s="11">
        <v>43159</v>
      </c>
      <c r="B73" s="380">
        <f>'2022'!Maxi_hp</f>
        <v>37.059968091396428</v>
      </c>
      <c r="C73" s="13">
        <f>'2022'!An_max</f>
        <v>2022</v>
      </c>
      <c r="D73" s="1062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3">
        <f t="shared" si="9"/>
        <v>0.6428571428571429</v>
      </c>
      <c r="J73" s="746">
        <f t="shared" si="27"/>
        <v>43.630807543661128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5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3">
        <f t="shared" si="14"/>
        <v>0.8214285714285714</v>
      </c>
      <c r="AT73" s="769">
        <f t="shared" si="15"/>
        <v>43.668999166264044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3">
        <f t="shared" si="19"/>
        <v>0.32142857142857145</v>
      </c>
      <c r="AY73" s="769">
        <f t="shared" si="20"/>
        <v>43.647092943824831</v>
      </c>
      <c r="AZ73" s="746">
        <f t="shared" si="26"/>
        <v>43.658046055044437</v>
      </c>
      <c r="BA73" s="643">
        <f t="shared" si="21"/>
        <v>0.84939908697107447</v>
      </c>
      <c r="BC73" s="11">
        <v>43159</v>
      </c>
      <c r="BD73" s="290">
        <f>[3]!FeuilCaduc*(1-Persistant)+Persistant</f>
        <v>0.60284058185655764</v>
      </c>
      <c r="BE73" s="291">
        <f>[3]!CroissVégét</f>
        <v>1.352742218145603E-2</v>
      </c>
      <c r="BF73" s="816">
        <f>1+[3]!Salcycl*Ksac</f>
        <v>1.0003550727320698</v>
      </c>
      <c r="BH73" s="1053">
        <f t="shared" si="22"/>
        <v>1.6001979872036155E-3</v>
      </c>
      <c r="BI73" s="11">
        <v>44255</v>
      </c>
      <c r="BJ73" s="726">
        <v>9.8195606055514169E-5</v>
      </c>
      <c r="BK73" s="726">
        <v>5.1528309904650587E-4</v>
      </c>
      <c r="BL73" s="726">
        <v>1.0072585759082521E-3</v>
      </c>
      <c r="BM73" s="726">
        <v>1.6017500196024582E-3</v>
      </c>
      <c r="BN73" s="726">
        <v>2.2817246655415422E-3</v>
      </c>
      <c r="BO73" s="727">
        <v>4.0665372768546237E-3</v>
      </c>
      <c r="BP73" s="726">
        <v>6.3224627032178304E-3</v>
      </c>
      <c r="BQ73" s="726">
        <v>9.7816614401528921E-3</v>
      </c>
      <c r="BR73" s="726">
        <v>1.3389920202373114E-2</v>
      </c>
      <c r="BS73" s="726">
        <v>1.8349875955199029E-2</v>
      </c>
      <c r="BT73" s="726">
        <v>2.3920615989977075E-2</v>
      </c>
      <c r="BW73" s="1186">
        <f>'2018'!R\Max</f>
        <v>0</v>
      </c>
      <c r="BX73" s="1184">
        <f>'2019'!R\Max</f>
        <v>0.76122121666009168</v>
      </c>
      <c r="BY73" s="1184">
        <f>'2020'!R\Max</f>
        <v>0.42294885503780455</v>
      </c>
      <c r="BZ73" s="1184">
        <f>'2021'!R\Max</f>
        <v>0.77923862053094783</v>
      </c>
      <c r="CA73" s="1184">
        <f>'2022'!R\Max</f>
        <v>0.84939908697107447</v>
      </c>
      <c r="CB73" s="1184">
        <f>'2023'!R\Max</f>
        <v>0.84938626898220904</v>
      </c>
      <c r="CC73" s="1184">
        <f>'2024'!R\Max</f>
        <v>0.84937339279119262</v>
      </c>
      <c r="CD73" s="1184">
        <f>'2025'!R\Max</f>
        <v>0.84935373298300842</v>
      </c>
      <c r="CE73" s="1184">
        <f>'2026'!R\Max</f>
        <v>0.84942349641460013</v>
      </c>
      <c r="CF73" s="1185">
        <f>'2027'!R\Max</f>
        <v>0.8494196338114044</v>
      </c>
    </row>
    <row r="74" spans="1:84" s="6" customFormat="1" ht="11.25" x14ac:dyDescent="0.2">
      <c r="A74" s="11">
        <v>43160</v>
      </c>
      <c r="B74" s="380">
        <f>'2022'!Maxi_hp</f>
        <v>43.025708603641178</v>
      </c>
      <c r="C74" s="13">
        <f>'2022'!An_max</f>
        <v>2022</v>
      </c>
      <c r="D74" s="1062">
        <f t="shared" si="7"/>
        <v>0.97787835702211334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3">
        <f t="shared" si="9"/>
        <v>0.7142857142857143</v>
      </c>
      <c r="J74" s="746">
        <f t="shared" si="27"/>
        <v>43.999039650151715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5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3">
        <f t="shared" si="14"/>
        <v>0.8571428571428571</v>
      </c>
      <c r="AT74" s="769">
        <f t="shared" si="15"/>
        <v>44.030818658811043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3">
        <f t="shared" si="19"/>
        <v>0.35714285714285715</v>
      </c>
      <c r="AY74" s="769">
        <f t="shared" si="20"/>
        <v>44.021317164739592</v>
      </c>
      <c r="AZ74" s="746">
        <f t="shared" si="26"/>
        <v>44.026067911775314</v>
      </c>
      <c r="BA74" s="643">
        <f t="shared" si="21"/>
        <v>0.97787835702211334</v>
      </c>
      <c r="BC74" s="11">
        <v>43160</v>
      </c>
      <c r="BD74" s="290">
        <f>[3]!FeuilCaduc*(1-Persistant)+Persistant</f>
        <v>0.60294302996164917</v>
      </c>
      <c r="BE74" s="291">
        <f>[3]!CroissVégét</f>
        <v>1.4143631071573595E-2</v>
      </c>
      <c r="BF74" s="816">
        <f>1+[3]!Salcycl*Ksac</f>
        <v>1.0003678787452062</v>
      </c>
      <c r="BH74" s="1053">
        <f t="shared" si="22"/>
        <v>1.4847681804309697E-3</v>
      </c>
      <c r="BI74" s="11">
        <v>44256</v>
      </c>
      <c r="BJ74" s="726">
        <v>7.9291791488076329E-5</v>
      </c>
      <c r="BK74" s="726">
        <v>4.6866124118739004E-4</v>
      </c>
      <c r="BL74" s="726">
        <v>9.2883877140372841E-4</v>
      </c>
      <c r="BM74" s="726">
        <v>1.4862233383068728E-3</v>
      </c>
      <c r="BN74" s="726">
        <v>2.1257304585822808E-3</v>
      </c>
      <c r="BO74" s="727">
        <v>3.9396278447597034E-3</v>
      </c>
      <c r="BP74" s="726">
        <v>6.2549329786154729E-3</v>
      </c>
      <c r="BQ74" s="726">
        <v>9.9075382299763683E-3</v>
      </c>
      <c r="BR74" s="726">
        <v>1.3691810065919593E-2</v>
      </c>
      <c r="BS74" s="726">
        <v>1.8835562760824709E-2</v>
      </c>
      <c r="BT74" s="726">
        <v>2.4495150634809421E-2</v>
      </c>
      <c r="BW74" s="1186">
        <f>'2018'!R\Max</f>
        <v>0</v>
      </c>
      <c r="BX74" s="1184">
        <f>'2019'!R\Max</f>
        <v>0.34832962984528909</v>
      </c>
      <c r="BY74" s="1184">
        <f>'2020'!R\Max</f>
        <v>0.37438225551780974</v>
      </c>
      <c r="BZ74" s="1184">
        <f>'2021'!R\Max</f>
        <v>0.88164190718094981</v>
      </c>
      <c r="CA74" s="1184">
        <f>'2022'!R\Max</f>
        <v>0.97787835702211334</v>
      </c>
      <c r="CB74" s="1184">
        <f>'2023'!R\Max</f>
        <v>0.9778761505639284</v>
      </c>
      <c r="CC74" s="1184">
        <f>'2024'!R\Max</f>
        <v>0.97787393242860643</v>
      </c>
      <c r="CD74" s="1184">
        <f>'2025'!R\Max</f>
        <v>0.97787045043484666</v>
      </c>
      <c r="CE74" s="1184">
        <f>'2026'!R\Max</f>
        <v>0.97788246760205055</v>
      </c>
      <c r="CF74" s="1185">
        <f>'2027'!R\Max</f>
        <v>0.97788185834689045</v>
      </c>
    </row>
    <row r="75" spans="1:84" s="6" customFormat="1" ht="11.25" x14ac:dyDescent="0.2">
      <c r="A75" s="11">
        <v>43161</v>
      </c>
      <c r="B75" s="380">
        <f>'2022'!Maxi_hp</f>
        <v>29.154269715170336</v>
      </c>
      <c r="C75" s="13">
        <f>'2022'!An_max</f>
        <v>2020</v>
      </c>
      <c r="D75" s="1062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3">
        <f t="shared" si="9"/>
        <v>0.7857142857142857</v>
      </c>
      <c r="J75" s="746">
        <f t="shared" si="27"/>
        <v>44.367057033557749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5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3">
        <f t="shared" si="14"/>
        <v>0.8928571428571429</v>
      </c>
      <c r="AT75" s="769">
        <f t="shared" si="15"/>
        <v>44.391689791396075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3">
        <f t="shared" si="19"/>
        <v>0.39285714285714285</v>
      </c>
      <c r="AY75" s="769">
        <f t="shared" si="20"/>
        <v>44.396212395224055</v>
      </c>
      <c r="AZ75" s="746">
        <f t="shared" si="26"/>
        <v>44.393951093310065</v>
      </c>
      <c r="BA75" s="643">
        <f t="shared" si="21"/>
        <v>0.65711524866567161</v>
      </c>
      <c r="BC75" s="11">
        <v>43161</v>
      </c>
      <c r="BD75" s="290">
        <f>[3]!FeuilCaduc*(1-Persistant)+Persistant</f>
        <v>0.60304503895556516</v>
      </c>
      <c r="BE75" s="291">
        <f>[3]!CroissVégét</f>
        <v>1.47848730100967E-2</v>
      </c>
      <c r="BF75" s="816">
        <f>1+[3]!Salcycl*Ksac</f>
        <v>1.0003806298694458</v>
      </c>
      <c r="BH75" s="1053">
        <f t="shared" si="22"/>
        <v>1.3655538287298222E-3</v>
      </c>
      <c r="BI75" s="11">
        <v>44257</v>
      </c>
      <c r="BJ75" s="726">
        <v>6.2677332986549287E-5</v>
      </c>
      <c r="BK75" s="726">
        <v>4.2280879767785773E-4</v>
      </c>
      <c r="BL75" s="726">
        <v>8.4921347887341534E-4</v>
      </c>
      <c r="BM75" s="726">
        <v>1.3669053613426674E-3</v>
      </c>
      <c r="BN75" s="726">
        <v>1.9630085695563782E-3</v>
      </c>
      <c r="BO75" s="727">
        <v>3.7877998531931126E-3</v>
      </c>
      <c r="BP75" s="726">
        <v>6.1429278115289372E-3</v>
      </c>
      <c r="BQ75" s="726">
        <v>9.9830462204389056E-3</v>
      </c>
      <c r="BR75" s="726">
        <v>1.3957559581948911E-2</v>
      </c>
      <c r="BS75" s="726">
        <v>1.9309110357361235E-2</v>
      </c>
      <c r="BT75" s="726">
        <v>2.5075892842254425E-2</v>
      </c>
      <c r="BW75" s="1186">
        <f>'2018'!R\Max</f>
        <v>0</v>
      </c>
      <c r="BX75" s="1184">
        <f>'2019'!R\Max</f>
        <v>0.50865845989258918</v>
      </c>
      <c r="BY75" s="1184">
        <f>'2020'!R\Max</f>
        <v>0.65711524866567161</v>
      </c>
      <c r="BZ75" s="1184">
        <f>'2021'!R\Max</f>
        <v>0.41101182141177844</v>
      </c>
      <c r="CA75" s="1184">
        <f>'2022'!R\Max</f>
        <v>0.26704468906407552</v>
      </c>
      <c r="CB75" s="1184">
        <f>'2023'!R\Max</f>
        <v>0.2670254521821851</v>
      </c>
      <c r="CC75" s="1184">
        <f>'2024'!R\Max</f>
        <v>0.26700609931090596</v>
      </c>
      <c r="CD75" s="1184">
        <f>'2025'!R\Max</f>
        <v>0.26697473290297219</v>
      </c>
      <c r="CE75" s="1184">
        <f>'2026'!R\Max</f>
        <v>0.26707974891660435</v>
      </c>
      <c r="CF75" s="1185">
        <f>'2027'!R\Max</f>
        <v>0.26707487989580636</v>
      </c>
    </row>
    <row r="76" spans="1:84" s="6" customFormat="1" ht="11.25" x14ac:dyDescent="0.2">
      <c r="A76" s="11">
        <v>43162</v>
      </c>
      <c r="B76" s="380">
        <f>'2022'!Maxi_hp</f>
        <v>39.010447727103518</v>
      </c>
      <c r="C76" s="13">
        <f>'2022'!An_max</f>
        <v>2019</v>
      </c>
      <c r="D76" s="1062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3">
        <f t="shared" si="9"/>
        <v>0.8571428571428571</v>
      </c>
      <c r="J76" s="746">
        <f t="shared" si="27"/>
        <v>44.734537609299878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5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3">
        <f t="shared" si="14"/>
        <v>0.9285714285714286</v>
      </c>
      <c r="AT76" s="769">
        <f t="shared" si="15"/>
        <v>44.751411260951343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3">
        <f t="shared" si="19"/>
        <v>0.42857142857142855</v>
      </c>
      <c r="AY76" s="769">
        <f t="shared" si="20"/>
        <v>44.771469970898963</v>
      </c>
      <c r="AZ76" s="746">
        <f t="shared" si="26"/>
        <v>44.761440615925153</v>
      </c>
      <c r="BA76" s="643">
        <f t="shared" si="21"/>
        <v>0.87204316422829464</v>
      </c>
      <c r="BC76" s="11">
        <v>43162</v>
      </c>
      <c r="BD76" s="290">
        <f>[3]!FeuilCaduc*(1-Persistant)+Persistant</f>
        <v>0.60314754291252048</v>
      </c>
      <c r="BE76" s="291">
        <f>[3]!CroissVégét</f>
        <v>1.5452129829812465E-2</v>
      </c>
      <c r="BF76" s="816">
        <f>1+[3]!Salcycl*Ksac</f>
        <v>1.0003934428640651</v>
      </c>
      <c r="BH76" s="1053">
        <f t="shared" si="22"/>
        <v>1.2425541597533023E-3</v>
      </c>
      <c r="BI76" s="11">
        <v>44258</v>
      </c>
      <c r="BJ76" s="726">
        <v>4.8352228039582213E-5</v>
      </c>
      <c r="BK76" s="726">
        <v>3.777255550876734E-4</v>
      </c>
      <c r="BL76" s="726">
        <v>7.6838223289406966E-4</v>
      </c>
      <c r="BM76" s="726">
        <v>1.2437953155595921E-3</v>
      </c>
      <c r="BN76" s="726">
        <v>1.7935578754754071E-3</v>
      </c>
      <c r="BO76" s="727">
        <v>3.6110511473777507E-3</v>
      </c>
      <c r="BP76" s="726">
        <v>5.9864438370388707E-3</v>
      </c>
      <c r="BQ76" s="726">
        <v>1.0008180802490845E-2</v>
      </c>
      <c r="BR76" s="726">
        <v>1.4187163265539779E-2</v>
      </c>
      <c r="BS76" s="726">
        <v>1.9770512103321411E-2</v>
      </c>
      <c r="BT76" s="726">
        <v>2.5662834384628335E-2</v>
      </c>
      <c r="BW76" s="1186">
        <f>'2018'!R\Max</f>
        <v>0</v>
      </c>
      <c r="BX76" s="1184">
        <f>'2019'!R\Max</f>
        <v>0.87204316422829464</v>
      </c>
      <c r="BY76" s="1184">
        <f>'2020'!R\Max</f>
        <v>0.52848643245988758</v>
      </c>
      <c r="BZ76" s="1184">
        <f>'2021'!R\Max</f>
        <v>0.36026348532773672</v>
      </c>
      <c r="CA76" s="1184">
        <f>'2022'!R\Max</f>
        <v>0.85376304787399593</v>
      </c>
      <c r="CB76" s="1184">
        <f>'2023'!R\Max</f>
        <v>0.85375019336387337</v>
      </c>
      <c r="CC76" s="1184">
        <f>'2024'!R\Max</f>
        <v>0.85373724623216996</v>
      </c>
      <c r="CD76" s="1184">
        <f>'2025'!R\Max</f>
        <v>0.85371547663719249</v>
      </c>
      <c r="CE76" s="1184">
        <f>'2026'!R\Max</f>
        <v>0.85378593989384255</v>
      </c>
      <c r="CF76" s="1185">
        <f>'2027'!R\Max</f>
        <v>0.85378296557145517</v>
      </c>
    </row>
    <row r="77" spans="1:84" s="6" customFormat="1" ht="11.25" x14ac:dyDescent="0.2">
      <c r="A77" s="11">
        <v>43163</v>
      </c>
      <c r="B77" s="380">
        <f>'2022'!Maxi_hp</f>
        <v>30.286197485540761</v>
      </c>
      <c r="C77" s="13">
        <f>'2022'!An_max</f>
        <v>2021</v>
      </c>
      <c r="D77" s="1062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3">
        <f t="shared" si="9"/>
        <v>0.9285714285714286</v>
      </c>
      <c r="J77" s="746">
        <f t="shared" si="27"/>
        <v>45.101159292996456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5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3">
        <f t="shared" si="14"/>
        <v>0.9642857142857143</v>
      </c>
      <c r="AT77" s="769">
        <f t="shared" si="15"/>
        <v>45.109781764781552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3">
        <f t="shared" si="19"/>
        <v>0.4642857142857143</v>
      </c>
      <c r="AY77" s="769">
        <f t="shared" si="20"/>
        <v>45.146781227122325</v>
      </c>
      <c r="AZ77" s="746">
        <f t="shared" si="26"/>
        <v>45.128281495951938</v>
      </c>
      <c r="BA77" s="643">
        <f t="shared" si="21"/>
        <v>0.67151705100945736</v>
      </c>
      <c r="BC77" s="11">
        <v>43163</v>
      </c>
      <c r="BD77" s="290">
        <f>[3]!FeuilCaduc*(1-Persistant)+Persistant</f>
        <v>0.60325163457719966</v>
      </c>
      <c r="BE77" s="291">
        <f>[3]!CroissVégét</f>
        <v>1.6146418920009037E-2</v>
      </c>
      <c r="BF77" s="816">
        <f>1+[3]!Salcycl*Ksac</f>
        <v>1.00040645432215</v>
      </c>
      <c r="BH77" s="1053">
        <f t="shared" si="22"/>
        <v>1.115768573963572E-3</v>
      </c>
      <c r="BI77" s="11">
        <v>44259</v>
      </c>
      <c r="BJ77" s="726">
        <v>3.6316500913890271E-5</v>
      </c>
      <c r="BK77" s="726">
        <v>3.3341136858100218E-4</v>
      </c>
      <c r="BL77" s="726">
        <v>6.8634468472929212E-4</v>
      </c>
      <c r="BM77" s="726">
        <v>1.1168926007633301E-3</v>
      </c>
      <c r="BN77" s="726">
        <v>1.6173774877332122E-3</v>
      </c>
      <c r="BO77" s="727">
        <v>3.4093797734065213E-3</v>
      </c>
      <c r="BP77" s="726">
        <v>5.7854778134709493E-3</v>
      </c>
      <c r="BQ77" s="726">
        <v>9.9829372072323449E-3</v>
      </c>
      <c r="BR77" s="726">
        <v>1.4380615204044159E-2</v>
      </c>
      <c r="BS77" s="726">
        <v>2.0219760644997736E-2</v>
      </c>
      <c r="BT77" s="726">
        <v>2.6255966181003679E-2</v>
      </c>
      <c r="BW77" s="1186">
        <f>'2018'!R\Max</f>
        <v>0</v>
      </c>
      <c r="BX77" s="1184">
        <f>'2019'!R\Max</f>
        <v>0.29989365499570175</v>
      </c>
      <c r="BY77" s="1184">
        <f>'2020'!R\Max</f>
        <v>0.12324253520907597</v>
      </c>
      <c r="BZ77" s="1184">
        <f>'2021'!R\Max</f>
        <v>0.67151705100945736</v>
      </c>
      <c r="CA77" s="1184">
        <f>'2022'!R\Max</f>
        <v>9.7399460474505067E-2</v>
      </c>
      <c r="CB77" s="1184">
        <f>'2023'!R\Max</f>
        <v>9.7392494619042272E-2</v>
      </c>
      <c r="CC77" s="1184">
        <f>'2024'!R\Max</f>
        <v>9.7385470433528812E-2</v>
      </c>
      <c r="CD77" s="1184">
        <f>'2025'!R\Max</f>
        <v>9.7373165008855761E-2</v>
      </c>
      <c r="CE77" s="1184">
        <f>'2026'!R\Max</f>
        <v>9.7411568109880942E-2</v>
      </c>
      <c r="CF77" s="1185">
        <f>'2027'!R\Max</f>
        <v>9.7410100870177374E-2</v>
      </c>
    </row>
    <row r="78" spans="1:84" s="6" customFormat="1" ht="11.25" x14ac:dyDescent="0.2">
      <c r="A78" s="11">
        <v>43164</v>
      </c>
      <c r="B78" s="380">
        <f>'2022'!Maxi_hp</f>
        <v>44.531611979407565</v>
      </c>
      <c r="C78" s="13">
        <f>'2022'!An_max</f>
        <v>2019</v>
      </c>
      <c r="D78" s="1062">
        <f t="shared" si="7"/>
        <v>0.97943571719470912</v>
      </c>
      <c r="E78" s="1057">
        <f>R$13/10</f>
        <v>45.4666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3">
        <f t="shared" si="9"/>
        <v>1</v>
      </c>
      <c r="J78" s="746">
        <f t="shared" si="27"/>
        <v>45.466600000002657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5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3">
        <f t="shared" si="14"/>
        <v>1</v>
      </c>
      <c r="AT78" s="769">
        <f t="shared" si="15"/>
        <v>45.466599999961907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3">
        <f t="shared" si="19"/>
        <v>0.5</v>
      </c>
      <c r="AY78" s="769">
        <f t="shared" si="20"/>
        <v>45.521837500203404</v>
      </c>
      <c r="AZ78" s="746">
        <f t="shared" si="26"/>
        <v>45.494218750082652</v>
      </c>
      <c r="BA78" s="643">
        <f t="shared" si="21"/>
        <v>0.97943571719470912</v>
      </c>
      <c r="BC78" s="11">
        <v>43164</v>
      </c>
      <c r="BD78" s="290">
        <f>[3]!FeuilCaduc*(1-Persistant)+Persistant</f>
        <v>0.60335856466298265</v>
      </c>
      <c r="BE78" s="291">
        <f>[3]!CroissVégét</f>
        <v>1.6868794263800321E-2</v>
      </c>
      <c r="BF78" s="816">
        <f>1+[3]!Salcycl*Ksac</f>
        <v>1.0004198205828729</v>
      </c>
      <c r="BH78" s="1053">
        <f t="shared" si="22"/>
        <v>9.8519665863317342E-4</v>
      </c>
      <c r="BI78" s="11">
        <v>44260</v>
      </c>
      <c r="BJ78" s="726">
        <v>2.6570194184029043E-5</v>
      </c>
      <c r="BK78" s="726">
        <v>2.8986615906947629E-4</v>
      </c>
      <c r="BL78" s="726">
        <v>6.0310060678912217E-4</v>
      </c>
      <c r="BM78" s="726">
        <v>9.8619680374182196E-4</v>
      </c>
      <c r="BN78" s="726">
        <v>1.4344667769961245E-3</v>
      </c>
      <c r="BO78" s="727">
        <v>3.1827840704397054E-3</v>
      </c>
      <c r="BP78" s="726">
        <v>5.5400267869577767E-3</v>
      </c>
      <c r="BQ78" s="726">
        <v>9.9073106923037411E-3</v>
      </c>
      <c r="BR78" s="726">
        <v>1.453790919086422E-2</v>
      </c>
      <c r="BS78" s="726">
        <v>2.0656847961477685E-2</v>
      </c>
      <c r="BT78" s="726">
        <v>2.6855278274378641E-2</v>
      </c>
      <c r="BW78" s="1186">
        <f>'2018'!R\Max</f>
        <v>0</v>
      </c>
      <c r="BX78" s="1184">
        <f>'2019'!R\Max</f>
        <v>0.97943571719470912</v>
      </c>
      <c r="BY78" s="1184">
        <f>'2020'!R\Max</f>
        <v>0.20295996054484486</v>
      </c>
      <c r="BZ78" s="1184">
        <f>'2021'!R\Max</f>
        <v>0.81076449612453538</v>
      </c>
      <c r="CA78" s="1184">
        <f>'2022'!R\Max</f>
        <v>0.31988395309428874</v>
      </c>
      <c r="CB78" s="1184">
        <f>'2023'!R\Max</f>
        <v>0.31986207644329784</v>
      </c>
      <c r="CC78" s="1184">
        <f>'2024'!R\Max</f>
        <v>0.31983998244500572</v>
      </c>
      <c r="CD78" s="1184">
        <f>'2025'!R\Max</f>
        <v>0.31979945098943219</v>
      </c>
      <c r="CE78" s="1184">
        <f>'2026'!R\Max</f>
        <v>0.3199209782718675</v>
      </c>
      <c r="CF78" s="1185">
        <f>'2027'!R\Max</f>
        <v>0.3199168180879064</v>
      </c>
    </row>
    <row r="79" spans="1:84" s="6" customFormat="1" ht="11.25" x14ac:dyDescent="0.2">
      <c r="A79" s="11">
        <v>43165</v>
      </c>
      <c r="B79" s="380">
        <f>'2022'!Maxi_hp</f>
        <v>23.382336400970807</v>
      </c>
      <c r="C79" s="13">
        <f>'2022'!An_max</f>
        <v>2019</v>
      </c>
      <c r="D79" s="1062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3">
        <f t="shared" ref="I79:I142" si="62">($A79-H79)/(INDEX(x.2m,G79)-H79)</f>
        <v>0.9285714285714286</v>
      </c>
      <c r="J79" s="746">
        <f t="shared" ref="J79:J142" si="63">((1-I79)*(INDEX(a.m,F79)*$A79*$A79+INDEX(b.m,F79)*$A79+INDEX(c.m,F79))+I79*(INDEX(a.m,G79)*$A79*$A79+INDEX(b.m,G79)*$A79+INDEX(c.m,G79)))/10</f>
        <v>45.831808090382921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5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3">
        <f t="shared" ref="AS79:AS142" si="67">($A79-AR79)/(INDEX(x.2lg,AQ79)-AR79)</f>
        <v>0.9642857142857143</v>
      </c>
      <c r="AT79" s="769">
        <f t="shared" ref="AT79:AT142" si="68">((1-AS79)*(INDEX(a.lg,AP79)*$A79*$A79+INDEX(b.lg,AP79)*$A79+INDEX(c.lg,AP79))+AS79*(INDEX(a.lg,AQ79)*$A79*$A79+INDEX(b.lg,AQ79)*$A79+INDEX(c.lg,AQ79)))/10</f>
        <v>45.8250532616117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3">
        <f t="shared" ref="AX79:AX142" si="72">($A79-AW79)/(INDEX(x.2ld,AV79)-AW79)</f>
        <v>0.5357142857142857</v>
      </c>
      <c r="AY79" s="769">
        <f t="shared" ref="AY79:AY142" si="73">((1-AX79)*(INDEX(a.ld,AU79)*$A79*$A79+INDEX(b.ld,AU79)*$A79+INDEX(c.ld,AU79))+AX79*(INDEX(a.ld,AV79)*$A79*$A79+INDEX(b.ld,AV79)*$A79+INDEX(c.ld,AV79)))/10</f>
        <v>45.896330125004589</v>
      </c>
      <c r="AZ79" s="746">
        <f t="shared" si="26"/>
        <v>45.860691693308141</v>
      </c>
      <c r="BA79" s="643">
        <f t="shared" ref="BA79:BA142" si="74">+B79/J79</f>
        <v>0.51017704461625246</v>
      </c>
      <c r="BC79" s="11">
        <v>43165</v>
      </c>
      <c r="BD79" s="290">
        <f>[3]!FeuilCaduc*(1-Persistant)+Persistant</f>
        <v>0.60346974009977061</v>
      </c>
      <c r="BE79" s="291">
        <f>[3]!CroissVégét</f>
        <v>1.7620347483596571E-2</v>
      </c>
      <c r="BF79" s="816">
        <f>1+[3]!Salcycl*Ksac</f>
        <v>1.0004337175124713</v>
      </c>
      <c r="BH79" s="1053">
        <f t="shared" ref="BH79:BH142" si="75">INDEX($BJ79:$BT79,,$BH$10)*(1-Ratini)+INDEX($BJ79:$BT79,,$BH$10+1)*Ratini</f>
        <v>8.5083820184154437E-4</v>
      </c>
      <c r="BI79" s="11">
        <v>44261</v>
      </c>
      <c r="BJ79" s="726">
        <v>1.9113360261981808E-5</v>
      </c>
      <c r="BK79" s="726">
        <v>2.470899103637935E-4</v>
      </c>
      <c r="BL79" s="726">
        <v>5.1864989708663939E-4</v>
      </c>
      <c r="BM79" s="726">
        <v>8.5170771228675155E-4</v>
      </c>
      <c r="BN79" s="726">
        <v>1.244825398086182E-3</v>
      </c>
      <c r="BO79" s="727">
        <v>2.9312627628882057E-3</v>
      </c>
      <c r="BP79" s="726">
        <v>5.2500882559771882E-3</v>
      </c>
      <c r="BQ79" s="726">
        <v>9.7812967282360896E-3</v>
      </c>
      <c r="BR79" s="726">
        <v>1.4659038859172588E-2</v>
      </c>
      <c r="BS79" s="726">
        <v>2.108176540957974E-2</v>
      </c>
      <c r="BT79" s="726">
        <v>2.7460759808743591E-2</v>
      </c>
      <c r="BW79" s="1186">
        <f>'2018'!R\Max</f>
        <v>0</v>
      </c>
      <c r="BX79" s="1184">
        <f>'2019'!R\Max</f>
        <v>0.51017704461625246</v>
      </c>
      <c r="BY79" s="1184">
        <f>'2020'!R\Max</f>
        <v>0.24865697709494544</v>
      </c>
      <c r="BZ79" s="1184">
        <f>'2021'!R\Max</f>
        <v>0.2528464798422157</v>
      </c>
      <c r="CA79" s="1184">
        <f>'2022'!R\Max</f>
        <v>0.37919701638011044</v>
      </c>
      <c r="CB79" s="1184">
        <f>'2023'!R\Max</f>
        <v>0.37917391202369594</v>
      </c>
      <c r="CC79" s="1184">
        <f>'2024'!R\Max</f>
        <v>0.37915053400182308</v>
      </c>
      <c r="CD79" s="1184">
        <f>'2025'!R\Max</f>
        <v>0.37910538411516276</v>
      </c>
      <c r="CE79" s="1184">
        <f>'2026'!R\Max</f>
        <v>0.3792349729157139</v>
      </c>
      <c r="CF79" s="1185">
        <f>'2027'!R\Max</f>
        <v>0.3792310560878096</v>
      </c>
    </row>
    <row r="80" spans="1:84" s="6" customFormat="1" ht="11.25" x14ac:dyDescent="0.2">
      <c r="A80" s="11">
        <v>43166</v>
      </c>
      <c r="B80" s="380">
        <f>'2022'!Maxi_hp</f>
        <v>42.685529835046331</v>
      </c>
      <c r="C80" s="13">
        <f>'2022'!An_max</f>
        <v>2019</v>
      </c>
      <c r="D80" s="1062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3">
        <f t="shared" si="62"/>
        <v>0.8571428571428571</v>
      </c>
      <c r="J80" s="746">
        <f t="shared" si="63"/>
        <v>46.197803498553448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5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3">
        <f t="shared" si="67"/>
        <v>0.9285714285714286</v>
      </c>
      <c r="AT80" s="769">
        <f t="shared" si="68"/>
        <v>46.188105174840061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3">
        <f t="shared" si="72"/>
        <v>0.5714285714285714</v>
      </c>
      <c r="AY80" s="769">
        <f t="shared" si="73"/>
        <v>46.269950437465951</v>
      </c>
      <c r="AZ80" s="746">
        <f t="shared" ref="AZ80:AZ143" si="77">(AY80+AT80)/2</f>
        <v>46.229027806153006</v>
      </c>
      <c r="BA80" s="643">
        <f t="shared" si="74"/>
        <v>0.92397314596099589</v>
      </c>
      <c r="BC80" s="11">
        <v>43166</v>
      </c>
      <c r="BD80" s="290">
        <f>[3]!FeuilCaduc*(1-Persistant)+Persistant</f>
        <v>0.60358672126890556</v>
      </c>
      <c r="BE80" s="291">
        <f>[3]!CroissVégét</f>
        <v>1.8402208892467707E-2</v>
      </c>
      <c r="BF80" s="816">
        <f>1+[3]!Salcycl*Ksac</f>
        <v>1.0004483401586133</v>
      </c>
      <c r="BH80" s="1053">
        <f t="shared" si="75"/>
        <v>7.1959426530503689E-4</v>
      </c>
      <c r="BI80" s="11">
        <v>44262</v>
      </c>
      <c r="BJ80" s="726">
        <v>1.3945122670253917E-5</v>
      </c>
      <c r="BK80" s="726">
        <v>2.0696809985340221E-4</v>
      </c>
      <c r="BL80" s="726">
        <v>4.3714052312805854E-4</v>
      </c>
      <c r="BM80" s="726">
        <v>7.2033359440120098E-4</v>
      </c>
      <c r="BN80" s="726">
        <v>1.0583658704735213E-3</v>
      </c>
      <c r="BO80" s="727">
        <v>2.6672464631004294E-3</v>
      </c>
      <c r="BP80" s="726">
        <v>4.927611098981266E-3</v>
      </c>
      <c r="BQ80" s="726">
        <v>9.5901131014501217E-3</v>
      </c>
      <c r="BR80" s="726">
        <v>1.4701562235846078E-2</v>
      </c>
      <c r="BS80" s="726">
        <v>2.1432372167444449E-2</v>
      </c>
      <c r="BT80" s="726">
        <v>2.8021983499392264E-2</v>
      </c>
      <c r="BW80" s="1186">
        <f>'2018'!R\Max</f>
        <v>0</v>
      </c>
      <c r="BX80" s="1184">
        <f>'2019'!R\Max</f>
        <v>0.92397314596099589</v>
      </c>
      <c r="BY80" s="1184">
        <f>'2020'!R\Max</f>
        <v>0.47560300567763752</v>
      </c>
      <c r="BZ80" s="1184">
        <f>'2021'!R\Max</f>
        <v>0.24655996437655556</v>
      </c>
      <c r="CA80" s="1184">
        <f>'2022'!R\Max</f>
        <v>0.87883516666850925</v>
      </c>
      <c r="CB80" s="1184">
        <f>'2023'!R\Max</f>
        <v>0.87882505744530903</v>
      </c>
      <c r="CC80" s="1184">
        <f>'2024'!R\Max</f>
        <v>0.87881480549201707</v>
      </c>
      <c r="CD80" s="1184">
        <f>'2025'!R\Max</f>
        <v>0.87879394714829751</v>
      </c>
      <c r="CE80" s="1184">
        <f>'2026'!R\Max</f>
        <v>0.87885125612987125</v>
      </c>
      <c r="CF80" s="1185">
        <f>'2027'!R\Max</f>
        <v>0.87884974465414079</v>
      </c>
    </row>
    <row r="81" spans="1:84" s="6" customFormat="1" ht="11.25" x14ac:dyDescent="0.2">
      <c r="A81" s="11">
        <v>43167</v>
      </c>
      <c r="B81" s="380">
        <f>'2022'!Maxi_hp</f>
        <v>35.089826516602166</v>
      </c>
      <c r="C81" s="13">
        <f>'2022'!An_max</f>
        <v>2022</v>
      </c>
      <c r="D81" s="1062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3">
        <f t="shared" si="62"/>
        <v>0.7857142857142857</v>
      </c>
      <c r="J81" s="746">
        <f t="shared" si="63"/>
        <v>46.564371501429044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5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3">
        <f t="shared" si="67"/>
        <v>0.8928571428571429</v>
      </c>
      <c r="AT81" s="769">
        <f t="shared" si="68"/>
        <v>46.55521893213195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3">
        <f t="shared" si="72"/>
        <v>0.6071428571428571</v>
      </c>
      <c r="AY81" s="769">
        <f t="shared" si="73"/>
        <v>46.642389773131747</v>
      </c>
      <c r="AZ81" s="746">
        <f t="shared" si="77"/>
        <v>46.598804352631845</v>
      </c>
      <c r="BA81" s="643">
        <f t="shared" si="74"/>
        <v>0.75357672368723527</v>
      </c>
      <c r="BC81" s="11">
        <v>43167</v>
      </c>
      <c r="BD81" s="290">
        <f>[3]!FeuilCaduc*(1-Persistant)+Persistant</f>
        <v>0.6037112182714589</v>
      </c>
      <c r="BE81" s="291">
        <f>[3]!CroissVégét</f>
        <v>1.9215548548887868E-2</v>
      </c>
      <c r="BF81" s="816">
        <f>1+[3]!Salcycl*Ksac</f>
        <v>1.0004639022839323</v>
      </c>
      <c r="BH81" s="1053">
        <f t="shared" si="75"/>
        <v>6.0102086477989251E-4</v>
      </c>
      <c r="BI81" s="11">
        <v>44263</v>
      </c>
      <c r="BJ81" s="726">
        <v>9.6537681694003703E-6</v>
      </c>
      <c r="BK81" s="726">
        <v>1.7103322919690756E-4</v>
      </c>
      <c r="BL81" s="726">
        <v>3.6369888208358746E-4</v>
      </c>
      <c r="BM81" s="726">
        <v>6.0164206046883751E-4</v>
      </c>
      <c r="BN81" s="726">
        <v>8.8960473318003622E-4</v>
      </c>
      <c r="BO81" s="727">
        <v>2.4101448038567081E-3</v>
      </c>
      <c r="BP81" s="726">
        <v>4.5955098779201543E-3</v>
      </c>
      <c r="BQ81" s="726">
        <v>9.345534612336991E-3</v>
      </c>
      <c r="BR81" s="726">
        <v>1.4664167009571877E-2</v>
      </c>
      <c r="BS81" s="726">
        <v>2.1691393042754942E-2</v>
      </c>
      <c r="BT81" s="726">
        <v>2.8516344604427941E-2</v>
      </c>
      <c r="BW81" s="1186">
        <f>'2018'!R\Max</f>
        <v>0</v>
      </c>
      <c r="BX81" s="1184">
        <f>'2019'!R\Max</f>
        <v>0.4779316643483702</v>
      </c>
      <c r="BY81" s="1184">
        <f>'2020'!R\Max</f>
        <v>0.63744715335241209</v>
      </c>
      <c r="BZ81" s="1184">
        <f>'2021'!R\Max</f>
        <v>0.53849090178160441</v>
      </c>
      <c r="CA81" s="1184">
        <f>'2022'!R\Max</f>
        <v>0.75357672368723527</v>
      </c>
      <c r="CB81" s="1184">
        <f>'2023'!R\Max</f>
        <v>0.75355981003201777</v>
      </c>
      <c r="CC81" s="1184">
        <f>'2024'!R\Max</f>
        <v>0.75354261718975502</v>
      </c>
      <c r="CD81" s="1184">
        <f>'2025'!R\Max</f>
        <v>0.75350584641601936</v>
      </c>
      <c r="CE81" s="1184">
        <f>'2026'!R\Max</f>
        <v>0.753602802988246</v>
      </c>
      <c r="CF81" s="1185">
        <f>'2027'!R\Max</f>
        <v>0.75360057466208985</v>
      </c>
    </row>
    <row r="82" spans="1:84" s="6" customFormat="1" ht="11.25" x14ac:dyDescent="0.2">
      <c r="A82" s="11">
        <v>43168</v>
      </c>
      <c r="B82" s="380">
        <f>'2022'!Maxi_hp</f>
        <v>44.010087492548095</v>
      </c>
      <c r="C82" s="13">
        <f>'2022'!An_max</f>
        <v>2021</v>
      </c>
      <c r="D82" s="1062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3">
        <f t="shared" si="62"/>
        <v>0.7142857142857143</v>
      </c>
      <c r="J82" s="746">
        <f t="shared" si="63"/>
        <v>46.931297376086249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5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3">
        <f t="shared" si="67"/>
        <v>0.8571428571428571</v>
      </c>
      <c r="AT82" s="769">
        <f t="shared" si="68"/>
        <v>46.92585772578272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3">
        <f t="shared" si="72"/>
        <v>0.6428571428571429</v>
      </c>
      <c r="AY82" s="769">
        <f t="shared" si="73"/>
        <v>47.013339467945379</v>
      </c>
      <c r="AZ82" s="746">
        <f t="shared" si="77"/>
        <v>46.969598596864046</v>
      </c>
      <c r="BA82" s="643">
        <f t="shared" si="74"/>
        <v>0.93775561199323143</v>
      </c>
      <c r="BC82" s="11">
        <v>43168</v>
      </c>
      <c r="BD82" s="290">
        <f>[3]!FeuilCaduc*(1-Persistant)+Persistant</f>
        <v>0.60384508628411104</v>
      </c>
      <c r="BE82" s="291">
        <f>[3]!CroissVégét</f>
        <v>2.0061577312061717E-2</v>
      </c>
      <c r="BF82" s="816">
        <f>1+[3]!Salcycl*Ksac</f>
        <v>1.0004806357855138</v>
      </c>
      <c r="BH82" s="1053">
        <f t="shared" si="75"/>
        <v>4.9511849322666189E-4</v>
      </c>
      <c r="BI82" s="11">
        <v>44264</v>
      </c>
      <c r="BJ82" s="726">
        <v>6.2393228401994648E-6</v>
      </c>
      <c r="BK82" s="726">
        <v>1.3928545502434178E-4</v>
      </c>
      <c r="BL82" s="726">
        <v>2.9832528442686628E-4</v>
      </c>
      <c r="BM82" s="726">
        <v>4.9563360392787547E-4</v>
      </c>
      <c r="BN82" s="726">
        <v>7.3854267215368592E-4</v>
      </c>
      <c r="BO82" s="727">
        <v>2.1599582595483832E-3</v>
      </c>
      <c r="BP82" s="726">
        <v>4.2537844902617939E-3</v>
      </c>
      <c r="BQ82" s="726">
        <v>9.0475585635559075E-3</v>
      </c>
      <c r="BR82" s="726">
        <v>1.4546847226301732E-2</v>
      </c>
      <c r="BS82" s="726">
        <v>2.1858817873940131E-2</v>
      </c>
      <c r="BT82" s="726">
        <v>2.8943829466770696E-2</v>
      </c>
      <c r="BW82" s="1186">
        <f>'2018'!R\Max</f>
        <v>0</v>
      </c>
      <c r="BX82" s="1184">
        <f>'2019'!R\Max</f>
        <v>0.44071959947023759</v>
      </c>
      <c r="BY82" s="1184">
        <f>'2020'!R\Max</f>
        <v>0.74950257160296352</v>
      </c>
      <c r="BZ82" s="1184">
        <f>'2021'!R\Max</f>
        <v>0.93775561199323143</v>
      </c>
      <c r="CA82" s="1184">
        <f>'2022'!R\Max</f>
        <v>0.66721113591702008</v>
      </c>
      <c r="CB82" s="1184">
        <f>'2023'!R\Max</f>
        <v>0.66719190685702812</v>
      </c>
      <c r="CC82" s="1184">
        <f>'2024'!R\Max</f>
        <v>0.66717230859148635</v>
      </c>
      <c r="CD82" s="1184">
        <f>'2025'!R\Max</f>
        <v>0.66712827657544826</v>
      </c>
      <c r="CE82" s="1184">
        <f>'2026'!R\Max</f>
        <v>0.66723983587433222</v>
      </c>
      <c r="CF82" s="1185">
        <f>'2027'!R\Max</f>
        <v>0.66723760534619758</v>
      </c>
    </row>
    <row r="83" spans="1:84" s="6" customFormat="1" ht="11.25" x14ac:dyDescent="0.2">
      <c r="A83" s="11">
        <v>43169</v>
      </c>
      <c r="B83" s="380">
        <f>'2022'!Maxi_hp</f>
        <v>43.468612982947825</v>
      </c>
      <c r="C83" s="13">
        <f>'2022'!An_max</f>
        <v>2021</v>
      </c>
      <c r="D83" s="1062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3">
        <f t="shared" si="62"/>
        <v>0.6428571428571429</v>
      </c>
      <c r="J83" s="746">
        <f t="shared" si="63"/>
        <v>47.298366399422228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5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3">
        <f t="shared" si="67"/>
        <v>0.8214285714285714</v>
      </c>
      <c r="AT83" s="769">
        <f t="shared" si="68"/>
        <v>47.299484748410336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3">
        <f t="shared" si="72"/>
        <v>0.6785714285714286</v>
      </c>
      <c r="AY83" s="769">
        <f t="shared" si="73"/>
        <v>47.382490857251526</v>
      </c>
      <c r="AZ83" s="746">
        <f t="shared" si="77"/>
        <v>47.340987802830931</v>
      </c>
      <c r="BA83" s="643">
        <f t="shared" si="74"/>
        <v>0.91902990086099068</v>
      </c>
      <c r="BC83" s="11">
        <v>43169</v>
      </c>
      <c r="BD83" s="290">
        <f>[3]!FeuilCaduc*(1-Persistant)+Persistant</f>
        <v>0.60399032006389874</v>
      </c>
      <c r="BE83" s="291">
        <f>[3]!CroissVégét</f>
        <v>2.0941547894735235E-2</v>
      </c>
      <c r="BF83" s="816">
        <f>1+[3]!Salcycl*Ksac</f>
        <v>1.0004987900079874</v>
      </c>
      <c r="BH83" s="1053">
        <f t="shared" si="75"/>
        <v>4.0188766242398288E-4</v>
      </c>
      <c r="BI83" s="11">
        <v>44265</v>
      </c>
      <c r="BJ83" s="726">
        <v>3.7018082737708399E-6</v>
      </c>
      <c r="BK83" s="726">
        <v>1.1172493537951041E-4</v>
      </c>
      <c r="BL83" s="726">
        <v>2.4102004956899818E-4</v>
      </c>
      <c r="BM83" s="726">
        <v>4.0230873706047904E-4</v>
      </c>
      <c r="BN83" s="726">
        <v>6.0518040426748567E-4</v>
      </c>
      <c r="BO83" s="727">
        <v>1.9166875994854153E-3</v>
      </c>
      <c r="BP83" s="726">
        <v>3.9024354437755459E-3</v>
      </c>
      <c r="BQ83" s="726">
        <v>8.6961832795598732E-3</v>
      </c>
      <c r="BR83" s="726">
        <v>1.4349597975016741E-2</v>
      </c>
      <c r="BS83" s="726">
        <v>2.1934637247995405E-2</v>
      </c>
      <c r="BT83" s="726">
        <v>2.9304424523989497E-2</v>
      </c>
      <c r="BW83" s="1186">
        <f>'2018'!R\Max</f>
        <v>0</v>
      </c>
      <c r="BX83" s="1184">
        <f>'2019'!R\Max</f>
        <v>0.31024302159024342</v>
      </c>
      <c r="BY83" s="1184">
        <f>'2020'!R\Max</f>
        <v>0.58589608538087146</v>
      </c>
      <c r="BZ83" s="1184">
        <f>'2021'!R\Max</f>
        <v>0.91902990086099068</v>
      </c>
      <c r="CA83" s="1184">
        <f>'2022'!R\Max</f>
        <v>0.57515676809546035</v>
      </c>
      <c r="CB83" s="1184">
        <f>'2023'!R\Max</f>
        <v>0.57513685041069573</v>
      </c>
      <c r="CC83" s="1184">
        <f>'2024'!R\Max</f>
        <v>0.57511648906777735</v>
      </c>
      <c r="CD83" s="1184">
        <f>'2025'!R\Max</f>
        <v>0.57506840035899121</v>
      </c>
      <c r="CE83" s="1184">
        <f>'2026'!R\Max</f>
        <v>0.57518549386932827</v>
      </c>
      <c r="CF83" s="1185">
        <f>'2027'!R\Max</f>
        <v>0.57518345917437841</v>
      </c>
    </row>
    <row r="84" spans="1:84" s="6" customFormat="1" ht="11.25" x14ac:dyDescent="0.2">
      <c r="A84" s="11">
        <v>43170</v>
      </c>
      <c r="B84" s="380">
        <f>'2022'!Maxi_hp</f>
        <v>34.137173352401021</v>
      </c>
      <c r="C84" s="13">
        <f>'2022'!An_max</f>
        <v>2021</v>
      </c>
      <c r="D84" s="1062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3">
        <f t="shared" si="62"/>
        <v>0.5714285714285714</v>
      </c>
      <c r="J84" s="746">
        <f t="shared" si="63"/>
        <v>47.665363848393987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5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3">
        <f t="shared" si="67"/>
        <v>0.7857142857142857</v>
      </c>
      <c r="AT84" s="769">
        <f t="shared" si="68"/>
        <v>47.675563192256959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3">
        <f t="shared" si="72"/>
        <v>0.7142857142857143</v>
      </c>
      <c r="AY84" s="769">
        <f t="shared" si="73"/>
        <v>47.749535277006878</v>
      </c>
      <c r="AZ84" s="746">
        <f t="shared" si="77"/>
        <v>47.712549234631922</v>
      </c>
      <c r="BA84" s="643">
        <f t="shared" si="74"/>
        <v>0.71618405056088164</v>
      </c>
      <c r="BC84" s="11">
        <v>43170</v>
      </c>
      <c r="BD84" s="290">
        <f>[3]!FeuilCaduc*(1-Persistant)+Persistant</f>
        <v>0.60414904766919597</v>
      </c>
      <c r="BE84" s="291">
        <f>[3]!CroissVégét</f>
        <v>2.1856755910064932E-2</v>
      </c>
      <c r="BF84" s="816">
        <f>1+[3]!Salcycl*Ksac</f>
        <v>1.0005186309586496</v>
      </c>
      <c r="BH84" s="1053">
        <f t="shared" si="75"/>
        <v>3.2132885608503154E-4</v>
      </c>
      <c r="BI84" s="11">
        <v>44266</v>
      </c>
      <c r="BJ84" s="726">
        <v>2.0412383273551459E-6</v>
      </c>
      <c r="BK84" s="726">
        <v>8.8351814227829455E-5</v>
      </c>
      <c r="BL84" s="726">
        <v>1.9178347600654649E-4</v>
      </c>
      <c r="BM84" s="726">
        <v>3.2166794406463298E-4</v>
      </c>
      <c r="BN84" s="726">
        <v>4.8951861183131563E-4</v>
      </c>
      <c r="BO84" s="727">
        <v>1.6803338622853252E-3</v>
      </c>
      <c r="BP84" s="726">
        <v>3.5414638920828962E-3</v>
      </c>
      <c r="BQ84" s="726">
        <v>8.2914083040345112E-3</v>
      </c>
      <c r="BR84" s="726">
        <v>1.4072415683248756E-2</v>
      </c>
      <c r="BS84" s="726">
        <v>2.19188428391138E-2</v>
      </c>
      <c r="BT84" s="726">
        <v>2.9598116555417692E-2</v>
      </c>
      <c r="BW84" s="1186">
        <f>'2018'!R\Max</f>
        <v>0</v>
      </c>
      <c r="BX84" s="1184">
        <f>'2019'!R\Max</f>
        <v>0.60704947257575315</v>
      </c>
      <c r="BY84" s="1184">
        <f>'2020'!R\Max</f>
        <v>0.70578884997729874</v>
      </c>
      <c r="BZ84" s="1184">
        <f>'2021'!R\Max</f>
        <v>0.71618405056088164</v>
      </c>
      <c r="CA84" s="1184">
        <f>'2022'!R\Max</f>
        <v>0.36217443097738528</v>
      </c>
      <c r="CB84" s="1184">
        <f>'2023'!R\Max</f>
        <v>0.36215691463091215</v>
      </c>
      <c r="CC84" s="1184">
        <f>'2024'!R\Max</f>
        <v>0.36213894584577727</v>
      </c>
      <c r="CD84" s="1184">
        <f>'2025'!R\Max</f>
        <v>0.36209423974265081</v>
      </c>
      <c r="CE84" s="1184">
        <f>'2026'!R\Max</f>
        <v>0.36219876963968056</v>
      </c>
      <c r="CF84" s="1185">
        <f>'2027'!R\Max</f>
        <v>0.3621971899116363</v>
      </c>
    </row>
    <row r="85" spans="1:84" s="6" customFormat="1" ht="11.25" x14ac:dyDescent="0.2">
      <c r="A85" s="11">
        <v>43171</v>
      </c>
      <c r="B85" s="380">
        <f>'2022'!Maxi_hp</f>
        <v>42.294025676295831</v>
      </c>
      <c r="C85" s="13">
        <f>'2022'!An_max</f>
        <v>2019</v>
      </c>
      <c r="D85" s="1062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3">
        <f t="shared" si="62"/>
        <v>0.5</v>
      </c>
      <c r="J85" s="746">
        <f t="shared" si="63"/>
        <v>48.032075000049375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5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3">
        <f t="shared" si="67"/>
        <v>0.75</v>
      </c>
      <c r="AT85" s="769">
        <f t="shared" si="68"/>
        <v>48.053556249910613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3">
        <f t="shared" si="72"/>
        <v>0.75</v>
      </c>
      <c r="AY85" s="769">
        <f t="shared" si="73"/>
        <v>48.114164062240164</v>
      </c>
      <c r="AZ85" s="746">
        <f t="shared" si="77"/>
        <v>48.083860156075389</v>
      </c>
      <c r="BA85" s="643">
        <f t="shared" si="74"/>
        <v>0.8805371343264341</v>
      </c>
      <c r="BC85" s="11">
        <v>43171</v>
      </c>
      <c r="BD85" s="290">
        <f>[3]!FeuilCaduc*(1-Persistant)+Persistant</f>
        <v>0.60432352346937124</v>
      </c>
      <c r="BE85" s="291">
        <f>[3]!CroissVégét</f>
        <v>2.2808540908775418E-2</v>
      </c>
      <c r="BF85" s="816">
        <f>1+[3]!Salcycl*Ksac</f>
        <v>1.0005404404336715</v>
      </c>
      <c r="BH85" s="1053">
        <f t="shared" si="75"/>
        <v>2.5344248297683885E-4</v>
      </c>
      <c r="BI85" s="11">
        <v>44267</v>
      </c>
      <c r="BJ85" s="726">
        <v>1.2576158801408745E-6</v>
      </c>
      <c r="BK85" s="726">
        <v>6.9166205964977869E-5</v>
      </c>
      <c r="BL85" s="726">
        <v>1.5061581147126797E-4</v>
      </c>
      <c r="BM85" s="726">
        <v>2.5371163412888178E-4</v>
      </c>
      <c r="BN85" s="726">
        <v>3.9155787710796916E-4</v>
      </c>
      <c r="BO85" s="727">
        <v>1.4508983302735374E-3</v>
      </c>
      <c r="BP85" s="726">
        <v>3.1708716702298265E-3</v>
      </c>
      <c r="BQ85" s="726">
        <v>7.8332345973806845E-3</v>
      </c>
      <c r="BR85" s="726">
        <v>1.3715298412670369E-2</v>
      </c>
      <c r="BS85" s="726">
        <v>2.1811427747418247E-2</v>
      </c>
      <c r="BT85" s="726">
        <v>2.9824892929401329E-2</v>
      </c>
      <c r="BW85" s="1186">
        <f>'2018'!R\Max</f>
        <v>0</v>
      </c>
      <c r="BX85" s="1184">
        <f>'2019'!R\Max</f>
        <v>0.8805371343264341</v>
      </c>
      <c r="BY85" s="1184">
        <f>'2020'!R\Max</f>
        <v>0.85132636277244667</v>
      </c>
      <c r="BZ85" s="1184">
        <f>'2021'!R\Max</f>
        <v>0.68803876019193699</v>
      </c>
      <c r="CA85" s="1184">
        <f>'2022'!R\Max</f>
        <v>0.33397551993431163</v>
      </c>
      <c r="CB85" s="1184">
        <f>'2023'!R\Max</f>
        <v>0.33396004719638811</v>
      </c>
      <c r="CC85" s="1184">
        <f>'2024'!R\Max</f>
        <v>0.33394410888322484</v>
      </c>
      <c r="CD85" s="1184">
        <f>'2025'!R\Max</f>
        <v>0.33390216607952472</v>
      </c>
      <c r="CE85" s="1184">
        <f>'2026'!R\Max</f>
        <v>0.33399613163176295</v>
      </c>
      <c r="CF85" s="1185">
        <f>'2027'!R\Max</f>
        <v>0.3339948915888713</v>
      </c>
    </row>
    <row r="86" spans="1:84" s="6" customFormat="1" ht="11.25" x14ac:dyDescent="0.2">
      <c r="A86" s="11">
        <v>43172</v>
      </c>
      <c r="B86" s="380">
        <f>'2022'!Maxi_hp</f>
        <v>41.647039184319176</v>
      </c>
      <c r="C86" s="13">
        <f>'2022'!An_max</f>
        <v>2021</v>
      </c>
      <c r="D86" s="1062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3">
        <f t="shared" si="62"/>
        <v>0.42857142857142855</v>
      </c>
      <c r="J86" s="746">
        <f t="shared" si="63"/>
        <v>48.398285131276602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5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3">
        <f t="shared" si="67"/>
        <v>0.7142857142857143</v>
      </c>
      <c r="AT86" s="769">
        <f t="shared" si="68"/>
        <v>48.432927113620096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3">
        <f t="shared" si="72"/>
        <v>0.7857142857142857</v>
      </c>
      <c r="AY86" s="769">
        <f t="shared" si="73"/>
        <v>48.476068549224046</v>
      </c>
      <c r="AZ86" s="746">
        <f t="shared" si="77"/>
        <v>48.454497831422074</v>
      </c>
      <c r="BA86" s="643">
        <f t="shared" si="74"/>
        <v>0.86050650495890102</v>
      </c>
      <c r="BC86" s="11">
        <v>43172</v>
      </c>
      <c r="BD86" s="290">
        <f>[3]!FeuilCaduc*(1-Persistant)+Persistant</f>
        <v>0.60451612051959969</v>
      </c>
      <c r="BE86" s="291">
        <f>[3]!CroissVégét</f>
        <v>2.3798287402466985E-2</v>
      </c>
      <c r="BF86" s="816">
        <f>1+[3]!Salcycl*Ksac</f>
        <v>1.00056451506495</v>
      </c>
      <c r="BH86" s="1053">
        <f t="shared" si="75"/>
        <v>1.9821082280916747E-4</v>
      </c>
      <c r="BI86" s="11">
        <v>44268</v>
      </c>
      <c r="BJ86" s="726">
        <v>1.3422706816784258E-6</v>
      </c>
      <c r="BK86" s="726">
        <v>5.4159521017829996E-5</v>
      </c>
      <c r="BL86" s="726">
        <v>1.1750856417175466E-4</v>
      </c>
      <c r="BM86" s="726">
        <v>1.9842206280718246E-4</v>
      </c>
      <c r="BN86" s="726">
        <v>3.112146877476572E-4</v>
      </c>
      <c r="BO86" s="727">
        <v>1.2357681542513137E-3</v>
      </c>
      <c r="BP86" s="726">
        <v>2.8056027199255436E-3</v>
      </c>
      <c r="BQ86" s="726">
        <v>7.3400522912859568E-3</v>
      </c>
      <c r="BR86" s="726">
        <v>1.3279750435583434E-2</v>
      </c>
      <c r="BS86" s="726">
        <v>2.1583892002701031E-2</v>
      </c>
      <c r="BT86" s="726">
        <v>2.9917374943486522E-2</v>
      </c>
      <c r="BW86" s="1186">
        <f>'2018'!R\Max</f>
        <v>0</v>
      </c>
      <c r="BX86" s="1184">
        <f>'2019'!R\Max</f>
        <v>0.5823989039699996</v>
      </c>
      <c r="BY86" s="1184">
        <f>'2020'!R\Max</f>
        <v>0.34312360039868256</v>
      </c>
      <c r="BZ86" s="1184">
        <f>'2021'!R\Max</f>
        <v>0.86050650495890102</v>
      </c>
      <c r="CA86" s="1184">
        <f>'2022'!R\Max</f>
        <v>0.22500454010934717</v>
      </c>
      <c r="CB86" s="1184">
        <f>'2023'!R\Max</f>
        <v>0.2249946128077501</v>
      </c>
      <c r="CC86" s="1184">
        <f>'2024'!R\Max</f>
        <v>0.22498433725112227</v>
      </c>
      <c r="CD86" s="1184">
        <f>'2025'!R\Max</f>
        <v>0.22495566235157827</v>
      </c>
      <c r="CE86" s="1184">
        <f>'2026'!R\Max</f>
        <v>0.22501715355787186</v>
      </c>
      <c r="CF86" s="1185">
        <f>'2027'!R\Max</f>
        <v>0.22501644028118004</v>
      </c>
    </row>
    <row r="87" spans="1:84" s="6" customFormat="1" ht="11.25" x14ac:dyDescent="0.2">
      <c r="A87" s="11">
        <v>43173</v>
      </c>
      <c r="B87" s="380">
        <f>'2022'!Maxi_hp</f>
        <v>41.178376020580401</v>
      </c>
      <c r="C87" s="13">
        <f>'2022'!An_max</f>
        <v>2020</v>
      </c>
      <c r="D87" s="1062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3">
        <f t="shared" si="62"/>
        <v>0.35714285714285715</v>
      </c>
      <c r="J87" s="746">
        <f t="shared" si="63"/>
        <v>48.763779518911697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5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3">
        <f t="shared" si="67"/>
        <v>0.6785714285714286</v>
      </c>
      <c r="AT87" s="769">
        <f t="shared" si="68"/>
        <v>48.813138975975122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3">
        <f t="shared" si="72"/>
        <v>0.8214285714285714</v>
      </c>
      <c r="AY87" s="769">
        <f t="shared" si="73"/>
        <v>48.834940074151383</v>
      </c>
      <c r="AZ87" s="746">
        <f t="shared" si="77"/>
        <v>48.824039525063256</v>
      </c>
      <c r="BA87" s="643">
        <f t="shared" si="74"/>
        <v>0.84444594793171224</v>
      </c>
      <c r="BC87" s="11">
        <v>43173</v>
      </c>
      <c r="BD87" s="290">
        <f>[3]!FeuilCaduc*(1-Persistant)+Persistant</f>
        <v>0.60472932238026522</v>
      </c>
      <c r="BE87" s="291">
        <f>[3]!CroissVégét</f>
        <v>2.4827425868542252E-2</v>
      </c>
      <c r="BF87" s="816">
        <f>1+[3]!Salcycl*Ksac</f>
        <v>1.0005911652975332</v>
      </c>
      <c r="BH87" s="1053">
        <f t="shared" si="75"/>
        <v>1.4986258728789256E-4</v>
      </c>
      <c r="BI87" s="11">
        <v>44269</v>
      </c>
      <c r="BJ87" s="726">
        <v>1.4173293295093285E-6</v>
      </c>
      <c r="BK87" s="726">
        <v>4.1029710617371279E-5</v>
      </c>
      <c r="BL87" s="726">
        <v>8.8540825559242485E-5</v>
      </c>
      <c r="BM87" s="726">
        <v>1.5002309839432933E-4</v>
      </c>
      <c r="BN87" s="726">
        <v>2.4070058571678193E-4</v>
      </c>
      <c r="BO87" s="727">
        <v>1.0404550902061557E-3</v>
      </c>
      <c r="BP87" s="726">
        <v>2.4672235874050861E-3</v>
      </c>
      <c r="BQ87" s="726">
        <v>6.8504638623203213E-3</v>
      </c>
      <c r="BR87" s="726">
        <v>1.2803232784582487E-2</v>
      </c>
      <c r="BS87" s="726">
        <v>2.1265655990267102E-2</v>
      </c>
      <c r="BT87" s="726">
        <v>2.9891961549226732E-2</v>
      </c>
      <c r="BW87" s="1186">
        <f>'2018'!R\Max</f>
        <v>0</v>
      </c>
      <c r="BX87" s="1184">
        <f>'2019'!R\Max</f>
        <v>0.51881307780750174</v>
      </c>
      <c r="BY87" s="1184">
        <f>'2020'!R\Max</f>
        <v>0.84444594793171224</v>
      </c>
      <c r="BZ87" s="1184">
        <f>'2021'!R\Max</f>
        <v>0.57371805267008202</v>
      </c>
      <c r="CA87" s="1184">
        <f>'2022'!R\Max</f>
        <v>0.32184675345171015</v>
      </c>
      <c r="CB87" s="1184">
        <f>'2023'!R\Max</f>
        <v>0.32183434002635947</v>
      </c>
      <c r="CC87" s="1184">
        <f>'2024'!R\Max</f>
        <v>0.32182142227705779</v>
      </c>
      <c r="CD87" s="1184">
        <f>'2025'!R\Max</f>
        <v>0.32178328613769558</v>
      </c>
      <c r="CE87" s="1184">
        <f>'2026'!R\Max</f>
        <v>0.32186172600501506</v>
      </c>
      <c r="CF87" s="1185">
        <f>'2027'!R\Max</f>
        <v>0.3218609370798774</v>
      </c>
    </row>
    <row r="88" spans="1:84" s="6" customFormat="1" ht="11.25" x14ac:dyDescent="0.2">
      <c r="A88" s="11">
        <v>43174</v>
      </c>
      <c r="B88" s="380">
        <f>'2022'!Maxi_hp</f>
        <v>31.428093358036886</v>
      </c>
      <c r="C88" s="13">
        <f>'2022'!An_max</f>
        <v>2020</v>
      </c>
      <c r="D88" s="1062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3">
        <f t="shared" si="62"/>
        <v>0.2857142857142857</v>
      </c>
      <c r="J88" s="746">
        <f t="shared" si="63"/>
        <v>49.128343440133278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5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3">
        <f t="shared" si="67"/>
        <v>0.6428571428571429</v>
      </c>
      <c r="AT88" s="769">
        <f t="shared" si="68"/>
        <v>49.193655029221148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3">
        <f t="shared" si="72"/>
        <v>0.8571428571428571</v>
      </c>
      <c r="AY88" s="769">
        <f t="shared" si="73"/>
        <v>49.190469970926642</v>
      </c>
      <c r="AZ88" s="746">
        <f t="shared" si="77"/>
        <v>49.192062500073895</v>
      </c>
      <c r="BA88" s="643">
        <f t="shared" si="74"/>
        <v>0.63971408676407893</v>
      </c>
      <c r="BC88" s="11">
        <v>43174</v>
      </c>
      <c r="BD88" s="290">
        <f>[3]!FeuilCaduc*(1-Persistant)+Persistant</f>
        <v>0.60496571446227188</v>
      </c>
      <c r="BE88" s="291">
        <f>[3]!CroissVégét</f>
        <v>2.5897433731805454E-2</v>
      </c>
      <c r="BF88" s="816">
        <f>1+[3]!Salcycl*Ksac</f>
        <v>1.0006207143077839</v>
      </c>
      <c r="BH88" s="1053">
        <f t="shared" si="75"/>
        <v>1.0839799545450368E-4</v>
      </c>
      <c r="BI88" s="11">
        <v>44270</v>
      </c>
      <c r="BJ88" s="726">
        <v>1.4827908262822237E-6</v>
      </c>
      <c r="BK88" s="726">
        <v>2.9776833803868659E-5</v>
      </c>
      <c r="BL88" s="726">
        <v>6.3712726683155615E-5</v>
      </c>
      <c r="BM88" s="726">
        <v>1.0851496016213311E-4</v>
      </c>
      <c r="BN88" s="726">
        <v>1.8001589121744615E-4</v>
      </c>
      <c r="BO88" s="727">
        <v>8.6496020158167584E-4</v>
      </c>
      <c r="BP88" s="726">
        <v>2.1557361854061662E-3</v>
      </c>
      <c r="BQ88" s="726">
        <v>6.3644723643544489E-3</v>
      </c>
      <c r="BR88" s="726">
        <v>1.2285748050506487E-2</v>
      </c>
      <c r="BS88" s="726">
        <v>2.0856719424876064E-2</v>
      </c>
      <c r="BT88" s="726">
        <v>2.9748646988321487E-2</v>
      </c>
      <c r="BW88" s="1186">
        <f>'2018'!R\Max</f>
        <v>0</v>
      </c>
      <c r="BX88" s="1184">
        <f>'2019'!R\Max</f>
        <v>0.27147328937227377</v>
      </c>
      <c r="BY88" s="1184">
        <f>'2020'!R\Max</f>
        <v>0.63971408676407893</v>
      </c>
      <c r="BZ88" s="1184">
        <f>'2021'!R\Max</f>
        <v>0.3969904484902419</v>
      </c>
      <c r="CA88" s="1184">
        <f>'2022'!R\Max</f>
        <v>0.32001640331345538</v>
      </c>
      <c r="CB88" s="1184">
        <f>'2023'!R\Max</f>
        <v>0.32000528559587516</v>
      </c>
      <c r="CC88" s="1184">
        <f>'2024'!R\Max</f>
        <v>0.31999364822617493</v>
      </c>
      <c r="CD88" s="1184">
        <f>'2025'!R\Max</f>
        <v>0.31995739728484629</v>
      </c>
      <c r="CE88" s="1184">
        <f>'2026'!R\Max</f>
        <v>0.32002906617906224</v>
      </c>
      <c r="CF88" s="1185">
        <f>'2027'!R\Max</f>
        <v>0.32002845032894833</v>
      </c>
    </row>
    <row r="89" spans="1:84" s="6" customFormat="1" ht="11.25" x14ac:dyDescent="0.2">
      <c r="A89" s="11">
        <v>43175</v>
      </c>
      <c r="B89" s="380">
        <f>'2022'!Maxi_hp</f>
        <v>50.491533478793343</v>
      </c>
      <c r="C89" s="13">
        <f>'2022'!An_max</f>
        <v>2020</v>
      </c>
      <c r="D89" s="1062">
        <f t="shared" si="59"/>
        <v>1.0202007619618298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3">
        <f t="shared" si="62"/>
        <v>0.21428571428571427</v>
      </c>
      <c r="J89" s="746">
        <f t="shared" si="63"/>
        <v>49.491762172083583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5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3">
        <f t="shared" si="67"/>
        <v>0.6071428571428571</v>
      </c>
      <c r="AT89" s="769">
        <f t="shared" si="68"/>
        <v>49.573938465723344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3">
        <f t="shared" si="72"/>
        <v>0.8928571428571429</v>
      </c>
      <c r="AY89" s="769">
        <f t="shared" si="73"/>
        <v>49.542349576660698</v>
      </c>
      <c r="AZ89" s="746">
        <f t="shared" si="77"/>
        <v>49.558144021192021</v>
      </c>
      <c r="BA89" s="643">
        <f t="shared" si="74"/>
        <v>1.0202007619618298</v>
      </c>
      <c r="BC89" s="11">
        <v>43175</v>
      </c>
      <c r="BD89" s="290">
        <f>[3]!FeuilCaduc*(1-Persistant)+Persistant</f>
        <v>0.60522797498038727</v>
      </c>
      <c r="BE89" s="291">
        <f>[3]!CroissVégét</f>
        <v>2.7009836317349309E-2</v>
      </c>
      <c r="BF89" s="816">
        <f>1+[3]!Salcycl*Ksac</f>
        <v>1.0006534968725485</v>
      </c>
      <c r="BH89" s="1053">
        <f t="shared" si="75"/>
        <v>7.3817161142885658E-5</v>
      </c>
      <c r="BI89" s="11">
        <v>44271</v>
      </c>
      <c r="BJ89" s="726">
        <v>1.5386543097878977E-6</v>
      </c>
      <c r="BK89" s="726">
        <v>2.0400920852446888E-5</v>
      </c>
      <c r="BL89" s="726">
        <v>4.3024335164756531E-5</v>
      </c>
      <c r="BM89" s="726">
        <v>7.3897762065441269E-5</v>
      </c>
      <c r="BN89" s="726">
        <v>1.2916077640375521E-4</v>
      </c>
      <c r="BO89" s="727">
        <v>7.0928433193698812E-4</v>
      </c>
      <c r="BP89" s="726">
        <v>1.8711422367753928E-3</v>
      </c>
      <c r="BQ89" s="726">
        <v>5.8820814829078794E-3</v>
      </c>
      <c r="BR89" s="726">
        <v>1.1727300580144352E-2</v>
      </c>
      <c r="BS89" s="726">
        <v>2.0357084818966826E-2</v>
      </c>
      <c r="BT89" s="726">
        <v>2.948742856400224E-2</v>
      </c>
      <c r="BW89" s="1186">
        <f>'2018'!R\Max</f>
        <v>0</v>
      </c>
      <c r="BX89" s="1184">
        <f>'2019'!R\Max</f>
        <v>0.97894597362577496</v>
      </c>
      <c r="BY89" s="1184">
        <f>'2020'!R\Max</f>
        <v>1.0202007619618298</v>
      </c>
      <c r="BZ89" s="1184">
        <f>'2021'!R\Max</f>
        <v>0.66935641934766599</v>
      </c>
      <c r="CA89" s="1184">
        <f>'2022'!R\Max</f>
        <v>0.28634877692100463</v>
      </c>
      <c r="CB89" s="1184">
        <f>'2023'!R\Max</f>
        <v>0.28633962246868938</v>
      </c>
      <c r="CC89" s="1184">
        <f>'2024'!R\Max</f>
        <v>0.28632997892251222</v>
      </c>
      <c r="CD89" s="1184">
        <f>'2025'!R\Max</f>
        <v>0.28629837613191716</v>
      </c>
      <c r="CE89" s="1184">
        <f>'2026'!R\Max</f>
        <v>0.28635856583817237</v>
      </c>
      <c r="CF89" s="1185">
        <f>'2027'!R\Max</f>
        <v>0.28635813041261177</v>
      </c>
    </row>
    <row r="90" spans="1:84" s="6" customFormat="1" ht="11.25" x14ac:dyDescent="0.2">
      <c r="A90" s="11">
        <v>43176</v>
      </c>
      <c r="B90" s="380">
        <f>'2022'!Maxi_hp</f>
        <v>27.136616542417517</v>
      </c>
      <c r="C90" s="13">
        <f>'2022'!An_max</f>
        <v>2021</v>
      </c>
      <c r="D90" s="1062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3">
        <f t="shared" si="62"/>
        <v>0.14285714285714285</v>
      </c>
      <c r="J90" s="746">
        <f t="shared" si="63"/>
        <v>49.853820991318209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5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3">
        <f t="shared" si="67"/>
        <v>0.5714285714285714</v>
      </c>
      <c r="AT90" s="769">
        <f t="shared" si="68"/>
        <v>49.953452477863586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3">
        <f t="shared" si="72"/>
        <v>0.9285714285714286</v>
      </c>
      <c r="AY90" s="769">
        <f t="shared" si="73"/>
        <v>49.890270226069596</v>
      </c>
      <c r="AZ90" s="746">
        <f t="shared" si="77"/>
        <v>49.921861351966591</v>
      </c>
      <c r="BA90" s="643">
        <f t="shared" si="74"/>
        <v>0.54432370483986015</v>
      </c>
      <c r="BC90" s="11">
        <v>43176</v>
      </c>
      <c r="BD90" s="290">
        <f>[3]!FeuilCaduc*(1-Persistant)+Persistant</f>
        <v>0.60551886559649126</v>
      </c>
      <c r="BE90" s="291">
        <f>[3]!CroissVégét</f>
        <v>2.8166207768877807E-2</v>
      </c>
      <c r="BF90" s="816">
        <f>1+[3]!Salcycl*Ksac</f>
        <v>1.0006898581995614</v>
      </c>
      <c r="BH90" s="1053">
        <f t="shared" si="75"/>
        <v>4.6120067516137753E-5</v>
      </c>
      <c r="BI90" s="11">
        <v>44272</v>
      </c>
      <c r="BJ90" s="726">
        <v>1.5849190884364819E-6</v>
      </c>
      <c r="BK90" s="726">
        <v>1.2901966330143547E-5</v>
      </c>
      <c r="BL90" s="726">
        <v>2.6475639884277712E-5</v>
      </c>
      <c r="BM90" s="726">
        <v>4.6171487252388315E-5</v>
      </c>
      <c r="BN90" s="726">
        <v>8.813522902181148E-5</v>
      </c>
      <c r="BO90" s="727">
        <v>5.7342803163579214E-4</v>
      </c>
      <c r="BP90" s="726">
        <v>1.6134431749850876E-3</v>
      </c>
      <c r="BQ90" s="726">
        <v>5.4032955218046306E-3</v>
      </c>
      <c r="BR90" s="726">
        <v>1.1127896627676069E-2</v>
      </c>
      <c r="BS90" s="726">
        <v>1.976675781795716E-2</v>
      </c>
      <c r="BT90" s="726">
        <v>2.9108307076809392E-2</v>
      </c>
      <c r="BW90" s="1186">
        <f>'2018'!R\Max</f>
        <v>0</v>
      </c>
      <c r="BX90" s="1184">
        <f>'2019'!R\Max</f>
        <v>0.34381456656011083</v>
      </c>
      <c r="BY90" s="1184">
        <f>'2020'!R\Max</f>
        <v>0.19230851327882062</v>
      </c>
      <c r="BZ90" s="1184">
        <f>'2021'!R\Max</f>
        <v>0.54432370483986015</v>
      </c>
      <c r="CA90" s="1184">
        <f>'2022'!R\Max</f>
        <v>0.23716850404460391</v>
      </c>
      <c r="CB90" s="1184">
        <f>'2023'!R\Max</f>
        <v>0.23716176309381334</v>
      </c>
      <c r="CC90" s="1184">
        <f>'2024'!R\Max</f>
        <v>0.23715461320662734</v>
      </c>
      <c r="CD90" s="1184">
        <f>'2025'!R\Max</f>
        <v>0.23713004894106191</v>
      </c>
      <c r="CE90" s="1184">
        <f>'2026'!R\Max</f>
        <v>0.23717522899257226</v>
      </c>
      <c r="CF90" s="1185">
        <f>'2027'!R\Max</f>
        <v>0.23717495700084204</v>
      </c>
    </row>
    <row r="91" spans="1:84" s="6" customFormat="1" ht="11.25" x14ac:dyDescent="0.2">
      <c r="A91" s="11">
        <v>43177</v>
      </c>
      <c r="B91" s="380">
        <f>'2022'!Maxi_hp</f>
        <v>35.441978382349127</v>
      </c>
      <c r="C91" s="13">
        <f>'2022'!An_max</f>
        <v>2019</v>
      </c>
      <c r="D91" s="1062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3">
        <f t="shared" si="62"/>
        <v>7.1428571428571425E-2</v>
      </c>
      <c r="J91" s="746">
        <f t="shared" si="63"/>
        <v>50.214305175098083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5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3">
        <f t="shared" si="67"/>
        <v>0.5357142857142857</v>
      </c>
      <c r="AT91" s="769">
        <f t="shared" si="68"/>
        <v>50.331660258332178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3">
        <f t="shared" si="72"/>
        <v>0.9642857142857143</v>
      </c>
      <c r="AY91" s="769">
        <f t="shared" si="73"/>
        <v>50.233923255063459</v>
      </c>
      <c r="AZ91" s="746">
        <f t="shared" si="77"/>
        <v>50.282791756697819</v>
      </c>
      <c r="BA91" s="643">
        <f t="shared" si="74"/>
        <v>0.70581437418604887</v>
      </c>
      <c r="BC91" s="11">
        <v>43177</v>
      </c>
      <c r="BD91" s="290">
        <f>[3]!FeuilCaduc*(1-Persistant)+Persistant</f>
        <v>0.60584122183331646</v>
      </c>
      <c r="BE91" s="291">
        <f>[3]!CroissVégét</f>
        <v>2.9368171926128662E-2</v>
      </c>
      <c r="BF91" s="816">
        <f>1+[3]!Salcycl*Ksac</f>
        <v>1.0007301527291645</v>
      </c>
      <c r="BH91" s="1053">
        <f t="shared" si="75"/>
        <v>2.5306541603052484E-5</v>
      </c>
      <c r="BI91" s="11">
        <v>44273</v>
      </c>
      <c r="BJ91" s="726">
        <v>1.6215846767300462E-6</v>
      </c>
      <c r="BK91" s="726">
        <v>7.2799221528707874E-6</v>
      </c>
      <c r="BL91" s="726">
        <v>1.4066535667852694E-5</v>
      </c>
      <c r="BM91" s="726">
        <v>2.5335962574305691E-5</v>
      </c>
      <c r="BN91" s="726">
        <v>5.6939016049144115E-5</v>
      </c>
      <c r="BO91" s="727">
        <v>4.573914845327777E-4</v>
      </c>
      <c r="BP91" s="726">
        <v>1.3826400446434045E-3</v>
      </c>
      <c r="BQ91" s="726">
        <v>4.9281193898092308E-3</v>
      </c>
      <c r="BR91" s="726">
        <v>1.0487544506075966E-2</v>
      </c>
      <c r="BS91" s="726">
        <v>1.9085747535478845E-2</v>
      </c>
      <c r="BT91" s="726">
        <v>2.8611287260277132E-2</v>
      </c>
      <c r="BW91" s="1186">
        <f>'2018'!R\Max</f>
        <v>0</v>
      </c>
      <c r="BX91" s="1184">
        <f>'2019'!R\Max</f>
        <v>0.70581437418604887</v>
      </c>
      <c r="BY91" s="1184">
        <f>'2020'!R\Max</f>
        <v>0.28237422475232615</v>
      </c>
      <c r="BZ91" s="1184">
        <f>'2021'!R\Max</f>
        <v>0.49460285721784353</v>
      </c>
      <c r="CA91" s="1184">
        <f>'2022'!R\Max</f>
        <v>0.313971351222322</v>
      </c>
      <c r="CB91" s="1184">
        <f>'2023'!R\Max</f>
        <v>0.31396362241188785</v>
      </c>
      <c r="CC91" s="1184">
        <f>'2024'!R\Max</f>
        <v>0.31395536510311989</v>
      </c>
      <c r="CD91" s="1184">
        <f>'2025'!R\Max</f>
        <v>0.31392574880894769</v>
      </c>
      <c r="CE91" s="1184">
        <f>'2026'!R\Max</f>
        <v>0.31397849878389589</v>
      </c>
      <c r="CF91" s="1185">
        <f>'2027'!R\Max</f>
        <v>0.31397823479681713</v>
      </c>
    </row>
    <row r="92" spans="1:84" s="6" customFormat="1" ht="11.25" x14ac:dyDescent="0.2">
      <c r="A92" s="11">
        <v>43178</v>
      </c>
      <c r="B92" s="380">
        <f>'2022'!Maxi_hp</f>
        <v>46.110957889709681</v>
      </c>
      <c r="C92" s="13">
        <f>'2022'!An_max</f>
        <v>2020</v>
      </c>
      <c r="D92" s="1062" t="str">
        <f t="shared" si="59"/>
        <v/>
      </c>
      <c r="E92" s="1057">
        <f>S$13/10</f>
        <v>50.573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3">
        <f t="shared" si="62"/>
        <v>0</v>
      </c>
      <c r="J92" s="746">
        <f t="shared" si="63"/>
        <v>50.572999999672177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5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3">
        <f t="shared" si="67"/>
        <v>0.5</v>
      </c>
      <c r="AT92" s="769">
        <f t="shared" si="68"/>
        <v>50.70802499965648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3">
        <f t="shared" si="72"/>
        <v>1</v>
      </c>
      <c r="AY92" s="769">
        <f t="shared" si="73"/>
        <v>50.572999999672177</v>
      </c>
      <c r="AZ92" s="746">
        <f t="shared" si="77"/>
        <v>50.640512499664325</v>
      </c>
      <c r="BA92" s="643">
        <f t="shared" si="74"/>
        <v>0.91177027050023884</v>
      </c>
      <c r="BC92" s="11">
        <v>43178</v>
      </c>
      <c r="BD92" s="290">
        <f>[3]!FeuilCaduc*(1-Persistant)+Persistant</f>
        <v>0.60619794333700627</v>
      </c>
      <c r="BE92" s="291">
        <f>[3]!CroissVégét</f>
        <v>3.0617403154541836E-2</v>
      </c>
      <c r="BF92" s="816">
        <f>1+[3]!Salcycl*Ksac</f>
        <v>1.0007747429171259</v>
      </c>
      <c r="BH92" s="1053">
        <f t="shared" si="75"/>
        <v>1.1376228834847654E-5</v>
      </c>
      <c r="BI92" s="11">
        <v>44274</v>
      </c>
      <c r="BJ92" s="726">
        <v>1.6486508307401742E-6</v>
      </c>
      <c r="BK92" s="726">
        <v>3.5346906424468268E-6</v>
      </c>
      <c r="BL92" s="726">
        <v>5.7968079745951385E-6</v>
      </c>
      <c r="BM92" s="726">
        <v>1.1390833095885007E-5</v>
      </c>
      <c r="BN92" s="726">
        <v>3.5571647334576156E-5</v>
      </c>
      <c r="BO92" s="727">
        <v>3.6117443466236163E-4</v>
      </c>
      <c r="BP92" s="726">
        <v>1.1787334020105795E-3</v>
      </c>
      <c r="BQ92" s="726">
        <v>4.4565585872817625E-3</v>
      </c>
      <c r="BR92" s="726">
        <v>9.8062547385537862E-3</v>
      </c>
      <c r="BS92" s="726">
        <v>1.8314066888678666E-2</v>
      </c>
      <c r="BT92" s="726">
        <v>2.7996378216713812E-2</v>
      </c>
      <c r="BW92" s="1186">
        <f>'2018'!R\Max</f>
        <v>0</v>
      </c>
      <c r="BX92" s="1184">
        <f>'2019'!R\Max</f>
        <v>0.25714271321775428</v>
      </c>
      <c r="BY92" s="1184">
        <f>'2020'!R\Max</f>
        <v>0.91177027050023884</v>
      </c>
      <c r="BZ92" s="1184">
        <f>'2021'!R\Max</f>
        <v>0.19283464491182695</v>
      </c>
      <c r="CA92" s="1184">
        <f>'2022'!R\Max</f>
        <v>0.63272181271289218</v>
      </c>
      <c r="CB92" s="1184">
        <f>'2023'!R\Max</f>
        <v>0.63271449262062407</v>
      </c>
      <c r="CC92" s="1184">
        <f>'2024'!R\Max</f>
        <v>0.63270661294784958</v>
      </c>
      <c r="CD92" s="1184">
        <f>'2025'!R\Max</f>
        <v>0.63267726242394784</v>
      </c>
      <c r="CE92" s="1184">
        <f>'2026'!R\Max</f>
        <v>0.63272805094774787</v>
      </c>
      <c r="CF92" s="1185">
        <f>'2027'!R\Max</f>
        <v>0.6327278344485886</v>
      </c>
    </row>
    <row r="93" spans="1:84" s="6" customFormat="1" ht="11.25" x14ac:dyDescent="0.2">
      <c r="A93" s="11">
        <v>43179</v>
      </c>
      <c r="B93" s="380">
        <f>'2022'!Maxi_hp</f>
        <v>51.145293953169229</v>
      </c>
      <c r="C93" s="13">
        <f>'2022'!An_max</f>
        <v>2019</v>
      </c>
      <c r="D93" s="1062">
        <f t="shared" si="59"/>
        <v>1.004176901029336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3">
        <f t="shared" si="62"/>
        <v>7.1428571428571425E-2</v>
      </c>
      <c r="J93" s="746">
        <f t="shared" si="63"/>
        <v>50.932553717121479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5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3">
        <f t="shared" si="67"/>
        <v>0.4642857142857143</v>
      </c>
      <c r="AT93" s="769">
        <f t="shared" si="68"/>
        <v>51.082009894271529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3">
        <f t="shared" si="72"/>
        <v>0.9642857142857143</v>
      </c>
      <c r="AY93" s="769">
        <f t="shared" si="73"/>
        <v>50.910616180620018</v>
      </c>
      <c r="AZ93" s="746">
        <f t="shared" si="77"/>
        <v>50.996313037445773</v>
      </c>
      <c r="BA93" s="643">
        <f t="shared" si="74"/>
        <v>1.004176901029336</v>
      </c>
      <c r="BC93" s="11">
        <v>43179</v>
      </c>
      <c r="BD93" s="290">
        <f>[3]!FeuilCaduc*(1-Persistant)+Persistant</f>
        <v>0.60659198406361292</v>
      </c>
      <c r="BE93" s="291">
        <f>[3]!CroissVégét</f>
        <v>3.1915627119784788E-2</v>
      </c>
      <c r="BF93" s="816">
        <f>1+[3]!Salcycl*Ksac</f>
        <v>1.0008239980079516</v>
      </c>
      <c r="BH93" s="1053">
        <f t="shared" si="75"/>
        <v>4.3285677254419836E-6</v>
      </c>
      <c r="BI93" s="11">
        <v>44275</v>
      </c>
      <c r="BJ93" s="726">
        <v>1.666117638897085E-6</v>
      </c>
      <c r="BK93" s="726">
        <v>1.6661176388970848E-6</v>
      </c>
      <c r="BL93" s="726">
        <v>1.6661176388970848E-6</v>
      </c>
      <c r="BM93" s="726">
        <v>4.3355367491160753E-6</v>
      </c>
      <c r="BN93" s="726">
        <v>2.4032340035675831E-5</v>
      </c>
      <c r="BO93" s="727">
        <v>2.8477612238033968E-4</v>
      </c>
      <c r="BP93" s="726">
        <v>1.0017232487679912E-3</v>
      </c>
      <c r="BQ93" s="726">
        <v>3.9886193252412312E-3</v>
      </c>
      <c r="BR93" s="726">
        <v>9.0840405115584204E-3</v>
      </c>
      <c r="BS93" s="726">
        <v>1.7451733512869202E-2</v>
      </c>
      <c r="BT93" s="726">
        <v>2.7263594758064839E-2</v>
      </c>
      <c r="BW93" s="1186">
        <f>'2018'!R\Max</f>
        <v>0</v>
      </c>
      <c r="BX93" s="1184">
        <f>'2019'!R\Max</f>
        <v>1.004176901029336</v>
      </c>
      <c r="BY93" s="1184">
        <f>'2020'!R\Max</f>
        <v>0.92709936879726096</v>
      </c>
      <c r="BZ93" s="1184">
        <f>'2021'!R\Max</f>
        <v>0.91901066910850049</v>
      </c>
      <c r="CA93" s="1184">
        <f>'2022'!R\Max</f>
        <v>0.64895192487681164</v>
      </c>
      <c r="CB93" s="1184">
        <f>'2023'!R\Max</f>
        <v>0.64894567228767186</v>
      </c>
      <c r="CC93" s="1184">
        <f>'2024'!R\Max</f>
        <v>0.64893889112825998</v>
      </c>
      <c r="CD93" s="1184">
        <f>'2025'!R\Max</f>
        <v>0.64891284018897055</v>
      </c>
      <c r="CE93" s="1184">
        <f>'2026'!R\Max</f>
        <v>0.64895681543701367</v>
      </c>
      <c r="CF93" s="1185">
        <f>'2027'!R\Max</f>
        <v>0.64895664366280392</v>
      </c>
    </row>
    <row r="94" spans="1:84" s="6" customFormat="1" ht="11.25" x14ac:dyDescent="0.2">
      <c r="A94" s="11">
        <v>43180</v>
      </c>
      <c r="B94" s="380">
        <f>'2022'!Maxi_hp</f>
        <v>51.378117175877115</v>
      </c>
      <c r="C94" s="13">
        <f>'2022'!An_max</f>
        <v>2019</v>
      </c>
      <c r="D94" s="1062">
        <f t="shared" si="59"/>
        <v>1.0016195560048196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3">
        <f t="shared" si="62"/>
        <v>0.14285714285714285</v>
      </c>
      <c r="J94" s="746">
        <f t="shared" si="63"/>
        <v>51.295041982616702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5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3">
        <f t="shared" si="67"/>
        <v>0.42857142857142855</v>
      </c>
      <c r="AT94" s="769">
        <f t="shared" si="68"/>
        <v>51.45307813420326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3">
        <f t="shared" si="72"/>
        <v>0.9285714285714286</v>
      </c>
      <c r="AY94" s="769">
        <f t="shared" si="73"/>
        <v>51.249806997020336</v>
      </c>
      <c r="AZ94" s="746">
        <f t="shared" si="77"/>
        <v>51.351442565611798</v>
      </c>
      <c r="BA94" s="643">
        <f t="shared" si="74"/>
        <v>1.0016195560048196</v>
      </c>
      <c r="BC94" s="11">
        <v>43180</v>
      </c>
      <c r="BD94" s="290">
        <f>[3]!FeuilCaduc*(1-Persistant)+Persistant</f>
        <v>0.60702634246059539</v>
      </c>
      <c r="BE94" s="291">
        <f>[3]!CroissVégét</f>
        <v>3.3264621499185201E-2</v>
      </c>
      <c r="BF94" s="816">
        <f>1+[3]!Salcycl*Ksac</f>
        <v>1.0008782928075743</v>
      </c>
      <c r="BH94" s="1053">
        <f t="shared" si="75"/>
        <v>4.1900288191430488E-6</v>
      </c>
      <c r="BI94" s="11">
        <v>44276</v>
      </c>
      <c r="BJ94" s="726">
        <v>1.6811100995464042E-6</v>
      </c>
      <c r="BK94" s="726">
        <v>1.6852636426629632E-6</v>
      </c>
      <c r="BL94" s="726">
        <v>1.6897136166300948E-6</v>
      </c>
      <c r="BM94" s="726">
        <v>4.1965734510695077E-6</v>
      </c>
      <c r="BN94" s="726">
        <v>2.2424907533884537E-5</v>
      </c>
      <c r="BO94" s="727">
        <v>2.2869456751976866E-4</v>
      </c>
      <c r="BP94" s="726">
        <v>8.5357166994261019E-4</v>
      </c>
      <c r="BQ94" s="726">
        <v>3.5395260135431521E-3</v>
      </c>
      <c r="BR94" s="726">
        <v>8.345402910934701E-3</v>
      </c>
      <c r="BS94" s="726">
        <v>1.6513303480639306E-2</v>
      </c>
      <c r="BT94" s="726">
        <v>2.6387538700014684E-2</v>
      </c>
      <c r="BW94" s="1186">
        <f>'2018'!R\Max</f>
        <v>0</v>
      </c>
      <c r="BX94" s="1184">
        <f>'2019'!R\Max</f>
        <v>1.0016195560048196</v>
      </c>
      <c r="BY94" s="1184">
        <f>'2020'!R\Max</f>
        <v>0.99883769618487517</v>
      </c>
      <c r="BZ94" s="1184">
        <f>'2021'!R\Max</f>
        <v>0.83655866566462744</v>
      </c>
      <c r="CA94" s="1184">
        <f>'2022'!R\Max</f>
        <v>0.939613149438426</v>
      </c>
      <c r="CB94" s="1184">
        <f>'2023'!R\Max</f>
        <v>0.93961180074785433</v>
      </c>
      <c r="CC94" s="1184">
        <f>'2024'!R\Max</f>
        <v>0.93961032726462468</v>
      </c>
      <c r="CD94" s="1184">
        <f>'2025'!R\Max</f>
        <v>0.93960452943099637</v>
      </c>
      <c r="CE94" s="1184">
        <f>'2026'!R\Max</f>
        <v>0.93961411783546989</v>
      </c>
      <c r="CF94" s="1185">
        <f>'2027'!R\Max</f>
        <v>0.93961407849416145</v>
      </c>
    </row>
    <row r="95" spans="1:84" s="6" customFormat="1" ht="11.25" x14ac:dyDescent="0.2">
      <c r="A95" s="11">
        <v>43181</v>
      </c>
      <c r="B95" s="380">
        <f>'2022'!Maxi_hp</f>
        <v>50.23936086110939</v>
      </c>
      <c r="C95" s="13">
        <f>'2022'!An_max</f>
        <v>2019</v>
      </c>
      <c r="D95" s="1062">
        <f t="shared" si="59"/>
        <v>0.972511671398544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3">
        <f t="shared" si="62"/>
        <v>0.21428571428571427</v>
      </c>
      <c r="J95" s="746">
        <f t="shared" si="63"/>
        <v>51.659391181250768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5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3">
        <f t="shared" si="67"/>
        <v>0.39285714285714285</v>
      </c>
      <c r="AT95" s="769">
        <f t="shared" si="68"/>
        <v>51.820692910922148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3">
        <f t="shared" si="72"/>
        <v>0.8928571428571429</v>
      </c>
      <c r="AY95" s="769">
        <f t="shared" si="73"/>
        <v>51.590143003367949</v>
      </c>
      <c r="AZ95" s="746">
        <f t="shared" si="77"/>
        <v>51.705417957145045</v>
      </c>
      <c r="BA95" s="643">
        <f t="shared" si="74"/>
        <v>0.972511671398544</v>
      </c>
      <c r="BC95" s="11">
        <v>43181</v>
      </c>
      <c r="BD95" s="290">
        <f>[3]!FeuilCaduc*(1-Persistant)+Persistant</f>
        <v>0.60750405170952115</v>
      </c>
      <c r="BE95" s="291">
        <f>[3]!CroissVégét</f>
        <v>3.4666216621534622E-2</v>
      </c>
      <c r="BF95" s="816">
        <f>1+[3]!Salcycl*Ksac</f>
        <v>1.0009380064636901</v>
      </c>
      <c r="BH95" s="1053">
        <f t="shared" si="75"/>
        <v>4.0607477971071221E-6</v>
      </c>
      <c r="BI95" s="11">
        <v>44277</v>
      </c>
      <c r="BJ95" s="726">
        <v>1.6945624203001024E-6</v>
      </c>
      <c r="BK95" s="726">
        <v>1.7070224641846702E-6</v>
      </c>
      <c r="BL95" s="726">
        <v>1.7203717588373697E-6</v>
      </c>
      <c r="BM95" s="726">
        <v>4.0668737846324488E-6</v>
      </c>
      <c r="BN95" s="726">
        <v>2.0838554578192277E-5</v>
      </c>
      <c r="BO95" s="727">
        <v>1.8050021777103392E-4</v>
      </c>
      <c r="BP95" s="726">
        <v>7.2233035621217963E-4</v>
      </c>
      <c r="BQ95" s="726">
        <v>3.124060103891586E-3</v>
      </c>
      <c r="BR95" s="726">
        <v>7.6327899583428548E-3</v>
      </c>
      <c r="BS95" s="726">
        <v>1.5560943256457979E-2</v>
      </c>
      <c r="BT95" s="726">
        <v>2.5418696359691961E-2</v>
      </c>
      <c r="BW95" s="1186">
        <f>'2018'!R\Max</f>
        <v>0</v>
      </c>
      <c r="BX95" s="1184">
        <f>'2019'!R\Max</f>
        <v>0.972511671398544</v>
      </c>
      <c r="BY95" s="1184">
        <f>'2020'!R\Max</f>
        <v>0.97147791109915516</v>
      </c>
      <c r="BZ95" s="1184">
        <f>'2021'!R\Max</f>
        <v>0.7956253600662373</v>
      </c>
      <c r="CA95" s="1184">
        <f>'2022'!R\Max</f>
        <v>0.87799929962624923</v>
      </c>
      <c r="CB95" s="1184">
        <f>'2023'!R\Max</f>
        <v>0.87799710575306023</v>
      </c>
      <c r="CC95" s="1184">
        <f>'2024'!R\Max</f>
        <v>0.87799469008523134</v>
      </c>
      <c r="CD95" s="1184">
        <f>'2025'!R\Max</f>
        <v>0.87798496458938202</v>
      </c>
      <c r="CE95" s="1184">
        <f>'2026'!R\Max</f>
        <v>0.87800072644026228</v>
      </c>
      <c r="CF95" s="1185">
        <f>'2027'!R\Max</f>
        <v>0.87800065853345965</v>
      </c>
    </row>
    <row r="96" spans="1:84" s="6" customFormat="1" ht="11.25" x14ac:dyDescent="0.2">
      <c r="A96" s="11">
        <v>43182</v>
      </c>
      <c r="B96" s="380">
        <f>'2022'!Maxi_hp</f>
        <v>52.047706946675824</v>
      </c>
      <c r="C96" s="13">
        <f>'2022'!An_max</f>
        <v>2022</v>
      </c>
      <c r="D96" s="1062">
        <f t="shared" si="59"/>
        <v>1.0004455446389742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3">
        <f t="shared" si="62"/>
        <v>0.2857142857142857</v>
      </c>
      <c r="J96" s="746">
        <f t="shared" si="63"/>
        <v>52.02452769726515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5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3">
        <f t="shared" si="67"/>
        <v>0.35714285714285715</v>
      </c>
      <c r="AT96" s="769">
        <f t="shared" si="68"/>
        <v>52.1843174190751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3">
        <f t="shared" si="72"/>
        <v>0.8571428571428571</v>
      </c>
      <c r="AY96" s="769">
        <f t="shared" si="73"/>
        <v>51.931194752454758</v>
      </c>
      <c r="AZ96" s="746">
        <f t="shared" si="77"/>
        <v>52.057756085764929</v>
      </c>
      <c r="BA96" s="643">
        <f t="shared" si="74"/>
        <v>1.0004455446389742</v>
      </c>
      <c r="BC96" s="11">
        <v>43182</v>
      </c>
      <c r="BD96" s="290">
        <f>[3]!FeuilCaduc*(1-Persistant)+Persistant</f>
        <v>0.60802817009061338</v>
      </c>
      <c r="BE96" s="291">
        <f>[3]!CroissVégét</f>
        <v>3.6122296026123907E-2</v>
      </c>
      <c r="BF96" s="816">
        <f>1+[3]!Salcycl*Ksac</f>
        <v>1.0010035212613266</v>
      </c>
      <c r="BH96" s="1053">
        <f t="shared" si="75"/>
        <v>3.9407221146989747E-6</v>
      </c>
      <c r="BI96" s="11">
        <v>44278</v>
      </c>
      <c r="BJ96" s="726">
        <v>1.7064742691412928E-6</v>
      </c>
      <c r="BK96" s="726">
        <v>1.7313931766420043E-6</v>
      </c>
      <c r="BL96" s="726">
        <v>1.7580905014453605E-6</v>
      </c>
      <c r="BM96" s="726">
        <v>3.9464352026030286E-6</v>
      </c>
      <c r="BN96" s="726">
        <v>1.9273272302340076E-5</v>
      </c>
      <c r="BO96" s="727">
        <v>1.4019192502361417E-4</v>
      </c>
      <c r="BP96" s="726">
        <v>6.0799675244183125E-4</v>
      </c>
      <c r="BQ96" s="726">
        <v>2.7422160512367813E-3</v>
      </c>
      <c r="BR96" s="726">
        <v>6.9461958858432187E-3</v>
      </c>
      <c r="BS96" s="726">
        <v>1.4594650295814856E-2</v>
      </c>
      <c r="BT96" s="726">
        <v>2.4357073182458177E-2</v>
      </c>
      <c r="BW96" s="1186">
        <f>'2018'!R\Max</f>
        <v>0</v>
      </c>
      <c r="BX96" s="1184">
        <f>'2019'!R\Max</f>
        <v>0.90913001424998974</v>
      </c>
      <c r="BY96" s="1184">
        <f>'2020'!R\Max</f>
        <v>0.84223294312109465</v>
      </c>
      <c r="BZ96" s="1184">
        <f>'2021'!R\Max</f>
        <v>0.99072843904429142</v>
      </c>
      <c r="CA96" s="1184">
        <f>'2022'!R\Max</f>
        <v>1.0004455446389742</v>
      </c>
      <c r="CB96" s="1184">
        <f>'2023'!R\Max</f>
        <v>1.0004455446389744</v>
      </c>
      <c r="CC96" s="1184">
        <f>'2024'!R\Max</f>
        <v>1.0004455446389742</v>
      </c>
      <c r="CD96" s="1184">
        <f>'2025'!R\Max</f>
        <v>1.0004455446389739</v>
      </c>
      <c r="CE96" s="1184">
        <f>'2026'!R\Max</f>
        <v>1.0004455446389744</v>
      </c>
      <c r="CF96" s="1185">
        <f>'2027'!R\Max</f>
        <v>1.0004455446389742</v>
      </c>
    </row>
    <row r="97" spans="1:84" s="6" customFormat="1" ht="11.25" x14ac:dyDescent="0.2">
      <c r="A97" s="11">
        <v>43183</v>
      </c>
      <c r="B97" s="380">
        <f>'2022'!Maxi_hp</f>
        <v>51.495753799818651</v>
      </c>
      <c r="C97" s="13">
        <f>'2022'!An_max</f>
        <v>2019</v>
      </c>
      <c r="D97" s="1062">
        <f t="shared" si="59"/>
        <v>0.98294264692534905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3">
        <f t="shared" si="62"/>
        <v>0.35714285714285715</v>
      </c>
      <c r="J97" s="746">
        <f t="shared" si="63"/>
        <v>52.389377916298272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5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3">
        <f t="shared" si="67"/>
        <v>0.32142857142857145</v>
      </c>
      <c r="AT97" s="769">
        <f t="shared" si="68"/>
        <v>52.543414849764261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3">
        <f t="shared" si="72"/>
        <v>0.8214285714285714</v>
      </c>
      <c r="AY97" s="769">
        <f t="shared" si="73"/>
        <v>52.2725327987756</v>
      </c>
      <c r="AZ97" s="746">
        <f t="shared" si="77"/>
        <v>52.407973824269931</v>
      </c>
      <c r="BA97" s="643">
        <f t="shared" si="74"/>
        <v>0.98294264692534905</v>
      </c>
      <c r="BC97" s="11">
        <v>43183</v>
      </c>
      <c r="BD97" s="290">
        <f>[3]!FeuilCaduc*(1-Persistant)+Persistant</f>
        <v>0.6086017715236085</v>
      </c>
      <c r="BE97" s="291">
        <f>[3]!CroissVégét</f>
        <v>3.7634796931243539E-2</v>
      </c>
      <c r="BF97" s="816">
        <f>1+[3]!Salcycl*Ksac</f>
        <v>1.001075221440451</v>
      </c>
      <c r="BH97" s="1053">
        <f t="shared" si="75"/>
        <v>3.8299493659845545E-6</v>
      </c>
      <c r="BI97" s="11">
        <v>44279</v>
      </c>
      <c r="BJ97" s="726">
        <v>1.7168453011597309E-6</v>
      </c>
      <c r="BK97" s="726">
        <v>1.7583748176778756E-6</v>
      </c>
      <c r="BL97" s="726">
        <v>1.8028682205840655E-6</v>
      </c>
      <c r="BM97" s="726">
        <v>3.8352552970001223E-6</v>
      </c>
      <c r="BN97" s="726">
        <v>1.7729053811023985E-5</v>
      </c>
      <c r="BO97" s="727">
        <v>1.0776858013849646E-4</v>
      </c>
      <c r="BP97" s="726">
        <v>5.1056842280455947E-4</v>
      </c>
      <c r="BQ97" s="726">
        <v>2.3939887456681085E-3</v>
      </c>
      <c r="BR97" s="726">
        <v>6.2856157631566659E-3</v>
      </c>
      <c r="BS97" s="726">
        <v>1.3614423314069908E-2</v>
      </c>
      <c r="BT97" s="726">
        <v>2.3202676121875664E-2</v>
      </c>
      <c r="BW97" s="1186">
        <f>'2018'!R\Max</f>
        <v>0</v>
      </c>
      <c r="BX97" s="1184">
        <f>'2019'!R\Max</f>
        <v>0.98294264692534905</v>
      </c>
      <c r="BY97" s="1184">
        <f>'2020'!R\Max</f>
        <v>0.67715164216323331</v>
      </c>
      <c r="BZ97" s="1184">
        <f>'2021'!R\Max</f>
        <v>0.96499045972890629</v>
      </c>
      <c r="CA97" s="1184">
        <f>'2022'!R\Max</f>
        <v>0.97229867722025543</v>
      </c>
      <c r="CB97" s="1184">
        <f>'2023'!R\Max</f>
        <v>0.972298272113299</v>
      </c>
      <c r="CC97" s="1184">
        <f>'2024'!R\Max</f>
        <v>0.97229781873115073</v>
      </c>
      <c r="CD97" s="1184">
        <f>'2025'!R\Max</f>
        <v>0.9722959243715783</v>
      </c>
      <c r="CE97" s="1184">
        <f>'2026'!R\Max</f>
        <v>0.97229888567702727</v>
      </c>
      <c r="CF97" s="1185">
        <f>'2027'!R\Max</f>
        <v>0.97229887170393114</v>
      </c>
    </row>
    <row r="98" spans="1:84" s="6" customFormat="1" ht="11.25" x14ac:dyDescent="0.2">
      <c r="A98" s="11">
        <v>43184</v>
      </c>
      <c r="B98" s="380">
        <f>'2022'!Maxi_hp</f>
        <v>48.049790210842104</v>
      </c>
      <c r="C98" s="13">
        <f>'2022'!An_max</f>
        <v>2020</v>
      </c>
      <c r="D98" s="1062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3">
        <f t="shared" si="62"/>
        <v>0.42857142857142855</v>
      </c>
      <c r="J98" s="746">
        <f t="shared" si="63"/>
        <v>52.752868222445251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5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3">
        <f t="shared" si="67"/>
        <v>0.2857142857142857</v>
      </c>
      <c r="AT98" s="769">
        <f t="shared" si="68"/>
        <v>52.897448395887785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3">
        <f t="shared" si="72"/>
        <v>0.7857142857142857</v>
      </c>
      <c r="AY98" s="769">
        <f t="shared" si="73"/>
        <v>52.613727696692308</v>
      </c>
      <c r="AZ98" s="746">
        <f t="shared" si="77"/>
        <v>52.755588046290043</v>
      </c>
      <c r="BA98" s="643">
        <f t="shared" si="74"/>
        <v>0.91084697059937147</v>
      </c>
      <c r="BC98" s="11">
        <v>43184</v>
      </c>
      <c r="BD98" s="290">
        <f>[3]!FeuilCaduc*(1-Persistant)+Persistant</f>
        <v>0.60922793633269923</v>
      </c>
      <c r="BE98" s="291">
        <f>[3]!CroissVégét</f>
        <v>3.9205710601738018E-2</v>
      </c>
      <c r="BF98" s="816">
        <f>1+[3]!Salcycl*Ksac</f>
        <v>1.0011534920415874</v>
      </c>
      <c r="BH98" s="1053">
        <f t="shared" si="75"/>
        <v>3.7284272541107188E-6</v>
      </c>
      <c r="BI98" s="11">
        <v>44280</v>
      </c>
      <c r="BJ98" s="726">
        <v>1.7256751634794188E-6</v>
      </c>
      <c r="BK98" s="726">
        <v>1.7879663810205444E-6</v>
      </c>
      <c r="BL98" s="726">
        <v>1.8547032099543346E-6</v>
      </c>
      <c r="BM98" s="726">
        <v>3.7333317694248017E-6</v>
      </c>
      <c r="BN98" s="726">
        <v>1.6205894112829434E-5</v>
      </c>
      <c r="BO98" s="727">
        <v>8.3229087698054248E-5</v>
      </c>
      <c r="BP98" s="726">
        <v>4.30042996652715E-4</v>
      </c>
      <c r="BQ98" s="726">
        <v>2.0793734048200753E-3</v>
      </c>
      <c r="BR98" s="726">
        <v>5.6510454145088677E-3</v>
      </c>
      <c r="BS98" s="726">
        <v>1.262026233134598E-2</v>
      </c>
      <c r="BT98" s="726">
        <v>2.1955513937188378E-2</v>
      </c>
      <c r="BW98" s="1186">
        <f>'2018'!R\Max</f>
        <v>0</v>
      </c>
      <c r="BX98" s="1184">
        <f>'2019'!R\Max</f>
        <v>0.84944742399307016</v>
      </c>
      <c r="BY98" s="1184">
        <f>'2020'!R\Max</f>
        <v>0.91084697059937147</v>
      </c>
      <c r="BZ98" s="1184">
        <f>'2021'!R\Max</f>
        <v>0.68247905930818442</v>
      </c>
      <c r="CA98" s="1184">
        <f>'2022'!R\Max</f>
        <v>0.84589796297018405</v>
      </c>
      <c r="CB98" s="1184">
        <f>'2023'!R\Max</f>
        <v>0.84589628476460021</v>
      </c>
      <c r="CC98" s="1184">
        <f>'2024'!R\Max</f>
        <v>0.84589439234090968</v>
      </c>
      <c r="CD98" s="1184">
        <f>'2025'!R\Max</f>
        <v>0.84588641090974104</v>
      </c>
      <c r="CE98" s="1184">
        <f>'2026'!R\Max</f>
        <v>0.84589872995310678</v>
      </c>
      <c r="CF98" s="1185">
        <f>'2027'!R\Max</f>
        <v>0.84589866960014259</v>
      </c>
    </row>
    <row r="99" spans="1:84" s="6" customFormat="1" ht="11.25" x14ac:dyDescent="0.2">
      <c r="A99" s="11">
        <v>43185</v>
      </c>
      <c r="B99" s="380">
        <f>'2022'!Maxi_hp</f>
        <v>54.932815887950575</v>
      </c>
      <c r="C99" s="13">
        <f>'2022'!An_max</f>
        <v>2019</v>
      </c>
      <c r="D99" s="1062">
        <f t="shared" si="59"/>
        <v>1.0342450852064793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3">
        <f t="shared" si="62"/>
        <v>0.5</v>
      </c>
      <c r="J99" s="746">
        <f t="shared" si="63"/>
        <v>53.113925000652671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5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3">
        <f t="shared" si="67"/>
        <v>0.25</v>
      </c>
      <c r="AT99" s="769">
        <f t="shared" si="68"/>
        <v>53.24588124934526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3">
        <f t="shared" si="72"/>
        <v>0.75</v>
      </c>
      <c r="AY99" s="769">
        <f t="shared" si="73"/>
        <v>52.95434999996796</v>
      </c>
      <c r="AZ99" s="746">
        <f t="shared" si="77"/>
        <v>53.10011562465661</v>
      </c>
      <c r="BA99" s="643">
        <f t="shared" si="74"/>
        <v>1.0342450852064793</v>
      </c>
      <c r="BC99" s="11">
        <v>43185</v>
      </c>
      <c r="BD99" s="290">
        <f>[3]!FeuilCaduc*(1-Persistant)+Persistant</f>
        <v>0.60990974227623396</v>
      </c>
      <c r="BE99" s="291">
        <f>[3]!CroissVégét</f>
        <v>4.0837082604545251E-2</v>
      </c>
      <c r="BF99" s="816">
        <f>1+[3]!Salcycl*Ksac</f>
        <v>1.0012387177845292</v>
      </c>
      <c r="BH99" s="1053">
        <f t="shared" si="75"/>
        <v>3.6361535616976261E-6</v>
      </c>
      <c r="BI99" s="11">
        <v>44281</v>
      </c>
      <c r="BJ99" s="726">
        <v>1.7329635001919499E-6</v>
      </c>
      <c r="BK99" s="726">
        <v>1.8201668081117938E-6</v>
      </c>
      <c r="BL99" s="726">
        <v>1.9135936582012947E-6</v>
      </c>
      <c r="BM99" s="726">
        <v>3.6406624014344441E-6</v>
      </c>
      <c r="BN99" s="726">
        <v>1.4703790053222371E-5</v>
      </c>
      <c r="BO99" s="727">
        <v>6.6572340756271994E-5</v>
      </c>
      <c r="BP99" s="726">
        <v>3.6641811439113467E-4</v>
      </c>
      <c r="BQ99" s="726">
        <v>1.7983654662859444E-3</v>
      </c>
      <c r="BR99" s="726">
        <v>5.0424813354946058E-3</v>
      </c>
      <c r="BS99" s="726">
        <v>1.1612168717465173E-2</v>
      </c>
      <c r="BT99" s="726">
        <v>2.0615597490878036E-2</v>
      </c>
      <c r="BW99" s="1186">
        <f>'2018'!R\Max</f>
        <v>0</v>
      </c>
      <c r="BX99" s="1184">
        <f>'2019'!R\Max</f>
        <v>1.0342450852064793</v>
      </c>
      <c r="BY99" s="1184">
        <f>'2020'!R\Max</f>
        <v>1.0175847347261391</v>
      </c>
      <c r="BZ99" s="1184">
        <f>'2021'!R\Max</f>
        <v>0.77866082580785578</v>
      </c>
      <c r="CA99" s="1184">
        <f>'2022'!R\Max</f>
        <v>0.94563141569768061</v>
      </c>
      <c r="CB99" s="1184">
        <f>'2023'!R\Max</f>
        <v>0.94563084669617914</v>
      </c>
      <c r="CC99" s="1184">
        <f>'2024'!R\Max</f>
        <v>0.9456302011725547</v>
      </c>
      <c r="CD99" s="1184">
        <f>'2025'!R\Max</f>
        <v>0.94562748368542671</v>
      </c>
      <c r="CE99" s="1184">
        <f>'2026'!R\Max</f>
        <v>0.94563165411215944</v>
      </c>
      <c r="CF99" s="1185">
        <f>'2027'!R\Max</f>
        <v>0.94563163311851617</v>
      </c>
    </row>
    <row r="100" spans="1:84" s="6" customFormat="1" ht="11.25" x14ac:dyDescent="0.2">
      <c r="A100" s="11">
        <v>43186</v>
      </c>
      <c r="B100" s="380">
        <f>'2022'!Maxi_hp</f>
        <v>54.175577399192605</v>
      </c>
      <c r="C100" s="13">
        <f>'2022'!An_max</f>
        <v>2019</v>
      </c>
      <c r="D100" s="1062">
        <f t="shared" si="59"/>
        <v>1.0131678201809107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3">
        <f t="shared" si="62"/>
        <v>0.5714285714285714</v>
      </c>
      <c r="J100" s="746">
        <f t="shared" si="63"/>
        <v>53.471474636372719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5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3">
        <f t="shared" si="67"/>
        <v>0.21428571428571427</v>
      </c>
      <c r="AT100" s="769">
        <f t="shared" si="68"/>
        <v>53.588176603123841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3">
        <f t="shared" si="72"/>
        <v>0.7142857142857143</v>
      </c>
      <c r="AY100" s="769">
        <f t="shared" si="73"/>
        <v>53.293970262418895</v>
      </c>
      <c r="AZ100" s="746">
        <f t="shared" si="77"/>
        <v>53.441073432771368</v>
      </c>
      <c r="BA100" s="643">
        <f t="shared" si="74"/>
        <v>1.0131678201809107</v>
      </c>
      <c r="BC100" s="11">
        <v>43186</v>
      </c>
      <c r="BD100" s="290">
        <f>[3]!FeuilCaduc*(1-Persistant)+Persistant</f>
        <v>0.61065025587443977</v>
      </c>
      <c r="BE100" s="291">
        <f>[3]!CroissVégét</f>
        <v>4.2531012940474407E-2</v>
      </c>
      <c r="BF100" s="816">
        <f>1+[3]!Salcycl*Ksac</f>
        <v>1.001331281984305</v>
      </c>
      <c r="BH100" s="1053">
        <f t="shared" si="75"/>
        <v>3.8995820333186109E-6</v>
      </c>
      <c r="BI100" s="11">
        <v>44282</v>
      </c>
      <c r="BJ100" s="726">
        <v>1.7838589452193703E-6</v>
      </c>
      <c r="BK100" s="726">
        <v>2.0335050255492805E-6</v>
      </c>
      <c r="BL100" s="726">
        <v>2.2560064984632734E-6</v>
      </c>
      <c r="BM100" s="726">
        <v>3.9038841296735626E-6</v>
      </c>
      <c r="BN100" s="726">
        <v>1.368104429730332E-5</v>
      </c>
      <c r="BO100" s="727">
        <v>5.8559772887954333E-5</v>
      </c>
      <c r="BP100" s="726">
        <v>3.2192009332147696E-4</v>
      </c>
      <c r="BQ100" s="726">
        <v>1.5578740961287472E-3</v>
      </c>
      <c r="BR100" s="726">
        <v>4.4785696892150123E-3</v>
      </c>
      <c r="BS100" s="726">
        <v>1.0624432769601006E-2</v>
      </c>
      <c r="BT100" s="726">
        <v>1.9234681531476439E-2</v>
      </c>
      <c r="BW100" s="1186">
        <f>'2018'!R\Max</f>
        <v>0</v>
      </c>
      <c r="BX100" s="1184">
        <f>'2019'!R\Max</f>
        <v>1.0131678201809107</v>
      </c>
      <c r="BY100" s="1184">
        <f>'2020'!R\Max</f>
        <v>0.53524030740524231</v>
      </c>
      <c r="BZ100" s="1184">
        <f>'2021'!R\Max</f>
        <v>0.87562245103390401</v>
      </c>
      <c r="CA100" s="1184">
        <f>'2022'!R\Max</f>
        <v>0.91502186782916228</v>
      </c>
      <c r="CB100" s="1184">
        <f>'2023'!R\Max</f>
        <v>0.91502111612469528</v>
      </c>
      <c r="CC100" s="1184">
        <f>'2024'!R\Max</f>
        <v>0.91502026083828691</v>
      </c>
      <c r="CD100" s="1184">
        <f>'2025'!R\Max</f>
        <v>0.91501673291060592</v>
      </c>
      <c r="CE100" s="1184">
        <f>'2026'!R\Max</f>
        <v>0.91502218032522886</v>
      </c>
      <c r="CF100" s="1185">
        <f>'2027'!R\Max</f>
        <v>0.91502215241876006</v>
      </c>
    </row>
    <row r="101" spans="1:84" s="6" customFormat="1" ht="11.25" x14ac:dyDescent="0.2">
      <c r="A101" s="11">
        <v>43187</v>
      </c>
      <c r="B101" s="380">
        <f>'2022'!Maxi_hp</f>
        <v>52.923988977147388</v>
      </c>
      <c r="C101" s="13">
        <f>'2022'!An_max</f>
        <v>2019</v>
      </c>
      <c r="D101" s="1062">
        <f t="shared" si="59"/>
        <v>0.98327052770116996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3">
        <f t="shared" si="62"/>
        <v>0.6428571428571429</v>
      </c>
      <c r="J101" s="746">
        <f t="shared" si="63"/>
        <v>53.824443513913344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5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3">
        <f t="shared" si="67"/>
        <v>0.17857142857142858</v>
      </c>
      <c r="AT101" s="769">
        <f t="shared" si="68"/>
        <v>53.923797649066543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3">
        <f t="shared" si="72"/>
        <v>0.6785714285714286</v>
      </c>
      <c r="AY101" s="769">
        <f t="shared" si="73"/>
        <v>53.632159038034402</v>
      </c>
      <c r="AZ101" s="746">
        <f t="shared" si="77"/>
        <v>53.777978343550473</v>
      </c>
      <c r="BA101" s="643">
        <f t="shared" si="74"/>
        <v>0.98327052770116996</v>
      </c>
      <c r="BC101" s="11">
        <v>43187</v>
      </c>
      <c r="BD101" s="290">
        <f>[3]!FeuilCaduc*(1-Persistant)+Persistant</f>
        <v>0.6114525240608456</v>
      </c>
      <c r="BE101" s="291">
        <f>[3]!CroissVégét</f>
        <v>4.4289656039802887E-2</v>
      </c>
      <c r="BF101" s="816">
        <f>1+[3]!Salcycl*Ksac</f>
        <v>1.0014315655076058</v>
      </c>
      <c r="BH101" s="1053">
        <f t="shared" si="75"/>
        <v>4.5366508840290577E-6</v>
      </c>
      <c r="BI101" s="11">
        <v>44283</v>
      </c>
      <c r="BJ101" s="726">
        <v>1.8870075995178436E-6</v>
      </c>
      <c r="BK101" s="726">
        <v>2.4366046637209328E-6</v>
      </c>
      <c r="BL101" s="726">
        <v>2.890548577958284E-6</v>
      </c>
      <c r="BM101" s="726">
        <v>4.5409595942651518E-6</v>
      </c>
      <c r="BN101" s="726">
        <v>1.3221462123763641E-5</v>
      </c>
      <c r="BO101" s="727">
        <v>5.1808786560946152E-5</v>
      </c>
      <c r="BP101" s="726">
        <v>2.8161354790775649E-4</v>
      </c>
      <c r="BQ101" s="726">
        <v>1.3395170810359483E-3</v>
      </c>
      <c r="BR101" s="726">
        <v>3.9578016519555411E-3</v>
      </c>
      <c r="BS101" s="726">
        <v>9.6855310590476529E-3</v>
      </c>
      <c r="BT101" s="726">
        <v>1.7880100564771073E-2</v>
      </c>
      <c r="BW101" s="1186">
        <f>'2018'!R\Max</f>
        <v>0</v>
      </c>
      <c r="BX101" s="1184">
        <f>'2019'!R\Max</f>
        <v>0.98327052770116996</v>
      </c>
      <c r="BY101" s="1184">
        <f>'2020'!R\Max</f>
        <v>0.92962681514530721</v>
      </c>
      <c r="BZ101" s="1184">
        <f>'2021'!R\Max</f>
        <v>0.96105908205079571</v>
      </c>
      <c r="CA101" s="1184">
        <f>'2022'!R\Max</f>
        <v>0.7117853135075648</v>
      </c>
      <c r="CB101" s="1184">
        <f>'2023'!R\Max</f>
        <v>0.71178359205954056</v>
      </c>
      <c r="CC101" s="1184">
        <f>'2024'!R\Max</f>
        <v>0.71178162825368751</v>
      </c>
      <c r="CD101" s="1184">
        <f>'2025'!R\Max</f>
        <v>0.71177370337190593</v>
      </c>
      <c r="CE101" s="1184">
        <f>'2026'!R\Max</f>
        <v>0.71178602460011753</v>
      </c>
      <c r="CF101" s="1185">
        <f>'2027'!R\Max</f>
        <v>0.71178595957560953</v>
      </c>
    </row>
    <row r="102" spans="1:84" s="6" customFormat="1" ht="11.25" x14ac:dyDescent="0.2">
      <c r="A102" s="11">
        <v>43188</v>
      </c>
      <c r="B102" s="380">
        <f>'2022'!Maxi_hp</f>
        <v>54.418783965233558</v>
      </c>
      <c r="C102" s="13">
        <f>'2022'!An_max</f>
        <v>2021</v>
      </c>
      <c r="D102" s="1062">
        <f t="shared" si="59"/>
        <v>1.0045600504075045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3">
        <f t="shared" si="62"/>
        <v>0.7142857142857143</v>
      </c>
      <c r="J102" s="746">
        <f t="shared" si="63"/>
        <v>54.171758018008305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5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3">
        <f t="shared" si="67"/>
        <v>0.14285714285714285</v>
      </c>
      <c r="AT102" s="769">
        <f t="shared" si="68"/>
        <v>54.25220757891325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3">
        <f t="shared" si="72"/>
        <v>0.6428571428571429</v>
      </c>
      <c r="AY102" s="769">
        <f t="shared" si="73"/>
        <v>53.968486880537661</v>
      </c>
      <c r="AZ102" s="746">
        <f t="shared" si="77"/>
        <v>54.110347229725456</v>
      </c>
      <c r="BA102" s="643">
        <f t="shared" si="74"/>
        <v>1.0045600504075045</v>
      </c>
      <c r="BC102" s="11">
        <v>43188</v>
      </c>
      <c r="BD102" s="290">
        <f>[3]!FeuilCaduc*(1-Persistant)+Persistant</f>
        <v>0.61231956617540229</v>
      </c>
      <c r="BE102" s="291">
        <f>[3]!CroissVégét</f>
        <v>4.6115220608575654E-2</v>
      </c>
      <c r="BF102" s="816">
        <f>1+[3]!Salcycl*Ksac</f>
        <v>1.0015399457719254</v>
      </c>
      <c r="BH102" s="1053">
        <f t="shared" si="75"/>
        <v>5.54729395648196E-6</v>
      </c>
      <c r="BI102" s="11">
        <v>44284</v>
      </c>
      <c r="BJ102" s="726">
        <v>2.0423997207430079E-6</v>
      </c>
      <c r="BK102" s="726">
        <v>3.029431581962472E-6</v>
      </c>
      <c r="BL102" s="726">
        <v>3.8171675272874458E-6</v>
      </c>
      <c r="BM102" s="726">
        <v>5.5518226017719368E-6</v>
      </c>
      <c r="BN102" s="726">
        <v>1.3324950667797769E-5</v>
      </c>
      <c r="BO102" s="727">
        <v>4.6319202480449808E-5</v>
      </c>
      <c r="BP102" s="726">
        <v>2.4549795936359357E-4</v>
      </c>
      <c r="BQ102" s="726">
        <v>1.1432917633176303E-3</v>
      </c>
      <c r="BR102" s="726">
        <v>3.4801722073885179E-3</v>
      </c>
      <c r="BS102" s="726">
        <v>8.7954584266492653E-3</v>
      </c>
      <c r="BT102" s="726">
        <v>1.6551853061424131E-2</v>
      </c>
      <c r="BW102" s="1186">
        <f>'2018'!R\Max</f>
        <v>0</v>
      </c>
      <c r="BX102" s="1184">
        <f>'2019'!R\Max</f>
        <v>1.0035988550938348</v>
      </c>
      <c r="BY102" s="1184">
        <f>'2020'!R\Max</f>
        <v>0.94111145586112877</v>
      </c>
      <c r="BZ102" s="1184">
        <f>'2021'!R\Max</f>
        <v>1.0045600504075045</v>
      </c>
      <c r="CA102" s="1184">
        <f>'2022'!R\Max</f>
        <v>0.55706326540625684</v>
      </c>
      <c r="CB102" s="1184">
        <f>'2023'!R\Max</f>
        <v>0.55706147982248666</v>
      </c>
      <c r="CC102" s="1184">
        <f>'2024'!R\Max</f>
        <v>0.55705943812251324</v>
      </c>
      <c r="CD102" s="1184">
        <f>'2025'!R\Max</f>
        <v>0.55705138952679589</v>
      </c>
      <c r="CE102" s="1184">
        <f>'2026'!R\Max</f>
        <v>0.55706400030873138</v>
      </c>
      <c r="CF102" s="1185">
        <f>'2027'!R\Max</f>
        <v>0.55706393062496851</v>
      </c>
    </row>
    <row r="103" spans="1:84" s="6" customFormat="1" ht="11.25" x14ac:dyDescent="0.2">
      <c r="A103" s="11">
        <v>43189</v>
      </c>
      <c r="B103" s="380">
        <f>'2022'!Maxi_hp</f>
        <v>55.483183570295765</v>
      </c>
      <c r="C103" s="13">
        <f>'2022'!An_max</f>
        <v>2019</v>
      </c>
      <c r="D103" s="1062">
        <f t="shared" si="59"/>
        <v>1.0178095263278013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3">
        <f t="shared" si="62"/>
        <v>0.7857142857142857</v>
      </c>
      <c r="J103" s="746">
        <f t="shared" si="63"/>
        <v>54.512344535107594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5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3">
        <f t="shared" si="67"/>
        <v>0.10714285714285714</v>
      </c>
      <c r="AT103" s="769">
        <f t="shared" si="68"/>
        <v>54.572869586964124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3">
        <f t="shared" si="72"/>
        <v>0.6071428571428571</v>
      </c>
      <c r="AY103" s="769">
        <f t="shared" si="73"/>
        <v>54.302524344290475</v>
      </c>
      <c r="AZ103" s="746">
        <f t="shared" si="77"/>
        <v>54.437696965627296</v>
      </c>
      <c r="BA103" s="643">
        <f t="shared" si="74"/>
        <v>1.0178095263278013</v>
      </c>
      <c r="BC103" s="11">
        <v>43189</v>
      </c>
      <c r="BD103" s="290">
        <f>[3]!FeuilCaduc*(1-Persistant)+Persistant</f>
        <v>0.61325436630966779</v>
      </c>
      <c r="BE103" s="291">
        <f>[3]!CroissVégét</f>
        <v>4.8009969311812332E-2</v>
      </c>
      <c r="BF103" s="816">
        <f>1+[3]!Salcycl*Ksac</f>
        <v>1.0016567957887086</v>
      </c>
      <c r="BH103" s="1053">
        <f t="shared" si="75"/>
        <v>6.9314388857919044E-6</v>
      </c>
      <c r="BI103" s="11">
        <v>44285</v>
      </c>
      <c r="BJ103" s="726">
        <v>2.2500246802738655E-6</v>
      </c>
      <c r="BK103" s="726">
        <v>3.811948384881769E-6</v>
      </c>
      <c r="BL103" s="726">
        <v>5.0358059486780805E-6</v>
      </c>
      <c r="BM103" s="726">
        <v>6.9364007481317458E-6</v>
      </c>
      <c r="BN103" s="726">
        <v>1.3991409529674783E-5</v>
      </c>
      <c r="BO103" s="727">
        <v>4.2090831811886757E-5</v>
      </c>
      <c r="BP103" s="726">
        <v>2.135728001372422E-4</v>
      </c>
      <c r="BQ103" s="726">
        <v>9.6919544607577826E-4</v>
      </c>
      <c r="BR103" s="726">
        <v>3.0456763847338583E-3</v>
      </c>
      <c r="BS103" s="726">
        <v>7.9542102127103959E-3</v>
      </c>
      <c r="BT103" s="726">
        <v>1.5249938848705255E-2</v>
      </c>
      <c r="BW103" s="1186">
        <f>'2018'!R\Max</f>
        <v>0</v>
      </c>
      <c r="BX103" s="1184">
        <f>'2019'!R\Max</f>
        <v>1.0178095263278013</v>
      </c>
      <c r="BY103" s="1184">
        <f>'2020'!R\Max</f>
        <v>0.57451722215108225</v>
      </c>
      <c r="BZ103" s="1184">
        <f>'2021'!R\Max</f>
        <v>0.93296777481809634</v>
      </c>
      <c r="CA103" s="1184">
        <f>'2022'!R\Max</f>
        <v>0.15569506528539431</v>
      </c>
      <c r="CB103" s="1184">
        <f>'2023'!R\Max</f>
        <v>0.15569438947883898</v>
      </c>
      <c r="CC103" s="1184">
        <f>'2024'!R\Max</f>
        <v>0.15569361517142907</v>
      </c>
      <c r="CD103" s="1184">
        <f>'2025'!R\Max</f>
        <v>0.15569063727968652</v>
      </c>
      <c r="CE103" s="1184">
        <f>'2026'!R\Max</f>
        <v>0.1556953436836791</v>
      </c>
      <c r="CF103" s="1185">
        <f>'2027'!R\Max</f>
        <v>0.1556953158800492</v>
      </c>
    </row>
    <row r="104" spans="1:84" s="6" customFormat="1" ht="11.25" x14ac:dyDescent="0.2">
      <c r="A104" s="11">
        <v>43190</v>
      </c>
      <c r="B104" s="380">
        <f>'2022'!Maxi_hp</f>
        <v>49.250450204262727</v>
      </c>
      <c r="C104" s="13">
        <f>'2022'!An_max</f>
        <v>2021</v>
      </c>
      <c r="D104" s="1062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3">
        <f t="shared" si="62"/>
        <v>0.8571428571428571</v>
      </c>
      <c r="J104" s="746">
        <f t="shared" si="63"/>
        <v>54.845129448494745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5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3">
        <f t="shared" si="67"/>
        <v>7.1428571428571425E-2</v>
      </c>
      <c r="AT104" s="769">
        <f t="shared" si="68"/>
        <v>54.885246865072986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3">
        <f t="shared" si="72"/>
        <v>0.5714285714285714</v>
      </c>
      <c r="AY104" s="769">
        <f t="shared" si="73"/>
        <v>54.633841982483865</v>
      </c>
      <c r="AZ104" s="746">
        <f t="shared" si="77"/>
        <v>54.759544423778422</v>
      </c>
      <c r="BA104" s="643">
        <f t="shared" si="74"/>
        <v>0.8979913202778379</v>
      </c>
      <c r="BC104" s="11">
        <v>43190</v>
      </c>
      <c r="BD104" s="290">
        <f>[3]!FeuilCaduc*(1-Persistant)+Persistant</f>
        <v>0.6142598660069285</v>
      </c>
      <c r="BE104" s="291">
        <f>[3]!CroissVégét</f>
        <v>4.9976218279140845E-2</v>
      </c>
      <c r="BF104" s="816">
        <f>1+[3]!Salcycl*Ksac</f>
        <v>1.0017824832508662</v>
      </c>
      <c r="BH104" s="1053">
        <f t="shared" si="75"/>
        <v>8.6890059020998666E-6</v>
      </c>
      <c r="BI104" s="11">
        <v>44286</v>
      </c>
      <c r="BJ104" s="726">
        <v>2.5098707957407201E-6</v>
      </c>
      <c r="BK104" s="726">
        <v>4.7841138141879473E-6</v>
      </c>
      <c r="BL104" s="726">
        <v>6.5464004797321052E-6</v>
      </c>
      <c r="BM104" s="726">
        <v>8.6946142205386529E-6</v>
      </c>
      <c r="BN104" s="726">
        <v>1.5220728970359282E-5</v>
      </c>
      <c r="BO104" s="727">
        <v>3.9123472140562139E-5</v>
      </c>
      <c r="BP104" s="726">
        <v>1.8583752049331078E-4</v>
      </c>
      <c r="BQ104" s="726">
        <v>8.1722532234769583E-4</v>
      </c>
      <c r="BR104" s="726">
        <v>2.6543091206714248E-3</v>
      </c>
      <c r="BS104" s="726">
        <v>7.1617821007807546E-3</v>
      </c>
      <c r="BT104" s="726">
        <v>1.3974359026457739E-2</v>
      </c>
      <c r="BW104" s="1186">
        <f>'2018'!R\Max</f>
        <v>0</v>
      </c>
      <c r="BX104" s="1184">
        <f>'2019'!R\Max</f>
        <v>0.8636647967149037</v>
      </c>
      <c r="BY104" s="1184">
        <f>'2020'!R\Max</f>
        <v>0.3381805949830497</v>
      </c>
      <c r="BZ104" s="1184">
        <f>'2021'!R\Max</f>
        <v>0.8979913202778379</v>
      </c>
      <c r="CA104" s="1184">
        <f>'2022'!R\Max</f>
        <v>0.5639968563850537</v>
      </c>
      <c r="CB104" s="1184">
        <f>'2023'!R\Max</f>
        <v>0.56399555759929554</v>
      </c>
      <c r="CC104" s="1184">
        <f>'2024'!R\Max</f>
        <v>0.56399406678911745</v>
      </c>
      <c r="CD104" s="1184">
        <f>'2025'!R\Max</f>
        <v>0.56399745335215168</v>
      </c>
      <c r="CE104" s="1184">
        <f>'2026'!R\Max</f>
        <v>0.56399739578224362</v>
      </c>
      <c r="CF104" s="1185">
        <f>'2027'!R\Max</f>
        <v>0.56399733800997243</v>
      </c>
    </row>
    <row r="105" spans="1:84" s="6" customFormat="1" ht="11.25" x14ac:dyDescent="0.2">
      <c r="A105" s="11">
        <v>43191</v>
      </c>
      <c r="B105" s="380">
        <f>'2022'!Maxi_hp</f>
        <v>50.405835504746996</v>
      </c>
      <c r="C105" s="13">
        <f>'2022'!An_max</f>
        <v>2021</v>
      </c>
      <c r="D105" s="1062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3">
        <f t="shared" si="62"/>
        <v>0.9285714285714286</v>
      </c>
      <c r="J105" s="746">
        <f t="shared" si="63"/>
        <v>55.169039141692757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5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3">
        <f t="shared" si="67"/>
        <v>3.5714285714285712E-2</v>
      </c>
      <c r="AT105" s="769">
        <f t="shared" si="68"/>
        <v>55.18880260498387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3">
        <f t="shared" si="72"/>
        <v>0.5357142857142857</v>
      </c>
      <c r="AY105" s="769">
        <f t="shared" si="73"/>
        <v>54.962010349812246</v>
      </c>
      <c r="AZ105" s="746">
        <f t="shared" si="77"/>
        <v>55.075406477398062</v>
      </c>
      <c r="BA105" s="643">
        <f t="shared" si="74"/>
        <v>0.91366165314729808</v>
      </c>
      <c r="BC105" s="11">
        <v>43191</v>
      </c>
      <c r="BD105" s="290">
        <f>[3]!FeuilCaduc*(1-Persistant)+Persistant</f>
        <v>0.61533895731289323</v>
      </c>
      <c r="BE105" s="291">
        <f>[3]!CroissVégét</f>
        <v>5.201633641771132E-2</v>
      </c>
      <c r="BF105" s="816">
        <f>1+[3]!Salcycl*Ksac</f>
        <v>1.0019173696641117</v>
      </c>
      <c r="BH105" s="1053">
        <f t="shared" si="75"/>
        <v>1.0819906633120425E-5</v>
      </c>
      <c r="BI105" s="11">
        <v>44287</v>
      </c>
      <c r="BJ105" s="726">
        <v>2.8219251635479807E-6</v>
      </c>
      <c r="BK105" s="726">
        <v>5.9458821405108203E-6</v>
      </c>
      <c r="BL105" s="726">
        <v>8.3488808571613108E-6</v>
      </c>
      <c r="BM105" s="726">
        <v>1.0826374599306524E-5</v>
      </c>
      <c r="BN105" s="726">
        <v>1.7012788107099975E-5</v>
      </c>
      <c r="BO105" s="727">
        <v>3.7416903431241162E-5</v>
      </c>
      <c r="BP105" s="726">
        <v>1.6229153509405826E-4</v>
      </c>
      <c r="BQ105" s="726">
        <v>6.8737840424751891E-4</v>
      </c>
      <c r="BR105" s="726">
        <v>2.3060651212473918E-3</v>
      </c>
      <c r="BS105" s="726">
        <v>6.4181699614241847E-3</v>
      </c>
      <c r="BT105" s="726">
        <v>1.2725115883034335E-2</v>
      </c>
      <c r="BW105" s="1186">
        <f>'2018'!R\Max</f>
        <v>0</v>
      </c>
      <c r="BX105" s="1184">
        <f>'2019'!R\Max</f>
        <v>0.73715034037342542</v>
      </c>
      <c r="BY105" s="1184">
        <f>'2020'!R\Max</f>
        <v>0.8213741418812629</v>
      </c>
      <c r="BZ105" s="1184">
        <f>'2021'!R\Max</f>
        <v>0.91366165314729808</v>
      </c>
      <c r="CA105" s="1184">
        <f>'2022'!R\Max</f>
        <v>0.61364407781217178</v>
      </c>
      <c r="CB105" s="1184">
        <f>'2023'!R\Max</f>
        <v>0.61364301640328234</v>
      </c>
      <c r="CC105" s="1184">
        <f>'2024'!R\Max</f>
        <v>0.61364179581039369</v>
      </c>
      <c r="CD105" s="1184">
        <f>'2025'!R\Max</f>
        <v>0.61364457957426854</v>
      </c>
      <c r="CE105" s="1184">
        <f>'2026'!R\Max</f>
        <v>0.61364452709144524</v>
      </c>
      <c r="CF105" s="1185">
        <f>'2027'!R\Max</f>
        <v>0.61364447450832538</v>
      </c>
    </row>
    <row r="106" spans="1:84" s="6" customFormat="1" ht="11.25" x14ac:dyDescent="0.2">
      <c r="A106" s="11">
        <v>43192</v>
      </c>
      <c r="B106" s="380">
        <f>'2022'!Maxi_hp</f>
        <v>45.758995612636852</v>
      </c>
      <c r="C106" s="13">
        <f>'2022'!An_max</f>
        <v>2021</v>
      </c>
      <c r="D106" s="1062" t="str">
        <f t="shared" si="59"/>
        <v/>
      </c>
      <c r="E106" s="1057">
        <f>T$13/10</f>
        <v>55.483000000000004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3">
        <f t="shared" si="62"/>
        <v>1</v>
      </c>
      <c r="J106" s="746">
        <f t="shared" si="63"/>
        <v>55.483000002056357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5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3">
        <f t="shared" si="67"/>
        <v>0</v>
      </c>
      <c r="AT106" s="769">
        <f t="shared" si="68"/>
        <v>55.482999999076128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3">
        <f t="shared" si="72"/>
        <v>0.5</v>
      </c>
      <c r="AY106" s="769">
        <f t="shared" si="73"/>
        <v>55.286600000411269</v>
      </c>
      <c r="AZ106" s="746">
        <f t="shared" si="77"/>
        <v>55.384799999743699</v>
      </c>
      <c r="BA106" s="643">
        <f t="shared" si="74"/>
        <v>0.82473903017033856</v>
      </c>
      <c r="BC106" s="11">
        <v>43192</v>
      </c>
      <c r="BD106" s="290">
        <f>[3]!FeuilCaduc*(1-Persistant)+Persistant</f>
        <v>0.61649447616572062</v>
      </c>
      <c r="BE106" s="291">
        <f>[3]!CroissVégét</f>
        <v>5.4132744516590045E-2</v>
      </c>
      <c r="BF106" s="816">
        <f>1+[3]!Salcycl*Ksac</f>
        <v>1.002061809520715</v>
      </c>
      <c r="BH106" s="1053">
        <f t="shared" si="75"/>
        <v>1.3324042906717133E-5</v>
      </c>
      <c r="BI106" s="11">
        <v>44288</v>
      </c>
      <c r="BJ106" s="726">
        <v>3.1861734914057933E-6</v>
      </c>
      <c r="BK106" s="726">
        <v>7.2972025552359286E-6</v>
      </c>
      <c r="BL106" s="726">
        <v>1.0443168980543469E-5</v>
      </c>
      <c r="BM106" s="726">
        <v>1.3331583659760745E-5</v>
      </c>
      <c r="BN106" s="726">
        <v>1.9367453109071533E-5</v>
      </c>
      <c r="BO106" s="727">
        <v>3.6970883987875101E-5</v>
      </c>
      <c r="BP106" s="726">
        <v>1.4293420958143153E-4</v>
      </c>
      <c r="BQ106" s="726">
        <v>5.7965145211103008E-4</v>
      </c>
      <c r="BR106" s="726">
        <v>2.0009387237912585E-3</v>
      </c>
      <c r="BS106" s="726">
        <v>5.7233696960161395E-3</v>
      </c>
      <c r="BT106" s="726">
        <v>1.1502212811288522E-2</v>
      </c>
      <c r="BW106" s="1186">
        <f>'2018'!R\Max</f>
        <v>0</v>
      </c>
      <c r="BX106" s="1184">
        <f>'2019'!R\Max</f>
        <v>0.28110276222134556</v>
      </c>
      <c r="BY106" s="1184">
        <f>'2020'!R\Max</f>
        <v>0.77648733838680328</v>
      </c>
      <c r="BZ106" s="1184">
        <f>'2021'!R\Max</f>
        <v>0.82473903017033856</v>
      </c>
      <c r="CA106" s="1184">
        <f>'2022'!R\Max</f>
        <v>0.41601314798585004</v>
      </c>
      <c r="CB106" s="1184">
        <f>'2023'!R\Max</f>
        <v>0.41601222855327402</v>
      </c>
      <c r="CC106" s="1184">
        <f>'2024'!R\Max</f>
        <v>0.41601116875079475</v>
      </c>
      <c r="CD106" s="1184">
        <f>'2025'!R\Max</f>
        <v>0.41601360321386321</v>
      </c>
      <c r="CE106" s="1184">
        <f>'2026'!R\Max</f>
        <v>0.41601355087038766</v>
      </c>
      <c r="CF106" s="1185">
        <f>'2027'!R\Max</f>
        <v>0.4160134984978282</v>
      </c>
    </row>
    <row r="107" spans="1:84" s="6" customFormat="1" ht="11.25" x14ac:dyDescent="0.2">
      <c r="A107" s="11">
        <v>43193</v>
      </c>
      <c r="B107" s="380">
        <f>'2022'!Maxi_hp</f>
        <v>53.35954700357199</v>
      </c>
      <c r="C107" s="13">
        <f>'2022'!An_max</f>
        <v>2021</v>
      </c>
      <c r="D107" s="1062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3">
        <f t="shared" si="62"/>
        <v>0.9285714285714286</v>
      </c>
      <c r="J107" s="746">
        <f t="shared" si="63"/>
        <v>55.788855067214797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5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3">
        <f t="shared" si="67"/>
        <v>3.5714285714285712E-2</v>
      </c>
      <c r="AT107" s="769">
        <f t="shared" si="68"/>
        <v>55.770077983130307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3">
        <f t="shared" si="72"/>
        <v>0.4642857142857143</v>
      </c>
      <c r="AY107" s="769">
        <f t="shared" si="73"/>
        <v>55.607181486753483</v>
      </c>
      <c r="AZ107" s="746">
        <f t="shared" si="77"/>
        <v>55.688629734941898</v>
      </c>
      <c r="BA107" s="643">
        <f t="shared" si="74"/>
        <v>0.9564553160175816</v>
      </c>
      <c r="BC107" s="11">
        <v>43193</v>
      </c>
      <c r="BD107" s="290">
        <f>[3]!FeuilCaduc*(1-Persistant)+Persistant</f>
        <v>0.61772919610771782</v>
      </c>
      <c r="BE107" s="291">
        <f>[3]!CroissVégét</f>
        <v>5.6327914126217182E-2</v>
      </c>
      <c r="BF107" s="816">
        <f>1+[3]!Salcycl*Ksac</f>
        <v>1.0022161495134647</v>
      </c>
      <c r="BH107" s="1053">
        <f t="shared" si="75"/>
        <v>1.6201305553465413E-5</v>
      </c>
      <c r="BI107" s="11">
        <v>44289</v>
      </c>
      <c r="BJ107" s="726">
        <v>3.6025999308565536E-6</v>
      </c>
      <c r="BK107" s="726">
        <v>8.8380185623326562E-6</v>
      </c>
      <c r="BL107" s="726">
        <v>1.2829177976070068E-5</v>
      </c>
      <c r="BM107" s="726">
        <v>1.6210132174117451E-5</v>
      </c>
      <c r="BN107" s="726">
        <v>2.22845753929844E-5</v>
      </c>
      <c r="BO107" s="727">
        <v>3.7785146413211313E-5</v>
      </c>
      <c r="BP107" s="726">
        <v>1.2776484715847563E-4</v>
      </c>
      <c r="BQ107" s="726">
        <v>4.9404090363756642E-4</v>
      </c>
      <c r="BR107" s="726">
        <v>1.7389237588238498E-3</v>
      </c>
      <c r="BS107" s="726">
        <v>5.0773770805180342E-3</v>
      </c>
      <c r="BT107" s="726">
        <v>1.030565422452181E-2</v>
      </c>
      <c r="BW107" s="1186">
        <f>'2018'!R\Max</f>
        <v>0</v>
      </c>
      <c r="BX107" s="1184">
        <f>'2019'!R\Max</f>
        <v>0.28644532235085796</v>
      </c>
      <c r="BY107" s="1184">
        <f>'2020'!R\Max</f>
        <v>0.512557427236639</v>
      </c>
      <c r="BZ107" s="1184">
        <f>'2021'!R\Max</f>
        <v>0.9564553160175816</v>
      </c>
      <c r="CA107" s="1184">
        <f>'2022'!R\Max</f>
        <v>0.44827149056883564</v>
      </c>
      <c r="CB107" s="1184">
        <f>'2023'!R\Max</f>
        <v>0.44827069852962681</v>
      </c>
      <c r="CC107" s="1184">
        <f>'2024'!R\Max</f>
        <v>0.44826978219670083</v>
      </c>
      <c r="CD107" s="1184">
        <f>'2025'!R\Max</f>
        <v>0.4482719108107639</v>
      </c>
      <c r="CE107" s="1184">
        <f>'2026'!R\Max</f>
        <v>0.44827185734100772</v>
      </c>
      <c r="CF107" s="1185">
        <f>'2027'!R\Max</f>
        <v>0.44827180377748865</v>
      </c>
    </row>
    <row r="108" spans="1:84" s="6" customFormat="1" ht="11.25" x14ac:dyDescent="0.2">
      <c r="A108" s="11">
        <v>43194</v>
      </c>
      <c r="B108" s="380">
        <f>'2022'!Maxi_hp</f>
        <v>56.536713073450201</v>
      </c>
      <c r="C108" s="13">
        <f>'2022'!An_max</f>
        <v>2020</v>
      </c>
      <c r="D108" s="1062">
        <f t="shared" si="59"/>
        <v>1.00798054514934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3">
        <f t="shared" si="62"/>
        <v>0.8571428571428571</v>
      </c>
      <c r="J108" s="746">
        <f t="shared" si="63"/>
        <v>56.089091545982022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5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3">
        <f t="shared" si="67"/>
        <v>7.1428571428571425E-2</v>
      </c>
      <c r="AT108" s="769">
        <f t="shared" si="68"/>
        <v>56.052606522611214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3">
        <f t="shared" si="72"/>
        <v>0.42857142857142855</v>
      </c>
      <c r="AY108" s="769">
        <f t="shared" si="73"/>
        <v>55.923325364291671</v>
      </c>
      <c r="AZ108" s="746">
        <f t="shared" si="77"/>
        <v>55.987965943451442</v>
      </c>
      <c r="BA108" s="643">
        <f t="shared" si="74"/>
        <v>1.00798054514934</v>
      </c>
      <c r="BC108" s="11">
        <v>43194</v>
      </c>
      <c r="BD108" s="290">
        <f>[3]!FeuilCaduc*(1-Persistant)+Persistant</f>
        <v>0.6190458222951799</v>
      </c>
      <c r="BE108" s="291">
        <f>[3]!CroissVégét</f>
        <v>5.8604366195922526E-2</v>
      </c>
      <c r="BF108" s="816">
        <f>1+[3]!Salcycl*Ksac</f>
        <v>1.0023807277868975</v>
      </c>
      <c r="BH108" s="1053">
        <f t="shared" si="75"/>
        <v>2.0397145009507367E-5</v>
      </c>
      <c r="BI108" s="11">
        <v>44290</v>
      </c>
      <c r="BJ108" s="726">
        <v>4.0475639076281305E-6</v>
      </c>
      <c r="BK108" s="726">
        <v>1.0939560548612132E-5</v>
      </c>
      <c r="BL108" s="726">
        <v>1.6196822198825576E-5</v>
      </c>
      <c r="BM108" s="726">
        <v>2.0408139450024545E-5</v>
      </c>
      <c r="BN108" s="726">
        <v>2.6925553544207701E-5</v>
      </c>
      <c r="BO108" s="727">
        <v>4.1318004235136161E-5</v>
      </c>
      <c r="BP108" s="726">
        <v>1.1914664540108039E-4</v>
      </c>
      <c r="BQ108" s="726">
        <v>4.3544690262205081E-4</v>
      </c>
      <c r="BR108" s="726">
        <v>1.5308267629097483E-3</v>
      </c>
      <c r="BS108" s="726">
        <v>4.5074347677844058E-3</v>
      </c>
      <c r="BT108" s="726">
        <v>9.1886034005128122E-3</v>
      </c>
      <c r="BW108" s="1186">
        <f>'2018'!R\Max</f>
        <v>0</v>
      </c>
      <c r="BX108" s="1184">
        <f>'2019'!R\Max</f>
        <v>0.72618725930877093</v>
      </c>
      <c r="BY108" s="1184">
        <f>'2020'!R\Max</f>
        <v>1.00798054514934</v>
      </c>
      <c r="BZ108" s="1184">
        <f>'2021'!R\Max</f>
        <v>0.95410468673874793</v>
      </c>
      <c r="CA108" s="1184">
        <f>'2022'!R\Max</f>
        <v>0.93777558250238513</v>
      </c>
      <c r="CB108" s="1184">
        <f>'2023'!R\Max</f>
        <v>0.93777542138995118</v>
      </c>
      <c r="CC108" s="1184">
        <f>'2024'!R\Max</f>
        <v>0.93777523392431172</v>
      </c>
      <c r="CD108" s="1184">
        <f>'2025'!R\Max</f>
        <v>0.93777567762741376</v>
      </c>
      <c r="CE108" s="1184">
        <f>'2026'!R\Max</f>
        <v>0.93777566413581803</v>
      </c>
      <c r="CF108" s="1185">
        <f>'2027'!R\Max</f>
        <v>0.93777565058868617</v>
      </c>
    </row>
    <row r="109" spans="1:84" s="6" customFormat="1" ht="11.25" x14ac:dyDescent="0.2">
      <c r="A109" s="11">
        <v>43195</v>
      </c>
      <c r="B109" s="380">
        <f>'2022'!Maxi_hp</f>
        <v>58.623693621493487</v>
      </c>
      <c r="C109" s="13">
        <f>'2022'!An_max</f>
        <v>2020</v>
      </c>
      <c r="D109" s="1062">
        <f t="shared" si="59"/>
        <v>1.0397294862542357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3">
        <f t="shared" si="62"/>
        <v>0.7857142857142857</v>
      </c>
      <c r="J109" s="746">
        <f t="shared" si="63"/>
        <v>56.383602077780026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5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3">
        <f t="shared" si="67"/>
        <v>0.10714285714285714</v>
      </c>
      <c r="AT109" s="769">
        <f t="shared" si="68"/>
        <v>56.33054535758815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3">
        <f t="shared" si="72"/>
        <v>0.39285714285714285</v>
      </c>
      <c r="AY109" s="769">
        <f t="shared" si="73"/>
        <v>56.23460218709495</v>
      </c>
      <c r="AZ109" s="746">
        <f t="shared" si="77"/>
        <v>56.28257377234155</v>
      </c>
      <c r="BA109" s="643">
        <f t="shared" si="74"/>
        <v>1.0397294862542357</v>
      </c>
      <c r="BC109" s="11">
        <v>43195</v>
      </c>
      <c r="BD109" s="290">
        <f>[3]!FeuilCaduc*(1-Persistant)+Persistant</f>
        <v>0.62044698577760438</v>
      </c>
      <c r="BE109" s="291">
        <f>[3]!CroissVégét</f>
        <v>6.0964669451959982E-2</v>
      </c>
      <c r="BF109" s="816">
        <f>1+[3]!Salcycl*Ksac</f>
        <v>1.0025558732222006</v>
      </c>
      <c r="BH109" s="1053">
        <f t="shared" si="75"/>
        <v>2.5883971358557922E-5</v>
      </c>
      <c r="BI109" s="11">
        <v>44291</v>
      </c>
      <c r="BJ109" s="726">
        <v>4.5139399882024306E-6</v>
      </c>
      <c r="BK109" s="726">
        <v>1.3590406506443399E-5</v>
      </c>
      <c r="BL109" s="726">
        <v>2.0530118216752669E-5</v>
      </c>
      <c r="BM109" s="726">
        <v>2.5897985190960421E-5</v>
      </c>
      <c r="BN109" s="726">
        <v>3.318517416544353E-5</v>
      </c>
      <c r="BO109" s="727">
        <v>4.7070729046521112E-5</v>
      </c>
      <c r="BP109" s="726">
        <v>1.1512043464372332E-4</v>
      </c>
      <c r="BQ109" s="726">
        <v>3.886733909455405E-4</v>
      </c>
      <c r="BR109" s="726">
        <v>1.352206176897438E-3</v>
      </c>
      <c r="BS109" s="726">
        <v>3.999074201681275E-3</v>
      </c>
      <c r="BT109" s="726">
        <v>8.1765518372754302E-3</v>
      </c>
      <c r="BW109" s="1186">
        <f>'2018'!R\Max</f>
        <v>0</v>
      </c>
      <c r="BX109" s="1184">
        <f>'2019'!R\Max</f>
        <v>0.93794388993105027</v>
      </c>
      <c r="BY109" s="1184">
        <f>'2020'!R\Max</f>
        <v>1.0397294862542357</v>
      </c>
      <c r="BZ109" s="1184">
        <f>'2021'!R\Max</f>
        <v>0.91364494332677071</v>
      </c>
      <c r="CA109" s="1184">
        <f>'2022'!R\Max</f>
        <v>0.99167070519992739</v>
      </c>
      <c r="CB109" s="1184">
        <f>'2023'!R\Max</f>
        <v>0.99167068531888036</v>
      </c>
      <c r="CC109" s="1184">
        <f>'2024'!R\Max</f>
        <v>0.99167066209104737</v>
      </c>
      <c r="CD109" s="1184">
        <f>'2025'!R\Max</f>
        <v>0.99167071866727297</v>
      </c>
      <c r="CE109" s="1184">
        <f>'2026'!R\Max</f>
        <v>0.99167071653829386</v>
      </c>
      <c r="CF109" s="1185">
        <f>'2027'!R\Max</f>
        <v>0.9916707143981971</v>
      </c>
    </row>
    <row r="110" spans="1:84" s="6" customFormat="1" ht="11.25" x14ac:dyDescent="0.2">
      <c r="A110" s="11">
        <v>43196</v>
      </c>
      <c r="B110" s="380">
        <f>'2022'!Maxi_hp</f>
        <v>59.354429100482541</v>
      </c>
      <c r="C110" s="13">
        <f>'2022'!An_max</f>
        <v>2020</v>
      </c>
      <c r="D110" s="1062">
        <f t="shared" si="59"/>
        <v>1.0473273676681727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3">
        <f t="shared" si="62"/>
        <v>0.7142857142857143</v>
      </c>
      <c r="J110" s="746">
        <f t="shared" si="63"/>
        <v>56.67227930139218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5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3">
        <f t="shared" si="67"/>
        <v>0.14285714285714285</v>
      </c>
      <c r="AT110" s="769">
        <f t="shared" si="68"/>
        <v>56.603854226853173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3">
        <f t="shared" si="72"/>
        <v>0.35714285714285715</v>
      </c>
      <c r="AY110" s="769">
        <f t="shared" si="73"/>
        <v>56.540582507449599</v>
      </c>
      <c r="AZ110" s="746">
        <f t="shared" si="77"/>
        <v>56.572218367151386</v>
      </c>
      <c r="BA110" s="643">
        <f t="shared" si="74"/>
        <v>1.0473273676681727</v>
      </c>
      <c r="BC110" s="11">
        <v>43196</v>
      </c>
      <c r="BD110" s="290">
        <f>[3]!FeuilCaduc*(1-Persistant)+Persistant</f>
        <v>0.621935238012983</v>
      </c>
      <c r="BE110" s="291">
        <f>[3]!CroissVégét</f>
        <v>6.3411438498040387E-2</v>
      </c>
      <c r="BF110" s="816">
        <f>1+[3]!Salcycl*Ksac</f>
        <v>1.0027419047516228</v>
      </c>
      <c r="BH110" s="1053">
        <f t="shared" si="75"/>
        <v>3.266138366889569E-5</v>
      </c>
      <c r="BI110" s="11">
        <v>44292</v>
      </c>
      <c r="BJ110" s="726">
        <v>5.0017149538311124E-6</v>
      </c>
      <c r="BK110" s="726">
        <v>1.6790380587539592E-5</v>
      </c>
      <c r="BL110" s="726">
        <v>2.5828762552076544E-5</v>
      </c>
      <c r="BM110" s="726">
        <v>3.2679268210115769E-5</v>
      </c>
      <c r="BN110" s="726">
        <v>4.1062942999756346E-5</v>
      </c>
      <c r="BO110" s="727">
        <v>5.504268211054456E-5</v>
      </c>
      <c r="BP110" s="726">
        <v>1.1568511062408146E-4</v>
      </c>
      <c r="BQ110" s="726">
        <v>3.5371800549560743E-4</v>
      </c>
      <c r="BR110" s="726">
        <v>1.2030568512318384E-3</v>
      </c>
      <c r="BS110" s="726">
        <v>3.552286135569582E-3</v>
      </c>
      <c r="BT110" s="726">
        <v>7.2694853624011421E-3</v>
      </c>
      <c r="BW110" s="1186">
        <f>'2018'!R\Max</f>
        <v>0</v>
      </c>
      <c r="BX110" s="1184">
        <f>'2019'!R\Max</f>
        <v>0.35500211464416287</v>
      </c>
      <c r="BY110" s="1184">
        <f>'2020'!R\Max</f>
        <v>1.0473273676681727</v>
      </c>
      <c r="BZ110" s="1184">
        <f>'2021'!R\Max</f>
        <v>0.60176669259078885</v>
      </c>
      <c r="CA110" s="1184">
        <f>'2022'!R\Max</f>
        <v>0.21616044663334272</v>
      </c>
      <c r="CB110" s="1184">
        <f>'2023'!R\Max</f>
        <v>0.21616012295751538</v>
      </c>
      <c r="CC110" s="1184">
        <f>'2024'!R\Max</f>
        <v>0.21615974418748751</v>
      </c>
      <c r="CD110" s="1184">
        <f>'2025'!R\Max</f>
        <v>0.21616070382748062</v>
      </c>
      <c r="CE110" s="1184">
        <f>'2026'!R\Max</f>
        <v>0.21616065908004981</v>
      </c>
      <c r="CF110" s="1185">
        <f>'2027'!R\Max</f>
        <v>0.21616061408729145</v>
      </c>
    </row>
    <row r="111" spans="1:84" s="6" customFormat="1" ht="11.25" x14ac:dyDescent="0.2">
      <c r="A111" s="11">
        <v>43197</v>
      </c>
      <c r="B111" s="380">
        <f>'2022'!Maxi_hp</f>
        <v>56.351753523847592</v>
      </c>
      <c r="C111" s="13">
        <f>'2022'!An_max</f>
        <v>2021</v>
      </c>
      <c r="D111" s="1062">
        <f t="shared" si="59"/>
        <v>0.98940809127295182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3">
        <f t="shared" si="62"/>
        <v>0.6428571428571429</v>
      </c>
      <c r="J111" s="746">
        <f t="shared" si="63"/>
        <v>56.955015853313469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5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3">
        <f t="shared" si="67"/>
        <v>0.17857142857142858</v>
      </c>
      <c r="AT111" s="769">
        <f t="shared" si="68"/>
        <v>56.87249287063522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3">
        <f t="shared" si="72"/>
        <v>0.32142857142857145</v>
      </c>
      <c r="AY111" s="769">
        <f t="shared" si="73"/>
        <v>56.840836880582252</v>
      </c>
      <c r="AZ111" s="746">
        <f t="shared" si="77"/>
        <v>56.856664875608736</v>
      </c>
      <c r="BA111" s="643">
        <f t="shared" si="74"/>
        <v>0.98940809127295182</v>
      </c>
      <c r="BC111" s="11">
        <v>43197</v>
      </c>
      <c r="BD111" s="290">
        <f>[3]!FeuilCaduc*(1-Persistant)+Persistant</f>
        <v>0.62351304558212872</v>
      </c>
      <c r="BE111" s="291">
        <f>[3]!CroissVégét</f>
        <v>6.5947331619938404E-2</v>
      </c>
      <c r="BF111" s="816">
        <f>1+[3]!Salcycl*Ksac</f>
        <v>1.0029391306977662</v>
      </c>
      <c r="BH111" s="1053">
        <f t="shared" si="75"/>
        <v>4.0728935445133024E-5</v>
      </c>
      <c r="BI111" s="11">
        <v>44293</v>
      </c>
      <c r="BJ111" s="726">
        <v>5.5108743459666878E-6</v>
      </c>
      <c r="BK111" s="726">
        <v>2.0539287149031594E-5</v>
      </c>
      <c r="BL111" s="726">
        <v>3.2092417350397396E-5</v>
      </c>
      <c r="BM111" s="726">
        <v>4.075154172773269E-5</v>
      </c>
      <c r="BN111" s="726">
        <v>5.0558309459829994E-5</v>
      </c>
      <c r="BO111" s="727">
        <v>6.5233151081045329E-5</v>
      </c>
      <c r="BP111" s="726">
        <v>1.2083943730465275E-4</v>
      </c>
      <c r="BQ111" s="726">
        <v>3.3057809078561844E-4</v>
      </c>
      <c r="BR111" s="726">
        <v>1.0833729869495696E-3</v>
      </c>
      <c r="BS111" s="726">
        <v>3.1670601397723133E-3</v>
      </c>
      <c r="BT111" s="726">
        <v>6.4673879729924373E-3</v>
      </c>
      <c r="BW111" s="1186">
        <f>'2018'!R\Max</f>
        <v>0</v>
      </c>
      <c r="BX111" s="1184">
        <f>'2019'!R\Max</f>
        <v>0.62391553287999479</v>
      </c>
      <c r="BY111" s="1184">
        <f>'2020'!R\Max</f>
        <v>0.57096622261074004</v>
      </c>
      <c r="BZ111" s="1184">
        <f>'2021'!R\Max</f>
        <v>0.98940809127295182</v>
      </c>
      <c r="CA111" s="1184">
        <f>'2022'!R\Max</f>
        <v>0.73531675270788088</v>
      </c>
      <c r="CB111" s="1184">
        <f>'2023'!R\Max</f>
        <v>0.73531637188461452</v>
      </c>
      <c r="CC111" s="1184">
        <f>'2024'!R\Max</f>
        <v>0.73531592696006032</v>
      </c>
      <c r="CD111" s="1184">
        <f>'2025'!R\Max</f>
        <v>0.73531711043877512</v>
      </c>
      <c r="CE111" s="1184">
        <f>'2026'!R\Max</f>
        <v>0.73531704327664305</v>
      </c>
      <c r="CF111" s="1185">
        <f>'2027'!R\Max</f>
        <v>0.73531697575611332</v>
      </c>
    </row>
    <row r="112" spans="1:84" s="6" customFormat="1" ht="11.25" x14ac:dyDescent="0.2">
      <c r="A112" s="11">
        <v>43198</v>
      </c>
      <c r="B112" s="380">
        <f>'2022'!Maxi_hp</f>
        <v>55.793489046232402</v>
      </c>
      <c r="C112" s="13">
        <f>'2022'!An_max</f>
        <v>2021</v>
      </c>
      <c r="D112" s="1062">
        <f t="shared" si="59"/>
        <v>0.97487030407730002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3">
        <f t="shared" si="62"/>
        <v>0.5714285714285714</v>
      </c>
      <c r="J112" s="746">
        <f t="shared" si="63"/>
        <v>57.231704374296328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5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3">
        <f t="shared" si="67"/>
        <v>0.21428571428571427</v>
      </c>
      <c r="AT112" s="769">
        <f t="shared" si="68"/>
        <v>57.136421027513485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3">
        <f t="shared" si="72"/>
        <v>0.2857142857142857</v>
      </c>
      <c r="AY112" s="769">
        <f t="shared" si="73"/>
        <v>57.134935860016512</v>
      </c>
      <c r="AZ112" s="746">
        <f t="shared" si="77"/>
        <v>57.135678443765002</v>
      </c>
      <c r="BA112" s="643">
        <f t="shared" si="74"/>
        <v>0.97487030407730002</v>
      </c>
      <c r="BC112" s="11">
        <v>43198</v>
      </c>
      <c r="BD112" s="290">
        <f>[3]!FeuilCaduc*(1-Persistant)+Persistant</f>
        <v>0.6251827850620636</v>
      </c>
      <c r="BE112" s="291">
        <f>[3]!CroissVégét</f>
        <v>6.8575048275425571E-2</v>
      </c>
      <c r="BF112" s="816">
        <f>1+[3]!Salcycl*Ksac</f>
        <v>1.003147848132758</v>
      </c>
      <c r="BH112" s="1053">
        <f t="shared" si="75"/>
        <v>5.0086130486757651E-5</v>
      </c>
      <c r="BI112" s="11">
        <v>44294</v>
      </c>
      <c r="BJ112" s="726">
        <v>6.0414023973517596E-6</v>
      </c>
      <c r="BK112" s="726">
        <v>2.4836908991133968E-5</v>
      </c>
      <c r="BL112" s="726">
        <v>3.9320707282776932E-5</v>
      </c>
      <c r="BM112" s="726">
        <v>5.0114309226914807E-5</v>
      </c>
      <c r="BN112" s="726">
        <v>6.1670661435695641E-5</v>
      </c>
      <c r="BO112" s="727">
        <v>7.7641342883025816E-5</v>
      </c>
      <c r="BP112" s="726">
        <v>1.305820321531268E-4</v>
      </c>
      <c r="BQ112" s="726">
        <v>3.1925066108124344E-4</v>
      </c>
      <c r="BR112" s="726">
        <v>9.9314804126201584E-4</v>
      </c>
      <c r="BS112" s="726">
        <v>2.8433844043758722E-3</v>
      </c>
      <c r="BT112" s="726">
        <v>5.7702414994908651E-3</v>
      </c>
      <c r="BW112" s="1186">
        <f>'2018'!R\Max</f>
        <v>0</v>
      </c>
      <c r="BX112" s="1184">
        <f>'2019'!R\Max</f>
        <v>0.64334925003087928</v>
      </c>
      <c r="BY112" s="1184">
        <f>'2020'!R\Max</f>
        <v>0.68425465617967618</v>
      </c>
      <c r="BZ112" s="1184">
        <f>'2021'!R\Max</f>
        <v>0.97487030407730002</v>
      </c>
      <c r="CA112" s="1184">
        <f>'2022'!R\Max</f>
        <v>0.60282925544436949</v>
      </c>
      <c r="CB112" s="1184">
        <f>'2023'!R\Max</f>
        <v>0.60282881038647795</v>
      </c>
      <c r="CC112" s="1184">
        <f>'2024'!R\Max</f>
        <v>0.60282829304071772</v>
      </c>
      <c r="CD112" s="1184">
        <f>'2025'!R\Max</f>
        <v>0.60282974516448973</v>
      </c>
      <c r="CE112" s="1184">
        <f>'2026'!R\Max</f>
        <v>0.60282964801356131</v>
      </c>
      <c r="CF112" s="1185">
        <f>'2027'!R\Max</f>
        <v>0.60282955036618302</v>
      </c>
    </row>
    <row r="113" spans="1:84" s="6" customFormat="1" ht="11.25" x14ac:dyDescent="0.2">
      <c r="A113" s="11">
        <v>43199</v>
      </c>
      <c r="B113" s="380">
        <f>'2022'!Maxi_hp</f>
        <v>41.648731192226585</v>
      </c>
      <c r="C113" s="13">
        <f>'2022'!An_max</f>
        <v>2019</v>
      </c>
      <c r="D113" s="1062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3">
        <f t="shared" si="62"/>
        <v>0.5</v>
      </c>
      <c r="J113" s="746">
        <f t="shared" si="63"/>
        <v>57.502237500250338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5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3">
        <f t="shared" si="67"/>
        <v>0.25</v>
      </c>
      <c r="AT113" s="769">
        <f t="shared" si="68"/>
        <v>57.39559843689203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3">
        <f t="shared" si="72"/>
        <v>0.25</v>
      </c>
      <c r="AY113" s="769">
        <f t="shared" si="73"/>
        <v>57.422450000327082</v>
      </c>
      <c r="AZ113" s="746">
        <f t="shared" si="77"/>
        <v>57.409024218609559</v>
      </c>
      <c r="BA113" s="643">
        <f t="shared" si="74"/>
        <v>0.72429757523862037</v>
      </c>
      <c r="BC113" s="11">
        <v>43199</v>
      </c>
      <c r="BD113" s="290">
        <f>[3]!FeuilCaduc*(1-Persistant)+Persistant</f>
        <v>0.62694673801645262</v>
      </c>
      <c r="BE113" s="291">
        <f>[3]!CroissVégét</f>
        <v>7.1297326250557638E-2</v>
      </c>
      <c r="BF113" s="816">
        <f>1+[3]!Salcycl*Ksac</f>
        <v>1.0033683422520565</v>
      </c>
      <c r="BH113" s="1053">
        <f t="shared" si="75"/>
        <v>6.0732418746434961E-5</v>
      </c>
      <c r="BI113" s="11">
        <v>44295</v>
      </c>
      <c r="BJ113" s="726">
        <v>6.5932819630674204E-6</v>
      </c>
      <c r="BK113" s="726">
        <v>2.9683005594685692E-5</v>
      </c>
      <c r="BL113" s="726">
        <v>4.7513216447634966E-5</v>
      </c>
      <c r="BM113" s="726">
        <v>6.0767020309197964E-5</v>
      </c>
      <c r="BN113" s="726">
        <v>7.4399320102154124E-5</v>
      </c>
      <c r="BO113" s="727">
        <v>9.2266376592726391E-5</v>
      </c>
      <c r="BP113" s="726">
        <v>1.4491135142173463E-4</v>
      </c>
      <c r="BQ113" s="726">
        <v>3.1973236252357077E-4</v>
      </c>
      <c r="BR113" s="726">
        <v>9.3237463312661009E-4</v>
      </c>
      <c r="BS113" s="726">
        <v>2.5812455419965958E-3</v>
      </c>
      <c r="BT113" s="726">
        <v>5.178025269433853E-3</v>
      </c>
      <c r="BW113" s="1186">
        <f>'2018'!R\Max</f>
        <v>0</v>
      </c>
      <c r="BX113" s="1184">
        <f>'2019'!R\Max</f>
        <v>0.72429757523862037</v>
      </c>
      <c r="BY113" s="1184">
        <f>'2020'!R\Max</f>
        <v>0.72371566754061956</v>
      </c>
      <c r="BZ113" s="1184">
        <f>'2021'!R\Max</f>
        <v>0.60125360601150013</v>
      </c>
      <c r="CA113" s="1184">
        <f>'2022'!R\Max</f>
        <v>0.66813348433962716</v>
      </c>
      <c r="CB113" s="1184">
        <f>'2023'!R\Max</f>
        <v>0.66813307525363463</v>
      </c>
      <c r="CC113" s="1184">
        <f>'2024'!R\Max</f>
        <v>0.66813260343611636</v>
      </c>
      <c r="CD113" s="1184">
        <f>'2025'!R\Max</f>
        <v>0.66813399920526084</v>
      </c>
      <c r="CE113" s="1184">
        <f>'2026'!R\Max</f>
        <v>0.6681338932735823</v>
      </c>
      <c r="CF113" s="1185">
        <f>'2027'!R\Max</f>
        <v>0.66813378681208646</v>
      </c>
    </row>
    <row r="114" spans="1:84" s="6" customFormat="1" ht="11.25" x14ac:dyDescent="0.2">
      <c r="A114" s="11">
        <v>43200</v>
      </c>
      <c r="B114" s="380">
        <f>'2022'!Maxi_hp</f>
        <v>58.06042842516851</v>
      </c>
      <c r="C114" s="13">
        <f>'2022'!An_max</f>
        <v>2020</v>
      </c>
      <c r="D114" s="1062">
        <f t="shared" si="59"/>
        <v>1.0050880789581171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3">
        <f t="shared" si="62"/>
        <v>0.42857142857142855</v>
      </c>
      <c r="J114" s="746">
        <f t="shared" si="63"/>
        <v>57.766507871981176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5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3">
        <f t="shared" si="67"/>
        <v>0.2857142857142857</v>
      </c>
      <c r="AT114" s="769">
        <f t="shared" si="68"/>
        <v>57.649984839558599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3">
        <f t="shared" si="72"/>
        <v>0.21428571428571427</v>
      </c>
      <c r="AY114" s="769">
        <f t="shared" si="73"/>
        <v>57.702949854571912</v>
      </c>
      <c r="AZ114" s="746">
        <f t="shared" si="77"/>
        <v>57.676467347065255</v>
      </c>
      <c r="BA114" s="643">
        <f t="shared" si="74"/>
        <v>1.0050880789581171</v>
      </c>
      <c r="BC114" s="11">
        <v>43200</v>
      </c>
      <c r="BD114" s="290">
        <f>[3]!FeuilCaduc*(1-Persistant)+Persistant</f>
        <v>0.62880708605991731</v>
      </c>
      <c r="BE114" s="291">
        <f>[3]!CroissVégét</f>
        <v>7.4116938463242688E-2</v>
      </c>
      <c r="BF114" s="816">
        <f>1+[3]!Salcycl*Ksac</f>
        <v>1.0036008857574896</v>
      </c>
      <c r="BH114" s="1053">
        <f t="shared" si="75"/>
        <v>7.5076284256615802E-5</v>
      </c>
      <c r="BI114" s="11">
        <v>44296</v>
      </c>
      <c r="BJ114" s="726">
        <v>7.6420002695410464E-6</v>
      </c>
      <c r="BK114" s="726">
        <v>3.5968938327322023E-5</v>
      </c>
      <c r="BL114" s="726">
        <v>5.8193131883234493E-5</v>
      </c>
      <c r="BM114" s="726">
        <v>7.5120476292056399E-5</v>
      </c>
      <c r="BN114" s="726">
        <v>9.1833610384741882E-5</v>
      </c>
      <c r="BO114" s="727">
        <v>1.1288182681323765E-4</v>
      </c>
      <c r="BP114" s="726">
        <v>1.6829955863213307E-4</v>
      </c>
      <c r="BQ114" s="726">
        <v>3.3755292122852703E-4</v>
      </c>
      <c r="BR114" s="726">
        <v>9.0861876121252816E-4</v>
      </c>
      <c r="BS114" s="726">
        <v>2.3931337080136212E-3</v>
      </c>
      <c r="BT114" s="726">
        <v>4.7107295136195231E-3</v>
      </c>
      <c r="BW114" s="1186">
        <f>'2018'!R\Max</f>
        <v>0</v>
      </c>
      <c r="BX114" s="1184">
        <f>'2019'!R\Max</f>
        <v>0.65569896987642307</v>
      </c>
      <c r="BY114" s="1184">
        <f>'2020'!R\Max</f>
        <v>1.0050880789581171</v>
      </c>
      <c r="BZ114" s="1184">
        <f>'2021'!R\Max</f>
        <v>0.62120290592197935</v>
      </c>
      <c r="CA114" s="1184">
        <f>'2022'!R\Max</f>
        <v>1.0015917105821721</v>
      </c>
      <c r="CB114" s="1184">
        <f>'2023'!R\Max</f>
        <v>1.0015917105821721</v>
      </c>
      <c r="CC114" s="1184">
        <f>'2024'!R\Max</f>
        <v>1.0015917105821719</v>
      </c>
      <c r="CD114" s="1184">
        <f>'2025'!R\Max</f>
        <v>1.0015917105821721</v>
      </c>
      <c r="CE114" s="1184">
        <f>'2026'!R\Max</f>
        <v>1.0015917105821721</v>
      </c>
      <c r="CF114" s="1185">
        <f>'2027'!R\Max</f>
        <v>1.0015917105821721</v>
      </c>
    </row>
    <row r="115" spans="1:84" s="6" customFormat="1" ht="11.25" x14ac:dyDescent="0.2">
      <c r="A115" s="11">
        <v>43201</v>
      </c>
      <c r="B115" s="380">
        <f>'2022'!Maxi_hp</f>
        <v>59.123099904366789</v>
      </c>
      <c r="C115" s="13">
        <f>'2022'!An_max</f>
        <v>2020</v>
      </c>
      <c r="D115" s="1062">
        <f t="shared" si="59"/>
        <v>1.0189349932726561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3">
        <f t="shared" si="62"/>
        <v>0.35714285714285715</v>
      </c>
      <c r="J115" s="746">
        <f t="shared" si="63"/>
        <v>58.024408126835304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5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3">
        <f t="shared" si="67"/>
        <v>0.32142857142857145</v>
      </c>
      <c r="AT115" s="769">
        <f t="shared" si="68"/>
        <v>57.899539973719847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3">
        <f t="shared" si="72"/>
        <v>0.17857142857142858</v>
      </c>
      <c r="AY115" s="769">
        <f t="shared" si="73"/>
        <v>57.976005976287908</v>
      </c>
      <c r="AZ115" s="746">
        <f t="shared" si="77"/>
        <v>57.937772975003881</v>
      </c>
      <c r="BA115" s="643">
        <f t="shared" si="74"/>
        <v>1.0189349932726561</v>
      </c>
      <c r="BC115" s="11">
        <v>43201</v>
      </c>
      <c r="BD115" s="290">
        <f>[3]!FeuilCaduc*(1-Persistant)+Persistant</f>
        <v>0.63076590595284798</v>
      </c>
      <c r="BE115" s="291">
        <f>[3]!CroissVégét</f>
        <v>7.7036689395036897E-2</v>
      </c>
      <c r="BF115" s="816">
        <f>1+[3]!Salcycl*Ksac</f>
        <v>1.0038457382441059</v>
      </c>
      <c r="BH115" s="1053">
        <f t="shared" si="75"/>
        <v>9.2770181170930493E-5</v>
      </c>
      <c r="BI115" s="11">
        <v>44297</v>
      </c>
      <c r="BJ115" s="726">
        <v>9.1422775369802208E-6</v>
      </c>
      <c r="BK115" s="726">
        <v>4.3515789593516221E-5</v>
      </c>
      <c r="BL115" s="726">
        <v>7.108328158769985E-5</v>
      </c>
      <c r="BM115" s="726">
        <v>9.2826947123981397E-5</v>
      </c>
      <c r="BN115" s="726">
        <v>1.1351387864268714E-4</v>
      </c>
      <c r="BO115" s="727">
        <v>1.387236438018392E-4</v>
      </c>
      <c r="BP115" s="726">
        <v>1.9851714288816381E-4</v>
      </c>
      <c r="BQ115" s="726">
        <v>3.6580088136153194E-4</v>
      </c>
      <c r="BR115" s="726">
        <v>9.0324171944003169E-4</v>
      </c>
      <c r="BS115" s="726">
        <v>2.244780973433141E-3</v>
      </c>
      <c r="BT115" s="726">
        <v>4.3166411028406904E-3</v>
      </c>
      <c r="BW115" s="1186">
        <f>'2018'!R\Max</f>
        <v>0</v>
      </c>
      <c r="BX115" s="1184">
        <f>'2019'!R\Max</f>
        <v>0.1783376537256009</v>
      </c>
      <c r="BY115" s="1184">
        <f>'2020'!R\Max</f>
        <v>1.0189349932726561</v>
      </c>
      <c r="BZ115" s="1184">
        <f>'2021'!R\Max</f>
        <v>0.15238338795105238</v>
      </c>
      <c r="CA115" s="1184">
        <f>'2022'!R\Max</f>
        <v>0.8374256785539087</v>
      </c>
      <c r="CB115" s="1184">
        <f>'2023'!R\Max</f>
        <v>0.83742539411096339</v>
      </c>
      <c r="CC115" s="1184">
        <f>'2024'!R\Max</f>
        <v>0.83742507294564028</v>
      </c>
      <c r="CD115" s="1184">
        <f>'2025'!R\Max</f>
        <v>0.83742613349992057</v>
      </c>
      <c r="CE115" s="1184">
        <f>'2026'!R\Max</f>
        <v>0.83742603509078972</v>
      </c>
      <c r="CF115" s="1185">
        <f>'2027'!R\Max</f>
        <v>0.83742593621171113</v>
      </c>
    </row>
    <row r="116" spans="1:84" s="6" customFormat="1" ht="11.25" x14ac:dyDescent="0.2">
      <c r="A116" s="11">
        <v>43202</v>
      </c>
      <c r="B116" s="380">
        <f>'2022'!Maxi_hp</f>
        <v>58.323508945597986</v>
      </c>
      <c r="C116" s="13">
        <f>'2022'!An_max</f>
        <v>2019</v>
      </c>
      <c r="D116" s="1062">
        <f t="shared" si="59"/>
        <v>1.0008181443489743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3">
        <f t="shared" si="62"/>
        <v>0.2857142857142857</v>
      </c>
      <c r="J116" s="746">
        <f t="shared" si="63"/>
        <v>58.275830903862207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5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3">
        <f t="shared" si="67"/>
        <v>0.35714285714285715</v>
      </c>
      <c r="AT116" s="769">
        <f t="shared" si="68"/>
        <v>58.144223579125743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3">
        <f t="shared" si="72"/>
        <v>0.14285714285714285</v>
      </c>
      <c r="AY116" s="769">
        <f t="shared" si="73"/>
        <v>58.241188922311586</v>
      </c>
      <c r="AZ116" s="746">
        <f t="shared" si="77"/>
        <v>58.192706250718665</v>
      </c>
      <c r="BA116" s="643">
        <f t="shared" si="74"/>
        <v>1.0008181443489743</v>
      </c>
      <c r="BC116" s="11">
        <v>43202</v>
      </c>
      <c r="BD116" s="290">
        <f>[3]!FeuilCaduc*(1-Persistant)+Persistant</f>
        <v>0.63282516468404204</v>
      </c>
      <c r="BE116" s="291">
        <f>[3]!CroissVégét</f>
        <v>8.0059411132293548E-2</v>
      </c>
      <c r="BF116" s="816">
        <f>1+[3]!Salcycl*Ksac</f>
        <v>1.0041031455855052</v>
      </c>
      <c r="BH116" s="1053">
        <f t="shared" si="75"/>
        <v>1.1381256709678793E-4</v>
      </c>
      <c r="BI116" s="11">
        <v>44298</v>
      </c>
      <c r="BJ116" s="726">
        <v>1.1093924479742412E-5</v>
      </c>
      <c r="BK116" s="726">
        <v>5.232295848549159E-5</v>
      </c>
      <c r="BL116" s="726">
        <v>8.6182620639445567E-5</v>
      </c>
      <c r="BM116" s="726">
        <v>1.1388488911024021E-4</v>
      </c>
      <c r="BN116" s="726">
        <v>1.394381860734719E-4</v>
      </c>
      <c r="BO116" s="727">
        <v>1.697894581397132E-4</v>
      </c>
      <c r="BP116" s="726">
        <v>2.355610727412304E-4</v>
      </c>
      <c r="BQ116" s="726">
        <v>4.0447194830137709E-4</v>
      </c>
      <c r="BR116" s="726">
        <v>9.1623694684911708E-4</v>
      </c>
      <c r="BS116" s="726">
        <v>2.1361757582060766E-3</v>
      </c>
      <c r="BT116" s="726">
        <v>3.995741050607785E-3</v>
      </c>
      <c r="BW116" s="1186">
        <f>'2018'!R\Max</f>
        <v>0</v>
      </c>
      <c r="BX116" s="1184">
        <f>'2019'!R\Max</f>
        <v>1.0008181443489743</v>
      </c>
      <c r="BY116" s="1184">
        <f>'2020'!R\Max</f>
        <v>0.99556632301904624</v>
      </c>
      <c r="BZ116" s="1184">
        <f>'2021'!R\Max</f>
        <v>0.77696793618721172</v>
      </c>
      <c r="CA116" s="1184">
        <f>'2022'!R\Max</f>
        <v>0.67626781176251249</v>
      </c>
      <c r="CB116" s="1184">
        <f>'2023'!R\Max</f>
        <v>0.6762673091609156</v>
      </c>
      <c r="CC116" s="1184">
        <f>'2024'!R\Max</f>
        <v>0.6762667475753531</v>
      </c>
      <c r="CD116" s="1184">
        <f>'2025'!R\Max</f>
        <v>0.67626869892199781</v>
      </c>
      <c r="CE116" s="1184">
        <f>'2026'!R\Max</f>
        <v>0.6762685036541457</v>
      </c>
      <c r="CF116" s="1185">
        <f>'2027'!R\Max</f>
        <v>0.6762683074746354</v>
      </c>
    </row>
    <row r="117" spans="1:84" s="6" customFormat="1" ht="11.25" x14ac:dyDescent="0.2">
      <c r="A117" s="11">
        <v>43203</v>
      </c>
      <c r="B117" s="380">
        <f>'2022'!Maxi_hp</f>
        <v>59.034851740298983</v>
      </c>
      <c r="C117" s="13">
        <f>'2022'!An_max</f>
        <v>2019</v>
      </c>
      <c r="D117" s="1062">
        <f t="shared" si="59"/>
        <v>1.0087863469294964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3">
        <f t="shared" si="62"/>
        <v>0.21428571428571427</v>
      </c>
      <c r="J117" s="746">
        <f t="shared" si="63"/>
        <v>58.520668841313032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5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3">
        <f t="shared" si="67"/>
        <v>0.39285714285714285</v>
      </c>
      <c r="AT117" s="769">
        <f t="shared" si="68"/>
        <v>58.383995394754628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3">
        <f t="shared" si="72"/>
        <v>0.10714285714285714</v>
      </c>
      <c r="AY117" s="769">
        <f t="shared" si="73"/>
        <v>58.498069242254971</v>
      </c>
      <c r="AZ117" s="746">
        <f t="shared" si="77"/>
        <v>58.441032318504796</v>
      </c>
      <c r="BA117" s="643">
        <f t="shared" si="74"/>
        <v>1.0087863469294964</v>
      </c>
      <c r="BC117" s="11">
        <v>43203</v>
      </c>
      <c r="BD117" s="290">
        <f>[3]!FeuilCaduc*(1-Persistant)+Persistant</f>
        <v>0.63498671450013544</v>
      </c>
      <c r="BE117" s="291">
        <f>[3]!CroissVégét</f>
        <v>8.3187958998136649E-2</v>
      </c>
      <c r="BF117" s="816">
        <f>1+[3]!Salcycl*Ksac</f>
        <v>1.0043733393125169</v>
      </c>
      <c r="BH117" s="1053">
        <f t="shared" si="75"/>
        <v>1.3820173811007535E-4</v>
      </c>
      <c r="BI117" s="11">
        <v>44299</v>
      </c>
      <c r="BJ117" s="726">
        <v>1.3496731183530714E-5</v>
      </c>
      <c r="BK117" s="726">
        <v>6.2389782146873623E-5</v>
      </c>
      <c r="BL117" s="726">
        <v>1.0348999596825286E-4</v>
      </c>
      <c r="BM117" s="726">
        <v>1.3829259688484744E-4</v>
      </c>
      <c r="BN117" s="726">
        <v>1.6960439010768648E-4</v>
      </c>
      <c r="BO117" s="727">
        <v>2.0607665068321003E-4</v>
      </c>
      <c r="BP117" s="726">
        <v>2.7942799500366763E-4</v>
      </c>
      <c r="BQ117" s="726">
        <v>4.5356135927091798E-4</v>
      </c>
      <c r="BR117" s="726">
        <v>9.4759712850512039E-4</v>
      </c>
      <c r="BS117" s="726">
        <v>2.0673050277434974E-3</v>
      </c>
      <c r="BT117" s="726">
        <v>3.7480078484091722E-3</v>
      </c>
      <c r="BW117" s="1186">
        <f>'2018'!R\Max</f>
        <v>0</v>
      </c>
      <c r="BX117" s="1184">
        <f>'2019'!R\Max</f>
        <v>1.0087863469294964</v>
      </c>
      <c r="BY117" s="1184">
        <f>'2020'!R\Max</f>
        <v>0.77992141655036573</v>
      </c>
      <c r="BZ117" s="1184">
        <f>'2021'!R\Max</f>
        <v>0.88954904994929129</v>
      </c>
      <c r="CA117" s="1184">
        <f>'2022'!R\Max</f>
        <v>0.13505095501331216</v>
      </c>
      <c r="CB117" s="1184">
        <f>'2023'!R\Max</f>
        <v>0.13505071316389466</v>
      </c>
      <c r="CC117" s="1184">
        <f>'2024'!R\Max</f>
        <v>0.13505044540710284</v>
      </c>
      <c r="CD117" s="1184">
        <f>'2025'!R\Max</f>
        <v>0.1350514179662996</v>
      </c>
      <c r="CE117" s="1184">
        <f>'2026'!R\Max</f>
        <v>0.13505131472703352</v>
      </c>
      <c r="CF117" s="1185">
        <f>'2027'!R\Max</f>
        <v>0.13505121101152318</v>
      </c>
    </row>
    <row r="118" spans="1:84" s="6" customFormat="1" ht="11.25" x14ac:dyDescent="0.2">
      <c r="A118" s="11">
        <v>43204</v>
      </c>
      <c r="B118" s="380">
        <f>'2022'!Maxi_hp</f>
        <v>57.514245582008527</v>
      </c>
      <c r="C118" s="13">
        <f>'2022'!An_max</f>
        <v>2021</v>
      </c>
      <c r="D118" s="1062">
        <f t="shared" si="59"/>
        <v>0.97881902478863814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3">
        <f t="shared" si="62"/>
        <v>0.14285714285714285</v>
      </c>
      <c r="J118" s="746">
        <f t="shared" si="63"/>
        <v>58.758814577013254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5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3">
        <f t="shared" si="67"/>
        <v>0.42857142857142855</v>
      </c>
      <c r="AT118" s="769">
        <f t="shared" si="68"/>
        <v>58.618815160436291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3">
        <f t="shared" si="72"/>
        <v>7.1428571428571425E-2</v>
      </c>
      <c r="AY118" s="769">
        <f t="shared" si="73"/>
        <v>58.746217493154106</v>
      </c>
      <c r="AZ118" s="746">
        <f t="shared" si="77"/>
        <v>58.682516326795195</v>
      </c>
      <c r="BA118" s="643">
        <f t="shared" si="74"/>
        <v>0.97881902478863814</v>
      </c>
      <c r="BC118" s="11">
        <v>43204</v>
      </c>
      <c r="BD118" s="290">
        <f>[3]!FeuilCaduc*(1-Persistant)+Persistant</f>
        <v>0.63725228784333743</v>
      </c>
      <c r="BE118" s="291">
        <f>[3]!CroissVégét</f>
        <v>8.6425206757263798E-2</v>
      </c>
      <c r="BF118" s="816">
        <f>1+[3]!Salcycl*Ksac</f>
        <v>1.0046565359804172</v>
      </c>
      <c r="BH118" s="1053">
        <f t="shared" si="75"/>
        <v>1.659358179945931E-4</v>
      </c>
      <c r="BI118" s="11">
        <v>44300</v>
      </c>
      <c r="BJ118" s="726">
        <v>1.6350465655686381E-5</v>
      </c>
      <c r="BK118" s="726">
        <v>7.3715531721621331E-5</v>
      </c>
      <c r="BL118" s="726">
        <v>1.2300413925464925E-4</v>
      </c>
      <c r="BM118" s="726">
        <v>1.6604819264041997E-4</v>
      </c>
      <c r="BN118" s="726">
        <v>2.0401013077127165E-4</v>
      </c>
      <c r="BO118" s="727">
        <v>2.4758233577778989E-4</v>
      </c>
      <c r="BP118" s="726">
        <v>3.3011421281613256E-4</v>
      </c>
      <c r="BQ118" s="726">
        <v>5.1306384986021098E-4</v>
      </c>
      <c r="BR118" s="726">
        <v>9.9731413652542509E-4</v>
      </c>
      <c r="BS118" s="726">
        <v>2.0381541654277669E-3</v>
      </c>
      <c r="BT118" s="726">
        <v>3.5734172310500785E-3</v>
      </c>
      <c r="BW118" s="1186">
        <f>'2018'!R\Max</f>
        <v>0</v>
      </c>
      <c r="BX118" s="1184">
        <f>'2019'!R\Max</f>
        <v>0.5253252989817877</v>
      </c>
      <c r="BY118" s="1184">
        <f>'2020'!R\Max</f>
        <v>0.30374433403742185</v>
      </c>
      <c r="BZ118" s="1184">
        <f>'2021'!R\Max</f>
        <v>0.97881902478863814</v>
      </c>
      <c r="CA118" s="1184">
        <f>'2022'!R\Max</f>
        <v>0.72713964067178261</v>
      </c>
      <c r="CB118" s="1184">
        <f>'2023'!R\Max</f>
        <v>0.72713906984499932</v>
      </c>
      <c r="CC118" s="1184">
        <f>'2024'!R\Max</f>
        <v>0.72713844261846305</v>
      </c>
      <c r="CD118" s="1184">
        <f>'2025'!R\Max</f>
        <v>0.72714080667343517</v>
      </c>
      <c r="CE118" s="1184">
        <f>'2026'!R\Max</f>
        <v>0.72714054411345674</v>
      </c>
      <c r="CF118" s="1185">
        <f>'2027'!R\Max</f>
        <v>0.72714028034147105</v>
      </c>
    </row>
    <row r="119" spans="1:84" s="6" customFormat="1" ht="11.25" x14ac:dyDescent="0.2">
      <c r="A119" s="11">
        <v>43205</v>
      </c>
      <c r="B119" s="380">
        <f>'2022'!Maxi_hp</f>
        <v>58.00017289991299</v>
      </c>
      <c r="C119" s="13">
        <f>'2022'!An_max</f>
        <v>2021</v>
      </c>
      <c r="D119" s="1062">
        <f t="shared" si="59"/>
        <v>0.98321774619540236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3">
        <f t="shared" si="62"/>
        <v>7.1428571428571425E-2</v>
      </c>
      <c r="J119" s="746">
        <f t="shared" si="63"/>
        <v>58.990160749586565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5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3">
        <f t="shared" si="67"/>
        <v>0.4642857142857143</v>
      </c>
      <c r="AT119" s="769">
        <f t="shared" si="68"/>
        <v>58.848642616186815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3">
        <f t="shared" si="72"/>
        <v>3.5714285714285712E-2</v>
      </c>
      <c r="AY119" s="769">
        <f t="shared" si="73"/>
        <v>58.985204227707754</v>
      </c>
      <c r="AZ119" s="746">
        <f t="shared" si="77"/>
        <v>58.916923421947288</v>
      </c>
      <c r="BA119" s="643">
        <f t="shared" si="74"/>
        <v>0.98321774619540236</v>
      </c>
      <c r="BC119" s="11">
        <v>43205</v>
      </c>
      <c r="BD119" s="290">
        <f>[3]!FeuilCaduc*(1-Persistant)+Persistant</f>
        <v>0.63962349216240544</v>
      </c>
      <c r="BE119" s="291">
        <f>[3]!CroissVégét</f>
        <v>8.9774041376326802E-2</v>
      </c>
      <c r="BF119" s="816">
        <f>1+[3]!Salcycl*Ksac</f>
        <v>1.0049529365203007</v>
      </c>
      <c r="BH119" s="1053">
        <f t="shared" si="75"/>
        <v>1.9701274748437208E-4</v>
      </c>
      <c r="BI119" s="11">
        <v>44301</v>
      </c>
      <c r="BJ119" s="726">
        <v>1.9654872375762173E-5</v>
      </c>
      <c r="BK119" s="726">
        <v>8.6299408304273538E-5</v>
      </c>
      <c r="BL119" s="726">
        <v>1.4472365983146098E-4</v>
      </c>
      <c r="BM119" s="726">
        <v>1.9714961536091609E-4</v>
      </c>
      <c r="BN119" s="726">
        <v>2.4265281705129424E-4</v>
      </c>
      <c r="BO119" s="727">
        <v>2.9430334447626277E-4</v>
      </c>
      <c r="BP119" s="726">
        <v>3.8761566372089769E-4</v>
      </c>
      <c r="BQ119" s="726">
        <v>5.8297362055953483E-4</v>
      </c>
      <c r="BR119" s="726">
        <v>1.0653789711278108E-3</v>
      </c>
      <c r="BS119" s="726">
        <v>2.0487068451727633E-3</v>
      </c>
      <c r="BT119" s="726">
        <v>3.4719419420821637E-3</v>
      </c>
      <c r="BW119" s="1186">
        <f>'2018'!R\Max</f>
        <v>0</v>
      </c>
      <c r="BX119" s="1184">
        <f>'2019'!R\Max</f>
        <v>0.7070622070412097</v>
      </c>
      <c r="BY119" s="1184">
        <f>'2020'!R\Max</f>
        <v>0.94412565913711877</v>
      </c>
      <c r="BZ119" s="1184">
        <f>'2021'!R\Max</f>
        <v>0.98321774619540236</v>
      </c>
      <c r="CA119" s="1184">
        <f>'2022'!R\Max</f>
        <v>0.83012308652895361</v>
      </c>
      <c r="CB119" s="1184">
        <f>'2023'!R\Max</f>
        <v>0.83012262791522684</v>
      </c>
      <c r="CC119" s="1184">
        <f>'2024'!R\Max</f>
        <v>0.83012212689390941</v>
      </c>
      <c r="CD119" s="1184">
        <f>'2025'!R\Max</f>
        <v>0.83012407255496212</v>
      </c>
      <c r="CE119" s="1184">
        <f>'2026'!R\Max</f>
        <v>0.83012384891654045</v>
      </c>
      <c r="CF119" s="1185">
        <f>'2027'!R\Max</f>
        <v>0.83012362423309916</v>
      </c>
    </row>
    <row r="120" spans="1:84" s="6" customFormat="1" ht="11.25" x14ac:dyDescent="0.2">
      <c r="A120" s="11">
        <v>43206</v>
      </c>
      <c r="B120" s="380">
        <f>'2022'!Maxi_hp</f>
        <v>52.848516926149152</v>
      </c>
      <c r="C120" s="13">
        <f>'2022'!An_max</f>
        <v>2020</v>
      </c>
      <c r="D120" s="1062" t="str">
        <f t="shared" si="59"/>
        <v/>
      </c>
      <c r="E120" s="1057">
        <f>U$13/10</f>
        <v>59.214599999999997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3">
        <f t="shared" si="62"/>
        <v>0</v>
      </c>
      <c r="J120" s="746">
        <f t="shared" si="63"/>
        <v>59.214599998295306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5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3">
        <f t="shared" si="67"/>
        <v>0.5</v>
      </c>
      <c r="AT120" s="769">
        <f t="shared" si="68"/>
        <v>59.073437500372528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3">
        <f t="shared" si="72"/>
        <v>0</v>
      </c>
      <c r="AY120" s="769">
        <f t="shared" si="73"/>
        <v>59.21459999978542</v>
      </c>
      <c r="AZ120" s="746">
        <f t="shared" si="77"/>
        <v>59.14401875007897</v>
      </c>
      <c r="BA120" s="643">
        <f t="shared" si="74"/>
        <v>0.8924913269306991</v>
      </c>
      <c r="BC120" s="11">
        <v>43206</v>
      </c>
      <c r="BD120" s="290">
        <f>[3]!FeuilCaduc*(1-Persistant)+Persistant</f>
        <v>0.64210180456604782</v>
      </c>
      <c r="BE120" s="291">
        <f>[3]!CroissVégét</f>
        <v>9.3237357323611589E-2</v>
      </c>
      <c r="BF120" s="816">
        <f>1+[3]!Salcycl*Ksac</f>
        <v>1.005262725570756</v>
      </c>
      <c r="BH120" s="1053">
        <f t="shared" si="75"/>
        <v>2.3143027350338809E-4</v>
      </c>
      <c r="BI120" s="11">
        <v>44302</v>
      </c>
      <c r="BJ120" s="726">
        <v>2.3409670845842434E-5</v>
      </c>
      <c r="BK120" s="726">
        <v>1.0014053888900463E-4</v>
      </c>
      <c r="BL120" s="726">
        <v>1.6864703758339987E-4</v>
      </c>
      <c r="BM120" s="726">
        <v>2.3159461005177023E-4</v>
      </c>
      <c r="BN120" s="726">
        <v>2.8552961325853241E-4</v>
      </c>
      <c r="BO120" s="727">
        <v>3.4623620775314708E-4</v>
      </c>
      <c r="BP120" s="726">
        <v>4.5192789772979949E-4</v>
      </c>
      <c r="BQ120" s="726">
        <v>6.6328430328340402E-4</v>
      </c>
      <c r="BR120" s="726">
        <v>1.1517817016588939E-3</v>
      </c>
      <c r="BS120" s="726">
        <v>2.0989449039386298E-3</v>
      </c>
      <c r="BT120" s="726">
        <v>3.4435514991488186E-3</v>
      </c>
      <c r="BW120" s="1186">
        <f>'2018'!R\Max</f>
        <v>0</v>
      </c>
      <c r="BX120" s="1184">
        <f>'2019'!R\Max</f>
        <v>0.64026752678479582</v>
      </c>
      <c r="BY120" s="1184">
        <f>'2020'!R\Max</f>
        <v>0.8924913269306991</v>
      </c>
      <c r="BZ120" s="1184">
        <f>'2021'!R\Max</f>
        <v>0.87051781637408954</v>
      </c>
      <c r="CA120" s="1184">
        <f>'2022'!R\Max</f>
        <v>0.79807022435047426</v>
      </c>
      <c r="CB120" s="1184">
        <f>'2023'!R\Max</f>
        <v>0.79806963068190395</v>
      </c>
      <c r="CC120" s="1184">
        <f>'2024'!R\Max</f>
        <v>0.79806898477241828</v>
      </c>
      <c r="CD120" s="1184">
        <f>'2025'!R\Max</f>
        <v>0.79807155295063958</v>
      </c>
      <c r="CE120" s="1184">
        <f>'2026'!R\Max</f>
        <v>0.79807125000132983</v>
      </c>
      <c r="CF120" s="1185">
        <f>'2027'!R\Max</f>
        <v>0.79807094560459602</v>
      </c>
    </row>
    <row r="121" spans="1:84" s="6" customFormat="1" ht="11.25" x14ac:dyDescent="0.2">
      <c r="A121" s="11">
        <v>43207</v>
      </c>
      <c r="B121" s="380">
        <f>'2022'!Maxi_hp</f>
        <v>57.728351760885495</v>
      </c>
      <c r="C121" s="13">
        <f>'2022'!An_max</f>
        <v>2022</v>
      </c>
      <c r="D121" s="1062">
        <f t="shared" si="59"/>
        <v>0.97134110668875551</v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3">
        <f t="shared" si="62"/>
        <v>7.1428571428571425E-2</v>
      </c>
      <c r="J121" s="746">
        <f t="shared" si="63"/>
        <v>59.431595516098398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5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3">
        <f t="shared" si="67"/>
        <v>0.5357142857142857</v>
      </c>
      <c r="AT121" s="769">
        <f t="shared" si="68"/>
        <v>59.293159553195757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3">
        <f t="shared" si="72"/>
        <v>3.5714285714285712E-2</v>
      </c>
      <c r="AY121" s="769">
        <f t="shared" si="73"/>
        <v>59.435265939682722</v>
      </c>
      <c r="AZ121" s="746">
        <f t="shared" si="77"/>
        <v>59.364212746439236</v>
      </c>
      <c r="BA121" s="643">
        <f t="shared" si="74"/>
        <v>0.97134110668875551</v>
      </c>
      <c r="BC121" s="11">
        <v>43207</v>
      </c>
      <c r="BD121" s="290">
        <f>[3]!FeuilCaduc*(1-Persistant)+Persistant</f>
        <v>0.64468856629298599</v>
      </c>
      <c r="BE121" s="291">
        <f>[3]!CroissVégét</f>
        <v>9.6818050392965163E-2</v>
      </c>
      <c r="BF121" s="816">
        <f>1+[3]!Salcycl*Ksac</f>
        <v>1.0055860707866233</v>
      </c>
      <c r="BH121" s="1053">
        <f t="shared" si="75"/>
        <v>2.6918593840693974E-4</v>
      </c>
      <c r="BI121" s="11">
        <v>44303</v>
      </c>
      <c r="BJ121" s="726">
        <v>2.7614554141027607E-5</v>
      </c>
      <c r="BK121" s="726">
        <v>1.1523797231942882E-4</v>
      </c>
      <c r="BL121" s="726">
        <v>1.9477261584789331E-4</v>
      </c>
      <c r="BM121" s="726">
        <v>2.6938071697169203E-4</v>
      </c>
      <c r="BN121" s="726">
        <v>3.3263742539210467E-4</v>
      </c>
      <c r="BO121" s="727">
        <v>4.0337713972151247E-4</v>
      </c>
      <c r="BP121" s="726">
        <v>5.230460553955627E-4</v>
      </c>
      <c r="BQ121" s="726">
        <v>7.5398892790009111E-4</v>
      </c>
      <c r="BR121" s="726">
        <v>1.2565114076341644E-3</v>
      </c>
      <c r="BS121" s="726">
        <v>2.1888482142720734E-3</v>
      </c>
      <c r="BT121" s="726">
        <v>3.488211959377048E-3</v>
      </c>
      <c r="BW121" s="1186">
        <f>'2018'!R\Max</f>
        <v>0</v>
      </c>
      <c r="BX121" s="1184">
        <f>'2019'!R\Max</f>
        <v>0.66581008481899939</v>
      </c>
      <c r="BY121" s="1184">
        <f>'2020'!R\Max</f>
        <v>0.80375581507986638</v>
      </c>
      <c r="BZ121" s="1184">
        <f>'2021'!R\Max</f>
        <v>0.88395744705780865</v>
      </c>
      <c r="CA121" s="1184">
        <f>'2022'!R\Max</f>
        <v>0.97134110668875551</v>
      </c>
      <c r="CB121" s="1184">
        <f>'2023'!R\Max</f>
        <v>0.97134099053521894</v>
      </c>
      <c r="CC121" s="1184">
        <f>'2024'!R\Max</f>
        <v>0.97134086448812929</v>
      </c>
      <c r="CD121" s="1184">
        <f>'2025'!R\Max</f>
        <v>0.97134137489040462</v>
      </c>
      <c r="CE121" s="1184">
        <f>'2026'!R\Max</f>
        <v>0.97134131349279274</v>
      </c>
      <c r="CF121" s="1185">
        <f>'2027'!R\Max</f>
        <v>0.97134125179270692</v>
      </c>
    </row>
    <row r="122" spans="1:84" s="6" customFormat="1" ht="11.25" x14ac:dyDescent="0.2">
      <c r="A122" s="11">
        <v>43208</v>
      </c>
      <c r="B122" s="380">
        <f>'2022'!Maxi_hp</f>
        <v>42.565319321773202</v>
      </c>
      <c r="C122" s="13">
        <f>'2022'!An_max</f>
        <v>2021</v>
      </c>
      <c r="D122" s="1062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3">
        <f t="shared" si="62"/>
        <v>0.14285714285714285</v>
      </c>
      <c r="J122" s="746">
        <f t="shared" si="63"/>
        <v>59.640896791964771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5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3">
        <f t="shared" si="67"/>
        <v>0.5714285714285714</v>
      </c>
      <c r="AT122" s="769">
        <f t="shared" si="68"/>
        <v>59.507768513049406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3">
        <f t="shared" si="72"/>
        <v>7.1428571428571425E-2</v>
      </c>
      <c r="AY122" s="769">
        <f t="shared" si="73"/>
        <v>59.648465779743027</v>
      </c>
      <c r="AZ122" s="746">
        <f t="shared" si="77"/>
        <v>59.578117146396217</v>
      </c>
      <c r="BA122" s="643">
        <f t="shared" si="74"/>
        <v>0.71369348234729924</v>
      </c>
      <c r="BC122" s="11">
        <v>43208</v>
      </c>
      <c r="BD122" s="290">
        <f>[3]!FeuilCaduc*(1-Persistant)+Persistant</f>
        <v>0.64738497697865482</v>
      </c>
      <c r="BE122" s="291">
        <f>[3]!CroissVégét</f>
        <v>0.10051901103841099</v>
      </c>
      <c r="BF122" s="816">
        <f>1+[3]!Salcycl*Ksac</f>
        <v>1.0059231221223319</v>
      </c>
      <c r="BH122" s="1053">
        <f t="shared" si="75"/>
        <v>3.1349983815975722E-4</v>
      </c>
      <c r="BI122" s="11">
        <v>44304</v>
      </c>
      <c r="BJ122" s="726">
        <v>3.3813515510734106E-5</v>
      </c>
      <c r="BK122" s="726">
        <v>1.3345041089376228E-4</v>
      </c>
      <c r="BL122" s="726">
        <v>2.2549660861179025E-4</v>
      </c>
      <c r="BM122" s="726">
        <v>3.1373018861523272E-4</v>
      </c>
      <c r="BN122" s="726">
        <v>3.8832813938572341E-4</v>
      </c>
      <c r="BO122" s="727">
        <v>4.7127788481955414E-4</v>
      </c>
      <c r="BP122" s="726">
        <v>6.0758798404916727E-4</v>
      </c>
      <c r="BQ122" s="726">
        <v>8.6247810190995559E-4</v>
      </c>
      <c r="BR122" s="726">
        <v>1.3879742328483328E-3</v>
      </c>
      <c r="BS122" s="726">
        <v>2.3281940594158993E-3</v>
      </c>
      <c r="BT122" s="726">
        <v>3.6175260366554658E-3</v>
      </c>
      <c r="BW122" s="1186">
        <f>'2018'!R\Max</f>
        <v>0</v>
      </c>
      <c r="BX122" s="1184">
        <f>'2019'!R\Max</f>
        <v>0.50422495091981923</v>
      </c>
      <c r="BY122" s="1184">
        <f>'2020'!R\Max</f>
        <v>0.60026615015503526</v>
      </c>
      <c r="BZ122" s="1184">
        <f>'2021'!R\Max</f>
        <v>0.71369348234729924</v>
      </c>
      <c r="CA122" s="1184">
        <f>'2022'!R\Max</f>
        <v>0.66960299204234008</v>
      </c>
      <c r="CB122" s="1184">
        <f>'2023'!R\Max</f>
        <v>0.66960193986936511</v>
      </c>
      <c r="CC122" s="1184">
        <f>'2024'!R\Max</f>
        <v>0.66960080046569548</v>
      </c>
      <c r="CD122" s="1184">
        <f>'2025'!R\Max</f>
        <v>0.66960549841035011</v>
      </c>
      <c r="CE122" s="1184">
        <f>'2026'!R\Max</f>
        <v>0.6696049225966102</v>
      </c>
      <c r="CF122" s="1185">
        <f>'2027'!R\Max</f>
        <v>0.66960434386005496</v>
      </c>
    </row>
    <row r="123" spans="1:84" s="6" customFormat="1" ht="11.25" x14ac:dyDescent="0.2">
      <c r="A123" s="11">
        <v>43209</v>
      </c>
      <c r="B123" s="380">
        <f>'2022'!Maxi_hp</f>
        <v>57.730407119667383</v>
      </c>
      <c r="C123" s="13">
        <f>'2022'!An_max</f>
        <v>2021</v>
      </c>
      <c r="D123" s="1062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3">
        <f t="shared" si="62"/>
        <v>0.21428571428571427</v>
      </c>
      <c r="J123" s="746">
        <f t="shared" si="63"/>
        <v>59.842825910608688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5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3">
        <f t="shared" si="67"/>
        <v>0.6071428571428571</v>
      </c>
      <c r="AT123" s="769">
        <f t="shared" si="68"/>
        <v>59.71722412104053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3">
        <f t="shared" si="72"/>
        <v>0.10714285714285714</v>
      </c>
      <c r="AY123" s="769">
        <f t="shared" si="73"/>
        <v>59.854373983905795</v>
      </c>
      <c r="AZ123" s="746">
        <f t="shared" si="77"/>
        <v>59.785799052473166</v>
      </c>
      <c r="BA123" s="643">
        <f t="shared" si="74"/>
        <v>0.96470055083801076</v>
      </c>
      <c r="BC123" s="11">
        <v>43209</v>
      </c>
      <c r="BD123" s="290">
        <f>[3]!FeuilCaduc*(1-Persistant)+Persistant</f>
        <v>0.65019208870491529</v>
      </c>
      <c r="BE123" s="291">
        <f>[3]!CroissVégét</f>
        <v>0.1043431172076847</v>
      </c>
      <c r="BF123" s="816">
        <f>1+[3]!Salcycl*Ksac</f>
        <v>1.0062740110881143</v>
      </c>
      <c r="BH123" s="1053">
        <f t="shared" si="75"/>
        <v>3.6342354715588557E-4</v>
      </c>
      <c r="BI123" s="11">
        <v>44305</v>
      </c>
      <c r="BJ123" s="726">
        <v>4.2028940095031604E-5</v>
      </c>
      <c r="BK123" s="726">
        <v>1.5440514045001597E-4</v>
      </c>
      <c r="BL123" s="726">
        <v>2.6012706205652796E-4</v>
      </c>
      <c r="BM123" s="726">
        <v>3.6369392805569886E-4</v>
      </c>
      <c r="BN123" s="726">
        <v>4.5143638273152805E-4</v>
      </c>
      <c r="BO123" s="727">
        <v>5.4847511831742041E-4</v>
      </c>
      <c r="BP123" s="726">
        <v>7.0318485251610581E-4</v>
      </c>
      <c r="BQ123" s="726">
        <v>9.8384468901374232E-4</v>
      </c>
      <c r="BR123" s="726">
        <v>1.5353595385048516E-3</v>
      </c>
      <c r="BS123" s="726">
        <v>2.4897567560814259E-3</v>
      </c>
      <c r="BT123" s="726">
        <v>3.7783878270406346E-3</v>
      </c>
      <c r="BW123" s="1186">
        <f>'2018'!R\Max</f>
        <v>0</v>
      </c>
      <c r="BX123" s="1184">
        <f>'2019'!R\Max</f>
        <v>0.90122911790777005</v>
      </c>
      <c r="BY123" s="1184">
        <f>'2020'!R\Max</f>
        <v>0.77751493836256491</v>
      </c>
      <c r="BZ123" s="1184">
        <f>'2021'!R\Max</f>
        <v>0.96470055083801076</v>
      </c>
      <c r="CA123" s="1184">
        <f>'2022'!R\Max</f>
        <v>0.15954763215172296</v>
      </c>
      <c r="CB123" s="1184">
        <f>'2023'!R\Max</f>
        <v>0.15954702872556392</v>
      </c>
      <c r="CC123" s="1184">
        <f>'2024'!R\Max</f>
        <v>0.15954637660602505</v>
      </c>
      <c r="CD123" s="1184">
        <f>'2025'!R\Max</f>
        <v>0.1595491165775261</v>
      </c>
      <c r="CE123" s="1184">
        <f>'2026'!R\Max</f>
        <v>0.15954877434894765</v>
      </c>
      <c r="CF123" s="1185">
        <f>'2027'!R\Max</f>
        <v>0.15954843033841309</v>
      </c>
    </row>
    <row r="124" spans="1:84" s="6" customFormat="1" ht="11.25" x14ac:dyDescent="0.2">
      <c r="A124" s="11">
        <v>43210</v>
      </c>
      <c r="B124" s="380">
        <f>'2022'!Maxi_hp</f>
        <v>54.953153725787914</v>
      </c>
      <c r="C124" s="13">
        <f>'2022'!An_max</f>
        <v>2019</v>
      </c>
      <c r="D124" s="1062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3">
        <f t="shared" si="62"/>
        <v>0.2857142857142857</v>
      </c>
      <c r="J124" s="746">
        <f t="shared" si="63"/>
        <v>60.037704955892899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5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3">
        <f t="shared" si="67"/>
        <v>0.6428571428571429</v>
      </c>
      <c r="AT124" s="769">
        <f t="shared" si="68"/>
        <v>59.921486114604136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3">
        <f t="shared" si="72"/>
        <v>0.14285714285714285</v>
      </c>
      <c r="AY124" s="769">
        <f t="shared" si="73"/>
        <v>60.053165015258955</v>
      </c>
      <c r="AZ124" s="746">
        <f t="shared" si="77"/>
        <v>59.987325564931545</v>
      </c>
      <c r="BA124" s="643">
        <f t="shared" si="74"/>
        <v>0.91531069960385092</v>
      </c>
      <c r="BC124" s="11">
        <v>43210</v>
      </c>
      <c r="BD124" s="290">
        <f>[3]!FeuilCaduc*(1-Persistant)+Persistant</f>
        <v>0.65311079982610099</v>
      </c>
      <c r="BE124" s="291">
        <f>[3]!CroissVégét</f>
        <v>0.10829322666502313</v>
      </c>
      <c r="BF124" s="816">
        <f>1+[3]!Salcycl*Ksac</f>
        <v>1.0066388499782626</v>
      </c>
      <c r="BH124" s="1053">
        <f t="shared" si="75"/>
        <v>4.1895255106964786E-4</v>
      </c>
      <c r="BI124" s="11">
        <v>44306</v>
      </c>
      <c r="BJ124" s="726">
        <v>5.2259503497856427E-5</v>
      </c>
      <c r="BK124" s="726">
        <v>1.7810005727431319E-4</v>
      </c>
      <c r="BL124" s="726">
        <v>2.9866083395985865E-4</v>
      </c>
      <c r="BM124" s="726">
        <v>4.1926741737590155E-4</v>
      </c>
      <c r="BN124" s="726">
        <v>5.2195627627568697E-4</v>
      </c>
      <c r="BO124" s="727">
        <v>6.3496152996891572E-4</v>
      </c>
      <c r="BP124" s="726">
        <v>8.0982784595308032E-4</v>
      </c>
      <c r="BQ124" s="726">
        <v>1.1180780899505247E-3</v>
      </c>
      <c r="BR124" s="726">
        <v>1.6986541875243257E-3</v>
      </c>
      <c r="BS124" s="726">
        <v>2.6735190775947154E-3</v>
      </c>
      <c r="BT124" s="726">
        <v>3.9707746835009102E-3</v>
      </c>
      <c r="BW124" s="1186">
        <f>'2018'!R\Max</f>
        <v>0</v>
      </c>
      <c r="BX124" s="1184">
        <f>'2019'!R\Max</f>
        <v>0.91531069960385092</v>
      </c>
      <c r="BY124" s="1184">
        <f>'2020'!R\Max</f>
        <v>0.31417550813520001</v>
      </c>
      <c r="BZ124" s="1184">
        <f>'2021'!R\Max</f>
        <v>0.70227170123163429</v>
      </c>
      <c r="CA124" s="1184">
        <f>'2022'!R\Max</f>
        <v>0.18200299764891223</v>
      </c>
      <c r="CB124" s="1184">
        <f>'2023'!R\Max</f>
        <v>0.18200221865382396</v>
      </c>
      <c r="CC124" s="1184">
        <f>'2024'!R\Max</f>
        <v>0.18200137841406946</v>
      </c>
      <c r="CD124" s="1184">
        <f>'2025'!R\Max</f>
        <v>0.18200497540194613</v>
      </c>
      <c r="CE124" s="1184">
        <f>'2026'!R\Max</f>
        <v>0.18200451794325115</v>
      </c>
      <c r="CF124" s="1185">
        <f>'2027'!R\Max</f>
        <v>0.18200405804442701</v>
      </c>
    </row>
    <row r="125" spans="1:84" s="6" customFormat="1" ht="11.25" x14ac:dyDescent="0.2">
      <c r="A125" s="11">
        <v>43211</v>
      </c>
      <c r="B125" s="380">
        <f>'2022'!Maxi_hp</f>
        <v>55.659407422413302</v>
      </c>
      <c r="C125" s="13">
        <f>'2022'!An_max</f>
        <v>2021</v>
      </c>
      <c r="D125" s="1062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3">
        <f t="shared" si="62"/>
        <v>0.35714285714285715</v>
      </c>
      <c r="J125" s="746">
        <f t="shared" si="63"/>
        <v>60.225856012318808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5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3">
        <f t="shared" si="67"/>
        <v>0.6785714285714286</v>
      </c>
      <c r="AT125" s="769">
        <f t="shared" si="68"/>
        <v>60.120514235273006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3">
        <f t="shared" si="72"/>
        <v>0.17857142857142858</v>
      </c>
      <c r="AY125" s="769">
        <f t="shared" si="73"/>
        <v>60.245013333936889</v>
      </c>
      <c r="AZ125" s="746">
        <f t="shared" si="77"/>
        <v>60.182763784604944</v>
      </c>
      <c r="BA125" s="643">
        <f t="shared" si="74"/>
        <v>0.92417793797781023</v>
      </c>
      <c r="BC125" s="11">
        <v>43211</v>
      </c>
      <c r="BD125" s="290">
        <f>[3]!FeuilCaduc*(1-Persistant)+Persistant</f>
        <v>0.65614184857212821</v>
      </c>
      <c r="BE125" s="291">
        <f>[3]!CroissVégét</f>
        <v>0.11237216879596926</v>
      </c>
      <c r="BF125" s="816">
        <f>1+[3]!Salcycl*Ksac</f>
        <v>1.007017731071516</v>
      </c>
      <c r="BH125" s="1053">
        <f t="shared" si="75"/>
        <v>4.800833186513241E-4</v>
      </c>
      <c r="BI125" s="11">
        <v>44307</v>
      </c>
      <c r="BJ125" s="726">
        <v>6.4503939676869196E-5</v>
      </c>
      <c r="BK125" s="726">
        <v>2.0453345686620582E-4</v>
      </c>
      <c r="BL125" s="726">
        <v>3.4109548616649164E-4</v>
      </c>
      <c r="BM125" s="726">
        <v>4.804471224649214E-4</v>
      </c>
      <c r="BN125" s="726">
        <v>5.998831451298354E-4</v>
      </c>
      <c r="BO125" s="727">
        <v>7.3073126121359598E-4</v>
      </c>
      <c r="BP125" s="726">
        <v>9.2751003758150756E-4</v>
      </c>
      <c r="BQ125" s="726">
        <v>1.265170417796206E-3</v>
      </c>
      <c r="BR125" s="726">
        <v>1.8778492926816749E-3</v>
      </c>
      <c r="BS125" s="726">
        <v>2.8794705228292264E-3</v>
      </c>
      <c r="BT125" s="726">
        <v>4.1946738998992405E-3</v>
      </c>
      <c r="BW125" s="1186">
        <f>'2018'!R\Max</f>
        <v>0</v>
      </c>
      <c r="BX125" s="1184">
        <f>'2019'!R\Max</f>
        <v>0.32019051399989856</v>
      </c>
      <c r="BY125" s="1184">
        <f>'2020'!R\Max</f>
        <v>0.26944378506114897</v>
      </c>
      <c r="BZ125" s="1184">
        <f>'2021'!R\Max</f>
        <v>0.92417793797781023</v>
      </c>
      <c r="CA125" s="1184">
        <f>'2022'!R\Max</f>
        <v>0.16772743941446205</v>
      </c>
      <c r="CB125" s="1184">
        <f>'2023'!R\Max</f>
        <v>0.16772663034624502</v>
      </c>
      <c r="CC125" s="1184">
        <f>'2024'!R\Max</f>
        <v>0.16772575921215796</v>
      </c>
      <c r="CD125" s="1184">
        <f>'2025'!R\Max</f>
        <v>0.16772955614765278</v>
      </c>
      <c r="CE125" s="1184">
        <f>'2026'!R\Max</f>
        <v>0.16772906507899338</v>
      </c>
      <c r="CF125" s="1185">
        <f>'2027'!R\Max</f>
        <v>0.1677285713276295</v>
      </c>
    </row>
    <row r="126" spans="1:84" s="6" customFormat="1" ht="11.25" x14ac:dyDescent="0.2">
      <c r="A126" s="11">
        <v>43212</v>
      </c>
      <c r="B126" s="380">
        <f>'2022'!Maxi_hp</f>
        <v>61.619887493232405</v>
      </c>
      <c r="C126" s="13">
        <f>'2022'!An_max</f>
        <v>2021</v>
      </c>
      <c r="D126" s="1062">
        <f t="shared" si="59"/>
        <v>1.0200684401257454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3">
        <f t="shared" si="62"/>
        <v>0.42857142857142855</v>
      </c>
      <c r="J126" s="746">
        <f t="shared" si="63"/>
        <v>60.407601166090799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5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3">
        <f t="shared" si="67"/>
        <v>0.7142857142857143</v>
      </c>
      <c r="AT126" s="769">
        <f t="shared" si="68"/>
        <v>60.31426822223834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3">
        <f t="shared" si="72"/>
        <v>0.21428571428571427</v>
      </c>
      <c r="AY126" s="769">
        <f t="shared" si="73"/>
        <v>60.430093403692752</v>
      </c>
      <c r="AZ126" s="746">
        <f t="shared" si="77"/>
        <v>60.372180812965546</v>
      </c>
      <c r="BA126" s="643">
        <f t="shared" si="74"/>
        <v>1.0200684401257454</v>
      </c>
      <c r="BC126" s="11">
        <v>43212</v>
      </c>
      <c r="BD126" s="290">
        <f>[3]!FeuilCaduc*(1-Persistant)+Persistant</f>
        <v>0.65928580643717583</v>
      </c>
      <c r="BE126" s="291">
        <f>[3]!CroissVégét</f>
        <v>0.11658273588973417</v>
      </c>
      <c r="BF126" s="816">
        <f>1+[3]!Salcycl*Ksac</f>
        <v>1.007410725804647</v>
      </c>
      <c r="BH126" s="1053">
        <f t="shared" si="75"/>
        <v>5.468127152776413E-4</v>
      </c>
      <c r="BI126" s="11">
        <v>44308</v>
      </c>
      <c r="BJ126" s="726">
        <v>7.8761018746603391E-5</v>
      </c>
      <c r="BK126" s="726">
        <v>2.3370379145378338E-4</v>
      </c>
      <c r="BL126" s="726">
        <v>3.8742885582597388E-4</v>
      </c>
      <c r="BM126" s="726">
        <v>5.4722990615584783E-4</v>
      </c>
      <c r="BN126" s="726">
        <v>6.8521280690604397E-4</v>
      </c>
      <c r="BO126" s="727">
        <v>8.3577904999688666E-4</v>
      </c>
      <c r="BP126" s="726">
        <v>1.0562252526411218E-3</v>
      </c>
      <c r="BQ126" s="726">
        <v>1.4251147762560526E-3</v>
      </c>
      <c r="BR126" s="726">
        <v>2.0729371863917202E-3</v>
      </c>
      <c r="BS126" s="726">
        <v>3.1076018628066462E-3</v>
      </c>
      <c r="BT126" s="726">
        <v>4.4500738875876663E-3</v>
      </c>
      <c r="BW126" s="1186">
        <f>'2018'!R\Max</f>
        <v>0</v>
      </c>
      <c r="BX126" s="1184">
        <f>'2019'!R\Max</f>
        <v>0.57012650267356069</v>
      </c>
      <c r="BY126" s="1184">
        <f>'2020'!R\Max</f>
        <v>0.26685529449809792</v>
      </c>
      <c r="BZ126" s="1184">
        <f>'2021'!R\Max</f>
        <v>1.0200684401257454</v>
      </c>
      <c r="CA126" s="1184">
        <f>'2022'!R\Max</f>
        <v>0.48944195293194681</v>
      </c>
      <c r="CB126" s="1184">
        <f>'2023'!R\Max</f>
        <v>0.48944002043064494</v>
      </c>
      <c r="CC126" s="1184">
        <f>'2024'!R\Max</f>
        <v>0.48943794300954635</v>
      </c>
      <c r="CD126" s="1184">
        <f>'2025'!R\Max</f>
        <v>0.48944715288437801</v>
      </c>
      <c r="CE126" s="1184">
        <f>'2026'!R\Max</f>
        <v>0.48944594329272434</v>
      </c>
      <c r="CF126" s="1185">
        <f>'2027'!R\Max</f>
        <v>0.48944472692755553</v>
      </c>
    </row>
    <row r="127" spans="1:84" s="6" customFormat="1" ht="11.25" x14ac:dyDescent="0.2">
      <c r="A127" s="11">
        <v>43213</v>
      </c>
      <c r="B127" s="380">
        <f>'2022'!Maxi_hp</f>
        <v>61.960154457717145</v>
      </c>
      <c r="C127" s="13">
        <f>'2022'!An_max</f>
        <v>2021</v>
      </c>
      <c r="D127" s="1062">
        <f t="shared" si="59"/>
        <v>1.022727266599557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3">
        <f t="shared" si="62"/>
        <v>0.5</v>
      </c>
      <c r="J127" s="746">
        <f t="shared" si="63"/>
        <v>60.583262499421835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5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3">
        <f t="shared" si="67"/>
        <v>0.75</v>
      </c>
      <c r="AT127" s="769">
        <f t="shared" si="68"/>
        <v>60.502707813121376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3">
        <f t="shared" si="72"/>
        <v>0.25</v>
      </c>
      <c r="AY127" s="769">
        <f t="shared" si="73"/>
        <v>60.608579687215389</v>
      </c>
      <c r="AZ127" s="746">
        <f t="shared" si="77"/>
        <v>60.555643750168386</v>
      </c>
      <c r="BA127" s="643">
        <f t="shared" si="74"/>
        <v>1.022727266599557</v>
      </c>
      <c r="BC127" s="11">
        <v>43213</v>
      </c>
      <c r="BD127" s="290">
        <f>[3]!FeuilCaduc*(1-Persistant)+Persistant</f>
        <v>0.66254307137046731</v>
      </c>
      <c r="BE127" s="291">
        <f>[3]!CroissVégét</f>
        <v>0.12092767389780094</v>
      </c>
      <c r="BF127" s="816">
        <f>1+[3]!Salcycl*Ksac</f>
        <v>1.0078178839213083</v>
      </c>
      <c r="BH127" s="1053">
        <f t="shared" si="75"/>
        <v>6.1913638467249368E-4</v>
      </c>
      <c r="BI127" s="11">
        <v>44309</v>
      </c>
      <c r="BJ127" s="726">
        <v>9.5029329539806794E-5</v>
      </c>
      <c r="BK127" s="726">
        <v>2.6560898452567525E-4</v>
      </c>
      <c r="BL127" s="726">
        <v>4.3765790965395919E-4</v>
      </c>
      <c r="BM127" s="726">
        <v>6.1961140870961417E-4</v>
      </c>
      <c r="BN127" s="726">
        <v>7.7793954831295803E-4</v>
      </c>
      <c r="BO127" s="727">
        <v>9.5009776594963478E-4</v>
      </c>
      <c r="BP127" s="726">
        <v>1.1959649479400265E-3</v>
      </c>
      <c r="BQ127" s="726">
        <v>1.5979010378974776E-3</v>
      </c>
      <c r="BR127" s="726">
        <v>2.2839053112336475E-3</v>
      </c>
      <c r="BS127" s="726">
        <v>3.3578961072131116E-3</v>
      </c>
      <c r="BT127" s="726">
        <v>4.736951413965889E-3</v>
      </c>
      <c r="BW127" s="1186">
        <f>'2018'!R\Max</f>
        <v>0</v>
      </c>
      <c r="BX127" s="1184">
        <f>'2019'!R\Max</f>
        <v>0.60216248230224378</v>
      </c>
      <c r="BY127" s="1184">
        <f>'2020'!R\Max</f>
        <v>0.17257041843439869</v>
      </c>
      <c r="BZ127" s="1184">
        <f>'2021'!R\Max</f>
        <v>1.022727266599557</v>
      </c>
      <c r="CA127" s="1184">
        <f>'2022'!R\Max</f>
        <v>0.16888036952500349</v>
      </c>
      <c r="CB127" s="1184">
        <f>'2023'!R\Max</f>
        <v>0.16887934780705632</v>
      </c>
      <c r="CC127" s="1184">
        <f>'2024'!R\Max</f>
        <v>0.16887825104779788</v>
      </c>
      <c r="CD127" s="1184">
        <f>'2025'!R\Max</f>
        <v>0.16888319121480591</v>
      </c>
      <c r="CE127" s="1184">
        <f>'2026'!R\Max</f>
        <v>0.16888253327135666</v>
      </c>
      <c r="CF127" s="1185">
        <f>'2027'!R\Max</f>
        <v>0.1688818715502963</v>
      </c>
    </row>
    <row r="128" spans="1:84" s="6" customFormat="1" ht="11.25" x14ac:dyDescent="0.2">
      <c r="A128" s="11">
        <v>43214</v>
      </c>
      <c r="B128" s="380">
        <f>'2022'!Maxi_hp</f>
        <v>59.446721075347604</v>
      </c>
      <c r="C128" s="13">
        <f>'2022'!An_max</f>
        <v>2021</v>
      </c>
      <c r="D128" s="1062">
        <f t="shared" si="59"/>
        <v>0.97849591726534979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3">
        <f t="shared" si="62"/>
        <v>0.5714285714285714</v>
      </c>
      <c r="J128" s="746">
        <f t="shared" si="63"/>
        <v>60.753162099527458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5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3">
        <f t="shared" si="67"/>
        <v>0.7857142857142857</v>
      </c>
      <c r="AT128" s="769">
        <f t="shared" si="68"/>
        <v>60.68579274857683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3">
        <f t="shared" si="72"/>
        <v>0.2857142857142857</v>
      </c>
      <c r="AY128" s="769">
        <f t="shared" si="73"/>
        <v>60.780646647832228</v>
      </c>
      <c r="AZ128" s="746">
        <f t="shared" si="77"/>
        <v>60.733219698204529</v>
      </c>
      <c r="BA128" s="643">
        <f t="shared" si="74"/>
        <v>0.97849591726534979</v>
      </c>
      <c r="BC128" s="11">
        <v>43214</v>
      </c>
      <c r="BD128" s="290">
        <f>[3]!FeuilCaduc*(1-Persistant)+Persistant</f>
        <v>0.66591386079386361</v>
      </c>
      <c r="BE128" s="291">
        <f>[3]!CroissVégét</f>
        <v>0.12540967267096395</v>
      </c>
      <c r="BF128" s="816">
        <f>1+[3]!Salcycl*Ksac</f>
        <v>1.0082392325992329</v>
      </c>
      <c r="BH128" s="1053">
        <f t="shared" si="75"/>
        <v>6.9894493373864137E-4</v>
      </c>
      <c r="BI128" s="11">
        <v>44310</v>
      </c>
      <c r="BJ128" s="726">
        <v>1.1251550906886317E-4</v>
      </c>
      <c r="BK128" s="726">
        <v>3.0041111235207685E-4</v>
      </c>
      <c r="BL128" s="726">
        <v>4.9270293113400651E-4</v>
      </c>
      <c r="BM128" s="726">
        <v>6.9948477687260563E-4</v>
      </c>
      <c r="BN128" s="726">
        <v>8.8168947590824733E-4</v>
      </c>
      <c r="BO128" s="727">
        <v>1.0791253482950293E-3</v>
      </c>
      <c r="BP128" s="726">
        <v>1.3533469596132286E-3</v>
      </c>
      <c r="BQ128" s="726">
        <v>1.7909715684181571E-3</v>
      </c>
      <c r="BR128" s="726">
        <v>2.518504117822307E-3</v>
      </c>
      <c r="BS128" s="726">
        <v>3.6380779882486023E-3</v>
      </c>
      <c r="BT128" s="726">
        <v>5.0627934240726064E-3</v>
      </c>
      <c r="BW128" s="1186">
        <f>'2018'!R\Max</f>
        <v>0</v>
      </c>
      <c r="BX128" s="1184">
        <f>'2019'!R\Max</f>
        <v>0.88505208344268738</v>
      </c>
      <c r="BY128" s="1184">
        <f>'2020'!R\Max</f>
        <v>0.27757149494167005</v>
      </c>
      <c r="BZ128" s="1184">
        <f>'2021'!R\Max</f>
        <v>0.97849591726534979</v>
      </c>
      <c r="CA128" s="1184">
        <f>'2022'!R\Max</f>
        <v>0.53442684365375115</v>
      </c>
      <c r="CB128" s="1184">
        <f>'2023'!R\Max</f>
        <v>0.53442443974879883</v>
      </c>
      <c r="CC128" s="1184">
        <f>'2024'!R\Max</f>
        <v>0.5344218636708653</v>
      </c>
      <c r="CD128" s="1184">
        <f>'2025'!R\Max</f>
        <v>0.53443367644358153</v>
      </c>
      <c r="CE128" s="1184">
        <f>'2026'!R\Max</f>
        <v>0.53443207920693858</v>
      </c>
      <c r="CF128" s="1185">
        <f>'2027'!R\Max</f>
        <v>0.53443047259083998</v>
      </c>
    </row>
    <row r="129" spans="1:84" s="6" customFormat="1" ht="11.25" x14ac:dyDescent="0.2">
      <c r="A129" s="11">
        <v>43215</v>
      </c>
      <c r="B129" s="380">
        <f>'2022'!Maxi_hp</f>
        <v>54.184367462537033</v>
      </c>
      <c r="C129" s="13">
        <f>'2022'!An_max</f>
        <v>2020</v>
      </c>
      <c r="D129" s="1062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3">
        <f t="shared" si="62"/>
        <v>0.6428571428571429</v>
      </c>
      <c r="J129" s="746">
        <f t="shared" si="63"/>
        <v>60.917622048407793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5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3">
        <f t="shared" si="67"/>
        <v>0.8214285714285714</v>
      </c>
      <c r="AT129" s="769">
        <f t="shared" si="68"/>
        <v>60.863482767875709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3">
        <f t="shared" si="72"/>
        <v>0.32142857142857145</v>
      </c>
      <c r="AY129" s="769">
        <f t="shared" si="73"/>
        <v>60.946468745491337</v>
      </c>
      <c r="AZ129" s="746">
        <f t="shared" si="77"/>
        <v>60.904975756683527</v>
      </c>
      <c r="BA129" s="643">
        <f t="shared" si="74"/>
        <v>0.8894695104723519</v>
      </c>
      <c r="BC129" s="11">
        <v>43215</v>
      </c>
      <c r="BD129" s="290">
        <f>[3]!FeuilCaduc*(1-Persistant)+Persistant</f>
        <v>0.66939820447918286</v>
      </c>
      <c r="BE129" s="291">
        <f>[3]!CroissVégét</f>
        <v>0.13003135568089563</v>
      </c>
      <c r="BF129" s="816">
        <f>1+[3]!Salcycl*Ksac</f>
        <v>1.0086747755598979</v>
      </c>
      <c r="BH129" s="1053">
        <f t="shared" si="75"/>
        <v>7.8382933075405554E-4</v>
      </c>
      <c r="BI129" s="11">
        <v>44311</v>
      </c>
      <c r="BJ129" s="726">
        <v>1.3074420651929724E-4</v>
      </c>
      <c r="BK129" s="726">
        <v>3.37218404969899E-4</v>
      </c>
      <c r="BL129" s="726">
        <v>5.5104018254119433E-4</v>
      </c>
      <c r="BM129" s="726">
        <v>7.8443866164561496E-4</v>
      </c>
      <c r="BN129" s="726">
        <v>9.9337168335711054E-4</v>
      </c>
      <c r="BO129" s="727">
        <v>1.2190854185580484E-3</v>
      </c>
      <c r="BP129" s="726">
        <v>1.5238950259221875E-3</v>
      </c>
      <c r="BQ129" s="726">
        <v>1.9987908994512503E-3</v>
      </c>
      <c r="BR129" s="726">
        <v>2.7691595875098136E-3</v>
      </c>
      <c r="BS129" s="726">
        <v>3.9356500672306687E-3</v>
      </c>
      <c r="BT129" s="726">
        <v>5.4076062946357513E-3</v>
      </c>
      <c r="BW129" s="1186">
        <f>'2018'!R\Max</f>
        <v>0</v>
      </c>
      <c r="BX129" s="1184">
        <f>'2019'!R\Max</f>
        <v>0.61331097047111527</v>
      </c>
      <c r="BY129" s="1184">
        <f>'2020'!R\Max</f>
        <v>0.8894695104723519</v>
      </c>
      <c r="BZ129" s="1184">
        <f>'2021'!R\Max</f>
        <v>0.47246398228604819</v>
      </c>
      <c r="CA129" s="1184">
        <f>'2022'!R\Max</f>
        <v>0.82029508751589231</v>
      </c>
      <c r="CB129" s="1184">
        <f>'2023'!R\Max</f>
        <v>0.82029350045813987</v>
      </c>
      <c r="CC129" s="1184">
        <f>'2024'!R\Max</f>
        <v>0.82029180285088643</v>
      </c>
      <c r="CD129" s="1184">
        <f>'2025'!R\Max</f>
        <v>0.82029973025229685</v>
      </c>
      <c r="CE129" s="1184">
        <f>'2026'!R\Max</f>
        <v>0.82029864243448469</v>
      </c>
      <c r="CF129" s="1185">
        <f>'2027'!R\Max</f>
        <v>0.82029754807008648</v>
      </c>
    </row>
    <row r="130" spans="1:84" s="6" customFormat="1" ht="11.25" x14ac:dyDescent="0.2">
      <c r="A130" s="11">
        <v>43216</v>
      </c>
      <c r="B130" s="380">
        <f>'2022'!Maxi_hp</f>
        <v>58.179521946902589</v>
      </c>
      <c r="C130" s="13">
        <f>'2022'!An_max</f>
        <v>2022</v>
      </c>
      <c r="D130" s="1062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3">
        <f t="shared" si="62"/>
        <v>0.7142857142857143</v>
      </c>
      <c r="J130" s="746">
        <f t="shared" si="63"/>
        <v>61.076964431681802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5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3">
        <f t="shared" si="67"/>
        <v>0.8571428571428571</v>
      </c>
      <c r="AT130" s="769">
        <f t="shared" si="68"/>
        <v>61.035737609969729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3">
        <f t="shared" si="72"/>
        <v>0.35714285714285715</v>
      </c>
      <c r="AY130" s="769">
        <f t="shared" si="73"/>
        <v>61.106220444717579</v>
      </c>
      <c r="AZ130" s="746">
        <f t="shared" si="77"/>
        <v>61.070979027343654</v>
      </c>
      <c r="BA130" s="643">
        <f t="shared" si="74"/>
        <v>0.95256079748331024</v>
      </c>
      <c r="BC130" s="11">
        <v>43216</v>
      </c>
      <c r="BD130" s="290">
        <f>[3]!FeuilCaduc*(1-Persistant)+Persistant</f>
        <v>0.67299593732628415</v>
      </c>
      <c r="BE130" s="291">
        <f>[3]!CroissVégét</f>
        <v>0.13479526923661356</v>
      </c>
      <c r="BF130" s="816">
        <f>1+[3]!Salcycl*Ksac</f>
        <v>1.0091244921657856</v>
      </c>
      <c r="BH130" s="1053">
        <f t="shared" si="75"/>
        <v>8.7378485202197376E-4</v>
      </c>
      <c r="BI130" s="11">
        <v>44312</v>
      </c>
      <c r="BJ130" s="726">
        <v>1.4971463884694313E-4</v>
      </c>
      <c r="BK130" s="726">
        <v>3.7602894029978908E-4</v>
      </c>
      <c r="BL130" s="726">
        <v>6.1266654053987067E-4</v>
      </c>
      <c r="BM130" s="726">
        <v>8.7446833514289834E-4</v>
      </c>
      <c r="BN130" s="726">
        <v>1.1129791598956794E-3</v>
      </c>
      <c r="BO130" s="727">
        <v>1.3699685605278113E-3</v>
      </c>
      <c r="BP130" s="726">
        <v>1.7075977639962221E-3</v>
      </c>
      <c r="BQ130" s="726">
        <v>2.2213459589458138E-3</v>
      </c>
      <c r="BR130" s="726">
        <v>3.0358569842036396E-3</v>
      </c>
      <c r="BS130" s="726">
        <v>4.2505957763115379E-3</v>
      </c>
      <c r="BT130" s="726">
        <v>5.7713713938501018E-3</v>
      </c>
      <c r="BW130" s="1186">
        <f>'2018'!R\Max</f>
        <v>0</v>
      </c>
      <c r="BX130" s="1184">
        <f>'2019'!R\Max</f>
        <v>0.50381029964953372</v>
      </c>
      <c r="BY130" s="1184">
        <f>'2020'!R\Max</f>
        <v>0.79942221407178138</v>
      </c>
      <c r="BZ130" s="1184">
        <f>'2021'!R\Max</f>
        <v>0.13415386968225393</v>
      </c>
      <c r="CA130" s="1184">
        <f>'2022'!R\Max</f>
        <v>0.95256079748331024</v>
      </c>
      <c r="CB130" s="1184">
        <f>'2023'!R\Max</f>
        <v>0.95256025710331749</v>
      </c>
      <c r="CC130" s="1184">
        <f>'2024'!R\Max</f>
        <v>0.95255968018988524</v>
      </c>
      <c r="CD130" s="1184">
        <f>'2025'!R\Max</f>
        <v>0.95256242317521012</v>
      </c>
      <c r="CE130" s="1184">
        <f>'2026'!R\Max</f>
        <v>0.95256204145428758</v>
      </c>
      <c r="CF130" s="1185">
        <f>'2027'!R\Max</f>
        <v>0.95256165737512499</v>
      </c>
    </row>
    <row r="131" spans="1:84" s="6" customFormat="1" ht="11.25" x14ac:dyDescent="0.2">
      <c r="A131" s="11">
        <v>43217</v>
      </c>
      <c r="B131" s="380">
        <f>'2022'!Maxi_hp</f>
        <v>43.829103884586168</v>
      </c>
      <c r="C131" s="13">
        <f>'2022'!An_max</f>
        <v>2022</v>
      </c>
      <c r="D131" s="1062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3">
        <f t="shared" si="62"/>
        <v>0.7857142857142857</v>
      </c>
      <c r="J131" s="746">
        <f t="shared" si="63"/>
        <v>61.231511333584784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5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3">
        <f t="shared" si="67"/>
        <v>0.8928571428571429</v>
      </c>
      <c r="AT131" s="769">
        <f t="shared" si="68"/>
        <v>61.202517015433742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3">
        <f t="shared" si="72"/>
        <v>0.39285714285714285</v>
      </c>
      <c r="AY131" s="769">
        <f t="shared" si="73"/>
        <v>61.260076206736265</v>
      </c>
      <c r="AZ131" s="746">
        <f t="shared" si="77"/>
        <v>61.231296611085</v>
      </c>
      <c r="BA131" s="643">
        <f t="shared" si="74"/>
        <v>0.71579327261429859</v>
      </c>
      <c r="BC131" s="11">
        <v>43217</v>
      </c>
      <c r="BD131" s="290">
        <f>[3]!FeuilCaduc*(1-Persistant)+Persistant</f>
        <v>0.67670669209087531</v>
      </c>
      <c r="BE131" s="291">
        <f>[3]!CroissVégét</f>
        <v>0.13970387121088346</v>
      </c>
      <c r="BF131" s="816">
        <f>1+[3]!Salcycl*Ksac</f>
        <v>1.0095883365113594</v>
      </c>
      <c r="BH131" s="1053">
        <f t="shared" si="75"/>
        <v>9.6880653986642111E-4</v>
      </c>
      <c r="BI131" s="11">
        <v>44313</v>
      </c>
      <c r="BJ131" s="726">
        <v>1.6942598361628449E-4</v>
      </c>
      <c r="BK131" s="726">
        <v>4.1684070091509845E-4</v>
      </c>
      <c r="BL131" s="726">
        <v>6.7757872710712155E-4</v>
      </c>
      <c r="BM131" s="726">
        <v>9.6956883529195049E-4</v>
      </c>
      <c r="BN131" s="726">
        <v>1.2405045478034071E-3</v>
      </c>
      <c r="BO131" s="727">
        <v>1.5317648922542476E-3</v>
      </c>
      <c r="BP131" s="726">
        <v>1.9044432282836912E-3</v>
      </c>
      <c r="BQ131" s="726">
        <v>2.4586230295421496E-3</v>
      </c>
      <c r="BR131" s="726">
        <v>3.3185808474087588E-3</v>
      </c>
      <c r="BS131" s="726">
        <v>4.5828977395866678E-3</v>
      </c>
      <c r="BT131" s="726">
        <v>6.1540691900952007E-3</v>
      </c>
      <c r="BW131" s="1186">
        <f>'2018'!R\Max</f>
        <v>0</v>
      </c>
      <c r="BX131" s="1184">
        <f>'2019'!R\Max</f>
        <v>0.49701769991741207</v>
      </c>
      <c r="BY131" s="1184">
        <f>'2020'!R\Max</f>
        <v>0.39917465575710198</v>
      </c>
      <c r="BZ131" s="1184">
        <f>'2021'!R\Max</f>
        <v>0.34922307575727807</v>
      </c>
      <c r="CA131" s="1184">
        <f>'2022'!R\Max</f>
        <v>0.71579327261429859</v>
      </c>
      <c r="CB131" s="1184">
        <f>'2023'!R\Max</f>
        <v>0.71579057937052026</v>
      </c>
      <c r="CC131" s="1184">
        <f>'2024'!R\Max</f>
        <v>0.71578770969984684</v>
      </c>
      <c r="CD131" s="1184">
        <f>'2025'!R\Max</f>
        <v>0.71580159483165584</v>
      </c>
      <c r="CE131" s="1184">
        <f>'2026'!R\Max</f>
        <v>0.7157996369233719</v>
      </c>
      <c r="CF131" s="1185">
        <f>'2027'!R\Max</f>
        <v>0.71579766658742683</v>
      </c>
    </row>
    <row r="132" spans="1:84" s="6" customFormat="1" ht="11.25" x14ac:dyDescent="0.2">
      <c r="A132" s="11">
        <v>43218</v>
      </c>
      <c r="B132" s="380">
        <f>'2022'!Maxi_hp</f>
        <v>46.870510731346037</v>
      </c>
      <c r="C132" s="13">
        <f>'2022'!An_max</f>
        <v>2019</v>
      </c>
      <c r="D132" s="1062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3">
        <f t="shared" si="62"/>
        <v>0.8571428571428571</v>
      </c>
      <c r="J132" s="746">
        <f t="shared" si="63"/>
        <v>61.381584838990662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5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3">
        <f t="shared" si="67"/>
        <v>0.9285714285714286</v>
      </c>
      <c r="AT132" s="769">
        <f t="shared" si="68"/>
        <v>61.363780722501019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3">
        <f t="shared" si="72"/>
        <v>0.42857142857142855</v>
      </c>
      <c r="AY132" s="769">
        <f t="shared" si="73"/>
        <v>61.408210496285122</v>
      </c>
      <c r="AZ132" s="746">
        <f t="shared" si="77"/>
        <v>61.385995609393071</v>
      </c>
      <c r="BA132" s="643">
        <f t="shared" si="74"/>
        <v>0.76359238449596145</v>
      </c>
      <c r="BC132" s="11">
        <v>43218</v>
      </c>
      <c r="BD132" s="290">
        <f>[3]!FeuilCaduc*(1-Persistant)+Persistant</f>
        <v>0.68052989211860793</v>
      </c>
      <c r="BE132" s="291">
        <f>[3]!CroissVégét</f>
        <v>0.14475951929663808</v>
      </c>
      <c r="BF132" s="816">
        <f>1+[3]!Salcycl*Ksac</f>
        <v>1.0100662365148261</v>
      </c>
      <c r="BH132" s="1053">
        <f t="shared" si="75"/>
        <v>1.068889191456074E-3</v>
      </c>
      <c r="BI132" s="11">
        <v>44314</v>
      </c>
      <c r="BJ132" s="726">
        <v>1.8987737736018365E-4</v>
      </c>
      <c r="BK132" s="726">
        <v>4.5965156962376335E-4</v>
      </c>
      <c r="BL132" s="726">
        <v>7.4577330228069812E-4</v>
      </c>
      <c r="BM132" s="726">
        <v>1.0697349546470981E-3</v>
      </c>
      <c r="BN132" s="726">
        <v>1.3759401249575935E-3</v>
      </c>
      <c r="BO132" s="727">
        <v>1.7044640420175857E-3</v>
      </c>
      <c r="BP132" s="726">
        <v>2.1144188816098921E-3</v>
      </c>
      <c r="BQ132" s="726">
        <v>2.7106077161340551E-3</v>
      </c>
      <c r="BR132" s="726">
        <v>3.6173149568889725E-3</v>
      </c>
      <c r="BS132" s="726">
        <v>4.932537734793848E-3</v>
      </c>
      <c r="BT132" s="726">
        <v>6.5556792101306187E-3</v>
      </c>
      <c r="BW132" s="1186">
        <f>'2018'!R\Max</f>
        <v>0</v>
      </c>
      <c r="BX132" s="1184">
        <f>'2019'!R\Max</f>
        <v>0.76359238449596145</v>
      </c>
      <c r="BY132" s="1184">
        <f>'2020'!R\Max</f>
        <v>0.38314251584144093</v>
      </c>
      <c r="BZ132" s="1184">
        <f>'2021'!R\Max</f>
        <v>0.30575183627881741</v>
      </c>
      <c r="CA132" s="1184">
        <f>'2022'!R\Max</f>
        <v>0.35545215955112708</v>
      </c>
      <c r="CB132" s="1184">
        <f>'2023'!R\Max</f>
        <v>0.35544881240689052</v>
      </c>
      <c r="CC132" s="1184">
        <f>'2024'!R\Max</f>
        <v>0.35544525308499469</v>
      </c>
      <c r="CD132" s="1184">
        <f>'2025'!R\Max</f>
        <v>0.35546276736038385</v>
      </c>
      <c r="CE132" s="1184">
        <f>'2026'!R\Max</f>
        <v>0.35546026731087099</v>
      </c>
      <c r="CF132" s="1185">
        <f>'2027'!R\Max</f>
        <v>0.35545775093801257</v>
      </c>
    </row>
    <row r="133" spans="1:84" s="6" customFormat="1" ht="11.25" x14ac:dyDescent="0.2">
      <c r="A133" s="11">
        <v>43219</v>
      </c>
      <c r="B133" s="380">
        <f>'2022'!Maxi_hp</f>
        <v>52.731591737433121</v>
      </c>
      <c r="C133" s="13">
        <f>'2022'!An_max</f>
        <v>2019</v>
      </c>
      <c r="D133" s="1062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3">
        <f t="shared" si="62"/>
        <v>0.9285714285714286</v>
      </c>
      <c r="J133" s="746">
        <f t="shared" si="63"/>
        <v>61.527507033305504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5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3">
        <f t="shared" si="67"/>
        <v>0.9642857142857143</v>
      </c>
      <c r="AT133" s="769">
        <f t="shared" si="68"/>
        <v>61.51948847118765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3">
        <f t="shared" si="72"/>
        <v>0.4642857142857143</v>
      </c>
      <c r="AY133" s="769">
        <f t="shared" si="73"/>
        <v>61.550797772780058</v>
      </c>
      <c r="AZ133" s="746">
        <f t="shared" si="77"/>
        <v>61.53514312198385</v>
      </c>
      <c r="BA133" s="643">
        <f t="shared" si="74"/>
        <v>0.85704092819637467</v>
      </c>
      <c r="BC133" s="11">
        <v>43219</v>
      </c>
      <c r="BD133" s="290">
        <f>[3]!FeuilCaduc*(1-Persistant)+Persistant</f>
        <v>0.68446474414919523</v>
      </c>
      <c r="BE133" s="291">
        <f>[3]!CroissVégét</f>
        <v>0.14996445881890225</v>
      </c>
      <c r="BF133" s="816">
        <f>1+[3]!Salcycl*Ksac</f>
        <v>1.0105580930186495</v>
      </c>
      <c r="BH133" s="1053">
        <f t="shared" si="75"/>
        <v>1.1740273476204836E-3</v>
      </c>
      <c r="BI133" s="11">
        <v>44315</v>
      </c>
      <c r="BJ133" s="726">
        <v>2.1106791393834913E-4</v>
      </c>
      <c r="BK133" s="726">
        <v>5.0445932504689626E-4</v>
      </c>
      <c r="BL133" s="726">
        <v>8.1724665690156308E-4</v>
      </c>
      <c r="BM133" s="726">
        <v>1.1749612291954451E-3</v>
      </c>
      <c r="BN133" s="726">
        <v>1.5192777873782413E-3</v>
      </c>
      <c r="BO133" s="727">
        <v>1.888055124285978E-3</v>
      </c>
      <c r="BP133" s="726">
        <v>2.3375115662201181E-3</v>
      </c>
      <c r="BQ133" s="726">
        <v>2.9772849134115484E-3</v>
      </c>
      <c r="BR133" s="726">
        <v>3.9320422973010477E-3</v>
      </c>
      <c r="BS133" s="726">
        <v>5.2994966549734703E-3</v>
      </c>
      <c r="BT133" s="726">
        <v>6.9761799972376595E-3</v>
      </c>
      <c r="BW133" s="1186">
        <f>'2018'!R\Max</f>
        <v>0</v>
      </c>
      <c r="BX133" s="1184">
        <f>'2019'!R\Max</f>
        <v>0.85704092819637467</v>
      </c>
      <c r="BY133" s="1184">
        <f>'2020'!R\Max</f>
        <v>0.53737211348428948</v>
      </c>
      <c r="BZ133" s="1184">
        <f>'2021'!R\Max</f>
        <v>0.45462464152595206</v>
      </c>
      <c r="CA133" s="1184">
        <f>'2022'!R\Max</f>
        <v>0.71368953823398562</v>
      </c>
      <c r="CB133" s="1184">
        <f>'2023'!R\Max</f>
        <v>0.713686254163307</v>
      </c>
      <c r="CC133" s="1184">
        <f>'2024'!R\Max</f>
        <v>0.71368276876638226</v>
      </c>
      <c r="CD133" s="1184">
        <f>'2025'!R\Max</f>
        <v>0.71370019567407972</v>
      </c>
      <c r="CE133" s="1184">
        <f>'2026'!R\Max</f>
        <v>0.71369767994785538</v>
      </c>
      <c r="CF133" s="1185">
        <f>'2027'!R\Max</f>
        <v>0.71369514725896233</v>
      </c>
    </row>
    <row r="134" spans="1:84" s="6" customFormat="1" ht="11.25" x14ac:dyDescent="0.2">
      <c r="A134" s="11">
        <v>43220</v>
      </c>
      <c r="B134" s="380">
        <f>'2022'!Maxi_hp</f>
        <v>62.081683557920357</v>
      </c>
      <c r="C134" s="13">
        <f>'2022'!An_max</f>
        <v>2019</v>
      </c>
      <c r="D134" s="1062">
        <f t="shared" si="59"/>
        <v>1.0066821182063173</v>
      </c>
      <c r="E134" s="1057">
        <f>V$13/10</f>
        <v>61.669600000000003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3">
        <f t="shared" si="62"/>
        <v>1</v>
      </c>
      <c r="J134" s="746">
        <f t="shared" si="63"/>
        <v>61.669600000977518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5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3">
        <f t="shared" si="67"/>
        <v>1</v>
      </c>
      <c r="AT134" s="769">
        <f t="shared" si="68"/>
        <v>61.669600000232457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3">
        <f t="shared" si="72"/>
        <v>0.5</v>
      </c>
      <c r="AY134" s="769">
        <f t="shared" si="73"/>
        <v>61.688012500479815</v>
      </c>
      <c r="AZ134" s="746">
        <f t="shared" si="77"/>
        <v>61.678806250356132</v>
      </c>
      <c r="BA134" s="643">
        <f t="shared" si="74"/>
        <v>1.0066821182063173</v>
      </c>
      <c r="BC134" s="11">
        <v>43220</v>
      </c>
      <c r="BD134" s="290">
        <f>[3]!FeuilCaduc*(1-Persistant)+Persistant</f>
        <v>0.68851023126092314</v>
      </c>
      <c r="BE134" s="291">
        <f>[3]!CroissVégét</f>
        <v>0.1553208101334605</v>
      </c>
      <c r="BF134" s="816">
        <f>1+[3]!Salcycl*Ksac</f>
        <v>1.0110637789076153</v>
      </c>
      <c r="BH134" s="1053">
        <f t="shared" si="75"/>
        <v>1.28421528166829E-3</v>
      </c>
      <c r="BI134" s="11">
        <v>44316</v>
      </c>
      <c r="BJ134" s="726">
        <v>2.3299664289612454E-4</v>
      </c>
      <c r="BK134" s="726">
        <v>5.5126163719823498E-4</v>
      </c>
      <c r="BL134" s="726">
        <v>8.919950053578444E-4</v>
      </c>
      <c r="BM134" s="726">
        <v>1.2852419271648123E-3</v>
      </c>
      <c r="BN134" s="726">
        <v>1.6705090317754242E-3</v>
      </c>
      <c r="BO134" s="727">
        <v>2.0825267156762053E-3</v>
      </c>
      <c r="BP134" s="726">
        <v>2.5737074748265667E-3</v>
      </c>
      <c r="BQ134" s="726">
        <v>3.2586387734086929E-3</v>
      </c>
      <c r="BR134" s="726">
        <v>4.2627450228360344E-3</v>
      </c>
      <c r="BS134" s="726">
        <v>5.6837544701391785E-3</v>
      </c>
      <c r="BT134" s="726">
        <v>7.4155490693754754E-3</v>
      </c>
      <c r="BW134" s="1186">
        <f>'2018'!R\Max</f>
        <v>0</v>
      </c>
      <c r="BX134" s="1184">
        <f>'2019'!R\Max</f>
        <v>1.0066821182063173</v>
      </c>
      <c r="BY134" s="1184">
        <f>'2020'!R\Max</f>
        <v>0.88309632360674206</v>
      </c>
      <c r="BZ134" s="1184">
        <f>'2021'!R\Max</f>
        <v>0.27579751115836959</v>
      </c>
      <c r="CA134" s="1184">
        <f>'2022'!R\Max</f>
        <v>0.75696407734767257</v>
      </c>
      <c r="CB134" s="1184">
        <f>'2023'!R\Max</f>
        <v>0.75696083451398655</v>
      </c>
      <c r="CC134" s="1184">
        <f>'2024'!R\Max</f>
        <v>0.75695739962268704</v>
      </c>
      <c r="CD134" s="1184">
        <f>'2025'!R\Max</f>
        <v>0.75697483658693643</v>
      </c>
      <c r="CE134" s="1184">
        <f>'2026'!R\Max</f>
        <v>0.75697229314814629</v>
      </c>
      <c r="CF134" s="1185">
        <f>'2027'!R\Max</f>
        <v>0.75696973199509821</v>
      </c>
    </row>
    <row r="135" spans="1:84" s="6" customFormat="1" ht="11.25" x14ac:dyDescent="0.2">
      <c r="A135" s="11">
        <v>43221</v>
      </c>
      <c r="B135" s="380">
        <f>'2022'!Maxi_hp</f>
        <v>57.93362071879104</v>
      </c>
      <c r="C135" s="13">
        <f>'2022'!An_max</f>
        <v>2019</v>
      </c>
      <c r="D135" s="1062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3">
        <f t="shared" si="62"/>
        <v>0.9285714285714286</v>
      </c>
      <c r="J135" s="746">
        <f t="shared" si="63"/>
        <v>61.807147996234036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5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3">
        <f t="shared" si="67"/>
        <v>0.9642857142857143</v>
      </c>
      <c r="AT135" s="769">
        <f t="shared" si="68"/>
        <v>61.813605343869753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3">
        <f t="shared" si="72"/>
        <v>0.5357142857142857</v>
      </c>
      <c r="AY135" s="769">
        <f t="shared" si="73"/>
        <v>61.820029141035455</v>
      </c>
      <c r="AZ135" s="746">
        <f t="shared" si="77"/>
        <v>61.816817242452601</v>
      </c>
      <c r="BA135" s="643">
        <f t="shared" si="74"/>
        <v>0.93732881385047873</v>
      </c>
      <c r="BC135" s="11">
        <v>43221</v>
      </c>
      <c r="BD135" s="290">
        <f>[3]!FeuilCaduc*(1-Persistant)+Persistant</f>
        <v>0.69266510603190956</v>
      </c>
      <c r="BE135" s="291">
        <f>[3]!CroissVégét</f>
        <v>0.16083055564958049</v>
      </c>
      <c r="BF135" s="816">
        <f>1+[3]!Salcycl*Ksac</f>
        <v>1.0115831382539886</v>
      </c>
      <c r="BH135" s="1053">
        <f t="shared" si="75"/>
        <v>1.3994469882031881E-3</v>
      </c>
      <c r="BI135" s="11">
        <v>44317</v>
      </c>
      <c r="BJ135" s="726">
        <v>2.5566256782286846E-4</v>
      </c>
      <c r="BK135" s="726">
        <v>6.0005606306262865E-4</v>
      </c>
      <c r="BL135" s="726">
        <v>9.7001437832722843E-4</v>
      </c>
      <c r="BM135" s="726">
        <v>1.400571037829424E-3</v>
      </c>
      <c r="BN135" s="726">
        <v>1.8296249380937103E-3</v>
      </c>
      <c r="BO135" s="727">
        <v>2.2878668309106883E-3</v>
      </c>
      <c r="BP135" s="726">
        <v>2.8229921216507063E-3</v>
      </c>
      <c r="BQ135" s="726">
        <v>3.554652673045707E-3</v>
      </c>
      <c r="BR135" s="726">
        <v>4.609404421853181E-3</v>
      </c>
      <c r="BS135" s="726">
        <v>6.0852901889387424E-3</v>
      </c>
      <c r="BT135" s="726">
        <v>7.8737628773245839E-3</v>
      </c>
      <c r="BW135" s="1186">
        <f>'2018'!R\Max</f>
        <v>0</v>
      </c>
      <c r="BX135" s="1184">
        <f>'2019'!R\Max</f>
        <v>0.93732881385047873</v>
      </c>
      <c r="BY135" s="1184">
        <f>'2020'!R\Max</f>
        <v>0.7309039770294341</v>
      </c>
      <c r="BZ135" s="1184">
        <f>'2021'!R\Max</f>
        <v>0.32595375548872063</v>
      </c>
      <c r="CA135" s="1184">
        <f>'2022'!R\Max</f>
        <v>0.8186856038858964</v>
      </c>
      <c r="CB135" s="1184">
        <f>'2023'!R\Max</f>
        <v>0.81868274241114702</v>
      </c>
      <c r="CC135" s="1184">
        <f>'2024'!R\Max</f>
        <v>0.81867971734034828</v>
      </c>
      <c r="CD135" s="1184">
        <f>'2025'!R\Max</f>
        <v>0.8186952956519008</v>
      </c>
      <c r="CE135" s="1184">
        <f>'2026'!R\Max</f>
        <v>0.81869300153249835</v>
      </c>
      <c r="CF135" s="1185">
        <f>'2027'!R\Max</f>
        <v>0.81869069089024438</v>
      </c>
    </row>
    <row r="136" spans="1:84" s="6" customFormat="1" ht="11.25" x14ac:dyDescent="0.2">
      <c r="A136" s="11">
        <v>43222</v>
      </c>
      <c r="B136" s="380">
        <f>'2022'!Maxi_hp</f>
        <v>50.847443819946974</v>
      </c>
      <c r="C136" s="13">
        <f>'2022'!An_max</f>
        <v>2021</v>
      </c>
      <c r="D136" s="1062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3">
        <f t="shared" si="62"/>
        <v>0.8571428571428571</v>
      </c>
      <c r="J136" s="746">
        <f t="shared" si="63"/>
        <v>61.939292128703428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5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3">
        <f t="shared" si="67"/>
        <v>0.9285714285714286</v>
      </c>
      <c r="AT136" s="769">
        <f t="shared" si="68"/>
        <v>61.951119788629661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3">
        <f t="shared" si="72"/>
        <v>0.5714285714285714</v>
      </c>
      <c r="AY136" s="769">
        <f t="shared" si="73"/>
        <v>61.94702215748174</v>
      </c>
      <c r="AZ136" s="746">
        <f t="shared" si="77"/>
        <v>61.949070973055697</v>
      </c>
      <c r="BA136" s="643">
        <f t="shared" si="74"/>
        <v>0.82092387679037815</v>
      </c>
      <c r="BC136" s="11">
        <v>43222</v>
      </c>
      <c r="BD136" s="290">
        <f>[3]!FeuilCaduc*(1-Persistant)+Persistant</f>
        <v>0.69692788399970962</v>
      </c>
      <c r="BE136" s="291">
        <f>[3]!CroissVégét</f>
        <v>0.16649552652045066</v>
      </c>
      <c r="BF136" s="816">
        <f>1+[3]!Salcycl*Ksac</f>
        <v>1.0121159854999637</v>
      </c>
      <c r="BH136" s="1053">
        <f t="shared" si="75"/>
        <v>1.5130653886670847E-3</v>
      </c>
      <c r="BI136" s="11">
        <v>44318</v>
      </c>
      <c r="BJ136" s="726">
        <v>2.7601402411384074E-4</v>
      </c>
      <c r="BK136" s="726">
        <v>6.4661182805500267E-4</v>
      </c>
      <c r="BL136" s="726">
        <v>1.045744245763838E-3</v>
      </c>
      <c r="BM136" s="726">
        <v>1.5142886123905097E-3</v>
      </c>
      <c r="BN136" s="726">
        <v>1.9915641077244478E-3</v>
      </c>
      <c r="BO136" s="727">
        <v>2.5019483273032738E-3</v>
      </c>
      <c r="BP136" s="726">
        <v>3.0877947702777895E-3</v>
      </c>
      <c r="BQ136" s="726">
        <v>3.8701797052593523E-3</v>
      </c>
      <c r="BR136" s="726">
        <v>4.9784602300209221E-3</v>
      </c>
      <c r="BS136" s="726">
        <v>6.510574539760474E-3</v>
      </c>
      <c r="BT136" s="726">
        <v>8.3572056394580069E-3</v>
      </c>
      <c r="BW136" s="1186">
        <f>'2018'!R\Max</f>
        <v>0</v>
      </c>
      <c r="BX136" s="1184">
        <f>'2019'!R\Max</f>
        <v>0.55950315985059007</v>
      </c>
      <c r="BY136" s="1184">
        <f>'2020'!R\Max</f>
        <v>0.34598545513881696</v>
      </c>
      <c r="BZ136" s="1184">
        <f>'2021'!R\Max</f>
        <v>0.82092387679037815</v>
      </c>
      <c r="CA136" s="1184">
        <f>'2022'!R\Max</f>
        <v>0.5252214677431789</v>
      </c>
      <c r="CB136" s="1184">
        <f>'2023'!R\Max</f>
        <v>0.5252161840395827</v>
      </c>
      <c r="CC136" s="1184">
        <f>'2024'!R\Max</f>
        <v>0.52521061441401629</v>
      </c>
      <c r="CD136" s="1184">
        <f>'2025'!R\Max</f>
        <v>0.52523965565140696</v>
      </c>
      <c r="CE136" s="1184">
        <f>'2026'!R\Max</f>
        <v>0.52523535128599697</v>
      </c>
      <c r="CF136" s="1185">
        <f>'2027'!R\Max</f>
        <v>0.52523101365381664</v>
      </c>
    </row>
    <row r="137" spans="1:84" s="6" customFormat="1" ht="11.25" x14ac:dyDescent="0.2">
      <c r="A137" s="11">
        <v>43223</v>
      </c>
      <c r="B137" s="380">
        <f>'2022'!Maxi_hp</f>
        <v>60.514631083164147</v>
      </c>
      <c r="C137" s="13">
        <f>'2022'!An_max</f>
        <v>2021</v>
      </c>
      <c r="D137" s="1062">
        <f t="shared" si="59"/>
        <v>0.97500233327622288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3">
        <f t="shared" si="62"/>
        <v>0.7857142857142857</v>
      </c>
      <c r="J137" s="746">
        <f t="shared" si="63"/>
        <v>62.066139759708719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5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3">
        <f t="shared" si="67"/>
        <v>0.8928571428571429</v>
      </c>
      <c r="AT137" s="769">
        <f t="shared" si="68"/>
        <v>62.082290958001145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3">
        <f t="shared" si="72"/>
        <v>0.6071428571428571</v>
      </c>
      <c r="AY137" s="769">
        <f t="shared" si="73"/>
        <v>62.069166012134929</v>
      </c>
      <c r="AZ137" s="746">
        <f t="shared" si="77"/>
        <v>62.075728485068041</v>
      </c>
      <c r="BA137" s="643">
        <f t="shared" si="74"/>
        <v>0.97500233327622288</v>
      </c>
      <c r="BC137" s="11">
        <v>43223</v>
      </c>
      <c r="BD137" s="290">
        <f>[3]!FeuilCaduc*(1-Persistant)+Persistant</f>
        <v>0.70129683750527161</v>
      </c>
      <c r="BE137" s="291">
        <f>[3]!CroissVégét</f>
        <v>0.1723173890515782</v>
      </c>
      <c r="BF137" s="816">
        <f>1+[3]!Salcycl*Ksac</f>
        <v>1.012662104688159</v>
      </c>
      <c r="BH137" s="1053">
        <f t="shared" si="75"/>
        <v>1.6218569659398989E-3</v>
      </c>
      <c r="BI137" s="11">
        <v>44319</v>
      </c>
      <c r="BJ137" s="726">
        <v>2.9251307784010778E-4</v>
      </c>
      <c r="BK137" s="726">
        <v>6.8907596564282865E-4</v>
      </c>
      <c r="BL137" s="726">
        <v>1.1167945037662116E-3</v>
      </c>
      <c r="BM137" s="726">
        <v>1.6231789784251552E-3</v>
      </c>
      <c r="BN137" s="726">
        <v>2.1519798134335788E-3</v>
      </c>
      <c r="BO137" s="727">
        <v>2.7192221475950532E-3</v>
      </c>
      <c r="BP137" s="726">
        <v>3.3614962865327852E-3</v>
      </c>
      <c r="BQ137" s="726">
        <v>4.1978239743098288E-3</v>
      </c>
      <c r="BR137" s="726">
        <v>5.3614964917322316E-3</v>
      </c>
      <c r="BS137" s="726">
        <v>6.9498122290268353E-3</v>
      </c>
      <c r="BT137" s="726">
        <v>8.8542445718068855E-3</v>
      </c>
      <c r="BW137" s="1186">
        <f>'2018'!R\Max</f>
        <v>0</v>
      </c>
      <c r="BX137" s="1184">
        <f>'2019'!R\Max</f>
        <v>0.33081565924233197</v>
      </c>
      <c r="BY137" s="1184">
        <f>'2020'!R\Max</f>
        <v>0.61456700198859615</v>
      </c>
      <c r="BZ137" s="1184">
        <f>'2021'!R\Max</f>
        <v>0.97500233327622288</v>
      </c>
      <c r="CA137" s="1184">
        <f>'2022'!R\Max</f>
        <v>0.62460344692958991</v>
      </c>
      <c r="CB137" s="1184">
        <f>'2023'!R\Max</f>
        <v>0.62459797721755317</v>
      </c>
      <c r="CC137" s="1184">
        <f>'2024'!R\Max</f>
        <v>0.62459223127627983</v>
      </c>
      <c r="CD137" s="1184">
        <f>'2025'!R\Max</f>
        <v>0.62462250098451932</v>
      </c>
      <c r="CE137" s="1184">
        <f>'2026'!R\Max</f>
        <v>0.6246179978733889</v>
      </c>
      <c r="CF137" s="1185">
        <f>'2027'!R\Max</f>
        <v>0.62461345636557009</v>
      </c>
    </row>
    <row r="138" spans="1:84" s="6" customFormat="1" ht="11.25" x14ac:dyDescent="0.2">
      <c r="A138" s="11">
        <v>43224</v>
      </c>
      <c r="B138" s="380">
        <f>'2022'!Maxi_hp</f>
        <v>57.253924122877009</v>
      </c>
      <c r="C138" s="13">
        <f>'2022'!An_max</f>
        <v>2020</v>
      </c>
      <c r="D138" s="1062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3">
        <f t="shared" si="62"/>
        <v>0.7142857142857143</v>
      </c>
      <c r="J138" s="746">
        <f t="shared" si="63"/>
        <v>62.187798250785896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5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3">
        <f t="shared" si="67"/>
        <v>0.8571428571428571</v>
      </c>
      <c r="AT138" s="769">
        <f t="shared" si="68"/>
        <v>62.207266473983012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3">
        <f t="shared" si="72"/>
        <v>0.6428571428571429</v>
      </c>
      <c r="AY138" s="769">
        <f t="shared" si="73"/>
        <v>62.186635167471003</v>
      </c>
      <c r="AZ138" s="746">
        <f t="shared" si="77"/>
        <v>62.196950820727011</v>
      </c>
      <c r="BA138" s="643">
        <f t="shared" si="74"/>
        <v>0.92066170106212863</v>
      </c>
      <c r="BC138" s="11">
        <v>43224</v>
      </c>
      <c r="BD138" s="290">
        <f>[3]!FeuilCaduc*(1-Persistant)+Persistant</f>
        <v>0.70576999001073237</v>
      </c>
      <c r="BE138" s="291">
        <f>[3]!CroissVégét</f>
        <v>0.17829763088415901</v>
      </c>
      <c r="BF138" s="816">
        <f>1+[3]!Salcycl*Ksac</f>
        <v>1.0132212487513415</v>
      </c>
      <c r="BH138" s="1053">
        <f t="shared" si="75"/>
        <v>1.7258228883430375E-3</v>
      </c>
      <c r="BI138" s="11">
        <v>44320</v>
      </c>
      <c r="BJ138" s="726">
        <v>3.0516234267755467E-4</v>
      </c>
      <c r="BK138" s="726">
        <v>7.2745065030687924E-4</v>
      </c>
      <c r="BL138" s="726">
        <v>1.1831670999018034E-3</v>
      </c>
      <c r="BM138" s="726">
        <v>1.7272433022150727E-3</v>
      </c>
      <c r="BN138" s="726">
        <v>2.3108694459703567E-3</v>
      </c>
      <c r="BO138" s="727">
        <v>2.9396806807396991E-3</v>
      </c>
      <c r="BP138" s="726">
        <v>3.6440832722076395E-3</v>
      </c>
      <c r="BQ138" s="726">
        <v>4.5375682528880105E-3</v>
      </c>
      <c r="BR138" s="726">
        <v>5.7584931082644009E-3</v>
      </c>
      <c r="BS138" s="726">
        <v>7.4029816548555772E-3</v>
      </c>
      <c r="BT138" s="726">
        <v>9.364856722546595E-3</v>
      </c>
      <c r="BW138" s="1186">
        <f>'2018'!R\Max</f>
        <v>0</v>
      </c>
      <c r="BX138" s="1184">
        <f>'2019'!R\Max</f>
        <v>0.56848052473980559</v>
      </c>
      <c r="BY138" s="1184">
        <f>'2020'!R\Max</f>
        <v>0.92066170106212863</v>
      </c>
      <c r="BZ138" s="1184">
        <f>'2021'!R\Max</f>
        <v>0.86412605292034184</v>
      </c>
      <c r="CA138" s="1184">
        <f>'2022'!R\Max</f>
        <v>0.34582662176761714</v>
      </c>
      <c r="CB138" s="1184">
        <f>'2023'!R\Max</f>
        <v>0.3458208083526933</v>
      </c>
      <c r="CC138" s="1184">
        <f>'2024'!R\Max</f>
        <v>0.34581472484046072</v>
      </c>
      <c r="CD138" s="1184">
        <f>'2025'!R\Max</f>
        <v>0.34584704731650234</v>
      </c>
      <c r="CE138" s="1184">
        <f>'2026'!R\Max</f>
        <v>0.34584223070707787</v>
      </c>
      <c r="CF138" s="1185">
        <f>'2027'!R\Max</f>
        <v>0.34583736818322025</v>
      </c>
    </row>
    <row r="139" spans="1:84" s="6" customFormat="1" ht="11.25" x14ac:dyDescent="0.2">
      <c r="A139" s="11">
        <v>43225</v>
      </c>
      <c r="B139" s="380">
        <f>'2022'!Maxi_hp</f>
        <v>60.369568048217943</v>
      </c>
      <c r="C139" s="13">
        <f>'2022'!An_max</f>
        <v>2020</v>
      </c>
      <c r="D139" s="1062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3">
        <f t="shared" si="62"/>
        <v>0.6428571428571429</v>
      </c>
      <c r="J139" s="746">
        <f t="shared" si="63"/>
        <v>62.304374963204779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5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3">
        <f t="shared" si="67"/>
        <v>0.8214285714285714</v>
      </c>
      <c r="AT139" s="769">
        <f t="shared" si="68"/>
        <v>62.326193955993006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3">
        <f t="shared" si="72"/>
        <v>0.6785714285714286</v>
      </c>
      <c r="AY139" s="769">
        <f t="shared" si="73"/>
        <v>62.299604086737546</v>
      </c>
      <c r="AZ139" s="746">
        <f t="shared" si="77"/>
        <v>62.312899021365276</v>
      </c>
      <c r="BA139" s="643">
        <f t="shared" si="74"/>
        <v>0.96894588997755804</v>
      </c>
      <c r="BC139" s="11">
        <v>43225</v>
      </c>
      <c r="BD139" s="290">
        <f>[3]!FeuilCaduc*(1-Persistant)+Persistant</f>
        <v>0.71034511098304465</v>
      </c>
      <c r="BE139" s="291">
        <f>[3]!CroissVégét</f>
        <v>0.1844375470173118</v>
      </c>
      <c r="BF139" s="816">
        <f>1+[3]!Salcycl*Ksac</f>
        <v>1.0137931388728807</v>
      </c>
      <c r="BH139" s="1053">
        <f t="shared" si="75"/>
        <v>1.8249644273261466E-3</v>
      </c>
      <c r="BI139" s="11">
        <v>44321</v>
      </c>
      <c r="BJ139" s="726">
        <v>3.1396457825021379E-4</v>
      </c>
      <c r="BK139" s="726">
        <v>7.6173818895939791E-4</v>
      </c>
      <c r="BL139" s="726">
        <v>1.2448641128512906E-3</v>
      </c>
      <c r="BM139" s="726">
        <v>1.8264828530969634E-3</v>
      </c>
      <c r="BN139" s="726">
        <v>2.4682303146310483E-3</v>
      </c>
      <c r="BO139" s="727">
        <v>3.1633159859456583E-3</v>
      </c>
      <c r="BP139" s="726">
        <v>3.9355417100223611E-3</v>
      </c>
      <c r="BQ139" s="726">
        <v>4.8893945113420052E-3</v>
      </c>
      <c r="BR139" s="726">
        <v>6.1694290504130112E-3</v>
      </c>
      <c r="BS139" s="726">
        <v>7.8700602347529201E-3</v>
      </c>
      <c r="BT139" s="726">
        <v>9.8890181212973379E-3</v>
      </c>
      <c r="BW139" s="1186">
        <f>'2018'!R\Max</f>
        <v>0</v>
      </c>
      <c r="BX139" s="1184">
        <f>'2019'!R\Max</f>
        <v>0.8265258926107194</v>
      </c>
      <c r="BY139" s="1184">
        <f>'2020'!R\Max</f>
        <v>0.96894588997755804</v>
      </c>
      <c r="BZ139" s="1184">
        <f>'2021'!R\Max</f>
        <v>0.57919392669537872</v>
      </c>
      <c r="CA139" s="1184">
        <f>'2022'!R\Max</f>
        <v>0.72362109122376206</v>
      </c>
      <c r="CB139" s="1184">
        <f>'2023'!R\Max</f>
        <v>0.72361543119325888</v>
      </c>
      <c r="CC139" s="1184">
        <f>'2024'!R\Max</f>
        <v>0.72360953244048953</v>
      </c>
      <c r="CD139" s="1184">
        <f>'2025'!R\Max</f>
        <v>0.72364109324438342</v>
      </c>
      <c r="CE139" s="1184">
        <f>'2026'!R\Max</f>
        <v>0.72363638996276503</v>
      </c>
      <c r="CF139" s="1185">
        <f>'2027'!R\Max</f>
        <v>0.72363163606501091</v>
      </c>
    </row>
    <row r="140" spans="1:84" s="6" customFormat="1" ht="11.25" x14ac:dyDescent="0.2">
      <c r="A140" s="11">
        <v>43226</v>
      </c>
      <c r="B140" s="380">
        <f>'2022'!Maxi_hp</f>
        <v>64.189889106761925</v>
      </c>
      <c r="C140" s="13">
        <f>'2022'!An_max</f>
        <v>2019</v>
      </c>
      <c r="D140" s="1062">
        <f t="shared" si="59"/>
        <v>1.0284207974433459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3">
        <f t="shared" si="62"/>
        <v>0.5714285714285714</v>
      </c>
      <c r="J140" s="746">
        <f t="shared" si="63"/>
        <v>62.415977259831763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5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3">
        <f t="shared" si="67"/>
        <v>0.7857142857142857</v>
      </c>
      <c r="AT140" s="769">
        <f t="shared" si="68"/>
        <v>62.439221028611065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3">
        <f t="shared" si="72"/>
        <v>0.7142857142857143</v>
      </c>
      <c r="AY140" s="769">
        <f t="shared" si="73"/>
        <v>62.408247230627708</v>
      </c>
      <c r="AZ140" s="746">
        <f t="shared" si="77"/>
        <v>62.42373412961939</v>
      </c>
      <c r="BA140" s="643">
        <f t="shared" si="74"/>
        <v>1.0284207974433459</v>
      </c>
      <c r="BC140" s="11">
        <v>43226</v>
      </c>
      <c r="BD140" s="290">
        <f>[3]!FeuilCaduc*(1-Persistant)+Persistant</f>
        <v>0.71501971143686638</v>
      </c>
      <c r="BE140" s="291">
        <f>[3]!CroissVégét</f>
        <v>0.19073822573999455</v>
      </c>
      <c r="BF140" s="816">
        <f>1+[3]!Salcycl*Ksac</f>
        <v>1.0143774639296084</v>
      </c>
      <c r="BH140" s="1053">
        <f t="shared" si="75"/>
        <v>1.9192829679057131E-3</v>
      </c>
      <c r="BI140" s="11">
        <v>44322</v>
      </c>
      <c r="BJ140" s="726">
        <v>3.1892269854652354E-4</v>
      </c>
      <c r="BK140" s="726">
        <v>7.9194102985270408E-4</v>
      </c>
      <c r="BL140" s="726">
        <v>1.3018877625701566E-3</v>
      </c>
      <c r="BM140" s="726">
        <v>1.9208990139018421E-3</v>
      </c>
      <c r="BN140" s="726">
        <v>2.624059650402342E-3</v>
      </c>
      <c r="BO140" s="727">
        <v>3.3901197854251555E-3</v>
      </c>
      <c r="BP140" s="726">
        <v>4.2358569438098763E-3</v>
      </c>
      <c r="BQ140" s="726">
        <v>5.2532838907483111E-3</v>
      </c>
      <c r="BR140" s="726">
        <v>6.5942823274133229E-3</v>
      </c>
      <c r="BS140" s="726">
        <v>8.3510243745211696E-3</v>
      </c>
      <c r="BT140" s="726">
        <v>1.0426703748736896E-2</v>
      </c>
      <c r="BW140" s="1186">
        <f>'2018'!R\Max</f>
        <v>0</v>
      </c>
      <c r="BX140" s="1184">
        <f>'2019'!R\Max</f>
        <v>1.0284207974433459</v>
      </c>
      <c r="BY140" s="1184">
        <f>'2020'!R\Max</f>
        <v>0.84168437706137011</v>
      </c>
      <c r="BZ140" s="1184">
        <f>'2021'!R\Max</f>
        <v>0.59702466909085317</v>
      </c>
      <c r="CA140" s="1184">
        <f>'2022'!R\Max</f>
        <v>0.6608654192527873</v>
      </c>
      <c r="CB140" s="1184">
        <f>'2023'!R\Max</f>
        <v>0.66085843930989685</v>
      </c>
      <c r="CC140" s="1184">
        <f>'2024'!R\Max</f>
        <v>0.66085119633043854</v>
      </c>
      <c r="CD140" s="1184">
        <f>'2025'!R\Max</f>
        <v>0.66089017752387613</v>
      </c>
      <c r="CE140" s="1184">
        <f>'2026'!R\Max</f>
        <v>0.66088437475121564</v>
      </c>
      <c r="CF140" s="1185">
        <f>'2027'!R\Max</f>
        <v>0.66087850151283933</v>
      </c>
    </row>
    <row r="141" spans="1:84" s="6" customFormat="1" ht="11.25" x14ac:dyDescent="0.2">
      <c r="A141" s="11">
        <v>43227</v>
      </c>
      <c r="B141" s="380">
        <f>'2022'!Maxi_hp</f>
        <v>60.114108347336412</v>
      </c>
      <c r="C141" s="13">
        <f>'2022'!An_max</f>
        <v>2020</v>
      </c>
      <c r="D141" s="1062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3">
        <f t="shared" si="62"/>
        <v>0.5</v>
      </c>
      <c r="J141" s="746">
        <f t="shared" si="63"/>
        <v>62.52271250076592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5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3">
        <f t="shared" si="67"/>
        <v>0.75</v>
      </c>
      <c r="AT141" s="769">
        <f t="shared" si="68"/>
        <v>62.546495313011107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3">
        <f t="shared" si="72"/>
        <v>0.75</v>
      </c>
      <c r="AY141" s="769">
        <f t="shared" si="73"/>
        <v>62.512739062868057</v>
      </c>
      <c r="AZ141" s="746">
        <f t="shared" si="77"/>
        <v>62.529617187939579</v>
      </c>
      <c r="BA141" s="643">
        <f t="shared" si="74"/>
        <v>0.96147633304617097</v>
      </c>
      <c r="BC141" s="11">
        <v>43227</v>
      </c>
      <c r="BD141" s="290">
        <f>[3]!FeuilCaduc*(1-Persistant)+Persistant</f>
        <v>0.71979104023048723</v>
      </c>
      <c r="BE141" s="291">
        <f>[3]!CroissVégét</f>
        <v>0.19720053455029921</v>
      </c>
      <c r="BF141" s="816">
        <f>1+[3]!Salcycl*Ksac</f>
        <v>1.0149738800288108</v>
      </c>
      <c r="BH141" s="1053">
        <f t="shared" si="75"/>
        <v>2.0087800190803206E-3</v>
      </c>
      <c r="BI141" s="11">
        <v>44323</v>
      </c>
      <c r="BJ141" s="726">
        <v>3.2003978033142143E-4</v>
      </c>
      <c r="BK141" s="726">
        <v>8.1806177147792064E-4</v>
      </c>
      <c r="BL141" s="726">
        <v>1.3542404204342404E-3</v>
      </c>
      <c r="BM141" s="726">
        <v>2.0104932913710006E-3</v>
      </c>
      <c r="BN141" s="726">
        <v>2.7783546090736403E-3</v>
      </c>
      <c r="BO141" s="727">
        <v>3.6200834571037269E-3</v>
      </c>
      <c r="BP141" s="726">
        <v>4.5450136586520388E-3</v>
      </c>
      <c r="BQ141" s="726">
        <v>5.629216675922072E-3</v>
      </c>
      <c r="BR141" s="726">
        <v>7.0330299557841147E-3</v>
      </c>
      <c r="BS141" s="726">
        <v>8.8458494370662073E-3</v>
      </c>
      <c r="BT141" s="726">
        <v>1.0977887506086277E-2</v>
      </c>
      <c r="BW141" s="1186">
        <f>'2018'!R\Max</f>
        <v>0</v>
      </c>
      <c r="BX141" s="1184">
        <f>'2019'!R\Max</f>
        <v>0.77992466949105155</v>
      </c>
      <c r="BY141" s="1184">
        <f>'2020'!R\Max</f>
        <v>0.96147633304617097</v>
      </c>
      <c r="BZ141" s="1184">
        <f>'2021'!R\Max</f>
        <v>0.45328263660295509</v>
      </c>
      <c r="CA141" s="1184">
        <f>'2022'!R\Max</f>
        <v>0.89721083027279658</v>
      </c>
      <c r="CB141" s="1184">
        <f>'2023'!R\Max</f>
        <v>0.8972076735634269</v>
      </c>
      <c r="CC141" s="1184">
        <f>'2024'!R\Max</f>
        <v>0.89720441236206039</v>
      </c>
      <c r="CD141" s="1184">
        <f>'2025'!R\Max</f>
        <v>0.89722204990391252</v>
      </c>
      <c r="CE141" s="1184">
        <f>'2026'!R\Max</f>
        <v>0.89721942964740586</v>
      </c>
      <c r="CF141" s="1185">
        <f>'2027'!R\Max</f>
        <v>0.89721677350606888</v>
      </c>
    </row>
    <row r="142" spans="1:84" s="6" customFormat="1" ht="11.25" x14ac:dyDescent="0.2">
      <c r="A142" s="11">
        <v>43228</v>
      </c>
      <c r="B142" s="380">
        <f>'2022'!Maxi_hp</f>
        <v>60.745186891784464</v>
      </c>
      <c r="C142" s="13">
        <f>'2022'!An_max</f>
        <v>2021</v>
      </c>
      <c r="D142" s="1062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3">
        <f t="shared" si="62"/>
        <v>0.42857142857142855</v>
      </c>
      <c r="J142" s="746">
        <f t="shared" si="63"/>
        <v>62.624688046744879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5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3">
        <f t="shared" si="67"/>
        <v>0.7142857142857143</v>
      </c>
      <c r="AT142" s="769">
        <f t="shared" si="68"/>
        <v>62.648164432282968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3">
        <f t="shared" si="72"/>
        <v>0.7857142857142857</v>
      </c>
      <c r="AY142" s="769">
        <f t="shared" si="73"/>
        <v>62.613254045748285</v>
      </c>
      <c r="AZ142" s="746">
        <f t="shared" si="77"/>
        <v>62.63070923901563</v>
      </c>
      <c r="BA142" s="643">
        <f t="shared" si="74"/>
        <v>0.96998785601043636</v>
      </c>
      <c r="BC142" s="11">
        <v>43228</v>
      </c>
      <c r="BD142" s="290">
        <f>[3]!FeuilCaduc*(1-Persistant)+Persistant</f>
        <v>0.72465608120776859</v>
      </c>
      <c r="BE142" s="291">
        <f>[3]!CroissVégét</f>
        <v>0.2038251061465651</v>
      </c>
      <c r="BF142" s="816">
        <f>1+[3]!Salcycl*Ksac</f>
        <v>1.0155820101509712</v>
      </c>
      <c r="BH142" s="1053">
        <f t="shared" si="75"/>
        <v>2.0825074242082058E-3</v>
      </c>
      <c r="BI142" s="11">
        <v>44324</v>
      </c>
      <c r="BJ142" s="726">
        <v>3.1731975635128595E-4</v>
      </c>
      <c r="BK142" s="726">
        <v>8.3683545387115428E-4</v>
      </c>
      <c r="BL142" s="726">
        <v>1.3952755510078534E-3</v>
      </c>
      <c r="BM142" s="726">
        <v>2.0843062692713029E-3</v>
      </c>
      <c r="BN142" s="726">
        <v>2.9153454170921362E-3</v>
      </c>
      <c r="BO142" s="727">
        <v>3.8331062110456612E-3</v>
      </c>
      <c r="BP142" s="726">
        <v>4.8404325631444117E-3</v>
      </c>
      <c r="BQ142" s="726">
        <v>6.0025242994067949E-3</v>
      </c>
      <c r="BR142" s="726">
        <v>7.4796574838024189E-3</v>
      </c>
      <c r="BS142" s="726">
        <v>9.3573617121400256E-3</v>
      </c>
      <c r="BT142" s="726">
        <v>1.1544785002247218E-2</v>
      </c>
      <c r="BW142" s="1186">
        <f>'2018'!R\Max</f>
        <v>0</v>
      </c>
      <c r="BX142" s="1184">
        <f>'2019'!R\Max</f>
        <v>0.53299834547074454</v>
      </c>
      <c r="BY142" s="1184">
        <f>'2020'!R\Max</f>
        <v>0.8756370617139978</v>
      </c>
      <c r="BZ142" s="1184">
        <f>'2021'!R\Max</f>
        <v>0.96998785601043636</v>
      </c>
      <c r="CA142" s="1184">
        <f>'2022'!R\Max</f>
        <v>0.85255901534443668</v>
      </c>
      <c r="CB142" s="1184">
        <f>'2023'!R\Max</f>
        <v>0.85255430539164112</v>
      </c>
      <c r="CC142" s="1184">
        <f>'2024'!R\Max</f>
        <v>0.85254945151862005</v>
      </c>
      <c r="CD142" s="1184">
        <f>'2025'!R\Max</f>
        <v>0.85257572538195547</v>
      </c>
      <c r="CE142" s="1184">
        <f>'2026'!R\Max</f>
        <v>0.85257184027963839</v>
      </c>
      <c r="CF142" s="1185">
        <f>'2027'!R\Max</f>
        <v>0.85256789478458872</v>
      </c>
    </row>
    <row r="143" spans="1:84" s="6" customFormat="1" ht="11.25" x14ac:dyDescent="0.2">
      <c r="A143" s="11">
        <v>43229</v>
      </c>
      <c r="B143" s="380">
        <f>'2022'!Maxi_hp</f>
        <v>55.877643331762144</v>
      </c>
      <c r="C143" s="13">
        <f>'2022'!An_max</f>
        <v>2022</v>
      </c>
      <c r="D143" s="1062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3">
        <f t="shared" ref="I143:I206" si="81">($A143-H143)/(INDEX(x.2m,G143)-H143)</f>
        <v>0.35714285714285715</v>
      </c>
      <c r="J143" s="746">
        <f t="shared" ref="J143:J206" si="82">((1-I143)*(INDEX(a.m,F143)*$A143*$A143+INDEX(b.m,F143)*$A143+INDEX(c.m,F143))+I143*(INDEX(a.m,G143)*$A143*$A143+INDEX(b.m,G143)*$A143+INDEX(c.m,G143)))/10</f>
        <v>62.722011260315774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5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3">
        <f t="shared" ref="AS143:AS206" si="86">($A143-AR143)/(INDEX(x.2lg,AQ143)-AR143)</f>
        <v>0.6785714285714286</v>
      </c>
      <c r="AT143" s="769">
        <f t="shared" ref="AT143:AT206" si="87">((1-AS143)*(INDEX(a.lg,AP143)*$A143*$A143+INDEX(b.lg,AP143)*$A143+INDEX(c.lg,AP143))+AS143*(INDEX(a.lg,AQ143)*$A143*$A143+INDEX(b.lg,AQ143)*$A143+INDEX(c.lg,AQ143)))/10</f>
        <v>62.74437600765377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3">
        <f t="shared" ref="AX143:AX206" si="91">($A143-AW143)/(INDEX(x.2ld,AV143)-AW143)</f>
        <v>0.8214285714285714</v>
      </c>
      <c r="AY143" s="769">
        <f t="shared" ref="AY143:AY206" si="92">((1-AX143)*(INDEX(a.ld,AU143)*$A143*$A143+INDEX(b.ld,AU143)*$A143+INDEX(c.ld,AU143))+AX143*(INDEX(a.ld,AV143)*$A143*$A143+INDEX(b.ld,AV143)*$A143+INDEX(c.ld,AV143)))/10</f>
        <v>62.709966641451636</v>
      </c>
      <c r="AZ143" s="746">
        <f t="shared" si="77"/>
        <v>62.7271713245527</v>
      </c>
      <c r="BA143" s="643">
        <f t="shared" ref="BA143:BA206" si="93">+B143/J143</f>
        <v>0.89087773508812751</v>
      </c>
      <c r="BC143" s="11">
        <v>43229</v>
      </c>
      <c r="BD143" s="290">
        <f>[3]!FeuilCaduc*(1-Persistant)+Persistant</f>
        <v>0.72961155127710708</v>
      </c>
      <c r="BE143" s="291">
        <f>[3]!CroissVégét</f>
        <v>0.21061232458125589</v>
      </c>
      <c r="BF143" s="816">
        <f>1+[3]!Salcycl*Ksac</f>
        <v>1.0162014439096383</v>
      </c>
      <c r="BH143" s="1053">
        <f t="shared" ref="BH143:BH206" si="94">INDEX($BJ143:$BT143,,$BH$10)*(1-Ratini)+INDEX($BJ143:$BT143,,$BH$10+1)*Ratini</f>
        <v>2.1385891529243119E-3</v>
      </c>
      <c r="BI143" s="11">
        <v>44325</v>
      </c>
      <c r="BJ143" s="726">
        <v>3.1155489339430089E-4</v>
      </c>
      <c r="BK143" s="726">
        <v>8.4810438616327163E-4</v>
      </c>
      <c r="BL143" s="726">
        <v>1.4240820601151742E-3</v>
      </c>
      <c r="BM143" s="726">
        <v>2.140459391495265E-3</v>
      </c>
      <c r="BN143" s="726">
        <v>3.0314254561523684E-3</v>
      </c>
      <c r="BO143" s="727">
        <v>4.0237727123791436E-3</v>
      </c>
      <c r="BP143" s="726">
        <v>5.1155163992494083E-3</v>
      </c>
      <c r="BQ143" s="726">
        <v>6.3657743923936951E-3</v>
      </c>
      <c r="BR143" s="726">
        <v>7.9264115922161125E-3</v>
      </c>
      <c r="BS143" s="726">
        <v>9.8778189980244513E-3</v>
      </c>
      <c r="BT143" s="726">
        <v>1.2119883440281387E-2</v>
      </c>
      <c r="BW143" s="1186">
        <f>'2018'!R\Max</f>
        <v>0</v>
      </c>
      <c r="BX143" s="1184">
        <f>'2019'!R\Max</f>
        <v>0.77649621361744703</v>
      </c>
      <c r="BY143" s="1184">
        <f>'2020'!R\Max</f>
        <v>0.88032770015576745</v>
      </c>
      <c r="BZ143" s="1184">
        <f>'2021'!R\Max</f>
        <v>0.3550072467717596</v>
      </c>
      <c r="CA143" s="1184">
        <f>'2022'!R\Max</f>
        <v>0.89087773508812751</v>
      </c>
      <c r="CB143" s="1184">
        <f>'2023'!R\Max</f>
        <v>0.89087376642051386</v>
      </c>
      <c r="CC143" s="1184">
        <f>'2024'!R\Max</f>
        <v>0.89086967920178084</v>
      </c>
      <c r="CD143" s="1184">
        <f>'2025'!R\Max</f>
        <v>0.89089173763454488</v>
      </c>
      <c r="CE143" s="1184">
        <f>'2026'!R\Max</f>
        <v>0.89088849939224213</v>
      </c>
      <c r="CF143" s="1185">
        <f>'2027'!R\Max</f>
        <v>0.89088520375303293</v>
      </c>
    </row>
    <row r="144" spans="1:84" s="6" customFormat="1" ht="11.25" x14ac:dyDescent="0.2">
      <c r="A144" s="11">
        <v>43230</v>
      </c>
      <c r="B144" s="380">
        <f>'2022'!Maxi_hp</f>
        <v>55.526820084927458</v>
      </c>
      <c r="C144" s="13">
        <f>'2022'!An_max</f>
        <v>2022</v>
      </c>
      <c r="D144" s="1062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3">
        <f t="shared" si="81"/>
        <v>0.2857142857142857</v>
      </c>
      <c r="J144" s="746">
        <f t="shared" si="82"/>
        <v>62.814789504770715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5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3">
        <f t="shared" si="86"/>
        <v>0.6428571428571429</v>
      </c>
      <c r="AT144" s="769">
        <f t="shared" si="87"/>
        <v>62.835277661308645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3">
        <f t="shared" si="91"/>
        <v>0.8571428571428571</v>
      </c>
      <c r="AY144" s="769">
        <f t="shared" si="92"/>
        <v>62.803051312587094</v>
      </c>
      <c r="AZ144" s="746">
        <f t="shared" ref="AZ144:AZ207" si="96">(AY144+AT144)/2</f>
        <v>62.819164486947869</v>
      </c>
      <c r="BA144" s="643">
        <f t="shared" si="93"/>
        <v>0.88397685517532865</v>
      </c>
      <c r="BC144" s="11">
        <v>43230</v>
      </c>
      <c r="BD144" s="290">
        <f>[3]!FeuilCaduc*(1-Persistant)+Persistant</f>
        <v>0.7346538995152907</v>
      </c>
      <c r="BE144" s="291">
        <f>[3]!CroissVégét</f>
        <v>0.21756231167469237</v>
      </c>
      <c r="BF144" s="816">
        <f>1+[3]!Salcycl*Ksac</f>
        <v>1.0168317374394114</v>
      </c>
      <c r="BH144" s="1053">
        <f t="shared" si="94"/>
        <v>2.1770395420495779E-3</v>
      </c>
      <c r="BI144" s="11">
        <v>44326</v>
      </c>
      <c r="BJ144" s="726">
        <v>3.0274806123315958E-4</v>
      </c>
      <c r="BK144" s="726">
        <v>8.5187499185442278E-4</v>
      </c>
      <c r="BL144" s="726">
        <v>1.4406701460032356E-3</v>
      </c>
      <c r="BM144" s="726">
        <v>2.1789670056966367E-3</v>
      </c>
      <c r="BN144" s="726">
        <v>3.1266103705051796E-3</v>
      </c>
      <c r="BO144" s="727">
        <v>4.1920978548613055E-3</v>
      </c>
      <c r="BP144" s="726">
        <v>5.3702758555031578E-3</v>
      </c>
      <c r="BQ144" s="726">
        <v>6.7189657156103318E-3</v>
      </c>
      <c r="BR144" s="726">
        <v>8.3732792425532682E-3</v>
      </c>
      <c r="BS144" s="726">
        <v>1.040719786403691E-2</v>
      </c>
      <c r="BT144" s="726">
        <v>1.2703158194941838E-2</v>
      </c>
      <c r="BW144" s="1186">
        <f>'2018'!R\Max</f>
        <v>0</v>
      </c>
      <c r="BX144" s="1184">
        <f>'2019'!R\Max</f>
        <v>0.63435178026426531</v>
      </c>
      <c r="BY144" s="1184">
        <f>'2020'!R\Max</f>
        <v>0.81518856752258229</v>
      </c>
      <c r="BZ144" s="1184">
        <f>'2021'!R\Max</f>
        <v>0.71050422376027467</v>
      </c>
      <c r="CA144" s="1184">
        <f>'2022'!R\Max</f>
        <v>0.88397685517532865</v>
      </c>
      <c r="CB144" s="1184">
        <f>'2023'!R\Max</f>
        <v>0.88397231219436645</v>
      </c>
      <c r="CC144" s="1184">
        <f>'2024'!R\Max</f>
        <v>0.88396762935742335</v>
      </c>
      <c r="CD144" s="1184">
        <f>'2025'!R\Max</f>
        <v>0.88399274971073027</v>
      </c>
      <c r="CE144" s="1184">
        <f>'2026'!R\Max</f>
        <v>0.88398909633686584</v>
      </c>
      <c r="CF144" s="1185">
        <f>'2027'!R\Max</f>
        <v>0.88398536904174452</v>
      </c>
    </row>
    <row r="145" spans="1:84" s="6" customFormat="1" ht="11.25" x14ac:dyDescent="0.2">
      <c r="A145" s="11">
        <v>43231</v>
      </c>
      <c r="B145" s="380">
        <f>'2022'!Maxi_hp</f>
        <v>59.946364032556687</v>
      </c>
      <c r="C145" s="13">
        <f>'2022'!An_max</f>
        <v>2022</v>
      </c>
      <c r="D145" s="1062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3">
        <f t="shared" si="81"/>
        <v>0.21428571428571427</v>
      </c>
      <c r="J145" s="746">
        <f t="shared" si="82"/>
        <v>62.90313013808003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5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3">
        <f t="shared" si="86"/>
        <v>0.6071428571428571</v>
      </c>
      <c r="AT145" s="769">
        <f t="shared" si="87"/>
        <v>62.921017014794053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3">
        <f t="shared" si="91"/>
        <v>0.8928571428571429</v>
      </c>
      <c r="AY145" s="769">
        <f t="shared" si="92"/>
        <v>62.892682521923312</v>
      </c>
      <c r="AZ145" s="746">
        <f t="shared" si="96"/>
        <v>62.906849768358683</v>
      </c>
      <c r="BA145" s="643">
        <f t="shared" si="93"/>
        <v>0.95299492888457404</v>
      </c>
      <c r="BC145" s="11">
        <v>43231</v>
      </c>
      <c r="BD145" s="290">
        <f>[3]!FeuilCaduc*(1-Persistant)+Persistant</f>
        <v>0.73977930737980246</v>
      </c>
      <c r="BE145" s="291">
        <f>[3]!CroissVégét</f>
        <v>0.22467491379142088</v>
      </c>
      <c r="BF145" s="816">
        <f>1+[3]!Salcycl*Ksac</f>
        <v>1.0174724134224753</v>
      </c>
      <c r="BH145" s="1053">
        <f t="shared" si="94"/>
        <v>2.1978737536625186E-3</v>
      </c>
      <c r="BI145" s="11">
        <v>44327</v>
      </c>
      <c r="BJ145" s="726">
        <v>2.9090228609246889E-4</v>
      </c>
      <c r="BK145" s="726">
        <v>8.4815405688719889E-4</v>
      </c>
      <c r="BL145" s="726">
        <v>1.4450505879961277E-3</v>
      </c>
      <c r="BM145" s="726">
        <v>2.1998442854258924E-3</v>
      </c>
      <c r="BN145" s="726">
        <v>3.2009167370045796E-3</v>
      </c>
      <c r="BO145" s="727">
        <v>4.3380974683999221E-3</v>
      </c>
      <c r="BP145" s="726">
        <v>5.6047223787452421E-3</v>
      </c>
      <c r="BQ145" s="726">
        <v>7.0620971961192812E-3</v>
      </c>
      <c r="BR145" s="726">
        <v>8.8202469793780026E-3</v>
      </c>
      <c r="BS145" s="726">
        <v>1.0945473955783352E-2</v>
      </c>
      <c r="BT145" s="726">
        <v>1.3294583703197195E-2</v>
      </c>
      <c r="BW145" s="1186">
        <f>'2018'!R\Max</f>
        <v>0</v>
      </c>
      <c r="BX145" s="1184">
        <f>'2019'!R\Max</f>
        <v>0.61787558303869228</v>
      </c>
      <c r="BY145" s="1184">
        <f>'2020'!R\Max</f>
        <v>0.19601355717920926</v>
      </c>
      <c r="BZ145" s="1184">
        <f>'2021'!R\Max</f>
        <v>0.59421875114314204</v>
      </c>
      <c r="CA145" s="1184">
        <f>'2022'!R\Max</f>
        <v>0.95299492888457404</v>
      </c>
      <c r="CB145" s="1184">
        <f>'2023'!R\Max</f>
        <v>0.95299278381599928</v>
      </c>
      <c r="CC145" s="1184">
        <f>'2024'!R\Max</f>
        <v>0.95299056771436508</v>
      </c>
      <c r="CD145" s="1184">
        <f>'2025'!R\Max</f>
        <v>0.95300235366461794</v>
      </c>
      <c r="CE145" s="1184">
        <f>'2026'!R\Max</f>
        <v>0.95300065869547024</v>
      </c>
      <c r="CF145" s="1185">
        <f>'2027'!R\Max</f>
        <v>0.95299892458327762</v>
      </c>
    </row>
    <row r="146" spans="1:84" s="6" customFormat="1" ht="11.25" x14ac:dyDescent="0.2">
      <c r="A146" s="11">
        <v>43232</v>
      </c>
      <c r="B146" s="380">
        <f>'2022'!Maxi_hp</f>
        <v>59.238727729135654</v>
      </c>
      <c r="C146" s="13">
        <f>'2022'!An_max</f>
        <v>2019</v>
      </c>
      <c r="D146" s="1062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3">
        <f t="shared" si="81"/>
        <v>0.14285714285714285</v>
      </c>
      <c r="J146" s="746">
        <f t="shared" si="82"/>
        <v>62.987140524706675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5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3">
        <f t="shared" si="86"/>
        <v>0.5714285714285714</v>
      </c>
      <c r="AT146" s="769">
        <f t="shared" si="87"/>
        <v>63.00174169167876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3">
        <f t="shared" si="91"/>
        <v>0.9285714285714286</v>
      </c>
      <c r="AY146" s="769">
        <f t="shared" si="92"/>
        <v>62.979034731164575</v>
      </c>
      <c r="AZ146" s="746">
        <f t="shared" si="96"/>
        <v>62.990388211421667</v>
      </c>
      <c r="BA146" s="643">
        <f t="shared" si="93"/>
        <v>0.94048923694034492</v>
      </c>
      <c r="BC146" s="11">
        <v>43232</v>
      </c>
      <c r="BD146" s="290">
        <f>[3]!FeuilCaduc*(1-Persistant)+Persistant</f>
        <v>0.74498369010764909</v>
      </c>
      <c r="BE146" s="291">
        <f>[3]!CroissVégét</f>
        <v>0.23194968908707836</v>
      </c>
      <c r="BF146" s="816">
        <f>1+[3]!Salcycl*Ksac</f>
        <v>1.0181229612634561</v>
      </c>
      <c r="BH146" s="1053">
        <f t="shared" si="94"/>
        <v>2.2011078136717011E-3</v>
      </c>
      <c r="BI146" s="11">
        <v>44328</v>
      </c>
      <c r="BJ146" s="726">
        <v>2.7602075732631568E-4</v>
      </c>
      <c r="BK146" s="726">
        <v>8.3694874606971448E-4</v>
      </c>
      <c r="BL146" s="726">
        <v>1.4372347732408261E-3</v>
      </c>
      <c r="BM146" s="726">
        <v>2.2031072687336631E-3</v>
      </c>
      <c r="BN146" s="726">
        <v>3.2543621107388701E-3</v>
      </c>
      <c r="BO146" s="727">
        <v>4.4617883677300248E-3</v>
      </c>
      <c r="BP146" s="726">
        <v>5.8188682182209505E-3</v>
      </c>
      <c r="BQ146" s="726">
        <v>7.3951679487261274E-3</v>
      </c>
      <c r="BR146" s="726">
        <v>9.2673009292063915E-3</v>
      </c>
      <c r="BS146" s="726">
        <v>1.1492621974579393E-2</v>
      </c>
      <c r="BT146" s="726">
        <v>1.3894133445150086E-2</v>
      </c>
      <c r="BW146" s="1186">
        <f>'2018'!R\Max</f>
        <v>0</v>
      </c>
      <c r="BX146" s="1184">
        <f>'2019'!R\Max</f>
        <v>0.94048923694034492</v>
      </c>
      <c r="BY146" s="1184">
        <f>'2020'!R\Max</f>
        <v>0.14839072110413035</v>
      </c>
      <c r="BZ146" s="1184">
        <f>'2021'!R\Max</f>
        <v>0.71162279509687398</v>
      </c>
      <c r="CA146" s="1184">
        <f>'2022'!R\Max</f>
        <v>0.69399861620934289</v>
      </c>
      <c r="CB146" s="1184">
        <f>'2023'!R\Max</f>
        <v>0.69398765881211077</v>
      </c>
      <c r="CC146" s="1184">
        <f>'2024'!R\Max</f>
        <v>0.69397629962899898</v>
      </c>
      <c r="CD146" s="1184">
        <f>'2025'!R\Max</f>
        <v>0.69403607120389366</v>
      </c>
      <c r="CE146" s="1184">
        <f>'2026'!R\Max</f>
        <v>0.69402758433180933</v>
      </c>
      <c r="CF146" s="1185">
        <f>'2027'!R\Max</f>
        <v>0.69401887433568088</v>
      </c>
    </row>
    <row r="147" spans="1:84" s="6" customFormat="1" ht="11.25" x14ac:dyDescent="0.2">
      <c r="A147" s="11">
        <v>43233</v>
      </c>
      <c r="B147" s="380">
        <f>'2022'!Maxi_hp</f>
        <v>65.408960512497771</v>
      </c>
      <c r="C147" s="13">
        <f>'2022'!An_max</f>
        <v>2019</v>
      </c>
      <c r="D147" s="1062">
        <f t="shared" si="78"/>
        <v>1.0371356677957262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3">
        <f t="shared" si="81"/>
        <v>7.1428571428571425E-2</v>
      </c>
      <c r="J147" s="746">
        <f t="shared" si="82"/>
        <v>63.06692802448358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5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3">
        <f t="shared" si="86"/>
        <v>0.5357142857142857</v>
      </c>
      <c r="AT147" s="769">
        <f t="shared" si="87"/>
        <v>63.077599312205393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3">
        <f t="shared" si="91"/>
        <v>0.9642857142857143</v>
      </c>
      <c r="AY147" s="769">
        <f t="shared" si="92"/>
        <v>63.062282402121596</v>
      </c>
      <c r="AZ147" s="746">
        <f t="shared" si="96"/>
        <v>63.069940857163495</v>
      </c>
      <c r="BA147" s="643">
        <f t="shared" si="93"/>
        <v>1.0371356677957262</v>
      </c>
      <c r="BC147" s="11">
        <v>43233</v>
      </c>
      <c r="BD147" s="290">
        <f>[3]!FeuilCaduc*(1-Persistant)+Persistant</f>
        <v>0.75026269937219203</v>
      </c>
      <c r="BE147" s="291">
        <f>[3]!CroissVégét</f>
        <v>0.23938589533798257</v>
      </c>
      <c r="BF147" s="816">
        <f>1+[3]!Salcycl*Ksac</f>
        <v>1.018782837421524</v>
      </c>
      <c r="BH147" s="1053">
        <f t="shared" si="94"/>
        <v>2.1867586504080486E-3</v>
      </c>
      <c r="BI147" s="11">
        <v>44329</v>
      </c>
      <c r="BJ147" s="726">
        <v>2.5810683409907824E-4</v>
      </c>
      <c r="BK147" s="726">
        <v>8.1826661950683429E-4</v>
      </c>
      <c r="BL147" s="726">
        <v>1.417234723466437E-3</v>
      </c>
      <c r="BM147" s="726">
        <v>2.1887728967940139E-3</v>
      </c>
      <c r="BN147" s="726">
        <v>3.2869650706888343E-3</v>
      </c>
      <c r="BO147" s="727">
        <v>4.5631884011253657E-3</v>
      </c>
      <c r="BP147" s="726">
        <v>6.0127264697267977E-3</v>
      </c>
      <c r="BQ147" s="726">
        <v>7.71817729744027E-3</v>
      </c>
      <c r="BR147" s="726">
        <v>9.7144267994878509E-3</v>
      </c>
      <c r="BS147" s="726">
        <v>1.2048615656953593E-2</v>
      </c>
      <c r="BT147" s="726">
        <v>1.4501779925058038E-2</v>
      </c>
      <c r="BW147" s="1186">
        <f>'2018'!R\Max</f>
        <v>0</v>
      </c>
      <c r="BX147" s="1184">
        <f>'2019'!R\Max</f>
        <v>1.0371356677957262</v>
      </c>
      <c r="BY147" s="1184">
        <f>'2020'!R\Max</f>
        <v>0.33936744502305377</v>
      </c>
      <c r="BZ147" s="1184">
        <f>'2021'!R\Max</f>
        <v>0.77453670829174415</v>
      </c>
      <c r="CA147" s="1184">
        <f>'2022'!R\Max</f>
        <v>0.70511596019147138</v>
      </c>
      <c r="CB147" s="1184">
        <f>'2023'!R\Max</f>
        <v>0.70510443412521495</v>
      </c>
      <c r="CC147" s="1184">
        <f>'2024'!R\Max</f>
        <v>0.70509243100872321</v>
      </c>
      <c r="CD147" s="1184">
        <f>'2025'!R\Max</f>
        <v>0.70515480752130433</v>
      </c>
      <c r="CE147" s="1184">
        <f>'2026'!R\Max</f>
        <v>0.70514607656700901</v>
      </c>
      <c r="CF147" s="1185">
        <f>'2027'!R\Max</f>
        <v>0.70513708460233748</v>
      </c>
    </row>
    <row r="148" spans="1:84" s="6" customFormat="1" ht="11.25" x14ac:dyDescent="0.2">
      <c r="A148" s="11">
        <v>43234</v>
      </c>
      <c r="B148" s="380">
        <f>'2022'!Maxi_hp</f>
        <v>63.832836981428784</v>
      </c>
      <c r="C148" s="13">
        <f>'2022'!An_max</f>
        <v>2019</v>
      </c>
      <c r="D148" s="1062">
        <f t="shared" si="78"/>
        <v>1.0109313994161151</v>
      </c>
      <c r="E148" s="1057">
        <f>W$13/10</f>
        <v>63.142600000000002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3">
        <f t="shared" si="81"/>
        <v>0</v>
      </c>
      <c r="J148" s="746">
        <f t="shared" si="82"/>
        <v>63.142600000649693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5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3">
        <f t="shared" si="86"/>
        <v>0.5</v>
      </c>
      <c r="AT148" s="769">
        <f t="shared" si="87"/>
        <v>63.148737499862911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3">
        <f t="shared" si="91"/>
        <v>1</v>
      </c>
      <c r="AY148" s="769">
        <f t="shared" si="92"/>
        <v>63.142599999159572</v>
      </c>
      <c r="AZ148" s="746">
        <f t="shared" si="96"/>
        <v>63.145668749511245</v>
      </c>
      <c r="BA148" s="643">
        <f t="shared" si="93"/>
        <v>1.0109313994161151</v>
      </c>
      <c r="BC148" s="11">
        <v>43234</v>
      </c>
      <c r="BD148" s="290">
        <f>[3]!FeuilCaduc*(1-Persistant)+Persistant</f>
        <v>0.75561172726176895</v>
      </c>
      <c r="BE148" s="291">
        <f>[3]!CroissVégét</f>
        <v>0.24698247846918731</v>
      </c>
      <c r="BF148" s="816">
        <f>1+[3]!Salcycl*Ksac</f>
        <v>1.0194514659077212</v>
      </c>
      <c r="BH148" s="1053">
        <f t="shared" si="94"/>
        <v>2.1548441332314193E-3</v>
      </c>
      <c r="BI148" s="11">
        <v>44330</v>
      </c>
      <c r="BJ148" s="726">
        <v>2.3716405206793535E-4</v>
      </c>
      <c r="BK148" s="726">
        <v>7.9211564903676013E-4</v>
      </c>
      <c r="BL148" s="726">
        <v>1.385063121752717E-3</v>
      </c>
      <c r="BM148" s="726">
        <v>2.1568590525420095E-3</v>
      </c>
      <c r="BN148" s="726">
        <v>3.2987452654072691E-3</v>
      </c>
      <c r="BO148" s="727">
        <v>4.6423164991393337E-3</v>
      </c>
      <c r="BP148" s="726">
        <v>6.1863111197945856E-3</v>
      </c>
      <c r="BQ148" s="726">
        <v>8.0311247969847965E-3</v>
      </c>
      <c r="BR148" s="726">
        <v>1.0161609877647882E-2</v>
      </c>
      <c r="BS148" s="726">
        <v>1.2613427754226561E-2</v>
      </c>
      <c r="BT148" s="726">
        <v>1.5117494652445636E-2</v>
      </c>
      <c r="BW148" s="1186">
        <f>'2018'!R\Max</f>
        <v>0</v>
      </c>
      <c r="BX148" s="1184">
        <f>'2019'!R\Max</f>
        <v>1.0109313994161151</v>
      </c>
      <c r="BY148" s="1184">
        <f>'2020'!R\Max</f>
        <v>0.51664341277229364</v>
      </c>
      <c r="BZ148" s="1184">
        <f>'2021'!R\Max</f>
        <v>0.72445786217643415</v>
      </c>
      <c r="CA148" s="1184">
        <f>'2022'!R\Max</f>
        <v>0.85220810873641462</v>
      </c>
      <c r="CB148" s="1184">
        <f>'2023'!R\Max</f>
        <v>0.8522006278565788</v>
      </c>
      <c r="CC148" s="1184">
        <f>'2024'!R\Max</f>
        <v>0.85219279408225257</v>
      </c>
      <c r="CD148" s="1184">
        <f>'2025'!R\Max</f>
        <v>0.85223293754332063</v>
      </c>
      <c r="CE148" s="1184">
        <f>'2026'!R\Max</f>
        <v>0.85222740618938997</v>
      </c>
      <c r="CF148" s="1185">
        <f>'2027'!R\Max</f>
        <v>0.85222168718507818</v>
      </c>
    </row>
    <row r="149" spans="1:84" s="6" customFormat="1" ht="11.25" x14ac:dyDescent="0.2">
      <c r="A149" s="11">
        <v>43235</v>
      </c>
      <c r="B149" s="380">
        <f>'2022'!Maxi_hp</f>
        <v>64.337487236928794</v>
      </c>
      <c r="C149" s="13">
        <f>'2022'!An_max</f>
        <v>2019</v>
      </c>
      <c r="D149" s="1062">
        <f t="shared" si="78"/>
        <v>1.0177803242356294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3">
        <f t="shared" si="81"/>
        <v>7.1428571428571425E-2</v>
      </c>
      <c r="J149" s="746">
        <f t="shared" si="82"/>
        <v>63.213530174350105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5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3">
        <f t="shared" si="86"/>
        <v>0.4642857142857143</v>
      </c>
      <c r="AT149" s="769">
        <f t="shared" si="87"/>
        <v>63.21530387641063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3">
        <f t="shared" si="91"/>
        <v>0.9642857142857143</v>
      </c>
      <c r="AY149" s="769">
        <f t="shared" si="92"/>
        <v>63.218835622950323</v>
      </c>
      <c r="AZ149" s="746">
        <f t="shared" si="96"/>
        <v>63.217069749680476</v>
      </c>
      <c r="BA149" s="643">
        <f t="shared" si="93"/>
        <v>1.0177803242356294</v>
      </c>
      <c r="BC149" s="11">
        <v>43235</v>
      </c>
      <c r="BD149" s="290">
        <f>[3]!FeuilCaduc*(1-Persistant)+Persistant</f>
        <v>0.76102591163517674</v>
      </c>
      <c r="BE149" s="291">
        <f>[3]!CroissVégét</f>
        <v>0.25473806189926657</v>
      </c>
      <c r="BF149" s="816">
        <f>1+[3]!Salcycl*Ksac</f>
        <v>1.0201282389543971</v>
      </c>
      <c r="BH149" s="1053">
        <f t="shared" si="94"/>
        <v>2.10538311112553E-3</v>
      </c>
      <c r="BI149" s="11">
        <v>44331</v>
      </c>
      <c r="BJ149" s="726">
        <v>2.1319613006364022E-4</v>
      </c>
      <c r="BK149" s="726">
        <v>7.58504234662959E-4</v>
      </c>
      <c r="BL149" s="726">
        <v>1.3407333392907942E-3</v>
      </c>
      <c r="BM149" s="726">
        <v>2.1073845992996129E-3</v>
      </c>
      <c r="BN149" s="726">
        <v>3.2897234586821865E-3</v>
      </c>
      <c r="BO149" s="727">
        <v>4.6991927233244876E-3</v>
      </c>
      <c r="BP149" s="726">
        <v>6.3396370898486489E-3</v>
      </c>
      <c r="BQ149" s="726">
        <v>8.3340102542735339E-3</v>
      </c>
      <c r="BR149" s="726">
        <v>1.0608835030090455E-2</v>
      </c>
      <c r="BS149" s="726">
        <v>1.3187030012040066E-2</v>
      </c>
      <c r="BT149" s="726">
        <v>1.5741248123155117E-2</v>
      </c>
      <c r="BW149" s="1186">
        <f>'2018'!R\Max</f>
        <v>0</v>
      </c>
      <c r="BX149" s="1184">
        <f>'2019'!R\Max</f>
        <v>1.0177803242356294</v>
      </c>
      <c r="BY149" s="1184">
        <f>'2020'!R\Max</f>
        <v>0.33831429870908908</v>
      </c>
      <c r="BZ149" s="1184">
        <f>'2021'!R\Max</f>
        <v>0.34761013472946956</v>
      </c>
      <c r="CA149" s="1184">
        <f>'2022'!R\Max</f>
        <v>0.90071620544025999</v>
      </c>
      <c r="CB149" s="1184">
        <f>'2023'!R\Max</f>
        <v>0.90071052795709639</v>
      </c>
      <c r="CC149" s="1184">
        <f>'2024'!R\Max</f>
        <v>0.90070454436656477</v>
      </c>
      <c r="CD149" s="1184">
        <f>'2025'!R\Max</f>
        <v>0.90073474272592391</v>
      </c>
      <c r="CE149" s="1184">
        <f>'2026'!R\Max</f>
        <v>0.90073065178214784</v>
      </c>
      <c r="CF149" s="1185">
        <f>'2027'!R\Max</f>
        <v>0.90072640378552737</v>
      </c>
    </row>
    <row r="150" spans="1:84" s="6" customFormat="1" ht="11.25" x14ac:dyDescent="0.2">
      <c r="A150" s="11">
        <v>43236</v>
      </c>
      <c r="B150" s="380">
        <f>'2022'!Maxi_hp</f>
        <v>55.759884023555387</v>
      </c>
      <c r="C150" s="13">
        <f>'2022'!An_max</f>
        <v>2019</v>
      </c>
      <c r="D150" s="1062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3">
        <f t="shared" si="81"/>
        <v>0.14285714285714285</v>
      </c>
      <c r="J150" s="746">
        <f t="shared" si="82"/>
        <v>63.279163848076543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5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3">
        <f t="shared" si="86"/>
        <v>0.42857142857142855</v>
      </c>
      <c r="AT150" s="769">
        <f t="shared" si="87"/>
        <v>63.277446064991615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3">
        <f t="shared" si="91"/>
        <v>0.9285714285714286</v>
      </c>
      <c r="AY150" s="769">
        <f t="shared" si="92"/>
        <v>63.289792638378493</v>
      </c>
      <c r="AZ150" s="746">
        <f t="shared" si="96"/>
        <v>63.283619351685054</v>
      </c>
      <c r="BA150" s="643">
        <f t="shared" si="93"/>
        <v>0.88117289535345666</v>
      </c>
      <c r="BC150" s="11">
        <v>43236</v>
      </c>
      <c r="BD150" s="290">
        <f>[3]!FeuilCaduc*(1-Persistant)+Persistant</f>
        <v>0.76650014289941526</v>
      </c>
      <c r="BE150" s="291">
        <f>[3]!CroissVégét</f>
        <v>0.2626509368215188</v>
      </c>
      <c r="BF150" s="816">
        <f>1+[3]!Salcycl*Ksac</f>
        <v>1.020812517862427</v>
      </c>
      <c r="BH150" s="1053">
        <f t="shared" si="94"/>
        <v>2.0398505136093857E-3</v>
      </c>
      <c r="BI150" s="11">
        <v>44332</v>
      </c>
      <c r="BJ150" s="726">
        <v>1.878918863240703E-4</v>
      </c>
      <c r="BK150" s="726">
        <v>7.1923688362094057E-4</v>
      </c>
      <c r="BL150" s="726">
        <v>1.2862949801116664E-3</v>
      </c>
      <c r="BM150" s="726">
        <v>2.0418229623622199E-3</v>
      </c>
      <c r="BN150" s="726">
        <v>3.25492044357355E-3</v>
      </c>
      <c r="BO150" s="727">
        <v>4.7196400795009074E-3</v>
      </c>
      <c r="BP150" s="726">
        <v>6.4463305565397406E-3</v>
      </c>
      <c r="BQ150" s="726">
        <v>8.5929727721860017E-3</v>
      </c>
      <c r="BR150" s="726">
        <v>1.1016838571333844E-2</v>
      </c>
      <c r="BS150" s="726">
        <v>1.3743618911980662E-2</v>
      </c>
      <c r="BT150" s="726">
        <v>1.6376670350868521E-2</v>
      </c>
      <c r="BW150" s="1186">
        <f>'2018'!R\Max</f>
        <v>0</v>
      </c>
      <c r="BX150" s="1184">
        <f>'2019'!R\Max</f>
        <v>0.88117289535345666</v>
      </c>
      <c r="BY150" s="1184">
        <f>'2020'!R\Max</f>
        <v>0.26431423582926028</v>
      </c>
      <c r="BZ150" s="1184">
        <f>'2021'!R\Max</f>
        <v>0.22440228652848745</v>
      </c>
      <c r="CA150" s="1184">
        <f>'2022'!R\Max</f>
        <v>0.85778433142074684</v>
      </c>
      <c r="CB150" s="1184">
        <f>'2023'!R\Max</f>
        <v>0.8577761291987227</v>
      </c>
      <c r="CC150" s="1184">
        <f>'2024'!R\Max</f>
        <v>0.8577674127635363</v>
      </c>
      <c r="CD150" s="1184">
        <f>'2025'!R\Max</f>
        <v>0.85781068392922799</v>
      </c>
      <c r="CE150" s="1184">
        <f>'2026'!R\Max</f>
        <v>0.85780492285849541</v>
      </c>
      <c r="CF150" s="1185">
        <f>'2027'!R\Max</f>
        <v>0.85779891356447058</v>
      </c>
    </row>
    <row r="151" spans="1:84" s="6" customFormat="1" ht="11.25" x14ac:dyDescent="0.2">
      <c r="A151" s="11">
        <v>43237</v>
      </c>
      <c r="B151" s="380">
        <f>'2022'!Maxi_hp</f>
        <v>59.143869986274652</v>
      </c>
      <c r="C151" s="13">
        <f>'2022'!An_max</f>
        <v>2021</v>
      </c>
      <c r="D151" s="1062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3">
        <f t="shared" si="81"/>
        <v>0.21428571428571427</v>
      </c>
      <c r="J151" s="746">
        <f t="shared" si="82"/>
        <v>63.33971574380994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5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3">
        <f t="shared" si="86"/>
        <v>0.39285714285714285</v>
      </c>
      <c r="AT151" s="769">
        <f t="shared" si="87"/>
        <v>63.335311685236448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3">
        <f t="shared" si="91"/>
        <v>0.8928571428571429</v>
      </c>
      <c r="AY151" s="769">
        <f t="shared" si="92"/>
        <v>63.355578407631924</v>
      </c>
      <c r="AZ151" s="746">
        <f t="shared" si="96"/>
        <v>63.345445046434186</v>
      </c>
      <c r="BA151" s="643">
        <f t="shared" si="93"/>
        <v>0.93375647951269281</v>
      </c>
      <c r="BC151" s="11">
        <v>43237</v>
      </c>
      <c r="BD151" s="290">
        <f>[3]!FeuilCaduc*(1-Persistant)+Persistant</f>
        <v>0.77202907224453754</v>
      </c>
      <c r="BE151" s="291">
        <f>[3]!CroissVégét</f>
        <v>0.27071905354146641</v>
      </c>
      <c r="BF151" s="816">
        <f>1+[3]!Salcycl*Ksac</f>
        <v>1.0215036340305672</v>
      </c>
      <c r="BH151" s="1053">
        <f t="shared" si="94"/>
        <v>1.9648848380424554E-3</v>
      </c>
      <c r="BI151" s="11">
        <v>44333</v>
      </c>
      <c r="BJ151" s="726">
        <v>1.6428965543458223E-4</v>
      </c>
      <c r="BK151" s="726">
        <v>6.7852901145760763E-4</v>
      </c>
      <c r="BL151" s="726">
        <v>1.2272905632081709E-3</v>
      </c>
      <c r="BM151" s="726">
        <v>1.9668155078376081E-3</v>
      </c>
      <c r="BN151" s="726">
        <v>3.1993931203623438E-3</v>
      </c>
      <c r="BO151" s="727">
        <v>4.7058017398069387E-3</v>
      </c>
      <c r="BP151" s="726">
        <v>6.5040056259299045E-3</v>
      </c>
      <c r="BQ151" s="726">
        <v>8.8032038573290956E-3</v>
      </c>
      <c r="BR151" s="726">
        <v>1.1379220499302956E-2</v>
      </c>
      <c r="BS151" s="726">
        <v>1.4276731552228965E-2</v>
      </c>
      <c r="BT151" s="726">
        <v>1.7017347109126831E-2</v>
      </c>
      <c r="BW151" s="1186">
        <f>'2018'!R\Max</f>
        <v>0</v>
      </c>
      <c r="BX151" s="1184">
        <f>'2019'!R\Max</f>
        <v>0.11961380749021008</v>
      </c>
      <c r="BY151" s="1184">
        <f>'2020'!R\Max</f>
        <v>0.57101611457008816</v>
      </c>
      <c r="BZ151" s="1184">
        <f>'2021'!R\Max</f>
        <v>0.93375647951269281</v>
      </c>
      <c r="CA151" s="1184">
        <f>'2022'!R\Max</f>
        <v>0.9126951077251102</v>
      </c>
      <c r="CB151" s="1184">
        <f>'2023'!R\Max</f>
        <v>0.91268949331018268</v>
      </c>
      <c r="CC151" s="1184">
        <f>'2024'!R\Max</f>
        <v>0.91268346305940273</v>
      </c>
      <c r="CD151" s="1184">
        <f>'2025'!R\Max</f>
        <v>0.9127128692500186</v>
      </c>
      <c r="CE151" s="1184">
        <f>'2026'!R\Max</f>
        <v>0.91270902195662063</v>
      </c>
      <c r="CF151" s="1185">
        <f>'2027'!R\Max</f>
        <v>0.91270499020875395</v>
      </c>
    </row>
    <row r="152" spans="1:84" s="6" customFormat="1" ht="11.25" x14ac:dyDescent="0.2">
      <c r="A152" s="11">
        <v>43238</v>
      </c>
      <c r="B152" s="380">
        <f>'2022'!Maxi_hp</f>
        <v>63.972000087795209</v>
      </c>
      <c r="C152" s="13">
        <f>'2022'!An_max</f>
        <v>2020</v>
      </c>
      <c r="D152" s="1062">
        <f t="shared" si="78"/>
        <v>1.0090952892418232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3">
        <f t="shared" si="81"/>
        <v>0.2857142857142857</v>
      </c>
      <c r="J152" s="746">
        <f t="shared" si="82"/>
        <v>63.395400582892556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5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3">
        <f t="shared" si="86"/>
        <v>0.35714285714285715</v>
      </c>
      <c r="AT152" s="769">
        <f t="shared" si="87"/>
        <v>63.389048360926765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3">
        <f t="shared" si="91"/>
        <v>0.8571428571428571</v>
      </c>
      <c r="AY152" s="769">
        <f t="shared" si="92"/>
        <v>63.416300291568042</v>
      </c>
      <c r="AZ152" s="746">
        <f t="shared" si="96"/>
        <v>63.402674326247407</v>
      </c>
      <c r="BA152" s="643">
        <f t="shared" si="93"/>
        <v>1.0090952892418232</v>
      </c>
      <c r="BC152" s="11">
        <v>43238</v>
      </c>
      <c r="BD152" s="290">
        <f>[3]!FeuilCaduc*(1-Persistant)+Persistant</f>
        <v>0.77760712135912158</v>
      </c>
      <c r="BE152" s="291">
        <f>[3]!CroissVégét</f>
        <v>0.27894001398938062</v>
      </c>
      <c r="BF152" s="816">
        <f>1+[3]!Salcycl*Ksac</f>
        <v>1.0222008901698902</v>
      </c>
      <c r="BH152" s="1053">
        <f t="shared" si="94"/>
        <v>1.8804986232625076E-3</v>
      </c>
      <c r="BI152" s="11">
        <v>44334</v>
      </c>
      <c r="BJ152" s="726">
        <v>1.4238817786618423E-4</v>
      </c>
      <c r="BK152" s="726">
        <v>6.363833306783028E-4</v>
      </c>
      <c r="BL152" s="726">
        <v>1.1637267815996491E-3</v>
      </c>
      <c r="BM152" s="726">
        <v>1.88237478986511E-3</v>
      </c>
      <c r="BN152" s="726">
        <v>3.1231659888157114E-3</v>
      </c>
      <c r="BO152" s="727">
        <v>4.6577160063255496E-3</v>
      </c>
      <c r="BP152" s="726">
        <v>6.5127147580104228E-3</v>
      </c>
      <c r="BQ152" s="726">
        <v>8.9647504467386709E-3</v>
      </c>
      <c r="BR152" s="726">
        <v>1.1696018960234929E-2</v>
      </c>
      <c r="BS152" s="726">
        <v>1.478637497914987E-2</v>
      </c>
      <c r="BT152" s="726">
        <v>1.7663248807455668E-2</v>
      </c>
      <c r="BW152" s="1186">
        <f>'2018'!R\Max</f>
        <v>0</v>
      </c>
      <c r="BX152" s="1184">
        <f>'2019'!R\Max</f>
        <v>0.6223204716260774</v>
      </c>
      <c r="BY152" s="1184">
        <f>'2020'!R\Max</f>
        <v>1.0090952892418232</v>
      </c>
      <c r="BZ152" s="1184">
        <f>'2021'!R\Max</f>
        <v>0.59512751833417332</v>
      </c>
      <c r="CA152" s="1184">
        <f>'2022'!R\Max</f>
        <v>0.87732069126080514</v>
      </c>
      <c r="CB152" s="1184">
        <f>'2023'!R\Max</f>
        <v>0.87731281862661536</v>
      </c>
      <c r="CC152" s="1184">
        <f>'2024'!R\Max</f>
        <v>0.87730425168245663</v>
      </c>
      <c r="CD152" s="1184">
        <f>'2025'!R\Max</f>
        <v>0.87734522082457866</v>
      </c>
      <c r="CE152" s="1184">
        <f>'2026'!R\Max</f>
        <v>0.87733995635310202</v>
      </c>
      <c r="CF152" s="1185">
        <f>'2027'!R\Max</f>
        <v>0.87733441269469004</v>
      </c>
    </row>
    <row r="153" spans="1:84" s="6" customFormat="1" ht="11.25" x14ac:dyDescent="0.2">
      <c r="A153" s="11">
        <v>43239</v>
      </c>
      <c r="B153" s="380">
        <f>'2022'!Maxi_hp</f>
        <v>63.050548226982031</v>
      </c>
      <c r="C153" s="13">
        <f>'2022'!An_max</f>
        <v>2020</v>
      </c>
      <c r="D153" s="1062">
        <f t="shared" si="78"/>
        <v>0.99376032907858713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3">
        <f t="shared" si="81"/>
        <v>0.35714285714285715</v>
      </c>
      <c r="J153" s="746">
        <f t="shared" si="82"/>
        <v>63.446433090604842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5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3">
        <f t="shared" si="86"/>
        <v>0.32142857142857145</v>
      </c>
      <c r="AT153" s="769">
        <f t="shared" si="87"/>
        <v>63.4388037125713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3">
        <f t="shared" si="91"/>
        <v>0.8214285714285714</v>
      </c>
      <c r="AY153" s="769">
        <f t="shared" si="92"/>
        <v>63.472065652427922</v>
      </c>
      <c r="AZ153" s="746">
        <f t="shared" si="96"/>
        <v>63.455434682499614</v>
      </c>
      <c r="BA153" s="643">
        <f t="shared" si="93"/>
        <v>0.99376032907858713</v>
      </c>
      <c r="BC153" s="11">
        <v>43239</v>
      </c>
      <c r="BD153" s="290">
        <f>[3]!FeuilCaduc*(1-Persistant)+Persistant</f>
        <v>0.78322849363786029</v>
      </c>
      <c r="BE153" s="291">
        <f>[3]!CroissVégét</f>
        <v>0.28731106552397356</v>
      </c>
      <c r="BF153" s="816">
        <f>1+[3]!Salcycl*Ksac</f>
        <v>1.0229035617047326</v>
      </c>
      <c r="BH153" s="1053">
        <f t="shared" si="94"/>
        <v>1.7867050455156156E-3</v>
      </c>
      <c r="BI153" s="11">
        <v>44335</v>
      </c>
      <c r="BJ153" s="726">
        <v>1.2218611292292783E-4</v>
      </c>
      <c r="BK153" s="726">
        <v>5.9280267782467087E-4</v>
      </c>
      <c r="BL153" s="726">
        <v>1.0956106575864813E-3</v>
      </c>
      <c r="BM153" s="726">
        <v>1.7885140007988902E-3</v>
      </c>
      <c r="BN153" s="726">
        <v>3.0262648491835653E-3</v>
      </c>
      <c r="BO153" s="727">
        <v>4.5754232610270024E-3</v>
      </c>
      <c r="BP153" s="726">
        <v>6.472513314979042E-3</v>
      </c>
      <c r="BQ153" s="726">
        <v>9.077662219060827E-3</v>
      </c>
      <c r="BR153" s="726">
        <v>1.1967274510934107E-2</v>
      </c>
      <c r="BS153" s="726">
        <v>1.5272557151007775E-2</v>
      </c>
      <c r="BT153" s="726">
        <v>1.8314344929277793E-2</v>
      </c>
      <c r="BW153" s="1186">
        <f>'2018'!R\Max</f>
        <v>0</v>
      </c>
      <c r="BX153" s="1184">
        <f>'2019'!R\Max</f>
        <v>0.44218831681123399</v>
      </c>
      <c r="BY153" s="1184">
        <f>'2020'!R\Max</f>
        <v>0.99376032907858713</v>
      </c>
      <c r="BZ153" s="1184">
        <f>'2021'!R\Max</f>
        <v>0.72869334521771734</v>
      </c>
      <c r="CA153" s="1184">
        <f>'2022'!R\Max</f>
        <v>0.9253545550401937</v>
      </c>
      <c r="CB153" s="1184">
        <f>'2023'!R\Max</f>
        <v>0.925349354748639</v>
      </c>
      <c r="CC153" s="1184">
        <f>'2024'!R\Max</f>
        <v>0.92534360637365332</v>
      </c>
      <c r="CD153" s="1184">
        <f>'2025'!R\Max</f>
        <v>0.92537051030711992</v>
      </c>
      <c r="CE153" s="1184">
        <f>'2026'!R\Max</f>
        <v>0.92536711842787511</v>
      </c>
      <c r="CF153" s="1185">
        <f>'2027'!R\Max</f>
        <v>0.92536352824369994</v>
      </c>
    </row>
    <row r="154" spans="1:84" s="6" customFormat="1" ht="11.25" x14ac:dyDescent="0.2">
      <c r="A154" s="11">
        <v>43240</v>
      </c>
      <c r="B154" s="380">
        <f>'2022'!Maxi_hp</f>
        <v>62.803447200223168</v>
      </c>
      <c r="C154" s="13">
        <f>'2022'!An_max</f>
        <v>2021</v>
      </c>
      <c r="D154" s="1062">
        <f t="shared" si="78"/>
        <v>0.98913926756968695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3">
        <f t="shared" si="81"/>
        <v>0.42857142857142855</v>
      </c>
      <c r="J154" s="746">
        <f t="shared" si="82"/>
        <v>63.493027988395511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5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3">
        <f t="shared" si="86"/>
        <v>0.2857142857142857</v>
      </c>
      <c r="AT154" s="769">
        <f t="shared" si="87"/>
        <v>63.484725364510496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3">
        <f t="shared" si="91"/>
        <v>0.7857142857142857</v>
      </c>
      <c r="AY154" s="769">
        <f t="shared" si="92"/>
        <v>63.522981851654393</v>
      </c>
      <c r="AZ154" s="746">
        <f t="shared" si="96"/>
        <v>63.503853608082444</v>
      </c>
      <c r="BA154" s="643">
        <f t="shared" si="93"/>
        <v>0.98913926756968695</v>
      </c>
      <c r="BC154" s="11">
        <v>43240</v>
      </c>
      <c r="BD154" s="290">
        <f>[3]!FeuilCaduc*(1-Persistant)+Persistant</f>
        <v>0.78888718688019166</v>
      </c>
      <c r="BE154" s="291">
        <f>[3]!CroissVégét</f>
        <v>0.29582909613929492</v>
      </c>
      <c r="BF154" s="816">
        <f>1+[3]!Salcycl*Ksac</f>
        <v>1.0236108983600241</v>
      </c>
      <c r="BH154" s="1053">
        <f t="shared" si="94"/>
        <v>1.6835179393260755E-3</v>
      </c>
      <c r="BI154" s="11">
        <v>44336</v>
      </c>
      <c r="BJ154" s="726">
        <v>1.0368203503670122E-4</v>
      </c>
      <c r="BK154" s="726">
        <v>5.4779001670918963E-4</v>
      </c>
      <c r="BL154" s="726">
        <v>1.022949552888951E-3</v>
      </c>
      <c r="BM154" s="726">
        <v>1.6852469921059573E-3</v>
      </c>
      <c r="BN154" s="726">
        <v>2.908716847872968E-3</v>
      </c>
      <c r="BO154" s="727">
        <v>4.4589660412056031E-3</v>
      </c>
      <c r="BP154" s="726">
        <v>6.3834596689683609E-3</v>
      </c>
      <c r="BQ154" s="726">
        <v>9.1419917014119809E-3</v>
      </c>
      <c r="BR154" s="726">
        <v>1.2193030218556899E-2</v>
      </c>
      <c r="BS154" s="726">
        <v>1.5735286988783306E-2</v>
      </c>
      <c r="BT154" s="726">
        <v>1.897060401937874E-2</v>
      </c>
      <c r="BW154" s="1186">
        <f>'2018'!R\Max</f>
        <v>0</v>
      </c>
      <c r="BX154" s="1184">
        <f>'2019'!R\Max</f>
        <v>0.84800887686564974</v>
      </c>
      <c r="BY154" s="1184">
        <f>'2020'!R\Max</f>
        <v>0.97149106948272634</v>
      </c>
      <c r="BZ154" s="1184">
        <f>'2021'!R\Max</f>
        <v>0.98913926756968695</v>
      </c>
      <c r="CA154" s="1184">
        <f>'2022'!R\Max</f>
        <v>0.83780938887969847</v>
      </c>
      <c r="CB154" s="1184">
        <f>'2023'!R\Max</f>
        <v>0.83779894357680629</v>
      </c>
      <c r="CC154" s="1184">
        <f>'2024'!R\Max</f>
        <v>0.83778718172323596</v>
      </c>
      <c r="CD154" s="1184">
        <f>'2025'!R\Max</f>
        <v>0.83784093026663331</v>
      </c>
      <c r="CE154" s="1184">
        <f>'2026'!R\Max</f>
        <v>0.83783429156967748</v>
      </c>
      <c r="CF154" s="1185">
        <f>'2027'!R\Max</f>
        <v>0.83782722581544722</v>
      </c>
    </row>
    <row r="155" spans="1:84" s="6" customFormat="1" ht="11.25" x14ac:dyDescent="0.2">
      <c r="A155" s="11">
        <v>43241</v>
      </c>
      <c r="B155" s="380">
        <f>'2022'!Maxi_hp</f>
        <v>61.178268574854386</v>
      </c>
      <c r="C155" s="13">
        <f>'2022'!An_max</f>
        <v>2020</v>
      </c>
      <c r="D155" s="1062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3">
        <f t="shared" si="81"/>
        <v>0.5</v>
      </c>
      <c r="J155" s="746">
        <f t="shared" si="82"/>
        <v>63.535400000028311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5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3">
        <f t="shared" si="86"/>
        <v>0.25</v>
      </c>
      <c r="AT155" s="769">
        <f t="shared" si="87"/>
        <v>63.526960937120023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3">
        <f t="shared" si="91"/>
        <v>0.75</v>
      </c>
      <c r="AY155" s="769">
        <f t="shared" si="92"/>
        <v>63.569156250357629</v>
      </c>
      <c r="AZ155" s="746">
        <f t="shared" si="96"/>
        <v>63.54805859373883</v>
      </c>
      <c r="BA155" s="643">
        <f t="shared" si="93"/>
        <v>0.9629005023156717</v>
      </c>
      <c r="BC155" s="11">
        <v>43241</v>
      </c>
      <c r="BD155" s="290">
        <f>[3]!FeuilCaduc*(1-Persistant)+Persistant</f>
        <v>0.79457700746586535</v>
      </c>
      <c r="BE155" s="291">
        <f>[3]!CroissVégét</f>
        <v>0.30449063118118064</v>
      </c>
      <c r="BF155" s="816">
        <f>1+[3]!Salcycl*Ksac</f>
        <v>1.0243221259332331</v>
      </c>
      <c r="BH155" s="1053">
        <f t="shared" si="94"/>
        <v>1.5709518182624096E-3</v>
      </c>
      <c r="BI155" s="11">
        <v>44337</v>
      </c>
      <c r="BJ155" s="726">
        <v>8.6874430054453551E-5</v>
      </c>
      <c r="BK155" s="726">
        <v>5.013484416147981E-4</v>
      </c>
      <c r="BL155" s="726">
        <v>9.4575117872202393E-4</v>
      </c>
      <c r="BM155" s="726">
        <v>1.5725882951601487E-3</v>
      </c>
      <c r="BN155" s="726">
        <v>2.7705505229485895E-3</v>
      </c>
      <c r="BO155" s="727">
        <v>4.3083891146557191E-3</v>
      </c>
      <c r="BP155" s="726">
        <v>6.2456153094080325E-3</v>
      </c>
      <c r="BQ155" s="726">
        <v>9.1577943757313995E-3</v>
      </c>
      <c r="BR155" s="726">
        <v>1.2373331759731968E-2</v>
      </c>
      <c r="BS155" s="726">
        <v>1.6174574426146931E-2</v>
      </c>
      <c r="BT155" s="726">
        <v>1.9631993670364029E-2</v>
      </c>
      <c r="BW155" s="1186">
        <f>'2018'!R\Max</f>
        <v>0</v>
      </c>
      <c r="BX155" s="1184">
        <f>'2019'!R\Max</f>
        <v>0.81726598808176065</v>
      </c>
      <c r="BY155" s="1184">
        <f>'2020'!R\Max</f>
        <v>0.9629005023156717</v>
      </c>
      <c r="BZ155" s="1184">
        <f>'2021'!R\Max</f>
        <v>0.64923314247650399</v>
      </c>
      <c r="CA155" s="1184">
        <f>'2022'!R\Max</f>
        <v>0.83594969472842862</v>
      </c>
      <c r="CB155" s="1184">
        <f>'2023'!R\Max</f>
        <v>0.83593901395819803</v>
      </c>
      <c r="CC155" s="1184">
        <f>'2024'!R\Max</f>
        <v>0.8359267234156369</v>
      </c>
      <c r="CD155" s="1184">
        <f>'2025'!R\Max</f>
        <v>0.83598140666423204</v>
      </c>
      <c r="CE155" s="1184">
        <f>'2026'!R\Max</f>
        <v>0.83597480352005415</v>
      </c>
      <c r="CF155" s="1185">
        <f>'2027'!R\Max</f>
        <v>0.83596773297495386</v>
      </c>
    </row>
    <row r="156" spans="1:84" s="6" customFormat="1" ht="11.25" x14ac:dyDescent="0.2">
      <c r="A156" s="11">
        <v>43242</v>
      </c>
      <c r="B156" s="380">
        <f>'2022'!Maxi_hp</f>
        <v>62.875998222350205</v>
      </c>
      <c r="C156" s="13">
        <f>'2022'!An_max</f>
        <v>2019</v>
      </c>
      <c r="D156" s="1062">
        <f t="shared" si="78"/>
        <v>0.98902431468688479</v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3">
        <f t="shared" si="81"/>
        <v>0.5714285714285714</v>
      </c>
      <c r="J156" s="746">
        <f t="shared" si="82"/>
        <v>63.573763848521878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5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3">
        <f t="shared" si="86"/>
        <v>0.21428571428571427</v>
      </c>
      <c r="AT156" s="769">
        <f t="shared" si="87"/>
        <v>63.565658053968626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3">
        <f t="shared" si="91"/>
        <v>0.7142857142857143</v>
      </c>
      <c r="AY156" s="769">
        <f t="shared" si="92"/>
        <v>63.610696210286449</v>
      </c>
      <c r="AZ156" s="746">
        <f t="shared" si="96"/>
        <v>63.588177132127541</v>
      </c>
      <c r="BA156" s="643">
        <f t="shared" si="93"/>
        <v>0.98902431468688479</v>
      </c>
      <c r="BC156" s="11">
        <v>43242</v>
      </c>
      <c r="BD156" s="290">
        <f>[3]!FeuilCaduc*(1-Persistant)+Persistant</f>
        <v>0.80029158597999939</v>
      </c>
      <c r="BE156" s="291">
        <f>[3]!CroissVégét</f>
        <v>0.3132918316722918</v>
      </c>
      <c r="BF156" s="816">
        <f>1+[3]!Salcycl*Ksac</f>
        <v>1.0250364482474998</v>
      </c>
      <c r="BH156" s="1053">
        <f t="shared" si="94"/>
        <v>1.4553319780046309E-3</v>
      </c>
      <c r="BI156" s="11">
        <v>44338</v>
      </c>
      <c r="BJ156" s="726">
        <v>7.2180526891287738E-5</v>
      </c>
      <c r="BK156" s="726">
        <v>4.5549526809846058E-4</v>
      </c>
      <c r="BL156" s="726">
        <v>8.6792029103874573E-4</v>
      </c>
      <c r="BM156" s="726">
        <v>1.4568695414592817E-3</v>
      </c>
      <c r="BN156" s="726">
        <v>2.6201727786756596E-3</v>
      </c>
      <c r="BO156" s="727">
        <v>4.1330998216847189E-3</v>
      </c>
      <c r="BP156" s="726">
        <v>6.0673843171314898E-3</v>
      </c>
      <c r="BQ156" s="726">
        <v>9.1122098404426768E-3</v>
      </c>
      <c r="BR156" s="726">
        <v>1.2473243219951536E-2</v>
      </c>
      <c r="BS156" s="726">
        <v>1.653365385234239E-2</v>
      </c>
      <c r="BT156" s="726">
        <v>2.0239295991248869E-2</v>
      </c>
      <c r="BW156" s="1186">
        <f>'2018'!R\Max</f>
        <v>0</v>
      </c>
      <c r="BX156" s="1184">
        <f>'2019'!R\Max</f>
        <v>0.98902431468688479</v>
      </c>
      <c r="BY156" s="1184">
        <f>'2020'!R\Max</f>
        <v>0.88514224347639803</v>
      </c>
      <c r="BZ156" s="1184">
        <f>'2021'!R\Max</f>
        <v>0.49418943507296242</v>
      </c>
      <c r="CA156" s="1184">
        <f>'2022'!R\Max</f>
        <v>0.63234557880414599</v>
      </c>
      <c r="CB156" s="1184">
        <f>'2023'!R\Max</f>
        <v>0.63232738085247453</v>
      </c>
      <c r="CC156" s="1184">
        <f>'2024'!R\Max</f>
        <v>0.63230596295018304</v>
      </c>
      <c r="CD156" s="1184">
        <f>'2025'!R\Max</f>
        <v>0.63239871143728565</v>
      </c>
      <c r="CE156" s="1184">
        <f>'2026'!R\Max</f>
        <v>0.6323877687345244</v>
      </c>
      <c r="CF156" s="1185">
        <f>'2027'!R\Max</f>
        <v>0.63237597683840541</v>
      </c>
    </row>
    <row r="157" spans="1:84" s="6" customFormat="1" ht="11.25" x14ac:dyDescent="0.2">
      <c r="A157" s="11">
        <v>43243</v>
      </c>
      <c r="B157" s="380">
        <f>'2022'!Maxi_hp</f>
        <v>58.76828057791041</v>
      </c>
      <c r="C157" s="13">
        <f>'2022'!An_max</f>
        <v>2020</v>
      </c>
      <c r="D157" s="1062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3">
        <f t="shared" si="81"/>
        <v>0.6428571428571429</v>
      </c>
      <c r="J157" s="746">
        <f t="shared" si="82"/>
        <v>63.608334256628794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5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3">
        <f t="shared" si="86"/>
        <v>0.17857142857142858</v>
      </c>
      <c r="AT157" s="769">
        <f t="shared" si="87"/>
        <v>63.600964335644882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3">
        <f t="shared" si="91"/>
        <v>0.6785714285714286</v>
      </c>
      <c r="AY157" s="769">
        <f t="shared" si="92"/>
        <v>63.64770909320297</v>
      </c>
      <c r="AZ157" s="746">
        <f t="shared" si="96"/>
        <v>63.624336714423926</v>
      </c>
      <c r="BA157" s="643">
        <f t="shared" si="93"/>
        <v>0.92390849822931831</v>
      </c>
      <c r="BC157" s="11">
        <v>43243</v>
      </c>
      <c r="BD157" s="290">
        <f>[3]!FeuilCaduc*(1-Persistant)+Persistant</f>
        <v>0.80602439424666517</v>
      </c>
      <c r="BE157" s="291">
        <f>[3]!CroissVégét</f>
        <v>0.3222284943358365</v>
      </c>
      <c r="BF157" s="816">
        <f>1+[3]!Salcycl*Ksac</f>
        <v>1.0257530492808331</v>
      </c>
      <c r="BH157" s="1053">
        <f t="shared" si="94"/>
        <v>1.3475474399799374E-3</v>
      </c>
      <c r="BI157" s="11">
        <v>44339</v>
      </c>
      <c r="BJ157" s="726">
        <v>5.9597056337938775E-5</v>
      </c>
      <c r="BK157" s="726">
        <v>4.1347844866545754E-4</v>
      </c>
      <c r="BL157" s="726">
        <v>7.9606785202164802E-4</v>
      </c>
      <c r="BM157" s="726">
        <v>1.3489909503479559E-3</v>
      </c>
      <c r="BN157" s="726">
        <v>2.473269480641885E-3</v>
      </c>
      <c r="BO157" s="727">
        <v>3.9530934763603205E-3</v>
      </c>
      <c r="BP157" s="726">
        <v>5.8712291356933857E-3</v>
      </c>
      <c r="BQ157" s="726">
        <v>9.0198338656209305E-3</v>
      </c>
      <c r="BR157" s="726">
        <v>1.2498750701410273E-2</v>
      </c>
      <c r="BS157" s="726">
        <v>1.6809684299288759E-2</v>
      </c>
      <c r="BT157" s="726">
        <v>2.0790210641703073E-2</v>
      </c>
      <c r="BW157" s="1186">
        <f>'2018'!R\Max</f>
        <v>0</v>
      </c>
      <c r="BX157" s="1184">
        <f>'2019'!R\Max</f>
        <v>0.85650985841939808</v>
      </c>
      <c r="BY157" s="1184">
        <f>'2020'!R\Max</f>
        <v>0.92390849822931831</v>
      </c>
      <c r="BZ157" s="1184">
        <f>'2021'!R\Max</f>
        <v>0.6329749575555208</v>
      </c>
      <c r="CA157" s="1184">
        <f>'2022'!R\Max</f>
        <v>0.32951841365649159</v>
      </c>
      <c r="CB157" s="1184">
        <f>'2023'!R\Max</f>
        <v>0.32950115104005256</v>
      </c>
      <c r="CC157" s="1184">
        <f>'2024'!R\Max</f>
        <v>0.32948037784349699</v>
      </c>
      <c r="CD157" s="1184">
        <f>'2025'!R\Max</f>
        <v>0.32956805592601723</v>
      </c>
      <c r="CE157" s="1184">
        <f>'2026'!R\Max</f>
        <v>0.32955793791767568</v>
      </c>
      <c r="CF157" s="1185">
        <f>'2027'!R\Max</f>
        <v>0.32954696544669115</v>
      </c>
    </row>
    <row r="158" spans="1:84" s="6" customFormat="1" ht="11.25" x14ac:dyDescent="0.2">
      <c r="A158" s="11">
        <v>43244</v>
      </c>
      <c r="B158" s="380">
        <f>'2022'!Maxi_hp</f>
        <v>30.554357090064354</v>
      </c>
      <c r="C158" s="13">
        <f>'2022'!An_max</f>
        <v>2021</v>
      </c>
      <c r="D158" s="1062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3">
        <f t="shared" si="81"/>
        <v>0.7142857142857143</v>
      </c>
      <c r="J158" s="746">
        <f t="shared" si="82"/>
        <v>63.639325947953125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5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3">
        <f t="shared" si="86"/>
        <v>0.14285714285714285</v>
      </c>
      <c r="AT158" s="769">
        <f t="shared" si="87"/>
        <v>63.633027405717556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3">
        <f t="shared" si="91"/>
        <v>0.6428571428571429</v>
      </c>
      <c r="AY158" s="769">
        <f t="shared" si="92"/>
        <v>63.680302259405813</v>
      </c>
      <c r="AZ158" s="746">
        <f t="shared" si="96"/>
        <v>63.656664832561688</v>
      </c>
      <c r="BA158" s="643">
        <f t="shared" si="93"/>
        <v>0.48011754736454892</v>
      </c>
      <c r="BC158" s="11">
        <v>43244</v>
      </c>
      <c r="BD158" s="290">
        <f>[3]!FeuilCaduc*(1-Persistant)+Persistant</f>
        <v>0.81176876371646534</v>
      </c>
      <c r="BE158" s="291">
        <f>[3]!CroissVégét</f>
        <v>0.33129605339749552</v>
      </c>
      <c r="BF158" s="816">
        <f>1+[3]!Salcycl*Ksac</f>
        <v>1.0264710954645582</v>
      </c>
      <c r="BH158" s="1053">
        <f t="shared" si="94"/>
        <v>1.2475872433983244E-3</v>
      </c>
      <c r="BI158" s="11">
        <v>44340</v>
      </c>
      <c r="BJ158" s="726">
        <v>4.9121584288742531E-5</v>
      </c>
      <c r="BK158" s="726">
        <v>3.7529318218339718E-4</v>
      </c>
      <c r="BL158" s="726">
        <v>7.3018601740887487E-4</v>
      </c>
      <c r="BM158" s="726">
        <v>1.2489415528785836E-3</v>
      </c>
      <c r="BN158" s="726">
        <v>2.3298324200254558E-3</v>
      </c>
      <c r="BO158" s="727">
        <v>3.7683677910559359E-3</v>
      </c>
      <c r="BP158" s="726">
        <v>5.657157162104149E-3</v>
      </c>
      <c r="BQ158" s="726">
        <v>8.8806922021184044E-3</v>
      </c>
      <c r="BR158" s="726">
        <v>1.2449894263560659E-2</v>
      </c>
      <c r="BS158" s="726">
        <v>1.7002683158902996E-2</v>
      </c>
      <c r="BT158" s="726">
        <v>2.1284684811870874E-2</v>
      </c>
      <c r="BW158" s="1186">
        <f>'2018'!R\Max</f>
        <v>0</v>
      </c>
      <c r="BX158" s="1184">
        <f>'2019'!R\Max</f>
        <v>0.20401580989727588</v>
      </c>
      <c r="BY158" s="1184">
        <f>'2020'!R\Max</f>
        <v>0.293367629334575</v>
      </c>
      <c r="BZ158" s="1184">
        <f>'2021'!R\Max</f>
        <v>0.48011754736454892</v>
      </c>
      <c r="CA158" s="1184">
        <f>'2022'!R\Max</f>
        <v>0.28560672037228363</v>
      </c>
      <c r="CB158" s="1184">
        <f>'2023'!R\Max</f>
        <v>0.28559123535512948</v>
      </c>
      <c r="CC158" s="1184">
        <f>'2024'!R\Max</f>
        <v>0.28557218219228125</v>
      </c>
      <c r="CD158" s="1184">
        <f>'2025'!R\Max</f>
        <v>0.28565063341780322</v>
      </c>
      <c r="CE158" s="1184">
        <f>'2026'!R\Max</f>
        <v>0.28564177186136069</v>
      </c>
      <c r="CF158" s="1185">
        <f>'2027'!R\Max</f>
        <v>0.28563210075566842</v>
      </c>
    </row>
    <row r="159" spans="1:84" s="6" customFormat="1" ht="11.25" x14ac:dyDescent="0.2">
      <c r="A159" s="11">
        <v>43245</v>
      </c>
      <c r="B159" s="380">
        <f>'2022'!Maxi_hp</f>
        <v>59.691953884707942</v>
      </c>
      <c r="C159" s="13">
        <f>'2022'!An_max</f>
        <v>2020</v>
      </c>
      <c r="D159" s="1062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3">
        <f t="shared" si="81"/>
        <v>0.7857142857142857</v>
      </c>
      <c r="J159" s="746">
        <f t="shared" si="82"/>
        <v>63.666953644608817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5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3">
        <f t="shared" si="86"/>
        <v>0.10714285714285714</v>
      </c>
      <c r="AT159" s="769">
        <f t="shared" si="87"/>
        <v>63.661994884775154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3">
        <f t="shared" si="91"/>
        <v>0.6071428571428571</v>
      </c>
      <c r="AY159" s="769">
        <f t="shared" si="92"/>
        <v>63.708583072000849</v>
      </c>
      <c r="AZ159" s="746">
        <f t="shared" si="96"/>
        <v>63.685288978388002</v>
      </c>
      <c r="BA159" s="643">
        <f t="shared" si="93"/>
        <v>0.93756573022027312</v>
      </c>
      <c r="BC159" s="11">
        <v>43245</v>
      </c>
      <c r="BD159" s="290">
        <f>[3]!FeuilCaduc*(1-Persistant)+Persistant</f>
        <v>0.81751790514011213</v>
      </c>
      <c r="BE159" s="291">
        <f>[3]!CroissVégét</f>
        <v>0.34048958423292969</v>
      </c>
      <c r="BF159" s="816">
        <f>1+[3]!Salcycl*Ksac</f>
        <v>1.0271897381425139</v>
      </c>
      <c r="BH159" s="1053">
        <f t="shared" si="94"/>
        <v>1.1554483391178285E-3</v>
      </c>
      <c r="BI159" s="11">
        <v>44341</v>
      </c>
      <c r="BJ159" s="726">
        <v>4.0751869435697757E-5</v>
      </c>
      <c r="BK159" s="726">
        <v>3.4093698516105323E-4</v>
      </c>
      <c r="BL159" s="726">
        <v>6.7027151144773156E-4</v>
      </c>
      <c r="BM159" s="726">
        <v>1.1567183005023597E-3</v>
      </c>
      <c r="BN159" s="726">
        <v>2.1898688627517526E-3</v>
      </c>
      <c r="BO159" s="727">
        <v>3.5789460636883466E-3</v>
      </c>
      <c r="BP159" s="726">
        <v>5.425214611474099E-3</v>
      </c>
      <c r="BQ159" s="726">
        <v>8.6948711130040626E-3</v>
      </c>
      <c r="BR159" s="726">
        <v>1.2326797916123731E-2</v>
      </c>
      <c r="BS159" s="726">
        <v>1.7112777063250609E-2</v>
      </c>
      <c r="BT159" s="726">
        <v>2.1722793862131207E-2</v>
      </c>
      <c r="BW159" s="1186">
        <f>'2018'!R\Max</f>
        <v>0</v>
      </c>
      <c r="BX159" s="1184">
        <f>'2019'!R\Max</f>
        <v>0.41112093103731046</v>
      </c>
      <c r="BY159" s="1184">
        <f>'2020'!R\Max</f>
        <v>0.93756573022027312</v>
      </c>
      <c r="BZ159" s="1184">
        <f>'2021'!R\Max</f>
        <v>0.8140642209583826</v>
      </c>
      <c r="CA159" s="1184">
        <f>'2022'!R\Max</f>
        <v>0.66972708805684045</v>
      </c>
      <c r="CB159" s="1184">
        <f>'2023'!R\Max</f>
        <v>0.66971023088394643</v>
      </c>
      <c r="CC159" s="1184">
        <f>'2024'!R\Max</f>
        <v>0.66968901519198065</v>
      </c>
      <c r="CD159" s="1184">
        <f>'2025'!R\Max</f>
        <v>0.66977427531678135</v>
      </c>
      <c r="CE159" s="1184">
        <f>'2026'!R\Max</f>
        <v>0.66976484384271595</v>
      </c>
      <c r="CF159" s="1185">
        <f>'2027'!R\Max</f>
        <v>0.66975448505604795</v>
      </c>
    </row>
    <row r="160" spans="1:84" s="6" customFormat="1" ht="11.25" x14ac:dyDescent="0.2">
      <c r="A160" s="11">
        <v>43246</v>
      </c>
      <c r="B160" s="380">
        <f>'2022'!Maxi_hp</f>
        <v>61.991403277896538</v>
      </c>
      <c r="C160" s="13">
        <f>'2022'!An_max</f>
        <v>2020</v>
      </c>
      <c r="D160" s="1062">
        <f t="shared" si="78"/>
        <v>0.97330835974249041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3">
        <f t="shared" si="81"/>
        <v>0.8571428571428571</v>
      </c>
      <c r="J160" s="746">
        <f t="shared" si="82"/>
        <v>63.691432070199923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5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3">
        <f t="shared" si="86"/>
        <v>7.1428571428571425E-2</v>
      </c>
      <c r="AT160" s="769">
        <f t="shared" si="87"/>
        <v>63.688014394204536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3">
        <f t="shared" si="91"/>
        <v>0.5714285714285714</v>
      </c>
      <c r="AY160" s="769">
        <f t="shared" si="92"/>
        <v>63.732658892284554</v>
      </c>
      <c r="AZ160" s="746">
        <f t="shared" si="96"/>
        <v>63.710336643244545</v>
      </c>
      <c r="BA160" s="643">
        <f t="shared" si="93"/>
        <v>0.97330835974249041</v>
      </c>
      <c r="BC160" s="11">
        <v>43246</v>
      </c>
      <c r="BD160" s="290">
        <f>[3]!FeuilCaduc*(1-Persistant)+Persistant</f>
        <v>0.82326492944677909</v>
      </c>
      <c r="BE160" s="291">
        <f>[3]!CroissVégét</f>
        <v>0.34980380891459434</v>
      </c>
      <c r="BF160" s="816">
        <f>1+[3]!Salcycl*Ksac</f>
        <v>1.0279081161808474</v>
      </c>
      <c r="BH160" s="1053">
        <f t="shared" si="94"/>
        <v>1.0711262348430325E-3</v>
      </c>
      <c r="BI160" s="11">
        <v>44342</v>
      </c>
      <c r="BJ160" s="726">
        <v>3.4485368378942211E-5</v>
      </c>
      <c r="BK160" s="726">
        <v>3.1040672412895368E-4</v>
      </c>
      <c r="BL160" s="726">
        <v>6.1632001192714011E-4</v>
      </c>
      <c r="BM160" s="726">
        <v>1.0723167004786675E-3</v>
      </c>
      <c r="BN160" s="726">
        <v>2.0533849128995256E-3</v>
      </c>
      <c r="BO160" s="727">
        <v>3.3848511714378079E-3</v>
      </c>
      <c r="BP160" s="726">
        <v>5.175448669207534E-3</v>
      </c>
      <c r="BQ160" s="726">
        <v>8.4624616052608147E-3</v>
      </c>
      <c r="BR160" s="726">
        <v>1.2129594120787289E-2</v>
      </c>
      <c r="BS160" s="726">
        <v>1.7140103385968119E-2</v>
      </c>
      <c r="BT160" s="726">
        <v>2.2104622368692307E-2</v>
      </c>
      <c r="BW160" s="1186">
        <f>'2018'!R\Max</f>
        <v>0</v>
      </c>
      <c r="BX160" s="1184">
        <f>'2019'!R\Max</f>
        <v>0.41070703869743586</v>
      </c>
      <c r="BY160" s="1184">
        <f>'2020'!R\Max</f>
        <v>0.97330835974249041</v>
      </c>
      <c r="BZ160" s="1184">
        <f>'2021'!R\Max</f>
        <v>0.87555351242356394</v>
      </c>
      <c r="CA160" s="1184">
        <f>'2022'!R\Max</f>
        <v>0.40595857327383739</v>
      </c>
      <c r="CB160" s="1184">
        <f>'2023'!R\Max</f>
        <v>0.40594063086623711</v>
      </c>
      <c r="CC160" s="1184">
        <f>'2024'!R\Max</f>
        <v>0.40591752117858498</v>
      </c>
      <c r="CD160" s="1184">
        <f>'2025'!R\Max</f>
        <v>0.40600820305998142</v>
      </c>
      <c r="CE160" s="1184">
        <f>'2026'!R\Max</f>
        <v>0.40599837288039697</v>
      </c>
      <c r="CF160" s="1185">
        <f>'2027'!R\Max</f>
        <v>0.40598750825694419</v>
      </c>
    </row>
    <row r="161" spans="1:84" s="6" customFormat="1" ht="11.25" x14ac:dyDescent="0.2">
      <c r="A161" s="11">
        <v>43247</v>
      </c>
      <c r="B161" s="380">
        <f>'2022'!Maxi_hp</f>
        <v>62.096546618278133</v>
      </c>
      <c r="C161" s="13">
        <f>'2022'!An_max</f>
        <v>2021</v>
      </c>
      <c r="D161" s="1062">
        <f t="shared" si="78"/>
        <v>0.9746295114056136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3">
        <f t="shared" si="81"/>
        <v>0.9285714285714286</v>
      </c>
      <c r="J161" s="746">
        <f t="shared" si="82"/>
        <v>63.712975947878192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5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3">
        <f t="shared" si="86"/>
        <v>3.5714285714285712E-2</v>
      </c>
      <c r="AT161" s="769">
        <f t="shared" si="87"/>
        <v>63.711233558984738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3">
        <f t="shared" si="91"/>
        <v>0.5357142857142857</v>
      </c>
      <c r="AY161" s="769">
        <f t="shared" si="92"/>
        <v>63.752637080901437</v>
      </c>
      <c r="AZ161" s="746">
        <f t="shared" si="96"/>
        <v>63.731935319943091</v>
      </c>
      <c r="BA161" s="643">
        <f t="shared" si="93"/>
        <v>0.9746295114056136</v>
      </c>
      <c r="BC161" s="11">
        <v>43247</v>
      </c>
      <c r="BD161" s="290">
        <f>[3]!FeuilCaduc*(1-Persistant)+Persistant</f>
        <v>0.82900286973316695</v>
      </c>
      <c r="BE161" s="291">
        <f>[3]!CroissVégét</f>
        <v>0.35923310369654604</v>
      </c>
      <c r="BF161" s="816">
        <f>1+[3]!Salcycl*Ksac</f>
        <v>1.0286253587166458</v>
      </c>
      <c r="BH161" s="1053">
        <f t="shared" si="94"/>
        <v>9.9461509935366323E-4</v>
      </c>
      <c r="BI161" s="11">
        <v>44343</v>
      </c>
      <c r="BJ161" s="726">
        <v>3.0319263826959986E-5</v>
      </c>
      <c r="BK161" s="726">
        <v>2.8369866674469459E-4</v>
      </c>
      <c r="BL161" s="726">
        <v>5.6832622977676084E-4</v>
      </c>
      <c r="BM161" s="726">
        <v>9.9573092016814416E-4</v>
      </c>
      <c r="BN161" s="726">
        <v>1.9203855581685042E-3</v>
      </c>
      <c r="BO161" s="727">
        <v>3.1861055061715082E-3</v>
      </c>
      <c r="BP161" s="726">
        <v>4.9079072493343756E-3</v>
      </c>
      <c r="BQ161" s="726">
        <v>8.1835588024322323E-3</v>
      </c>
      <c r="BR161" s="726">
        <v>1.1858422795245977E-2</v>
      </c>
      <c r="BS161" s="726">
        <v>1.7084809134055825E-2</v>
      </c>
      <c r="BT161" s="726">
        <v>2.2430263377350126E-2</v>
      </c>
      <c r="BW161" s="1186">
        <f>'2018'!R\Max</f>
        <v>0</v>
      </c>
      <c r="BX161" s="1184">
        <f>'2019'!R\Max</f>
        <v>0.48233583022421855</v>
      </c>
      <c r="BY161" s="1184">
        <f>'2020'!R\Max</f>
        <v>0.97342980811661217</v>
      </c>
      <c r="BZ161" s="1184">
        <f>'2021'!R\Max</f>
        <v>0.9746295114056136</v>
      </c>
      <c r="CA161" s="1184">
        <f>'2022'!R\Max</f>
        <v>0.75502073545350379</v>
      </c>
      <c r="CB161" s="1184">
        <f>'2023'!R\Max</f>
        <v>0.75500741452757503</v>
      </c>
      <c r="CC161" s="1184">
        <f>'2024'!R\Max</f>
        <v>0.75498983650788098</v>
      </c>
      <c r="CD161" s="1184">
        <f>'2025'!R\Max</f>
        <v>0.75505716396837552</v>
      </c>
      <c r="CE161" s="1184">
        <f>'2026'!R\Max</f>
        <v>0.75505001165751129</v>
      </c>
      <c r="CF161" s="1185">
        <f>'2027'!R\Max</f>
        <v>0.75504205695135718</v>
      </c>
    </row>
    <row r="162" spans="1:84" s="6" customFormat="1" ht="11.25" x14ac:dyDescent="0.2">
      <c r="A162" s="11">
        <v>43248</v>
      </c>
      <c r="B162" s="380">
        <f>'2022'!Maxi_hp</f>
        <v>61.293375317013549</v>
      </c>
      <c r="C162" s="13">
        <f>'2022'!An_max</f>
        <v>2020</v>
      </c>
      <c r="D162" s="1062" t="str">
        <f t="shared" si="78"/>
        <v/>
      </c>
      <c r="E162" s="1057">
        <f>X$13/10</f>
        <v>63.7318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3">
        <f t="shared" si="81"/>
        <v>1</v>
      </c>
      <c r="J162" s="746">
        <f t="shared" si="82"/>
        <v>63.731799999997023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5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3">
        <f t="shared" si="86"/>
        <v>0</v>
      </c>
      <c r="AT162" s="769">
        <f t="shared" si="87"/>
        <v>63.731799999624492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3">
        <f t="shared" si="91"/>
        <v>0.5</v>
      </c>
      <c r="AY162" s="769">
        <f t="shared" si="92"/>
        <v>63.768624999932946</v>
      </c>
      <c r="AZ162" s="746">
        <f t="shared" si="96"/>
        <v>63.750212499778719</v>
      </c>
      <c r="BA162" s="643">
        <f t="shared" si="93"/>
        <v>0.9617392779902092</v>
      </c>
      <c r="BC162" s="11">
        <v>43248</v>
      </c>
      <c r="BD162" s="290">
        <f>[3]!FeuilCaduc*(1-Persistant)+Persistant</f>
        <v>0.83472470425689438</v>
      </c>
      <c r="BE162" s="291">
        <f>[3]!CroissVégét</f>
        <v>0.3687715084596308</v>
      </c>
      <c r="BF162" s="816">
        <f>1+[3]!Salcycl*Ksac</f>
        <v>1.0293405880321118</v>
      </c>
      <c r="BH162" s="1053">
        <f t="shared" si="94"/>
        <v>9.2590786677222388E-4</v>
      </c>
      <c r="BI162" s="11">
        <v>44344</v>
      </c>
      <c r="BJ162" s="726">
        <v>2.8250492798163495E-5</v>
      </c>
      <c r="BK162" s="726">
        <v>2.6080853290977063E-4</v>
      </c>
      <c r="BL162" s="726">
        <v>5.2628398868875988E-4</v>
      </c>
      <c r="BM162" s="726">
        <v>9.2695389136482397E-4</v>
      </c>
      <c r="BN162" s="726">
        <v>1.7908747154210139E-3</v>
      </c>
      <c r="BO162" s="727">
        <v>2.9827309099879819E-3</v>
      </c>
      <c r="BP162" s="726">
        <v>4.6226387530252031E-3</v>
      </c>
      <c r="BQ162" s="726">
        <v>7.8582613175632535E-3</v>
      </c>
      <c r="BR162" s="726">
        <v>1.151343031765824E-2</v>
      </c>
      <c r="BS162" s="726">
        <v>1.6947049840249331E-2</v>
      </c>
      <c r="BT162" s="726">
        <v>2.2699817657981475E-2</v>
      </c>
      <c r="BW162" s="1186">
        <f>'2018'!R\Max</f>
        <v>0</v>
      </c>
      <c r="BX162" s="1184">
        <f>'2019'!R\Max</f>
        <v>0.45435345322905729</v>
      </c>
      <c r="BY162" s="1184">
        <f>'2020'!R\Max</f>
        <v>0.9617392779902092</v>
      </c>
      <c r="BZ162" s="1184">
        <f>'2021'!R\Max</f>
        <v>0.87524102051660746</v>
      </c>
      <c r="CA162" s="1184">
        <f>'2022'!R\Max</f>
        <v>0.90959915803677682</v>
      </c>
      <c r="CB162" s="1184">
        <f>'2023'!R\Max</f>
        <v>0.90959348041848564</v>
      </c>
      <c r="CC162" s="1184">
        <f>'2024'!R\Max</f>
        <v>0.9095857935690379</v>
      </c>
      <c r="CD162" s="1184">
        <f>'2025'!R\Max</f>
        <v>0.909614516675326</v>
      </c>
      <c r="CE162" s="1184">
        <f>'2026'!R\Max</f>
        <v>0.90961152638656384</v>
      </c>
      <c r="CF162" s="1185">
        <f>'2027'!R\Max</f>
        <v>0.90960818000859955</v>
      </c>
    </row>
    <row r="163" spans="1:84" s="6" customFormat="1" ht="11.25" x14ac:dyDescent="0.2">
      <c r="A163" s="11">
        <v>43249</v>
      </c>
      <c r="B163" s="380">
        <f>'2022'!Maxi_hp</f>
        <v>62.489075261508759</v>
      </c>
      <c r="C163" s="13">
        <f>'2022'!An_max</f>
        <v>2022</v>
      </c>
      <c r="D163" s="1062">
        <f t="shared" si="78"/>
        <v>0.9802543898524898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3">
        <f t="shared" si="81"/>
        <v>0.9285714285714286</v>
      </c>
      <c r="J163" s="746">
        <f t="shared" si="82"/>
        <v>63.747814759505651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5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3">
        <f t="shared" si="86"/>
        <v>3.5714285714285712E-2</v>
      </c>
      <c r="AT163" s="769">
        <f t="shared" si="87"/>
        <v>63.748483532281327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3">
        <f t="shared" si="91"/>
        <v>0.4642857142857143</v>
      </c>
      <c r="AY163" s="769">
        <f t="shared" si="92"/>
        <v>63.780730010861795</v>
      </c>
      <c r="AZ163" s="746">
        <f t="shared" si="96"/>
        <v>63.764606771571565</v>
      </c>
      <c r="BA163" s="643">
        <f t="shared" si="93"/>
        <v>0.9802543898524898</v>
      </c>
      <c r="BC163" s="11">
        <v>43249</v>
      </c>
      <c r="BD163" s="290">
        <f>[3]!FeuilCaduc*(1-Persistant)+Persistant</f>
        <v>0.84042338031617936</v>
      </c>
      <c r="BE163" s="291">
        <f>[3]!CroissVégét</f>
        <v>0.37841273812207477</v>
      </c>
      <c r="BF163" s="816">
        <f>1+[3]!Salcycl*Ksac</f>
        <v>1.0300529225395225</v>
      </c>
      <c r="BH163" s="1053">
        <f t="shared" si="94"/>
        <v>8.6499634080347088E-4</v>
      </c>
      <c r="BI163" s="11">
        <v>44345</v>
      </c>
      <c r="BJ163" s="726">
        <v>2.8275774821479525E-5</v>
      </c>
      <c r="BK163" s="726">
        <v>2.4173154587807659E-4</v>
      </c>
      <c r="BL163" s="726">
        <v>4.901863047232232E-4</v>
      </c>
      <c r="BM163" s="726">
        <v>8.6597741460009555E-4</v>
      </c>
      <c r="BN163" s="726">
        <v>1.6648552761702527E-3</v>
      </c>
      <c r="BO163" s="727">
        <v>2.7747486106744264E-3</v>
      </c>
      <c r="BP163" s="726">
        <v>4.3196918269744356E-3</v>
      </c>
      <c r="BQ163" s="726">
        <v>7.4866706259303674E-3</v>
      </c>
      <c r="BR163" s="726">
        <v>1.109476853080551E-2</v>
      </c>
      <c r="BS163" s="726">
        <v>1.6726988454979632E-2</v>
      </c>
      <c r="BT163" s="726">
        <v>2.2913392958517419E-2</v>
      </c>
      <c r="BW163" s="1186">
        <f>'2018'!R\Max</f>
        <v>0</v>
      </c>
      <c r="BX163" s="1184">
        <f>'2019'!R\Max</f>
        <v>0.60877269230218334</v>
      </c>
      <c r="BY163" s="1184">
        <f>'2020'!R\Max</f>
        <v>0.96269077269053571</v>
      </c>
      <c r="BZ163" s="1184">
        <f>'2021'!R\Max</f>
        <v>0.59615753006728878</v>
      </c>
      <c r="CA163" s="1184">
        <f>'2022'!R\Max</f>
        <v>0.9802543898524898</v>
      </c>
      <c r="CB163" s="1184">
        <f>'2023'!R\Max</f>
        <v>0.980253122519266</v>
      </c>
      <c r="CC163" s="1184">
        <f>'2024'!R\Max</f>
        <v>0.98025135844095834</v>
      </c>
      <c r="CD163" s="1184">
        <f>'2025'!R\Max</f>
        <v>0.98025778201284686</v>
      </c>
      <c r="CE163" s="1184">
        <f>'2026'!R\Max</f>
        <v>0.98025712685525301</v>
      </c>
      <c r="CF163" s="1185">
        <f>'2027'!R\Max</f>
        <v>0.9802563892214049</v>
      </c>
    </row>
    <row r="164" spans="1:84" s="6" customFormat="1" ht="11.25" x14ac:dyDescent="0.2">
      <c r="A164" s="11">
        <v>43250</v>
      </c>
      <c r="B164" s="380">
        <f>'2022'!Maxi_hp</f>
        <v>57.223999787813696</v>
      </c>
      <c r="C164" s="13">
        <f>'2022'!An_max</f>
        <v>2019</v>
      </c>
      <c r="D164" s="1062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3">
        <f t="shared" si="81"/>
        <v>0.8571428571428571</v>
      </c>
      <c r="J164" s="746">
        <f t="shared" si="82"/>
        <v>63.760716035110612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5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3">
        <f t="shared" si="86"/>
        <v>7.1428571428571425E-2</v>
      </c>
      <c r="AT164" s="769">
        <f t="shared" si="87"/>
        <v>63.760053972075035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3">
        <f t="shared" si="91"/>
        <v>0.42857142857142855</v>
      </c>
      <c r="AY164" s="769">
        <f t="shared" si="92"/>
        <v>63.789059476022203</v>
      </c>
      <c r="AZ164" s="746">
        <f t="shared" si="96"/>
        <v>63.774556724048622</v>
      </c>
      <c r="BA164" s="643">
        <f t="shared" si="93"/>
        <v>0.89748050753229636</v>
      </c>
      <c r="BC164" s="11">
        <v>43250</v>
      </c>
      <c r="BD164" s="290">
        <f>[3]!FeuilCaduc*(1-Persistant)+Persistant</f>
        <v>0.84609183888690254</v>
      </c>
      <c r="BE164" s="291">
        <f>[3]!CroissVégét</f>
        <v>0.38815019600224987</v>
      </c>
      <c r="BF164" s="816">
        <f>1+[3]!Salcycl*Ksac</f>
        <v>1.0307614798608629</v>
      </c>
      <c r="BH164" s="1053">
        <f t="shared" si="94"/>
        <v>8.1238960755895644E-4</v>
      </c>
      <c r="BI164" s="11">
        <v>44346</v>
      </c>
      <c r="BJ164" s="726">
        <v>3.0164143932672673E-5</v>
      </c>
      <c r="BK164" s="726">
        <v>2.2648150972445476E-4</v>
      </c>
      <c r="BL164" s="726">
        <v>4.60099771098934E-4</v>
      </c>
      <c r="BM164" s="726">
        <v>8.1331173422072528E-4</v>
      </c>
      <c r="BN164" s="726">
        <v>1.5463124195182292E-3</v>
      </c>
      <c r="BO164" s="727">
        <v>2.5708473893600466E-3</v>
      </c>
      <c r="BP164" s="726">
        <v>4.0135195570540037E-3</v>
      </c>
      <c r="BQ164" s="726">
        <v>7.0859112590084365E-3</v>
      </c>
      <c r="BR164" s="726">
        <v>1.0620370924502003E-2</v>
      </c>
      <c r="BS164" s="726">
        <v>1.641047395123392E-2</v>
      </c>
      <c r="BT164" s="726">
        <v>2.2993528708768609E-2</v>
      </c>
      <c r="BW164" s="1186">
        <f>'2018'!R\Max</f>
        <v>0</v>
      </c>
      <c r="BX164" s="1184">
        <f>'2019'!R\Max</f>
        <v>0.89748050753229636</v>
      </c>
      <c r="BY164" s="1184">
        <f>'2020'!R\Max</f>
        <v>0.89415864072429718</v>
      </c>
      <c r="BZ164" s="1184">
        <f>'2021'!R\Max</f>
        <v>0.88968381378900729</v>
      </c>
      <c r="CA164" s="1184">
        <f>'2022'!R\Max</f>
        <v>0.83466507420995073</v>
      </c>
      <c r="CB164" s="1184">
        <f>'2023'!R\Max</f>
        <v>0.83465658166846357</v>
      </c>
      <c r="CC164" s="1184">
        <f>'2024'!R\Max</f>
        <v>0.83464441448463256</v>
      </c>
      <c r="CD164" s="1184">
        <f>'2025'!R\Max</f>
        <v>0.83468757895529522</v>
      </c>
      <c r="CE164" s="1184">
        <f>'2026'!R\Max</f>
        <v>0.83468326484115618</v>
      </c>
      <c r="CF164" s="1185">
        <f>'2027'!R\Max</f>
        <v>0.83467837925978472</v>
      </c>
    </row>
    <row r="165" spans="1:84" s="6" customFormat="1" ht="11.25" x14ac:dyDescent="0.2">
      <c r="A165" s="11">
        <v>43251</v>
      </c>
      <c r="B165" s="380">
        <f>'2022'!Maxi_hp</f>
        <v>63.126585406149495</v>
      </c>
      <c r="C165" s="13">
        <f>'2022'!An_max</f>
        <v>2019</v>
      </c>
      <c r="D165" s="1062">
        <f t="shared" si="78"/>
        <v>0.98990423308055853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3">
        <f t="shared" si="81"/>
        <v>0.7857142857142857</v>
      </c>
      <c r="J165" s="746">
        <f t="shared" si="82"/>
        <v>63.77039646522276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5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3">
        <f t="shared" si="86"/>
        <v>0.10714285714285714</v>
      </c>
      <c r="AT165" s="769">
        <f t="shared" si="87"/>
        <v>63.766658942494544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3">
        <f t="shared" si="91"/>
        <v>0.39285714285714285</v>
      </c>
      <c r="AY165" s="769">
        <f t="shared" si="92"/>
        <v>63.793720754954435</v>
      </c>
      <c r="AZ165" s="746">
        <f t="shared" si="96"/>
        <v>63.78018984872449</v>
      </c>
      <c r="BA165" s="643">
        <f t="shared" si="93"/>
        <v>0.98990423308055853</v>
      </c>
      <c r="BC165" s="11">
        <v>43251</v>
      </c>
      <c r="BD165" s="290">
        <f>[3]!FeuilCaduc*(1-Persistant)+Persistant</f>
        <v>0.85172303987820552</v>
      </c>
      <c r="BE165" s="291">
        <f>[3]!CroissVégét</f>
        <v>0.3979769891015032</v>
      </c>
      <c r="BF165" s="816">
        <f>1+[3]!Salcycl*Ksac</f>
        <v>1.0314653799847757</v>
      </c>
      <c r="BH165" s="1053">
        <f t="shared" si="94"/>
        <v>7.6663190881796277E-4</v>
      </c>
      <c r="BI165" s="11">
        <v>44347</v>
      </c>
      <c r="BJ165" s="726">
        <v>3.2239452418793164E-5</v>
      </c>
      <c r="BK165" s="726">
        <v>2.1326989378481616E-4</v>
      </c>
      <c r="BL165" s="726">
        <v>4.3399486855735044E-4</v>
      </c>
      <c r="BM165" s="726">
        <v>7.6750259383856511E-4</v>
      </c>
      <c r="BN165" s="726">
        <v>1.4402056685903521E-3</v>
      </c>
      <c r="BO165" s="727">
        <v>2.385129016588999E-3</v>
      </c>
      <c r="BP165" s="726">
        <v>3.7303469661966893E-3</v>
      </c>
      <c r="BQ165" s="726">
        <v>6.6896786272229542E-3</v>
      </c>
      <c r="BR165" s="726">
        <v>1.0129334854061318E-2</v>
      </c>
      <c r="BS165" s="726">
        <v>1.6023296676770618E-2</v>
      </c>
      <c r="BT165" s="726">
        <v>2.2936845940089778E-2</v>
      </c>
      <c r="BW165" s="1186">
        <f>'2018'!R\Max</f>
        <v>0</v>
      </c>
      <c r="BX165" s="1184">
        <f>'2019'!R\Max</f>
        <v>0.98990423308055853</v>
      </c>
      <c r="BY165" s="1184">
        <f>'2020'!R\Max</f>
        <v>0.98601948304343046</v>
      </c>
      <c r="BZ165" s="1184">
        <f>'2021'!R\Max</f>
        <v>0.97009334979556072</v>
      </c>
      <c r="CA165" s="1184">
        <f>'2022'!R\Max</f>
        <v>0.88637946709299797</v>
      </c>
      <c r="CB165" s="1184">
        <f>'2023'!R\Max</f>
        <v>0.88637365040666583</v>
      </c>
      <c r="CC165" s="1184">
        <f>'2024'!R\Max</f>
        <v>0.88636509181769851</v>
      </c>
      <c r="CD165" s="1184">
        <f>'2025'!R\Max</f>
        <v>0.88639474183884592</v>
      </c>
      <c r="CE165" s="1184">
        <f>'2026'!R\Max</f>
        <v>0.88639183365543095</v>
      </c>
      <c r="CF165" s="1185">
        <f>'2027'!R\Max</f>
        <v>0.8863885219545492</v>
      </c>
    </row>
    <row r="166" spans="1:84" s="6" customFormat="1" ht="11.25" x14ac:dyDescent="0.2">
      <c r="A166" s="11">
        <v>43252</v>
      </c>
      <c r="B166" s="380">
        <f>'2022'!Maxi_hp</f>
        <v>64.729267905613341</v>
      </c>
      <c r="C166" s="13">
        <f>'2022'!An_max</f>
        <v>2019</v>
      </c>
      <c r="D166" s="1062">
        <f t="shared" si="78"/>
        <v>1.0149352112957413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3">
        <f t="shared" si="81"/>
        <v>0.7142857142857143</v>
      </c>
      <c r="J166" s="746">
        <f t="shared" si="82"/>
        <v>63.776748688199689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5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3">
        <f t="shared" si="86"/>
        <v>0.14285714285714285</v>
      </c>
      <c r="AT166" s="769">
        <f t="shared" si="87"/>
        <v>63.768446065006515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3">
        <f t="shared" si="91"/>
        <v>0.35714285714285715</v>
      </c>
      <c r="AY166" s="769">
        <f t="shared" si="92"/>
        <v>63.794821210524859</v>
      </c>
      <c r="AZ166" s="746">
        <f t="shared" si="96"/>
        <v>63.781633637765687</v>
      </c>
      <c r="BA166" s="643">
        <f t="shared" si="93"/>
        <v>1.0149352112957413</v>
      </c>
      <c r="BC166" s="11">
        <v>43252</v>
      </c>
      <c r="BD166" s="290">
        <f>[3]!FeuilCaduc*(1-Persistant)+Persistant</f>
        <v>0.85730998785886836</v>
      </c>
      <c r="BE166" s="291">
        <f>[3]!CroissVégét</f>
        <v>0.4078859452556679</v>
      </c>
      <c r="BF166" s="816">
        <f>1+[3]!Salcycl*Ksac</f>
        <v>1.0321637484823585</v>
      </c>
      <c r="BH166" s="1053">
        <f t="shared" si="94"/>
        <v>7.2771392183261898E-4</v>
      </c>
      <c r="BI166" s="11">
        <v>44348</v>
      </c>
      <c r="BJ166" s="726">
        <v>3.4501339170577698E-5</v>
      </c>
      <c r="BK166" s="726">
        <v>2.0209388907355426E-4</v>
      </c>
      <c r="BL166" s="726">
        <v>4.1186614400733258E-4</v>
      </c>
      <c r="BM166" s="726">
        <v>7.2854066057682963E-4</v>
      </c>
      <c r="BN166" s="726">
        <v>1.3465189997064668E-3</v>
      </c>
      <c r="BO166" s="727">
        <v>2.2175715464708683E-3</v>
      </c>
      <c r="BP166" s="726">
        <v>3.4701489901655313E-3</v>
      </c>
      <c r="BQ166" s="726">
        <v>6.2979880213308382E-3</v>
      </c>
      <c r="BR166" s="726">
        <v>9.6217206417664805E-3</v>
      </c>
      <c r="BS166" s="726">
        <v>1.5565615490516922E-2</v>
      </c>
      <c r="BT166" s="726">
        <v>2.2743616350184643E-2</v>
      </c>
      <c r="BW166" s="1186">
        <f>'2018'!R\Max</f>
        <v>0</v>
      </c>
      <c r="BX166" s="1184">
        <f>'2019'!R\Max</f>
        <v>1.0149352112957413</v>
      </c>
      <c r="BY166" s="1184">
        <f>'2020'!R\Max</f>
        <v>0.98246639098033817</v>
      </c>
      <c r="BZ166" s="1184">
        <f>'2021'!R\Max</f>
        <v>0.62079552107577585</v>
      </c>
      <c r="CA166" s="1184">
        <f>'2022'!R\Max</f>
        <v>0.92604238069072975</v>
      </c>
      <c r="CB166" s="1184">
        <f>'2023'!R\Max</f>
        <v>0.92603867371995729</v>
      </c>
      <c r="CC166" s="1184">
        <f>'2024'!R\Max</f>
        <v>0.92603308907837223</v>
      </c>
      <c r="CD166" s="1184">
        <f>'2025'!R\Max</f>
        <v>0.92605204064400237</v>
      </c>
      <c r="CE166" s="1184">
        <f>'2026'!R\Max</f>
        <v>0.92605021210736327</v>
      </c>
      <c r="CF166" s="1185">
        <f>'2027'!R\Max</f>
        <v>0.92604811939528198</v>
      </c>
    </row>
    <row r="167" spans="1:84" s="6" customFormat="1" ht="11.25" x14ac:dyDescent="0.2">
      <c r="A167" s="11">
        <v>43253</v>
      </c>
      <c r="B167" s="380">
        <f>'2022'!Maxi_hp</f>
        <v>63.739845271535835</v>
      </c>
      <c r="C167" s="13">
        <f>'2022'!An_max</f>
        <v>2019</v>
      </c>
      <c r="D167" s="1062">
        <f t="shared" si="78"/>
        <v>0.9993756619590034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3">
        <f t="shared" si="81"/>
        <v>0.6428571428571429</v>
      </c>
      <c r="J167" s="746">
        <f t="shared" si="82"/>
        <v>63.779665342851409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5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3">
        <f t="shared" si="86"/>
        <v>0.17857142857142858</v>
      </c>
      <c r="AT167" s="769">
        <f t="shared" si="87"/>
        <v>63.765562959733828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3">
        <f t="shared" si="91"/>
        <v>0.32142857142857145</v>
      </c>
      <c r="AY167" s="769">
        <f t="shared" si="92"/>
        <v>63.792468204016664</v>
      </c>
      <c r="AZ167" s="746">
        <f t="shared" si="96"/>
        <v>63.779015581875242</v>
      </c>
      <c r="BA167" s="643">
        <f t="shared" si="93"/>
        <v>0.9993756619590034</v>
      </c>
      <c r="BC167" s="11">
        <v>43253</v>
      </c>
      <c r="BD167" s="290">
        <f>[3]!FeuilCaduc*(1-Persistant)+Persistant</f>
        <v>0.86284575809894726</v>
      </c>
      <c r="BE167" s="291">
        <f>[3]!CroissVégét</f>
        <v>0.41786963208449301</v>
      </c>
      <c r="BF167" s="816">
        <f>1+[3]!Salcycl*Ksac</f>
        <v>1.0328557197623685</v>
      </c>
      <c r="BH167" s="1053">
        <f t="shared" si="94"/>
        <v>6.9562566475024103E-4</v>
      </c>
      <c r="BI167" s="11">
        <v>44349</v>
      </c>
      <c r="BJ167" s="726">
        <v>3.6949442817274881E-5</v>
      </c>
      <c r="BK167" s="726">
        <v>1.9295049257220452E-4</v>
      </c>
      <c r="BL167" s="726">
        <v>3.9370776380555947E-4</v>
      </c>
      <c r="BM167" s="726">
        <v>6.9641594172480256E-4</v>
      </c>
      <c r="BN167" s="726">
        <v>1.2652350699421835E-3</v>
      </c>
      <c r="BO167" s="727">
        <v>2.0681509420797774E-3</v>
      </c>
      <c r="BP167" s="726">
        <v>3.2328976644974117E-3</v>
      </c>
      <c r="BQ167" s="726">
        <v>5.9108523623620174E-3</v>
      </c>
      <c r="BR167" s="726">
        <v>9.0975870330609627E-3</v>
      </c>
      <c r="BS167" s="726">
        <v>1.5037591533119038E-2</v>
      </c>
      <c r="BT167" s="726">
        <v>2.2414119725398047E-2</v>
      </c>
      <c r="BW167" s="1186">
        <f>'2018'!R\Max</f>
        <v>0</v>
      </c>
      <c r="BX167" s="1184">
        <f>'2019'!R\Max</f>
        <v>0.9993756619590034</v>
      </c>
      <c r="BY167" s="1184">
        <f>'2020'!R\Max</f>
        <v>0.5133754288466762</v>
      </c>
      <c r="BZ167" s="1184">
        <f>'2021'!R\Max</f>
        <v>0.78262451578151737</v>
      </c>
      <c r="CA167" s="1184">
        <f>'2022'!R\Max</f>
        <v>0.74394366308750337</v>
      </c>
      <c r="CB167" s="1184">
        <f>'2023'!R\Max</f>
        <v>0.74393401421533034</v>
      </c>
      <c r="CC167" s="1184">
        <f>'2024'!R\Max</f>
        <v>0.74391919173247134</v>
      </c>
      <c r="CD167" s="1184">
        <f>'2025'!R\Max</f>
        <v>0.74396866085671898</v>
      </c>
      <c r="CE167" s="1184">
        <f>'2026'!R\Max</f>
        <v>0.74396394930845489</v>
      </c>
      <c r="CF167" s="1185">
        <f>'2027'!R\Max</f>
        <v>0.7439585344004418</v>
      </c>
    </row>
    <row r="168" spans="1:84" s="6" customFormat="1" ht="11.25" x14ac:dyDescent="0.2">
      <c r="A168" s="11">
        <v>43254</v>
      </c>
      <c r="B168" s="380">
        <f>'2022'!Maxi_hp</f>
        <v>57.833207872898761</v>
      </c>
      <c r="C168" s="13">
        <f>'2022'!An_max</f>
        <v>2022</v>
      </c>
      <c r="D168" s="1062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3">
        <f t="shared" si="81"/>
        <v>0.5714285714285714</v>
      </c>
      <c r="J168" s="746">
        <f t="shared" si="82"/>
        <v>63.779039067029956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5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3">
        <f t="shared" si="86"/>
        <v>0.21428571428571427</v>
      </c>
      <c r="AT168" s="769">
        <f t="shared" si="87"/>
        <v>63.758157251881698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3">
        <f t="shared" si="91"/>
        <v>0.2857142857142857</v>
      </c>
      <c r="AY168" s="769">
        <f t="shared" si="92"/>
        <v>63.78676909628723</v>
      </c>
      <c r="AZ168" s="746">
        <f t="shared" si="96"/>
        <v>63.772463174084464</v>
      </c>
      <c r="BA168" s="643">
        <f t="shared" si="93"/>
        <v>0.90677452528122449</v>
      </c>
      <c r="BC168" s="11">
        <v>43254</v>
      </c>
      <c r="BD168" s="290">
        <f>[3]!FeuilCaduc*(1-Persistant)+Persistant</f>
        <v>0.86832352276463809</v>
      </c>
      <c r="BE168" s="291">
        <f>[3]!CroissVégét</f>
        <v>0.42792037764903684</v>
      </c>
      <c r="BF168" s="816">
        <f>1+[3]!Salcycl*Ksac</f>
        <v>1.0335404403455797</v>
      </c>
      <c r="BH168" s="1053">
        <f t="shared" si="94"/>
        <v>6.7035658835288376E-4</v>
      </c>
      <c r="BI168" s="11">
        <v>44350</v>
      </c>
      <c r="BJ168" s="726">
        <v>3.9583404283801163E-5</v>
      </c>
      <c r="BK168" s="726">
        <v>1.8583653453691494E-4</v>
      </c>
      <c r="BL168" s="726">
        <v>3.7951356709429237E-4</v>
      </c>
      <c r="BM168" s="726">
        <v>6.7111787657790579E-4</v>
      </c>
      <c r="BN168" s="726">
        <v>1.1963353833572327E-3</v>
      </c>
      <c r="BO168" s="727">
        <v>1.9368413180715608E-3</v>
      </c>
      <c r="BP168" s="726">
        <v>3.0185624307658651E-3</v>
      </c>
      <c r="BQ168" s="726">
        <v>5.5282822576316493E-3</v>
      </c>
      <c r="BR168" s="726">
        <v>8.556990966382988E-3</v>
      </c>
      <c r="BS168" s="726">
        <v>1.4439387271163943E-2</v>
      </c>
      <c r="BT168" s="726">
        <v>2.1948642099472712E-2</v>
      </c>
      <c r="BW168" s="1186">
        <f>'2018'!R\Max</f>
        <v>0</v>
      </c>
      <c r="BX168" s="1184">
        <f>'2019'!R\Max</f>
        <v>0.7548252975933345</v>
      </c>
      <c r="BY168" s="1184">
        <f>'2020'!R\Max</f>
        <v>0.84823678169683592</v>
      </c>
      <c r="BZ168" s="1184">
        <f>'2021'!R\Max</f>
        <v>0.88286862746085781</v>
      </c>
      <c r="CA168" s="1184">
        <f>'2022'!R\Max</f>
        <v>0.90677452528122449</v>
      </c>
      <c r="CB168" s="1184">
        <f>'2023'!R\Max</f>
        <v>0.90677052332406449</v>
      </c>
      <c r="CC168" s="1184">
        <f>'2024'!R\Max</f>
        <v>0.90676428777217599</v>
      </c>
      <c r="CD168" s="1184">
        <f>'2025'!R\Max</f>
        <v>0.90678485699268563</v>
      </c>
      <c r="CE168" s="1184">
        <f>'2026'!R\Max</f>
        <v>0.90678291420436097</v>
      </c>
      <c r="CF168" s="1185">
        <f>'2027'!R\Max</f>
        <v>0.90678067452916167</v>
      </c>
    </row>
    <row r="169" spans="1:84" s="6" customFormat="1" ht="11.25" x14ac:dyDescent="0.2">
      <c r="A169" s="11">
        <v>43255</v>
      </c>
      <c r="B169" s="380">
        <f>'2022'!Maxi_hp</f>
        <v>59.953702782585943</v>
      </c>
      <c r="C169" s="13">
        <f>'2022'!An_max</f>
        <v>2019</v>
      </c>
      <c r="D169" s="1062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3">
        <f t="shared" si="81"/>
        <v>0.5</v>
      </c>
      <c r="J169" s="746">
        <f t="shared" si="82"/>
        <v>63.774762500450016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5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3">
        <f t="shared" si="86"/>
        <v>0.25</v>
      </c>
      <c r="AT169" s="769">
        <f t="shared" si="87"/>
        <v>63.746376562304796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3">
        <f t="shared" si="91"/>
        <v>0.25</v>
      </c>
      <c r="AY169" s="769">
        <f t="shared" si="92"/>
        <v>63.777831249963491</v>
      </c>
      <c r="AZ169" s="746">
        <f t="shared" si="96"/>
        <v>63.762103906134143</v>
      </c>
      <c r="BA169" s="643">
        <f t="shared" si="93"/>
        <v>0.94008508118180589</v>
      </c>
      <c r="BC169" s="11">
        <v>43255</v>
      </c>
      <c r="BD169" s="290">
        <f>[3]!FeuilCaduc*(1-Persistant)+Persistant</f>
        <v>0.87373657709914276</v>
      </c>
      <c r="BE169" s="291">
        <f>[3]!CroissVégét</f>
        <v>0.43803029270835642</v>
      </c>
      <c r="BF169" s="816">
        <f>1+[3]!Salcycl*Ksac</f>
        <v>1.0342170721373929</v>
      </c>
      <c r="BH169" s="1053">
        <f t="shared" si="94"/>
        <v>6.5189566780112299E-4</v>
      </c>
      <c r="BI169" s="11">
        <v>44351</v>
      </c>
      <c r="BJ169" s="726">
        <v>4.2402869348067084E-5</v>
      </c>
      <c r="BK169" s="726">
        <v>1.8074870580709294E-4</v>
      </c>
      <c r="BL169" s="726">
        <v>3.6927711914153268E-4</v>
      </c>
      <c r="BM169" s="726">
        <v>6.5263542828200474E-4</v>
      </c>
      <c r="BN169" s="726">
        <v>1.1398004572318295E-3</v>
      </c>
      <c r="BO169" s="727">
        <v>1.8236151833142542E-3</v>
      </c>
      <c r="BP169" s="726">
        <v>2.827110442864769E-3</v>
      </c>
      <c r="BQ169" s="726">
        <v>5.1502860567900471E-3</v>
      </c>
      <c r="BR169" s="726">
        <v>7.999987343056977E-3</v>
      </c>
      <c r="BS169" s="726">
        <v>1.3771165541491284E-2</v>
      </c>
      <c r="BT169" s="726">
        <v>2.134747391243454E-2</v>
      </c>
      <c r="BW169" s="1186">
        <f>'2018'!R\Max</f>
        <v>0</v>
      </c>
      <c r="BX169" s="1184">
        <f>'2019'!R\Max</f>
        <v>0.94008508118180589</v>
      </c>
      <c r="BY169" s="1184">
        <f>'2020'!R\Max</f>
        <v>0.45584394771975101</v>
      </c>
      <c r="BZ169" s="1184">
        <f>'2021'!R\Max</f>
        <v>0.13841765551398169</v>
      </c>
      <c r="CA169" s="1184">
        <f>'2022'!R\Max</f>
        <v>0.40952859985391671</v>
      </c>
      <c r="CB169" s="1184">
        <f>'2023'!R\Max</f>
        <v>0.40951791329557724</v>
      </c>
      <c r="CC169" s="1184">
        <f>'2024'!R\Max</f>
        <v>0.40950114396561704</v>
      </c>
      <c r="CD169" s="1184">
        <f>'2025'!R\Max</f>
        <v>0.40955617879526013</v>
      </c>
      <c r="CE169" s="1184">
        <f>'2026'!R\Max</f>
        <v>0.40955099095367531</v>
      </c>
      <c r="CF169" s="1185">
        <f>'2027'!R\Max</f>
        <v>0.40954500138039968</v>
      </c>
    </row>
    <row r="170" spans="1:84" s="6" customFormat="1" ht="11.25" x14ac:dyDescent="0.2">
      <c r="A170" s="11">
        <v>43256</v>
      </c>
      <c r="B170" s="380">
        <f>'2022'!Maxi_hp</f>
        <v>43.180770881481472</v>
      </c>
      <c r="C170" s="13">
        <f>'2022'!An_max</f>
        <v>2021</v>
      </c>
      <c r="D170" s="1062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3">
        <f t="shared" si="81"/>
        <v>0.42857142857142855</v>
      </c>
      <c r="J170" s="746">
        <f t="shared" si="82"/>
        <v>63.766728280644337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5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3">
        <f t="shared" si="86"/>
        <v>0.2857142857142857</v>
      </c>
      <c r="AT170" s="769">
        <f t="shared" si="87"/>
        <v>63.73036851308175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3">
        <f t="shared" si="91"/>
        <v>0.21428571428571427</v>
      </c>
      <c r="AY170" s="769">
        <f t="shared" si="92"/>
        <v>63.76576202663459</v>
      </c>
      <c r="AZ170" s="746">
        <f t="shared" si="96"/>
        <v>63.748065269858174</v>
      </c>
      <c r="BA170" s="643">
        <f t="shared" si="93"/>
        <v>0.67716773379744655</v>
      </c>
      <c r="BC170" s="11">
        <v>43256</v>
      </c>
      <c r="BD170" s="290">
        <f>[3]!FeuilCaduc*(1-Persistant)+Persistant</f>
        <v>0.8790783654185379</v>
      </c>
      <c r="BE170" s="291">
        <f>[3]!CroissVégét</f>
        <v>0.44819129444890032</v>
      </c>
      <c r="BF170" s="816">
        <f>1+[3]!Salcycl*Ksac</f>
        <v>1.0348847956773173</v>
      </c>
      <c r="BH170" s="1053">
        <f t="shared" si="94"/>
        <v>6.400337061411548E-4</v>
      </c>
      <c r="BI170" s="11">
        <v>44352</v>
      </c>
      <c r="BJ170" s="726">
        <v>4.5223395828146211E-5</v>
      </c>
      <c r="BK170" s="726">
        <v>1.7760855949892614E-4</v>
      </c>
      <c r="BL170" s="726">
        <v>3.6283780680585191E-4</v>
      </c>
      <c r="BM170" s="726">
        <v>6.4075927271406126E-4</v>
      </c>
      <c r="BN170" s="726">
        <v>1.0958037679461516E-3</v>
      </c>
      <c r="BO170" s="727">
        <v>1.7295185898936155E-3</v>
      </c>
      <c r="BP170" s="726">
        <v>2.6609529586378456E-3</v>
      </c>
      <c r="BQ170" s="726">
        <v>4.7903028235948613E-3</v>
      </c>
      <c r="BR170" s="726">
        <v>7.4510594740198098E-3</v>
      </c>
      <c r="BS170" s="726">
        <v>1.3067847463606294E-2</v>
      </c>
      <c r="BT170" s="726">
        <v>2.0645945178175404E-2</v>
      </c>
      <c r="BW170" s="1186">
        <f>'2018'!R\Max</f>
        <v>0</v>
      </c>
      <c r="BX170" s="1184">
        <f>'2019'!R\Max</f>
        <v>0.17751269608491077</v>
      </c>
      <c r="BY170" s="1184">
        <f>'2020'!R\Max</f>
        <v>0.59117291553749973</v>
      </c>
      <c r="BZ170" s="1184">
        <f>'2021'!R\Max</f>
        <v>0.67716773379744655</v>
      </c>
      <c r="CA170" s="1184">
        <f>'2022'!R\Max</f>
        <v>0.56508601959400784</v>
      </c>
      <c r="CB170" s="1184">
        <f>'2023'!R\Max</f>
        <v>0.5650758755117804</v>
      </c>
      <c r="CC170" s="1184">
        <f>'2024'!R\Max</f>
        <v>0.56505995188361768</v>
      </c>
      <c r="CD170" s="1184">
        <f>'2025'!R\Max</f>
        <v>0.565112279442187</v>
      </c>
      <c r="CE170" s="1184">
        <f>'2026'!R\Max</f>
        <v>0.56510732394388608</v>
      </c>
      <c r="CF170" s="1185">
        <f>'2027'!R\Max</f>
        <v>0.56510160371471563</v>
      </c>
    </row>
    <row r="171" spans="1:84" s="6" customFormat="1" ht="11.25" x14ac:dyDescent="0.2">
      <c r="A171" s="11">
        <v>43257</v>
      </c>
      <c r="B171" s="380">
        <f>'2022'!Maxi_hp</f>
        <v>62.343880742671914</v>
      </c>
      <c r="C171" s="13">
        <f>'2022'!An_max</f>
        <v>2019</v>
      </c>
      <c r="D171" s="1062">
        <f t="shared" si="78"/>
        <v>0.97786915400565155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3">
        <f t="shared" si="81"/>
        <v>0.35714285714285715</v>
      </c>
      <c r="J171" s="746">
        <f t="shared" si="82"/>
        <v>63.754829045677823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5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3">
        <f t="shared" si="86"/>
        <v>0.32142857142857145</v>
      </c>
      <c r="AT171" s="769">
        <f t="shared" si="87"/>
        <v>63.710280726410986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3">
        <f t="shared" si="91"/>
        <v>0.17857142857142858</v>
      </c>
      <c r="AY171" s="769">
        <f t="shared" si="92"/>
        <v>63.75066878650604</v>
      </c>
      <c r="AZ171" s="746">
        <f t="shared" si="96"/>
        <v>63.730474756458513</v>
      </c>
      <c r="BA171" s="643">
        <f t="shared" si="93"/>
        <v>0.97786915400565155</v>
      </c>
      <c r="BC171" s="11">
        <v>43257</v>
      </c>
      <c r="BD171" s="290">
        <f>[3]!FeuilCaduc*(1-Persistant)+Persistant</f>
        <v>0.88434250674933024</v>
      </c>
      <c r="BE171" s="291">
        <f>[3]!CroissVégét</f>
        <v>0.45839513154318023</v>
      </c>
      <c r="BF171" s="816">
        <f>1+[3]!Salcycl*Ksac</f>
        <v>1.0355428133436664</v>
      </c>
      <c r="BH171" s="1053">
        <f t="shared" si="94"/>
        <v>6.2850208935954339E-4</v>
      </c>
      <c r="BI171" s="11">
        <v>44353</v>
      </c>
      <c r="BJ171" s="726">
        <v>4.7629663958632507E-5</v>
      </c>
      <c r="BK171" s="726">
        <v>1.7441549526047096E-4</v>
      </c>
      <c r="BL171" s="726">
        <v>3.563250163342947E-4</v>
      </c>
      <c r="BM171" s="726">
        <v>6.292145190404016E-4</v>
      </c>
      <c r="BN171" s="726">
        <v>1.0560171504375661E-3</v>
      </c>
      <c r="BO171" s="727">
        <v>1.6452375788678626E-3</v>
      </c>
      <c r="BP171" s="726">
        <v>2.5117792568902881E-3</v>
      </c>
      <c r="BQ171" s="726">
        <v>4.4611220131572909E-3</v>
      </c>
      <c r="BR171" s="726">
        <v>6.9449028905015364E-3</v>
      </c>
      <c r="BS171" s="726">
        <v>1.2385829587145762E-2</v>
      </c>
      <c r="BT171" s="726">
        <v>1.9902972703805241E-2</v>
      </c>
      <c r="BW171" s="1186">
        <f>'2018'!R\Max</f>
        <v>0</v>
      </c>
      <c r="BX171" s="1184">
        <f>'2019'!R\Max</f>
        <v>0.97786915400565155</v>
      </c>
      <c r="BY171" s="1184">
        <f>'2020'!R\Max</f>
        <v>0.40877225937300321</v>
      </c>
      <c r="BZ171" s="1184">
        <f>'2021'!R\Max</f>
        <v>0.75889078404739418</v>
      </c>
      <c r="CA171" s="1184">
        <f>'2022'!R\Max</f>
        <v>0.79611549792549585</v>
      </c>
      <c r="CB171" s="1184">
        <f>'2023'!R\Max</f>
        <v>0.79610922646497861</v>
      </c>
      <c r="CC171" s="1184">
        <f>'2024'!R\Max</f>
        <v>0.7960994031845976</v>
      </c>
      <c r="CD171" s="1184">
        <f>'2025'!R\Max</f>
        <v>0.79613180003408446</v>
      </c>
      <c r="CE171" s="1184">
        <f>'2026'!R\Max</f>
        <v>0.79612871145434883</v>
      </c>
      <c r="CF171" s="1185">
        <f>'2027'!R\Max</f>
        <v>0.79612514890629016</v>
      </c>
    </row>
    <row r="172" spans="1:84" s="6" customFormat="1" ht="11.25" x14ac:dyDescent="0.2">
      <c r="A172" s="11">
        <v>43258</v>
      </c>
      <c r="B172" s="380">
        <f>'2022'!Maxi_hp</f>
        <v>54.813719171232592</v>
      </c>
      <c r="C172" s="13">
        <f>'2022'!An_max</f>
        <v>2021</v>
      </c>
      <c r="D172" s="1062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3">
        <f t="shared" si="81"/>
        <v>0.2857142857142857</v>
      </c>
      <c r="J172" s="746">
        <f t="shared" si="82"/>
        <v>63.738957434786222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5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3">
        <f t="shared" si="86"/>
        <v>0.35714285714285715</v>
      </c>
      <c r="AT172" s="769">
        <f t="shared" si="87"/>
        <v>63.68626082353294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3">
        <f t="shared" si="91"/>
        <v>0.14285714285714285</v>
      </c>
      <c r="AY172" s="769">
        <f t="shared" si="92"/>
        <v>63.732658892124888</v>
      </c>
      <c r="AZ172" s="746">
        <f t="shared" si="96"/>
        <v>63.709459857828918</v>
      </c>
      <c r="BA172" s="643">
        <f t="shared" si="93"/>
        <v>0.85997200734440338</v>
      </c>
      <c r="BC172" s="11">
        <v>43258</v>
      </c>
      <c r="BD172" s="290">
        <f>[3]!FeuilCaduc*(1-Persistant)+Persistant</f>
        <v>0.88952281993357363</v>
      </c>
      <c r="BE172" s="291">
        <f>[3]!CroissVégét</f>
        <v>0.46863341037883222</v>
      </c>
      <c r="BF172" s="816">
        <f>1+[3]!Salcycl*Ksac</f>
        <v>1.0361903524916967</v>
      </c>
      <c r="BH172" s="1053">
        <f t="shared" si="94"/>
        <v>6.1730118115780599E-4</v>
      </c>
      <c r="BI172" s="11">
        <v>44354</v>
      </c>
      <c r="BJ172" s="726">
        <v>4.9622489416672757E-5</v>
      </c>
      <c r="BK172" s="726">
        <v>1.7116988700010993E-4</v>
      </c>
      <c r="BL172" s="726">
        <v>3.4973944607315471E-4</v>
      </c>
      <c r="BM172" s="726">
        <v>6.1800153008660251E-4</v>
      </c>
      <c r="BN172" s="726">
        <v>1.0204345714304947E-3</v>
      </c>
      <c r="BO172" s="727">
        <v>1.5707568828112039E-3</v>
      </c>
      <c r="BP172" s="726">
        <v>2.3795625143338221E-3</v>
      </c>
      <c r="BQ172" s="726">
        <v>4.1626955933620879E-3</v>
      </c>
      <c r="BR172" s="726">
        <v>6.4814525222645428E-3</v>
      </c>
      <c r="BS172" s="726">
        <v>1.172509690226874E-2</v>
      </c>
      <c r="BT172" s="726">
        <v>1.911867081156807E-2</v>
      </c>
      <c r="BW172" s="1186">
        <f>'2018'!R\Max</f>
        <v>0</v>
      </c>
      <c r="BX172" s="1184">
        <f>'2019'!R\Max</f>
        <v>0.34240394009363134</v>
      </c>
      <c r="BY172" s="1184">
        <f>'2020'!R\Max</f>
        <v>0.44808278385221095</v>
      </c>
      <c r="BZ172" s="1184">
        <f>'2021'!R\Max</f>
        <v>0.85997200734440338</v>
      </c>
      <c r="CA172" s="1184">
        <f>'2022'!R\Max</f>
        <v>0.41517603819638577</v>
      </c>
      <c r="CB172" s="1184">
        <f>'2023'!R\Max</f>
        <v>0.41516722856470339</v>
      </c>
      <c r="CC172" s="1184">
        <f>'2024'!R\Max</f>
        <v>0.41515350082588398</v>
      </c>
      <c r="CD172" s="1184">
        <f>'2025'!R\Max</f>
        <v>0.41519906320478894</v>
      </c>
      <c r="CE172" s="1184">
        <f>'2026'!R\Max</f>
        <v>0.41519467994899778</v>
      </c>
      <c r="CF172" s="1185">
        <f>'2027'!R\Max</f>
        <v>0.41518963071131365</v>
      </c>
    </row>
    <row r="173" spans="1:84" s="6" customFormat="1" ht="11.25" x14ac:dyDescent="0.2">
      <c r="A173" s="11">
        <v>43259</v>
      </c>
      <c r="B173" s="380">
        <f>'2022'!Maxi_hp</f>
        <v>64.469263284236831</v>
      </c>
      <c r="C173" s="13">
        <f>'2022'!An_max</f>
        <v>2019</v>
      </c>
      <c r="D173" s="1062">
        <f t="shared" si="78"/>
        <v>1.01177446484976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3">
        <f t="shared" si="81"/>
        <v>0.21428571428571427</v>
      </c>
      <c r="J173" s="746">
        <f t="shared" si="82"/>
        <v>63.719006086806097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5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3">
        <f t="shared" si="86"/>
        <v>0.39285714285714285</v>
      </c>
      <c r="AT173" s="769">
        <f t="shared" si="87"/>
        <v>63.658456427710391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3">
        <f t="shared" si="91"/>
        <v>0.10714285714285714</v>
      </c>
      <c r="AY173" s="769">
        <f t="shared" si="92"/>
        <v>63.711839705346414</v>
      </c>
      <c r="AZ173" s="746">
        <f t="shared" si="96"/>
        <v>63.685148066528399</v>
      </c>
      <c r="BA173" s="643">
        <f t="shared" si="93"/>
        <v>1.01177446484976</v>
      </c>
      <c r="BC173" s="11">
        <v>43259</v>
      </c>
      <c r="BD173" s="290">
        <f>[3]!FeuilCaduc*(1-Persistant)+Persistant</f>
        <v>0.8946133480281715</v>
      </c>
      <c r="BE173" s="291">
        <f>[3]!CroissVégét</f>
        <v>0.4788976222853652</v>
      </c>
      <c r="BF173" s="816">
        <f>1+[3]!Salcycl*Ksac</f>
        <v>1.0368266685035215</v>
      </c>
      <c r="BH173" s="1053">
        <f t="shared" si="94"/>
        <v>6.0643128098025897E-4</v>
      </c>
      <c r="BI173" s="11">
        <v>44355</v>
      </c>
      <c r="BJ173" s="726">
        <v>5.1202706185994612E-5</v>
      </c>
      <c r="BK173" s="726">
        <v>1.6787209263190099E-4</v>
      </c>
      <c r="BL173" s="726">
        <v>3.4308176131872038E-4</v>
      </c>
      <c r="BM173" s="726">
        <v>6.0712060433935477E-4</v>
      </c>
      <c r="BN173" s="726">
        <v>9.8904973400005159E-4</v>
      </c>
      <c r="BO173" s="727">
        <v>1.5060606626481076E-3</v>
      </c>
      <c r="BP173" s="726">
        <v>2.2642748993866222E-3</v>
      </c>
      <c r="BQ173" s="726">
        <v>3.8949733865449847E-3</v>
      </c>
      <c r="BR173" s="726">
        <v>6.0606400574486595E-3</v>
      </c>
      <c r="BS173" s="726">
        <v>1.1085630493559812E-2</v>
      </c>
      <c r="BT173" s="726">
        <v>1.8293150395170824E-2</v>
      </c>
      <c r="BW173" s="1186">
        <f>'2018'!R\Max</f>
        <v>0</v>
      </c>
      <c r="BX173" s="1184">
        <f>'2019'!R\Max</f>
        <v>1.01177446484976</v>
      </c>
      <c r="BY173" s="1184">
        <f>'2020'!R\Max</f>
        <v>0.62872196736585328</v>
      </c>
      <c r="BZ173" s="1184">
        <f>'2021'!R\Max</f>
        <v>0.98209281517943525</v>
      </c>
      <c r="CA173" s="1184">
        <f>'2022'!R\Max</f>
        <v>0.33957626099614924</v>
      </c>
      <c r="CB173" s="1184">
        <f>'2023'!R\Max</f>
        <v>0.3395685870237149</v>
      </c>
      <c r="CC173" s="1184">
        <f>'2024'!R\Max</f>
        <v>0.33955673021409899</v>
      </c>
      <c r="CD173" s="1184">
        <f>'2025'!R\Max</f>
        <v>0.33959645458968946</v>
      </c>
      <c r="CE173" s="1184">
        <f>'2026'!R\Max</f>
        <v>0.33959258907173945</v>
      </c>
      <c r="CF173" s="1185">
        <f>'2027'!R\Max</f>
        <v>0.3395881442786689</v>
      </c>
    </row>
    <row r="174" spans="1:84" s="6" customFormat="1" ht="11.25" x14ac:dyDescent="0.2">
      <c r="A174" s="11">
        <v>43260</v>
      </c>
      <c r="B174" s="380">
        <f>'2022'!Maxi_hp</f>
        <v>60.601331416290115</v>
      </c>
      <c r="C174" s="13">
        <f>'2022'!An_max</f>
        <v>2021</v>
      </c>
      <c r="D174" s="1062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3">
        <f t="shared" si="81"/>
        <v>0.14285714285714285</v>
      </c>
      <c r="J174" s="746">
        <f t="shared" si="82"/>
        <v>63.694867639562929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5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3">
        <f t="shared" si="86"/>
        <v>0.42857142857142855</v>
      </c>
      <c r="AT174" s="769">
        <f t="shared" si="87"/>
        <v>63.627015160343468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3">
        <f t="shared" si="91"/>
        <v>7.1428571428571425E-2</v>
      </c>
      <c r="AY174" s="769">
        <f t="shared" si="92"/>
        <v>63.688318586642197</v>
      </c>
      <c r="AZ174" s="746">
        <f t="shared" si="96"/>
        <v>63.657666873492829</v>
      </c>
      <c r="BA174" s="643">
        <f t="shared" si="93"/>
        <v>0.95143193890002964</v>
      </c>
      <c r="BC174" s="11">
        <v>43260</v>
      </c>
      <c r="BD174" s="290">
        <f>[3]!FeuilCaduc*(1-Persistant)+Persistant</f>
        <v>0.89960838182728109</v>
      </c>
      <c r="BE174" s="291">
        <f>[3]!CroissVégét</f>
        <v>0.48917917157397695</v>
      </c>
      <c r="BF174" s="816">
        <f>1+[3]!Salcycl*Ksac</f>
        <v>1.0374510477284102</v>
      </c>
      <c r="BH174" s="1053">
        <f t="shared" si="94"/>
        <v>5.9589262832369851E-4</v>
      </c>
      <c r="BI174" s="11">
        <v>44356</v>
      </c>
      <c r="BJ174" s="726">
        <v>5.2371160996530584E-5</v>
      </c>
      <c r="BK174" s="726">
        <v>1.6452245331570283E-4</v>
      </c>
      <c r="BL174" s="726">
        <v>3.3635259323353423E-4</v>
      </c>
      <c r="BM174" s="726">
        <v>5.9657198027026031E-4</v>
      </c>
      <c r="BN174" s="726">
        <v>9.6185613391085883E-4</v>
      </c>
      <c r="BO174" s="727">
        <v>1.451132639101058E-3</v>
      </c>
      <c r="BP174" s="726">
        <v>2.1658877995397708E-3</v>
      </c>
      <c r="BQ174" s="726">
        <v>3.6579034808541014E-3</v>
      </c>
      <c r="BR174" s="726">
        <v>5.6823945129868235E-3</v>
      </c>
      <c r="BS174" s="726">
        <v>1.0467407817328422E-2</v>
      </c>
      <c r="BT174" s="726">
        <v>1.7426518347712836E-2</v>
      </c>
      <c r="BW174" s="1186">
        <f>'2018'!R\Max</f>
        <v>0</v>
      </c>
      <c r="BX174" s="1184">
        <f>'2019'!R\Max</f>
        <v>0.79456321427926757</v>
      </c>
      <c r="BY174" s="1184">
        <f>'2020'!R\Max</f>
        <v>0.7026183977510746</v>
      </c>
      <c r="BZ174" s="1184">
        <f>'2021'!R\Max</f>
        <v>0.95143193890002964</v>
      </c>
      <c r="CA174" s="1184">
        <f>'2022'!R\Max</f>
        <v>0.77641650094034143</v>
      </c>
      <c r="CB174" s="1184">
        <f>'2023'!R\Max</f>
        <v>0.77641086783072732</v>
      </c>
      <c r="CC174" s="1184">
        <f>'2024'!R\Max</f>
        <v>0.77640226979808535</v>
      </c>
      <c r="CD174" s="1184">
        <f>'2025'!R\Max</f>
        <v>0.77643144678874765</v>
      </c>
      <c r="CE174" s="1184">
        <f>'2026'!R\Max</f>
        <v>0.77642856817879702</v>
      </c>
      <c r="CF174" s="1185">
        <f>'2027'!R\Max</f>
        <v>0.77642526546196822</v>
      </c>
    </row>
    <row r="175" spans="1:84" s="6" customFormat="1" ht="11.25" x14ac:dyDescent="0.2">
      <c r="A175" s="11">
        <v>43261</v>
      </c>
      <c r="B175" s="380">
        <f>'2022'!Maxi_hp</f>
        <v>61.199848181326935</v>
      </c>
      <c r="C175" s="13">
        <f>'2022'!An_max</f>
        <v>2021</v>
      </c>
      <c r="D175" s="1062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3">
        <f t="shared" si="81"/>
        <v>7.1428571428571425E-2</v>
      </c>
      <c r="J175" s="746">
        <f t="shared" si="82"/>
        <v>63.666434730110424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5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3">
        <f t="shared" si="86"/>
        <v>0.4642857142857143</v>
      </c>
      <c r="AT175" s="769">
        <f t="shared" si="87"/>
        <v>63.592084643603968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3">
        <f t="shared" si="91"/>
        <v>3.5714285714285712E-2</v>
      </c>
      <c r="AY175" s="769">
        <f t="shared" si="92"/>
        <v>63.66220289756145</v>
      </c>
      <c r="AZ175" s="746">
        <f t="shared" si="96"/>
        <v>63.627143770582705</v>
      </c>
      <c r="BA175" s="643">
        <f t="shared" si="93"/>
        <v>0.96125766176102612</v>
      </c>
      <c r="BC175" s="11">
        <v>43261</v>
      </c>
      <c r="BD175" s="290">
        <f>[3]!FeuilCaduc*(1-Persistant)+Persistant</f>
        <v>0.90450248234059194</v>
      </c>
      <c r="BE175" s="291">
        <f>[3]!CroissVégét</f>
        <v>0.499469404196</v>
      </c>
      <c r="BF175" s="816">
        <f>1+[3]!Salcycl*Ksac</f>
        <v>1.038062810292574</v>
      </c>
      <c r="BH175" s="1053">
        <f t="shared" si="94"/>
        <v>5.8568540705464635E-4</v>
      </c>
      <c r="BI175" s="11">
        <v>44357</v>
      </c>
      <c r="BJ175" s="726">
        <v>5.3128707764660237E-5</v>
      </c>
      <c r="BK175" s="726">
        <v>1.6112129269939734E-4</v>
      </c>
      <c r="BL175" s="726">
        <v>3.2955253776693547E-4</v>
      </c>
      <c r="BM175" s="726">
        <v>5.86355840667205E-4</v>
      </c>
      <c r="BN175" s="726">
        <v>9.3884711596832037E-4</v>
      </c>
      <c r="BO175" s="727">
        <v>1.405956224157428E-3</v>
      </c>
      <c r="BP175" s="726">
        <v>2.0843720487525989E-3</v>
      </c>
      <c r="BQ175" s="726">
        <v>3.4514326416616166E-3</v>
      </c>
      <c r="BR175" s="726">
        <v>5.3466428050989497E-3</v>
      </c>
      <c r="BS175" s="726">
        <v>9.8704029790501035E-3</v>
      </c>
      <c r="BT175" s="726">
        <v>1.6518876989847522E-2</v>
      </c>
      <c r="BW175" s="1186">
        <f>'2018'!R\Max</f>
        <v>0</v>
      </c>
      <c r="BX175" s="1184">
        <f>'2019'!R\Max</f>
        <v>0.34894248941000044</v>
      </c>
      <c r="BY175" s="1184">
        <f>'2020'!R\Max</f>
        <v>0.40011421508663697</v>
      </c>
      <c r="BZ175" s="1184">
        <f>'2021'!R\Max</f>
        <v>0.96125766176102612</v>
      </c>
      <c r="CA175" s="1184">
        <f>'2022'!R\Max</f>
        <v>0.9480734506015821</v>
      </c>
      <c r="CB175" s="1184">
        <f>'2023'!R\Max</f>
        <v>0.94807192537116658</v>
      </c>
      <c r="CC175" s="1184">
        <f>'2024'!R\Max</f>
        <v>0.94806963481869766</v>
      </c>
      <c r="CD175" s="1184">
        <f>'2025'!R\Max</f>
        <v>0.9480775373550171</v>
      </c>
      <c r="CE175" s="1184">
        <f>'2026'!R\Max</f>
        <v>0.94807674496875294</v>
      </c>
      <c r="CF175" s="1185">
        <f>'2027'!R\Max</f>
        <v>0.94807583809283524</v>
      </c>
    </row>
    <row r="176" spans="1:84" s="6" customFormat="1" ht="11.25" x14ac:dyDescent="0.2">
      <c r="A176" s="11">
        <v>43262</v>
      </c>
      <c r="B176" s="380">
        <f>'2022'!Maxi_hp</f>
        <v>59.025709659388554</v>
      </c>
      <c r="C176" s="13">
        <f>'2022'!An_max</f>
        <v>2022</v>
      </c>
      <c r="D176" s="1062" t="str">
        <f t="shared" si="78"/>
        <v/>
      </c>
      <c r="E176" s="1057">
        <f>Y$13/10</f>
        <v>63.633600000000001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3">
        <f t="shared" si="81"/>
        <v>0</v>
      </c>
      <c r="J176" s="746">
        <f t="shared" si="82"/>
        <v>63.633600000292063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5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3">
        <f t="shared" si="86"/>
        <v>0.5</v>
      </c>
      <c r="AT176" s="769">
        <f t="shared" si="87"/>
        <v>63.553812499903145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3">
        <f t="shared" si="91"/>
        <v>0</v>
      </c>
      <c r="AY176" s="769">
        <f t="shared" si="92"/>
        <v>63.633600000292063</v>
      </c>
      <c r="AZ176" s="746">
        <f t="shared" si="96"/>
        <v>63.593706250097604</v>
      </c>
      <c r="BA176" s="643">
        <f t="shared" si="93"/>
        <v>0.92758714985664237</v>
      </c>
      <c r="BC176" s="11">
        <v>43262</v>
      </c>
      <c r="BD176" s="290">
        <f>[3]!FeuilCaduc*(1-Persistant)+Persistant</f>
        <v>0.90929050206565898</v>
      </c>
      <c r="BE176" s="291">
        <f>[3]!CroissVégét</f>
        <v>0.50975963681802305</v>
      </c>
      <c r="BF176" s="816">
        <f>1+[3]!Salcycl*Ksac</f>
        <v>1.0386613127582074</v>
      </c>
      <c r="BH176" s="1053">
        <f t="shared" si="94"/>
        <v>5.7580974971965207E-4</v>
      </c>
      <c r="BI176" s="11">
        <v>44358</v>
      </c>
      <c r="BJ176" s="726">
        <v>5.3476202032882172E-5</v>
      </c>
      <c r="BK176" s="726">
        <v>1.5766891615918657E-4</v>
      </c>
      <c r="BL176" s="726">
        <v>3.2268215457166853E-4</v>
      </c>
      <c r="BM176" s="726">
        <v>5.7647231695877787E-4</v>
      </c>
      <c r="BN176" s="726">
        <v>9.2001593035848561E-4</v>
      </c>
      <c r="BO176" s="727">
        <v>1.3705146525188642E-3</v>
      </c>
      <c r="BP176" s="726">
        <v>2.0196981548216172E-3</v>
      </c>
      <c r="BQ176" s="726">
        <v>3.2755067229294768E-3</v>
      </c>
      <c r="BR176" s="726">
        <v>5.0533103197142612E-3</v>
      </c>
      <c r="BS176" s="726">
        <v>9.2945870106775699E-3</v>
      </c>
      <c r="BT176" s="726">
        <v>1.5570323497730654E-2</v>
      </c>
      <c r="BW176" s="1186">
        <f>'2018'!R\Max</f>
        <v>0</v>
      </c>
      <c r="BX176" s="1184">
        <f>'2019'!R\Max</f>
        <v>0.53264339209445144</v>
      </c>
      <c r="BY176" s="1184">
        <f>'2020'!R\Max</f>
        <v>0.68257414401619554</v>
      </c>
      <c r="BZ176" s="1184">
        <f>'2021'!R\Max</f>
        <v>0.8546330309083825</v>
      </c>
      <c r="CA176" s="1184">
        <f>'2022'!R\Max</f>
        <v>0.92758714985664237</v>
      </c>
      <c r="CB176" s="1184">
        <f>'2023'!R\Max</f>
        <v>0.92758514694479666</v>
      </c>
      <c r="CC176" s="1184">
        <f>'2024'!R\Max</f>
        <v>0.92758219960077937</v>
      </c>
      <c r="CD176" s="1184">
        <f>'2025'!R\Max</f>
        <v>0.92759257790545513</v>
      </c>
      <c r="CE176" s="1184">
        <f>'2026'!R\Max</f>
        <v>0.9275915180946106</v>
      </c>
      <c r="CF176" s="1185">
        <f>'2027'!R\Max</f>
        <v>0.92759030827548439</v>
      </c>
    </row>
    <row r="177" spans="1:84" s="6" customFormat="1" ht="11.25" x14ac:dyDescent="0.2">
      <c r="A177" s="11">
        <v>43263</v>
      </c>
      <c r="B177" s="380">
        <f>'2022'!Maxi_hp</f>
        <v>58.244062693126686</v>
      </c>
      <c r="C177" s="13">
        <f>'2022'!An_max</f>
        <v>2019</v>
      </c>
      <c r="D177" s="1062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3">
        <f t="shared" si="81"/>
        <v>7.1428571428571425E-2</v>
      </c>
      <c r="J177" s="746">
        <f t="shared" si="82"/>
        <v>63.595594023886534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5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3">
        <f t="shared" si="86"/>
        <v>0.5357142857142857</v>
      </c>
      <c r="AT177" s="769">
        <f t="shared" si="87"/>
        <v>63.512346350960435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3">
        <f t="shared" si="91"/>
        <v>3.5714285714285712E-2</v>
      </c>
      <c r="AY177" s="769">
        <f t="shared" si="92"/>
        <v>63.601373652129304</v>
      </c>
      <c r="AZ177" s="746">
        <f t="shared" si="96"/>
        <v>63.556860001544869</v>
      </c>
      <c r="BA177" s="643">
        <f t="shared" si="93"/>
        <v>0.91585059605308805</v>
      </c>
      <c r="BC177" s="11">
        <v>43263</v>
      </c>
      <c r="BD177" s="290">
        <f>[3]!FeuilCaduc*(1-Persistant)+Persistant</f>
        <v>0.91396760489936879</v>
      </c>
      <c r="BE177" s="291">
        <f>[3]!CroissVégét</f>
        <v>0.52004118610663486</v>
      </c>
      <c r="BF177" s="816">
        <f>1+[3]!Salcycl*Ksac</f>
        <v>1.0392459506124212</v>
      </c>
      <c r="BH177" s="1053">
        <f t="shared" si="94"/>
        <v>5.6626574185891483E-4</v>
      </c>
      <c r="BI177" s="11">
        <v>44359</v>
      </c>
      <c r="BJ177" s="726">
        <v>5.3414495409754073E-5</v>
      </c>
      <c r="BK177" s="726">
        <v>1.5416561004081048E-4</v>
      </c>
      <c r="BL177" s="726">
        <v>3.1574196592237445E-4</v>
      </c>
      <c r="BM177" s="726">
        <v>5.6692149354201603E-4</v>
      </c>
      <c r="BN177" s="726">
        <v>9.0535578899339454E-4</v>
      </c>
      <c r="BO177" s="727">
        <v>1.3447911130591078E-3</v>
      </c>
      <c r="BP177" s="726">
        <v>1.9718365267622153E-3</v>
      </c>
      <c r="BQ177" s="726">
        <v>3.1300710785974518E-3</v>
      </c>
      <c r="BR177" s="726">
        <v>4.8023214829283831E-3</v>
      </c>
      <c r="BS177" s="726">
        <v>8.7399281480147403E-3</v>
      </c>
      <c r="BT177" s="726">
        <v>1.4580949331071388E-2</v>
      </c>
      <c r="BW177" s="1186">
        <f>'2018'!R\Max</f>
        <v>0</v>
      </c>
      <c r="BX177" s="1184">
        <f>'2019'!R\Max</f>
        <v>0.91585059605308805</v>
      </c>
      <c r="BY177" s="1184">
        <f>'2020'!R\Max</f>
        <v>0.44654208042581067</v>
      </c>
      <c r="BZ177" s="1184">
        <f>'2021'!R\Max</f>
        <v>0.76453000110005587</v>
      </c>
      <c r="CA177" s="1184">
        <f>'2022'!R\Max</f>
        <v>0.71025710692772503</v>
      </c>
      <c r="CB177" s="1184">
        <f>'2023'!R\Max</f>
        <v>0.71025114569867887</v>
      </c>
      <c r="CC177" s="1184">
        <f>'2024'!R\Max</f>
        <v>0.71024258441823496</v>
      </c>
      <c r="CD177" s="1184">
        <f>'2025'!R\Max</f>
        <v>0.71027346973366845</v>
      </c>
      <c r="CE177" s="1184">
        <f>'2026'!R\Max</f>
        <v>0.71027025251582776</v>
      </c>
      <c r="CF177" s="1185">
        <f>'2027'!R\Max</f>
        <v>0.71026658893577199</v>
      </c>
    </row>
    <row r="178" spans="1:84" s="6" customFormat="1" ht="11.25" x14ac:dyDescent="0.2">
      <c r="A178" s="11">
        <v>43264</v>
      </c>
      <c r="B178" s="380">
        <f>'2022'!Maxi_hp</f>
        <v>66.115436428019962</v>
      </c>
      <c r="C178" s="13">
        <f>'2022'!An_max</f>
        <v>2019</v>
      </c>
      <c r="D178" s="1062">
        <f t="shared" si="78"/>
        <v>1.0403359606082312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3">
        <f t="shared" si="81"/>
        <v>0.14285714285714285</v>
      </c>
      <c r="J178" s="746">
        <f t="shared" si="82"/>
        <v>63.552005247771739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5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3">
        <f t="shared" si="86"/>
        <v>0.5714285714285714</v>
      </c>
      <c r="AT178" s="769">
        <f t="shared" si="87"/>
        <v>63.467833819240333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3">
        <f t="shared" si="91"/>
        <v>7.1428571428571425E-2</v>
      </c>
      <c r="AY178" s="769">
        <f t="shared" si="92"/>
        <v>63.564423396890717</v>
      </c>
      <c r="AZ178" s="746">
        <f t="shared" si="96"/>
        <v>63.516128608065529</v>
      </c>
      <c r="BA178" s="643">
        <f t="shared" si="93"/>
        <v>1.0403359606082312</v>
      </c>
      <c r="BC178" s="11">
        <v>43264</v>
      </c>
      <c r="BD178" s="290">
        <f>[3]!FeuilCaduc*(1-Persistant)+Persistant</f>
        <v>0.91852928454200511</v>
      </c>
      <c r="BE178" s="291">
        <f>[3]!CroissVégét</f>
        <v>0.53030539801316789</v>
      </c>
      <c r="BF178" s="816">
        <f>1+[3]!Salcycl*Ksac</f>
        <v>1.0398161605677507</v>
      </c>
      <c r="BH178" s="1053">
        <f t="shared" si="94"/>
        <v>5.5772280232830956E-4</v>
      </c>
      <c r="BI178" s="11">
        <v>44360</v>
      </c>
      <c r="BJ178" s="726">
        <v>5.3046818640677165E-5</v>
      </c>
      <c r="BK178" s="726">
        <v>1.5087203470914897E-4</v>
      </c>
      <c r="BL178" s="726">
        <v>3.0924792868909201E-4</v>
      </c>
      <c r="BM178" s="726">
        <v>5.583731909630335E-4</v>
      </c>
      <c r="BN178" s="726">
        <v>8.9544496059886804E-4</v>
      </c>
      <c r="BO178" s="727">
        <v>1.3293534355553348E-3</v>
      </c>
      <c r="BP178" s="726">
        <v>1.9417743048440223E-3</v>
      </c>
      <c r="BQ178" s="726">
        <v>3.0172616796772835E-3</v>
      </c>
      <c r="BR178" s="726">
        <v>4.5975927805641291E-3</v>
      </c>
      <c r="BS178" s="726">
        <v>8.2277650428531982E-3</v>
      </c>
      <c r="BT178" s="726">
        <v>1.3604964457444862E-2</v>
      </c>
      <c r="BW178" s="1186">
        <f>'2018'!R\Max</f>
        <v>0</v>
      </c>
      <c r="BX178" s="1184">
        <f>'2019'!R\Max</f>
        <v>1.0403359606082312</v>
      </c>
      <c r="BY178" s="1184">
        <f>'2020'!R\Max</f>
        <v>0.87876869188894602</v>
      </c>
      <c r="BZ178" s="1184">
        <f>'2021'!R\Max</f>
        <v>0.95094357659745399</v>
      </c>
      <c r="CA178" s="1184">
        <f>'2022'!R\Max</f>
        <v>0.90005167352005366</v>
      </c>
      <c r="CB178" s="1184">
        <f>'2023'!R\Max</f>
        <v>0.90004911397029264</v>
      </c>
      <c r="CC178" s="1184">
        <f>'2024'!R\Max</f>
        <v>0.90004553806044629</v>
      </c>
      <c r="CD178" s="1184">
        <f>'2025'!R\Max</f>
        <v>0.90005879219196461</v>
      </c>
      <c r="CE178" s="1184">
        <f>'2026'!R\Max</f>
        <v>0.90005738357992315</v>
      </c>
      <c r="CF178" s="1185">
        <f>'2027'!R\Max</f>
        <v>0.90005578267041753</v>
      </c>
    </row>
    <row r="179" spans="1:84" s="6" customFormat="1" ht="11.25" x14ac:dyDescent="0.2">
      <c r="A179" s="11">
        <v>43265</v>
      </c>
      <c r="B179" s="380">
        <f>'2022'!Maxi_hp</f>
        <v>57.514759839675243</v>
      </c>
      <c r="C179" s="13">
        <f>'2022'!An_max</f>
        <v>2021</v>
      </c>
      <c r="D179" s="1062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3">
        <f t="shared" si="81"/>
        <v>0.21428571428571427</v>
      </c>
      <c r="J179" s="746">
        <f t="shared" si="82"/>
        <v>63.503263119874262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5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3">
        <f t="shared" si="86"/>
        <v>0.6071428571428571</v>
      </c>
      <c r="AT179" s="769">
        <f t="shared" si="87"/>
        <v>63.420422526409048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3">
        <f t="shared" si="91"/>
        <v>0.10714285714285714</v>
      </c>
      <c r="AY179" s="769">
        <f t="shared" si="92"/>
        <v>63.522910277133022</v>
      </c>
      <c r="AZ179" s="746">
        <f t="shared" si="96"/>
        <v>63.471666401771031</v>
      </c>
      <c r="BA179" s="643">
        <f t="shared" si="93"/>
        <v>0.9056977077084275</v>
      </c>
      <c r="BC179" s="11">
        <v>43265</v>
      </c>
      <c r="BD179" s="290">
        <f>[3]!FeuilCaduc*(1-Persistant)+Persistant</f>
        <v>0.92297138125713984</v>
      </c>
      <c r="BE179" s="291">
        <f>[3]!CroissVégét</f>
        <v>0.54054367684881977</v>
      </c>
      <c r="BF179" s="816">
        <f>1+[3]!Salcycl*Ksac</f>
        <v>1.0403714226571426</v>
      </c>
      <c r="BH179" s="1053">
        <f t="shared" si="94"/>
        <v>5.496661951338406E-4</v>
      </c>
      <c r="BI179" s="11">
        <v>44361</v>
      </c>
      <c r="BJ179" s="726">
        <v>5.2599196978845469E-5</v>
      </c>
      <c r="BK179" s="726">
        <v>1.477691051561349E-4</v>
      </c>
      <c r="BL179" s="726">
        <v>3.0312591852164596E-4</v>
      </c>
      <c r="BM179" s="726">
        <v>5.5031151991683294E-4</v>
      </c>
      <c r="BN179" s="726">
        <v>8.8632932587463949E-4</v>
      </c>
      <c r="BO179" s="727">
        <v>1.3155961532087062E-3</v>
      </c>
      <c r="BP179" s="726">
        <v>1.9152095971106337E-3</v>
      </c>
      <c r="BQ179" s="726">
        <v>2.9201570274115783E-3</v>
      </c>
      <c r="BR179" s="726">
        <v>4.4214286695582698E-3</v>
      </c>
      <c r="BS179" s="726">
        <v>7.7722092276912525E-3</v>
      </c>
      <c r="BT179" s="726">
        <v>1.2719202643855869E-2</v>
      </c>
      <c r="BW179" s="1186">
        <f>'2018'!R\Max</f>
        <v>0</v>
      </c>
      <c r="BX179" s="1184">
        <f>'2019'!R\Max</f>
        <v>0.38898416074100861</v>
      </c>
      <c r="BY179" s="1184">
        <f>'2020'!R\Max</f>
        <v>0.65873595845487898</v>
      </c>
      <c r="BZ179" s="1184">
        <f>'2021'!R\Max</f>
        <v>0.9056977077084275</v>
      </c>
      <c r="CA179" s="1184">
        <f>'2022'!R\Max</f>
        <v>0.82161533957996424</v>
      </c>
      <c r="CB179" s="1184">
        <f>'2023'!R\Max</f>
        <v>0.82161123380261714</v>
      </c>
      <c r="CC179" s="1184">
        <f>'2024'!R\Max</f>
        <v>0.8216056420618908</v>
      </c>
      <c r="CD179" s="1184">
        <f>'2025'!R\Max</f>
        <v>0.82162690052508436</v>
      </c>
      <c r="CE179" s="1184">
        <f>'2026'!R\Max</f>
        <v>0.82162459988970404</v>
      </c>
      <c r="CF179" s="1185">
        <f>'2027'!R\Max</f>
        <v>0.82162198933757213</v>
      </c>
    </row>
    <row r="180" spans="1:84" s="6" customFormat="1" ht="11.25" x14ac:dyDescent="0.2">
      <c r="A180" s="11">
        <v>43266</v>
      </c>
      <c r="B180" s="380">
        <f>'2022'!Maxi_hp</f>
        <v>56.92159289770462</v>
      </c>
      <c r="C180" s="13">
        <f>'2022'!An_max</f>
        <v>2022</v>
      </c>
      <c r="D180" s="1062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3">
        <f t="shared" si="81"/>
        <v>0.2857142857142857</v>
      </c>
      <c r="J180" s="746">
        <f t="shared" si="82"/>
        <v>63.449797085140439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5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3">
        <f t="shared" si="86"/>
        <v>0.6428571428571429</v>
      </c>
      <c r="AT180" s="769">
        <f t="shared" si="87"/>
        <v>63.370260094691595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3">
        <f t="shared" si="91"/>
        <v>0.14285714285714285</v>
      </c>
      <c r="AY180" s="769">
        <f t="shared" si="92"/>
        <v>63.4769953354661</v>
      </c>
      <c r="AZ180" s="746">
        <f t="shared" si="96"/>
        <v>63.423627715078851</v>
      </c>
      <c r="BA180" s="643">
        <f t="shared" si="93"/>
        <v>0.89711229212166099</v>
      </c>
      <c r="BC180" s="11">
        <v>43266</v>
      </c>
      <c r="BD180" s="290">
        <f>[3]!FeuilCaduc*(1-Persistant)+Persistant</f>
        <v>0.9272900968616854</v>
      </c>
      <c r="BE180" s="291">
        <f>[3]!CroissVégét</f>
        <v>0.55074751394309984</v>
      </c>
      <c r="BF180" s="816">
        <f>1+[3]!Salcycl*Ksac</f>
        <v>1.0409112621077106</v>
      </c>
      <c r="BH180" s="1053">
        <f t="shared" si="94"/>
        <v>5.4209562396277254E-4</v>
      </c>
      <c r="BI180" s="11">
        <v>44362</v>
      </c>
      <c r="BJ180" s="726">
        <v>5.2071841878413015E-5</v>
      </c>
      <c r="BK180" s="726">
        <v>1.448566124594999E-4</v>
      </c>
      <c r="BL180" s="726">
        <v>2.9737554686533373E-4</v>
      </c>
      <c r="BM180" s="726">
        <v>5.4273618433212426E-4</v>
      </c>
      <c r="BN180" s="726">
        <v>8.7800846431120168E-4</v>
      </c>
      <c r="BO180" s="727">
        <v>1.303517714769783E-3</v>
      </c>
      <c r="BP180" s="726">
        <v>1.892138075122456E-3</v>
      </c>
      <c r="BQ180" s="726">
        <v>2.838730254944776E-3</v>
      </c>
      <c r="BR180" s="726">
        <v>4.2737790583477374E-3</v>
      </c>
      <c r="BS180" s="726">
        <v>7.3731579317532813E-3</v>
      </c>
      <c r="BT180" s="726">
        <v>1.1923497353873528E-2</v>
      </c>
      <c r="BW180" s="1186">
        <f>'2018'!R\Max</f>
        <v>0</v>
      </c>
      <c r="BX180" s="1184">
        <f>'2019'!R\Max</f>
        <v>0.40896601986991038</v>
      </c>
      <c r="BY180" s="1184">
        <f>'2020'!R\Max</f>
        <v>0.88174560269814728</v>
      </c>
      <c r="BZ180" s="1184">
        <f>'2021'!R\Max</f>
        <v>0.87894930767787327</v>
      </c>
      <c r="CA180" s="1184">
        <f>'2022'!R\Max</f>
        <v>0.89711229212166099</v>
      </c>
      <c r="CB180" s="1184">
        <f>'2023'!R\Max</f>
        <v>0.89710973978714237</v>
      </c>
      <c r="CC180" s="1184">
        <f>'2024'!R\Max</f>
        <v>0.89710634055062144</v>
      </c>
      <c r="CD180" s="1184">
        <f>'2025'!R\Max</f>
        <v>0.89711956129736237</v>
      </c>
      <c r="CE180" s="1184">
        <f>'2026'!R\Max</f>
        <v>0.89711810766016675</v>
      </c>
      <c r="CF180" s="1185">
        <f>'2027'!R\Max</f>
        <v>0.89711646011122048</v>
      </c>
    </row>
    <row r="181" spans="1:84" s="6" customFormat="1" ht="11.25" x14ac:dyDescent="0.2">
      <c r="A181" s="11">
        <v>43267</v>
      </c>
      <c r="B181" s="380">
        <f>'2022'!Maxi_hp</f>
        <v>64.761857489550721</v>
      </c>
      <c r="C181" s="13">
        <f>'2022'!An_max</f>
        <v>2019</v>
      </c>
      <c r="D181" s="1062">
        <f t="shared" si="78"/>
        <v>1.0216087220702732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3">
        <f t="shared" si="81"/>
        <v>0.35714285714285715</v>
      </c>
      <c r="J181" s="746">
        <f t="shared" si="82"/>
        <v>63.39203658942133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5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3">
        <f t="shared" si="86"/>
        <v>0.6785714285714286</v>
      </c>
      <c r="AT181" s="769">
        <f t="shared" si="87"/>
        <v>63.317494146605689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3">
        <f t="shared" si="91"/>
        <v>0.17857142857142858</v>
      </c>
      <c r="AY181" s="769">
        <f t="shared" si="92"/>
        <v>63.426839614420054</v>
      </c>
      <c r="AZ181" s="746">
        <f t="shared" si="96"/>
        <v>63.372166880512872</v>
      </c>
      <c r="BA181" s="643">
        <f t="shared" si="93"/>
        <v>1.0216087220702732</v>
      </c>
      <c r="BC181" s="11">
        <v>43267</v>
      </c>
      <c r="BD181" s="290">
        <f>[3]!FeuilCaduc*(1-Persistant)+Persistant</f>
        <v>0.93148200783276369</v>
      </c>
      <c r="BE181" s="291">
        <f>[3]!CroissVégét</f>
        <v>0.56090851568364364</v>
      </c>
      <c r="BF181" s="816">
        <f>1+[3]!Salcycl*Ksac</f>
        <v>1.0414352509790954</v>
      </c>
      <c r="BH181" s="1053">
        <f t="shared" si="94"/>
        <v>5.3501077545199942E-4</v>
      </c>
      <c r="BI181" s="11">
        <v>44363</v>
      </c>
      <c r="BJ181" s="726">
        <v>5.1464958270367253E-5</v>
      </c>
      <c r="BK181" s="726">
        <v>1.4213434111253845E-4</v>
      </c>
      <c r="BL181" s="726">
        <v>2.9199641199265298E-4</v>
      </c>
      <c r="BM181" s="726">
        <v>5.3564687107709725E-4</v>
      </c>
      <c r="BN181" s="726">
        <v>8.7048194982992564E-4</v>
      </c>
      <c r="BO181" s="727">
        <v>1.2931165858541616E-3</v>
      </c>
      <c r="BP181" s="726">
        <v>1.8725554544434947E-3</v>
      </c>
      <c r="BQ181" s="726">
        <v>2.7729547979366367E-3</v>
      </c>
      <c r="BR181" s="726">
        <v>4.1545944054067023E-3</v>
      </c>
      <c r="BS181" s="726">
        <v>7.030508885031571E-3</v>
      </c>
      <c r="BT181" s="726">
        <v>1.1217681970784703E-2</v>
      </c>
      <c r="BW181" s="1186">
        <f>'2018'!R\Max</f>
        <v>0</v>
      </c>
      <c r="BX181" s="1184">
        <f>'2019'!R\Max</f>
        <v>1.0216087220702732</v>
      </c>
      <c r="BY181" s="1184">
        <f>'2020'!R\Max</f>
        <v>0.73039187960174989</v>
      </c>
      <c r="BZ181" s="1184">
        <f>'2021'!R\Max</f>
        <v>0.82913589699319157</v>
      </c>
      <c r="CA181" s="1184">
        <f>'2022'!R\Max</f>
        <v>0.86305886661929687</v>
      </c>
      <c r="CB181" s="1184">
        <f>'2023'!R\Max</f>
        <v>0.86305563196469448</v>
      </c>
      <c r="CC181" s="1184">
        <f>'2024'!R\Max</f>
        <v>0.86305140152149362</v>
      </c>
      <c r="CD181" s="1184">
        <f>'2025'!R\Max</f>
        <v>0.86306817523836854</v>
      </c>
      <c r="CE181" s="1184">
        <f>'2026'!R\Max</f>
        <v>0.86306630623582481</v>
      </c>
      <c r="CF181" s="1185">
        <f>'2027'!R\Max</f>
        <v>0.86306418935193963</v>
      </c>
    </row>
    <row r="182" spans="1:84" s="6" customFormat="1" ht="11.25" x14ac:dyDescent="0.2">
      <c r="A182" s="11">
        <v>43268</v>
      </c>
      <c r="B182" s="380">
        <f>'2022'!Maxi_hp</f>
        <v>62.682408537874828</v>
      </c>
      <c r="C182" s="13">
        <f>'2022'!An_max</f>
        <v>2019</v>
      </c>
      <c r="D182" s="1062">
        <f t="shared" si="78"/>
        <v>0.98976790881805687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3">
        <f t="shared" si="81"/>
        <v>0.42857142857142855</v>
      </c>
      <c r="J182" s="746">
        <f t="shared" si="82"/>
        <v>63.330411078621225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5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3">
        <f t="shared" si="86"/>
        <v>0.7142857142857143</v>
      </c>
      <c r="AT182" s="769">
        <f t="shared" si="87"/>
        <v>63.262272303604654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3">
        <f t="shared" si="91"/>
        <v>0.21428571428571427</v>
      </c>
      <c r="AY182" s="769">
        <f t="shared" si="92"/>
        <v>63.372604154875226</v>
      </c>
      <c r="AZ182" s="746">
        <f t="shared" si="96"/>
        <v>63.31743822923994</v>
      </c>
      <c r="BA182" s="643">
        <f t="shared" si="93"/>
        <v>0.98976790881805687</v>
      </c>
      <c r="BC182" s="11">
        <v>43268</v>
      </c>
      <c r="BD182" s="290">
        <f>[3]!FeuilCaduc*(1-Persistant)+Persistant</f>
        <v>0.93554407643150084</v>
      </c>
      <c r="BE182" s="291">
        <f>[3]!CroissVégét</f>
        <v>0.57101843074296321</v>
      </c>
      <c r="BF182" s="816">
        <f>1+[3]!Salcycl*Ksac</f>
        <v>1.0419430095539377</v>
      </c>
      <c r="BH182" s="1053">
        <f t="shared" si="94"/>
        <v>5.2841132560872142E-4</v>
      </c>
      <c r="BI182" s="11">
        <v>44364</v>
      </c>
      <c r="BJ182" s="726">
        <v>5.0778743462733692E-5</v>
      </c>
      <c r="BK182" s="726">
        <v>1.3960207154879839E-4</v>
      </c>
      <c r="BL182" s="726">
        <v>2.8698810392737708E-4</v>
      </c>
      <c r="BM182" s="726">
        <v>5.2904325638401578E-4</v>
      </c>
      <c r="BN182" s="726">
        <v>8.637493613512996E-4</v>
      </c>
      <c r="BO182" s="727">
        <v>1.2843912714243244E-3</v>
      </c>
      <c r="BP182" s="726">
        <v>1.8564575415519642E-3</v>
      </c>
      <c r="BQ182" s="726">
        <v>2.7228046061489376E-3</v>
      </c>
      <c r="BR182" s="726">
        <v>4.0638261041883198E-3</v>
      </c>
      <c r="BS182" s="726">
        <v>6.7441610794351618E-3</v>
      </c>
      <c r="BT182" s="726">
        <v>1.0601591008009822E-2</v>
      </c>
      <c r="BW182" s="1186">
        <f>'2018'!R\Max</f>
        <v>0</v>
      </c>
      <c r="BX182" s="1184">
        <f>'2019'!R\Max</f>
        <v>0.98976790881805687</v>
      </c>
      <c r="BY182" s="1184">
        <f>'2020'!R\Max</f>
        <v>0.50869507010876902</v>
      </c>
      <c r="BZ182" s="1184">
        <f>'2021'!R\Max</f>
        <v>0.25747079037325221</v>
      </c>
      <c r="CA182" s="1184">
        <f>'2022'!R\Max</f>
        <v>0.86518723337221837</v>
      </c>
      <c r="CB182" s="1184">
        <f>'2023'!R\Max</f>
        <v>0.86518406493115607</v>
      </c>
      <c r="CC182" s="1184">
        <f>'2024'!R\Max</f>
        <v>0.86517997415442371</v>
      </c>
      <c r="CD182" s="1184">
        <f>'2025'!R\Max</f>
        <v>0.86519643641313182</v>
      </c>
      <c r="CE182" s="1184">
        <f>'2026'!R\Max</f>
        <v>0.86519458279008044</v>
      </c>
      <c r="CF182" s="1185">
        <f>'2027'!R\Max</f>
        <v>0.86519248363861923</v>
      </c>
    </row>
    <row r="183" spans="1:84" s="6" customFormat="1" ht="11.25" x14ac:dyDescent="0.2">
      <c r="A183" s="11">
        <v>43269</v>
      </c>
      <c r="B183" s="380">
        <f>'2022'!Maxi_hp</f>
        <v>60.904385564297691</v>
      </c>
      <c r="C183" s="13">
        <f>'2022'!An_max</f>
        <v>2019</v>
      </c>
      <c r="D183" s="1062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3">
        <f t="shared" si="81"/>
        <v>0.5</v>
      </c>
      <c r="J183" s="746">
        <f t="shared" si="82"/>
        <v>63.26535000000149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5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3">
        <f t="shared" si="86"/>
        <v>0.75</v>
      </c>
      <c r="AT183" s="769">
        <f t="shared" si="87"/>
        <v>63.20474218754098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3">
        <f t="shared" si="91"/>
        <v>0.25</v>
      </c>
      <c r="AY183" s="769">
        <f t="shared" si="92"/>
        <v>63.3144500002265</v>
      </c>
      <c r="AZ183" s="746">
        <f t="shared" si="96"/>
        <v>63.259596093883744</v>
      </c>
      <c r="BA183" s="643">
        <f t="shared" si="93"/>
        <v>0.96268155576941017</v>
      </c>
      <c r="BC183" s="11">
        <v>43269</v>
      </c>
      <c r="BD183" s="290">
        <f>[3]!FeuilCaduc*(1-Persistant)+Persistant</f>
        <v>0.93947365975832464</v>
      </c>
      <c r="BE183" s="291">
        <f>[3]!CroissVégét</f>
        <v>0.5810691763075071</v>
      </c>
      <c r="BF183" s="816">
        <f>1+[3]!Salcycl*Ksac</f>
        <v>1.0424342074697905</v>
      </c>
      <c r="BH183" s="1053">
        <f t="shared" si="94"/>
        <v>5.2229694624843952E-4</v>
      </c>
      <c r="BI183" s="11">
        <v>44365</v>
      </c>
      <c r="BJ183" s="726">
        <v>5.0013386042443499E-5</v>
      </c>
      <c r="BK183" s="726">
        <v>1.372595826713976E-4</v>
      </c>
      <c r="BL183" s="726">
        <v>2.8235020937812942E-4</v>
      </c>
      <c r="BM183" s="726">
        <v>5.2292501229114991E-4</v>
      </c>
      <c r="BN183" s="726">
        <v>8.5781029339121494E-4</v>
      </c>
      <c r="BO183" s="727">
        <v>1.2773403383131308E-3</v>
      </c>
      <c r="BP183" s="726">
        <v>1.8438402808113516E-3</v>
      </c>
      <c r="BQ183" s="726">
        <v>2.688254355122884E-3</v>
      </c>
      <c r="BR183" s="726">
        <v>4.0014268682030361E-3</v>
      </c>
      <c r="BS183" s="726">
        <v>6.5140155301742358E-3</v>
      </c>
      <c r="BT183" s="726">
        <v>1.0075061319899594E-2</v>
      </c>
      <c r="BW183" s="1186">
        <f>'2018'!R\Max</f>
        <v>0</v>
      </c>
      <c r="BX183" s="1184">
        <f>'2019'!R\Max</f>
        <v>0.96268155576941017</v>
      </c>
      <c r="BY183" s="1184">
        <f>'2020'!R\Max</f>
        <v>0.8680134042126354</v>
      </c>
      <c r="BZ183" s="1184">
        <f>'2021'!R\Max</f>
        <v>0.75304251171267067</v>
      </c>
      <c r="CA183" s="1184">
        <f>'2022'!R\Max</f>
        <v>0.92293489713946542</v>
      </c>
      <c r="CB183" s="1184">
        <f>'2023'!R\Max</f>
        <v>0.92293297380706896</v>
      </c>
      <c r="CC183" s="1184">
        <f>'2024'!R\Max</f>
        <v>0.92293050703919588</v>
      </c>
      <c r="CD183" s="1184">
        <f>'2025'!R\Max</f>
        <v>0.92294052906428803</v>
      </c>
      <c r="CE183" s="1184">
        <f>'2026'!R\Max</f>
        <v>0.92293939221027443</v>
      </c>
      <c r="CF183" s="1185">
        <f>'2027'!R\Max</f>
        <v>0.92293810422063038</v>
      </c>
    </row>
    <row r="184" spans="1:84" s="6" customFormat="1" ht="11.25" x14ac:dyDescent="0.2">
      <c r="A184" s="11">
        <v>43270</v>
      </c>
      <c r="B184" s="380">
        <f>'2022'!Maxi_hp</f>
        <v>59.588918123363584</v>
      </c>
      <c r="C184" s="13">
        <f>'2022'!An_max</f>
        <v>2022</v>
      </c>
      <c r="D184" s="1062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3">
        <f t="shared" si="81"/>
        <v>0.5714285714285714</v>
      </c>
      <c r="J184" s="746">
        <f t="shared" si="82"/>
        <v>63.197282799226898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5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3">
        <f t="shared" si="86"/>
        <v>0.7857142857142857</v>
      </c>
      <c r="AT184" s="769">
        <f t="shared" si="87"/>
        <v>63.145051421278289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3">
        <f t="shared" si="91"/>
        <v>0.2857142857142857</v>
      </c>
      <c r="AY184" s="769">
        <f t="shared" si="92"/>
        <v>63.252538192697934</v>
      </c>
      <c r="AZ184" s="746">
        <f t="shared" si="96"/>
        <v>63.198794806988111</v>
      </c>
      <c r="BA184" s="643">
        <f t="shared" si="93"/>
        <v>0.94290316741422531</v>
      </c>
      <c r="BC184" s="11">
        <v>43270</v>
      </c>
      <c r="BD184" s="290">
        <f>[3]!FeuilCaduc*(1-Persistant)+Persistant</f>
        <v>0.94326851666967559</v>
      </c>
      <c r="BE184" s="291">
        <f>[3]!CroissVégét</f>
        <v>0.5910528631363321</v>
      </c>
      <c r="BF184" s="816">
        <f>1+[3]!Salcycl*Ksac</f>
        <v>1.0429085645837095</v>
      </c>
      <c r="BH184" s="1053">
        <f t="shared" si="94"/>
        <v>5.1733431631968392E-4</v>
      </c>
      <c r="BI184" s="11">
        <v>44366</v>
      </c>
      <c r="BJ184" s="726">
        <v>4.927109071890189E-5</v>
      </c>
      <c r="BK184" s="726">
        <v>1.3536612580281949E-4</v>
      </c>
      <c r="BL184" s="726">
        <v>2.7859596377656937E-4</v>
      </c>
      <c r="BM184" s="726">
        <v>5.1795921938892632E-4</v>
      </c>
      <c r="BN184" s="726">
        <v>8.5324733301510032E-4</v>
      </c>
      <c r="BO184" s="727">
        <v>1.272544922338646E-3</v>
      </c>
      <c r="BP184" s="726">
        <v>1.8357128029717054E-3</v>
      </c>
      <c r="BQ184" s="726">
        <v>2.6714626034304691E-3</v>
      </c>
      <c r="BR184" s="726">
        <v>3.9713294227781996E-3</v>
      </c>
      <c r="BS184" s="726">
        <v>6.3612732630885342E-3</v>
      </c>
      <c r="BT184" s="726">
        <v>9.6918663840250344E-3</v>
      </c>
      <c r="BW184" s="1186">
        <f>'2018'!R\Max</f>
        <v>0</v>
      </c>
      <c r="BX184" s="1184">
        <f>'2019'!R\Max</f>
        <v>0.81764307254171964</v>
      </c>
      <c r="BY184" s="1184">
        <f>'2020'!R\Max</f>
        <v>0.7515150177493185</v>
      </c>
      <c r="BZ184" s="1184">
        <f>'2021'!R\Max</f>
        <v>0.56018857492858987</v>
      </c>
      <c r="CA184" s="1184">
        <f>'2022'!R\Max</f>
        <v>0.94290316741422531</v>
      </c>
      <c r="CB184" s="1184">
        <f>'2023'!R\Max</f>
        <v>0.94290171275516543</v>
      </c>
      <c r="CC184" s="1184">
        <f>'2024'!R\Max</f>
        <v>0.9428998455519384</v>
      </c>
      <c r="CD184" s="1184">
        <f>'2025'!R\Max</f>
        <v>0.94290745340949778</v>
      </c>
      <c r="CE184" s="1184">
        <f>'2026'!R\Max</f>
        <v>0.94290658745716949</v>
      </c>
      <c r="CF184" s="1185">
        <f>'2027'!R\Max</f>
        <v>0.94290560521751199</v>
      </c>
    </row>
    <row r="185" spans="1:84" s="6" customFormat="1" ht="11.25" x14ac:dyDescent="0.2">
      <c r="A185" s="11">
        <v>43271</v>
      </c>
      <c r="B185" s="380">
        <f>'2022'!Maxi_hp</f>
        <v>58.208712843769881</v>
      </c>
      <c r="C185" s="13">
        <f>'2022'!An_max</f>
        <v>2020</v>
      </c>
      <c r="D185" s="1062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3">
        <f t="shared" si="81"/>
        <v>0.6428571428571429</v>
      </c>
      <c r="J185" s="746">
        <f t="shared" si="82"/>
        <v>63.12663892124381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5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3">
        <f t="shared" si="86"/>
        <v>0.8214285714285714</v>
      </c>
      <c r="AT185" s="769">
        <f t="shared" si="87"/>
        <v>63.083347626629156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3">
        <f t="shared" si="91"/>
        <v>0.32142857142857145</v>
      </c>
      <c r="AY185" s="769">
        <f t="shared" si="92"/>
        <v>63.187029774247534</v>
      </c>
      <c r="AZ185" s="746">
        <f t="shared" si="96"/>
        <v>63.135188700438349</v>
      </c>
      <c r="BA185" s="643">
        <f t="shared" si="93"/>
        <v>0.92209428283344075</v>
      </c>
      <c r="BC185" s="11">
        <v>43271</v>
      </c>
      <c r="BD185" s="290">
        <f>[3]!FeuilCaduc*(1-Persistant)+Persistant</f>
        <v>0.94692681250213284</v>
      </c>
      <c r="BE185" s="291">
        <f>[3]!CroissVégét</f>
        <v>0.60096181929049675</v>
      </c>
      <c r="BF185" s="816">
        <f>1+[3]!Salcycl*Ksac</f>
        <v>1.0433658515627666</v>
      </c>
      <c r="BH185" s="1053">
        <f t="shared" si="94"/>
        <v>5.1371801091865913E-4</v>
      </c>
      <c r="BI185" s="11">
        <v>44367</v>
      </c>
      <c r="BJ185" s="726">
        <v>4.8734277062501588E-5</v>
      </c>
      <c r="BK185" s="726">
        <v>1.339954009083718E-4</v>
      </c>
      <c r="BL185" s="726">
        <v>2.7587667484151171E-4</v>
      </c>
      <c r="BM185" s="726">
        <v>5.1434056602689404E-4</v>
      </c>
      <c r="BN185" s="726">
        <v>8.4986716527867055E-4</v>
      </c>
      <c r="BO185" s="727">
        <v>1.2689377057099908E-3</v>
      </c>
      <c r="BP185" s="726">
        <v>1.8296459916440609E-3</v>
      </c>
      <c r="BQ185" s="726">
        <v>2.65909191736419E-3</v>
      </c>
      <c r="BR185" s="726">
        <v>3.9492755045283925E-3</v>
      </c>
      <c r="BS185" s="726">
        <v>6.2513642636277287E-3</v>
      </c>
      <c r="BT185" s="726">
        <v>9.4170448211251933E-3</v>
      </c>
      <c r="BW185" s="1186">
        <f>'2018'!R\Max</f>
        <v>0</v>
      </c>
      <c r="BX185" s="1184">
        <f>'2019'!R\Max</f>
        <v>0.48690062760334207</v>
      </c>
      <c r="BY185" s="1184">
        <f>'2020'!R\Max</f>
        <v>0.92209428283344075</v>
      </c>
      <c r="BZ185" s="1184">
        <f>'2021'!R\Max</f>
        <v>0.57442829336476964</v>
      </c>
      <c r="CA185" s="1184">
        <f>'2022'!R\Max</f>
        <v>0.52574299086030241</v>
      </c>
      <c r="CB185" s="1184">
        <f>'2023'!R\Max</f>
        <v>0.52573624976475897</v>
      </c>
      <c r="CC185" s="1184">
        <f>'2024'!R\Max</f>
        <v>0.5257275837799299</v>
      </c>
      <c r="CD185" s="1184">
        <f>'2025'!R\Max</f>
        <v>0.52576294902016651</v>
      </c>
      <c r="CE185" s="1184">
        <f>'2026'!R\Max</f>
        <v>0.52575891531916841</v>
      </c>
      <c r="CF185" s="1185">
        <f>'2027'!R\Max</f>
        <v>0.52575433343599776</v>
      </c>
    </row>
    <row r="186" spans="1:84" s="6" customFormat="1" ht="11.25" x14ac:dyDescent="0.2">
      <c r="A186" s="11">
        <v>43272</v>
      </c>
      <c r="B186" s="380">
        <f>'2022'!Maxi_hp</f>
        <v>54.428674381419142</v>
      </c>
      <c r="C186" s="13">
        <f>'2022'!An_max</f>
        <v>2020</v>
      </c>
      <c r="D186" s="1062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3">
        <f t="shared" si="81"/>
        <v>0.7142857142857143</v>
      </c>
      <c r="J186" s="746">
        <f t="shared" si="82"/>
        <v>63.053847813180518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5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3">
        <f t="shared" si="86"/>
        <v>0.8571428571428571</v>
      </c>
      <c r="AT186" s="769">
        <f t="shared" si="87"/>
        <v>63.019778425672236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3">
        <f t="shared" si="91"/>
        <v>0.35714285714285715</v>
      </c>
      <c r="AY186" s="769">
        <f t="shared" si="92"/>
        <v>63.118085787099382</v>
      </c>
      <c r="AZ186" s="746">
        <f t="shared" si="96"/>
        <v>63.068932106385809</v>
      </c>
      <c r="BA186" s="643">
        <f t="shared" si="93"/>
        <v>0.86320940385245759</v>
      </c>
      <c r="BC186" s="11">
        <v>43272</v>
      </c>
      <c r="BD186" s="290">
        <f>[3]!FeuilCaduc*(1-Persistant)+Persistant</f>
        <v>0.95044712156663069</v>
      </c>
      <c r="BE186" s="291">
        <f>[3]!CroissVégét</f>
        <v>0.61078861238975013</v>
      </c>
      <c r="BF186" s="816">
        <f>1+[3]!Salcycl*Ksac</f>
        <v>1.0438058901958289</v>
      </c>
      <c r="BH186" s="1053">
        <f t="shared" si="94"/>
        <v>5.1144638692269563E-4</v>
      </c>
      <c r="BI186" s="11">
        <v>44368</v>
      </c>
      <c r="BJ186" s="726">
        <v>4.8402652970007324E-5</v>
      </c>
      <c r="BK186" s="726">
        <v>1.3314667884915067E-4</v>
      </c>
      <c r="BL186" s="726">
        <v>2.741909136849285E-4</v>
      </c>
      <c r="BM186" s="726">
        <v>5.120674085216198E-4</v>
      </c>
      <c r="BN186" s="726">
        <v>8.4766890169294404E-4</v>
      </c>
      <c r="BO186" s="727">
        <v>1.2665183740986903E-3</v>
      </c>
      <c r="BP186" s="726">
        <v>1.8256387849504335E-3</v>
      </c>
      <c r="BQ186" s="726">
        <v>2.6511382551179293E-3</v>
      </c>
      <c r="BR186" s="726">
        <v>3.935256522427065E-3</v>
      </c>
      <c r="BS186" s="726">
        <v>6.1842222001734009E-3</v>
      </c>
      <c r="BT186" s="726">
        <v>9.2504198914388405E-3</v>
      </c>
      <c r="BW186" s="1186">
        <f>'2018'!R\Max</f>
        <v>0</v>
      </c>
      <c r="BX186" s="1184">
        <f>'2019'!R\Max</f>
        <v>0.18153559478653403</v>
      </c>
      <c r="BY186" s="1184">
        <f>'2020'!R\Max</f>
        <v>0.86320940385245759</v>
      </c>
      <c r="BZ186" s="1184">
        <f>'2021'!R\Max</f>
        <v>0.59833120121373606</v>
      </c>
      <c r="CA186" s="1184">
        <f>'2022'!R\Max</f>
        <v>0.39312192960003561</v>
      </c>
      <c r="CB186" s="1184">
        <f>'2023'!R\Max</f>
        <v>0.39311546634199135</v>
      </c>
      <c r="CC186" s="1184">
        <f>'2024'!R\Max</f>
        <v>0.39310713834003369</v>
      </c>
      <c r="CD186" s="1184">
        <f>'2025'!R\Max</f>
        <v>0.39314113039398357</v>
      </c>
      <c r="CE186" s="1184">
        <f>'2026'!R\Max</f>
        <v>0.39313725100717978</v>
      </c>
      <c r="CF186" s="1185">
        <f>'2027'!R\Max</f>
        <v>0.39313283695809315</v>
      </c>
    </row>
    <row r="187" spans="1:84" s="6" customFormat="1" ht="11.25" x14ac:dyDescent="0.2">
      <c r="A187" s="11">
        <v>43273</v>
      </c>
      <c r="B187" s="380">
        <f>'2022'!Maxi_hp</f>
        <v>63.004166310746122</v>
      </c>
      <c r="C187" s="13">
        <f>'2022'!An_max</f>
        <v>2020</v>
      </c>
      <c r="D187" s="1062">
        <f t="shared" si="78"/>
        <v>1.0003942148256568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3">
        <f t="shared" si="81"/>
        <v>0.7857142857142857</v>
      </c>
      <c r="J187" s="746">
        <f t="shared" si="82"/>
        <v>62.979338921633143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5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3">
        <f t="shared" si="86"/>
        <v>0.8928571428571429</v>
      </c>
      <c r="AT187" s="769">
        <f t="shared" si="87"/>
        <v>62.954491440659126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3">
        <f t="shared" si="91"/>
        <v>0.39285714285714285</v>
      </c>
      <c r="AY187" s="769">
        <f t="shared" si="92"/>
        <v>63.04586727422263</v>
      </c>
      <c r="AZ187" s="746">
        <f t="shared" si="96"/>
        <v>63.000179357440878</v>
      </c>
      <c r="BA187" s="643">
        <f t="shared" si="93"/>
        <v>1.0003942148256568</v>
      </c>
      <c r="BC187" s="11">
        <v>43273</v>
      </c>
      <c r="BD187" s="290">
        <f>[3]!FeuilCaduc*(1-Persistant)+Persistant</f>
        <v>0.95382842739256313</v>
      </c>
      <c r="BE187" s="291">
        <f>[3]!CroissVégét</f>
        <v>0.62052607026992535</v>
      </c>
      <c r="BF187" s="816">
        <f>1+[3]!Salcycl*Ksac</f>
        <v>1.0442285534240705</v>
      </c>
      <c r="BH187" s="1053">
        <f t="shared" si="94"/>
        <v>5.1051791923148655E-4</v>
      </c>
      <c r="BI187" s="11">
        <v>44369</v>
      </c>
      <c r="BJ187" s="726">
        <v>4.8275944390968992E-5</v>
      </c>
      <c r="BK187" s="726">
        <v>1.3281927639795005E-4</v>
      </c>
      <c r="BL187" s="726">
        <v>2.7353734230516861E-4</v>
      </c>
      <c r="BM187" s="726">
        <v>5.1113822128306138E-4</v>
      </c>
      <c r="BN187" s="726">
        <v>8.4665175692214738E-4</v>
      </c>
      <c r="BO187" s="727">
        <v>1.265286716245217E-3</v>
      </c>
      <c r="BP187" s="726">
        <v>1.8236903002596166E-3</v>
      </c>
      <c r="BQ187" s="726">
        <v>2.6475979611464921E-3</v>
      </c>
      <c r="BR187" s="726">
        <v>3.929264589386347E-3</v>
      </c>
      <c r="BS187" s="726">
        <v>6.1597845094948523E-3</v>
      </c>
      <c r="BT187" s="726">
        <v>9.1918243982505848E-3</v>
      </c>
      <c r="BW187" s="1186">
        <f>'2018'!R\Max</f>
        <v>0</v>
      </c>
      <c r="BX187" s="1184">
        <f>'2019'!R\Max</f>
        <v>0.85929685041512638</v>
      </c>
      <c r="BY187" s="1184">
        <f>'2020'!R\Max</f>
        <v>1.0003942148256568</v>
      </c>
      <c r="BZ187" s="1184">
        <f>'2021'!R\Max</f>
        <v>0.6683924696792074</v>
      </c>
      <c r="CA187" s="1184">
        <f>'2022'!R\Max</f>
        <v>0.65842867123002813</v>
      </c>
      <c r="CB187" s="1184">
        <f>'2023'!R\Max</f>
        <v>0.65842255737946553</v>
      </c>
      <c r="CC187" s="1184">
        <f>'2024'!R\Max</f>
        <v>0.6584146546937687</v>
      </c>
      <c r="CD187" s="1184">
        <f>'2025'!R\Max</f>
        <v>0.65844686973266453</v>
      </c>
      <c r="CE187" s="1184">
        <f>'2026'!R\Max</f>
        <v>0.65844319648860505</v>
      </c>
      <c r="CF187" s="1185">
        <f>'2027'!R\Max</f>
        <v>0.65843900872995853</v>
      </c>
    </row>
    <row r="188" spans="1:84" s="6" customFormat="1" ht="11.25" x14ac:dyDescent="0.2">
      <c r="A188" s="11">
        <v>43274</v>
      </c>
      <c r="B188" s="380">
        <f>'2022'!Maxi_hp</f>
        <v>55.386626209177535</v>
      </c>
      <c r="C188" s="13">
        <f>'2022'!An_max</f>
        <v>2019</v>
      </c>
      <c r="D188" s="1062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3">
        <f t="shared" si="81"/>
        <v>0.8571428571428571</v>
      </c>
      <c r="J188" s="746">
        <f t="shared" si="82"/>
        <v>62.903541691069087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5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3">
        <f t="shared" si="86"/>
        <v>0.9285714285714286</v>
      </c>
      <c r="AT188" s="769">
        <f t="shared" si="87"/>
        <v>62.887634293096404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3">
        <f t="shared" si="91"/>
        <v>0.42857142857142855</v>
      </c>
      <c r="AY188" s="769">
        <f t="shared" si="92"/>
        <v>62.970535276883403</v>
      </c>
      <c r="AZ188" s="746">
        <f t="shared" si="96"/>
        <v>62.929084784989904</v>
      </c>
      <c r="BA188" s="643">
        <f t="shared" si="93"/>
        <v>0.88050091807535236</v>
      </c>
      <c r="BC188" s="11">
        <v>43274</v>
      </c>
      <c r="BD188" s="290">
        <f>[3]!FeuilCaduc*(1-Persistant)+Persistant</f>
        <v>0.95707012071897468</v>
      </c>
      <c r="BE188" s="291">
        <f>[3]!CroissVégét</f>
        <v>0.6301672999323692</v>
      </c>
      <c r="BF188" s="816">
        <f>1+[3]!Salcycl*Ksac</f>
        <v>1.0446337650898718</v>
      </c>
      <c r="BH188" s="1053">
        <f t="shared" si="94"/>
        <v>5.1092599418697988E-4</v>
      </c>
      <c r="BI188" s="11">
        <v>44370</v>
      </c>
      <c r="BJ188" s="726">
        <v>4.8353403645661677E-5</v>
      </c>
      <c r="BK188" s="726">
        <v>1.3301120313511801E-4</v>
      </c>
      <c r="BL188" s="726">
        <v>2.7391192655484159E-4</v>
      </c>
      <c r="BM188" s="726">
        <v>5.1154638390123912E-4</v>
      </c>
      <c r="BN188" s="726">
        <v>8.4680640515369322E-4</v>
      </c>
      <c r="BO188" s="727">
        <v>1.2652297014667511E-3</v>
      </c>
      <c r="BP188" s="726">
        <v>1.8237812116328363E-3</v>
      </c>
      <c r="BQ188" s="726">
        <v>2.6484407424858772E-3</v>
      </c>
      <c r="BR188" s="726">
        <v>3.931252429408106E-3</v>
      </c>
      <c r="BS188" s="726">
        <v>6.1779298020036028E-3</v>
      </c>
      <c r="BT188" s="726">
        <v>9.241007660876828E-3</v>
      </c>
      <c r="BW188" s="1186">
        <f>'2018'!R\Max</f>
        <v>0</v>
      </c>
      <c r="BX188" s="1184">
        <f>'2019'!R\Max</f>
        <v>0.88050091807535236</v>
      </c>
      <c r="BY188" s="1184">
        <f>'2020'!R\Max</f>
        <v>0.79973924184876477</v>
      </c>
      <c r="BZ188" s="1184">
        <f>'2021'!R\Max</f>
        <v>0.38210299658702268</v>
      </c>
      <c r="CA188" s="1184">
        <f>'2022'!R\Max</f>
        <v>0.70417861217017463</v>
      </c>
      <c r="CB188" s="1184">
        <f>'2023'!R\Max</f>
        <v>0.70417292168521872</v>
      </c>
      <c r="CC188" s="1184">
        <f>'2024'!R\Max</f>
        <v>0.70416553673021809</v>
      </c>
      <c r="CD188" s="1184">
        <f>'2025'!R\Max</f>
        <v>0.70419556074909406</v>
      </c>
      <c r="CE188" s="1184">
        <f>'2026'!R\Max</f>
        <v>0.7041921453824298</v>
      </c>
      <c r="CF188" s="1185">
        <f>'2027'!R\Max</f>
        <v>0.70418824284485571</v>
      </c>
    </row>
    <row r="189" spans="1:84" s="6" customFormat="1" ht="11.25" x14ac:dyDescent="0.2">
      <c r="A189" s="11">
        <v>43275</v>
      </c>
      <c r="B189" s="380">
        <f>'2022'!Maxi_hp</f>
        <v>62.031075143124923</v>
      </c>
      <c r="C189" s="13">
        <f>'2022'!An_max</f>
        <v>2020</v>
      </c>
      <c r="D189" s="1062">
        <f t="shared" si="78"/>
        <v>0.98733328227196848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3">
        <f t="shared" si="81"/>
        <v>0.9285714285714286</v>
      </c>
      <c r="J189" s="746">
        <f t="shared" si="82"/>
        <v>62.826885568350555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5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3">
        <f t="shared" si="86"/>
        <v>0.9642857142857143</v>
      </c>
      <c r="AT189" s="769">
        <f t="shared" si="87"/>
        <v>62.819354605688048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3">
        <f t="shared" si="91"/>
        <v>0.4642857142857143</v>
      </c>
      <c r="AY189" s="769">
        <f t="shared" si="92"/>
        <v>62.892250838064186</v>
      </c>
      <c r="AZ189" s="746">
        <f t="shared" si="96"/>
        <v>62.855802721876117</v>
      </c>
      <c r="BA189" s="643">
        <f t="shared" si="93"/>
        <v>0.98733328227196848</v>
      </c>
      <c r="BC189" s="11">
        <v>43275</v>
      </c>
      <c r="BD189" s="290">
        <f>[3]!FeuilCaduc*(1-Persistant)+Persistant</f>
        <v>0.96017199524755636</v>
      </c>
      <c r="BE189" s="291">
        <f>[3]!CroissVégét</f>
        <v>0.63970570469545396</v>
      </c>
      <c r="BF189" s="816">
        <f>1+[3]!Salcycl*Ksac</f>
        <v>1.0450214994059446</v>
      </c>
      <c r="BH189" s="1053">
        <f t="shared" si="94"/>
        <v>5.1266380339479449E-4</v>
      </c>
      <c r="BI189" s="11">
        <v>44371</v>
      </c>
      <c r="BJ189" s="726">
        <v>4.8634268808055712E-5</v>
      </c>
      <c r="BK189" s="726">
        <v>1.3372042717414706E-4</v>
      </c>
      <c r="BL189" s="726">
        <v>2.7531054466874139E-4</v>
      </c>
      <c r="BM189" s="726">
        <v>5.1328508094945898E-4</v>
      </c>
      <c r="BN189" s="726">
        <v>8.4812314162974309E-4</v>
      </c>
      <c r="BO189" s="727">
        <v>1.2663337018630507E-3</v>
      </c>
      <c r="BP189" s="726">
        <v>1.8258913509084746E-3</v>
      </c>
      <c r="BQ189" s="726">
        <v>2.6536351596754357E-3</v>
      </c>
      <c r="BR189" s="726">
        <v>3.9411711440383987E-3</v>
      </c>
      <c r="BS189" s="726">
        <v>6.2385357563512385E-3</v>
      </c>
      <c r="BT189" s="726">
        <v>9.3977199789121568E-3</v>
      </c>
      <c r="BW189" s="1186">
        <f>'2018'!R\Max</f>
        <v>0</v>
      </c>
      <c r="BX189" s="1184">
        <f>'2019'!R\Max</f>
        <v>0.66648248150448286</v>
      </c>
      <c r="BY189" s="1184">
        <f>'2020'!R\Max</f>
        <v>0.98733328227196848</v>
      </c>
      <c r="BZ189" s="1184">
        <f>'2021'!R\Max</f>
        <v>0.61904849438383558</v>
      </c>
      <c r="CA189" s="1184">
        <f>'2022'!R\Max</f>
        <v>0.67390390915077503</v>
      </c>
      <c r="CB189" s="1184">
        <f>'2023'!R\Max</f>
        <v>0.6738978683198994</v>
      </c>
      <c r="CC189" s="1184">
        <f>'2024'!R\Max</f>
        <v>0.67388999030509933</v>
      </c>
      <c r="CD189" s="1184">
        <f>'2025'!R\Max</f>
        <v>0.67392188774866668</v>
      </c>
      <c r="CE189" s="1184">
        <f>'2026'!R\Max</f>
        <v>0.67391827316490016</v>
      </c>
      <c r="CF189" s="1185">
        <f>'2027'!R\Max</f>
        <v>0.67391413246480425</v>
      </c>
    </row>
    <row r="190" spans="1:84" s="6" customFormat="1" ht="11.25" x14ac:dyDescent="0.2">
      <c r="A190" s="11">
        <v>43276</v>
      </c>
      <c r="B190" s="380">
        <f>'2022'!Maxi_hp</f>
        <v>59.517932616441065</v>
      </c>
      <c r="C190" s="13">
        <f>'2022'!An_max</f>
        <v>2021</v>
      </c>
      <c r="D190" s="1062" t="str">
        <f t="shared" si="78"/>
        <v/>
      </c>
      <c r="E190" s="1057">
        <f>Z$13/10</f>
        <v>62.749799999999993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3">
        <f t="shared" si="81"/>
        <v>1</v>
      </c>
      <c r="J190" s="746">
        <f t="shared" si="82"/>
        <v>62.749799999594686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5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3">
        <f t="shared" si="86"/>
        <v>1</v>
      </c>
      <c r="AT190" s="769">
        <f t="shared" si="87"/>
        <v>62.749799999967216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3">
        <f t="shared" si="91"/>
        <v>0.5</v>
      </c>
      <c r="AY190" s="769">
        <f t="shared" si="92"/>
        <v>62.811175000295044</v>
      </c>
      <c r="AZ190" s="746">
        <f t="shared" si="96"/>
        <v>62.78048750013113</v>
      </c>
      <c r="BA190" s="643">
        <f t="shared" si="93"/>
        <v>0.94849597316366752</v>
      </c>
      <c r="BC190" s="11">
        <v>43276</v>
      </c>
      <c r="BD190" s="290">
        <f>[3]!FeuilCaduc*(1-Persistant)+Persistant</f>
        <v>0.96313424118963542</v>
      </c>
      <c r="BE190" s="291">
        <f>[3]!CroissVégét</f>
        <v>0.64913499947740572</v>
      </c>
      <c r="BF190" s="816">
        <f>1+[3]!Salcycl*Ksac</f>
        <v>1.0453917801487045</v>
      </c>
      <c r="BH190" s="1053">
        <f t="shared" si="94"/>
        <v>5.157296309847378E-4</v>
      </c>
      <c r="BI190" s="11">
        <v>44372</v>
      </c>
      <c r="BJ190" s="726">
        <v>4.9118259958947888E-5</v>
      </c>
      <c r="BK190" s="726">
        <v>1.3494624250864803E-4</v>
      </c>
      <c r="BL190" s="726">
        <v>2.777318052559674E-4</v>
      </c>
      <c r="BM190" s="726">
        <v>5.1635259570819618E-4</v>
      </c>
      <c r="BN190" s="726">
        <v>8.5060070115794504E-4</v>
      </c>
      <c r="BO190" s="727">
        <v>1.2685976988305208E-3</v>
      </c>
      <c r="BP190" s="726">
        <v>1.8300187260060451E-3</v>
      </c>
      <c r="BQ190" s="726">
        <v>2.6631761690545739E-3</v>
      </c>
      <c r="BR190" s="726">
        <v>3.9590110168964705E-3</v>
      </c>
      <c r="BS190" s="726">
        <v>6.341541647390812E-3</v>
      </c>
      <c r="BT190" s="726">
        <v>9.6618038202938242E-3</v>
      </c>
      <c r="BW190" s="1186">
        <f>'2018'!R\Max</f>
        <v>0</v>
      </c>
      <c r="BX190" s="1184">
        <f>'2019'!R\Max</f>
        <v>0.89734874605712189</v>
      </c>
      <c r="BY190" s="1184">
        <f>'2020'!R\Max</f>
        <v>0.92226023341908037</v>
      </c>
      <c r="BZ190" s="1184">
        <f>'2021'!R\Max</f>
        <v>0.94849597316366752</v>
      </c>
      <c r="CA190" s="1184">
        <f>'2022'!R\Max</f>
        <v>0.59385169781850988</v>
      </c>
      <c r="CB190" s="1184">
        <f>'2023'!R\Max</f>
        <v>0.59384501699888825</v>
      </c>
      <c r="CC190" s="1184">
        <f>'2024'!R\Max</f>
        <v>0.59383625384541927</v>
      </c>
      <c r="CD190" s="1184">
        <f>'2025'!R\Max</f>
        <v>0.59387153985249475</v>
      </c>
      <c r="CE190" s="1184">
        <f>'2026'!R\Max</f>
        <v>0.59386756255939732</v>
      </c>
      <c r="CF190" s="1185">
        <f>'2027'!R\Max</f>
        <v>0.59386299333249837</v>
      </c>
    </row>
    <row r="191" spans="1:84" s="6" customFormat="1" ht="11.25" x14ac:dyDescent="0.2">
      <c r="A191" s="11">
        <v>43277</v>
      </c>
      <c r="B191" s="380">
        <f>'2022'!Maxi_hp</f>
        <v>61.557220620707511</v>
      </c>
      <c r="C191" s="13">
        <f>'2022'!An_max</f>
        <v>2019</v>
      </c>
      <c r="D191" s="1062">
        <f t="shared" si="78"/>
        <v>0.98221811043825213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3">
        <f t="shared" si="81"/>
        <v>0.9285714285714286</v>
      </c>
      <c r="J191" s="746">
        <f t="shared" si="82"/>
        <v>62.67164081635751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5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3">
        <f t="shared" si="86"/>
        <v>0.9642857142857143</v>
      </c>
      <c r="AT191" s="769">
        <f t="shared" si="87"/>
        <v>62.677981855647111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3">
        <f t="shared" si="91"/>
        <v>0.5357142857142857</v>
      </c>
      <c r="AY191" s="769">
        <f t="shared" si="92"/>
        <v>62.727468804682459</v>
      </c>
      <c r="AZ191" s="746">
        <f t="shared" si="96"/>
        <v>62.702725330164782</v>
      </c>
      <c r="BA191" s="643">
        <f t="shared" si="93"/>
        <v>0.98221811043825213</v>
      </c>
      <c r="BC191" s="11">
        <v>43277</v>
      </c>
      <c r="BD191" s="290">
        <f>[3]!FeuilCaduc*(1-Persistant)+Persistant</f>
        <v>0.96595743665661438</v>
      </c>
      <c r="BE191" s="291">
        <f>[3]!CroissVégét</f>
        <v>0.65844922415907026</v>
      </c>
      <c r="BF191" s="816">
        <f>1+[3]!Salcycl*Ksac</f>
        <v>1.0457446795820768</v>
      </c>
      <c r="BH191" s="1053">
        <f t="shared" si="94"/>
        <v>5.2012176986144132E-4</v>
      </c>
      <c r="BI191" s="11">
        <v>44373</v>
      </c>
      <c r="BJ191" s="726">
        <v>4.9805098521073225E-5</v>
      </c>
      <c r="BK191" s="726">
        <v>1.3668794654512773E-4</v>
      </c>
      <c r="BL191" s="726">
        <v>2.8117432368185126E-4</v>
      </c>
      <c r="BM191" s="726">
        <v>5.207472202380342E-4</v>
      </c>
      <c r="BN191" s="726">
        <v>8.542378262188314E-4</v>
      </c>
      <c r="BO191" s="727">
        <v>1.2720206814359153E-3</v>
      </c>
      <c r="BP191" s="726">
        <v>1.8361613581811789E-3</v>
      </c>
      <c r="BQ191" s="726">
        <v>2.6770587556894398E-3</v>
      </c>
      <c r="BR191" s="726">
        <v>3.9847623839464573E-3</v>
      </c>
      <c r="BS191" s="726">
        <v>6.4868870300603641E-3</v>
      </c>
      <c r="BT191" s="726">
        <v>1.003310236218786E-2</v>
      </c>
      <c r="BW191" s="1186">
        <f>'2018'!R\Max</f>
        <v>0</v>
      </c>
      <c r="BX191" s="1184">
        <f>'2019'!R\Max</f>
        <v>0.98221811043825213</v>
      </c>
      <c r="BY191" s="1184">
        <f>'2020'!R\Max</f>
        <v>0.86302321993627706</v>
      </c>
      <c r="BZ191" s="1184">
        <f>'2021'!R\Max</f>
        <v>0.96703119956588346</v>
      </c>
      <c r="CA191" s="1184">
        <f>'2022'!R\Max</f>
        <v>0.19951868173797174</v>
      </c>
      <c r="CB191" s="1184">
        <f>'2023'!R\Max</f>
        <v>0.19951477810877533</v>
      </c>
      <c r="CC191" s="1184">
        <f>'2024'!R\Max</f>
        <v>0.1995096235194822</v>
      </c>
      <c r="CD191" s="1184">
        <f>'2025'!R\Max</f>
        <v>0.19953023664699224</v>
      </c>
      <c r="CE191" s="1184">
        <f>'2026'!R\Max</f>
        <v>0.19952792902458552</v>
      </c>
      <c r="CF191" s="1185">
        <f>'2027'!R\Max</f>
        <v>0.1995252695444206</v>
      </c>
    </row>
    <row r="192" spans="1:84" s="6" customFormat="1" ht="11.25" x14ac:dyDescent="0.2">
      <c r="A192" s="11">
        <v>43278</v>
      </c>
      <c r="B192" s="380">
        <f>'2022'!Maxi_hp</f>
        <v>61.321800192772599</v>
      </c>
      <c r="C192" s="13">
        <f>'2022'!An_max</f>
        <v>2019</v>
      </c>
      <c r="D192" s="1062">
        <f t="shared" si="78"/>
        <v>0.97971485244424861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3">
        <f t="shared" si="81"/>
        <v>0.8571428571428571</v>
      </c>
      <c r="J192" s="746">
        <f t="shared" si="82"/>
        <v>62.591477550619416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5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3">
        <f t="shared" si="86"/>
        <v>0.9285714285714286</v>
      </c>
      <c r="AT192" s="769">
        <f t="shared" si="87"/>
        <v>62.602875765279997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3">
        <f t="shared" si="91"/>
        <v>0.5714285714285714</v>
      </c>
      <c r="AY192" s="769">
        <f t="shared" si="92"/>
        <v>62.641293294887461</v>
      </c>
      <c r="AZ192" s="746">
        <f t="shared" si="96"/>
        <v>62.622084530083725</v>
      </c>
      <c r="BA192" s="643">
        <f t="shared" si="93"/>
        <v>0.97971485244424861</v>
      </c>
      <c r="BC192" s="11">
        <v>43278</v>
      </c>
      <c r="BD192" s="290">
        <f>[3]!FeuilCaduc*(1-Persistant)+Persistant</f>
        <v>0.96864253696018876</v>
      </c>
      <c r="BE192" s="291">
        <f>[3]!CroissVégét</f>
        <v>0.66764275499450454</v>
      </c>
      <c r="BF192" s="816">
        <f>1+[3]!Salcycl*Ksac</f>
        <v>1.0460803171200237</v>
      </c>
      <c r="BH192" s="1053">
        <f t="shared" si="94"/>
        <v>5.2564323988284439E-4</v>
      </c>
      <c r="BI192" s="11">
        <v>44374</v>
      </c>
      <c r="BJ192" s="726">
        <v>5.0512738727132593E-5</v>
      </c>
      <c r="BK192" s="726">
        <v>1.3887076530529207E-4</v>
      </c>
      <c r="BL192" s="726">
        <v>2.8548471511741404E-4</v>
      </c>
      <c r="BM192" s="726">
        <v>5.262718602851886E-4</v>
      </c>
      <c r="BN192" s="726">
        <v>8.5922460542344772E-4</v>
      </c>
      <c r="BO192" s="727">
        <v>1.2776629804650509E-3</v>
      </c>
      <c r="BP192" s="726">
        <v>1.8467324781923798E-3</v>
      </c>
      <c r="BQ192" s="726">
        <v>2.7085411787783177E-3</v>
      </c>
      <c r="BR192" s="726">
        <v>4.0425377280951464E-3</v>
      </c>
      <c r="BS192" s="726">
        <v>6.7088317533736969E-3</v>
      </c>
      <c r="BT192" s="726">
        <v>1.0546054513391629E-2</v>
      </c>
      <c r="BW192" s="1186">
        <f>'2018'!R\Max</f>
        <v>0</v>
      </c>
      <c r="BX192" s="1184">
        <f>'2019'!R\Max</f>
        <v>0.97971485244424861</v>
      </c>
      <c r="BY192" s="1184">
        <f>'2020'!R\Max</f>
        <v>0.81750407194984576</v>
      </c>
      <c r="BZ192" s="1184">
        <f>'2021'!R\Max</f>
        <v>0.15246273190129417</v>
      </c>
      <c r="CA192" s="1184">
        <f>'2022'!R\Max</f>
        <v>0.21809284823983469</v>
      </c>
      <c r="CB192" s="1184">
        <f>'2023'!R\Max</f>
        <v>0.21808852642693094</v>
      </c>
      <c r="CC192" s="1184">
        <f>'2024'!R\Max</f>
        <v>0.21808273191046953</v>
      </c>
      <c r="CD192" s="1184">
        <f>'2025'!R\Max</f>
        <v>0.21810557537871511</v>
      </c>
      <c r="CE192" s="1184">
        <f>'2026'!R\Max</f>
        <v>0.21810304676054806</v>
      </c>
      <c r="CF192" s="1185">
        <f>'2027'!R\Max</f>
        <v>0.21810012052915409</v>
      </c>
    </row>
    <row r="193" spans="1:84" s="6" customFormat="1" ht="11.25" x14ac:dyDescent="0.2">
      <c r="A193" s="11">
        <v>43279</v>
      </c>
      <c r="B193" s="380">
        <f>'2022'!Maxi_hp</f>
        <v>61.980882161709836</v>
      </c>
      <c r="C193" s="13">
        <f>'2022'!An_max</f>
        <v>2022</v>
      </c>
      <c r="D193" s="1062">
        <f t="shared" si="78"/>
        <v>0.99154641059377235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3">
        <f t="shared" si="81"/>
        <v>0.7857142857142857</v>
      </c>
      <c r="J193" s="746">
        <f t="shared" si="82"/>
        <v>62.509310204243022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5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3">
        <f t="shared" si="86"/>
        <v>0.8928571428571429</v>
      </c>
      <c r="AT193" s="769">
        <f t="shared" si="87"/>
        <v>62.524575669478097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3">
        <f t="shared" si="91"/>
        <v>0.6071428571428571</v>
      </c>
      <c r="AY193" s="769">
        <f t="shared" si="92"/>
        <v>62.552809511604053</v>
      </c>
      <c r="AZ193" s="746">
        <f t="shared" si="96"/>
        <v>62.538692590541075</v>
      </c>
      <c r="BA193" s="643">
        <f t="shared" si="93"/>
        <v>0.99154641059377235</v>
      </c>
      <c r="BC193" s="11">
        <v>43279</v>
      </c>
      <c r="BD193" s="290">
        <f>[3]!FeuilCaduc*(1-Persistant)+Persistant</f>
        <v>0.97119086190502157</v>
      </c>
      <c r="BE193" s="291">
        <f>[3]!CroissVégét</f>
        <v>0.67671031405616355</v>
      </c>
      <c r="BF193" s="816">
        <f>1+[3]!Salcycl*Ksac</f>
        <v>1.0463988577381278</v>
      </c>
      <c r="BH193" s="1053">
        <f t="shared" si="94"/>
        <v>5.3162873512375812E-4</v>
      </c>
      <c r="BI193" s="11">
        <v>44375</v>
      </c>
      <c r="BJ193" s="726">
        <v>5.1139625450267349E-5</v>
      </c>
      <c r="BK193" s="726">
        <v>1.4123584692190373E-4</v>
      </c>
      <c r="BL193" s="726">
        <v>2.9015057320515091E-4</v>
      </c>
      <c r="BM193" s="726">
        <v>5.3226080970637335E-4</v>
      </c>
      <c r="BN193" s="726">
        <v>8.6497924746501776E-4</v>
      </c>
      <c r="BO193" s="727">
        <v>1.2849422225644095E-3</v>
      </c>
      <c r="BP193" s="726">
        <v>1.8607182011499595E-3</v>
      </c>
      <c r="BQ193" s="726">
        <v>2.7554257211678764E-3</v>
      </c>
      <c r="BR193" s="726">
        <v>4.1283313720786342E-3</v>
      </c>
      <c r="BS193" s="726">
        <v>6.9860659211358478E-3</v>
      </c>
      <c r="BT193" s="726">
        <v>1.114677002927749E-2</v>
      </c>
      <c r="BW193" s="1186">
        <f>'2018'!R\Max</f>
        <v>0</v>
      </c>
      <c r="BX193" s="1184">
        <f>'2019'!R\Max</f>
        <v>0.93239407057263701</v>
      </c>
      <c r="BY193" s="1184">
        <f>'2020'!R\Max</f>
        <v>0.71162761313076572</v>
      </c>
      <c r="BZ193" s="1184">
        <f>'2021'!R\Max</f>
        <v>0.60960624719421619</v>
      </c>
      <c r="CA193" s="1184">
        <f>'2022'!R\Max</f>
        <v>0.99154641059377235</v>
      </c>
      <c r="CB193" s="1184">
        <f>'2023'!R\Max</f>
        <v>0.99154616956044672</v>
      </c>
      <c r="CC193" s="1184">
        <f>'2024'!R\Max</f>
        <v>0.99154583885965286</v>
      </c>
      <c r="CD193" s="1184">
        <f>'2025'!R\Max</f>
        <v>0.99154711600341916</v>
      </c>
      <c r="CE193" s="1184">
        <f>'2026'!R\Max</f>
        <v>0.99154697673706049</v>
      </c>
      <c r="CF193" s="1185">
        <f>'2027'!R\Max</f>
        <v>0.99154681477025097</v>
      </c>
    </row>
    <row r="194" spans="1:84" s="6" customFormat="1" ht="11.25" x14ac:dyDescent="0.2">
      <c r="A194" s="11">
        <v>43280</v>
      </c>
      <c r="B194" s="380">
        <f>'2022'!Maxi_hp</f>
        <v>58.85095048223954</v>
      </c>
      <c r="C194" s="13">
        <f>'2022'!An_max</f>
        <v>2022</v>
      </c>
      <c r="D194" s="1062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3">
        <f t="shared" si="81"/>
        <v>0.7142857142857143</v>
      </c>
      <c r="J194" s="746">
        <f t="shared" si="82"/>
        <v>62.425138775791446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5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3">
        <f t="shared" si="86"/>
        <v>0.8571428571428571</v>
      </c>
      <c r="AT194" s="769">
        <f t="shared" si="87"/>
        <v>62.443175510636401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3">
        <f t="shared" si="91"/>
        <v>0.6428571428571429</v>
      </c>
      <c r="AY194" s="769">
        <f t="shared" si="92"/>
        <v>62.462178498612978</v>
      </c>
      <c r="AZ194" s="746">
        <f t="shared" si="96"/>
        <v>62.45267700462469</v>
      </c>
      <c r="BA194" s="643">
        <f t="shared" si="93"/>
        <v>0.94274440772347978</v>
      </c>
      <c r="BC194" s="11">
        <v>43280</v>
      </c>
      <c r="BD194" s="290">
        <f>[3]!FeuilCaduc*(1-Persistant)+Persistant</f>
        <v>0.97360408117219543</v>
      </c>
      <c r="BE194" s="291">
        <f>[3]!CroissVégét</f>
        <v>0.6856469767197082</v>
      </c>
      <c r="BF194" s="816">
        <f>1+[3]!Salcycl*Ksac</f>
        <v>1.0467005101465245</v>
      </c>
      <c r="BH194" s="1053">
        <f t="shared" si="94"/>
        <v>5.3807790559782175E-4</v>
      </c>
      <c r="BI194" s="11">
        <v>44376</v>
      </c>
      <c r="BJ194" s="726">
        <v>5.1685913665448729E-5</v>
      </c>
      <c r="BK194" s="726">
        <v>1.4378301391629702E-4</v>
      </c>
      <c r="BL194" s="726">
        <v>2.9517156080989526E-4</v>
      </c>
      <c r="BM194" s="726">
        <v>5.3871371848158967E-4</v>
      </c>
      <c r="BN194" s="726">
        <v>8.715011424002473E-4</v>
      </c>
      <c r="BO194" s="727">
        <v>1.2938567493788707E-3</v>
      </c>
      <c r="BP194" s="726">
        <v>1.8781145752870027E-3</v>
      </c>
      <c r="BQ194" s="726">
        <v>2.8176911279452635E-3</v>
      </c>
      <c r="BR194" s="726">
        <v>4.2421041289599191E-3</v>
      </c>
      <c r="BS194" s="726">
        <v>7.3185120893582822E-3</v>
      </c>
      <c r="BT194" s="726">
        <v>1.1835126866868105E-2</v>
      </c>
      <c r="BW194" s="1186">
        <f>'2018'!R\Max</f>
        <v>0</v>
      </c>
      <c r="BX194" s="1184">
        <f>'2019'!R\Max</f>
        <v>0.9333264278079304</v>
      </c>
      <c r="BY194" s="1184">
        <f>'2020'!R\Max</f>
        <v>0.81636969242607305</v>
      </c>
      <c r="BZ194" s="1184">
        <f>'2021'!R\Max</f>
        <v>0.70899624581198384</v>
      </c>
      <c r="CA194" s="1184">
        <f>'2022'!R\Max</f>
        <v>0.94274440772347978</v>
      </c>
      <c r="CB194" s="1184">
        <f>'2023'!R\Max</f>
        <v>0.9427428266629454</v>
      </c>
      <c r="CC194" s="1184">
        <f>'2024'!R\Max</f>
        <v>0.94274059125316967</v>
      </c>
      <c r="CD194" s="1184">
        <f>'2025'!R\Max</f>
        <v>0.94274900241042547</v>
      </c>
      <c r="CE194" s="1184">
        <f>'2026'!R\Max</f>
        <v>0.94274810195997194</v>
      </c>
      <c r="CF194" s="1185">
        <f>'2027'!R\Max</f>
        <v>0.94274704869437176</v>
      </c>
    </row>
    <row r="195" spans="1:84" s="6" customFormat="1" ht="11.25" x14ac:dyDescent="0.2">
      <c r="A195" s="11">
        <v>43281</v>
      </c>
      <c r="B195" s="380">
        <f>'2022'!Maxi_hp</f>
        <v>52.467807817786799</v>
      </c>
      <c r="C195" s="13">
        <f>'2022'!An_max</f>
        <v>2019</v>
      </c>
      <c r="D195" s="1062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3">
        <f t="shared" si="81"/>
        <v>0.6428571428571429</v>
      </c>
      <c r="J195" s="746">
        <f t="shared" si="82"/>
        <v>62.338963265105022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5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3">
        <f t="shared" si="86"/>
        <v>0.8214285714285714</v>
      </c>
      <c r="AT195" s="769">
        <f t="shared" si="87"/>
        <v>62.35876922835596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3">
        <f t="shared" si="91"/>
        <v>0.6785714285714286</v>
      </c>
      <c r="AY195" s="769">
        <f t="shared" si="92"/>
        <v>62.369561297313439</v>
      </c>
      <c r="AZ195" s="746">
        <f t="shared" si="96"/>
        <v>62.364165262834703</v>
      </c>
      <c r="BA195" s="643">
        <f t="shared" si="93"/>
        <v>0.84165351923900666</v>
      </c>
      <c r="BC195" s="11">
        <v>43281</v>
      </c>
      <c r="BD195" s="290">
        <f>[3]!FeuilCaduc*(1-Persistant)+Persistant</f>
        <v>0.97588419790656256</v>
      </c>
      <c r="BE195" s="291">
        <f>[3]!CroissVégét</f>
        <v>0.69444817721081942</v>
      </c>
      <c r="BF195" s="816">
        <f>1+[3]!Salcycl*Ksac</f>
        <v>1.0469855247383204</v>
      </c>
      <c r="BH195" s="1053">
        <f t="shared" si="94"/>
        <v>5.4499042405267814E-4</v>
      </c>
      <c r="BI195" s="11">
        <v>44377</v>
      </c>
      <c r="BJ195" s="726">
        <v>5.2151758503815762E-5</v>
      </c>
      <c r="BK195" s="726">
        <v>1.4651209769470628E-4</v>
      </c>
      <c r="BL195" s="726">
        <v>3.0054735826758261E-4</v>
      </c>
      <c r="BM195" s="726">
        <v>5.4563025933861749E-4</v>
      </c>
      <c r="BN195" s="726">
        <v>8.7878970807205318E-4</v>
      </c>
      <c r="BO195" s="727">
        <v>1.3044049493433055E-3</v>
      </c>
      <c r="BP195" s="726">
        <v>1.8989177426582157E-3</v>
      </c>
      <c r="BQ195" s="726">
        <v>2.8953165225704541E-3</v>
      </c>
      <c r="BR195" s="726">
        <v>4.3838175002821429E-3</v>
      </c>
      <c r="BS195" s="726">
        <v>7.7060944266259717E-3</v>
      </c>
      <c r="BT195" s="726">
        <v>1.2611005922965825E-2</v>
      </c>
      <c r="BW195" s="1186">
        <f>'2018'!R\Max</f>
        <v>0</v>
      </c>
      <c r="BX195" s="1184">
        <f>'2019'!R\Max</f>
        <v>0.84165351923900666</v>
      </c>
      <c r="BY195" s="1184">
        <f>'2020'!R\Max</f>
        <v>0.43561197877945995</v>
      </c>
      <c r="BZ195" s="1184">
        <f>'2021'!R\Max</f>
        <v>0.82237388173585169</v>
      </c>
      <c r="CA195" s="1184">
        <f>'2022'!R\Max</f>
        <v>0.23473317539382593</v>
      </c>
      <c r="CB195" s="1184">
        <f>'2023'!R\Max</f>
        <v>0.2347282596828299</v>
      </c>
      <c r="CC195" s="1184">
        <f>'2024'!R\Max</f>
        <v>0.23472105368626345</v>
      </c>
      <c r="CD195" s="1184">
        <f>'2025'!R\Max</f>
        <v>0.23474735028815094</v>
      </c>
      <c r="CE195" s="1184">
        <f>'2026'!R\Max</f>
        <v>0.23474459556935601</v>
      </c>
      <c r="CF195" s="1185">
        <f>'2027'!R\Max</f>
        <v>0.23474135216416342</v>
      </c>
    </row>
    <row r="196" spans="1:84" s="6" customFormat="1" ht="11.25" x14ac:dyDescent="0.2">
      <c r="A196" s="11">
        <v>43282</v>
      </c>
      <c r="B196" s="380">
        <f>'2022'!Maxi_hp</f>
        <v>60.470455322225597</v>
      </c>
      <c r="C196" s="13">
        <f>'2022'!An_max</f>
        <v>2020</v>
      </c>
      <c r="D196" s="1062">
        <f t="shared" si="78"/>
        <v>0.97140070781075027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3">
        <f t="shared" si="81"/>
        <v>0.5714285714285714</v>
      </c>
      <c r="J196" s="746">
        <f t="shared" si="82"/>
        <v>62.250783673514206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5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3">
        <f t="shared" si="86"/>
        <v>0.7857142857142857</v>
      </c>
      <c r="AT196" s="769">
        <f t="shared" si="87"/>
        <v>62.271450765617189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3">
        <f t="shared" si="91"/>
        <v>0.7142857142857143</v>
      </c>
      <c r="AY196" s="769">
        <f t="shared" si="92"/>
        <v>62.275118950115782</v>
      </c>
      <c r="AZ196" s="746">
        <f t="shared" si="96"/>
        <v>62.273284857866486</v>
      </c>
      <c r="BA196" s="643">
        <f t="shared" si="93"/>
        <v>0.97140070781075027</v>
      </c>
      <c r="BC196" s="11">
        <v>43282</v>
      </c>
      <c r="BD196" s="290">
        <f>[3]!FeuilCaduc*(1-Persistant)+Persistant</f>
        <v>0.97803353063491905</v>
      </c>
      <c r="BE196" s="291">
        <f>[3]!CroissVégét</f>
        <v>0.70310971225270513</v>
      </c>
      <c r="BF196" s="816">
        <f>1+[3]!Salcycl*Ksac</f>
        <v>1.0472541913293649</v>
      </c>
      <c r="BH196" s="1053">
        <f t="shared" si="94"/>
        <v>5.5236598872007833E-4</v>
      </c>
      <c r="BI196" s="11">
        <v>44378</v>
      </c>
      <c r="BJ196" s="726">
        <v>5.2537314781804147E-5</v>
      </c>
      <c r="BK196" s="726">
        <v>1.4942293962955466E-4</v>
      </c>
      <c r="BL196" s="726">
        <v>3.0627766549417993E-4</v>
      </c>
      <c r="BM196" s="726">
        <v>5.5301013050479983E-4</v>
      </c>
      <c r="BN196" s="726">
        <v>8.8684439463611168E-4</v>
      </c>
      <c r="BO196" s="727">
        <v>1.3165852673111761E-3</v>
      </c>
      <c r="BP196" s="726">
        <v>1.9231239592298961E-3</v>
      </c>
      <c r="BQ196" s="726">
        <v>2.9882814974831629E-3</v>
      </c>
      <c r="BR196" s="726">
        <v>4.5534338409094904E-3</v>
      </c>
      <c r="BS196" s="726">
        <v>8.1487390400380218E-3</v>
      </c>
      <c r="BT196" s="726">
        <v>1.3474291552480431E-2</v>
      </c>
      <c r="BW196" s="1186">
        <f>'2018'!R\Max</f>
        <v>0</v>
      </c>
      <c r="BX196" s="1184">
        <f>'2019'!R\Max</f>
        <v>0.31212144775783374</v>
      </c>
      <c r="BY196" s="1184">
        <f>'2020'!R\Max</f>
        <v>0.97140070781075027</v>
      </c>
      <c r="BZ196" s="1184">
        <f>'2021'!R\Max</f>
        <v>0.90106229389494918</v>
      </c>
      <c r="CA196" s="1184">
        <f>'2022'!R\Max</f>
        <v>0.84634758905745378</v>
      </c>
      <c r="CB196" s="1184">
        <f>'2023'!R\Max</f>
        <v>0.8463436055615533</v>
      </c>
      <c r="CC196" s="1184">
        <f>'2024'!R\Max</f>
        <v>0.84633751975749161</v>
      </c>
      <c r="CD196" s="1184">
        <f>'2025'!R\Max</f>
        <v>0.84635897751142319</v>
      </c>
      <c r="CE196" s="1184">
        <f>'2026'!R\Max</f>
        <v>0.84635678525200331</v>
      </c>
      <c r="CF196" s="1185">
        <f>'2027'!R\Max</f>
        <v>0.84635418487880831</v>
      </c>
    </row>
    <row r="197" spans="1:84" s="6" customFormat="1" ht="11.25" x14ac:dyDescent="0.2">
      <c r="A197" s="11">
        <v>43283</v>
      </c>
      <c r="B197" s="380">
        <f>'2022'!Maxi_hp</f>
        <v>58.697985022962222</v>
      </c>
      <c r="C197" s="13">
        <f>'2022'!An_max</f>
        <v>2022</v>
      </c>
      <c r="D197" s="1062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3">
        <f t="shared" si="81"/>
        <v>0.5</v>
      </c>
      <c r="J197" s="746">
        <f t="shared" si="82"/>
        <v>62.160600000061095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5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3">
        <f t="shared" si="86"/>
        <v>0.75</v>
      </c>
      <c r="AT197" s="769">
        <f t="shared" si="87"/>
        <v>62.181314062466846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3">
        <f t="shared" si="91"/>
        <v>0.75</v>
      </c>
      <c r="AY197" s="769">
        <f t="shared" si="92"/>
        <v>62.17901249974966</v>
      </c>
      <c r="AZ197" s="746">
        <f t="shared" si="96"/>
        <v>62.18016328110825</v>
      </c>
      <c r="BA197" s="643">
        <f t="shared" si="93"/>
        <v>0.94429566353774785</v>
      </c>
      <c r="BC197" s="11">
        <v>43283</v>
      </c>
      <c r="BD197" s="290">
        <f>[3]!FeuilCaduc*(1-Persistant)+Persistant</f>
        <v>0.98005469365460984</v>
      </c>
      <c r="BE197" s="291">
        <f>[3]!CroissVégét</f>
        <v>0.71162774286802644</v>
      </c>
      <c r="BF197" s="816">
        <f>1+[3]!Salcycl*Ksac</f>
        <v>1.0475068367068263</v>
      </c>
      <c r="BH197" s="1053">
        <f t="shared" si="94"/>
        <v>5.6020432607064284E-4</v>
      </c>
      <c r="BI197" s="11">
        <v>44379</v>
      </c>
      <c r="BJ197" s="726">
        <v>5.2842736530722466E-5</v>
      </c>
      <c r="BK197" s="726">
        <v>1.5251539214198036E-4</v>
      </c>
      <c r="BL197" s="726">
        <v>3.1236220409715931E-4</v>
      </c>
      <c r="BM197" s="726">
        <v>5.6085305846348627E-4</v>
      </c>
      <c r="BN197" s="726">
        <v>8.9566468909497412E-4</v>
      </c>
      <c r="BO197" s="727">
        <v>1.3303962141943712E-3</v>
      </c>
      <c r="BP197" s="726">
        <v>1.9507296149861794E-3</v>
      </c>
      <c r="BQ197" s="726">
        <v>3.0965662047339176E-3</v>
      </c>
      <c r="BR197" s="726">
        <v>4.7509165239043357E-3</v>
      </c>
      <c r="BS197" s="726">
        <v>8.6463743012098315E-3</v>
      </c>
      <c r="BT197" s="726">
        <v>1.4424872086855245E-2</v>
      </c>
      <c r="BW197" s="1186">
        <f>'2018'!R\Max</f>
        <v>0</v>
      </c>
      <c r="BX197" s="1184">
        <f>'2019'!R\Max</f>
        <v>0.5213202495278948</v>
      </c>
      <c r="BY197" s="1184">
        <f>'2020'!R\Max</f>
        <v>0.67295333980953931</v>
      </c>
      <c r="BZ197" s="1184">
        <f>'2021'!R\Max</f>
        <v>0.90797515713793797</v>
      </c>
      <c r="CA197" s="1184">
        <f>'2022'!R\Max</f>
        <v>0.94429566353774785</v>
      </c>
      <c r="CB197" s="1184">
        <f>'2023'!R\Max</f>
        <v>0.94429400979516398</v>
      </c>
      <c r="CC197" s="1184">
        <f>'2024'!R\Max</f>
        <v>0.9442913662849296</v>
      </c>
      <c r="CD197" s="1184">
        <f>'2025'!R\Max</f>
        <v>0.94430034851646449</v>
      </c>
      <c r="CE197" s="1184">
        <f>'2026'!R\Max</f>
        <v>0.94429945605518295</v>
      </c>
      <c r="CF197" s="1185">
        <f>'2027'!R\Max</f>
        <v>0.94429838873295002</v>
      </c>
    </row>
    <row r="198" spans="1:84" s="6" customFormat="1" ht="11.25" x14ac:dyDescent="0.2">
      <c r="A198" s="11">
        <v>43284</v>
      </c>
      <c r="B198" s="380">
        <f>'2022'!Maxi_hp</f>
        <v>53.763656051916264</v>
      </c>
      <c r="C198" s="13">
        <f>'2022'!An_max</f>
        <v>2019</v>
      </c>
      <c r="D198" s="1062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3">
        <f t="shared" si="81"/>
        <v>0.42857142857142855</v>
      </c>
      <c r="J198" s="746">
        <f t="shared" si="82"/>
        <v>62.068412244852098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5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3">
        <f t="shared" si="86"/>
        <v>0.7142857142857143</v>
      </c>
      <c r="AT198" s="769">
        <f t="shared" si="87"/>
        <v>62.088453061293272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3">
        <f t="shared" si="91"/>
        <v>0.7857142857142857</v>
      </c>
      <c r="AY198" s="769">
        <f t="shared" si="92"/>
        <v>62.081402988412549</v>
      </c>
      <c r="AZ198" s="746">
        <f t="shared" si="96"/>
        <v>62.084928024852914</v>
      </c>
      <c r="BA198" s="643">
        <f t="shared" si="93"/>
        <v>0.86619995755369716</v>
      </c>
      <c r="BC198" s="11">
        <v>43284</v>
      </c>
      <c r="BD198" s="290">
        <f>[3]!FeuilCaduc*(1-Persistant)+Persistant</f>
        <v>0.98195057604360725</v>
      </c>
      <c r="BE198" s="291">
        <f>[3]!CroissVégét</f>
        <v>0.71999879440261938</v>
      </c>
      <c r="BF198" s="816">
        <f>1+[3]!Salcycl*Ksac</f>
        <v>1.0477438220054509</v>
      </c>
      <c r="BH198" s="1053">
        <f t="shared" si="94"/>
        <v>5.6901358462851676E-4</v>
      </c>
      <c r="BI198" s="11">
        <v>44380</v>
      </c>
      <c r="BJ198" s="726">
        <v>5.2845033321967974E-5</v>
      </c>
      <c r="BK198" s="726">
        <v>1.5580798208420792E-4</v>
      </c>
      <c r="BL198" s="726">
        <v>3.1887360288337219E-4</v>
      </c>
      <c r="BM198" s="726">
        <v>5.6966833172159036E-4</v>
      </c>
      <c r="BN198" s="726">
        <v>9.0915716988727976E-4</v>
      </c>
      <c r="BO198" s="727">
        <v>1.354338747468849E-3</v>
      </c>
      <c r="BP198" s="726">
        <v>1.9958600692367313E-3</v>
      </c>
      <c r="BQ198" s="726">
        <v>3.2368465848248507E-3</v>
      </c>
      <c r="BR198" s="726">
        <v>4.9936671281805359E-3</v>
      </c>
      <c r="BS198" s="726">
        <v>9.1848848949887662E-3</v>
      </c>
      <c r="BT198" s="726">
        <v>1.5386550143659314E-2</v>
      </c>
      <c r="BW198" s="1186">
        <f>'2018'!R\Max</f>
        <v>0</v>
      </c>
      <c r="BX198" s="1184">
        <f>'2019'!R\Max</f>
        <v>0.86619995755369716</v>
      </c>
      <c r="BY198" s="1184">
        <f>'2020'!R\Max</f>
        <v>0.32293399272157725</v>
      </c>
      <c r="BZ198" s="1184">
        <f>'2021'!R\Max</f>
        <v>0.57013722489808683</v>
      </c>
      <c r="CA198" s="1184">
        <f>'2022'!R\Max</f>
        <v>0.78810515377921686</v>
      </c>
      <c r="CB198" s="1184">
        <f>'2023'!R\Max</f>
        <v>0.78809970569385668</v>
      </c>
      <c r="CC198" s="1184">
        <f>'2024'!R\Max</f>
        <v>0.78809061834769334</v>
      </c>
      <c r="CD198" s="1184">
        <f>'2025'!R\Max</f>
        <v>0.78812045787875873</v>
      </c>
      <c r="CE198" s="1184">
        <f>'2026'!R\Max</f>
        <v>0.7881175750675915</v>
      </c>
      <c r="CF198" s="1185">
        <f>'2027'!R\Max</f>
        <v>0.78811409553091039</v>
      </c>
    </row>
    <row r="199" spans="1:84" s="6" customFormat="1" ht="11.25" x14ac:dyDescent="0.2">
      <c r="A199" s="11">
        <v>43285</v>
      </c>
      <c r="B199" s="380">
        <f>'2022'!Maxi_hp</f>
        <v>58.995697367701958</v>
      </c>
      <c r="C199" s="13">
        <f>'2022'!An_max</f>
        <v>2019</v>
      </c>
      <c r="D199" s="1062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3">
        <f t="shared" si="81"/>
        <v>0.35714285714285715</v>
      </c>
      <c r="J199" s="746">
        <f t="shared" si="82"/>
        <v>61.974220407993663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5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3">
        <f t="shared" si="86"/>
        <v>0.6785714285714286</v>
      </c>
      <c r="AT199" s="769">
        <f t="shared" si="87"/>
        <v>61.992961702881644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3">
        <f t="shared" si="91"/>
        <v>0.8214285714285714</v>
      </c>
      <c r="AY199" s="769">
        <f t="shared" si="92"/>
        <v>61.982451457942702</v>
      </c>
      <c r="AZ199" s="746">
        <f t="shared" si="96"/>
        <v>61.987706580412173</v>
      </c>
      <c r="BA199" s="643">
        <f t="shared" si="93"/>
        <v>0.95193932217810484</v>
      </c>
      <c r="BC199" s="11">
        <v>43285</v>
      </c>
      <c r="BD199" s="290">
        <f>[3]!FeuilCaduc*(1-Persistant)+Persistant</f>
        <v>0.98372431945317584</v>
      </c>
      <c r="BE199" s="291">
        <f>[3]!CroissVégét</f>
        <v>0.72821975485053358</v>
      </c>
      <c r="BF199" s="816">
        <f>1+[3]!Salcycl*Ksac</f>
        <v>1.047965539931647</v>
      </c>
      <c r="BH199" s="1053">
        <f t="shared" si="94"/>
        <v>5.7813084020749152E-4</v>
      </c>
      <c r="BI199" s="11">
        <v>44381</v>
      </c>
      <c r="BJ199" s="726">
        <v>5.244341772759151E-5</v>
      </c>
      <c r="BK199" s="726">
        <v>1.5904304119861501E-4</v>
      </c>
      <c r="BL199" s="726">
        <v>3.2530174605141369E-4</v>
      </c>
      <c r="BM199" s="726">
        <v>5.7879262611347992E-4</v>
      </c>
      <c r="BN199" s="726">
        <v>9.2673723033447975E-4</v>
      </c>
      <c r="BO199" s="727">
        <v>1.3878212490468396E-3</v>
      </c>
      <c r="BP199" s="726">
        <v>2.0574864070975838E-3</v>
      </c>
      <c r="BQ199" s="726">
        <v>3.4069137270774041E-3</v>
      </c>
      <c r="BR199" s="726">
        <v>5.2776781869055328E-3</v>
      </c>
      <c r="BS199" s="726">
        <v>9.7430878398722682E-3</v>
      </c>
      <c r="BT199" s="726">
        <v>1.6305805332338923E-2</v>
      </c>
      <c r="BW199" s="1186">
        <f>'2018'!R\Max</f>
        <v>0</v>
      </c>
      <c r="BX199" s="1184">
        <f>'2019'!R\Max</f>
        <v>0.95193932217810484</v>
      </c>
      <c r="BY199" s="1184">
        <f>'2020'!R\Max</f>
        <v>0.76107042520773727</v>
      </c>
      <c r="BZ199" s="1184">
        <f>'2021'!R\Max</f>
        <v>0.62896995529101041</v>
      </c>
      <c r="CA199" s="1184">
        <f>'2022'!R\Max</f>
        <v>0.74912019848232037</v>
      </c>
      <c r="CB199" s="1184">
        <f>'2023'!R\Max</f>
        <v>0.74911377682738611</v>
      </c>
      <c r="CC199" s="1184">
        <f>'2024'!R\Max</f>
        <v>0.74910264186112485</v>
      </c>
      <c r="CD199" s="1184">
        <f>'2025'!R\Max</f>
        <v>0.74913811082497184</v>
      </c>
      <c r="CE199" s="1184">
        <f>'2026'!R\Max</f>
        <v>0.74913477457193189</v>
      </c>
      <c r="CF199" s="1185">
        <f>'2027'!R\Max</f>
        <v>0.74913070813066818</v>
      </c>
    </row>
    <row r="200" spans="1:84" s="6" customFormat="1" ht="11.25" x14ac:dyDescent="0.2">
      <c r="A200" s="11">
        <v>43286</v>
      </c>
      <c r="B200" s="380">
        <f>'2022'!Maxi_hp</f>
        <v>61.322232788721351</v>
      </c>
      <c r="C200" s="13">
        <f>'2022'!An_max</f>
        <v>2020</v>
      </c>
      <c r="D200" s="1062">
        <f t="shared" si="78"/>
        <v>0.99101794691406775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3">
        <f t="shared" si="81"/>
        <v>0.2857142857142857</v>
      </c>
      <c r="J200" s="746">
        <f t="shared" si="82"/>
        <v>61.878024489539008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5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3">
        <f t="shared" si="86"/>
        <v>0.6428571428571429</v>
      </c>
      <c r="AT200" s="769">
        <f t="shared" si="87"/>
        <v>61.894933928469456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3">
        <f t="shared" si="91"/>
        <v>0.8571428571428571</v>
      </c>
      <c r="AY200" s="769">
        <f t="shared" si="92"/>
        <v>61.882318950550896</v>
      </c>
      <c r="AZ200" s="746">
        <f t="shared" si="96"/>
        <v>61.888626439510176</v>
      </c>
      <c r="BA200" s="643">
        <f t="shared" si="93"/>
        <v>0.99101794691406775</v>
      </c>
      <c r="BC200" s="11">
        <v>43286</v>
      </c>
      <c r="BD200" s="290">
        <f>[3]!FeuilCaduc*(1-Persistant)+Persistant</f>
        <v>0.9853792948528588</v>
      </c>
      <c r="BE200" s="291">
        <f>[3]!CroissVégét</f>
        <v>0.73628787157048126</v>
      </c>
      <c r="BF200" s="816">
        <f>1+[3]!Salcycl*Ksac</f>
        <v>1.0481724118566074</v>
      </c>
      <c r="BH200" s="1053">
        <f t="shared" si="94"/>
        <v>5.875561477401087E-4</v>
      </c>
      <c r="BI200" s="11">
        <v>44382</v>
      </c>
      <c r="BJ200" s="726">
        <v>5.1638493488936465E-5</v>
      </c>
      <c r="BK200" s="726">
        <v>1.6222080001032597E-4</v>
      </c>
      <c r="BL200" s="726">
        <v>3.3164705278974763E-4</v>
      </c>
      <c r="BM200" s="726">
        <v>5.8822599561824827E-4</v>
      </c>
      <c r="BN200" s="726">
        <v>9.4839985906632605E-4</v>
      </c>
      <c r="BO200" s="727">
        <v>1.4308314329859388E-3</v>
      </c>
      <c r="BP200" s="726">
        <v>2.1355872374437257E-3</v>
      </c>
      <c r="BQ200" s="726">
        <v>3.6067297628127018E-3</v>
      </c>
      <c r="BR200" s="726">
        <v>5.6028983600321016E-3</v>
      </c>
      <c r="BS200" s="726">
        <v>1.0320969788257398E-2</v>
      </c>
      <c r="BT200" s="726">
        <v>1.7182723031341905E-2</v>
      </c>
      <c r="BW200" s="1186">
        <f>'2018'!R\Max</f>
        <v>0</v>
      </c>
      <c r="BX200" s="1184">
        <f>'2019'!R\Max</f>
        <v>0.9424559873925189</v>
      </c>
      <c r="BY200" s="1184">
        <f>'2020'!R\Max</f>
        <v>0.99101794691406775</v>
      </c>
      <c r="BZ200" s="1184">
        <f>'2021'!R\Max</f>
        <v>0.98511612666483628</v>
      </c>
      <c r="CA200" s="1184">
        <f>'2022'!R\Max</f>
        <v>0.94018402225459585</v>
      </c>
      <c r="CB200" s="1184">
        <f>'2023'!R\Max</f>
        <v>0.94018199340549335</v>
      </c>
      <c r="CC200" s="1184">
        <f>'2024'!R\Max</f>
        <v>0.94017835139154593</v>
      </c>
      <c r="CD200" s="1184">
        <f>'2025'!R\Max</f>
        <v>0.94018965016733214</v>
      </c>
      <c r="CE200" s="1184">
        <f>'2026'!R\Max</f>
        <v>0.94018861344435201</v>
      </c>
      <c r="CF200" s="1185">
        <f>'2027'!R\Max</f>
        <v>0.94018733700801094</v>
      </c>
    </row>
    <row r="201" spans="1:84" s="6" customFormat="1" ht="11.25" x14ac:dyDescent="0.2">
      <c r="A201" s="11">
        <v>43287</v>
      </c>
      <c r="B201" s="380">
        <f>'2022'!Maxi_hp</f>
        <v>60.73746121896113</v>
      </c>
      <c r="C201" s="13">
        <f>'2022'!An_max</f>
        <v>2020</v>
      </c>
      <c r="D201" s="1062">
        <f t="shared" si="78"/>
        <v>0.98312777222037795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3">
        <f t="shared" si="81"/>
        <v>0.21428571428571427</v>
      </c>
      <c r="J201" s="746">
        <f t="shared" si="82"/>
        <v>61.779824489940481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5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3">
        <f t="shared" si="86"/>
        <v>0.6071428571428571</v>
      </c>
      <c r="AT201" s="769">
        <f t="shared" si="87"/>
        <v>61.794463679966121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3">
        <f t="shared" si="91"/>
        <v>0.8928571428571429</v>
      </c>
      <c r="AY201" s="769">
        <f t="shared" si="92"/>
        <v>61.781166508541034</v>
      </c>
      <c r="AZ201" s="746">
        <f t="shared" si="96"/>
        <v>61.787815094253574</v>
      </c>
      <c r="BA201" s="643">
        <f t="shared" si="93"/>
        <v>0.98312777222037795</v>
      </c>
      <c r="BC201" s="11">
        <v>43287</v>
      </c>
      <c r="BD201" s="290">
        <f>[3]!FeuilCaduc*(1-Persistant)+Persistant</f>
        <v>0.98691907840459148</v>
      </c>
      <c r="BE201" s="291">
        <f>[3]!CroissVégét</f>
        <v>0.74420074649273349</v>
      </c>
      <c r="BF201" s="816">
        <f>1+[3]!Salcycl*Ksac</f>
        <v>1.048364884800574</v>
      </c>
      <c r="BH201" s="1053">
        <f t="shared" si="94"/>
        <v>5.9728959632870992E-4</v>
      </c>
      <c r="BI201" s="11">
        <v>44383</v>
      </c>
      <c r="BJ201" s="726">
        <v>5.0430847926140912E-5</v>
      </c>
      <c r="BK201" s="726">
        <v>1.6534149472119324E-4</v>
      </c>
      <c r="BL201" s="726">
        <v>3.3790995476777196E-4</v>
      </c>
      <c r="BM201" s="726">
        <v>5.9796852844155998E-4</v>
      </c>
      <c r="BN201" s="726">
        <v>9.7414024457148564E-4</v>
      </c>
      <c r="BO201" s="727">
        <v>1.4833574610227285E-3</v>
      </c>
      <c r="BP201" s="726">
        <v>2.2301419518560277E-3</v>
      </c>
      <c r="BQ201" s="726">
        <v>3.8362583770414935E-3</v>
      </c>
      <c r="BR201" s="726">
        <v>5.9692785760584116E-3</v>
      </c>
      <c r="BS201" s="726">
        <v>1.0918519492999441E-2</v>
      </c>
      <c r="BT201" s="726">
        <v>1.8017389204346874E-2</v>
      </c>
      <c r="BW201" s="1186">
        <f>'2018'!R\Max</f>
        <v>0</v>
      </c>
      <c r="BX201" s="1184">
        <f>'2019'!R\Max</f>
        <v>0.91083165786082454</v>
      </c>
      <c r="BY201" s="1184">
        <f>'2020'!R\Max</f>
        <v>0.98312777222037795</v>
      </c>
      <c r="BZ201" s="1184">
        <f>'2021'!R\Max</f>
        <v>0.35784888339790871</v>
      </c>
      <c r="CA201" s="1184">
        <f>'2022'!R\Max</f>
        <v>0.80876479112133359</v>
      </c>
      <c r="CB201" s="1184">
        <f>'2023'!R\Max</f>
        <v>0.80875886004011455</v>
      </c>
      <c r="CC201" s="1184">
        <f>'2024'!R\Max</f>
        <v>0.8087478848561902</v>
      </c>
      <c r="CD201" s="1184">
        <f>'2025'!R\Max</f>
        <v>0.80878117818658835</v>
      </c>
      <c r="CE201" s="1184">
        <f>'2026'!R\Max</f>
        <v>0.80877819092200876</v>
      </c>
      <c r="CF201" s="1185">
        <f>'2027'!R\Max</f>
        <v>0.80877447561332039</v>
      </c>
    </row>
    <row r="202" spans="1:84" s="6" customFormat="1" ht="11.25" x14ac:dyDescent="0.2">
      <c r="A202" s="11">
        <v>43288</v>
      </c>
      <c r="B202" s="380">
        <f>'2022'!Maxi_hp</f>
        <v>57.394276612159018</v>
      </c>
      <c r="C202" s="13">
        <f>'2022'!An_max</f>
        <v>2022</v>
      </c>
      <c r="D202" s="1062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3">
        <f t="shared" si="81"/>
        <v>0.14285714285714285</v>
      </c>
      <c r="J202" s="746">
        <f t="shared" si="82"/>
        <v>61.679620407894255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5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3">
        <f t="shared" si="86"/>
        <v>0.5714285714285714</v>
      </c>
      <c r="AT202" s="769">
        <f t="shared" si="87"/>
        <v>61.691644898056985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3">
        <f t="shared" si="91"/>
        <v>0.9285714285714286</v>
      </c>
      <c r="AY202" s="769">
        <f t="shared" si="92"/>
        <v>61.679155174616199</v>
      </c>
      <c r="AZ202" s="746">
        <f t="shared" si="96"/>
        <v>61.685400036336588</v>
      </c>
      <c r="BA202" s="643">
        <f t="shared" si="93"/>
        <v>0.93052253293071885</v>
      </c>
      <c r="BC202" s="11">
        <v>43288</v>
      </c>
      <c r="BD202" s="290">
        <f>[3]!FeuilCaduc*(1-Persistant)+Persistant</f>
        <v>0.98834742664822151</v>
      </c>
      <c r="BE202" s="291">
        <f>[3]!CroissVégét</f>
        <v>0.75195632992281269</v>
      </c>
      <c r="BF202" s="816">
        <f>1+[3]!Salcycl*Ksac</f>
        <v>1.0485434283310278</v>
      </c>
      <c r="BH202" s="1053">
        <f t="shared" si="94"/>
        <v>6.0733131109469158E-4</v>
      </c>
      <c r="BI202" s="11">
        <v>44384</v>
      </c>
      <c r="BJ202" s="726">
        <v>4.882104955750291E-5</v>
      </c>
      <c r="BK202" s="726">
        <v>1.6840536688545816E-4</v>
      </c>
      <c r="BL202" s="726">
        <v>3.4409089567389087E-4</v>
      </c>
      <c r="BM202" s="726">
        <v>6.0802034887095504E-4</v>
      </c>
      <c r="BN202" s="726">
        <v>1.0039537993283092E-3</v>
      </c>
      <c r="BO202" s="727">
        <v>1.5453879988686879E-3</v>
      </c>
      <c r="BP202" s="726">
        <v>2.3411308219944849E-3</v>
      </c>
      <c r="BQ202" s="726">
        <v>4.0954649846334954E-3</v>
      </c>
      <c r="BR202" s="726">
        <v>6.3767722763171377E-3</v>
      </c>
      <c r="BS202" s="726">
        <v>1.1535727926214311E-2</v>
      </c>
      <c r="BT202" s="726">
        <v>1.8809890155400719E-2</v>
      </c>
      <c r="BW202" s="1186">
        <f>'2018'!R\Max</f>
        <v>0</v>
      </c>
      <c r="BX202" s="1184">
        <f>'2019'!R\Max</f>
        <v>0.87887920800712938</v>
      </c>
      <c r="BY202" s="1184">
        <f>'2020'!R\Max</f>
        <v>0.65430110464336111</v>
      </c>
      <c r="BZ202" s="1184">
        <f>'2021'!R\Max</f>
        <v>0.7122189963600235</v>
      </c>
      <c r="CA202" s="1184">
        <f>'2022'!R\Max</f>
        <v>0.93052253293071885</v>
      </c>
      <c r="CB202" s="1184">
        <f>'2023'!R\Max</f>
        <v>0.93051988303193933</v>
      </c>
      <c r="CC202" s="1184">
        <f>'2024'!R\Max</f>
        <v>0.93051484903142057</v>
      </c>
      <c r="CD202" s="1184">
        <f>'2025'!R\Max</f>
        <v>0.93052983536557088</v>
      </c>
      <c r="CE202" s="1184">
        <f>'2026'!R\Max</f>
        <v>0.93052851707470063</v>
      </c>
      <c r="CF202" s="1185">
        <f>'2027'!R\Max</f>
        <v>0.93052686118699024</v>
      </c>
    </row>
    <row r="203" spans="1:84" s="6" customFormat="1" ht="11.25" x14ac:dyDescent="0.2">
      <c r="A203" s="11">
        <v>43289</v>
      </c>
      <c r="B203" s="380">
        <f>'2022'!Maxi_hp</f>
        <v>63.132463716134929</v>
      </c>
      <c r="C203" s="13">
        <f>'2022'!An_max</f>
        <v>2020</v>
      </c>
      <c r="D203" s="1062">
        <f t="shared" si="78"/>
        <v>1.0252536021642322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3">
        <f t="shared" si="81"/>
        <v>7.1428571428571425E-2</v>
      </c>
      <c r="J203" s="746">
        <f t="shared" si="82"/>
        <v>61.577412244996857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5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3">
        <f t="shared" si="86"/>
        <v>0.5357142857142857</v>
      </c>
      <c r="AT203" s="769">
        <f t="shared" si="87"/>
        <v>61.586571524451891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3">
        <f t="shared" si="91"/>
        <v>0.9642857142857143</v>
      </c>
      <c r="AY203" s="769">
        <f t="shared" si="92"/>
        <v>61.576445991013735</v>
      </c>
      <c r="AZ203" s="746">
        <f t="shared" si="96"/>
        <v>61.581508757732813</v>
      </c>
      <c r="BA203" s="643">
        <f t="shared" si="93"/>
        <v>1.0252536021642322</v>
      </c>
      <c r="BC203" s="11">
        <v>43289</v>
      </c>
      <c r="BD203" s="290">
        <f>[3]!FeuilCaduc*(1-Persistant)+Persistant</f>
        <v>0.98966825118451485</v>
      </c>
      <c r="BE203" s="291">
        <f>[3]!CroissVégét</f>
        <v>0.75955291305401751</v>
      </c>
      <c r="BF203" s="816">
        <f>1+[3]!Salcycl*Ksac</f>
        <v>1.0487085313980644</v>
      </c>
      <c r="BH203" s="1053">
        <f t="shared" si="94"/>
        <v>6.1768145503156519E-4</v>
      </c>
      <c r="BI203" s="11">
        <v>44385</v>
      </c>
      <c r="BJ203" s="726">
        <v>4.6809645719097236E-5</v>
      </c>
      <c r="BK203" s="726">
        <v>1.7141266308648415E-4</v>
      </c>
      <c r="BL203" s="726">
        <v>3.5019033075577385E-4</v>
      </c>
      <c r="BM203" s="726">
        <v>6.1838161913496312E-4</v>
      </c>
      <c r="BN203" s="726">
        <v>1.0378361839421283E-3</v>
      </c>
      <c r="BO203" s="727">
        <v>1.6169122725165047E-3</v>
      </c>
      <c r="BP203" s="726">
        <v>2.4685350969876427E-3</v>
      </c>
      <c r="BQ203" s="726">
        <v>4.3843169065170577E-3</v>
      </c>
      <c r="BR203" s="726">
        <v>6.8253356593121961E-3</v>
      </c>
      <c r="BS203" s="726">
        <v>1.2172588398166215E-2</v>
      </c>
      <c r="BT203" s="726">
        <v>1.9560312284192208E-2</v>
      </c>
      <c r="BW203" s="1186">
        <f>'2018'!R\Max</f>
        <v>0</v>
      </c>
      <c r="BX203" s="1184">
        <f>'2019'!R\Max</f>
        <v>0.60877073086994582</v>
      </c>
      <c r="BY203" s="1184">
        <f>'2020'!R\Max</f>
        <v>1.0252536021642322</v>
      </c>
      <c r="BZ203" s="1184">
        <f>'2021'!R\Max</f>
        <v>0.84058841980160903</v>
      </c>
      <c r="CA203" s="1184">
        <f>'2022'!R\Max</f>
        <v>0.98035485065533123</v>
      </c>
      <c r="CB203" s="1184">
        <f>'2023'!R\Max</f>
        <v>0.98035400328111155</v>
      </c>
      <c r="CC203" s="1184">
        <f>'2024'!R\Max</f>
        <v>0.98035235703874191</v>
      </c>
      <c r="CD203" s="1184">
        <f>'2025'!R\Max</f>
        <v>0.98035718272147199</v>
      </c>
      <c r="CE203" s="1184">
        <f>'2026'!R\Max</f>
        <v>0.98035676543460293</v>
      </c>
      <c r="CF203" s="1185">
        <f>'2027'!R\Max</f>
        <v>0.98035623628083135</v>
      </c>
    </row>
    <row r="204" spans="1:84" s="6" customFormat="1" ht="11.25" x14ac:dyDescent="0.2">
      <c r="A204" s="11">
        <v>43290</v>
      </c>
      <c r="B204" s="380">
        <f>'2022'!Maxi_hp</f>
        <v>60.536567302517156</v>
      </c>
      <c r="C204" s="13">
        <f>'2022'!An_max</f>
        <v>2020</v>
      </c>
      <c r="D204" s="1062">
        <f t="shared" si="78"/>
        <v>0.98476356042645741</v>
      </c>
      <c r="E204" s="1057">
        <f>AA$13/10</f>
        <v>61.473199999999999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3">
        <f t="shared" si="81"/>
        <v>0</v>
      </c>
      <c r="J204" s="746">
        <f t="shared" si="82"/>
        <v>61.47319999970496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5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3">
        <f t="shared" si="86"/>
        <v>0.5</v>
      </c>
      <c r="AT204" s="769">
        <f t="shared" si="87"/>
        <v>61.479337500035761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3">
        <f t="shared" si="91"/>
        <v>1</v>
      </c>
      <c r="AY204" s="769">
        <f t="shared" si="92"/>
        <v>61.47319999970496</v>
      </c>
      <c r="AZ204" s="746">
        <f t="shared" si="96"/>
        <v>61.476268749870357</v>
      </c>
      <c r="BA204" s="643">
        <f t="shared" si="93"/>
        <v>0.98476356042645741</v>
      </c>
      <c r="BC204" s="11">
        <v>43290</v>
      </c>
      <c r="BD204" s="290">
        <f>[3]!FeuilCaduc*(1-Persistant)+Persistant</f>
        <v>0.99088559304384516</v>
      </c>
      <c r="BE204" s="291">
        <f>[3]!CroissVégét</f>
        <v>0.76698911930492164</v>
      </c>
      <c r="BF204" s="816">
        <f>1+[3]!Salcycl*Ksac</f>
        <v>1.0488606991304807</v>
      </c>
      <c r="BH204" s="1053">
        <f t="shared" si="94"/>
        <v>6.2834023083947798E-4</v>
      </c>
      <c r="BI204" s="11">
        <v>44386</v>
      </c>
      <c r="BJ204" s="726">
        <v>4.4397160182897608E-5</v>
      </c>
      <c r="BK204" s="726">
        <v>1.7436363460834694E-4</v>
      </c>
      <c r="BL204" s="726">
        <v>3.5620872635010626E-4</v>
      </c>
      <c r="BM204" s="726">
        <v>6.2905254124365673E-4</v>
      </c>
      <c r="BN204" s="726">
        <v>1.0757833312519368E-3</v>
      </c>
      <c r="BO204" s="727">
        <v>1.697920124499276E-3</v>
      </c>
      <c r="BP204" s="726">
        <v>2.6123371007506771E-3</v>
      </c>
      <c r="BQ204" s="726">
        <v>4.7027835457540378E-3</v>
      </c>
      <c r="BR204" s="726">
        <v>7.3149279248611171E-3</v>
      </c>
      <c r="BS204" s="726">
        <v>1.282909667580316E-2</v>
      </c>
      <c r="BT204" s="726">
        <v>2.0268741840750663E-2</v>
      </c>
      <c r="BW204" s="1186">
        <f>'2018'!R\Max</f>
        <v>0</v>
      </c>
      <c r="BX204" s="1184">
        <f>'2019'!R\Max</f>
        <v>0.34245558374204077</v>
      </c>
      <c r="BY204" s="1184">
        <f>'2020'!R\Max</f>
        <v>0.98476356042645741</v>
      </c>
      <c r="BZ204" s="1184">
        <f>'2021'!R\Max</f>
        <v>0.98292210843520722</v>
      </c>
      <c r="CA204" s="1184">
        <f>'2022'!R\Max</f>
        <v>0.96947194914530266</v>
      </c>
      <c r="CB204" s="1184">
        <f>'2023'!R\Max</f>
        <v>0.9694705468482856</v>
      </c>
      <c r="CC204" s="1184">
        <f>'2024'!R\Max</f>
        <v>0.96946777044918919</v>
      </c>
      <c r="CD204" s="1184">
        <f>'2025'!R\Max</f>
        <v>0.96947580758302565</v>
      </c>
      <c r="CE204" s="1184">
        <f>'2026'!R\Max</f>
        <v>0.96947512263320945</v>
      </c>
      <c r="CF204" s="1185">
        <f>'2027'!R\Max</f>
        <v>0.96947424622243261</v>
      </c>
    </row>
    <row r="205" spans="1:84" s="6" customFormat="1" ht="11.25" x14ac:dyDescent="0.2">
      <c r="A205" s="11">
        <v>43291</v>
      </c>
      <c r="B205" s="380">
        <f>'2022'!Maxi_hp</f>
        <v>59.982897259607313</v>
      </c>
      <c r="C205" s="13">
        <f>'2022'!An_max</f>
        <v>2019</v>
      </c>
      <c r="D205" s="1062">
        <f t="shared" si="78"/>
        <v>0.97744945311123188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3">
        <f t="shared" si="81"/>
        <v>7.1428571428571425E-2</v>
      </c>
      <c r="J205" s="746">
        <f t="shared" si="82"/>
        <v>61.366751056723309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5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3">
        <f t="shared" si="86"/>
        <v>0.4642857142857143</v>
      </c>
      <c r="AT205" s="769">
        <f t="shared" si="87"/>
        <v>61.370036766618227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3">
        <f t="shared" si="91"/>
        <v>0.9642857142857143</v>
      </c>
      <c r="AY205" s="769">
        <f t="shared" si="92"/>
        <v>61.368679090981765</v>
      </c>
      <c r="AZ205" s="746">
        <f t="shared" si="96"/>
        <v>61.3693579288</v>
      </c>
      <c r="BA205" s="643">
        <f t="shared" si="93"/>
        <v>0.97744945311123188</v>
      </c>
      <c r="BC205" s="11">
        <v>43291</v>
      </c>
      <c r="BD205" s="290">
        <f>[3]!FeuilCaduc*(1-Persistant)+Persistant</f>
        <v>0.9920035969291523</v>
      </c>
      <c r="BE205" s="291">
        <f>[3]!CroissVégét</f>
        <v>0.77426389460057909</v>
      </c>
      <c r="BF205" s="816">
        <f>1+[3]!Salcycl*Ksac</f>
        <v>1.049000449616144</v>
      </c>
      <c r="BH205" s="1053">
        <f t="shared" si="94"/>
        <v>6.3930788278570335E-4</v>
      </c>
      <c r="BI205" s="11">
        <v>44387</v>
      </c>
      <c r="BJ205" s="726">
        <v>4.1584090776964152E-5</v>
      </c>
      <c r="BK205" s="726">
        <v>1.7725853711462498E-4</v>
      </c>
      <c r="BL205" s="726">
        <v>3.6214655942705214E-4</v>
      </c>
      <c r="BM205" s="726">
        <v>6.4003335885520426E-4</v>
      </c>
      <c r="BN205" s="726">
        <v>1.1177914704801517E-3</v>
      </c>
      <c r="BO205" s="727">
        <v>1.7884020702161963E-3</v>
      </c>
      <c r="BP205" s="726">
        <v>2.7725203294043333E-3</v>
      </c>
      <c r="BQ205" s="726">
        <v>5.0508365637914757E-3</v>
      </c>
      <c r="BR205" s="726">
        <v>7.8455115185126125E-3</v>
      </c>
      <c r="BS205" s="726">
        <v>1.3505251101788443E-2</v>
      </c>
      <c r="BT205" s="726">
        <v>2.093526468095061E-2</v>
      </c>
      <c r="BW205" s="1186">
        <f>'2018'!R\Max</f>
        <v>0</v>
      </c>
      <c r="BX205" s="1184">
        <f>'2019'!R\Max</f>
        <v>0.97744945311123188</v>
      </c>
      <c r="BY205" s="1184">
        <f>'2020'!R\Max</f>
        <v>0.92869521415667022</v>
      </c>
      <c r="BZ205" s="1184">
        <f>'2021'!R\Max</f>
        <v>0.89809257111791729</v>
      </c>
      <c r="CA205" s="1184">
        <f>'2022'!R\Max</f>
        <v>0.95890077358848702</v>
      </c>
      <c r="CB205" s="1184">
        <f>'2023'!R\Max</f>
        <v>0.95889875818806236</v>
      </c>
      <c r="CC205" s="1184">
        <f>'2024'!R\Max</f>
        <v>0.95889470409241018</v>
      </c>
      <c r="CD205" s="1184">
        <f>'2025'!R\Max</f>
        <v>0.95890632281718624</v>
      </c>
      <c r="CE205" s="1184">
        <f>'2026'!R\Max</f>
        <v>0.95890534460290011</v>
      </c>
      <c r="CF205" s="1185">
        <f>'2027'!R\Max</f>
        <v>0.95890408240563585</v>
      </c>
    </row>
    <row r="206" spans="1:84" s="6" customFormat="1" ht="11.25" x14ac:dyDescent="0.2">
      <c r="A206" s="11">
        <v>43292</v>
      </c>
      <c r="B206" s="380">
        <f>'2022'!Maxi_hp</f>
        <v>61.452728703103304</v>
      </c>
      <c r="C206" s="13">
        <f>'2022'!An_max</f>
        <v>2019</v>
      </c>
      <c r="D206" s="1062">
        <f t="shared" si="78"/>
        <v>1.0031803949602056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3">
        <f t="shared" si="81"/>
        <v>0.14285714285714285</v>
      </c>
      <c r="J206" s="746">
        <f t="shared" si="82"/>
        <v>61.257904372763413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5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3">
        <f t="shared" si="86"/>
        <v>0.42857142857142855</v>
      </c>
      <c r="AT206" s="769">
        <f t="shared" si="87"/>
        <v>61.258763264971115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3">
        <f t="shared" si="91"/>
        <v>0.9285714285714286</v>
      </c>
      <c r="AY206" s="769">
        <f t="shared" si="92"/>
        <v>61.262055685025231</v>
      </c>
      <c r="AZ206" s="746">
        <f t="shared" si="96"/>
        <v>61.26040947499817</v>
      </c>
      <c r="BA206" s="643">
        <f t="shared" si="93"/>
        <v>1.0031803949602056</v>
      </c>
      <c r="BC206" s="11">
        <v>43292</v>
      </c>
      <c r="BD206" s="290">
        <f>[3]!FeuilCaduc*(1-Persistant)+Persistant</f>
        <v>0.99302648552044026</v>
      </c>
      <c r="BE206" s="291">
        <f>[3]!CroissVégét</f>
        <v>0.78137649671730769</v>
      </c>
      <c r="BF206" s="816">
        <f>1+[3]!Salcycl*Ksac</f>
        <v>1.0491283106900551</v>
      </c>
      <c r="BH206" s="1053">
        <f t="shared" si="94"/>
        <v>6.5672627676769269E-4</v>
      </c>
      <c r="BI206" s="11">
        <v>44388</v>
      </c>
      <c r="BJ206" s="726">
        <v>3.8778557813482335E-5</v>
      </c>
      <c r="BK206" s="726">
        <v>1.8205793384340341E-4</v>
      </c>
      <c r="BL206" s="726">
        <v>3.7179694543325564E-4</v>
      </c>
      <c r="BM206" s="726">
        <v>6.5747208577479784E-4</v>
      </c>
      <c r="BN206" s="726">
        <v>1.1720103833216334E-3</v>
      </c>
      <c r="BO206" s="727">
        <v>1.897459664911034E-3</v>
      </c>
      <c r="BP206" s="726">
        <v>2.9571862211700372E-3</v>
      </c>
      <c r="BQ206" s="726">
        <v>5.4158760979673599E-3</v>
      </c>
      <c r="BR206" s="726">
        <v>8.3830022935931173E-3</v>
      </c>
      <c r="BS206" s="726">
        <v>1.4145792263634015E-2</v>
      </c>
      <c r="BT206" s="726">
        <v>2.1502361961579643E-2</v>
      </c>
      <c r="BW206" s="1186">
        <f>'2018'!R\Max</f>
        <v>0</v>
      </c>
      <c r="BX206" s="1184">
        <f>'2019'!R\Max</f>
        <v>1.0031803949602056</v>
      </c>
      <c r="BY206" s="1184">
        <f>'2020'!R\Max</f>
        <v>0.81422036591448099</v>
      </c>
      <c r="BZ206" s="1184">
        <f>'2021'!R\Max</f>
        <v>0.90297749565480934</v>
      </c>
      <c r="CA206" s="1184">
        <f>'2022'!R\Max</f>
        <v>0.93529488166971353</v>
      </c>
      <c r="CB206" s="1184">
        <f>'2023'!R\Max</f>
        <v>0.93529153964801393</v>
      </c>
      <c r="CC206" s="1184">
        <f>'2024'!R\Max</f>
        <v>0.93528477262366727</v>
      </c>
      <c r="CD206" s="1184">
        <f>'2025'!R\Max</f>
        <v>0.93530411702893157</v>
      </c>
      <c r="CE206" s="1184">
        <f>'2026'!R\Max</f>
        <v>0.93530249469184601</v>
      </c>
      <c r="CF206" s="1185">
        <f>'2027'!R\Max</f>
        <v>0.93530038936248072</v>
      </c>
    </row>
    <row r="207" spans="1:84" s="6" customFormat="1" ht="11.25" x14ac:dyDescent="0.2">
      <c r="A207" s="11">
        <v>43293</v>
      </c>
      <c r="B207" s="380">
        <f>'2022'!Maxi_hp</f>
        <v>61.87528776158792</v>
      </c>
      <c r="C207" s="13">
        <f>'2022'!An_max</f>
        <v>2019</v>
      </c>
      <c r="D207" s="1062">
        <f t="shared" ref="D207:D270" si="97">IF($BA207&gt;$D$11,BA207,"")</f>
        <v>1.0119142921741808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3">
        <f t="shared" ref="I207:I270" si="100">($A207-H207)/(INDEX(x.2m,G207)-H207)</f>
        <v>0.21428571428571427</v>
      </c>
      <c r="J207" s="746">
        <f t="shared" ref="J207:J270" si="101">((1-I207)*(INDEX(a.m,F207)*$A207*$A207+INDEX(b.m,F207)*$A207+INDEX(c.m,F207))+I207*(INDEX(a.m,G207)*$A207*$A207+INDEX(b.m,G207)*$A207+INDEX(c.m,G207)))/10</f>
        <v>61.146767310345808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5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3">
        <f t="shared" ref="AS207:AS270" si="105">($A207-AR207)/(INDEX(x.2lg,AQ207)-AR207)</f>
        <v>0.39285714285714285</v>
      </c>
      <c r="AT207" s="769">
        <f t="shared" ref="AT207:AT270" si="106">((1-AS207)*(INDEX(a.lg,AP207)*$A207*$A207+INDEX(b.lg,AP207)*$A207+INDEX(c.lg,AP207))+AS207*(INDEX(a.lg,AQ207)*$A207*$A207+INDEX(b.lg,AQ207)*$A207+INDEX(c.lg,AQ207)))/10</f>
        <v>61.145610937529383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3">
        <f t="shared" ref="AX207:AX270" si="110">($A207-AW207)/(INDEX(x.2ld,AV207)-AW207)</f>
        <v>0.8928571428571429</v>
      </c>
      <c r="AY207" s="769">
        <f t="shared" ref="AY207:AY270" si="111">((1-AX207)*(INDEX(a.ld,AU207)*$A207*$A207+INDEX(b.ld,AU207)*$A207+INDEX(c.ld,AU207))+AX207*(INDEX(a.ld,AV207)*$A207*$A207+INDEX(b.ld,AV207)*$A207+INDEX(c.ld,AV207)))/10</f>
        <v>61.153356623616347</v>
      </c>
      <c r="AZ207" s="746">
        <f t="shared" si="96"/>
        <v>61.149483780572865</v>
      </c>
      <c r="BA207" s="643">
        <f t="shared" ref="BA207:BA270" si="112">+B207/J207</f>
        <v>1.0119142921741808</v>
      </c>
      <c r="BC207" s="11">
        <v>43293</v>
      </c>
      <c r="BD207" s="290">
        <f>[3]!FeuilCaduc*(1-Persistant)+Persistant</f>
        <v>0.99395853402505574</v>
      </c>
      <c r="BE207" s="291">
        <f>[3]!CroissVégét</f>
        <v>0.78832648381074411</v>
      </c>
      <c r="BF207" s="816">
        <f>1+[3]!Salcycl*Ksac</f>
        <v>1.0492448167531321</v>
      </c>
      <c r="BH207" s="1053">
        <f t="shared" ref="BH207:BH270" si="113">INDEX($BJ207:$BT207,,$BH$10)*(1-Ratini)+INDEX($BJ207:$BT207,,$BH$10+1)*Ratini</f>
        <v>6.8078206127338058E-4</v>
      </c>
      <c r="BI207" s="11">
        <v>44389</v>
      </c>
      <c r="BJ207" s="726">
        <v>3.6160997385107731E-5</v>
      </c>
      <c r="BK207" s="726">
        <v>1.8883321980965476E-4</v>
      </c>
      <c r="BL207" s="726">
        <v>3.8530663338753586E-4</v>
      </c>
      <c r="BM207" s="726">
        <v>6.8155547492813981E-4</v>
      </c>
      <c r="BN207" s="726">
        <v>1.2382368600788616E-3</v>
      </c>
      <c r="BO207" s="727">
        <v>2.0240197173850265E-3</v>
      </c>
      <c r="BP207" s="726">
        <v>3.1639124998538697E-3</v>
      </c>
      <c r="BQ207" s="726">
        <v>5.7847236797627785E-3</v>
      </c>
      <c r="BR207" s="726">
        <v>8.9034582345447789E-3</v>
      </c>
      <c r="BS207" s="726">
        <v>1.471671198931331E-2</v>
      </c>
      <c r="BT207" s="726">
        <v>2.1935836185347602E-2</v>
      </c>
      <c r="BW207" s="1186">
        <f>'2018'!R\Max</f>
        <v>0</v>
      </c>
      <c r="BX207" s="1184">
        <f>'2019'!R\Max</f>
        <v>1.0119142921741808</v>
      </c>
      <c r="BY207" s="1184">
        <f>'2020'!R\Max</f>
        <v>0.83604496525994587</v>
      </c>
      <c r="BZ207" s="1184">
        <f>'2021'!R\Max</f>
        <v>0.23498559502420863</v>
      </c>
      <c r="CA207" s="1184">
        <f>'2022'!R\Max</f>
        <v>0.93880815252220984</v>
      </c>
      <c r="CB207" s="1184">
        <f>'2023'!R\Max</f>
        <v>0.93880473065924008</v>
      </c>
      <c r="CC207" s="1184">
        <f>'2024'!R\Max</f>
        <v>0.93879782664028721</v>
      </c>
      <c r="CD207" s="1184">
        <f>'2025'!R\Max</f>
        <v>0.93881766562275937</v>
      </c>
      <c r="CE207" s="1184">
        <f>'2026'!R\Max</f>
        <v>0.93881599489780476</v>
      </c>
      <c r="CF207" s="1185">
        <f>'2027'!R\Max</f>
        <v>0.93881381999183711</v>
      </c>
    </row>
    <row r="208" spans="1:84" s="6" customFormat="1" ht="11.25" x14ac:dyDescent="0.2">
      <c r="A208" s="11">
        <v>43294</v>
      </c>
      <c r="B208" s="380">
        <f>'2022'!Maxi_hp</f>
        <v>56.734757420394608</v>
      </c>
      <c r="C208" s="13">
        <f>'2022'!An_max</f>
        <v>2022</v>
      </c>
      <c r="D208" s="1062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3">
        <f t="shared" si="100"/>
        <v>0.2857142857142857</v>
      </c>
      <c r="J208" s="746">
        <f t="shared" si="101"/>
        <v>61.033447230607273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5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3">
        <f t="shared" si="105"/>
        <v>0.35714285714285715</v>
      </c>
      <c r="AT208" s="769">
        <f t="shared" si="106"/>
        <v>61.030673724506052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3">
        <f t="shared" si="110"/>
        <v>0.8571428571428571</v>
      </c>
      <c r="AY208" s="769">
        <f t="shared" si="111"/>
        <v>61.042608746141198</v>
      </c>
      <c r="AZ208" s="746">
        <f t="shared" ref="AZ208:AZ271" si="115">(AY208+AT208)/2</f>
        <v>61.036641235323629</v>
      </c>
      <c r="BA208" s="643">
        <f t="shared" si="112"/>
        <v>0.92956829402129948</v>
      </c>
      <c r="BC208" s="11">
        <v>43294</v>
      </c>
      <c r="BD208" s="290">
        <f>[3]!FeuilCaduc*(1-Persistant)+Persistant</f>
        <v>0.99480404515330823</v>
      </c>
      <c r="BE208" s="291">
        <f>[3]!CroissVégét</f>
        <v>0.79511370224543498</v>
      </c>
      <c r="BF208" s="816">
        <f>1+[3]!Salcycl*Ksac</f>
        <v>1.0493505056441634</v>
      </c>
      <c r="BH208" s="1053">
        <f t="shared" si="113"/>
        <v>7.1146817329055534E-4</v>
      </c>
      <c r="BI208" s="11">
        <v>44390</v>
      </c>
      <c r="BJ208" s="726">
        <v>3.3731118808270858E-5</v>
      </c>
      <c r="BK208" s="726">
        <v>1.9758227206956929E-4</v>
      </c>
      <c r="BL208" s="726">
        <v>4.0267149538540968E-4</v>
      </c>
      <c r="BM208" s="726">
        <v>7.1227645562030773E-4</v>
      </c>
      <c r="BN208" s="726">
        <v>1.3164588230078361E-3</v>
      </c>
      <c r="BO208" s="727">
        <v>2.1680656779734298E-3</v>
      </c>
      <c r="BP208" s="726">
        <v>3.3926801302105723E-3</v>
      </c>
      <c r="BQ208" s="726">
        <v>6.1573894610369717E-3</v>
      </c>
      <c r="BR208" s="726">
        <v>9.40692187346138E-3</v>
      </c>
      <c r="BS208" s="726">
        <v>1.5218123065850147E-2</v>
      </c>
      <c r="BT208" s="726">
        <v>2.2235879640638435E-2</v>
      </c>
      <c r="BW208" s="1186">
        <f>'2018'!R\Max</f>
        <v>0</v>
      </c>
      <c r="BX208" s="1184">
        <f>'2019'!R\Max</f>
        <v>0.86588880818613656</v>
      </c>
      <c r="BY208" s="1184">
        <f>'2020'!R\Max</f>
        <v>0.67464592354736252</v>
      </c>
      <c r="BZ208" s="1184">
        <f>'2021'!R\Max</f>
        <v>0.42926630346242595</v>
      </c>
      <c r="CA208" s="1184">
        <f>'2022'!R\Max</f>
        <v>0.92956829402129948</v>
      </c>
      <c r="CB208" s="1184">
        <f>'2023'!R\Max</f>
        <v>0.92956409299102416</v>
      </c>
      <c r="CC208" s="1184">
        <f>'2024'!R\Max</f>
        <v>0.92955571772721735</v>
      </c>
      <c r="CD208" s="1184">
        <f>'2025'!R\Max</f>
        <v>0.92958006513903868</v>
      </c>
      <c r="CE208" s="1184">
        <f>'2026'!R\Max</f>
        <v>0.9295779930077952</v>
      </c>
      <c r="CF208" s="1185">
        <f>'2027'!R\Max</f>
        <v>0.92957529287608409</v>
      </c>
    </row>
    <row r="209" spans="1:84" s="6" customFormat="1" ht="11.25" x14ac:dyDescent="0.2">
      <c r="A209" s="11">
        <v>43295</v>
      </c>
      <c r="B209" s="380">
        <f>'2022'!Maxi_hp</f>
        <v>61.910407700916835</v>
      </c>
      <c r="C209" s="13">
        <f>'2022'!An_max</f>
        <v>2019</v>
      </c>
      <c r="D209" s="1062">
        <f t="shared" si="97"/>
        <v>1.0162900188421986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3">
        <f t="shared" si="100"/>
        <v>0.35714285714285715</v>
      </c>
      <c r="J209" s="746">
        <f t="shared" si="101"/>
        <v>60.918051494245546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5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3">
        <f t="shared" si="105"/>
        <v>0.32142857142857145</v>
      </c>
      <c r="AT209" s="769">
        <f t="shared" si="106"/>
        <v>60.91404556767084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3">
        <f t="shared" si="110"/>
        <v>0.8214285714285714</v>
      </c>
      <c r="AY209" s="769">
        <f t="shared" si="111"/>
        <v>60.929838893695603</v>
      </c>
      <c r="AZ209" s="746">
        <f t="shared" si="115"/>
        <v>60.921942230683221</v>
      </c>
      <c r="BA209" s="643">
        <f t="shared" si="112"/>
        <v>1.0162900188421986</v>
      </c>
      <c r="BC209" s="11">
        <v>43295</v>
      </c>
      <c r="BD209" s="290">
        <f>[3]!FeuilCaduc*(1-Persistant)+Persistant</f>
        <v>0.99556732469267872</v>
      </c>
      <c r="BE209" s="291">
        <f>[3]!CroissVégét</f>
        <v>0.80173827384170082</v>
      </c>
      <c r="BF209" s="816">
        <f>1+[3]!Salcycl*Ksac</f>
        <v>1.0494459155865847</v>
      </c>
      <c r="BH209" s="1053">
        <f t="shared" si="113"/>
        <v>7.4877805220572257E-4</v>
      </c>
      <c r="BI209" s="11">
        <v>44391</v>
      </c>
      <c r="BJ209" s="726">
        <v>3.1488637648208202E-5</v>
      </c>
      <c r="BK209" s="726">
        <v>2.0830311630067424E-4</v>
      </c>
      <c r="BL209" s="726">
        <v>4.2388769448261352E-4</v>
      </c>
      <c r="BM209" s="726">
        <v>7.4962846010854069E-4</v>
      </c>
      <c r="BN209" s="726">
        <v>1.4066651582053957E-3</v>
      </c>
      <c r="BO209" s="727">
        <v>2.3295824746644247E-3</v>
      </c>
      <c r="BP209" s="726">
        <v>3.6434720538922028E-3</v>
      </c>
      <c r="BQ209" s="726">
        <v>6.5338847428064277E-3</v>
      </c>
      <c r="BR209" s="726">
        <v>9.8934358652746166E-3</v>
      </c>
      <c r="BS209" s="726">
        <v>1.5650135009441197E-2</v>
      </c>
      <c r="BT209" s="726">
        <v>2.240267673340646E-2</v>
      </c>
      <c r="BW209" s="1186">
        <f>'2018'!R\Max</f>
        <v>0</v>
      </c>
      <c r="BX209" s="1184">
        <f>'2019'!R\Max</f>
        <v>1.0162900188421986</v>
      </c>
      <c r="BY209" s="1184">
        <f>'2020'!R\Max</f>
        <v>0.99336781556650777</v>
      </c>
      <c r="BZ209" s="1184">
        <f>'2021'!R\Max</f>
        <v>0.47953775553446742</v>
      </c>
      <c r="CA209" s="1184">
        <f>'2022'!R\Max</f>
        <v>0.92147589368533267</v>
      </c>
      <c r="CB209" s="1184">
        <f>'2023'!R\Max</f>
        <v>0.9214708989563356</v>
      </c>
      <c r="CC209" s="1184">
        <f>'2024'!R\Max</f>
        <v>0.92146112936731506</v>
      </c>
      <c r="CD209" s="1184">
        <f>'2025'!R\Max</f>
        <v>0.92149001744266301</v>
      </c>
      <c r="CE209" s="1184">
        <f>'2026'!R\Max</f>
        <v>0.92148752038833093</v>
      </c>
      <c r="CF209" s="1185">
        <f>'2027'!R\Max</f>
        <v>0.92148426881385415</v>
      </c>
    </row>
    <row r="210" spans="1:84" s="6" customFormat="1" ht="11.25" x14ac:dyDescent="0.2">
      <c r="A210" s="11">
        <v>43296</v>
      </c>
      <c r="B210" s="380">
        <f>'2022'!Maxi_hp</f>
        <v>63.341573131215071</v>
      </c>
      <c r="C210" s="13">
        <f>'2022'!An_max</f>
        <v>2019</v>
      </c>
      <c r="D210" s="1062">
        <f t="shared" si="97"/>
        <v>1.0417904101662807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3">
        <f t="shared" si="100"/>
        <v>0.42857142857142855</v>
      </c>
      <c r="J210" s="746">
        <f t="shared" si="101"/>
        <v>60.800687463714596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5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3">
        <f t="shared" si="105"/>
        <v>0.2857142857142857</v>
      </c>
      <c r="AT210" s="769">
        <f t="shared" si="106"/>
        <v>60.795820407995151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3">
        <f t="shared" si="110"/>
        <v>0.7857142857142857</v>
      </c>
      <c r="AY210" s="769">
        <f t="shared" si="111"/>
        <v>60.815073906297663</v>
      </c>
      <c r="AZ210" s="746">
        <f t="shared" si="115"/>
        <v>60.805447157146403</v>
      </c>
      <c r="BA210" s="643">
        <f t="shared" si="112"/>
        <v>1.0417904101662807</v>
      </c>
      <c r="BC210" s="11">
        <v>43296</v>
      </c>
      <c r="BD210" s="290">
        <f>[3]!FeuilCaduc*(1-Persistant)+Persistant</f>
        <v>0.9962526578460128</v>
      </c>
      <c r="BE210" s="291">
        <f>[3]!CroissVégét</f>
        <v>0.80820058265200556</v>
      </c>
      <c r="BF210" s="816">
        <f>1+[3]!Salcycl*Ksac</f>
        <v>1.0495315822307516</v>
      </c>
      <c r="BH210" s="1053">
        <f t="shared" si="113"/>
        <v>7.9270567910454787E-4</v>
      </c>
      <c r="BI210" s="11">
        <v>44392</v>
      </c>
      <c r="BJ210" s="726">
        <v>2.943327681480875E-5</v>
      </c>
      <c r="BK210" s="726">
        <v>2.2099393849978329E-4</v>
      </c>
      <c r="BL210" s="726">
        <v>4.4895170754428792E-4</v>
      </c>
      <c r="BM210" s="726">
        <v>7.9360546294574474E-4</v>
      </c>
      <c r="BN210" s="726">
        <v>1.5088457868203805E-3</v>
      </c>
      <c r="BO210" s="727">
        <v>2.5085566170403198E-3</v>
      </c>
      <c r="BP210" s="726">
        <v>3.9162733206714335E-3</v>
      </c>
      <c r="BQ210" s="726">
        <v>6.9142219993738718E-3</v>
      </c>
      <c r="BR210" s="726">
        <v>1.0363042889416316E-2</v>
      </c>
      <c r="BS210" s="726">
        <v>1.6012853656545964E-2</v>
      </c>
      <c r="BT210" s="726">
        <v>2.2436403199275989E-2</v>
      </c>
      <c r="BW210" s="1186">
        <f>'2018'!R\Max</f>
        <v>0</v>
      </c>
      <c r="BX210" s="1184">
        <f>'2019'!R\Max</f>
        <v>1.0417904101662807</v>
      </c>
      <c r="BY210" s="1184">
        <f>'2020'!R\Max</f>
        <v>0.80090572743581601</v>
      </c>
      <c r="BZ210" s="1184">
        <f>'2021'!R\Max</f>
        <v>0.62384850206438391</v>
      </c>
      <c r="CA210" s="1184">
        <f>'2022'!R\Max</f>
        <v>0.89247386324250966</v>
      </c>
      <c r="CB210" s="1184">
        <f>'2023'!R\Max</f>
        <v>0.89246674732254094</v>
      </c>
      <c r="CC210" s="1184">
        <f>'2024'!R\Max</f>
        <v>0.89245317490854026</v>
      </c>
      <c r="CD210" s="1184">
        <f>'2025'!R\Max</f>
        <v>0.89249418919578027</v>
      </c>
      <c r="CE210" s="1184">
        <f>'2026'!R\Max</f>
        <v>0.89249057468620974</v>
      </c>
      <c r="CF210" s="1185">
        <f>'2027'!R\Max</f>
        <v>0.89248587742729191</v>
      </c>
    </row>
    <row r="211" spans="1:84" s="6" customFormat="1" ht="11.25" x14ac:dyDescent="0.2">
      <c r="A211" s="11">
        <v>43297</v>
      </c>
      <c r="B211" s="380">
        <f>'2022'!Maxi_hp</f>
        <v>61.340662594559738</v>
      </c>
      <c r="C211" s="13">
        <f>'2022'!An_max</f>
        <v>2019</v>
      </c>
      <c r="D211" s="1062">
        <f t="shared" si="97"/>
        <v>1.0108632862054205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3">
        <f t="shared" si="100"/>
        <v>0.5</v>
      </c>
      <c r="J211" s="746">
        <f t="shared" si="101"/>
        <v>60.681462500058117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5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3">
        <f t="shared" si="105"/>
        <v>0.25</v>
      </c>
      <c r="AT211" s="769">
        <f t="shared" si="106"/>
        <v>60.676092187734319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3">
        <f t="shared" si="110"/>
        <v>0.75</v>
      </c>
      <c r="AY211" s="769">
        <f t="shared" si="111"/>
        <v>60.698340624477716</v>
      </c>
      <c r="AZ211" s="746">
        <f t="shared" si="115"/>
        <v>60.687216406106018</v>
      </c>
      <c r="BA211" s="643">
        <f t="shared" si="112"/>
        <v>1.0108632862054205</v>
      </c>
      <c r="BC211" s="11">
        <v>43297</v>
      </c>
      <c r="BD211" s="290">
        <f>[3]!FeuilCaduc*(1-Persistant)+Persistant</f>
        <v>0.99686428648976422</v>
      </c>
      <c r="BE211" s="291">
        <f>[3]!CroissVégét</f>
        <v>0.81450126137468837</v>
      </c>
      <c r="BF211" s="816">
        <f>1+[3]!Salcycl*Ksac</f>
        <v>1.0496080358112205</v>
      </c>
      <c r="BH211" s="1053">
        <f t="shared" si="113"/>
        <v>8.4324561604543066E-4</v>
      </c>
      <c r="BI211" s="11">
        <v>44393</v>
      </c>
      <c r="BJ211" s="726">
        <v>2.7564767657112731E-5</v>
      </c>
      <c r="BK211" s="726">
        <v>2.3565309667348703E-4</v>
      </c>
      <c r="BL211" s="726">
        <v>4.7786034807895312E-4</v>
      </c>
      <c r="BM211" s="726">
        <v>8.4420202029709761E-4</v>
      </c>
      <c r="BN211" s="726">
        <v>1.6229917362154895E-3</v>
      </c>
      <c r="BO211" s="727">
        <v>2.704976300137859E-3</v>
      </c>
      <c r="BP211" s="726">
        <v>4.2110712195383357E-3</v>
      </c>
      <c r="BQ211" s="726">
        <v>7.2984149022270062E-3</v>
      </c>
      <c r="BR211" s="726">
        <v>1.0815785551127744E-2</v>
      </c>
      <c r="BS211" s="726">
        <v>1.6306380754399958E-2</v>
      </c>
      <c r="BT211" s="726">
        <v>2.2337225314790057E-2</v>
      </c>
      <c r="BW211" s="1186">
        <f>'2018'!R\Max</f>
        <v>0</v>
      </c>
      <c r="BX211" s="1184">
        <f>'2019'!R\Max</f>
        <v>1.0108632862054205</v>
      </c>
      <c r="BY211" s="1184">
        <f>'2020'!R\Max</f>
        <v>0.35848929107378003</v>
      </c>
      <c r="BZ211" s="1184">
        <f>'2021'!R\Max</f>
        <v>0.71161474781001921</v>
      </c>
      <c r="CA211" s="1184">
        <f>'2022'!R\Max</f>
        <v>0.91901340616588356</v>
      </c>
      <c r="CB211" s="1184">
        <f>'2023'!R\Max</f>
        <v>0.91900748621012562</v>
      </c>
      <c r="CC211" s="1184">
        <f>'2024'!R\Max</f>
        <v>0.91899653475661647</v>
      </c>
      <c r="CD211" s="1184">
        <f>'2025'!R\Max</f>
        <v>0.91903049760613931</v>
      </c>
      <c r="CE211" s="1184">
        <f>'2026'!R\Max</f>
        <v>0.919027437387131</v>
      </c>
      <c r="CF211" s="1185">
        <f>'2027'!R\Max</f>
        <v>0.91902347230949422</v>
      </c>
    </row>
    <row r="212" spans="1:84" s="6" customFormat="1" ht="11.25" x14ac:dyDescent="0.2">
      <c r="A212" s="11">
        <v>43298</v>
      </c>
      <c r="B212" s="380">
        <f>'2022'!Maxi_hp</f>
        <v>60.188178256844751</v>
      </c>
      <c r="C212" s="13">
        <f>'2022'!An_max</f>
        <v>2021</v>
      </c>
      <c r="D212" s="1062">
        <f t="shared" si="97"/>
        <v>0.99385233267893258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3">
        <f t="shared" si="100"/>
        <v>0.5714285714285714</v>
      </c>
      <c r="J212" s="746">
        <f t="shared" si="101"/>
        <v>60.560483965064805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5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3">
        <f t="shared" si="105"/>
        <v>0.21428571428571427</v>
      </c>
      <c r="AT212" s="769">
        <f t="shared" si="106"/>
        <v>60.554954846908473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3">
        <f t="shared" si="110"/>
        <v>0.7142857142857143</v>
      </c>
      <c r="AY212" s="769">
        <f t="shared" si="111"/>
        <v>60.579665889378113</v>
      </c>
      <c r="AZ212" s="746">
        <f t="shared" si="115"/>
        <v>60.567310368143296</v>
      </c>
      <c r="BA212" s="643">
        <f t="shared" si="112"/>
        <v>0.99385233267893258</v>
      </c>
      <c r="BC212" s="11">
        <v>43298</v>
      </c>
      <c r="BD212" s="290">
        <f>[3]!FeuilCaduc*(1-Persistant)+Persistant</f>
        <v>0.99740638749766264</v>
      </c>
      <c r="BE212" s="291">
        <f>[3]!CroissVégét</f>
        <v>0.82064117750784105</v>
      </c>
      <c r="BF212" s="816">
        <f>1+[3]!Salcycl*Ksac</f>
        <v>1.0496757984372078</v>
      </c>
      <c r="BH212" s="1053">
        <f t="shared" si="113"/>
        <v>9.0180255526275401E-4</v>
      </c>
      <c r="BI212" s="11">
        <v>44394</v>
      </c>
      <c r="BJ212" s="726">
        <v>2.7515012569909543E-5</v>
      </c>
      <c r="BK212" s="726">
        <v>2.5401857987477337E-4</v>
      </c>
      <c r="BL212" s="726">
        <v>5.1258258280912955E-4</v>
      </c>
      <c r="BM212" s="726">
        <v>9.0282134739567207E-4</v>
      </c>
      <c r="BN212" s="726">
        <v>1.7442506457496449E-3</v>
      </c>
      <c r="BO212" s="727">
        <v>2.9050777650969769E-3</v>
      </c>
      <c r="BP212" s="726">
        <v>4.5022918468844509E-3</v>
      </c>
      <c r="BQ212" s="726">
        <v>7.6536774234410116E-3</v>
      </c>
      <c r="BR212" s="726">
        <v>1.121368686119833E-2</v>
      </c>
      <c r="BS212" s="726">
        <v>1.6505846206252971E-2</v>
      </c>
      <c r="BT212" s="726">
        <v>2.2108845061797222E-2</v>
      </c>
      <c r="BW212" s="1186">
        <f>'2018'!R\Max</f>
        <v>0</v>
      </c>
      <c r="BX212" s="1184">
        <f>'2019'!R\Max</f>
        <v>0.87792437861373696</v>
      </c>
      <c r="BY212" s="1184">
        <f>'2020'!R\Max</f>
        <v>0.42152490037862472</v>
      </c>
      <c r="BZ212" s="1184">
        <f>'2021'!R\Max</f>
        <v>0.99385233267893258</v>
      </c>
      <c r="CA212" s="1184">
        <f>'2022'!R\Max</f>
        <v>0.91364510593682569</v>
      </c>
      <c r="CB212" s="1184">
        <f>'2023'!R\Max</f>
        <v>0.91363843378056875</v>
      </c>
      <c r="CC212" s="1184">
        <f>'2024'!R\Max</f>
        <v>0.91362646590268193</v>
      </c>
      <c r="CD212" s="1184">
        <f>'2025'!R\Max</f>
        <v>0.91366458041409571</v>
      </c>
      <c r="CE212" s="1184">
        <f>'2026'!R\Max</f>
        <v>0.91366106660263013</v>
      </c>
      <c r="CF212" s="1185">
        <f>'2027'!R\Max</f>
        <v>0.91365653155397064</v>
      </c>
    </row>
    <row r="213" spans="1:84" s="6" customFormat="1" ht="11.25" x14ac:dyDescent="0.2">
      <c r="A213" s="11">
        <v>43299</v>
      </c>
      <c r="B213" s="380">
        <f>'2022'!Maxi_hp</f>
        <v>57.34896442939926</v>
      </c>
      <c r="C213" s="13">
        <f>'2022'!An_max</f>
        <v>2022</v>
      </c>
      <c r="D213" s="1062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3">
        <f t="shared" si="100"/>
        <v>0.6428571428571429</v>
      </c>
      <c r="J213" s="746">
        <f t="shared" si="101"/>
        <v>60.437859220044423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5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3">
        <f t="shared" si="105"/>
        <v>0.17857142857142858</v>
      </c>
      <c r="AT213" s="769">
        <f t="shared" si="106"/>
        <v>60.432502327779574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3">
        <f t="shared" si="110"/>
        <v>0.6785714285714286</v>
      </c>
      <c r="AY213" s="769">
        <f t="shared" si="111"/>
        <v>60.459076539633273</v>
      </c>
      <c r="AZ213" s="746">
        <f t="shared" si="115"/>
        <v>60.445789433706423</v>
      </c>
      <c r="BA213" s="643">
        <f t="shared" si="112"/>
        <v>0.94889139306872206</v>
      </c>
      <c r="BC213" s="11">
        <v>43299</v>
      </c>
      <c r="BD213" s="290">
        <f>[3]!FeuilCaduc*(1-Persistant)+Persistant</f>
        <v>0.99788305226322138</v>
      </c>
      <c r="BE213" s="291">
        <f>[3]!CroissVégét</f>
        <v>0.82662141934042188</v>
      </c>
      <c r="BF213" s="816">
        <f>1+[3]!Salcycl*Ksac</f>
        <v>1.0497353815329027</v>
      </c>
      <c r="BH213" s="1053">
        <f t="shared" si="113"/>
        <v>9.6786568886985042E-4</v>
      </c>
      <c r="BI213" s="11">
        <v>44395</v>
      </c>
      <c r="BJ213" s="726">
        <v>2.950385047339095E-5</v>
      </c>
      <c r="BK213" s="726">
        <v>2.760688086263173E-4</v>
      </c>
      <c r="BL213" s="726">
        <v>5.5304153158658117E-4</v>
      </c>
      <c r="BM213" s="726">
        <v>9.6895150053907266E-4</v>
      </c>
      <c r="BN213" s="726">
        <v>1.8687382610220842E-3</v>
      </c>
      <c r="BO213" s="727">
        <v>3.1004176415043616E-3</v>
      </c>
      <c r="BP213" s="726">
        <v>4.7759128469628074E-3</v>
      </c>
      <c r="BQ213" s="726">
        <v>7.9634682631201607E-3</v>
      </c>
      <c r="BR213" s="726">
        <v>1.153949960652024E-2</v>
      </c>
      <c r="BS213" s="726">
        <v>1.6625326292038407E-2</v>
      </c>
      <c r="BT213" s="726">
        <v>2.182701864204431E-2</v>
      </c>
      <c r="BW213" s="1186">
        <f>'2018'!R\Max</f>
        <v>0</v>
      </c>
      <c r="BX213" s="1184">
        <f>'2019'!R\Max</f>
        <v>0.67750505323525811</v>
      </c>
      <c r="BY213" s="1184">
        <f>'2020'!R\Max</f>
        <v>0.46043497313277865</v>
      </c>
      <c r="BZ213" s="1184">
        <f>'2021'!R\Max</f>
        <v>0.89734318362830334</v>
      </c>
      <c r="CA213" s="1184">
        <f>'2022'!R\Max</f>
        <v>0.94889139306872206</v>
      </c>
      <c r="CB213" s="1184">
        <f>'2023'!R\Max</f>
        <v>0.94888708000563549</v>
      </c>
      <c r="CC213" s="1184">
        <f>'2024'!R\Max</f>
        <v>0.9488795685822049</v>
      </c>
      <c r="CD213" s="1184">
        <f>'2025'!R\Max</f>
        <v>0.94890411976735667</v>
      </c>
      <c r="CE213" s="1184">
        <f>'2026'!R\Max</f>
        <v>0.94890180438522076</v>
      </c>
      <c r="CF213" s="1185">
        <f>'2027'!R\Max</f>
        <v>0.94889882996214314</v>
      </c>
    </row>
    <row r="214" spans="1:84" s="6" customFormat="1" ht="11.25" x14ac:dyDescent="0.2">
      <c r="A214" s="11">
        <v>43300</v>
      </c>
      <c r="B214" s="380">
        <f>'2022'!Maxi_hp</f>
        <v>60.582660665176114</v>
      </c>
      <c r="C214" s="13">
        <f>'2022'!An_max</f>
        <v>2020</v>
      </c>
      <c r="D214" s="1062">
        <f t="shared" si="97"/>
        <v>1.0044594355515597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3">
        <f t="shared" si="100"/>
        <v>0.7142857142857143</v>
      </c>
      <c r="J214" s="746">
        <f t="shared" si="101"/>
        <v>60.313695626652667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5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3">
        <f t="shared" si="105"/>
        <v>0.14285714285714285</v>
      </c>
      <c r="AT214" s="769">
        <f t="shared" si="106"/>
        <v>60.308828571438788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3">
        <f t="shared" si="110"/>
        <v>0.6428571428571429</v>
      </c>
      <c r="AY214" s="769">
        <f t="shared" si="111"/>
        <v>60.33659941701751</v>
      </c>
      <c r="AZ214" s="746">
        <f t="shared" si="115"/>
        <v>60.322713994228153</v>
      </c>
      <c r="BA214" s="643">
        <f t="shared" si="112"/>
        <v>1.0044594355515597</v>
      </c>
      <c r="BC214" s="11">
        <v>43300</v>
      </c>
      <c r="BD214" s="290">
        <f>[3]!FeuilCaduc*(1-Persistant)+Persistant</f>
        <v>0.99829826754140993</v>
      </c>
      <c r="BE214" s="291">
        <f>[3]!CroissVégét</f>
        <v>0.83244328187154937</v>
      </c>
      <c r="BF214" s="816">
        <f>1+[3]!Salcycl*Ksac</f>
        <v>1.0497872834426762</v>
      </c>
      <c r="BH214" s="1053">
        <f t="shared" si="113"/>
        <v>1.0414307379815919E-3</v>
      </c>
      <c r="BI214" s="11">
        <v>44396</v>
      </c>
      <c r="BJ214" s="726">
        <v>3.3529309125466304E-5</v>
      </c>
      <c r="BK214" s="726">
        <v>3.0180112601894927E-4</v>
      </c>
      <c r="BL214" s="726">
        <v>5.9923339002910831E-4</v>
      </c>
      <c r="BM214" s="726">
        <v>1.0425881996001499E-3</v>
      </c>
      <c r="BN214" s="726">
        <v>1.9964576495641517E-3</v>
      </c>
      <c r="BO214" s="727">
        <v>3.2910108433156938E-3</v>
      </c>
      <c r="BP214" s="726">
        <v>5.0319664962258231E-3</v>
      </c>
      <c r="BQ214" s="726">
        <v>8.2278515342303835E-3</v>
      </c>
      <c r="BR214" s="726">
        <v>1.1793317860877395E-2</v>
      </c>
      <c r="BS214" s="726">
        <v>1.6664917670460581E-2</v>
      </c>
      <c r="BT214" s="726">
        <v>2.1491802214708294E-2</v>
      </c>
      <c r="BW214" s="1186">
        <f>'2018'!R\Max</f>
        <v>0</v>
      </c>
      <c r="BX214" s="1184">
        <f>'2019'!R\Max</f>
        <v>0.99238138269496645</v>
      </c>
      <c r="BY214" s="1184">
        <f>'2020'!R\Max</f>
        <v>1.0044594355515597</v>
      </c>
      <c r="BZ214" s="1184">
        <f>'2021'!R\Max</f>
        <v>0.98733355257302102</v>
      </c>
      <c r="CA214" s="1184">
        <f>'2022'!R\Max</f>
        <v>0.76287168478745193</v>
      </c>
      <c r="CB214" s="1184">
        <f>'2023'!R\Max</f>
        <v>0.76285492668128985</v>
      </c>
      <c r="CC214" s="1184">
        <f>'2024'!R\Max</f>
        <v>0.76282658017789551</v>
      </c>
      <c r="CD214" s="1184">
        <f>'2025'!R\Max</f>
        <v>0.76292168819870654</v>
      </c>
      <c r="CE214" s="1184">
        <f>'2026'!R\Max</f>
        <v>0.76291250896152585</v>
      </c>
      <c r="CF214" s="1185">
        <f>'2027'!R\Max</f>
        <v>0.76290078093338365</v>
      </c>
    </row>
    <row r="215" spans="1:84" s="6" customFormat="1" ht="11.25" x14ac:dyDescent="0.2">
      <c r="A215" s="11">
        <v>43301</v>
      </c>
      <c r="B215" s="380">
        <f>'2022'!Maxi_hp</f>
        <v>59.347072848746947</v>
      </c>
      <c r="C215" s="13">
        <f>'2022'!An_max</f>
        <v>2020</v>
      </c>
      <c r="D215" s="1062">
        <f t="shared" si="97"/>
        <v>0.98602667819363476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3">
        <f t="shared" si="100"/>
        <v>0.7857142857142857</v>
      </c>
      <c r="J215" s="746">
        <f t="shared" si="101"/>
        <v>60.188100546598434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5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3">
        <f t="shared" si="105"/>
        <v>0.10714285714285714</v>
      </c>
      <c r="AT215" s="769">
        <f t="shared" si="106"/>
        <v>60.184027519329845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3">
        <f t="shared" si="110"/>
        <v>0.6071428571428571</v>
      </c>
      <c r="AY215" s="769">
        <f t="shared" si="111"/>
        <v>60.212261360890366</v>
      </c>
      <c r="AZ215" s="746">
        <f t="shared" si="115"/>
        <v>60.198144440110106</v>
      </c>
      <c r="BA215" s="643">
        <f t="shared" si="112"/>
        <v>0.98602667819363476</v>
      </c>
      <c r="BC215" s="11">
        <v>43301</v>
      </c>
      <c r="BD215" s="290">
        <f>[3]!FeuilCaduc*(1-Persistant)+Persistant</f>
        <v>0.99865589771572472</v>
      </c>
      <c r="BE215" s="291">
        <f>[3]!CroissVégét</f>
        <v>0.83810825274241962</v>
      </c>
      <c r="BF215" s="816">
        <f>1+[3]!Salcycl*Ksac</f>
        <v>1.0498319872144657</v>
      </c>
      <c r="BH215" s="1053">
        <f t="shared" si="113"/>
        <v>1.1224942472364684E-3</v>
      </c>
      <c r="BI215" s="11">
        <v>44397</v>
      </c>
      <c r="BJ215" s="726">
        <v>3.958960124571837E-5</v>
      </c>
      <c r="BK215" s="726">
        <v>3.3121325424693092E-4</v>
      </c>
      <c r="BL215" s="726">
        <v>6.5115495882836396E-4</v>
      </c>
      <c r="BM215" s="726">
        <v>1.1237279885471679E-3</v>
      </c>
      <c r="BN215" s="726">
        <v>2.127412466158247E-3</v>
      </c>
      <c r="BO215" s="727">
        <v>3.4768723374746205E-3</v>
      </c>
      <c r="BP215" s="726">
        <v>5.2704841793726398E-3</v>
      </c>
      <c r="BQ215" s="726">
        <v>8.4468880817823618E-3</v>
      </c>
      <c r="BR215" s="726">
        <v>1.1975230115661928E-2</v>
      </c>
      <c r="BS215" s="726">
        <v>1.6624710216299965E-2</v>
      </c>
      <c r="BT215" s="726">
        <v>2.1103246522265653E-2</v>
      </c>
      <c r="BW215" s="1186">
        <f>'2018'!R\Max</f>
        <v>0</v>
      </c>
      <c r="BX215" s="1184">
        <f>'2019'!R\Max</f>
        <v>0.46759344555762183</v>
      </c>
      <c r="BY215" s="1184">
        <f>'2020'!R\Max</f>
        <v>0.98602667819363476</v>
      </c>
      <c r="BZ215" s="1184">
        <f>'2021'!R\Max</f>
        <v>0.84201679687003106</v>
      </c>
      <c r="CA215" s="1184">
        <f>'2022'!R\Max</f>
        <v>0.77222712096592139</v>
      </c>
      <c r="CB215" s="1184">
        <f>'2023'!R\Max</f>
        <v>0.77221029258741625</v>
      </c>
      <c r="CC215" s="1184">
        <f>'2024'!R\Max</f>
        <v>0.77218265512535689</v>
      </c>
      <c r="CD215" s="1184">
        <f>'2025'!R\Max</f>
        <v>0.7722779115018682</v>
      </c>
      <c r="CE215" s="1184">
        <f>'2026'!R\Max</f>
        <v>0.77226849729133562</v>
      </c>
      <c r="CF215" s="1185">
        <f>'2027'!R\Max</f>
        <v>0.77225654321840376</v>
      </c>
    </row>
    <row r="216" spans="1:84" s="6" customFormat="1" ht="11.25" x14ac:dyDescent="0.2">
      <c r="A216" s="11">
        <v>43302</v>
      </c>
      <c r="B216" s="380">
        <f>'2022'!Maxi_hp</f>
        <v>54.670820501129811</v>
      </c>
      <c r="C216" s="13">
        <f>'2022'!An_max</f>
        <v>2022</v>
      </c>
      <c r="D216" s="1062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3">
        <f t="shared" si="100"/>
        <v>0.8571428571428571</v>
      </c>
      <c r="J216" s="746">
        <f t="shared" si="101"/>
        <v>60.061181341164875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5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3">
        <f t="shared" si="105"/>
        <v>7.1428571428571425E-2</v>
      </c>
      <c r="AT216" s="769">
        <f t="shared" si="106"/>
        <v>60.058193112470747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3">
        <f t="shared" si="110"/>
        <v>0.5714285714285714</v>
      </c>
      <c r="AY216" s="769">
        <f t="shared" si="111"/>
        <v>60.086089212527234</v>
      </c>
      <c r="AZ216" s="746">
        <f t="shared" si="115"/>
        <v>60.072141162498994</v>
      </c>
      <c r="BA216" s="643">
        <f t="shared" si="112"/>
        <v>0.91025216754535254</v>
      </c>
      <c r="BC216" s="11">
        <v>43302</v>
      </c>
      <c r="BD216" s="290">
        <f>[3]!FeuilCaduc*(1-Persistant)+Persistant</f>
        <v>0.99895966858194629</v>
      </c>
      <c r="BE216" s="291">
        <f>[3]!CroissVégét</f>
        <v>0.84361799825853956</v>
      </c>
      <c r="BF216" s="816">
        <f>1+[3]!Salcycl*Ksac</f>
        <v>1.0498699585727433</v>
      </c>
      <c r="BH216" s="1053">
        <f t="shared" si="113"/>
        <v>1.2110536294277691E-3</v>
      </c>
      <c r="BI216" s="11">
        <v>44398</v>
      </c>
      <c r="BJ216" s="726">
        <v>4.7683136590977777E-5</v>
      </c>
      <c r="BK216" s="726">
        <v>3.6430331649166221E-4</v>
      </c>
      <c r="BL216" s="726">
        <v>7.0880367783473109E-4</v>
      </c>
      <c r="BM216" s="726">
        <v>1.212368280102594E-3</v>
      </c>
      <c r="BN216" s="726">
        <v>2.2616069723065111E-3</v>
      </c>
      <c r="BO216" s="727">
        <v>3.6580171162586351E-3</v>
      </c>
      <c r="BP216" s="726">
        <v>5.4914962858610547E-3</v>
      </c>
      <c r="BQ216" s="726">
        <v>8.6206352141840331E-3</v>
      </c>
      <c r="BR216" s="726">
        <v>1.2085318853379155E-2</v>
      </c>
      <c r="BS216" s="726">
        <v>1.6504786545838077E-2</v>
      </c>
      <c r="BT216" s="726">
        <v>2.0661396570894882E-2</v>
      </c>
      <c r="BW216" s="1186">
        <f>'2018'!R\Max</f>
        <v>0</v>
      </c>
      <c r="BX216" s="1184">
        <f>'2019'!R\Max</f>
        <v>0.78415637863872456</v>
      </c>
      <c r="BY216" s="1184">
        <f>'2020'!R\Max</f>
        <v>0.87676511140649782</v>
      </c>
      <c r="BZ216" s="1184">
        <f>'2021'!R\Max</f>
        <v>0.75209275174860979</v>
      </c>
      <c r="CA216" s="1184">
        <f>'2022'!R\Max</f>
        <v>0.91025216754535254</v>
      </c>
      <c r="CB216" s="1184">
        <f>'2023'!R\Max</f>
        <v>0.91024415840520811</v>
      </c>
      <c r="CC216" s="1184">
        <f>'2024'!R\Max</f>
        <v>0.91023140213594544</v>
      </c>
      <c r="CD216" s="1184">
        <f>'2025'!R\Max</f>
        <v>0.91027662935890796</v>
      </c>
      <c r="CE216" s="1184">
        <f>'2026'!R\Max</f>
        <v>0.91027204778875359</v>
      </c>
      <c r="CF216" s="1185">
        <f>'2027'!R\Max</f>
        <v>0.9102662705681106</v>
      </c>
    </row>
    <row r="217" spans="1:84" s="6" customFormat="1" ht="11.25" x14ac:dyDescent="0.2">
      <c r="A217" s="11">
        <v>43303</v>
      </c>
      <c r="B217" s="380">
        <f>'2022'!Maxi_hp</f>
        <v>55.563972127949256</v>
      </c>
      <c r="C217" s="13">
        <f>'2022'!An_max</f>
        <v>2021</v>
      </c>
      <c r="D217" s="1062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3">
        <f t="shared" si="100"/>
        <v>0.9285714285714286</v>
      </c>
      <c r="J217" s="746">
        <f t="shared" si="101"/>
        <v>59.933045371608536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5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3">
        <f t="shared" si="105"/>
        <v>3.5714285714285712E-2</v>
      </c>
      <c r="AT217" s="769">
        <f t="shared" si="106"/>
        <v>59.931419292005842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3">
        <f t="shared" si="110"/>
        <v>0.5357142857142857</v>
      </c>
      <c r="AY217" s="769">
        <f t="shared" si="111"/>
        <v>59.958109812079257</v>
      </c>
      <c r="AZ217" s="746">
        <f t="shared" si="115"/>
        <v>59.94476455204255</v>
      </c>
      <c r="BA217" s="643">
        <f t="shared" si="112"/>
        <v>0.92710076358427473</v>
      </c>
      <c r="BC217" s="11">
        <v>43303</v>
      </c>
      <c r="BD217" s="290">
        <f>[3]!FeuilCaduc*(1-Persistant)+Persistant</f>
        <v>0.99921315272422606</v>
      </c>
      <c r="BE217" s="291">
        <f>[3]!CroissVégét</f>
        <v>0.84897434957309781</v>
      </c>
      <c r="BF217" s="816">
        <f>1+[3]!Salcycl*Ksac</f>
        <v>1.0499016440905282</v>
      </c>
      <c r="BH217" s="1053">
        <f t="shared" si="113"/>
        <v>1.3071072101376823E-3</v>
      </c>
      <c r="BI217" s="11">
        <v>44399</v>
      </c>
      <c r="BJ217" s="726">
        <v>5.7808534030877021E-5</v>
      </c>
      <c r="BK217" s="726">
        <v>4.0106985880601707E-4</v>
      </c>
      <c r="BL217" s="726">
        <v>7.7217766014367971E-4</v>
      </c>
      <c r="BM217" s="726">
        <v>1.3085074004048048E-3</v>
      </c>
      <c r="BN217" s="726">
        <v>2.399046055705927E-3</v>
      </c>
      <c r="BO217" s="727">
        <v>3.8344601696365804E-3</v>
      </c>
      <c r="BP217" s="726">
        <v>5.6950321064388777E-3</v>
      </c>
      <c r="BQ217" s="726">
        <v>8.7491464346314152E-3</v>
      </c>
      <c r="BR217" s="726">
        <v>1.2123660121212515E-2</v>
      </c>
      <c r="BS217" s="726">
        <v>1.6305221542378987E-2</v>
      </c>
      <c r="BT217" s="726">
        <v>2.0166291311017482E-2</v>
      </c>
      <c r="BW217" s="1186">
        <f>'2018'!R\Max</f>
        <v>0</v>
      </c>
      <c r="BX217" s="1184">
        <f>'2019'!R\Max</f>
        <v>0.82979832352416294</v>
      </c>
      <c r="BY217" s="1184">
        <f>'2020'!R\Max</f>
        <v>0.92301936650766248</v>
      </c>
      <c r="BZ217" s="1184">
        <f>'2021'!R\Max</f>
        <v>0.92710076358427473</v>
      </c>
      <c r="CA217" s="1184">
        <f>'2022'!R\Max</f>
        <v>0.727194700407369</v>
      </c>
      <c r="CB217" s="1184">
        <f>'2023'!R\Max</f>
        <v>0.7271749167595617</v>
      </c>
      <c r="CC217" s="1184">
        <f>'2024'!R\Max</f>
        <v>0.72714442170393923</v>
      </c>
      <c r="CD217" s="1184">
        <f>'2025'!R\Max</f>
        <v>0.72725589517778522</v>
      </c>
      <c r="CE217" s="1184">
        <f>'2026'!R\Max</f>
        <v>0.72724430263190831</v>
      </c>
      <c r="CF217" s="1185">
        <f>'2027'!R\Max</f>
        <v>0.72722979923506936</v>
      </c>
    </row>
    <row r="218" spans="1:84" s="6" customFormat="1" ht="11.25" x14ac:dyDescent="0.2">
      <c r="A218" s="11">
        <v>43304</v>
      </c>
      <c r="B218" s="380">
        <f>'2022'!Maxi_hp</f>
        <v>57.937152506467669</v>
      </c>
      <c r="C218" s="13">
        <f>'2022'!An_max</f>
        <v>2019</v>
      </c>
      <c r="D218" s="1062" t="str">
        <f t="shared" si="97"/>
        <v/>
      </c>
      <c r="E218" s="1057">
        <f>AB$13/10</f>
        <v>59.803800000000003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3">
        <f t="shared" si="100"/>
        <v>1</v>
      </c>
      <c r="J218" s="746">
        <f t="shared" si="101"/>
        <v>59.80379999987781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5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3">
        <f t="shared" si="105"/>
        <v>0</v>
      </c>
      <c r="AT218" s="769">
        <f t="shared" si="106"/>
        <v>59.80379999987781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3">
        <f t="shared" si="110"/>
        <v>0.5</v>
      </c>
      <c r="AY218" s="769">
        <f t="shared" si="111"/>
        <v>59.828349999617785</v>
      </c>
      <c r="AZ218" s="746">
        <f t="shared" si="115"/>
        <v>59.816074999747798</v>
      </c>
      <c r="BA218" s="643">
        <f t="shared" si="112"/>
        <v>0.96878714239874464</v>
      </c>
      <c r="BC218" s="11">
        <v>43304</v>
      </c>
      <c r="BD218" s="290">
        <f>[3]!FeuilCaduc*(1-Persistant)+Persistant</f>
        <v>0.99941975654296478</v>
      </c>
      <c r="BE218" s="291">
        <f>[3]!CroissVégét</f>
        <v>0.854179289095362</v>
      </c>
      <c r="BF218" s="816">
        <f>1+[3]!Salcycl*Ksac</f>
        <v>1.0499274695678706</v>
      </c>
      <c r="BH218" s="1053">
        <f t="shared" si="113"/>
        <v>1.410654272400262E-3</v>
      </c>
      <c r="BI218" s="11">
        <v>44400</v>
      </c>
      <c r="BJ218" s="726">
        <v>6.9964633624626545E-5</v>
      </c>
      <c r="BK218" s="726">
        <v>4.4151187200749584E-4</v>
      </c>
      <c r="BL218" s="726">
        <v>8.4127572619914601E-4</v>
      </c>
      <c r="BM218" s="726">
        <v>1.4121446336986946E-3</v>
      </c>
      <c r="BN218" s="726">
        <v>2.5397352497767518E-3</v>
      </c>
      <c r="BO218" s="727">
        <v>4.0062164577117252E-3</v>
      </c>
      <c r="BP218" s="726">
        <v>5.8811197298027414E-3</v>
      </c>
      <c r="BQ218" s="726">
        <v>8.8324711726957394E-3</v>
      </c>
      <c r="BR218" s="726">
        <v>1.2090323104860854E-2</v>
      </c>
      <c r="BS218" s="726">
        <v>1.6026081882136466E-2</v>
      </c>
      <c r="BT218" s="726">
        <v>1.9617963318289616E-2</v>
      </c>
      <c r="BW218" s="1186">
        <f>'2018'!R\Max</f>
        <v>0</v>
      </c>
      <c r="BX218" s="1184">
        <f>'2019'!R\Max</f>
        <v>0.96878714239874464</v>
      </c>
      <c r="BY218" s="1184">
        <f>'2020'!R\Max</f>
        <v>0.90465399834549887</v>
      </c>
      <c r="BZ218" s="1184">
        <f>'2021'!R\Max</f>
        <v>0.78932466354371078</v>
      </c>
      <c r="CA218" s="1184">
        <f>'2022'!R\Max</f>
        <v>0.81453084061379122</v>
      </c>
      <c r="CB218" s="1184">
        <f>'2023'!R\Max</f>
        <v>0.81451562296746827</v>
      </c>
      <c r="CC218" s="1184">
        <f>'2024'!R\Max</f>
        <v>0.81449298507416168</v>
      </c>
      <c r="CD218" s="1184">
        <f>'2025'!R\Max</f>
        <v>0.81457854672805496</v>
      </c>
      <c r="CE218" s="1184">
        <f>'2026'!R\Max</f>
        <v>0.81456939780586379</v>
      </c>
      <c r="CF218" s="1185">
        <f>'2027'!R\Max</f>
        <v>0.81455805116900326</v>
      </c>
    </row>
    <row r="219" spans="1:84" s="6" customFormat="1" ht="11.25" x14ac:dyDescent="0.2">
      <c r="A219" s="11">
        <v>43305</v>
      </c>
      <c r="B219" s="380">
        <f>'2022'!Maxi_hp</f>
        <v>57.924820130429069</v>
      </c>
      <c r="C219" s="13">
        <f>'2022'!An_max</f>
        <v>2019</v>
      </c>
      <c r="D219" s="1062">
        <f t="shared" si="97"/>
        <v>0.97069938286253277</v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3">
        <f t="shared" si="100"/>
        <v>0.9285714285714286</v>
      </c>
      <c r="J219" s="746">
        <f t="shared" si="101"/>
        <v>59.673284183628859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5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3">
        <f t="shared" si="105"/>
        <v>3.5714285714285712E-2</v>
      </c>
      <c r="AT219" s="769">
        <f t="shared" si="106"/>
        <v>59.675579036240073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3">
        <f t="shared" si="110"/>
        <v>0.4642857142857143</v>
      </c>
      <c r="AY219" s="769">
        <f t="shared" si="111"/>
        <v>59.696836616358311</v>
      </c>
      <c r="AZ219" s="746">
        <f t="shared" si="115"/>
        <v>59.686207826299196</v>
      </c>
      <c r="BA219" s="643">
        <f t="shared" si="112"/>
        <v>0.97069938286253277</v>
      </c>
      <c r="BC219" s="11">
        <v>43305</v>
      </c>
      <c r="BD219" s="290">
        <f>[3]!FeuilCaduc*(1-Persistant)+Persistant</f>
        <v>0.99958270897738566</v>
      </c>
      <c r="BE219" s="291">
        <f>[3]!CroissVégét</f>
        <v>0.85923493718111654</v>
      </c>
      <c r="BF219" s="816">
        <f>1+[3]!Salcycl*Ksac</f>
        <v>1.0499478386221732</v>
      </c>
      <c r="BH219" s="1053">
        <f t="shared" si="113"/>
        <v>1.5216926440431227E-3</v>
      </c>
      <c r="BI219" s="11">
        <v>44401</v>
      </c>
      <c r="BJ219" s="726">
        <v>8.4150372807435692E-5</v>
      </c>
      <c r="BK219" s="726">
        <v>4.8562802935073077E-4</v>
      </c>
      <c r="BL219" s="726">
        <v>9.1609595853055247E-4</v>
      </c>
      <c r="BM219" s="726">
        <v>1.5232778071451905E-3</v>
      </c>
      <c r="BN219" s="726">
        <v>2.6836764194231155E-3</v>
      </c>
      <c r="BO219" s="727">
        <v>4.1732941438640337E-3</v>
      </c>
      <c r="BP219" s="726">
        <v>6.0497761696863168E-3</v>
      </c>
      <c r="BQ219" s="726">
        <v>8.8706401910043902E-3</v>
      </c>
      <c r="BR219" s="726">
        <v>1.1985350347609593E-2</v>
      </c>
      <c r="BS219" s="726">
        <v>1.5667400259302241E-2</v>
      </c>
      <c r="BT219" s="726">
        <v>1.9016407765539763E-2</v>
      </c>
      <c r="BW219" s="1186">
        <f>'2018'!R\Max</f>
        <v>0</v>
      </c>
      <c r="BX219" s="1184">
        <f>'2019'!R\Max</f>
        <v>0.97069938286253277</v>
      </c>
      <c r="BY219" s="1184">
        <f>'2020'!R\Max</f>
        <v>0.8650452206340502</v>
      </c>
      <c r="BZ219" s="1184">
        <f>'2021'!R\Max</f>
        <v>0.50762157203232194</v>
      </c>
      <c r="CA219" s="1184">
        <f>'2022'!R\Max</f>
        <v>0.91567348325460618</v>
      </c>
      <c r="CB219" s="1184">
        <f>'2023'!R\Max</f>
        <v>0.91566568021078687</v>
      </c>
      <c r="CC219" s="1184">
        <f>'2024'!R\Max</f>
        <v>0.91565452172217321</v>
      </c>
      <c r="CD219" s="1184">
        <f>'2025'!R\Max</f>
        <v>0.91569830027775889</v>
      </c>
      <c r="CE219" s="1184">
        <f>'2026'!R\Max</f>
        <v>0.91569347697404624</v>
      </c>
      <c r="CF219" s="1185">
        <f>'2027'!R\Max</f>
        <v>0.91568755289434389</v>
      </c>
    </row>
    <row r="220" spans="1:84" s="6" customFormat="1" ht="11.25" x14ac:dyDescent="0.2">
      <c r="A220" s="11">
        <v>43306</v>
      </c>
      <c r="B220" s="380">
        <f>'2022'!Maxi_hp</f>
        <v>58.619065963281635</v>
      </c>
      <c r="C220" s="13">
        <f>'2022'!An_max</f>
        <v>2019</v>
      </c>
      <c r="D220" s="1062">
        <f t="shared" si="97"/>
        <v>0.98451159312676451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3">
        <f t="shared" si="100"/>
        <v>0.8571428571428571</v>
      </c>
      <c r="J220" s="746">
        <f t="shared" si="101"/>
        <v>59.541265306089613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5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3">
        <f t="shared" si="105"/>
        <v>7.1428571428571425E-2</v>
      </c>
      <c r="AT220" s="769">
        <f t="shared" si="106"/>
        <v>59.546848105013908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3">
        <f t="shared" si="110"/>
        <v>0.42857142857142855</v>
      </c>
      <c r="AY220" s="769">
        <f t="shared" si="111"/>
        <v>59.56359650136104</v>
      </c>
      <c r="AZ220" s="746">
        <f t="shared" si="115"/>
        <v>59.555222303187477</v>
      </c>
      <c r="BA220" s="643">
        <f t="shared" si="112"/>
        <v>0.98451159312676451</v>
      </c>
      <c r="BC220" s="11">
        <v>43306</v>
      </c>
      <c r="BD220" s="290">
        <f>[3]!FeuilCaduc*(1-Persistant)+Persistant</f>
        <v>0.99970505194896342</v>
      </c>
      <c r="BE220" s="291">
        <f>[3]!CroissVégét</f>
        <v>0.86414353915538655</v>
      </c>
      <c r="BF220" s="816">
        <f>1+[3]!Salcycl*Ksac</f>
        <v>1.0499631314936204</v>
      </c>
      <c r="BH220" s="1053">
        <f t="shared" si="113"/>
        <v>1.6296651608150544E-3</v>
      </c>
      <c r="BI220" s="11">
        <v>44402</v>
      </c>
      <c r="BJ220" s="726">
        <v>1.0036542905468327E-4</v>
      </c>
      <c r="BK220" s="726">
        <v>5.3026717733142955E-4</v>
      </c>
      <c r="BL220" s="726">
        <v>9.9022719548910688E-4</v>
      </c>
      <c r="BM220" s="726">
        <v>1.6313389042369461E-3</v>
      </c>
      <c r="BN220" s="726">
        <v>2.8156721107182908E-3</v>
      </c>
      <c r="BO220" s="727">
        <v>4.3163315583789252E-3</v>
      </c>
      <c r="BP220" s="726">
        <v>6.1792640190992546E-3</v>
      </c>
      <c r="BQ220" s="726">
        <v>8.8495554625425497E-3</v>
      </c>
      <c r="BR220" s="726">
        <v>1.180299662259713E-2</v>
      </c>
      <c r="BS220" s="726">
        <v>1.5231942827595744E-2</v>
      </c>
      <c r="BT220" s="726">
        <v>1.8363767755498566E-2</v>
      </c>
      <c r="BW220" s="1186">
        <f>'2018'!R\Max</f>
        <v>0.38069977322522336</v>
      </c>
      <c r="BX220" s="1184">
        <f>'2019'!R\Max</f>
        <v>0.98451159312676451</v>
      </c>
      <c r="BY220" s="1184">
        <f>'2020'!R\Max</f>
        <v>0.97456041397706794</v>
      </c>
      <c r="BZ220" s="1184">
        <f>'2021'!R\Max</f>
        <v>0.64992492692057124</v>
      </c>
      <c r="CA220" s="1184">
        <f>'2022'!R\Max</f>
        <v>0.46895494085490896</v>
      </c>
      <c r="CB220" s="1184">
        <f>'2023'!R\Max</f>
        <v>0.46892989876249336</v>
      </c>
      <c r="CC220" s="1184">
        <f>'2024'!R\Max</f>
        <v>0.4688955336173099</v>
      </c>
      <c r="CD220" s="1184">
        <f>'2025'!R\Max</f>
        <v>0.46903575064570413</v>
      </c>
      <c r="CE220" s="1184">
        <f>'2026'!R\Max</f>
        <v>0.46901983233132499</v>
      </c>
      <c r="CF220" s="1185">
        <f>'2027'!R\Max</f>
        <v>0.46900047419217056</v>
      </c>
    </row>
    <row r="221" spans="1:84" s="6" customFormat="1" ht="11.25" x14ac:dyDescent="0.2">
      <c r="A221" s="11">
        <v>43307</v>
      </c>
      <c r="B221" s="380">
        <f>'2022'!Maxi_hp</f>
        <v>58.711602889143748</v>
      </c>
      <c r="C221" s="13">
        <f>'2022'!An_max</f>
        <v>2022</v>
      </c>
      <c r="D221" s="1062">
        <f t="shared" si="97"/>
        <v>0.98828199088774071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3">
        <f t="shared" si="100"/>
        <v>0.7857142857142857</v>
      </c>
      <c r="J221" s="746">
        <f t="shared" si="101"/>
        <v>59.407743367260061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5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3">
        <f t="shared" si="105"/>
        <v>0.10714285714285714</v>
      </c>
      <c r="AT221" s="769">
        <f t="shared" si="106"/>
        <v>59.417473004658575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3">
        <f t="shared" si="110"/>
        <v>0.39285714285714285</v>
      </c>
      <c r="AY221" s="769">
        <f t="shared" si="111"/>
        <v>59.428656496027756</v>
      </c>
      <c r="AZ221" s="746">
        <f t="shared" si="115"/>
        <v>59.423064750343165</v>
      </c>
      <c r="BA221" s="643">
        <f t="shared" si="112"/>
        <v>0.98828199088774071</v>
      </c>
      <c r="BC221" s="11">
        <v>43307</v>
      </c>
      <c r="BD221" s="290">
        <f>[3]!FeuilCaduc*(1-Persistant)+Persistant</f>
        <v>0.99978963253507569</v>
      </c>
      <c r="BE221" s="291">
        <f>[3]!CroissVégét</f>
        <v>0.86890745271110437</v>
      </c>
      <c r="BF221" s="816">
        <f>1+[3]!Salcycl*Ksac</f>
        <v>1.0499737040668844</v>
      </c>
      <c r="BH221" s="1053">
        <f t="shared" si="113"/>
        <v>1.728465909036241E-3</v>
      </c>
      <c r="BI221" s="11">
        <v>44403</v>
      </c>
      <c r="BJ221" s="726">
        <v>1.1820335498296294E-4</v>
      </c>
      <c r="BK221" s="726">
        <v>5.7347978166684063E-4</v>
      </c>
      <c r="BL221" s="726">
        <v>1.0598983172785024E-3</v>
      </c>
      <c r="BM221" s="726">
        <v>1.730215899918037E-3</v>
      </c>
      <c r="BN221" s="726">
        <v>2.927621230295998E-3</v>
      </c>
      <c r="BO221" s="727">
        <v>4.4262835356880855E-3</v>
      </c>
      <c r="BP221" s="726">
        <v>6.2615363620333207E-3</v>
      </c>
      <c r="BQ221" s="726">
        <v>8.7817682715867051E-3</v>
      </c>
      <c r="BR221" s="726">
        <v>1.1577191248295029E-2</v>
      </c>
      <c r="BS221" s="726">
        <v>1.4774735452603212E-2</v>
      </c>
      <c r="BT221" s="726">
        <v>1.7717373629205859E-2</v>
      </c>
      <c r="BW221" s="1186">
        <f>'2018'!R\Max</f>
        <v>0.95422151574674041</v>
      </c>
      <c r="BX221" s="1184">
        <f>'2019'!R\Max</f>
        <v>0.35915479537008077</v>
      </c>
      <c r="BY221" s="1184">
        <f>'2020'!R\Max</f>
        <v>0.97693717556042692</v>
      </c>
      <c r="BZ221" s="1184">
        <f>'2021'!R\Max</f>
        <v>0.56858009789853714</v>
      </c>
      <c r="CA221" s="1184">
        <f>'2022'!R\Max</f>
        <v>0.98828199088774071</v>
      </c>
      <c r="CB221" s="1184">
        <f>'2023'!R\Max</f>
        <v>0.98828084094583879</v>
      </c>
      <c r="CC221" s="1184">
        <f>'2024'!R\Max</f>
        <v>0.98827932007086206</v>
      </c>
      <c r="CD221" s="1184">
        <f>'2025'!R\Max</f>
        <v>0.98828575110265771</v>
      </c>
      <c r="CE221" s="1184">
        <f>'2026'!R\Max</f>
        <v>0.98828500117960405</v>
      </c>
      <c r="CF221" s="1185">
        <f>'2027'!R\Max</f>
        <v>0.98828409764167724</v>
      </c>
    </row>
    <row r="222" spans="1:84" s="6" customFormat="1" ht="11.25" x14ac:dyDescent="0.2">
      <c r="A222" s="11">
        <v>43308</v>
      </c>
      <c r="B222" s="380">
        <f>'2022'!Maxi_hp</f>
        <v>58.726621651171868</v>
      </c>
      <c r="C222" s="13">
        <f>'2022'!An_max</f>
        <v>2022</v>
      </c>
      <c r="D222" s="1062">
        <f t="shared" si="97"/>
        <v>0.99078671045843703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3">
        <f t="shared" si="100"/>
        <v>0.7142857142857143</v>
      </c>
      <c r="J222" s="746">
        <f t="shared" si="101"/>
        <v>59.272718367406299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5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3">
        <f t="shared" si="105"/>
        <v>0.14285714285714285</v>
      </c>
      <c r="AT222" s="769">
        <f t="shared" si="106"/>
        <v>59.287319533526897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3">
        <f t="shared" si="110"/>
        <v>0.35714285714285715</v>
      </c>
      <c r="AY222" s="769">
        <f t="shared" si="111"/>
        <v>59.292043440243489</v>
      </c>
      <c r="AZ222" s="746">
        <f t="shared" si="115"/>
        <v>59.289681486885193</v>
      </c>
      <c r="BA222" s="643">
        <f t="shared" si="112"/>
        <v>0.99078671045843703</v>
      </c>
      <c r="BC222" s="11">
        <v>43308</v>
      </c>
      <c r="BD222" s="290">
        <f>[3]!FeuilCaduc*(1-Persistant)+Persistant</f>
        <v>0.99983909686562189</v>
      </c>
      <c r="BE222" s="291">
        <f>[3]!CroissVégét</f>
        <v>0.87352913572103608</v>
      </c>
      <c r="BF222" s="816">
        <f>1+[3]!Salcycl*Ksac</f>
        <v>1.0499798871082027</v>
      </c>
      <c r="BH222" s="1053">
        <f t="shared" si="113"/>
        <v>1.8181044455488481E-3</v>
      </c>
      <c r="BI222" s="11">
        <v>44404</v>
      </c>
      <c r="BJ222" s="726">
        <v>1.3766379617070941E-4</v>
      </c>
      <c r="BK222" s="726">
        <v>6.1526839119514321E-4</v>
      </c>
      <c r="BL222" s="726">
        <v>1.125114801392345E-3</v>
      </c>
      <c r="BM222" s="726">
        <v>1.8199183617084161E-3</v>
      </c>
      <c r="BN222" s="726">
        <v>3.0195406145001758E-3</v>
      </c>
      <c r="BO222" s="727">
        <v>4.5031748880054283E-3</v>
      </c>
      <c r="BP222" s="726">
        <v>6.2966255373202813E-3</v>
      </c>
      <c r="BQ222" s="726">
        <v>8.6673036814961593E-3</v>
      </c>
      <c r="BR222" s="726">
        <v>1.1307949819146616E-2</v>
      </c>
      <c r="BS222" s="726">
        <v>1.4295769085171982E-2</v>
      </c>
      <c r="BT222" s="726">
        <v>1.7077189412644217E-2</v>
      </c>
      <c r="BW222" s="1186">
        <f>'2018'!R\Max</f>
        <v>0.84913027029679478</v>
      </c>
      <c r="BX222" s="1184">
        <f>'2019'!R\Max</f>
        <v>0.22860466784335037</v>
      </c>
      <c r="BY222" s="1184">
        <f>'2020'!R\Max</f>
        <v>0.78125416528338465</v>
      </c>
      <c r="BZ222" s="1184">
        <f>'2021'!R\Max</f>
        <v>0.852595123794613</v>
      </c>
      <c r="CA222" s="1184">
        <f>'2022'!R\Max</f>
        <v>0.99078671045843703</v>
      </c>
      <c r="CB222" s="1184">
        <f>'2023'!R\Max</f>
        <v>0.99078582261078207</v>
      </c>
      <c r="CC222" s="1184">
        <f>'2024'!R\Max</f>
        <v>0.99078468646480833</v>
      </c>
      <c r="CD222" s="1184">
        <f>'2025'!R\Max</f>
        <v>0.99078965123809781</v>
      </c>
      <c r="CE222" s="1184">
        <f>'2026'!R\Max</f>
        <v>0.99078905764269787</v>
      </c>
      <c r="CF222" s="1185">
        <f>'2027'!R\Max</f>
        <v>0.99078834897371282</v>
      </c>
    </row>
    <row r="223" spans="1:84" s="6" customFormat="1" ht="11.25" x14ac:dyDescent="0.2">
      <c r="A223" s="11">
        <v>43309</v>
      </c>
      <c r="B223" s="380">
        <f>'2022'!Maxi_hp</f>
        <v>56.44038029737262</v>
      </c>
      <c r="C223" s="13">
        <f>'2022'!An_max</f>
        <v>2020</v>
      </c>
      <c r="D223" s="1062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3">
        <f t="shared" si="100"/>
        <v>0.6428571428571429</v>
      </c>
      <c r="J223" s="746">
        <f t="shared" si="101"/>
        <v>59.136190306075981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5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3">
        <f t="shared" si="105"/>
        <v>0.17857142857142858</v>
      </c>
      <c r="AT223" s="769">
        <f t="shared" si="106"/>
        <v>59.156253489213327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3">
        <f t="shared" si="110"/>
        <v>0.32142857142857145</v>
      </c>
      <c r="AY223" s="769">
        <f t="shared" si="111"/>
        <v>59.15378417457854</v>
      </c>
      <c r="AZ223" s="746">
        <f t="shared" si="115"/>
        <v>59.15501883189593</v>
      </c>
      <c r="BA223" s="643">
        <f t="shared" si="112"/>
        <v>0.95441353264810536</v>
      </c>
      <c r="BC223" s="11">
        <v>43309</v>
      </c>
      <c r="BD223" s="290">
        <f>[3]!FeuilCaduc*(1-Persistant)+Persistant</f>
        <v>0.99985588571902273</v>
      </c>
      <c r="BE223" s="291">
        <f>[3]!CroissVégét</f>
        <v>0.8780111344941991</v>
      </c>
      <c r="BF223" s="816">
        <f>1+[3]!Salcycl*Ksac</f>
        <v>1.0499819857148778</v>
      </c>
      <c r="BH223" s="1053">
        <f t="shared" si="113"/>
        <v>1.8985894591398399E-3</v>
      </c>
      <c r="BI223" s="11">
        <v>44405</v>
      </c>
      <c r="BJ223" s="726">
        <v>1.5874650870865674E-4</v>
      </c>
      <c r="BK223" s="726">
        <v>6.5563538581600816E-4</v>
      </c>
      <c r="BL223" s="726">
        <v>1.1858816768774332E-3</v>
      </c>
      <c r="BM223" s="726">
        <v>1.9004549879745012E-3</v>
      </c>
      <c r="BN223" s="726">
        <v>3.0914453286820165E-3</v>
      </c>
      <c r="BO223" s="727">
        <v>4.5470275952153947E-3</v>
      </c>
      <c r="BP223" s="726">
        <v>6.2845599317052315E-3</v>
      </c>
      <c r="BQ223" s="726">
        <v>8.5061830223268665E-3</v>
      </c>
      <c r="BR223" s="726">
        <v>1.0995284647179807E-2</v>
      </c>
      <c r="BS223" s="726">
        <v>1.379503343464927E-2</v>
      </c>
      <c r="BT223" s="726">
        <v>1.6443180393259229E-2</v>
      </c>
      <c r="BW223" s="1186">
        <f>'2018'!R\Max</f>
        <v>0.45250142824443479</v>
      </c>
      <c r="BX223" s="1184">
        <f>'2019'!R\Max</f>
        <v>0.91987668223596086</v>
      </c>
      <c r="BY223" s="1184">
        <f>'2020'!R\Max</f>
        <v>0.95441353264810536</v>
      </c>
      <c r="BZ223" s="1184">
        <f>'2021'!R\Max</f>
        <v>0.43693913082372537</v>
      </c>
      <c r="CA223" s="1184">
        <f>'2022'!R\Max</f>
        <v>0.79697813619114954</v>
      </c>
      <c r="CB223" s="1184">
        <f>'2023'!R\Max</f>
        <v>0.79696285436276704</v>
      </c>
      <c r="CC223" s="1184">
        <f>'2024'!R\Max</f>
        <v>0.79694385451015437</v>
      </c>
      <c r="CD223" s="1184">
        <f>'2025'!R\Max</f>
        <v>0.79702939854453625</v>
      </c>
      <c r="CE223" s="1184">
        <f>'2026'!R\Max</f>
        <v>0.79701892707933952</v>
      </c>
      <c r="CF223" s="1185">
        <f>'2027'!R\Max</f>
        <v>0.79700654058916243</v>
      </c>
    </row>
    <row r="224" spans="1:84" s="6" customFormat="1" ht="11.25" x14ac:dyDescent="0.2">
      <c r="A224" s="11">
        <v>43310</v>
      </c>
      <c r="B224" s="380">
        <f>'2022'!Maxi_hp</f>
        <v>59.643858292588483</v>
      </c>
      <c r="C224" s="13">
        <f>'2022'!An_max</f>
        <v>2019</v>
      </c>
      <c r="D224" s="1062">
        <f t="shared" si="97"/>
        <v>1.0109443941648826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3">
        <f t="shared" si="100"/>
        <v>0.5714285714285714</v>
      </c>
      <c r="J224" s="746">
        <f t="shared" si="101"/>
        <v>58.998159183481974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5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3">
        <f t="shared" si="105"/>
        <v>0.21428571428571427</v>
      </c>
      <c r="AT224" s="769">
        <f t="shared" si="106"/>
        <v>59.024140670562964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3">
        <f t="shared" si="110"/>
        <v>0.2857142857142857</v>
      </c>
      <c r="AY224" s="769">
        <f t="shared" si="111"/>
        <v>59.013905539044309</v>
      </c>
      <c r="AZ224" s="746">
        <f t="shared" si="115"/>
        <v>59.019023104803637</v>
      </c>
      <c r="BA224" s="643">
        <f t="shared" si="112"/>
        <v>1.0109443941648826</v>
      </c>
      <c r="BC224" s="11">
        <v>43310</v>
      </c>
      <c r="BD224" s="290">
        <f>[3]!FeuilCaduc*(1-Persistant)+Persistant</f>
        <v>0.99984223177819298</v>
      </c>
      <c r="BE224" s="291">
        <f>[3]!CroissVégét</f>
        <v>0.88235607250226589</v>
      </c>
      <c r="BF224" s="816">
        <f>1+[3]!Salcycl*Ksac</f>
        <v>1.0499802789722741</v>
      </c>
      <c r="BH224" s="1053">
        <f t="shared" si="113"/>
        <v>1.9699287988922342E-3</v>
      </c>
      <c r="BI224" s="11">
        <v>44406</v>
      </c>
      <c r="BJ224" s="726">
        <v>1.814513541450859E-4</v>
      </c>
      <c r="BK224" s="726">
        <v>6.9458298086920868E-4</v>
      </c>
      <c r="BL224" s="726">
        <v>1.2422035380959822E-3</v>
      </c>
      <c r="BM224" s="726">
        <v>1.9718336363186159E-3</v>
      </c>
      <c r="BN224" s="726">
        <v>3.1433487292914742E-3</v>
      </c>
      <c r="BO224" s="727">
        <v>4.5578609074464942E-3</v>
      </c>
      <c r="BP224" s="726">
        <v>6.2253641263334044E-3</v>
      </c>
      <c r="BQ224" s="726">
        <v>8.2984240360210668E-3</v>
      </c>
      <c r="BR224" s="726">
        <v>1.063920489742963E-2</v>
      </c>
      <c r="BS224" s="726">
        <v>1.3272517037439684E-2</v>
      </c>
      <c r="BT224" s="726">
        <v>1.5815313102064979E-2</v>
      </c>
      <c r="BW224" s="1186">
        <f>'2018'!R\Max</f>
        <v>0.93628666649438574</v>
      </c>
      <c r="BX224" s="1184">
        <f>'2019'!R\Max</f>
        <v>1.0109443941648826</v>
      </c>
      <c r="BY224" s="1184">
        <f>'2020'!R\Max</f>
        <v>0.60644070950007245</v>
      </c>
      <c r="BZ224" s="1184">
        <f>'2021'!R\Max</f>
        <v>0.95118266637212967</v>
      </c>
      <c r="CA224" s="1184">
        <f>'2022'!R\Max</f>
        <v>0.54038829042370817</v>
      </c>
      <c r="CB224" s="1184">
        <f>'2023'!R\Max</f>
        <v>0.54036572656121251</v>
      </c>
      <c r="CC224" s="1184">
        <f>'2024'!R\Max</f>
        <v>0.54033834783886725</v>
      </c>
      <c r="CD224" s="1184">
        <f>'2025'!R\Max</f>
        <v>0.54046494795629818</v>
      </c>
      <c r="CE224" s="1184">
        <f>'2026'!R\Max</f>
        <v>0.54044909802580743</v>
      </c>
      <c r="CF224" s="1185">
        <f>'2027'!R\Max</f>
        <v>0.54043052810104542</v>
      </c>
    </row>
    <row r="225" spans="1:84" s="6" customFormat="1" ht="11.25" x14ac:dyDescent="0.2">
      <c r="A225" s="11">
        <v>43311</v>
      </c>
      <c r="B225" s="380">
        <f>'2022'!Maxi_hp</f>
        <v>55.994393253662331</v>
      </c>
      <c r="C225" s="13">
        <f>'2022'!An_max</f>
        <v>2018</v>
      </c>
      <c r="D225" s="1062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3">
        <f t="shared" si="100"/>
        <v>0.5</v>
      </c>
      <c r="J225" s="746">
        <f t="shared" si="101"/>
        <v>58.858624999783935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5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3">
        <f t="shared" si="105"/>
        <v>0.25</v>
      </c>
      <c r="AT225" s="769">
        <f t="shared" si="106"/>
        <v>58.890846875077116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3">
        <f t="shared" si="110"/>
        <v>0.25</v>
      </c>
      <c r="AY225" s="769">
        <f t="shared" si="111"/>
        <v>58.87243437478319</v>
      </c>
      <c r="AZ225" s="746">
        <f t="shared" si="115"/>
        <v>58.881640624930156</v>
      </c>
      <c r="BA225" s="643">
        <f t="shared" si="112"/>
        <v>0.95133709382215237</v>
      </c>
      <c r="BC225" s="11">
        <v>43311</v>
      </c>
      <c r="BD225" s="290">
        <f>[3]!FeuilCaduc*(1-Persistant)+Persistant</f>
        <v>0.99980015849187565</v>
      </c>
      <c r="BE225" s="291">
        <f>[3]!CroissVégét</f>
        <v>0.88656663959603077</v>
      </c>
      <c r="BF225" s="816">
        <f>1+[3]!Salcycl*Ksac</f>
        <v>1.0499750198114846</v>
      </c>
      <c r="BH225" s="1053">
        <f t="shared" si="113"/>
        <v>2.0321295025990892E-3</v>
      </c>
      <c r="BI225" s="11">
        <v>44407</v>
      </c>
      <c r="BJ225" s="726">
        <v>2.0577829443623979E-4</v>
      </c>
      <c r="BK225" s="726">
        <v>7.3211323153481828E-4</v>
      </c>
      <c r="BL225" s="726">
        <v>1.2940845585269684E-3</v>
      </c>
      <c r="BM225" s="726">
        <v>2.0340613520312251E-3</v>
      </c>
      <c r="BN225" s="726">
        <v>3.1752625260713391E-3</v>
      </c>
      <c r="BO225" s="727">
        <v>4.535691447796213E-3</v>
      </c>
      <c r="BP225" s="726">
        <v>6.1190590434468178E-3</v>
      </c>
      <c r="BQ225" s="726">
        <v>8.0440410218826051E-3</v>
      </c>
      <c r="BR225" s="726">
        <v>1.0239716723731291E-2</v>
      </c>
      <c r="BS225" s="726">
        <v>1.2728207326029256E-2</v>
      </c>
      <c r="BT225" s="726">
        <v>1.5193555296306734E-2</v>
      </c>
      <c r="BW225" s="1186">
        <f>'2018'!R\Max</f>
        <v>0.95133709382215237</v>
      </c>
      <c r="BX225" s="1184">
        <f>'2019'!R\Max</f>
        <v>0.49277966138256596</v>
      </c>
      <c r="BY225" s="1184">
        <f>'2020'!R\Max</f>
        <v>0.86590310497143563</v>
      </c>
      <c r="BZ225" s="1184">
        <f>'2021'!R\Max</f>
        <v>0.33246396011622531</v>
      </c>
      <c r="CA225" s="1184">
        <f>'2022'!R\Max</f>
        <v>0.91181617508120139</v>
      </c>
      <c r="CB225" s="1184">
        <f>'2023'!R\Max</f>
        <v>0.91180922244993179</v>
      </c>
      <c r="CC225" s="1184">
        <f>'2024'!R\Max</f>
        <v>0.91180094680550638</v>
      </c>
      <c r="CD225" s="1184">
        <f>'2025'!R\Max</f>
        <v>0.91184010060379217</v>
      </c>
      <c r="CE225" s="1184">
        <f>'2026'!R\Max</f>
        <v>0.91183509144180253</v>
      </c>
      <c r="CF225" s="1185">
        <f>'2027'!R\Max</f>
        <v>0.91182928179748846</v>
      </c>
    </row>
    <row r="226" spans="1:84" s="6" customFormat="1" ht="11.25" x14ac:dyDescent="0.2">
      <c r="A226" s="11">
        <v>43312</v>
      </c>
      <c r="B226" s="380">
        <f>'2022'!Maxi_hp</f>
        <v>58.250484133448317</v>
      </c>
      <c r="C226" s="13">
        <f>'2022'!An_max</f>
        <v>2019</v>
      </c>
      <c r="D226" s="1062">
        <f t="shared" si="97"/>
        <v>0.99204491125279404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3">
        <f t="shared" si="100"/>
        <v>0.42857142857142855</v>
      </c>
      <c r="J226" s="746">
        <f t="shared" si="101"/>
        <v>58.717587755061686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5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3">
        <f t="shared" si="105"/>
        <v>0.2857142857142857</v>
      </c>
      <c r="AT226" s="769">
        <f t="shared" si="106"/>
        <v>58.756237900815904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3">
        <f t="shared" si="110"/>
        <v>0.21428571428571427</v>
      </c>
      <c r="AY226" s="769">
        <f t="shared" si="111"/>
        <v>58.729397521700186</v>
      </c>
      <c r="AZ226" s="746">
        <f t="shared" si="115"/>
        <v>58.742817711258041</v>
      </c>
      <c r="BA226" s="643">
        <f t="shared" si="112"/>
        <v>0.99204491125279404</v>
      </c>
      <c r="BC226" s="11">
        <v>43312</v>
      </c>
      <c r="BD226" s="290">
        <f>[3]!FeuilCaduc*(1-Persistant)+Persistant</f>
        <v>0.99973148047235272</v>
      </c>
      <c r="BE226" s="291">
        <f>[3]!CroissVégét</f>
        <v>0.89064558172697694</v>
      </c>
      <c r="BF226" s="816">
        <f>1+[3]!Salcycl*Ksac</f>
        <v>1.0499664350590441</v>
      </c>
      <c r="BH226" s="1053">
        <f t="shared" si="113"/>
        <v>2.0788050851864221E-3</v>
      </c>
      <c r="BI226" s="11">
        <v>44408</v>
      </c>
      <c r="BJ226" s="726">
        <v>2.2879512715516382E-4</v>
      </c>
      <c r="BK226" s="726">
        <v>7.6416387333037687E-4</v>
      </c>
      <c r="BL226" s="726">
        <v>1.3361877160395564E-3</v>
      </c>
      <c r="BM226" s="726">
        <v>2.080748903045217E-3</v>
      </c>
      <c r="BN226" s="726">
        <v>3.1823408137551853E-3</v>
      </c>
      <c r="BO226" s="727">
        <v>4.4785007864971468E-3</v>
      </c>
      <c r="BP226" s="726">
        <v>5.9680117072268895E-3</v>
      </c>
      <c r="BQ226" s="726">
        <v>7.7477265340313095E-3</v>
      </c>
      <c r="BR226" s="726">
        <v>9.8030321365551766E-3</v>
      </c>
      <c r="BS226" s="726">
        <v>1.2168331506092157E-2</v>
      </c>
      <c r="BT226" s="726">
        <v>1.4584036160265282E-2</v>
      </c>
      <c r="BW226" s="1186">
        <f>'2018'!R\Max</f>
        <v>0.86364684455593976</v>
      </c>
      <c r="BX226" s="1184">
        <f>'2019'!R\Max</f>
        <v>0.99204491125279404</v>
      </c>
      <c r="BY226" s="1184">
        <f>'2020'!R\Max</f>
        <v>0.95645610625210487</v>
      </c>
      <c r="BZ226" s="1184">
        <f>'2021'!R\Max</f>
        <v>0.23094708341959186</v>
      </c>
      <c r="CA226" s="1184">
        <f>'2022'!R\Max</f>
        <v>0.96339668541823997</v>
      </c>
      <c r="CB226" s="1184">
        <f>'2023'!R\Max</f>
        <v>0.96339381033449678</v>
      </c>
      <c r="CC226" s="1184">
        <f>'2024'!R\Max</f>
        <v>0.96339043887811138</v>
      </c>
      <c r="CD226" s="1184">
        <f>'2025'!R\Max</f>
        <v>0.96340670860575528</v>
      </c>
      <c r="CE226" s="1184">
        <f>'2026'!R\Max</f>
        <v>0.9634045831228889</v>
      </c>
      <c r="CF226" s="1185">
        <f>'2027'!R\Max</f>
        <v>0.96340214379317124</v>
      </c>
    </row>
    <row r="227" spans="1:84" s="6" customFormat="1" ht="11.25" x14ac:dyDescent="0.2">
      <c r="A227" s="11">
        <v>43313</v>
      </c>
      <c r="B227" s="380">
        <f>'2022'!Maxi_hp</f>
        <v>55.586126471663725</v>
      </c>
      <c r="C227" s="13">
        <f>'2022'!An_max</f>
        <v>2022</v>
      </c>
      <c r="D227" s="1062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3">
        <f t="shared" si="100"/>
        <v>0.35714285714285715</v>
      </c>
      <c r="J227" s="746">
        <f t="shared" si="101"/>
        <v>58.575047448836266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5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3">
        <f t="shared" si="105"/>
        <v>0.32142857142857145</v>
      </c>
      <c r="AT227" s="769">
        <f t="shared" si="106"/>
        <v>58.620179546145458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3">
        <f t="shared" si="110"/>
        <v>0.17857142857142858</v>
      </c>
      <c r="AY227" s="769">
        <f t="shared" si="111"/>
        <v>58.584821820345574</v>
      </c>
      <c r="AZ227" s="746">
        <f t="shared" si="115"/>
        <v>58.602500683245516</v>
      </c>
      <c r="BA227" s="643">
        <f t="shared" si="112"/>
        <v>0.94897279460536021</v>
      </c>
      <c r="BC227" s="11">
        <v>43313</v>
      </c>
      <c r="BD227" s="290">
        <f>[3]!FeuilCaduc*(1-Persistant)+Persistant</f>
        <v>0.99963780534709201</v>
      </c>
      <c r="BE227" s="291">
        <f>[3]!CroissVégét</f>
        <v>0.89459569118431537</v>
      </c>
      <c r="BF227" s="816">
        <f>1+[3]!Salcycl*Ksac</f>
        <v>1.0499547256683865</v>
      </c>
      <c r="BH227" s="1053">
        <f t="shared" si="113"/>
        <v>2.1085591851374009E-3</v>
      </c>
      <c r="BI227" s="11">
        <v>44409</v>
      </c>
      <c r="BJ227" s="726">
        <v>2.4887681852077864E-4</v>
      </c>
      <c r="BK227" s="726">
        <v>7.8900504000773634E-4</v>
      </c>
      <c r="BL227" s="726">
        <v>1.3665537772552996E-3</v>
      </c>
      <c r="BM227" s="726">
        <v>2.1105014011736627E-3</v>
      </c>
      <c r="BN227" s="726">
        <v>3.1694217328160435E-3</v>
      </c>
      <c r="BO227" s="727">
        <v>4.4000067473883887E-3</v>
      </c>
      <c r="BP227" s="726">
        <v>5.7977086877399435E-3</v>
      </c>
      <c r="BQ227" s="726">
        <v>7.442171832725975E-3</v>
      </c>
      <c r="BR227" s="726">
        <v>9.3670345616709109E-3</v>
      </c>
      <c r="BS227" s="726">
        <v>1.1617751783864757E-2</v>
      </c>
      <c r="BT227" s="726">
        <v>1.3983189802915135E-2</v>
      </c>
      <c r="BW227" s="1186">
        <f>'2018'!R\Max</f>
        <v>0.93491981691902348</v>
      </c>
      <c r="BX227" s="1184">
        <f>'2019'!R\Max</f>
        <v>0.84366211846185901</v>
      </c>
      <c r="BY227" s="1184">
        <f>'2020'!R\Max</f>
        <v>0.92936915949410281</v>
      </c>
      <c r="BZ227" s="1184">
        <f>'2021'!R\Max</f>
        <v>0.81505172263611891</v>
      </c>
      <c r="CA227" s="1184">
        <f>'2022'!R\Max</f>
        <v>0.94897279460536021</v>
      </c>
      <c r="CB227" s="1184">
        <f>'2023'!R\Max</f>
        <v>0.94896908129120527</v>
      </c>
      <c r="CC227" s="1184">
        <f>'2024'!R\Max</f>
        <v>0.94896478446255372</v>
      </c>
      <c r="CD227" s="1184">
        <f>'2025'!R\Max</f>
        <v>0.94898589791609755</v>
      </c>
      <c r="CE227" s="1184">
        <f>'2026'!R\Max</f>
        <v>0.94898308567463574</v>
      </c>
      <c r="CF227" s="1185">
        <f>'2027'!R\Max</f>
        <v>0.94897989049376208</v>
      </c>
    </row>
    <row r="228" spans="1:84" s="6" customFormat="1" ht="11.25" x14ac:dyDescent="0.2">
      <c r="A228" s="11">
        <v>43314</v>
      </c>
      <c r="B228" s="380">
        <f>'2022'!Maxi_hp</f>
        <v>56.845203333586923</v>
      </c>
      <c r="C228" s="13">
        <f>'2022'!An_max</f>
        <v>2019</v>
      </c>
      <c r="D228" s="1062">
        <f t="shared" si="97"/>
        <v>0.9728602858564277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3">
        <f t="shared" si="100"/>
        <v>0.2857142857142857</v>
      </c>
      <c r="J228" s="746">
        <f t="shared" si="101"/>
        <v>58.431004081480204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5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3">
        <f t="shared" si="105"/>
        <v>0.35714285714285715</v>
      </c>
      <c r="AT228" s="769">
        <f t="shared" si="106"/>
        <v>58.482537609352065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3">
        <f t="shared" si="110"/>
        <v>0.14285714285714285</v>
      </c>
      <c r="AY228" s="769">
        <f t="shared" si="111"/>
        <v>58.438734110444784</v>
      </c>
      <c r="AZ228" s="746">
        <f t="shared" si="115"/>
        <v>58.460635859898424</v>
      </c>
      <c r="BA228" s="643">
        <f t="shared" si="112"/>
        <v>0.9728602858564277</v>
      </c>
      <c r="BC228" s="11">
        <v>43314</v>
      </c>
      <c r="BD228" s="290">
        <f>[3]!FeuilCaduc*(1-Persistant)+Persistant</f>
        <v>0.9995205369695489</v>
      </c>
      <c r="BE228" s="291">
        <f>[3]!CroissVégét</f>
        <v>0.89841979735358901</v>
      </c>
      <c r="BF228" s="816">
        <f>1+[3]!Salcycl*Ksac</f>
        <v>1.0499400671211936</v>
      </c>
      <c r="BH228" s="1053">
        <f t="shared" si="113"/>
        <v>2.1213993454979227E-3</v>
      </c>
      <c r="BI228" s="11">
        <v>44410</v>
      </c>
      <c r="BJ228" s="726">
        <v>2.660252488764382E-4</v>
      </c>
      <c r="BK228" s="726">
        <v>8.0664041583944834E-4</v>
      </c>
      <c r="BL228" s="726">
        <v>1.3851883530384395E-3</v>
      </c>
      <c r="BM228" s="726">
        <v>2.1233263945199892E-3</v>
      </c>
      <c r="BN228" s="726">
        <v>3.136512263894217E-3</v>
      </c>
      <c r="BO228" s="727">
        <v>4.3002141304762436E-3</v>
      </c>
      <c r="BP228" s="726">
        <v>5.6081502019118008E-3</v>
      </c>
      <c r="BQ228" s="726">
        <v>7.1273675686541037E-3</v>
      </c>
      <c r="BR228" s="726">
        <v>8.9317052093673601E-3</v>
      </c>
      <c r="BS228" s="726">
        <v>1.1076440955547011E-2</v>
      </c>
      <c r="BT228" s="726">
        <v>1.3390986762994807E-2</v>
      </c>
      <c r="BW228" s="1186">
        <f>'2018'!R\Max</f>
        <v>0.92992611736140196</v>
      </c>
      <c r="BX228" s="1184">
        <f>'2019'!R\Max</f>
        <v>0.9728602858564277</v>
      </c>
      <c r="BY228" s="1184">
        <f>'2020'!R\Max</f>
        <v>0.83206395518901233</v>
      </c>
      <c r="BZ228" s="1184">
        <f>'2021'!R\Max</f>
        <v>0.87475786911658893</v>
      </c>
      <c r="CA228" s="1184">
        <f>'2022'!R\Max</f>
        <v>0.95518672510386515</v>
      </c>
      <c r="CB228" s="1184">
        <f>'2023'!R\Max</f>
        <v>0.95518364626101548</v>
      </c>
      <c r="CC228" s="1184">
        <f>'2024'!R\Max</f>
        <v>0.9551801228303306</v>
      </c>
      <c r="CD228" s="1184">
        <f>'2025'!R\Max</f>
        <v>0.95519771032155387</v>
      </c>
      <c r="CE228" s="1184">
        <f>'2026'!R\Max</f>
        <v>0.95519532613936042</v>
      </c>
      <c r="CF228" s="1185">
        <f>'2027'!R\Max</f>
        <v>0.95519264309050378</v>
      </c>
    </row>
    <row r="229" spans="1:84" s="6" customFormat="1" ht="11.25" x14ac:dyDescent="0.2">
      <c r="A229" s="11">
        <v>43315</v>
      </c>
      <c r="B229" s="380">
        <f>'2022'!Maxi_hp</f>
        <v>57.532187418566849</v>
      </c>
      <c r="C229" s="13">
        <f>'2022'!An_max</f>
        <v>2019</v>
      </c>
      <c r="D229" s="1062">
        <f t="shared" si="97"/>
        <v>0.98707618907742922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3">
        <f t="shared" si="100"/>
        <v>0.21428571428571427</v>
      </c>
      <c r="J229" s="746">
        <f t="shared" si="101"/>
        <v>58.285457652807239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5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3">
        <f t="shared" si="105"/>
        <v>0.39285714285714285</v>
      </c>
      <c r="AT229" s="769">
        <f t="shared" si="106"/>
        <v>58.343177887917101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3">
        <f t="shared" si="110"/>
        <v>0.10714285714285714</v>
      </c>
      <c r="AY229" s="769">
        <f t="shared" si="111"/>
        <v>58.29116123340625</v>
      </c>
      <c r="AZ229" s="746">
        <f t="shared" si="115"/>
        <v>58.317169560661675</v>
      </c>
      <c r="BA229" s="643">
        <f t="shared" si="112"/>
        <v>0.98707618907742922</v>
      </c>
      <c r="BC229" s="11">
        <v>43315</v>
      </c>
      <c r="BD229" s="290">
        <f>[3]!FeuilCaduc*(1-Persistant)+Persistant</f>
        <v>0.99938087988317947</v>
      </c>
      <c r="BE229" s="291">
        <f>[3]!CroissVégét</f>
        <v>0.90212075799903491</v>
      </c>
      <c r="BF229" s="816">
        <f>1+[3]!Salcycl*Ksac</f>
        <v>1.0499226099853973</v>
      </c>
      <c r="BH229" s="1053">
        <f t="shared" si="113"/>
        <v>2.1173318805438024E-3</v>
      </c>
      <c r="BI229" s="11">
        <v>44411</v>
      </c>
      <c r="BJ229" s="726">
        <v>2.8024206733451664E-4</v>
      </c>
      <c r="BK229" s="726">
        <v>8.1707314683897704E-4</v>
      </c>
      <c r="BL229" s="726">
        <v>1.3920961901766153E-3</v>
      </c>
      <c r="BM229" s="726">
        <v>2.1192302014629467E-3</v>
      </c>
      <c r="BN229" s="726">
        <v>3.083617993495864E-3</v>
      </c>
      <c r="BO229" s="727">
        <v>4.1791263285452076E-3</v>
      </c>
      <c r="BP229" s="726">
        <v>5.3993353141141209E-3</v>
      </c>
      <c r="BQ229" s="726">
        <v>6.8033041078565705E-3</v>
      </c>
      <c r="BR229" s="726">
        <v>8.4970258608287694E-3</v>
      </c>
      <c r="BS229" s="726">
        <v>1.0544373131360713E-2</v>
      </c>
      <c r="BT229" s="726">
        <v>1.2807398908345017E-2</v>
      </c>
      <c r="BW229" s="1186">
        <f>'2018'!R\Max</f>
        <v>0.95048353267231123</v>
      </c>
      <c r="BX229" s="1184">
        <f>'2019'!R\Max</f>
        <v>0.98707618907742922</v>
      </c>
      <c r="BY229" s="1184">
        <f>'2020'!R\Max</f>
        <v>0.62255178717481729</v>
      </c>
      <c r="BZ229" s="1184">
        <f>'2021'!R\Max</f>
        <v>0.69011941034722379</v>
      </c>
      <c r="CA229" s="1184">
        <f>'2022'!R\Max</f>
        <v>0.91757738031034886</v>
      </c>
      <c r="CB229" s="1184">
        <f>'2023'!R\Max</f>
        <v>0.91757229348792302</v>
      </c>
      <c r="CC229" s="1184">
        <f>'2024'!R\Max</f>
        <v>0.91756651907505915</v>
      </c>
      <c r="CD229" s="1184">
        <f>'2025'!R\Max</f>
        <v>0.917595708884692</v>
      </c>
      <c r="CE229" s="1184">
        <f>'2026'!R\Max</f>
        <v>0.91759168977133931</v>
      </c>
      <c r="CF229" s="1185">
        <f>'2027'!R\Max</f>
        <v>0.91758720754692324</v>
      </c>
    </row>
    <row r="230" spans="1:84" s="6" customFormat="1" ht="11.25" x14ac:dyDescent="0.2">
      <c r="A230" s="11">
        <v>43316</v>
      </c>
      <c r="B230" s="380">
        <f>'2022'!Maxi_hp</f>
        <v>54.820289563876685</v>
      </c>
      <c r="C230" s="13">
        <f>'2022'!An_max</f>
        <v>2019</v>
      </c>
      <c r="D230" s="1062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3">
        <f t="shared" si="100"/>
        <v>0.14285714285714285</v>
      </c>
      <c r="J230" s="746">
        <f t="shared" si="101"/>
        <v>58.138408163056852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5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3">
        <f t="shared" si="105"/>
        <v>0.42857142857142855</v>
      </c>
      <c r="AT230" s="769">
        <f t="shared" si="106"/>
        <v>58.201966180971681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3">
        <f t="shared" si="110"/>
        <v>7.1428571428571425E-2</v>
      </c>
      <c r="AY230" s="769">
        <f t="shared" si="111"/>
        <v>58.142130029148291</v>
      </c>
      <c r="AZ230" s="746">
        <f t="shared" si="115"/>
        <v>58.172048105059986</v>
      </c>
      <c r="BA230" s="643">
        <f t="shared" si="112"/>
        <v>0.94292725404737499</v>
      </c>
      <c r="BC230" s="11">
        <v>43316</v>
      </c>
      <c r="BD230" s="290">
        <f>[3]!FeuilCaduc*(1-Persistant)+Persistant</f>
        <v>0.99921984492289773</v>
      </c>
      <c r="BE230" s="291">
        <f>[3]!CroissVégét</f>
        <v>0.90570145106838851</v>
      </c>
      <c r="BF230" s="816">
        <f>1+[3]!Salcycl*Ksac</f>
        <v>1.0499024806153623</v>
      </c>
      <c r="BH230" s="1053">
        <f t="shared" si="113"/>
        <v>2.0963619283740293E-3</v>
      </c>
      <c r="BI230" s="11">
        <v>44412</v>
      </c>
      <c r="BJ230" s="726">
        <v>2.9152870088006497E-4</v>
      </c>
      <c r="BK230" s="726">
        <v>8.2030586315224544E-4</v>
      </c>
      <c r="BL230" s="726">
        <v>1.3872812078474675E-3</v>
      </c>
      <c r="BM230" s="726">
        <v>2.0982179632920788E-3</v>
      </c>
      <c r="BN230" s="726">
        <v>3.0107431762198137E-3</v>
      </c>
      <c r="BO230" s="727">
        <v>4.0367453935522234E-3</v>
      </c>
      <c r="BP230" s="726">
        <v>5.1712619963458183E-3</v>
      </c>
      <c r="BQ230" s="726">
        <v>6.4699715610103924E-3</v>
      </c>
      <c r="BR230" s="726">
        <v>8.0629788667997675E-3</v>
      </c>
      <c r="BS230" s="726">
        <v>1.0021523707687267E-2</v>
      </c>
      <c r="BT230" s="726">
        <v>1.2232399410126174E-2</v>
      </c>
      <c r="BW230" s="1186">
        <f>'2018'!R\Max</f>
        <v>0.92287051426785371</v>
      </c>
      <c r="BX230" s="1184">
        <f>'2019'!R\Max</f>
        <v>0.94292725404737499</v>
      </c>
      <c r="BY230" s="1184">
        <f>'2020'!R\Max</f>
        <v>0.88136614778935118</v>
      </c>
      <c r="BZ230" s="1184">
        <f>'2021'!R\Max</f>
        <v>0.60407616596097624</v>
      </c>
      <c r="CA230" s="1184">
        <f>'2022'!R\Max</f>
        <v>0.86328765238726368</v>
      </c>
      <c r="CB230" s="1184">
        <f>'2023'!R\Max</f>
        <v>0.86328025431033151</v>
      </c>
      <c r="CC230" s="1184">
        <f>'2024'!R\Max</f>
        <v>0.86327189147285954</v>
      </c>
      <c r="CD230" s="1184">
        <f>'2025'!R\Max</f>
        <v>0.86331453080645015</v>
      </c>
      <c r="CE230" s="1184">
        <f>'2026'!R\Max</f>
        <v>0.86330858188254478</v>
      </c>
      <c r="CF230" s="1185">
        <f>'2027'!R\Max</f>
        <v>0.86330200338134744</v>
      </c>
    </row>
    <row r="231" spans="1:84" s="6" customFormat="1" ht="11.25" x14ac:dyDescent="0.2">
      <c r="A231" s="11">
        <v>43317</v>
      </c>
      <c r="B231" s="380">
        <f>'2022'!Maxi_hp</f>
        <v>56.442491959447445</v>
      </c>
      <c r="C231" s="13">
        <f>'2022'!An_max</f>
        <v>2020</v>
      </c>
      <c r="D231" s="1062">
        <f t="shared" si="97"/>
        <v>0.97331664932939033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3">
        <f t="shared" si="100"/>
        <v>7.1428571428571425E-2</v>
      </c>
      <c r="J231" s="746">
        <f t="shared" si="101"/>
        <v>57.989855612082671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5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3">
        <f t="shared" si="105"/>
        <v>0.4642857142857143</v>
      </c>
      <c r="AT231" s="769">
        <f t="shared" si="106"/>
        <v>58.058768285345288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3">
        <f t="shared" si="110"/>
        <v>3.5714285714285712E-2</v>
      </c>
      <c r="AY231" s="769">
        <f t="shared" si="111"/>
        <v>57.991667337855326</v>
      </c>
      <c r="AZ231" s="746">
        <f t="shared" si="115"/>
        <v>58.025217811600307</v>
      </c>
      <c r="BA231" s="643">
        <f t="shared" si="112"/>
        <v>0.97331664932939033</v>
      </c>
      <c r="BC231" s="11">
        <v>43317</v>
      </c>
      <c r="BD231" s="290">
        <f>[3]!FeuilCaduc*(1-Persistant)+Persistant</f>
        <v>0.99903825582980099</v>
      </c>
      <c r="BE231" s="291">
        <f>[3]!CroissVégét</f>
        <v>0.90916476701567317</v>
      </c>
      <c r="BF231" s="816">
        <f>1+[3]!Salcycl*Ksac</f>
        <v>1.0498797819787251</v>
      </c>
      <c r="BH231" s="1053">
        <f t="shared" si="113"/>
        <v>2.0584935034967241E-3</v>
      </c>
      <c r="BI231" s="11">
        <v>44413</v>
      </c>
      <c r="BJ231" s="726">
        <v>2.9988636347370493E-4</v>
      </c>
      <c r="BK231" s="726">
        <v>8.1634070144652937E-4</v>
      </c>
      <c r="BL231" s="726">
        <v>1.370746534080577E-3</v>
      </c>
      <c r="BM231" s="726">
        <v>2.0602936968358849E-3</v>
      </c>
      <c r="BN231" s="726">
        <v>2.9178907969730516E-3</v>
      </c>
      <c r="BO231" s="727">
        <v>3.8730721030048204E-3</v>
      </c>
      <c r="BP231" s="726">
        <v>4.9239271883927621E-3</v>
      </c>
      <c r="BQ231" s="726">
        <v>6.1273598126830092E-3</v>
      </c>
      <c r="BR231" s="726">
        <v>7.6295471462140448E-3</v>
      </c>
      <c r="BS231" s="726">
        <v>9.5078693391602957E-3</v>
      </c>
      <c r="BT231" s="726">
        <v>1.1665962716981825E-2</v>
      </c>
      <c r="BW231" s="1186">
        <f>'2018'!R\Max</f>
        <v>0.90858612615189316</v>
      </c>
      <c r="BX231" s="1184">
        <f>'2019'!R\Max</f>
        <v>0.94563582868098561</v>
      </c>
      <c r="BY231" s="1184">
        <f>'2020'!R\Max</f>
        <v>0.97331664932939033</v>
      </c>
      <c r="BZ231" s="1184">
        <f>'2021'!R\Max</f>
        <v>0.86611142728793711</v>
      </c>
      <c r="CA231" s="1184">
        <f>'2022'!R\Max</f>
        <v>0.80531662928420122</v>
      </c>
      <c r="CB231" s="1184">
        <f>'2023'!R\Max</f>
        <v>0.80530750477135804</v>
      </c>
      <c r="CC231" s="1184">
        <f>'2024'!R\Max</f>
        <v>0.80529718204861378</v>
      </c>
      <c r="CD231" s="1184">
        <f>'2025'!R\Max</f>
        <v>0.80534999421621833</v>
      </c>
      <c r="CE231" s="1184">
        <f>'2026'!R\Max</f>
        <v>0.80534254939299776</v>
      </c>
      <c r="CF231" s="1185">
        <f>'2027'!R\Max</f>
        <v>0.80533438073665231</v>
      </c>
    </row>
    <row r="232" spans="1:84" s="6" customFormat="1" ht="11.25" x14ac:dyDescent="0.2">
      <c r="A232" s="11">
        <v>43318</v>
      </c>
      <c r="B232" s="380">
        <f>'2022'!Maxi_hp</f>
        <v>57.46185272567628</v>
      </c>
      <c r="C232" s="13">
        <f>'2022'!An_max</f>
        <v>2020</v>
      </c>
      <c r="D232" s="1062">
        <f t="shared" si="97"/>
        <v>0.99346561927378441</v>
      </c>
      <c r="E232" s="1057">
        <f>AC$13/10</f>
        <v>57.839800000000004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3">
        <f t="shared" si="100"/>
        <v>0</v>
      </c>
      <c r="J232" s="746">
        <f t="shared" si="101"/>
        <v>57.839800000004473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5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3">
        <f t="shared" si="105"/>
        <v>0.5</v>
      </c>
      <c r="AT232" s="769">
        <f t="shared" si="106"/>
        <v>57.91344999987632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3">
        <f t="shared" si="110"/>
        <v>0</v>
      </c>
      <c r="AY232" s="769">
        <f t="shared" si="111"/>
        <v>57.839800000190735</v>
      </c>
      <c r="AZ232" s="746">
        <f t="shared" si="115"/>
        <v>57.876625000033528</v>
      </c>
      <c r="BA232" s="643">
        <f t="shared" si="112"/>
        <v>0.99346561927378441</v>
      </c>
      <c r="BC232" s="11">
        <v>43318</v>
      </c>
      <c r="BD232" s="290">
        <f>[3]!FeuilCaduc*(1-Persistant)+Persistant</f>
        <v>0.99883675674807082</v>
      </c>
      <c r="BE232" s="291">
        <f>[3]!CroissVégét</f>
        <v>0.91251360163473627</v>
      </c>
      <c r="BF232" s="816">
        <f>1+[3]!Salcycl*Ksac</f>
        <v>1.0498545945935089</v>
      </c>
      <c r="BH232" s="1053">
        <f t="shared" si="113"/>
        <v>2.0037295494229807E-3</v>
      </c>
      <c r="BI232" s="11">
        <v>44414</v>
      </c>
      <c r="BJ232" s="726">
        <v>3.0531606515569554E-4</v>
      </c>
      <c r="BK232" s="726">
        <v>8.0517932730249917E-4</v>
      </c>
      <c r="BL232" s="726">
        <v>1.3424945422246676E-3</v>
      </c>
      <c r="BM232" s="726">
        <v>2.005460347097871E-3</v>
      </c>
      <c r="BN232" s="726">
        <v>2.8050626331972903E-3</v>
      </c>
      <c r="BO232" s="727">
        <v>3.6881060263538653E-3</v>
      </c>
      <c r="BP232" s="726">
        <v>4.6573268580059526E-3</v>
      </c>
      <c r="BQ232" s="726">
        <v>5.7754585506094129E-3</v>
      </c>
      <c r="BR232" s="726">
        <v>7.1967141848514465E-3</v>
      </c>
      <c r="BS232" s="726">
        <v>9.0033879107936504E-3</v>
      </c>
      <c r="BT232" s="726">
        <v>1.1108064529245698E-2</v>
      </c>
      <c r="BW232" s="1186">
        <f>'2018'!R\Max</f>
        <v>0.93679386657736063</v>
      </c>
      <c r="BX232" s="1184">
        <f>'2019'!R\Max</f>
        <v>0.7322118943310475</v>
      </c>
      <c r="BY232" s="1184">
        <f>'2020'!R\Max</f>
        <v>0.99346561927378441</v>
      </c>
      <c r="BZ232" s="1184">
        <f>'2021'!R\Max</f>
        <v>0.36919755855817959</v>
      </c>
      <c r="CA232" s="1184">
        <f>'2022'!R\Max</f>
        <v>0.88484663602804503</v>
      </c>
      <c r="CB232" s="1184">
        <f>'2023'!R\Max</f>
        <v>0.88484115358466586</v>
      </c>
      <c r="CC232" s="1184">
        <f>'2024'!R\Max</f>
        <v>0.88483490648977992</v>
      </c>
      <c r="CD232" s="1184">
        <f>'2025'!R\Max</f>
        <v>0.88486676554556121</v>
      </c>
      <c r="CE232" s="1184">
        <f>'2026'!R\Max</f>
        <v>0.88486224362760535</v>
      </c>
      <c r="CF232" s="1185">
        <f>'2027'!R\Max</f>
        <v>0.88485731689488967</v>
      </c>
    </row>
    <row r="233" spans="1:84" s="6" customFormat="1" ht="11.25" x14ac:dyDescent="0.2">
      <c r="A233" s="11">
        <v>43319</v>
      </c>
      <c r="B233" s="380">
        <f>'2022'!Maxi_hp</f>
        <v>55.820902062700583</v>
      </c>
      <c r="C233" s="13">
        <f>'2022'!An_max</f>
        <v>2020</v>
      </c>
      <c r="D233" s="1062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3">
        <f t="shared" si="100"/>
        <v>7.1428571428571425E-2</v>
      </c>
      <c r="J233" s="746">
        <f t="shared" si="101"/>
        <v>57.688473943115355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5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3">
        <f t="shared" si="105"/>
        <v>0.5357142857142857</v>
      </c>
      <c r="AT233" s="769">
        <f t="shared" si="106"/>
        <v>57.765877122698086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3">
        <f t="shared" si="110"/>
        <v>3.5714285714285712E-2</v>
      </c>
      <c r="AY233" s="769">
        <f t="shared" si="111"/>
        <v>57.687814116870456</v>
      </c>
      <c r="AZ233" s="746">
        <f t="shared" si="115"/>
        <v>57.726845619784271</v>
      </c>
      <c r="BA233" s="643">
        <f t="shared" si="112"/>
        <v>0.9676266028070647</v>
      </c>
      <c r="BC233" s="11">
        <v>43319</v>
      </c>
      <c r="BD233" s="290">
        <f>[3]!FeuilCaduc*(1-Persistant)+Persistant</f>
        <v>0.99861582046760844</v>
      </c>
      <c r="BE233" s="291">
        <f>[3]!CroissVégét</f>
        <v>0.91575084939386342</v>
      </c>
      <c r="BF233" s="816">
        <f>1+[3]!Salcycl*Ksac</f>
        <v>1.049826977558451</v>
      </c>
      <c r="BH233" s="1053">
        <f t="shared" si="113"/>
        <v>1.9320719912485351E-3</v>
      </c>
      <c r="BI233" s="11">
        <v>44415</v>
      </c>
      <c r="BJ233" s="726">
        <v>3.0781862114835634E-4</v>
      </c>
      <c r="BK233" s="726">
        <v>7.8682295760153708E-4</v>
      </c>
      <c r="BL233" s="726">
        <v>1.3025268874067872E-3</v>
      </c>
      <c r="BM233" s="726">
        <v>1.9337198398804226E-3</v>
      </c>
      <c r="BN233" s="726">
        <v>2.6722593170779721E-3</v>
      </c>
      <c r="BO233" s="727">
        <v>3.4818455913626922E-3</v>
      </c>
      <c r="BP233" s="726">
        <v>4.3714560610494183E-3</v>
      </c>
      <c r="BQ233" s="726">
        <v>5.4142572949314773E-3</v>
      </c>
      <c r="BR233" s="726">
        <v>6.7644640339481008E-3</v>
      </c>
      <c r="BS233" s="726">
        <v>8.5080585100512536E-3</v>
      </c>
      <c r="BT233" s="726">
        <v>1.0558681773077941E-2</v>
      </c>
      <c r="BW233" s="1186">
        <f>'2018'!R\Max</f>
        <v>0.62548073998555376</v>
      </c>
      <c r="BX233" s="1184">
        <f>'2019'!R\Max</f>
        <v>0.75824973595239831</v>
      </c>
      <c r="BY233" s="1184">
        <f>'2020'!R\Max</f>
        <v>0.9676266028070647</v>
      </c>
      <c r="BZ233" s="1184">
        <f>'2021'!R\Max</f>
        <v>0.44905824695946617</v>
      </c>
      <c r="CA233" s="1184">
        <f>'2022'!R\Max</f>
        <v>0.94305672435856625</v>
      </c>
      <c r="CB233" s="1184">
        <f>'2023'!R\Max</f>
        <v>0.94305406592647323</v>
      </c>
      <c r="CC233" s="1184">
        <f>'2024'!R\Max</f>
        <v>0.94305099045999563</v>
      </c>
      <c r="CD233" s="1184">
        <f>'2025'!R\Max</f>
        <v>0.9430664968161484</v>
      </c>
      <c r="CE233" s="1184">
        <f>'2026'!R\Max</f>
        <v>0.9430642903595321</v>
      </c>
      <c r="CF233" s="1185">
        <f>'2027'!R\Max</f>
        <v>0.94306190111124777</v>
      </c>
    </row>
    <row r="234" spans="1:84" s="6" customFormat="1" ht="11.25" x14ac:dyDescent="0.2">
      <c r="A234" s="11">
        <v>43320</v>
      </c>
      <c r="B234" s="380">
        <f>'2022'!Maxi_hp</f>
        <v>55.282073058296042</v>
      </c>
      <c r="C234" s="13">
        <f>'2022'!An_max</f>
        <v>2022</v>
      </c>
      <c r="D234" s="1062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3">
        <f t="shared" si="100"/>
        <v>0.14285714285714285</v>
      </c>
      <c r="J234" s="746">
        <f t="shared" si="101"/>
        <v>57.53603848389217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5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3">
        <f t="shared" si="105"/>
        <v>0.5714285714285714</v>
      </c>
      <c r="AT234" s="769">
        <f t="shared" si="106"/>
        <v>57.615915452076919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3">
        <f t="shared" si="110"/>
        <v>7.1428571428571425E-2</v>
      </c>
      <c r="AY234" s="769">
        <f t="shared" si="111"/>
        <v>57.536772120916943</v>
      </c>
      <c r="AZ234" s="746">
        <f t="shared" si="115"/>
        <v>57.576343786496935</v>
      </c>
      <c r="BA234" s="643">
        <f t="shared" si="112"/>
        <v>0.96082515437299099</v>
      </c>
      <c r="BC234" s="11">
        <v>43320</v>
      </c>
      <c r="BD234" s="290">
        <f>[3]!FeuilCaduc*(1-Persistant)+Persistant</f>
        <v>0.99837575727223327</v>
      </c>
      <c r="BE234" s="291">
        <f>[3]!CroissVégét</f>
        <v>0.91887939725970647</v>
      </c>
      <c r="BF234" s="816">
        <f>1+[3]!Salcycl*Ksac</f>
        <v>1.0497969696590292</v>
      </c>
      <c r="BH234" s="1053">
        <f t="shared" si="113"/>
        <v>1.8453385687376583E-3</v>
      </c>
      <c r="BI234" s="11">
        <v>44416</v>
      </c>
      <c r="BJ234" s="726">
        <v>3.0663553312098446E-4</v>
      </c>
      <c r="BK234" s="726">
        <v>7.6142984176411901E-4</v>
      </c>
      <c r="BL234" s="726">
        <v>1.251729807751989E-3</v>
      </c>
      <c r="BM234" s="726">
        <v>1.8468923531745436E-3</v>
      </c>
      <c r="BN234" s="726">
        <v>2.5229622523246288E-3</v>
      </c>
      <c r="BO234" s="727">
        <v>3.2595083149787019E-3</v>
      </c>
      <c r="BP234" s="726">
        <v>4.0726616766661086E-3</v>
      </c>
      <c r="BQ234" s="726">
        <v>5.0508901179402944E-3</v>
      </c>
      <c r="BR234" s="726">
        <v>6.3402237790914093E-3</v>
      </c>
      <c r="BS234" s="726">
        <v>8.0292836566917582E-3</v>
      </c>
      <c r="BT234" s="726">
        <v>1.002499313237846E-2</v>
      </c>
      <c r="BW234" s="1186">
        <f>'2018'!R\Max</f>
        <v>0.82263674175524837</v>
      </c>
      <c r="BX234" s="1184">
        <f>'2019'!R\Max</f>
        <v>0.95685426598375733</v>
      </c>
      <c r="BY234" s="1184">
        <f>'2020'!R\Max</f>
        <v>0.95589655954334352</v>
      </c>
      <c r="BZ234" s="1184">
        <f>'2021'!R\Max</f>
        <v>0.70742170521699221</v>
      </c>
      <c r="CA234" s="1184">
        <f>'2022'!R\Max</f>
        <v>0.96082515437299099</v>
      </c>
      <c r="CB234" s="1184">
        <f>'2023'!R\Max</f>
        <v>0.96082344707147116</v>
      </c>
      <c r="CC234" s="1184">
        <f>'2024'!R\Max</f>
        <v>0.96082142297052209</v>
      </c>
      <c r="CD234" s="1184">
        <f>'2025'!R\Max</f>
        <v>0.96083141927968285</v>
      </c>
      <c r="CE234" s="1184">
        <f>'2026'!R\Max</f>
        <v>0.96083000011882957</v>
      </c>
      <c r="CF234" s="1185">
        <f>'2027'!R\Max</f>
        <v>0.96082847123658766</v>
      </c>
    </row>
    <row r="235" spans="1:84" s="6" customFormat="1" ht="11.25" x14ac:dyDescent="0.2">
      <c r="A235" s="11">
        <v>43321</v>
      </c>
      <c r="B235" s="380">
        <f>'2022'!Maxi_hp</f>
        <v>55.939165383860541</v>
      </c>
      <c r="C235" s="13">
        <f>'2022'!An_max</f>
        <v>2021</v>
      </c>
      <c r="D235" s="1062">
        <f t="shared" si="97"/>
        <v>0.97484906133627047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3">
        <f t="shared" si="100"/>
        <v>0.21428571428571427</v>
      </c>
      <c r="J235" s="746">
        <f t="shared" si="101"/>
        <v>57.382386261091696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5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3">
        <f t="shared" si="105"/>
        <v>0.6071428571428571</v>
      </c>
      <c r="AT235" s="769">
        <f t="shared" si="106"/>
        <v>57.463430785574019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3">
        <f t="shared" si="110"/>
        <v>0.10714285714285714</v>
      </c>
      <c r="AY235" s="769">
        <f t="shared" si="111"/>
        <v>57.386365347056255</v>
      </c>
      <c r="AZ235" s="746">
        <f t="shared" si="115"/>
        <v>57.424898066315137</v>
      </c>
      <c r="BA235" s="643">
        <f t="shared" si="112"/>
        <v>0.97484906133627047</v>
      </c>
      <c r="BC235" s="11">
        <v>43321</v>
      </c>
      <c r="BD235" s="290">
        <f>[3]!FeuilCaduc*(1-Persistant)+Persistant</f>
        <v>0.99811672425118192</v>
      </c>
      <c r="BE235" s="291">
        <f>[3]!CroissVégét</f>
        <v>0.92190211899696306</v>
      </c>
      <c r="BF235" s="816">
        <f>1+[3]!Salcycl*Ksac</f>
        <v>1.0497645905313977</v>
      </c>
      <c r="BH235" s="1053">
        <f t="shared" si="113"/>
        <v>1.7540626051636703E-3</v>
      </c>
      <c r="BI235" s="11">
        <v>44417</v>
      </c>
      <c r="BJ235" s="726">
        <v>3.0176671819382421E-4</v>
      </c>
      <c r="BK235" s="726">
        <v>7.3214384465368639E-4</v>
      </c>
      <c r="BL235" s="726">
        <v>1.1964998090740659E-3</v>
      </c>
      <c r="BM235" s="726">
        <v>1.7555220384673697E-3</v>
      </c>
      <c r="BN235" s="726">
        <v>2.37233692394156E-3</v>
      </c>
      <c r="BO235" s="727">
        <v>3.0404177726320713E-3</v>
      </c>
      <c r="BP235" s="726">
        <v>3.782641700433765E-3</v>
      </c>
      <c r="BQ235" s="726">
        <v>4.6994362990423399E-3</v>
      </c>
      <c r="BR235" s="726">
        <v>5.9297401256172061E-3</v>
      </c>
      <c r="BS235" s="726">
        <v>7.5642999674199385E-3</v>
      </c>
      <c r="BT235" s="726">
        <v>9.5048191781842237E-3</v>
      </c>
      <c r="BW235" s="1186">
        <f>'2018'!R\Max</f>
        <v>0.23144160288924956</v>
      </c>
      <c r="BX235" s="1184">
        <f>'2019'!R\Max</f>
        <v>0.925888188748201</v>
      </c>
      <c r="BY235" s="1184">
        <f>'2020'!R\Max</f>
        <v>0.91721187624731271</v>
      </c>
      <c r="BZ235" s="1184">
        <f>'2021'!R\Max</f>
        <v>0.97484906133627047</v>
      </c>
      <c r="CA235" s="1184">
        <f>'2022'!R\Max</f>
        <v>0.93125027637283553</v>
      </c>
      <c r="CB235" s="1184">
        <f>'2023'!R\Max</f>
        <v>0.93124761930624234</v>
      </c>
      <c r="CC235" s="1184">
        <f>'2024'!R\Max</f>
        <v>0.93124438918159536</v>
      </c>
      <c r="CD235" s="1184">
        <f>'2025'!R\Max</f>
        <v>0.93125999660625758</v>
      </c>
      <c r="CE235" s="1184">
        <f>'2026'!R\Max</f>
        <v>0.93125778892100175</v>
      </c>
      <c r="CF235" s="1185">
        <f>'2027'!R\Max</f>
        <v>0.9312554220977568</v>
      </c>
    </row>
    <row r="236" spans="1:84" s="6" customFormat="1" ht="11.25" x14ac:dyDescent="0.2">
      <c r="A236" s="11">
        <v>43322</v>
      </c>
      <c r="B236" s="380">
        <f>'2022'!Maxi_hp</f>
        <v>53.022413412282127</v>
      </c>
      <c r="C236" s="13">
        <f>'2022'!An_max</f>
        <v>2021</v>
      </c>
      <c r="D236" s="1062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3">
        <f t="shared" si="100"/>
        <v>0.2857142857142857</v>
      </c>
      <c r="J236" s="746">
        <f t="shared" si="101"/>
        <v>57.227409912565989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5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3">
        <f t="shared" si="105"/>
        <v>0.6428571428571429</v>
      </c>
      <c r="AT236" s="769">
        <f t="shared" si="106"/>
        <v>57.308288921522241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3">
        <f t="shared" si="110"/>
        <v>0.14285714285714285</v>
      </c>
      <c r="AY236" s="769">
        <f t="shared" si="111"/>
        <v>57.236285131158567</v>
      </c>
      <c r="AZ236" s="746">
        <f t="shared" si="115"/>
        <v>57.272287026340408</v>
      </c>
      <c r="BA236" s="643">
        <f t="shared" si="112"/>
        <v>0.92652128574911219</v>
      </c>
      <c r="BC236" s="11">
        <v>43322</v>
      </c>
      <c r="BD236" s="290">
        <f>[3]!FeuilCaduc*(1-Persistant)+Persistant</f>
        <v>0.99783873493122033</v>
      </c>
      <c r="BE236" s="291">
        <f>[3]!CroissVégét</f>
        <v>0.92482186992875737</v>
      </c>
      <c r="BF236" s="816">
        <f>1+[3]!Salcycl*Ksac</f>
        <v>1.0497298418664025</v>
      </c>
      <c r="BH236" s="1053">
        <f t="shared" si="113"/>
        <v>1.6582416824201802E-3</v>
      </c>
      <c r="BI236" s="11">
        <v>44418</v>
      </c>
      <c r="BJ236" s="726">
        <v>2.9321254223181272E-4</v>
      </c>
      <c r="BK236" s="726">
        <v>6.9896453360906085E-4</v>
      </c>
      <c r="BL236" s="726">
        <v>1.1368356600074221E-3</v>
      </c>
      <c r="BM236" s="726">
        <v>1.6596064745461893E-3</v>
      </c>
      <c r="BN236" s="726">
        <v>2.2203785010745558E-3</v>
      </c>
      <c r="BO236" s="727">
        <v>2.8245662232977442E-3</v>
      </c>
      <c r="BP236" s="726">
        <v>3.5013852330968293E-3</v>
      </c>
      <c r="BQ236" s="726">
        <v>4.359882386882453E-3</v>
      </c>
      <c r="BR236" s="726">
        <v>5.5329972528185322E-3</v>
      </c>
      <c r="BS236" s="726">
        <v>7.1130895511877018E-3</v>
      </c>
      <c r="BT236" s="726">
        <v>8.9981398856803767E-3</v>
      </c>
      <c r="BW236" s="1186">
        <f>'2018'!R\Max</f>
        <v>0.90907647233229449</v>
      </c>
      <c r="BX236" s="1184">
        <f>'2019'!R\Max</f>
        <v>0.70908862286680729</v>
      </c>
      <c r="BY236" s="1184">
        <f>'2020'!R\Max</f>
        <v>0.74879974224196377</v>
      </c>
      <c r="BZ236" s="1184">
        <f>'2021'!R\Max</f>
        <v>0.92652128574911219</v>
      </c>
      <c r="CA236" s="1184">
        <f>'2022'!R\Max</f>
        <v>0.89539687939914614</v>
      </c>
      <c r="CB236" s="1184">
        <f>'2023'!R\Max</f>
        <v>0.89539332626152779</v>
      </c>
      <c r="CC236" s="1184">
        <f>'2024'!R\Max</f>
        <v>0.89538889581546366</v>
      </c>
      <c r="CD236" s="1184">
        <f>'2025'!R\Max</f>
        <v>0.89540981692546007</v>
      </c>
      <c r="CE236" s="1184">
        <f>'2026'!R\Max</f>
        <v>0.89540687350234061</v>
      </c>
      <c r="CF236" s="1185">
        <f>'2027'!R\Max</f>
        <v>0.8954037317845861</v>
      </c>
    </row>
    <row r="237" spans="1:84" s="6" customFormat="1" ht="11.25" x14ac:dyDescent="0.2">
      <c r="A237" s="11">
        <v>43323</v>
      </c>
      <c r="B237" s="380">
        <f>'2022'!Maxi_hp</f>
        <v>54.934751797677123</v>
      </c>
      <c r="C237" s="13">
        <f>'2022'!An_max</f>
        <v>2018</v>
      </c>
      <c r="D237" s="1062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3">
        <f t="shared" si="100"/>
        <v>0.35714285714285715</v>
      </c>
      <c r="J237" s="746">
        <f t="shared" si="101"/>
        <v>57.07100207741771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5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3">
        <f t="shared" si="105"/>
        <v>0.6785714285714286</v>
      </c>
      <c r="AT237" s="769">
        <f t="shared" si="106"/>
        <v>57.150355657728916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3">
        <f t="shared" si="110"/>
        <v>0.17857142857142858</v>
      </c>
      <c r="AY237" s="769">
        <f t="shared" si="111"/>
        <v>57.086222808568607</v>
      </c>
      <c r="AZ237" s="746">
        <f t="shared" si="115"/>
        <v>57.118289233148758</v>
      </c>
      <c r="BA237" s="643">
        <f t="shared" si="112"/>
        <v>0.96256855141876208</v>
      </c>
      <c r="BC237" s="11">
        <v>43323</v>
      </c>
      <c r="BD237" s="290">
        <f>[3]!FeuilCaduc*(1-Persistant)+Persistant</f>
        <v>0.99754166908790198</v>
      </c>
      <c r="BE237" s="291">
        <f>[3]!CroissVégét</f>
        <v>0.92764148214144238</v>
      </c>
      <c r="BF237" s="816">
        <f>1+[3]!Salcycl*Ksac</f>
        <v>1.0496927086359877</v>
      </c>
      <c r="BH237" s="1053">
        <f t="shared" si="113"/>
        <v>1.5578732420788379E-3</v>
      </c>
      <c r="BI237" s="11">
        <v>44419</v>
      </c>
      <c r="BJ237" s="726">
        <v>2.8097317241606575E-4</v>
      </c>
      <c r="BK237" s="726">
        <v>6.6189129570528367E-4</v>
      </c>
      <c r="BL237" s="726">
        <v>1.0727359507376976E-3</v>
      </c>
      <c r="BM237" s="726">
        <v>1.5591430999761285E-3</v>
      </c>
      <c r="BN237" s="726">
        <v>2.0670822638783897E-3</v>
      </c>
      <c r="BO237" s="727">
        <v>2.6119463750316121E-3</v>
      </c>
      <c r="BP237" s="726">
        <v>3.2288822184155953E-3</v>
      </c>
      <c r="BQ237" s="726">
        <v>4.0322160226653843E-3</v>
      </c>
      <c r="BR237" s="726">
        <v>5.1499806070313655E-3</v>
      </c>
      <c r="BS237" s="726">
        <v>6.6756358522644266E-3</v>
      </c>
      <c r="BT237" s="726">
        <v>8.5049366170499314E-3</v>
      </c>
      <c r="BW237" s="1186">
        <f>'2018'!R\Max</f>
        <v>0.96256855141876208</v>
      </c>
      <c r="BX237" s="1184">
        <f>'2019'!R\Max</f>
        <v>0.48961694453260035</v>
      </c>
      <c r="BY237" s="1184">
        <f>'2020'!R\Max</f>
        <v>0.69066758530066041</v>
      </c>
      <c r="BZ237" s="1184">
        <f>'2021'!R\Max</f>
        <v>0.91013595898502175</v>
      </c>
      <c r="CA237" s="1184">
        <f>'2022'!R\Max</f>
        <v>0.82630011396883463</v>
      </c>
      <c r="CB237" s="1184">
        <f>'2023'!R\Max</f>
        <v>0.82629513875944471</v>
      </c>
      <c r="CC237" s="1184">
        <f>'2024'!R\Max</f>
        <v>0.82628877671841749</v>
      </c>
      <c r="CD237" s="1184">
        <f>'2025'!R\Max</f>
        <v>0.826318108391633</v>
      </c>
      <c r="CE237" s="1184">
        <f>'2026'!R\Max</f>
        <v>0.82631401272743188</v>
      </c>
      <c r="CF237" s="1185">
        <f>'2027'!R\Max</f>
        <v>0.82630965716963678</v>
      </c>
    </row>
    <row r="238" spans="1:84" s="6" customFormat="1" ht="11.25" x14ac:dyDescent="0.2">
      <c r="A238" s="11">
        <v>43324</v>
      </c>
      <c r="B238" s="380">
        <f>'2022'!Maxi_hp</f>
        <v>52.198759439863373</v>
      </c>
      <c r="C238" s="13">
        <f>'2022'!An_max</f>
        <v>2018</v>
      </c>
      <c r="D238" s="1062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3">
        <f t="shared" si="100"/>
        <v>0.42857142857142855</v>
      </c>
      <c r="J238" s="746">
        <f t="shared" si="101"/>
        <v>56.913055393898063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5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3">
        <f t="shared" si="105"/>
        <v>0.7142857142857143</v>
      </c>
      <c r="AT238" s="769">
        <f t="shared" si="106"/>
        <v>56.989496793012528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3">
        <f t="shared" si="110"/>
        <v>0.21428571428571427</v>
      </c>
      <c r="AY238" s="769">
        <f t="shared" si="111"/>
        <v>56.935869715455922</v>
      </c>
      <c r="AZ238" s="746">
        <f t="shared" si="115"/>
        <v>56.962683254234221</v>
      </c>
      <c r="BA238" s="643">
        <f t="shared" si="112"/>
        <v>0.91716670416995161</v>
      </c>
      <c r="BC238" s="11">
        <v>43324</v>
      </c>
      <c r="BD238" s="290">
        <f>[3]!FeuilCaduc*(1-Persistant)+Persistant</f>
        <v>0.99722528259737375</v>
      </c>
      <c r="BE238" s="291">
        <f>[3]!CroissVégét</f>
        <v>0.93036376011657451</v>
      </c>
      <c r="BF238" s="816">
        <f>1+[3]!Salcycl*Ksac</f>
        <v>1.0496531603246717</v>
      </c>
      <c r="BH238" s="1053">
        <f t="shared" si="113"/>
        <v>1.4529545996252674E-3</v>
      </c>
      <c r="BI238" s="11">
        <v>44420</v>
      </c>
      <c r="BJ238" s="726">
        <v>2.6504858871338798E-4</v>
      </c>
      <c r="BK238" s="726">
        <v>6.209233498971629E-4</v>
      </c>
      <c r="BL238" s="726">
        <v>1.0041991068560079E-3</v>
      </c>
      <c r="BM238" s="726">
        <v>1.4541292273370853E-3</v>
      </c>
      <c r="BN238" s="726">
        <v>1.9124436078178703E-3</v>
      </c>
      <c r="BO238" s="727">
        <v>2.4025513751143521E-3</v>
      </c>
      <c r="BP238" s="726">
        <v>2.9651234161969823E-3</v>
      </c>
      <c r="BQ238" s="726">
        <v>3.7164259035008538E-3</v>
      </c>
      <c r="BR238" s="726">
        <v>4.7806768593342862E-3</v>
      </c>
      <c r="BS238" s="726">
        <v>6.2519236079290851E-3</v>
      </c>
      <c r="BT238" s="726">
        <v>8.0251920801397997E-3</v>
      </c>
      <c r="BW238" s="1186">
        <f>'2018'!R\Max</f>
        <v>0.91716670416995161</v>
      </c>
      <c r="BX238" s="1184">
        <f>'2019'!R\Max</f>
        <v>0.50994273826593106</v>
      </c>
      <c r="BY238" s="1184">
        <f>'2020'!R\Max</f>
        <v>0.79590988164506982</v>
      </c>
      <c r="BZ238" s="1184">
        <f>'2021'!R\Max</f>
        <v>0.87239775677636799</v>
      </c>
      <c r="CA238" s="1184">
        <f>'2022'!R\Max</f>
        <v>0.86968059930507613</v>
      </c>
      <c r="CB238" s="1184">
        <f>'2023'!R\Max</f>
        <v>0.86967700806609571</v>
      </c>
      <c r="CC238" s="1184">
        <f>'2024'!R\Max</f>
        <v>0.86967230203778079</v>
      </c>
      <c r="CD238" s="1184">
        <f>'2025'!R\Max</f>
        <v>0.86969346888356092</v>
      </c>
      <c r="CE238" s="1184">
        <f>'2026'!R\Max</f>
        <v>0.86969054357285636</v>
      </c>
      <c r="CF238" s="1185">
        <f>'2027'!R\Max</f>
        <v>0.86968744057107206</v>
      </c>
    </row>
    <row r="239" spans="1:84" s="6" customFormat="1" ht="11.25" x14ac:dyDescent="0.2">
      <c r="A239" s="11">
        <v>43325</v>
      </c>
      <c r="B239" s="380">
        <f>'2022'!Maxi_hp</f>
        <v>49.571963401626377</v>
      </c>
      <c r="C239" s="13">
        <f>'2022'!An_max</f>
        <v>2019</v>
      </c>
      <c r="D239" s="1062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3">
        <f t="shared" si="100"/>
        <v>0.5</v>
      </c>
      <c r="J239" s="746">
        <f t="shared" si="101"/>
        <v>56.753462500032036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5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3">
        <f t="shared" si="105"/>
        <v>0.75</v>
      </c>
      <c r="AT239" s="769">
        <f t="shared" si="106"/>
        <v>56.825578125147146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3">
        <f t="shared" si="110"/>
        <v>0.25</v>
      </c>
      <c r="AY239" s="769">
        <f t="shared" si="111"/>
        <v>56.784917187457907</v>
      </c>
      <c r="AZ239" s="746">
        <f t="shared" si="115"/>
        <v>56.805247656302527</v>
      </c>
      <c r="BA239" s="643">
        <f t="shared" si="112"/>
        <v>0.87346148090256859</v>
      </c>
      <c r="BC239" s="11">
        <v>43325</v>
      </c>
      <c r="BD239" s="290">
        <f>[3]!FeuilCaduc*(1-Persistant)+Persistant</f>
        <v>0.9968892171945738</v>
      </c>
      <c r="BE239" s="291">
        <f>[3]!CroissVégét</f>
        <v>0.93299147677206173</v>
      </c>
      <c r="BF239" s="816">
        <f>1+[3]!Salcycl*Ksac</f>
        <v>1.0496111521493217</v>
      </c>
      <c r="BH239" s="1053">
        <f t="shared" si="113"/>
        <v>1.3434829586513528E-3</v>
      </c>
      <c r="BI239" s="11">
        <v>44421</v>
      </c>
      <c r="BJ239" s="726">
        <v>2.4543859533834606E-4</v>
      </c>
      <c r="BK239" s="726">
        <v>5.7605975914467038E-4</v>
      </c>
      <c r="BL239" s="726">
        <v>9.312234031834607E-4</v>
      </c>
      <c r="BM239" s="726">
        <v>1.3445620574169769E-3</v>
      </c>
      <c r="BN239" s="726">
        <v>1.7564580479096678E-3</v>
      </c>
      <c r="BO239" s="727">
        <v>2.1963748001191936E-3</v>
      </c>
      <c r="BP239" s="726">
        <v>2.7101003752305688E-3</v>
      </c>
      <c r="BQ239" s="726">
        <v>3.412501745630972E-3</v>
      </c>
      <c r="BR239" s="726">
        <v>4.4250738631000002E-3</v>
      </c>
      <c r="BS239" s="726">
        <v>5.8419388059738767E-3</v>
      </c>
      <c r="BT239" s="726">
        <v>7.5588902868904823E-3</v>
      </c>
      <c r="BW239" s="1186">
        <f>'2018'!R\Max</f>
        <v>0.56729334194312209</v>
      </c>
      <c r="BX239" s="1184">
        <f>'2019'!R\Max</f>
        <v>0.87346148090256859</v>
      </c>
      <c r="BY239" s="1184">
        <f>'2020'!R\Max</f>
        <v>0.51925377217685786</v>
      </c>
      <c r="BZ239" s="1184">
        <f>'2021'!R\Max</f>
        <v>0.57689488320445093</v>
      </c>
      <c r="CA239" s="1184">
        <f>'2022'!R\Max</f>
        <v>0.60755047430417985</v>
      </c>
      <c r="CB239" s="1184">
        <f>'2023'!R\Max</f>
        <v>0.6075435581990225</v>
      </c>
      <c r="CC239" s="1184">
        <f>'2024'!R\Max</f>
        <v>0.60753428529631004</v>
      </c>
      <c r="CD239" s="1184">
        <f>'2025'!R\Max</f>
        <v>0.60757495762197733</v>
      </c>
      <c r="CE239" s="1184">
        <f>'2026'!R\Max</f>
        <v>0.60756941277246335</v>
      </c>
      <c r="CF239" s="1185">
        <f>'2027'!R\Max</f>
        <v>0.60756353672462227</v>
      </c>
    </row>
    <row r="240" spans="1:84" s="6" customFormat="1" ht="11.25" x14ac:dyDescent="0.2">
      <c r="A240" s="11">
        <v>43326</v>
      </c>
      <c r="B240" s="380">
        <f>'2022'!Maxi_hp</f>
        <v>57.385484130512104</v>
      </c>
      <c r="C240" s="13">
        <f>'2022'!An_max</f>
        <v>2019</v>
      </c>
      <c r="D240" s="1062">
        <f t="shared" si="97"/>
        <v>1.0140190569077845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3">
        <f t="shared" si="100"/>
        <v>0.5714285714285714</v>
      </c>
      <c r="J240" s="746">
        <f t="shared" si="101"/>
        <v>56.592116035281549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5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3">
        <f t="shared" si="105"/>
        <v>0.7857142857142857</v>
      </c>
      <c r="AT240" s="769">
        <f t="shared" si="106"/>
        <v>56.658465452066494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3">
        <f t="shared" si="110"/>
        <v>0.2857142857142857</v>
      </c>
      <c r="AY240" s="769">
        <f t="shared" si="111"/>
        <v>56.633056559599936</v>
      </c>
      <c r="AZ240" s="746">
        <f t="shared" si="115"/>
        <v>56.645761005833215</v>
      </c>
      <c r="BA240" s="643">
        <f t="shared" si="112"/>
        <v>1.0140190569077845</v>
      </c>
      <c r="BC240" s="11">
        <v>43326</v>
      </c>
      <c r="BD240" s="290">
        <f>[3]!FeuilCaduc*(1-Persistant)+Persistant</f>
        <v>0.99653301000966721</v>
      </c>
      <c r="BE240" s="291">
        <f>[3]!CroissVégét</f>
        <v>0.93552736989395957</v>
      </c>
      <c r="BF240" s="816">
        <f>1+[3]!Salcycl*Ksac</f>
        <v>1.0495666262512084</v>
      </c>
      <c r="BH240" s="1053">
        <f t="shared" si="113"/>
        <v>1.2325406681041758E-3</v>
      </c>
      <c r="BI240" s="11">
        <v>44422</v>
      </c>
      <c r="BJ240" s="726">
        <v>2.2362125883454236E-4</v>
      </c>
      <c r="BK240" s="726">
        <v>5.2907981731058033E-4</v>
      </c>
      <c r="BL240" s="726">
        <v>8.561026609347907E-4</v>
      </c>
      <c r="BM240" s="726">
        <v>1.2335260031521638E-3</v>
      </c>
      <c r="BN240" s="726">
        <v>1.6032906222886462E-3</v>
      </c>
      <c r="BO240" s="727">
        <v>1.9987294234264878E-3</v>
      </c>
      <c r="BP240" s="726">
        <v>2.4701459138584056E-3</v>
      </c>
      <c r="BQ240" s="726">
        <v>3.1275167553447255E-3</v>
      </c>
      <c r="BR240" s="726">
        <v>4.0912194967643867E-3</v>
      </c>
      <c r="BS240" s="726">
        <v>5.4550499686196177E-3</v>
      </c>
      <c r="BT240" s="726">
        <v>7.1171601325704997E-3</v>
      </c>
      <c r="BW240" s="1186">
        <f>'2018'!R\Max</f>
        <v>0.61200764374897887</v>
      </c>
      <c r="BX240" s="1184">
        <f>'2019'!R\Max</f>
        <v>1.0140190569077845</v>
      </c>
      <c r="BY240" s="1184">
        <f>'2020'!R\Max</f>
        <v>0.32759034215424476</v>
      </c>
      <c r="BZ240" s="1184">
        <f>'2021'!R\Max</f>
        <v>0.89815466876023253</v>
      </c>
      <c r="CA240" s="1184">
        <f>'2022'!R\Max</f>
        <v>0.63351970170207961</v>
      </c>
      <c r="CB240" s="1184">
        <f>'2023'!R\Max</f>
        <v>0.63351350645058346</v>
      </c>
      <c r="CC240" s="1184">
        <f>'2024'!R\Max</f>
        <v>0.63350503756775156</v>
      </c>
      <c r="CD240" s="1184">
        <f>'2025'!R\Max</f>
        <v>0.63354129874412712</v>
      </c>
      <c r="CE240" s="1184">
        <f>'2026'!R\Max</f>
        <v>0.63353643968995532</v>
      </c>
      <c r="CF240" s="1185">
        <f>'2027'!R\Max</f>
        <v>0.6335312835534862</v>
      </c>
    </row>
    <row r="241" spans="1:84" s="6" customFormat="1" ht="11.25" x14ac:dyDescent="0.2">
      <c r="A241" s="11">
        <v>43327</v>
      </c>
      <c r="B241" s="380">
        <f>'2022'!Maxi_hp</f>
        <v>56.300151621417385</v>
      </c>
      <c r="C241" s="13">
        <f>'2022'!An_max</f>
        <v>2018</v>
      </c>
      <c r="D241" s="1062">
        <f t="shared" si="97"/>
        <v>0.99771824373255835</v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3">
        <f t="shared" si="100"/>
        <v>0.6428571428571429</v>
      </c>
      <c r="J241" s="746">
        <f t="shared" si="101"/>
        <v>56.428908637365588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5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3">
        <f t="shared" si="105"/>
        <v>0.8214285714285714</v>
      </c>
      <c r="AT241" s="769">
        <f t="shared" si="106"/>
        <v>56.488024571870582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3">
        <f t="shared" si="110"/>
        <v>0.32142857142857145</v>
      </c>
      <c r="AY241" s="769">
        <f t="shared" si="111"/>
        <v>56.479979167825412</v>
      </c>
      <c r="AZ241" s="746">
        <f t="shared" si="115"/>
        <v>56.484001869848001</v>
      </c>
      <c r="BA241" s="643">
        <f t="shared" si="112"/>
        <v>0.99771824373255835</v>
      </c>
      <c r="BC241" s="11">
        <v>43327</v>
      </c>
      <c r="BD241" s="290">
        <f>[3]!FeuilCaduc*(1-Persistant)+Persistant</f>
        <v>0.99615610276200495</v>
      </c>
      <c r="BE241" s="291">
        <f>[3]!CroissVégét</f>
        <v>0.93797413894004</v>
      </c>
      <c r="BF241" s="816">
        <f>1+[3]!Salcycl*Ksac</f>
        <v>1.0495195128452506</v>
      </c>
      <c r="BH241" s="1053">
        <f t="shared" si="113"/>
        <v>1.1265110886292159E-3</v>
      </c>
      <c r="BI241" s="11">
        <v>44423</v>
      </c>
      <c r="BJ241" s="726">
        <v>2.0252538919753426E-4</v>
      </c>
      <c r="BK241" s="726">
        <v>4.8404240717179656E-4</v>
      </c>
      <c r="BL241" s="726">
        <v>7.8417033726745208E-4</v>
      </c>
      <c r="BM241" s="726">
        <v>1.1274071733343915E-3</v>
      </c>
      <c r="BN241" s="726">
        <v>1.4577882514052842E-3</v>
      </c>
      <c r="BO241" s="727">
        <v>1.8116401102258759E-3</v>
      </c>
      <c r="BP241" s="726">
        <v>2.2429057589527521E-3</v>
      </c>
      <c r="BQ241" s="726">
        <v>2.8567856411218628E-3</v>
      </c>
      <c r="BR241" s="726">
        <v>3.7729012512752835E-3</v>
      </c>
      <c r="BS241" s="726">
        <v>5.0850108032669903E-3</v>
      </c>
      <c r="BT241" s="726">
        <v>6.6938339546260481E-3</v>
      </c>
      <c r="BW241" s="1186">
        <f>'2018'!R\Max</f>
        <v>0.99771824373255835</v>
      </c>
      <c r="BX241" s="1184">
        <f>'2019'!R\Max</f>
        <v>0.52930472779909832</v>
      </c>
      <c r="BY241" s="1184">
        <f>'2020'!R\Max</f>
        <v>0.83310620212302688</v>
      </c>
      <c r="BZ241" s="1184">
        <f>'2021'!R\Max</f>
        <v>0.40235887261789566</v>
      </c>
      <c r="CA241" s="1184">
        <f>'2022'!R\Max</f>
        <v>0.72858440687305348</v>
      </c>
      <c r="CB241" s="1184">
        <f>'2023'!R\Max</f>
        <v>0.72857956747079866</v>
      </c>
      <c r="CC241" s="1184">
        <f>'2024'!R\Max</f>
        <v>0.72857281651622807</v>
      </c>
      <c r="CD241" s="1184">
        <f>'2025'!R\Max</f>
        <v>0.72860100341382328</v>
      </c>
      <c r="CE241" s="1184">
        <f>'2026'!R\Max</f>
        <v>0.72859729635300963</v>
      </c>
      <c r="CF241" s="1185">
        <f>'2027'!R\Max</f>
        <v>0.72859335674305636</v>
      </c>
    </row>
    <row r="242" spans="1:84" s="6" customFormat="1" ht="11.25" x14ac:dyDescent="0.2">
      <c r="A242" s="11">
        <v>43328</v>
      </c>
      <c r="B242" s="380">
        <f>'2022'!Maxi_hp</f>
        <v>56.421516120211891</v>
      </c>
      <c r="C242" s="13">
        <f>'2022'!An_max</f>
        <v>2019</v>
      </c>
      <c r="D242" s="1062">
        <f t="shared" si="97"/>
        <v>1.0028043495664432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3">
        <f t="shared" si="100"/>
        <v>0.7142857142857143</v>
      </c>
      <c r="J242" s="746">
        <f t="shared" si="101"/>
        <v>56.263732945120765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5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3">
        <f t="shared" si="105"/>
        <v>0.8571428571428571</v>
      </c>
      <c r="AT242" s="769">
        <f t="shared" si="106"/>
        <v>56.314121282526422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3">
        <f t="shared" si="110"/>
        <v>0.35714285714285715</v>
      </c>
      <c r="AY242" s="769">
        <f t="shared" si="111"/>
        <v>56.325376348423639</v>
      </c>
      <c r="AZ242" s="746">
        <f t="shared" si="115"/>
        <v>56.31974881547503</v>
      </c>
      <c r="BA242" s="643">
        <f t="shared" si="112"/>
        <v>1.0028043495664432</v>
      </c>
      <c r="BC242" s="11">
        <v>43328</v>
      </c>
      <c r="BD242" s="290">
        <f>[3]!FeuilCaduc*(1-Persistant)+Persistant</f>
        <v>0.99575785049972632</v>
      </c>
      <c r="BE242" s="291">
        <f>[3]!CroissVégét</f>
        <v>0.94033444219607754</v>
      </c>
      <c r="BF242" s="816">
        <f>1+[3]!Salcycl*Ksac</f>
        <v>1.0494697313124659</v>
      </c>
      <c r="BH242" s="1053">
        <f t="shared" si="113"/>
        <v>1.0253913829760448E-3</v>
      </c>
      <c r="BI242" s="11">
        <v>44424</v>
      </c>
      <c r="BJ242" s="726">
        <v>1.8215043067466949E-4</v>
      </c>
      <c r="BK242" s="726">
        <v>4.4094632299683946E-4</v>
      </c>
      <c r="BL242" s="726">
        <v>7.1542450230084739E-4</v>
      </c>
      <c r="BM242" s="726">
        <v>1.0262027283381707E-3</v>
      </c>
      <c r="BN242" s="726">
        <v>1.3199470617721919E-3</v>
      </c>
      <c r="BO242" s="727">
        <v>1.6351018938609739E-3</v>
      </c>
      <c r="BP242" s="726">
        <v>2.0283738656306995E-3</v>
      </c>
      <c r="BQ242" s="726">
        <v>2.6003011509228629E-3</v>
      </c>
      <c r="BR242" s="726">
        <v>3.4701104810046582E-3</v>
      </c>
      <c r="BS242" s="726">
        <v>4.7318110519687494E-3</v>
      </c>
      <c r="BT242" s="726">
        <v>6.2888997525234955E-3</v>
      </c>
      <c r="BW242" s="1186">
        <f>'2018'!R\Max</f>
        <v>0.91257779410736095</v>
      </c>
      <c r="BX242" s="1184">
        <f>'2019'!R\Max</f>
        <v>1.0028043495664432</v>
      </c>
      <c r="BY242" s="1184">
        <f>'2020'!R\Max</f>
        <v>0.87144757508044324</v>
      </c>
      <c r="BZ242" s="1184">
        <f>'2021'!R\Max</f>
        <v>0.60470523854078007</v>
      </c>
      <c r="CA242" s="1184">
        <f>'2022'!R\Max</f>
        <v>0.61387238596924532</v>
      </c>
      <c r="CB242" s="1184">
        <f>'2023'!R\Max</f>
        <v>0.61386708286337566</v>
      </c>
      <c r="CC242" s="1184">
        <f>'2024'!R\Max</f>
        <v>0.61385952685808953</v>
      </c>
      <c r="CD242" s="1184">
        <f>'2025'!R\Max</f>
        <v>0.61389025987524848</v>
      </c>
      <c r="CE242" s="1184">
        <f>'2026'!R\Max</f>
        <v>0.61388629905195069</v>
      </c>
      <c r="CF242" s="1185">
        <f>'2027'!R\Max</f>
        <v>0.61388208264640831</v>
      </c>
    </row>
    <row r="243" spans="1:84" s="6" customFormat="1" ht="11.25" x14ac:dyDescent="0.2">
      <c r="A243" s="11">
        <v>43329</v>
      </c>
      <c r="B243" s="380">
        <f>'2022'!Maxi_hp</f>
        <v>55.293372982977111</v>
      </c>
      <c r="C243" s="13">
        <f>'2022'!An_max</f>
        <v>2019</v>
      </c>
      <c r="D243" s="1062">
        <f t="shared" si="97"/>
        <v>0.98568344055234092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3">
        <f t="shared" si="100"/>
        <v>0.7857142857142857</v>
      </c>
      <c r="J243" s="746">
        <f t="shared" si="101"/>
        <v>56.09648159655876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5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3">
        <f t="shared" si="105"/>
        <v>0.8928571428571429</v>
      </c>
      <c r="AT243" s="769">
        <f t="shared" si="106"/>
        <v>56.136621382805927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3">
        <f t="shared" si="110"/>
        <v>0.39285714285714285</v>
      </c>
      <c r="AY243" s="769">
        <f t="shared" si="111"/>
        <v>56.168939435821287</v>
      </c>
      <c r="AZ243" s="746">
        <f t="shared" si="115"/>
        <v>56.152780409313607</v>
      </c>
      <c r="BA243" s="643">
        <f t="shared" si="112"/>
        <v>0.98568344055234092</v>
      </c>
      <c r="BC243" s="11">
        <v>43329</v>
      </c>
      <c r="BD243" s="290">
        <f>[3]!FeuilCaduc*(1-Persistant)+Persistant</f>
        <v>0.99533752978320933</v>
      </c>
      <c r="BE243" s="291">
        <f>[3]!CroissVégét</f>
        <v>0.94261089426578282</v>
      </c>
      <c r="BF243" s="816">
        <f>1+[3]!Salcycl*Ksac</f>
        <v>1.0494171912229011</v>
      </c>
      <c r="BH243" s="1053">
        <f t="shared" si="113"/>
        <v>9.2917906293087809E-4</v>
      </c>
      <c r="BI243" s="11">
        <v>44425</v>
      </c>
      <c r="BJ243" s="726">
        <v>1.624958856227659E-4</v>
      </c>
      <c r="BK243" s="726">
        <v>3.9979050091997246E-4</v>
      </c>
      <c r="BL243" s="726">
        <v>6.498634565391152E-4</v>
      </c>
      <c r="BM243" s="726">
        <v>9.299101778852297E-4</v>
      </c>
      <c r="BN243" s="726">
        <v>1.1897636998284408E-3</v>
      </c>
      <c r="BO243" s="727">
        <v>1.4691105072551034E-3</v>
      </c>
      <c r="BP243" s="726">
        <v>1.8265450339607369E-3</v>
      </c>
      <c r="BQ243" s="726">
        <v>2.3580569997031999E-3</v>
      </c>
      <c r="BR243" s="726">
        <v>3.1828396229455578E-3</v>
      </c>
      <c r="BS243" s="726">
        <v>4.3954416614119035E-3</v>
      </c>
      <c r="BT243" s="726">
        <v>5.9023468648889132E-3</v>
      </c>
      <c r="BW243" s="1186">
        <f>'2018'!R\Max</f>
        <v>0.59707099884502213</v>
      </c>
      <c r="BX243" s="1184">
        <f>'2019'!R\Max</f>
        <v>0.98568344055234092</v>
      </c>
      <c r="BY243" s="1184">
        <f>'2020'!R\Max</f>
        <v>0.35810207297809449</v>
      </c>
      <c r="BZ243" s="1184">
        <f>'2021'!R\Max</f>
        <v>0.79720967633574713</v>
      </c>
      <c r="CA243" s="1184">
        <f>'2022'!R\Max</f>
        <v>0.4232676611970469</v>
      </c>
      <c r="CB243" s="1184">
        <f>'2023'!R\Max</f>
        <v>0.42326268474100825</v>
      </c>
      <c r="CC243" s="1184">
        <f>'2024'!R\Max</f>
        <v>0.42325543635760682</v>
      </c>
      <c r="CD243" s="1184">
        <f>'2025'!R\Max</f>
        <v>0.42328412961089762</v>
      </c>
      <c r="CE243" s="1184">
        <f>'2026'!R\Max</f>
        <v>0.42328051180921888</v>
      </c>
      <c r="CF243" s="1185">
        <f>'2027'!R\Max</f>
        <v>0.42327665315384588</v>
      </c>
    </row>
    <row r="244" spans="1:84" s="6" customFormat="1" ht="11.25" x14ac:dyDescent="0.2">
      <c r="A244" s="11">
        <v>43330</v>
      </c>
      <c r="B244" s="380">
        <f>'2022'!Maxi_hp</f>
        <v>53.147705265054185</v>
      </c>
      <c r="C244" s="13">
        <f>'2022'!An_max</f>
        <v>2021</v>
      </c>
      <c r="D244" s="1062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3">
        <f t="shared" si="100"/>
        <v>0.8571428571428571</v>
      </c>
      <c r="J244" s="746">
        <f t="shared" si="101"/>
        <v>55.927047230329904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5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3">
        <f t="shared" si="105"/>
        <v>0.9285714285714286</v>
      </c>
      <c r="AT244" s="769">
        <f t="shared" si="106"/>
        <v>55.955390670589566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3">
        <f t="shared" si="110"/>
        <v>0.42857142857142855</v>
      </c>
      <c r="AY244" s="769">
        <f t="shared" si="111"/>
        <v>56.010359766547161</v>
      </c>
      <c r="AZ244" s="746">
        <f t="shared" si="115"/>
        <v>55.982875218568367</v>
      </c>
      <c r="BA244" s="643">
        <f t="shared" si="112"/>
        <v>0.95030415330476359</v>
      </c>
      <c r="BC244" s="11">
        <v>43330</v>
      </c>
      <c r="BD244" s="290">
        <f>[3]!FeuilCaduc*(1-Persistant)+Persistant</f>
        <v>0.99489434622181661</v>
      </c>
      <c r="BE244" s="291">
        <f>[3]!CroissVégét</f>
        <v>0.94480606387541</v>
      </c>
      <c r="BF244" s="816">
        <f>1+[3]!Salcycl*Ksac</f>
        <v>1.0493617932777271</v>
      </c>
      <c r="BH244" s="1053">
        <f t="shared" si="113"/>
        <v>8.3787197406876165E-4</v>
      </c>
      <c r="BI244" s="11">
        <v>44426</v>
      </c>
      <c r="BJ244" s="726">
        <v>1.4356131226972262E-4</v>
      </c>
      <c r="BK244" s="726">
        <v>3.6057401291278695E-4</v>
      </c>
      <c r="BL244" s="726">
        <v>5.8748572097598139E-4</v>
      </c>
      <c r="BM244" s="726">
        <v>8.3852736578269053E-4</v>
      </c>
      <c r="BN244" s="726">
        <v>1.067235308143948E-3</v>
      </c>
      <c r="BO244" s="727">
        <v>1.313662350137321E-3</v>
      </c>
      <c r="BP244" s="726">
        <v>1.6374148694888774E-3</v>
      </c>
      <c r="BQ244" s="726">
        <v>2.1300478251650786E-3</v>
      </c>
      <c r="BR244" s="726">
        <v>2.9110821484934291E-3</v>
      </c>
      <c r="BS244" s="726">
        <v>4.0758947306366511E-3</v>
      </c>
      <c r="BT244" s="726">
        <v>5.5341659124202346E-3</v>
      </c>
      <c r="BW244" s="1186">
        <f>'2018'!R\Max</f>
        <v>0.54907617257616514</v>
      </c>
      <c r="BX244" s="1184">
        <f>'2019'!R\Max</f>
        <v>0.68788491784529693</v>
      </c>
      <c r="BY244" s="1184">
        <f>'2020'!R\Max</f>
        <v>0.79405449631518854</v>
      </c>
      <c r="BZ244" s="1184">
        <f>'2021'!R\Max</f>
        <v>0.95030415330476359</v>
      </c>
      <c r="CA244" s="1184">
        <f>'2022'!R\Max</f>
        <v>0.7388329928146613</v>
      </c>
      <c r="CB244" s="1184">
        <f>'2023'!R\Max</f>
        <v>0.73882942063547696</v>
      </c>
      <c r="CC244" s="1184">
        <f>'2024'!R\Max</f>
        <v>0.73882409755485445</v>
      </c>
      <c r="CD244" s="1184">
        <f>'2025'!R\Max</f>
        <v>0.73884458882971649</v>
      </c>
      <c r="CE244" s="1184">
        <f>'2026'!R\Max</f>
        <v>0.73884206548036313</v>
      </c>
      <c r="CF244" s="1185">
        <f>'2027'!R\Max</f>
        <v>0.7388393681841563</v>
      </c>
    </row>
    <row r="245" spans="1:84" s="6" customFormat="1" ht="11.25" x14ac:dyDescent="0.2">
      <c r="A245" s="11">
        <v>43331</v>
      </c>
      <c r="B245" s="380">
        <f>'2022'!Maxi_hp</f>
        <v>53.076716411968974</v>
      </c>
      <c r="C245" s="13">
        <f>'2022'!An_max</f>
        <v>2018</v>
      </c>
      <c r="D245" s="1062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3">
        <f t="shared" si="100"/>
        <v>0.9285714285714286</v>
      </c>
      <c r="J245" s="746">
        <f t="shared" si="101"/>
        <v>55.755322485922704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5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3">
        <f t="shared" si="105"/>
        <v>0.9642857142857143</v>
      </c>
      <c r="AT245" s="769">
        <f t="shared" si="106"/>
        <v>55.77029494396411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3">
        <f t="shared" si="110"/>
        <v>0.4642857142857143</v>
      </c>
      <c r="AY245" s="769">
        <f t="shared" si="111"/>
        <v>55.849328675600034</v>
      </c>
      <c r="AZ245" s="746">
        <f t="shared" si="115"/>
        <v>55.809811809782076</v>
      </c>
      <c r="BA245" s="643">
        <f t="shared" si="112"/>
        <v>0.95195784089258861</v>
      </c>
      <c r="BC245" s="11">
        <v>43331</v>
      </c>
      <c r="BD245" s="290">
        <f>[3]!FeuilCaduc*(1-Persistant)+Persistant</f>
        <v>0.99442744128564253</v>
      </c>
      <c r="BE245" s="291">
        <f>[3]!CroissVégét</f>
        <v>0.94692247197428869</v>
      </c>
      <c r="BF245" s="816">
        <f>1+[3]!Salcycl*Ksac</f>
        <v>1.0493034301607054</v>
      </c>
      <c r="BH245" s="1053">
        <f t="shared" si="113"/>
        <v>7.5146828052410431E-4</v>
      </c>
      <c r="BI245" s="11">
        <v>44427</v>
      </c>
      <c r="BJ245" s="726">
        <v>1.2534632247944411E-4</v>
      </c>
      <c r="BK245" s="726">
        <v>3.2329606076367164E-4</v>
      </c>
      <c r="BL245" s="726">
        <v>5.2829002721237802E-4</v>
      </c>
      <c r="BM245" s="726">
        <v>7.5205245467960572E-4</v>
      </c>
      <c r="BN245" s="726">
        <v>9.5235950164759852E-4</v>
      </c>
      <c r="BO245" s="727">
        <v>1.168754456297928E-3</v>
      </c>
      <c r="BP245" s="726">
        <v>1.4609797438012715E-3</v>
      </c>
      <c r="BQ245" s="726">
        <v>1.9162691435556335E-3</v>
      </c>
      <c r="BR245" s="726">
        <v>2.6548325152886882E-3</v>
      </c>
      <c r="BS245" s="726">
        <v>3.7731634588376939E-3</v>
      </c>
      <c r="BT245" s="726">
        <v>5.1843487409076235E-3</v>
      </c>
      <c r="BW245" s="1186">
        <f>'2018'!R\Max</f>
        <v>0.95195784089258861</v>
      </c>
      <c r="BX245" s="1184">
        <f>'2019'!R\Max</f>
        <v>0.6435821939915316</v>
      </c>
      <c r="BY245" s="1184">
        <f>'2020'!R\Max</f>
        <v>0.76646787203057232</v>
      </c>
      <c r="BZ245" s="1184">
        <f>'2021'!R\Max</f>
        <v>0.82991486048676055</v>
      </c>
      <c r="CA245" s="1184">
        <f>'2022'!R\Max</f>
        <v>0.76742535392301359</v>
      </c>
      <c r="CB245" s="1184">
        <f>'2023'!R\Max</f>
        <v>0.76742236371129646</v>
      </c>
      <c r="CC245" s="1184">
        <f>'2024'!R\Max</f>
        <v>0.76741780212333854</v>
      </c>
      <c r="CD245" s="1184">
        <f>'2025'!R\Max</f>
        <v>0.76743486962333163</v>
      </c>
      <c r="CE245" s="1184">
        <f>'2026'!R\Max</f>
        <v>0.76743282007739555</v>
      </c>
      <c r="CF245" s="1185">
        <f>'2027'!R\Max</f>
        <v>0.76743062371861748</v>
      </c>
    </row>
    <row r="246" spans="1:84" s="6" customFormat="1" ht="11.25" x14ac:dyDescent="0.2">
      <c r="A246" s="11">
        <v>43332</v>
      </c>
      <c r="B246" s="380">
        <f>'2022'!Maxi_hp</f>
        <v>53.656818151544883</v>
      </c>
      <c r="C246" s="13">
        <f>'2022'!An_max</f>
        <v>2018</v>
      </c>
      <c r="D246" s="1062" t="str">
        <f t="shared" si="97"/>
        <v/>
      </c>
      <c r="E246" s="1057">
        <f>AD$13/10</f>
        <v>55.581200000000003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3">
        <f t="shared" si="100"/>
        <v>1</v>
      </c>
      <c r="J246" s="746">
        <f t="shared" si="101"/>
        <v>55.581200000271203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5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3">
        <f t="shared" si="105"/>
        <v>1</v>
      </c>
      <c r="AT246" s="769">
        <f t="shared" si="106"/>
        <v>55.581199999898672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3">
        <f t="shared" si="110"/>
        <v>0.5</v>
      </c>
      <c r="AY246" s="769">
        <f t="shared" si="111"/>
        <v>55.685537499748172</v>
      </c>
      <c r="AZ246" s="746">
        <f t="shared" si="115"/>
        <v>55.633368749823418</v>
      </c>
      <c r="BA246" s="643">
        <f t="shared" si="112"/>
        <v>0.96537710864974258</v>
      </c>
      <c r="BC246" s="11">
        <v>43332</v>
      </c>
      <c r="BD246" s="290">
        <f>[3]!FeuilCaduc*(1-Persistant)+Persistant</f>
        <v>0.99393589832709273</v>
      </c>
      <c r="BE246" s="291">
        <f>[3]!CroissVégét</f>
        <v>0.94896259011285922</v>
      </c>
      <c r="BF246" s="816">
        <f>1+[3]!Salcycl*Ksac</f>
        <v>1.0492419872908867</v>
      </c>
      <c r="BH246" s="1053">
        <f t="shared" si="113"/>
        <v>6.699664497608743E-4</v>
      </c>
      <c r="BI246" s="11">
        <v>44428</v>
      </c>
      <c r="BJ246" s="726">
        <v>1.0785057951659947E-4</v>
      </c>
      <c r="BK246" s="726">
        <v>2.8795597005714312E-4</v>
      </c>
      <c r="BL246" s="726">
        <v>4.7227530757388701E-4</v>
      </c>
      <c r="BM246" s="726">
        <v>6.7048391082315749E-4</v>
      </c>
      <c r="BN246" s="726">
        <v>8.4513434385470121E-4</v>
      </c>
      <c r="BO246" s="727">
        <v>1.0343844608429954E-3</v>
      </c>
      <c r="BP246" s="726">
        <v>1.2972367550857617E-3</v>
      </c>
      <c r="BQ246" s="726">
        <v>1.716717305464376E-3</v>
      </c>
      <c r="BR246" s="726">
        <v>2.4140861190596967E-3</v>
      </c>
      <c r="BS246" s="726">
        <v>3.4872420931682732E-3</v>
      </c>
      <c r="BT246" s="726">
        <v>4.8528883642598511E-3</v>
      </c>
      <c r="BW246" s="1186">
        <f>'2018'!R\Max</f>
        <v>0.96537710864974258</v>
      </c>
      <c r="BX246" s="1184">
        <f>'2019'!R\Max</f>
        <v>0.59699652943857429</v>
      </c>
      <c r="BY246" s="1184">
        <f>'2020'!R\Max</f>
        <v>0.96487528968878922</v>
      </c>
      <c r="BZ246" s="1184">
        <f>'2021'!R\Max</f>
        <v>0.96081565668568858</v>
      </c>
      <c r="CA246" s="1184">
        <f>'2022'!R\Max</f>
        <v>0.91690455487961942</v>
      </c>
      <c r="CB246" s="1184">
        <f>'2023'!R\Max</f>
        <v>0.91690340370344636</v>
      </c>
      <c r="CC246" s="1184">
        <f>'2024'!R\Max</f>
        <v>0.91690160511413377</v>
      </c>
      <c r="CD246" s="1184">
        <f>'2025'!R\Max</f>
        <v>0.91690814496622308</v>
      </c>
      <c r="CE246" s="1184">
        <f>'2026'!R\Max</f>
        <v>0.91690738012184447</v>
      </c>
      <c r="CF246" s="1185">
        <f>'2027'!R\Max</f>
        <v>0.91690655812297184</v>
      </c>
    </row>
    <row r="247" spans="1:84" s="6" customFormat="1" ht="11.25" x14ac:dyDescent="0.2">
      <c r="A247" s="11">
        <v>43333</v>
      </c>
      <c r="B247" s="380">
        <f>'2022'!Maxi_hp</f>
        <v>54.498162972904758</v>
      </c>
      <c r="C247" s="13">
        <f>'2022'!An_max</f>
        <v>2020</v>
      </c>
      <c r="D247" s="1062">
        <f t="shared" si="97"/>
        <v>0.98360236671178747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3">
        <f t="shared" si="100"/>
        <v>0.9285714285714286</v>
      </c>
      <c r="J247" s="746">
        <f t="shared" si="101"/>
        <v>55.406701749909132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5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3">
        <f t="shared" si="105"/>
        <v>0.9642857142857143</v>
      </c>
      <c r="AT247" s="769">
        <f t="shared" si="106"/>
        <v>55.388922234398443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3">
        <f t="shared" si="110"/>
        <v>0.5357142857142857</v>
      </c>
      <c r="AY247" s="769">
        <f t="shared" si="111"/>
        <v>55.518677573258586</v>
      </c>
      <c r="AZ247" s="746">
        <f t="shared" si="115"/>
        <v>55.453799903828511</v>
      </c>
      <c r="BA247" s="643">
        <f t="shared" si="112"/>
        <v>0.98360236671178747</v>
      </c>
      <c r="BC247" s="11">
        <v>43333</v>
      </c>
      <c r="BD247" s="290">
        <f>[3]!FeuilCaduc*(1-Persistant)+Persistant</f>
        <v>0.99341874776098615</v>
      </c>
      <c r="BE247" s="291">
        <f>[3]!CroissVégét</f>
        <v>0.95092883908018766</v>
      </c>
      <c r="BF247" s="816">
        <f>1+[3]!Salcycl*Ksac</f>
        <v>1.0491773434701233</v>
      </c>
      <c r="BH247" s="1053">
        <f t="shared" si="113"/>
        <v>5.9336523732637133E-4</v>
      </c>
      <c r="BI247" s="11">
        <v>44429</v>
      </c>
      <c r="BJ247" s="726">
        <v>9.1073795808625663E-5</v>
      </c>
      <c r="BK247" s="726">
        <v>2.5455318414610952E-4</v>
      </c>
      <c r="BL247" s="726">
        <v>4.1944068521664182E-4</v>
      </c>
      <c r="BM247" s="726">
        <v>5.9382048879842101E-4</v>
      </c>
      <c r="BN247" s="726">
        <v>7.455583230736206E-4</v>
      </c>
      <c r="BO247" s="727">
        <v>9.1055056742331698E-4</v>
      </c>
      <c r="BP247" s="726">
        <v>1.1461836886614855E-3</v>
      </c>
      <c r="BQ247" s="726">
        <v>1.5313894515788008E-3</v>
      </c>
      <c r="BR247" s="726">
        <v>2.1888392454078947E-3</v>
      </c>
      <c r="BS247" s="726">
        <v>3.2181258764621998E-3</v>
      </c>
      <c r="BT247" s="726">
        <v>4.5397789074182208E-3</v>
      </c>
      <c r="BW247" s="1186">
        <f>'2018'!R\Max</f>
        <v>0.95327635794074916</v>
      </c>
      <c r="BX247" s="1184">
        <f>'2019'!R\Max</f>
        <v>0.91689619693377244</v>
      </c>
      <c r="BY247" s="1184">
        <f>'2020'!R\Max</f>
        <v>0.98360236671178747</v>
      </c>
      <c r="BZ247" s="1184">
        <f>'2021'!R\Max</f>
        <v>0.91906622684139294</v>
      </c>
      <c r="CA247" s="1184">
        <f>'2022'!R\Max</f>
        <v>0.62011842025303854</v>
      </c>
      <c r="CB247" s="1184">
        <f>'2023'!R\Max</f>
        <v>0.62011522118013052</v>
      </c>
      <c r="CC247" s="1184">
        <f>'2024'!R\Max</f>
        <v>0.62011010162846059</v>
      </c>
      <c r="CD247" s="1184">
        <f>'2025'!R\Max</f>
        <v>0.62012820037076233</v>
      </c>
      <c r="CE247" s="1184">
        <f>'2026'!R\Max</f>
        <v>0.62012614036010738</v>
      </c>
      <c r="CF247" s="1185">
        <f>'2027'!R\Max</f>
        <v>0.6201239191556106</v>
      </c>
    </row>
    <row r="248" spans="1:84" s="6" customFormat="1" ht="11.25" x14ac:dyDescent="0.2">
      <c r="A248" s="11">
        <v>43334</v>
      </c>
      <c r="B248" s="380">
        <f>'2022'!Maxi_hp</f>
        <v>56.835581680919191</v>
      </c>
      <c r="C248" s="13">
        <f>'2022'!An_max</f>
        <v>2019</v>
      </c>
      <c r="D248" s="1062">
        <f t="shared" si="97"/>
        <v>1.0290084347657977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3">
        <f t="shared" si="100"/>
        <v>0.8571428571428571</v>
      </c>
      <c r="J248" s="746">
        <f t="shared" si="101"/>
        <v>55.233348688589672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5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3">
        <f t="shared" si="105"/>
        <v>0.9285714285714286</v>
      </c>
      <c r="AT248" s="769">
        <f t="shared" si="106"/>
        <v>55.194322777273399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3">
        <f t="shared" si="110"/>
        <v>0.5714285714285714</v>
      </c>
      <c r="AY248" s="769">
        <f t="shared" si="111"/>
        <v>55.348440232952797</v>
      </c>
      <c r="AZ248" s="746">
        <f t="shared" si="115"/>
        <v>55.271381505113098</v>
      </c>
      <c r="BA248" s="643">
        <f t="shared" si="112"/>
        <v>1.0290084347657977</v>
      </c>
      <c r="BC248" s="11">
        <v>43334</v>
      </c>
      <c r="BD248" s="290">
        <f>[3]!FeuilCaduc*(1-Persistant)+Persistant</f>
        <v>0.99287497136627267</v>
      </c>
      <c r="BE248" s="291">
        <f>[3]!CroissVégét</f>
        <v>0.95282358778342446</v>
      </c>
      <c r="BF248" s="816">
        <f>1+[3]!Salcycl*Ksac</f>
        <v>1.049109371420784</v>
      </c>
      <c r="BH248" s="1053">
        <f t="shared" si="113"/>
        <v>5.2396774494724275E-4</v>
      </c>
      <c r="BI248" s="11">
        <v>44430</v>
      </c>
      <c r="BJ248" s="726">
        <v>7.5470507962587473E-5</v>
      </c>
      <c r="BK248" s="726">
        <v>2.2394001670477729E-4</v>
      </c>
      <c r="BL248" s="726">
        <v>3.712426910401192E-4</v>
      </c>
      <c r="BM248" s="726">
        <v>5.243675062504441E-4</v>
      </c>
      <c r="BN248" s="726">
        <v>6.5658569965995573E-4</v>
      </c>
      <c r="BO248" s="727">
        <v>8.0086152327066035E-4</v>
      </c>
      <c r="BP248" s="726">
        <v>1.0120978322563337E-3</v>
      </c>
      <c r="BQ248" s="726">
        <v>1.3655757350608401E-3</v>
      </c>
      <c r="BR248" s="726">
        <v>1.9863331495857122E-3</v>
      </c>
      <c r="BS248" s="726">
        <v>2.9777711723874187E-3</v>
      </c>
      <c r="BT248" s="726">
        <v>4.2641568394107552E-3</v>
      </c>
      <c r="BW248" s="1186">
        <f>'2018'!R\Max</f>
        <v>0.93754176986274862</v>
      </c>
      <c r="BX248" s="1184">
        <f>'2019'!R\Max</f>
        <v>1.0290084347657977</v>
      </c>
      <c r="BY248" s="1184">
        <f>'2020'!R\Max</f>
        <v>0.89682046854996622</v>
      </c>
      <c r="BZ248" s="1184">
        <f>'2021'!R\Max</f>
        <v>0.38856513957620098</v>
      </c>
      <c r="CA248" s="1184">
        <f>'2022'!R\Max</f>
        <v>0.4847075942976935</v>
      </c>
      <c r="CB248" s="1184">
        <f>'2023'!R\Max</f>
        <v>0.48470454578306799</v>
      </c>
      <c r="CC248" s="1184">
        <f>'2024'!R\Max</f>
        <v>0.48469955200395137</v>
      </c>
      <c r="CD248" s="1184">
        <f>'2025'!R\Max</f>
        <v>0.484716750793175</v>
      </c>
      <c r="CE248" s="1184">
        <f>'2026'!R\Max</f>
        <v>0.48471484267757015</v>
      </c>
      <c r="CF248" s="1185">
        <f>'2027'!R\Max</f>
        <v>0.4847127783595937</v>
      </c>
    </row>
    <row r="249" spans="1:84" s="6" customFormat="1" ht="11.25" x14ac:dyDescent="0.2">
      <c r="A249" s="11">
        <v>43335</v>
      </c>
      <c r="B249" s="380">
        <f>'2022'!Maxi_hp</f>
        <v>54.138140935976416</v>
      </c>
      <c r="C249" s="13">
        <f>'2022'!An_max</f>
        <v>2019</v>
      </c>
      <c r="D249" s="1062">
        <f t="shared" si="97"/>
        <v>0.98325215642308172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3">
        <f t="shared" si="100"/>
        <v>0.7857142857142857</v>
      </c>
      <c r="J249" s="746">
        <f t="shared" si="101"/>
        <v>55.060281924956612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5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3">
        <f t="shared" si="105"/>
        <v>0.8928571428571429</v>
      </c>
      <c r="AT249" s="769">
        <f t="shared" si="106"/>
        <v>54.997334525561222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3">
        <f t="shared" si="110"/>
        <v>0.6071428571428571</v>
      </c>
      <c r="AY249" s="769">
        <f t="shared" si="111"/>
        <v>55.174516814055721</v>
      </c>
      <c r="AZ249" s="746">
        <f t="shared" si="115"/>
        <v>55.085925669808475</v>
      </c>
      <c r="BA249" s="643">
        <f t="shared" si="112"/>
        <v>0.98325215642308172</v>
      </c>
      <c r="BC249" s="11">
        <v>43335</v>
      </c>
      <c r="BD249" s="290">
        <f>[3]!FeuilCaduc*(1-Persistant)+Persistant</f>
        <v>0.9923035056872701</v>
      </c>
      <c r="BE249" s="291">
        <f>[3]!CroissVégét</f>
        <v>0.95464915235219705</v>
      </c>
      <c r="BF249" s="816">
        <f>1+[3]!Salcycl*Ksac</f>
        <v>1.0490379382109087</v>
      </c>
      <c r="BH249" s="1053">
        <f t="shared" si="113"/>
        <v>4.5995675893036964E-4</v>
      </c>
      <c r="BI249" s="11">
        <v>44431</v>
      </c>
      <c r="BJ249" s="726">
        <v>6.179973741924765E-5</v>
      </c>
      <c r="BK249" s="726">
        <v>1.9595878935616741E-4</v>
      </c>
      <c r="BL249" s="726">
        <v>3.2679572109203824E-4</v>
      </c>
      <c r="BM249" s="726">
        <v>4.6030531097641616E-4</v>
      </c>
      <c r="BN249" s="726">
        <v>5.7473421060745403E-4</v>
      </c>
      <c r="BO249" s="727">
        <v>7.0009677382898959E-4</v>
      </c>
      <c r="BP249" s="726">
        <v>8.8862598258953056E-4</v>
      </c>
      <c r="BQ249" s="726">
        <v>1.2121306078680173E-3</v>
      </c>
      <c r="BR249" s="726">
        <v>1.7991241121395047E-3</v>
      </c>
      <c r="BS249" s="726">
        <v>2.7587543196392109E-3</v>
      </c>
      <c r="BT249" s="726">
        <v>4.0188203522412624E-3</v>
      </c>
      <c r="BW249" s="1186">
        <f>'2018'!R\Max</f>
        <v>0.83284790838918432</v>
      </c>
      <c r="BX249" s="1184">
        <f>'2019'!R\Max</f>
        <v>0.98325215642308172</v>
      </c>
      <c r="BY249" s="1184">
        <f>'2020'!R\Max</f>
        <v>0.69942315939938471</v>
      </c>
      <c r="BZ249" s="1184">
        <f>'2021'!R\Max</f>
        <v>0.92764855984540484</v>
      </c>
      <c r="CA249" s="1184">
        <f>'2022'!R\Max</f>
        <v>0.86984704237054256</v>
      </c>
      <c r="CB249" s="1184">
        <f>'2023'!R\Max</f>
        <v>0.86984580592378324</v>
      </c>
      <c r="CC249" s="1184">
        <f>'2024'!R\Max</f>
        <v>0.86984372899017126</v>
      </c>
      <c r="CD249" s="1184">
        <f>'2025'!R\Max</f>
        <v>0.86985068647611763</v>
      </c>
      <c r="CE249" s="1184">
        <f>'2026'!R\Max</f>
        <v>0.86984993603693284</v>
      </c>
      <c r="CF249" s="1185">
        <f>'2027'!R\Max</f>
        <v>0.86984912109675239</v>
      </c>
    </row>
    <row r="250" spans="1:84" s="6" customFormat="1" ht="11.25" x14ac:dyDescent="0.2">
      <c r="A250" s="11">
        <v>43336</v>
      </c>
      <c r="B250" s="380">
        <f>'2022'!Maxi_hp</f>
        <v>54.480093410292213</v>
      </c>
      <c r="C250" s="13">
        <f>'2022'!An_max</f>
        <v>2019</v>
      </c>
      <c r="D250" s="1062">
        <f t="shared" si="97"/>
        <v>0.99259293086775779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3">
        <f t="shared" si="100"/>
        <v>0.7142857142857143</v>
      </c>
      <c r="J250" s="746">
        <f t="shared" si="101"/>
        <v>54.88664256621685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5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3">
        <f t="shared" si="105"/>
        <v>0.8571428571428571</v>
      </c>
      <c r="AT250" s="769">
        <f t="shared" si="106"/>
        <v>54.797890379226637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3">
        <f t="shared" si="110"/>
        <v>0.6428571428571429</v>
      </c>
      <c r="AY250" s="769">
        <f t="shared" si="111"/>
        <v>54.996598651486316</v>
      </c>
      <c r="AZ250" s="746">
        <f t="shared" si="115"/>
        <v>54.897244515356476</v>
      </c>
      <c r="BA250" s="643">
        <f t="shared" si="112"/>
        <v>0.99259293086775779</v>
      </c>
      <c r="BC250" s="11">
        <v>43336</v>
      </c>
      <c r="BD250" s="290">
        <f>[3]!FeuilCaduc*(1-Persistant)+Persistant</f>
        <v>0.99170324452734449</v>
      </c>
      <c r="BE250" s="291">
        <f>[3]!CroissVégét</f>
        <v>0.95640779545152554</v>
      </c>
      <c r="BF250" s="816">
        <f>1+[3]!Salcycl*Ksac</f>
        <v>1.048962905565918</v>
      </c>
      <c r="BH250" s="1053">
        <f t="shared" si="113"/>
        <v>4.013322445593822E-4</v>
      </c>
      <c r="BI250" s="11">
        <v>44432</v>
      </c>
      <c r="BJ250" s="726">
        <v>5.0061573285101981E-5</v>
      </c>
      <c r="BK250" s="726">
        <v>1.7060952501557158E-4</v>
      </c>
      <c r="BL250" s="726">
        <v>2.8609975652149877E-4</v>
      </c>
      <c r="BM250" s="726">
        <v>4.0163386821843929E-4</v>
      </c>
      <c r="BN250" s="726">
        <v>5.0000383906184708E-4</v>
      </c>
      <c r="BO250" s="727">
        <v>6.0825631776358503E-4</v>
      </c>
      <c r="BP250" s="726">
        <v>7.757681061810952E-4</v>
      </c>
      <c r="BQ250" s="726">
        <v>1.071053961330132E-3</v>
      </c>
      <c r="BR250" s="726">
        <v>1.6272121892295136E-3</v>
      </c>
      <c r="BS250" s="726">
        <v>2.5610762114801938E-3</v>
      </c>
      <c r="BT250" s="726">
        <v>3.8037718407497325E-3</v>
      </c>
      <c r="BW250" s="1186">
        <f>'2018'!R\Max</f>
        <v>0.67108286622719782</v>
      </c>
      <c r="BX250" s="1184">
        <f>'2019'!R\Max</f>
        <v>0.99259293086775779</v>
      </c>
      <c r="BY250" s="1184">
        <f>'2020'!R\Max</f>
        <v>0.82921780330656436</v>
      </c>
      <c r="BZ250" s="1184">
        <f>'2021'!R\Max</f>
        <v>0.90645472033627361</v>
      </c>
      <c r="CA250" s="1184">
        <f>'2022'!R\Max</f>
        <v>0.90164992848137704</v>
      </c>
      <c r="CB250" s="1184">
        <f>'2023'!R\Max</f>
        <v>0.90164906576943038</v>
      </c>
      <c r="CC250" s="1184">
        <f>'2024'!R\Max</f>
        <v>0.90164757709988663</v>
      </c>
      <c r="CD250" s="1184">
        <f>'2025'!R\Max</f>
        <v>0.90165242072854446</v>
      </c>
      <c r="CE250" s="1184">
        <f>'2026'!R\Max</f>
        <v>0.90165191412614454</v>
      </c>
      <c r="CF250" s="1185">
        <f>'2027'!R\Max</f>
        <v>0.90165136165303361</v>
      </c>
    </row>
    <row r="251" spans="1:84" s="6" customFormat="1" ht="11.25" x14ac:dyDescent="0.2">
      <c r="A251" s="11">
        <v>43337</v>
      </c>
      <c r="B251" s="380">
        <f>'2022'!Maxi_hp</f>
        <v>50.04617729749566</v>
      </c>
      <c r="C251" s="13">
        <f>'2022'!An_max</f>
        <v>2020</v>
      </c>
      <c r="D251" s="1062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3">
        <f t="shared" si="100"/>
        <v>0.6428571428571429</v>
      </c>
      <c r="J251" s="746">
        <f t="shared" si="101"/>
        <v>54.711571720827898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5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3">
        <f t="shared" si="105"/>
        <v>0.8214285714285714</v>
      </c>
      <c r="AT251" s="769">
        <f t="shared" si="106"/>
        <v>54.595923237183264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3">
        <f t="shared" si="110"/>
        <v>0.6785714285714286</v>
      </c>
      <c r="AY251" s="769">
        <f t="shared" si="111"/>
        <v>54.81437708189312</v>
      </c>
      <c r="AZ251" s="746">
        <f t="shared" si="115"/>
        <v>54.705150159538192</v>
      </c>
      <c r="BA251" s="643">
        <f t="shared" si="112"/>
        <v>0.91472746483800627</v>
      </c>
      <c r="BC251" s="11">
        <v>43337</v>
      </c>
      <c r="BD251" s="290">
        <f>[3]!FeuilCaduc*(1-Persistant)+Persistant</f>
        <v>0.99107304054302559</v>
      </c>
      <c r="BE251" s="291">
        <f>[3]!CroissVégét</f>
        <v>0.95810172578745478</v>
      </c>
      <c r="BF251" s="816">
        <f>1+[3]!Salcycl*Ksac</f>
        <v>1.0488841300678782</v>
      </c>
      <c r="BH251" s="1053">
        <f t="shared" si="113"/>
        <v>3.4809434626483009E-4</v>
      </c>
      <c r="BI251" s="11">
        <v>44433</v>
      </c>
      <c r="BJ251" s="726">
        <v>4.0256159902342204E-5</v>
      </c>
      <c r="BK251" s="726">
        <v>1.4789233346463188E-4</v>
      </c>
      <c r="BL251" s="726">
        <v>2.4915490567681449E-4</v>
      </c>
      <c r="BM251" s="726">
        <v>3.4835332250150914E-4</v>
      </c>
      <c r="BN251" s="726">
        <v>4.3239480148402933E-4</v>
      </c>
      <c r="BO251" s="727">
        <v>5.2534044435853446E-4</v>
      </c>
      <c r="BP251" s="726">
        <v>6.7352452381114441E-4</v>
      </c>
      <c r="BQ251" s="726">
        <v>9.4234613174766458E-4</v>
      </c>
      <c r="BR251" s="726">
        <v>1.470598091455182E-3</v>
      </c>
      <c r="BS251" s="726">
        <v>2.384738845760211E-3</v>
      </c>
      <c r="BT251" s="726">
        <v>3.6190154734925552E-3</v>
      </c>
      <c r="BW251" s="1186">
        <f>'2018'!R\Max</f>
        <v>0.44699882675565072</v>
      </c>
      <c r="BX251" s="1184">
        <f>'2019'!R\Max</f>
        <v>0.85090037604831192</v>
      </c>
      <c r="BY251" s="1184">
        <f>'2020'!R\Max</f>
        <v>0.91472746483800627</v>
      </c>
      <c r="BZ251" s="1184">
        <f>'2021'!R\Max</f>
        <v>0.91419341388938369</v>
      </c>
      <c r="CA251" s="1184">
        <f>'2022'!R\Max</f>
        <v>0.64548688649099073</v>
      </c>
      <c r="CB251" s="1184">
        <f>'2023'!R\Max</f>
        <v>0.6454849120758831</v>
      </c>
      <c r="CC251" s="1184">
        <f>'2024'!R\Max</f>
        <v>0.64548140598942527</v>
      </c>
      <c r="CD251" s="1184">
        <f>'2025'!R\Max</f>
        <v>0.64549247313686009</v>
      </c>
      <c r="CE251" s="1184">
        <f>'2026'!R\Max</f>
        <v>0.64549135338261177</v>
      </c>
      <c r="CF251" s="1185">
        <f>'2027'!R\Max</f>
        <v>0.64549012650570148</v>
      </c>
    </row>
    <row r="252" spans="1:84" s="6" customFormat="1" ht="11.25" x14ac:dyDescent="0.2">
      <c r="A252" s="11">
        <v>43338</v>
      </c>
      <c r="B252" s="380">
        <f>'2022'!Maxi_hp</f>
        <v>54.589001673677714</v>
      </c>
      <c r="C252" s="13">
        <f>'2022'!An_max</f>
        <v>2018</v>
      </c>
      <c r="D252" s="1062">
        <f t="shared" si="97"/>
        <v>1.0010047120290759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3">
        <f t="shared" si="100"/>
        <v>0.5714285714285714</v>
      </c>
      <c r="J252" s="746">
        <f t="shared" si="101"/>
        <v>54.534210496395829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5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3">
        <f t="shared" si="105"/>
        <v>0.7857142857142857</v>
      </c>
      <c r="AT252" s="769">
        <f t="shared" si="106"/>
        <v>54.391365998264938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3">
        <f t="shared" si="110"/>
        <v>0.7142857142857143</v>
      </c>
      <c r="AY252" s="769">
        <f t="shared" si="111"/>
        <v>54.627543439503235</v>
      </c>
      <c r="AZ252" s="746">
        <f t="shared" si="115"/>
        <v>54.509454718884086</v>
      </c>
      <c r="BA252" s="643">
        <f t="shared" si="112"/>
        <v>1.0010047120290759</v>
      </c>
      <c r="BC252" s="11">
        <v>43338</v>
      </c>
      <c r="BD252" s="290">
        <f>[3]!FeuilCaduc*(1-Persistant)+Persistant</f>
        <v>0.99041170596149275</v>
      </c>
      <c r="BE252" s="291">
        <f>[3]!CroissVégét</f>
        <v>0.95973309779026206</v>
      </c>
      <c r="BF252" s="816">
        <f>1+[3]!Salcycl*Ksac</f>
        <v>1.0488014632451865</v>
      </c>
      <c r="BH252" s="1053">
        <f t="shared" si="113"/>
        <v>3.0024304561276682E-4</v>
      </c>
      <c r="BI252" s="11">
        <v>44434</v>
      </c>
      <c r="BJ252" s="726">
        <v>3.2383662267295384E-5</v>
      </c>
      <c r="BK252" s="726">
        <v>1.2780726790870051E-4</v>
      </c>
      <c r="BL252" s="726">
        <v>2.1596115947738583E-4</v>
      </c>
      <c r="BM252" s="726">
        <v>3.0046365536719676E-4</v>
      </c>
      <c r="BN252" s="726">
        <v>3.7190712426107776E-4</v>
      </c>
      <c r="BO252" s="727">
        <v>4.5134922014237019E-4</v>
      </c>
      <c r="BP252" s="726">
        <v>5.8189525034357814E-4</v>
      </c>
      <c r="BQ252" s="726">
        <v>8.2600697216246328E-4</v>
      </c>
      <c r="BR252" s="726">
        <v>1.3292817417343123E-3</v>
      </c>
      <c r="BS252" s="726">
        <v>2.2297430176674063E-3</v>
      </c>
      <c r="BT252" s="726">
        <v>3.4645537337580092E-3</v>
      </c>
      <c r="BW252" s="1186">
        <f>'2018'!R\Max</f>
        <v>1.0010047120290759</v>
      </c>
      <c r="BX252" s="1184">
        <f>'2019'!R\Max</f>
        <v>0.84347349496801238</v>
      </c>
      <c r="BY252" s="1184">
        <f>'2020'!R\Max</f>
        <v>0.97217394060455997</v>
      </c>
      <c r="BZ252" s="1184">
        <f>'2021'!R\Max</f>
        <v>0.96417223516154782</v>
      </c>
      <c r="CA252" s="1184">
        <f>'2022'!R\Max</f>
        <v>0.81363698119250027</v>
      </c>
      <c r="CB252" s="1184">
        <f>'2023'!R\Max</f>
        <v>0.81363582563579973</v>
      </c>
      <c r="CC252" s="1184">
        <f>'2024'!R\Max</f>
        <v>0.81363371053209177</v>
      </c>
      <c r="CD252" s="1184">
        <f>'2025'!R\Max</f>
        <v>0.8136401833045297</v>
      </c>
      <c r="CE252" s="1184">
        <f>'2026'!R\Max</f>
        <v>0.81363955092189966</v>
      </c>
      <c r="CF252" s="1185">
        <f>'2027'!R\Max</f>
        <v>0.81363885449509443</v>
      </c>
    </row>
    <row r="253" spans="1:84" s="6" customFormat="1" ht="11.25" x14ac:dyDescent="0.2">
      <c r="A253" s="11">
        <v>43339</v>
      </c>
      <c r="B253" s="380">
        <f>'2022'!Maxi_hp</f>
        <v>52.283135226272805</v>
      </c>
      <c r="C253" s="13">
        <f>'2022'!An_max</f>
        <v>2022</v>
      </c>
      <c r="D253" s="1062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3">
        <f t="shared" si="100"/>
        <v>0.5</v>
      </c>
      <c r="J253" s="746">
        <f t="shared" si="101"/>
        <v>54.353700000792742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5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3">
        <f t="shared" si="105"/>
        <v>0.75</v>
      </c>
      <c r="AT253" s="769">
        <f t="shared" si="106"/>
        <v>54.184151562955229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3">
        <f t="shared" si="110"/>
        <v>0.75</v>
      </c>
      <c r="AY253" s="769">
        <f t="shared" si="111"/>
        <v>54.43578906240873</v>
      </c>
      <c r="AZ253" s="746">
        <f t="shared" si="115"/>
        <v>54.309970312681983</v>
      </c>
      <c r="BA253" s="643">
        <f t="shared" si="112"/>
        <v>0.96190572537858987</v>
      </c>
      <c r="BC253" s="11">
        <v>43339</v>
      </c>
      <c r="BD253" s="290">
        <f>[3]!FeuilCaduc*(1-Persistant)+Persistant</f>
        <v>0.98971801245898994</v>
      </c>
      <c r="BE253" s="291">
        <f>[3]!CroissVégét</f>
        <v>0.9613040114607565</v>
      </c>
      <c r="BF253" s="816">
        <f>1+[3]!Salcycl*Ksac</f>
        <v>1.0487147515573738</v>
      </c>
      <c r="BH253" s="1053">
        <f t="shared" si="113"/>
        <v>2.5777850857696424E-4</v>
      </c>
      <c r="BI253" s="11">
        <v>44435</v>
      </c>
      <c r="BJ253" s="726">
        <v>2.644431809335704E-5</v>
      </c>
      <c r="BK253" s="726">
        <v>1.103544739808371E-4</v>
      </c>
      <c r="BL253" s="726">
        <v>1.8651863734799577E-4</v>
      </c>
      <c r="BM253" s="726">
        <v>2.5796503291111689E-4</v>
      </c>
      <c r="BN253" s="726">
        <v>3.1854107953005668E-4</v>
      </c>
      <c r="BO253" s="727">
        <v>3.8628302089932834E-4</v>
      </c>
      <c r="BP253" s="726">
        <v>5.0088066588791934E-4</v>
      </c>
      <c r="BQ253" s="726">
        <v>7.2203675447490997E-4</v>
      </c>
      <c r="BR253" s="726">
        <v>1.2032635827367072E-3</v>
      </c>
      <c r="BS253" s="726">
        <v>2.0960902769126973E-3</v>
      </c>
      <c r="BT253" s="726">
        <v>3.3403902217552252E-3</v>
      </c>
      <c r="BW253" s="1186">
        <f>'2018'!R\Max</f>
        <v>0.95761601208722447</v>
      </c>
      <c r="BX253" s="1184">
        <f>'2019'!R\Max</f>
        <v>0.59832233071937335</v>
      </c>
      <c r="BY253" s="1184">
        <f>'2020'!R\Max</f>
        <v>0.51551929259926654</v>
      </c>
      <c r="BZ253" s="1184">
        <f>'2021'!R\Max</f>
        <v>0.85317638735675039</v>
      </c>
      <c r="CA253" s="1184">
        <f>'2022'!R\Max</f>
        <v>0.96190572537858987</v>
      </c>
      <c r="CB253" s="1184">
        <f>'2023'!R\Max</f>
        <v>0.9619054796020996</v>
      </c>
      <c r="CC253" s="1184">
        <f>'2024'!R\Max</f>
        <v>0.96190501532159312</v>
      </c>
      <c r="CD253" s="1184">
        <f>'2025'!R\Max</f>
        <v>0.96190639303640457</v>
      </c>
      <c r="CE253" s="1184">
        <f>'2026'!R\Max</f>
        <v>0.96190626312293337</v>
      </c>
      <c r="CF253" s="1185">
        <f>'2027'!R\Max</f>
        <v>0.96190611928350678</v>
      </c>
    </row>
    <row r="254" spans="1:84" s="6" customFormat="1" ht="11.25" x14ac:dyDescent="0.2">
      <c r="A254" s="11">
        <v>43340</v>
      </c>
      <c r="B254" s="380">
        <f>'2022'!Maxi_hp</f>
        <v>54.458266820267049</v>
      </c>
      <c r="C254" s="13">
        <f>'2022'!An_max</f>
        <v>2021</v>
      </c>
      <c r="D254" s="1062">
        <f t="shared" si="97"/>
        <v>1.0053367149229226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3">
        <f t="shared" si="100"/>
        <v>0.42857142857142855</v>
      </c>
      <c r="J254" s="746">
        <f t="shared" si="101"/>
        <v>54.169181341837557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5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3">
        <f t="shared" si="105"/>
        <v>0.7142857142857143</v>
      </c>
      <c r="AT254" s="769">
        <f t="shared" si="106"/>
        <v>53.974212827959228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3">
        <f t="shared" si="110"/>
        <v>0.7857142857142857</v>
      </c>
      <c r="AY254" s="769">
        <f t="shared" si="111"/>
        <v>54.238805283619357</v>
      </c>
      <c r="AZ254" s="746">
        <f t="shared" si="115"/>
        <v>54.106509055789289</v>
      </c>
      <c r="BA254" s="643">
        <f t="shared" si="112"/>
        <v>1.0053367149229226</v>
      </c>
      <c r="BC254" s="11">
        <v>43340</v>
      </c>
      <c r="BD254" s="290">
        <f>[3]!FeuilCaduc*(1-Persistant)+Persistant</f>
        <v>0.98899069025189179</v>
      </c>
      <c r="BE254" s="291">
        <f>[3]!CroissVégét</f>
        <v>0.96281651236587618</v>
      </c>
      <c r="BF254" s="816">
        <f>1+[3]!Salcycl*Ksac</f>
        <v>1.0486238362814864</v>
      </c>
      <c r="BH254" s="1053">
        <f t="shared" si="113"/>
        <v>2.216052847497893E-4</v>
      </c>
      <c r="BI254" s="11">
        <v>44436</v>
      </c>
      <c r="BJ254" s="726">
        <v>2.2415852062741511E-5</v>
      </c>
      <c r="BK254" s="726">
        <v>9.5889238255471074E-5</v>
      </c>
      <c r="BL254" s="726">
        <v>1.6148740707135965E-4</v>
      </c>
      <c r="BM254" s="726">
        <v>2.2176264466233545E-4</v>
      </c>
      <c r="BN254" s="726">
        <v>2.7340792668478602E-4</v>
      </c>
      <c r="BO254" s="727">
        <v>3.3153732330831E-4</v>
      </c>
      <c r="BP254" s="726">
        <v>4.3274204773093228E-4</v>
      </c>
      <c r="BQ254" s="726">
        <v>6.3512566732991599E-4</v>
      </c>
      <c r="BR254" s="726">
        <v>1.1028847181567165E-3</v>
      </c>
      <c r="BS254" s="726">
        <v>2.0098376762477861E-3</v>
      </c>
      <c r="BT254" s="726">
        <v>3.2973612266342755E-3</v>
      </c>
      <c r="BW254" s="1186">
        <f>'2018'!R\Max</f>
        <v>0.78523780878732108</v>
      </c>
      <c r="BX254" s="1184">
        <f>'2019'!R\Max</f>
        <v>0.72408820901249793</v>
      </c>
      <c r="BY254" s="1184">
        <f>'2020'!R\Max</f>
        <v>0.94480290067303485</v>
      </c>
      <c r="BZ254" s="1184">
        <f>'2021'!R\Max</f>
        <v>1.0053367149229226</v>
      </c>
      <c r="CA254" s="1184">
        <f>'2022'!R\Max</f>
        <v>0.9473212984549052</v>
      </c>
      <c r="CB254" s="1184">
        <f>'2023'!R\Max</f>
        <v>0.94732100206569381</v>
      </c>
      <c r="CC254" s="1184">
        <f>'2024'!R\Max</f>
        <v>0.94732042192168775</v>
      </c>
      <c r="CD254" s="1184">
        <f>'2025'!R\Max</f>
        <v>0.94732208796275341</v>
      </c>
      <c r="CE254" s="1184">
        <f>'2026'!R\Max</f>
        <v>0.94732193671722464</v>
      </c>
      <c r="CF254" s="1185">
        <f>'2027'!R\Max</f>
        <v>0.94732176823620551</v>
      </c>
    </row>
    <row r="255" spans="1:84" s="6" customFormat="1" ht="11.25" x14ac:dyDescent="0.2">
      <c r="A255" s="11">
        <v>43341</v>
      </c>
      <c r="B255" s="380">
        <f>'2022'!Maxi_hp</f>
        <v>53.843045701686705</v>
      </c>
      <c r="C255" s="13">
        <f>'2022'!An_max</f>
        <v>2021</v>
      </c>
      <c r="D255" s="1062">
        <f t="shared" si="97"/>
        <v>0.99746664609763591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3">
        <f t="shared" si="100"/>
        <v>0.35714285714285715</v>
      </c>
      <c r="J255" s="746">
        <f t="shared" si="101"/>
        <v>53.979795627588672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5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3">
        <f t="shared" si="105"/>
        <v>0.6785714285714286</v>
      </c>
      <c r="AT255" s="769">
        <f t="shared" si="106"/>
        <v>53.761482694133051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3">
        <f t="shared" si="110"/>
        <v>0.8214285714285714</v>
      </c>
      <c r="AY255" s="769">
        <f t="shared" si="111"/>
        <v>54.036283440448869</v>
      </c>
      <c r="AZ255" s="746">
        <f t="shared" si="115"/>
        <v>53.89888306729096</v>
      </c>
      <c r="BA255" s="643">
        <f t="shared" si="112"/>
        <v>0.99746664609763591</v>
      </c>
      <c r="BC255" s="11">
        <v>43341</v>
      </c>
      <c r="BD255" s="290">
        <f>[3]!FeuilCaduc*(1-Persistant)+Persistant</f>
        <v>0.98822842646563969</v>
      </c>
      <c r="BE255" s="291">
        <f>[3]!CroissVégét</f>
        <v>0.96427259177046543</v>
      </c>
      <c r="BF255" s="816">
        <f>1+[3]!Salcycl*Ksac</f>
        <v>1.0485285533082049</v>
      </c>
      <c r="BH255" s="1053">
        <f t="shared" si="113"/>
        <v>1.8863693031150345E-4</v>
      </c>
      <c r="BI255" s="11">
        <v>44437</v>
      </c>
      <c r="BJ255" s="726">
        <v>1.8819263413004527E-5</v>
      </c>
      <c r="BK255" s="726">
        <v>8.2630467713814144E-5</v>
      </c>
      <c r="BL255" s="726">
        <v>1.3857086550309952E-4</v>
      </c>
      <c r="BM255" s="726">
        <v>1.8876797937517666E-4</v>
      </c>
      <c r="BN255" s="726">
        <v>2.3233665397020024E-4</v>
      </c>
      <c r="BO255" s="727">
        <v>2.8179130635602642E-4</v>
      </c>
      <c r="BP255" s="726">
        <v>3.7113653750129146E-4</v>
      </c>
      <c r="BQ255" s="726">
        <v>5.5818902908126361E-4</v>
      </c>
      <c r="BR255" s="726">
        <v>1.0200853563951231E-3</v>
      </c>
      <c r="BS255" s="726">
        <v>1.9616079432231179E-3</v>
      </c>
      <c r="BT255" s="726">
        <v>3.3243354987782785E-3</v>
      </c>
      <c r="BW255" s="1186">
        <f>'2018'!R\Max</f>
        <v>0.6901996252786069</v>
      </c>
      <c r="BX255" s="1184">
        <f>'2019'!R\Max</f>
        <v>0.94555421664408557</v>
      </c>
      <c r="BY255" s="1184">
        <f>'2020'!R\Max</f>
        <v>0.18455981964159524</v>
      </c>
      <c r="BZ255" s="1184">
        <f>'2021'!R\Max</f>
        <v>0.99746664609763591</v>
      </c>
      <c r="CA255" s="1184">
        <f>'2022'!R\Max</f>
        <v>0.64100282045039714</v>
      </c>
      <c r="CB255" s="1184">
        <f>'2023'!R\Max</f>
        <v>0.64100161058674376</v>
      </c>
      <c r="CC255" s="1184">
        <f>'2024'!R\Max</f>
        <v>0.64099913179219326</v>
      </c>
      <c r="CD255" s="1184">
        <f>'2025'!R\Max</f>
        <v>0.64100596375316965</v>
      </c>
      <c r="CE255" s="1184">
        <f>'2026'!R\Max</f>
        <v>0.64100537377633859</v>
      </c>
      <c r="CF255" s="1185">
        <f>'2027'!R\Max</f>
        <v>0.64100471134152659</v>
      </c>
    </row>
    <row r="256" spans="1:84" s="6" customFormat="1" ht="11.25" x14ac:dyDescent="0.2">
      <c r="A256" s="11">
        <v>43342</v>
      </c>
      <c r="B256" s="380">
        <f>'2022'!Maxi_hp</f>
        <v>52.67575781397985</v>
      </c>
      <c r="C256" s="13">
        <f>'2022'!An_max</f>
        <v>2021</v>
      </c>
      <c r="D256" s="1062">
        <f t="shared" si="97"/>
        <v>0.97938212015528392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3">
        <f t="shared" si="100"/>
        <v>0.2857142857142857</v>
      </c>
      <c r="J256" s="746">
        <f t="shared" si="101"/>
        <v>53.784683965465852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5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3">
        <f t="shared" si="105"/>
        <v>0.6428571428571429</v>
      </c>
      <c r="AT256" s="769">
        <f t="shared" si="106"/>
        <v>53.545894059671888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3">
        <f t="shared" si="110"/>
        <v>0.8571428571428571</v>
      </c>
      <c r="AY256" s="769">
        <f t="shared" si="111"/>
        <v>53.827914868667719</v>
      </c>
      <c r="AZ256" s="746">
        <f t="shared" si="115"/>
        <v>53.6869044641698</v>
      </c>
      <c r="BA256" s="643">
        <f t="shared" si="112"/>
        <v>0.97938212015528392</v>
      </c>
      <c r="BC256" s="11">
        <v>43342</v>
      </c>
      <c r="BD256" s="290">
        <f>[3]!FeuilCaduc*(1-Persistant)+Persistant</f>
        <v>0.98742986285947887</v>
      </c>
      <c r="BE256" s="291">
        <f>[3]!CroissVégét</f>
        <v>0.96567418689281481</v>
      </c>
      <c r="BF256" s="816">
        <f>1+[3]!Salcycl*Ksac</f>
        <v>1.0484287328574349</v>
      </c>
      <c r="BH256" s="1053">
        <f t="shared" si="113"/>
        <v>1.588736077368942E-4</v>
      </c>
      <c r="BI256" s="11">
        <v>44438</v>
      </c>
      <c r="BJ256" s="726">
        <v>1.5654591626394494E-5</v>
      </c>
      <c r="BK256" s="726">
        <v>7.0578206757259941E-5</v>
      </c>
      <c r="BL256" s="726">
        <v>1.1776909654667937E-4</v>
      </c>
      <c r="BM256" s="726">
        <v>1.5898119973009031E-4</v>
      </c>
      <c r="BN256" s="726">
        <v>1.9532748192776332E-4</v>
      </c>
      <c r="BO256" s="727">
        <v>2.3704525865673128E-4</v>
      </c>
      <c r="BP256" s="726">
        <v>3.1606458803868845E-4</v>
      </c>
      <c r="BQ256" s="726">
        <v>4.9122790854791789E-4</v>
      </c>
      <c r="BR256" s="726">
        <v>9.5486855599773287E-4</v>
      </c>
      <c r="BS256" s="726">
        <v>1.9514105471552805E-3</v>
      </c>
      <c r="BT256" s="726">
        <v>3.4213329846881375E-3</v>
      </c>
      <c r="BW256" s="1186">
        <f>'2018'!R\Max</f>
        <v>0.84081596523988489</v>
      </c>
      <c r="BX256" s="1184">
        <f>'2019'!R\Max</f>
        <v>0.94115300034484028</v>
      </c>
      <c r="BY256" s="1184">
        <f>'2020'!R\Max</f>
        <v>0.45384535820523053</v>
      </c>
      <c r="BZ256" s="1184">
        <f>'2021'!R\Max</f>
        <v>0.97938212015528392</v>
      </c>
      <c r="CA256" s="1184">
        <f>'2022'!R\Max</f>
        <v>0.93421508977193513</v>
      </c>
      <c r="CB256" s="1184">
        <f>'2023'!R\Max</f>
        <v>0.93421480319435191</v>
      </c>
      <c r="CC256" s="1184">
        <f>'2024'!R\Max</f>
        <v>0.9342141817174584</v>
      </c>
      <c r="CD256" s="1184">
        <f>'2025'!R\Max</f>
        <v>0.93421581121927411</v>
      </c>
      <c r="CE256" s="1184">
        <f>'2026'!R\Max</f>
        <v>0.93421567940522232</v>
      </c>
      <c r="CF256" s="1185">
        <f>'2027'!R\Max</f>
        <v>0.93421552985433254</v>
      </c>
    </row>
    <row r="257" spans="1:84" s="6" customFormat="1" ht="11.25" x14ac:dyDescent="0.2">
      <c r="A257" s="11">
        <v>43343</v>
      </c>
      <c r="B257" s="380">
        <f>'2022'!Maxi_hp</f>
        <v>52.060228799144411</v>
      </c>
      <c r="C257" s="13">
        <f>'2022'!An_max</f>
        <v>2021</v>
      </c>
      <c r="D257" s="1062">
        <f t="shared" si="97"/>
        <v>0.97158130337179927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3">
        <f t="shared" si="100"/>
        <v>0.21428571428571427</v>
      </c>
      <c r="J257" s="746">
        <f t="shared" si="101"/>
        <v>53.582987464325768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5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3">
        <f t="shared" si="105"/>
        <v>0.6071428571428571</v>
      </c>
      <c r="AT257" s="769">
        <f t="shared" si="106"/>
        <v>53.327379823901822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3">
        <f t="shared" si="110"/>
        <v>0.8928571428571429</v>
      </c>
      <c r="AY257" s="769">
        <f t="shared" si="111"/>
        <v>53.613390902582822</v>
      </c>
      <c r="AZ257" s="746">
        <f t="shared" si="115"/>
        <v>53.470385363242322</v>
      </c>
      <c r="BA257" s="643">
        <f t="shared" si="112"/>
        <v>0.97158130337179927</v>
      </c>
      <c r="BC257" s="11">
        <v>43343</v>
      </c>
      <c r="BD257" s="290">
        <f>[3]!FeuilCaduc*(1-Persistant)+Persistant</f>
        <v>0.98659359299665617</v>
      </c>
      <c r="BE257" s="291">
        <f>[3]!CroissVégét</f>
        <v>0.9670231812722152</v>
      </c>
      <c r="BF257" s="816">
        <f>1+[3]!Salcycl*Ksac</f>
        <v>1.048324199124582</v>
      </c>
      <c r="BH257" s="1053">
        <f t="shared" si="113"/>
        <v>1.3231560194719135E-4</v>
      </c>
      <c r="BI257" s="11">
        <v>44439</v>
      </c>
      <c r="BJ257" s="726">
        <v>1.2921893279272024E-5</v>
      </c>
      <c r="BK257" s="726">
        <v>5.9732545284941593E-5</v>
      </c>
      <c r="BL257" s="726">
        <v>9.9082264082274221E-5</v>
      </c>
      <c r="BM257" s="726">
        <v>1.3240259096513395E-4</v>
      </c>
      <c r="BN257" s="726">
        <v>1.6238078678945911E-4</v>
      </c>
      <c r="BO257" s="727">
        <v>1.9729966102663768E-4</v>
      </c>
      <c r="BP257" s="726">
        <v>2.6752690570619995E-4</v>
      </c>
      <c r="BQ257" s="726">
        <v>4.3424377357771226E-4</v>
      </c>
      <c r="BR257" s="726">
        <v>9.0723811564309372E-4</v>
      </c>
      <c r="BS257" s="726">
        <v>1.9792566496990701E-3</v>
      </c>
      <c r="BT257" s="726">
        <v>3.5883768275769834E-3</v>
      </c>
      <c r="BW257" s="1186">
        <f>'2018'!R\Max</f>
        <v>0.87490055536974121</v>
      </c>
      <c r="BX257" s="1184">
        <f>'2019'!R\Max</f>
        <v>0.89418525643441915</v>
      </c>
      <c r="BY257" s="1184">
        <f>'2020'!R\Max</f>
        <v>0.62097491174467911</v>
      </c>
      <c r="BZ257" s="1184">
        <f>'2021'!R\Max</f>
        <v>0.97158130337179927</v>
      </c>
      <c r="CA257" s="1184">
        <f>'2022'!R\Max</f>
        <v>0.44137878766575611</v>
      </c>
      <c r="CB257" s="1184">
        <f>'2023'!R\Max</f>
        <v>0.44137776288119546</v>
      </c>
      <c r="CC257" s="1184">
        <f>'2024'!R\Max</f>
        <v>0.44137538386087416</v>
      </c>
      <c r="CD257" s="1184">
        <f>'2025'!R\Max</f>
        <v>0.44138126842732955</v>
      </c>
      <c r="CE257" s="1184">
        <f>'2026'!R\Max</f>
        <v>0.44138083097467667</v>
      </c>
      <c r="CF257" s="1185">
        <f>'2027'!R\Max</f>
        <v>0.44138032778263903</v>
      </c>
    </row>
    <row r="258" spans="1:84" s="6" customFormat="1" ht="11.25" x14ac:dyDescent="0.2">
      <c r="A258" s="11">
        <v>43344</v>
      </c>
      <c r="B258" s="380">
        <f>'2022'!Maxi_hp</f>
        <v>53.475031417285187</v>
      </c>
      <c r="C258" s="13">
        <f>'2022'!An_max</f>
        <v>2018</v>
      </c>
      <c r="D258" s="1062">
        <f t="shared" si="97"/>
        <v>1.0018957634004628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3">
        <f t="shared" si="100"/>
        <v>0.14285714285714285</v>
      </c>
      <c r="J258" s="746">
        <f t="shared" si="101"/>
        <v>53.373847231162451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5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3">
        <f t="shared" si="105"/>
        <v>0.5714285714285714</v>
      </c>
      <c r="AT258" s="769">
        <f t="shared" si="106"/>
        <v>53.105872886627914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3">
        <f t="shared" si="110"/>
        <v>0.9285714285714286</v>
      </c>
      <c r="AY258" s="769">
        <f t="shared" si="111"/>
        <v>53.392402879108808</v>
      </c>
      <c r="AZ258" s="746">
        <f t="shared" si="115"/>
        <v>53.249137882868361</v>
      </c>
      <c r="BA258" s="643">
        <f t="shared" si="112"/>
        <v>1.0018957634004628</v>
      </c>
      <c r="BC258" s="11">
        <v>43344</v>
      </c>
      <c r="BD258" s="290">
        <f>[3]!FeuilCaduc*(1-Persistant)+Persistant</f>
        <v>0.9857181589603855</v>
      </c>
      <c r="BE258" s="291">
        <f>[3]!CroissVégét</f>
        <v>0.96832140523745813</v>
      </c>
      <c r="BF258" s="816">
        <f>1+[3]!Salcycl*Ksac</f>
        <v>1.0482147698700481</v>
      </c>
      <c r="BH258" s="1053">
        <f t="shared" si="113"/>
        <v>1.089633259755873E-4</v>
      </c>
      <c r="BI258" s="11">
        <v>44440</v>
      </c>
      <c r="BJ258" s="726">
        <v>1.0621242805346025E-5</v>
      </c>
      <c r="BK258" s="726">
        <v>5.0093620826716658E-5</v>
      </c>
      <c r="BL258" s="726">
        <v>8.2510615705383875E-5</v>
      </c>
      <c r="BM258" s="726">
        <v>1.0903256654653681E-4</v>
      </c>
      <c r="BN258" s="726">
        <v>1.3349710765813241E-4</v>
      </c>
      <c r="BO258" s="727">
        <v>1.6255519532181825E-4</v>
      </c>
      <c r="BP258" s="726">
        <v>2.2552446193779E-4</v>
      </c>
      <c r="BQ258" s="726">
        <v>3.8723850867245467E-4</v>
      </c>
      <c r="BR258" s="726">
        <v>8.7719860519001381E-4</v>
      </c>
      <c r="BS258" s="726">
        <v>2.0451591719621732E-3</v>
      </c>
      <c r="BT258" s="726">
        <v>3.8254934909002628E-3</v>
      </c>
      <c r="BW258" s="1186">
        <f>'2018'!R\Max</f>
        <v>1.0018957634004628</v>
      </c>
      <c r="BX258" s="1184">
        <f>'2019'!R\Max</f>
        <v>0.33286406462641832</v>
      </c>
      <c r="BY258" s="1184">
        <f>'2020'!R\Max</f>
        <v>0.87349720779457396</v>
      </c>
      <c r="BZ258" s="1184">
        <f>'2021'!R\Max</f>
        <v>0.73399954027932468</v>
      </c>
      <c r="CA258" s="1184">
        <f>'2022'!R\Max</f>
        <v>0.85426171140330642</v>
      </c>
      <c r="CB258" s="1184">
        <f>'2023'!R\Max</f>
        <v>0.85426124602671716</v>
      </c>
      <c r="CC258" s="1184">
        <f>'2024'!R\Max</f>
        <v>0.85426007779416047</v>
      </c>
      <c r="CD258" s="1184">
        <f>'2025'!R\Max</f>
        <v>0.8542627856234698</v>
      </c>
      <c r="CE258" s="1184">
        <f>'2026'!R\Max</f>
        <v>0.85426260481937288</v>
      </c>
      <c r="CF258" s="1185">
        <f>'2027'!R\Max</f>
        <v>0.85426239301581908</v>
      </c>
    </row>
    <row r="259" spans="1:84" s="6" customFormat="1" ht="11.25" x14ac:dyDescent="0.2">
      <c r="A259" s="11">
        <v>43345</v>
      </c>
      <c r="B259" s="380">
        <f>'2022'!Maxi_hp</f>
        <v>51.427835350869806</v>
      </c>
      <c r="C259" s="13">
        <f>'2022'!An_max</f>
        <v>2019</v>
      </c>
      <c r="D259" s="1062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3">
        <f t="shared" si="100"/>
        <v>7.1428571428571425E-2</v>
      </c>
      <c r="J259" s="746">
        <f t="shared" si="101"/>
        <v>53.156404375258298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5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3">
        <f t="shared" si="105"/>
        <v>0.5357142857142857</v>
      </c>
      <c r="AT259" s="769">
        <f t="shared" si="106"/>
        <v>52.881306145193854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3">
        <f t="shared" si="110"/>
        <v>0.9642857142857143</v>
      </c>
      <c r="AY259" s="769">
        <f t="shared" si="111"/>
        <v>53.164642131880711</v>
      </c>
      <c r="AZ259" s="746">
        <f t="shared" si="115"/>
        <v>53.022974138537279</v>
      </c>
      <c r="BA259" s="643">
        <f t="shared" si="112"/>
        <v>0.96748145318133938</v>
      </c>
      <c r="BC259" s="11">
        <v>43345</v>
      </c>
      <c r="BD259" s="290">
        <f>[3]!FeuilCaduc*(1-Persistant)+Persistant</f>
        <v>0.98480204772528879</v>
      </c>
      <c r="BE259" s="291">
        <f>[3]!CroissVégét</f>
        <v>0.96957063646587138</v>
      </c>
      <c r="BF259" s="816">
        <f>1+[3]!Salcycl*Ksac</f>
        <v>1.0481002559656611</v>
      </c>
      <c r="BH259" s="1053">
        <f t="shared" si="113"/>
        <v>8.8817326630721819E-5</v>
      </c>
      <c r="BI259" s="11">
        <v>44441</v>
      </c>
      <c r="BJ259" s="726">
        <v>8.7527332587027513E-6</v>
      </c>
      <c r="BK259" s="726">
        <v>4.1661620675288482E-5</v>
      </c>
      <c r="BL259" s="726">
        <v>6.8054486463982726E-5</v>
      </c>
      <c r="BM259" s="726">
        <v>8.8871673837227075E-5</v>
      </c>
      <c r="BN259" s="726">
        <v>1.0867715368531427E-4</v>
      </c>
      <c r="BO259" s="727">
        <v>1.328127532730599E-4</v>
      </c>
      <c r="BP259" s="726">
        <v>1.9005850478192909E-4</v>
      </c>
      <c r="BQ259" s="726">
        <v>3.5021443260772314E-4</v>
      </c>
      <c r="BR259" s="726">
        <v>8.6475539671726021E-4</v>
      </c>
      <c r="BS259" s="726">
        <v>2.1491328616087177E-3</v>
      </c>
      <c r="BT259" s="726">
        <v>4.1327128818708925E-3</v>
      </c>
      <c r="BW259" s="1186">
        <f>'2018'!R\Max</f>
        <v>0.95276344773702315</v>
      </c>
      <c r="BX259" s="1184">
        <f>'2019'!R\Max</f>
        <v>0.96748145318133938</v>
      </c>
      <c r="BY259" s="1184">
        <f>'2020'!R\Max</f>
        <v>0.92913224789284521</v>
      </c>
      <c r="BZ259" s="1184">
        <f>'2021'!R\Max</f>
        <v>0.37257247874144223</v>
      </c>
      <c r="CA259" s="1184">
        <f>'2022'!R\Max</f>
        <v>0.78685886726793719</v>
      </c>
      <c r="CB259" s="1184">
        <f>'2023'!R\Max</f>
        <v>0.78685829554273978</v>
      </c>
      <c r="CC259" s="1184">
        <f>'2024'!R\Max</f>
        <v>0.78685673266468592</v>
      </c>
      <c r="CD259" s="1184">
        <f>'2025'!R\Max</f>
        <v>0.78686011543700562</v>
      </c>
      <c r="CE259" s="1184">
        <f>'2026'!R\Max</f>
        <v>0.78685991763721708</v>
      </c>
      <c r="CF259" s="1185">
        <f>'2027'!R\Max</f>
        <v>0.78685968029466846</v>
      </c>
    </row>
    <row r="260" spans="1:84" s="6" customFormat="1" ht="11.25" x14ac:dyDescent="0.2">
      <c r="A260" s="11">
        <v>43346</v>
      </c>
      <c r="B260" s="380">
        <f>'2022'!Maxi_hp</f>
        <v>54.150203084511908</v>
      </c>
      <c r="C260" s="13">
        <f>'2022'!An_max</f>
        <v>2020</v>
      </c>
      <c r="D260" s="1062">
        <f t="shared" si="97"/>
        <v>1.0230570129436911</v>
      </c>
      <c r="E260" s="1057">
        <f>AE$13/10</f>
        <v>52.9298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3">
        <f t="shared" si="100"/>
        <v>0</v>
      </c>
      <c r="J260" s="746">
        <f t="shared" si="101"/>
        <v>52.929800000786784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5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3">
        <f t="shared" si="105"/>
        <v>0.5</v>
      </c>
      <c r="AT260" s="769">
        <f t="shared" si="106"/>
        <v>52.653612500242886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3">
        <f t="shared" si="110"/>
        <v>1</v>
      </c>
      <c r="AY260" s="769">
        <f t="shared" si="111"/>
        <v>52.929800000041723</v>
      </c>
      <c r="AZ260" s="746">
        <f t="shared" si="115"/>
        <v>52.791706250142305</v>
      </c>
      <c r="BA260" s="643">
        <f t="shared" si="112"/>
        <v>1.0230570129436911</v>
      </c>
      <c r="BC260" s="11">
        <v>43346</v>
      </c>
      <c r="BD260" s="290">
        <f>[3]!FeuilCaduc*(1-Persistant)+Persistant</f>
        <v>0.98384368730206961</v>
      </c>
      <c r="BE260" s="291">
        <f>[3]!CroissVégét</f>
        <v>0.97077260062312232</v>
      </c>
      <c r="BF260" s="816">
        <f>1+[3]!Salcycl*Ksac</f>
        <v>1.0479804609127588</v>
      </c>
      <c r="BH260" s="1053">
        <f t="shared" si="113"/>
        <v>7.1878290159136971E-5</v>
      </c>
      <c r="BI260" s="11">
        <v>44442</v>
      </c>
      <c r="BJ260" s="726">
        <v>7.3164770767390469E-6</v>
      </c>
      <c r="BK260" s="726">
        <v>3.4436784017844197E-5</v>
      </c>
      <c r="BL260" s="726">
        <v>5.5714302594876472E-5</v>
      </c>
      <c r="BM260" s="726">
        <v>7.1920599764328197E-5</v>
      </c>
      <c r="BN260" s="726">
        <v>8.7921811247790096E-5</v>
      </c>
      <c r="BO260" s="727">
        <v>1.080734453191901E-4</v>
      </c>
      <c r="BP260" s="726">
        <v>1.6113057044307759E-4</v>
      </c>
      <c r="BQ260" s="726">
        <v>3.2317431604895005E-4</v>
      </c>
      <c r="BR260" s="726">
        <v>8.6991469555466839E-4</v>
      </c>
      <c r="BS260" s="726">
        <v>2.2911943599427183E-3</v>
      </c>
      <c r="BT260" s="726">
        <v>4.5100684749367652E-3</v>
      </c>
      <c r="BW260" s="1186">
        <f>'2018'!R\Max</f>
        <v>0.97022816122163658</v>
      </c>
      <c r="BX260" s="1184">
        <f>'2019'!R\Max</f>
        <v>1.015495010462617</v>
      </c>
      <c r="BY260" s="1184">
        <f>'2020'!R\Max</f>
        <v>1.0230570129436911</v>
      </c>
      <c r="BZ260" s="1184">
        <f>'2021'!R\Max</f>
        <v>0.67377207660326144</v>
      </c>
      <c r="CA260" s="1184">
        <f>'2022'!R\Max</f>
        <v>0.6598694762567402</v>
      </c>
      <c r="CB260" s="1184">
        <f>'2023'!R\Max</f>
        <v>0.65986876478213841</v>
      </c>
      <c r="CC260" s="1184">
        <f>'2024'!R\Max</f>
        <v>0.65986664217824076</v>
      </c>
      <c r="CD260" s="1184">
        <f>'2025'!R\Max</f>
        <v>0.65987093635197847</v>
      </c>
      <c r="CE260" s="1184">
        <f>'2026'!R\Max</f>
        <v>0.65987072178337591</v>
      </c>
      <c r="CF260" s="1185">
        <f>'2027'!R\Max</f>
        <v>0.6598704562580826</v>
      </c>
    </row>
    <row r="261" spans="1:84" s="6" customFormat="1" ht="11.25" x14ac:dyDescent="0.2">
      <c r="A261" s="11">
        <v>43347</v>
      </c>
      <c r="B261" s="380">
        <f>'2022'!Maxi_hp</f>
        <v>53.283178554064911</v>
      </c>
      <c r="C261" s="13">
        <f>'2022'!An_max</f>
        <v>2019</v>
      </c>
      <c r="D261" s="1062">
        <f t="shared" si="97"/>
        <v>1.0111736097050568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3">
        <f t="shared" si="100"/>
        <v>7.1428571428571425E-2</v>
      </c>
      <c r="J261" s="746">
        <f t="shared" si="101"/>
        <v>52.694391984386108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5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3">
        <f t="shared" si="105"/>
        <v>0.4642857142857143</v>
      </c>
      <c r="AT261" s="769">
        <f t="shared" si="106"/>
        <v>52.422724849504547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3">
        <f t="shared" si="110"/>
        <v>0.9642857142857143</v>
      </c>
      <c r="AY261" s="769">
        <f t="shared" si="111"/>
        <v>52.687368748782731</v>
      </c>
      <c r="AZ261" s="746">
        <f t="shared" si="115"/>
        <v>52.555046799143639</v>
      </c>
      <c r="BA261" s="643">
        <f t="shared" si="112"/>
        <v>1.0111736097050568</v>
      </c>
      <c r="BC261" s="11">
        <v>43347</v>
      </c>
      <c r="BD261" s="290">
        <f>[3]!FeuilCaduc*(1-Persistant)+Persistant</f>
        <v>0.98284144277977403</v>
      </c>
      <c r="BE261" s="291">
        <f>[3]!CroissVégét</f>
        <v>0.97192897207465079</v>
      </c>
      <c r="BF261" s="816">
        <f>1+[3]!Salcycl*Ksac</f>
        <v>1.0478551803474718</v>
      </c>
      <c r="BH261" s="1053">
        <f t="shared" si="113"/>
        <v>5.8147047908483107E-5</v>
      </c>
      <c r="BI261" s="11">
        <v>44443</v>
      </c>
      <c r="BJ261" s="726">
        <v>6.3126068431635391E-6</v>
      </c>
      <c r="BK261" s="726">
        <v>2.8419404068000806E-5</v>
      </c>
      <c r="BL261" s="726">
        <v>4.5490585260593352E-5</v>
      </c>
      <c r="BM261" s="726">
        <v>5.8180176487407142E-5</v>
      </c>
      <c r="BN261" s="726">
        <v>7.1232151125093652E-5</v>
      </c>
      <c r="BO261" s="727">
        <v>8.8338609441507521E-5</v>
      </c>
      <c r="BP261" s="726">
        <v>1.3874249482443443E-4</v>
      </c>
      <c r="BQ261" s="726">
        <v>3.0612139916857663E-4</v>
      </c>
      <c r="BR261" s="726">
        <v>8.9268357131338204E-4</v>
      </c>
      <c r="BS261" s="726">
        <v>2.4713622689833186E-3</v>
      </c>
      <c r="BT261" s="726">
        <v>4.957597435237676E-3</v>
      </c>
      <c r="BW261" s="1186">
        <f>'2018'!R\Max</f>
        <v>0.89566868157624735</v>
      </c>
      <c r="BX261" s="1184">
        <f>'2019'!R\Max</f>
        <v>1.0111736097050568</v>
      </c>
      <c r="BY261" s="1184">
        <f>'2020'!R\Max</f>
        <v>0.9704552448498257</v>
      </c>
      <c r="BZ261" s="1184">
        <f>'2021'!R\Max</f>
        <v>0.8064089059857884</v>
      </c>
      <c r="CA261" s="1184">
        <f>'2022'!R\Max</f>
        <v>0.96143366812451825</v>
      </c>
      <c r="CB261" s="1184">
        <f>'2023'!R\Max</f>
        <v>0.96143355607831227</v>
      </c>
      <c r="CC261" s="1184">
        <f>'2024'!R\Max</f>
        <v>0.9614331926546269</v>
      </c>
      <c r="CD261" s="1184">
        <f>'2025'!R\Max</f>
        <v>0.96143388392342666</v>
      </c>
      <c r="CE261" s="1184">
        <f>'2026'!R\Max</f>
        <v>0.96143385490957589</v>
      </c>
      <c r="CF261" s="1185">
        <f>'2027'!R\Max</f>
        <v>0.9614338176332714</v>
      </c>
    </row>
    <row r="262" spans="1:84" s="6" customFormat="1" ht="11.25" x14ac:dyDescent="0.2">
      <c r="A262" s="11">
        <v>43348</v>
      </c>
      <c r="B262" s="380">
        <f>'2022'!Maxi_hp</f>
        <v>52.787883333438941</v>
      </c>
      <c r="C262" s="13">
        <f>'2022'!An_max</f>
        <v>2020</v>
      </c>
      <c r="D262" s="1062">
        <f t="shared" si="97"/>
        <v>1.006415200872719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3">
        <f t="shared" si="100"/>
        <v>0.14285714285714285</v>
      </c>
      <c r="J262" s="746">
        <f t="shared" si="101"/>
        <v>52.451397085083386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5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3">
        <f t="shared" si="105"/>
        <v>0.42857142857142855</v>
      </c>
      <c r="AT262" s="769">
        <f t="shared" si="106"/>
        <v>52.188576093528944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3">
        <f t="shared" si="110"/>
        <v>0.9285714285714286</v>
      </c>
      <c r="AY262" s="769">
        <f t="shared" si="111"/>
        <v>52.437296938403918</v>
      </c>
      <c r="AZ262" s="746">
        <f t="shared" si="115"/>
        <v>52.312936515966427</v>
      </c>
      <c r="BA262" s="643">
        <f t="shared" si="112"/>
        <v>1.006415200872719</v>
      </c>
      <c r="BC262" s="11">
        <v>43348</v>
      </c>
      <c r="BD262" s="290">
        <f>[3]!FeuilCaduc*(1-Persistant)+Persistant</f>
        <v>0.98179361239504859</v>
      </c>
      <c r="BE262" s="291">
        <f>[3]!CroissVégét</f>
        <v>0.97304137466019458</v>
      </c>
      <c r="BF262" s="816">
        <f>1+[3]!Salcycl*Ksac</f>
        <v>1.0477242015493811</v>
      </c>
      <c r="BH262" s="1053">
        <f t="shared" si="113"/>
        <v>4.7956014606560373E-5</v>
      </c>
      <c r="BI262" s="11">
        <v>44444</v>
      </c>
      <c r="BJ262" s="726">
        <v>5.784467252628144E-6</v>
      </c>
      <c r="BK262" s="726">
        <v>2.3780618681963112E-5</v>
      </c>
      <c r="BL262" s="726">
        <v>3.7648434695742546E-5</v>
      </c>
      <c r="BM262" s="726">
        <v>4.7982994931481429E-5</v>
      </c>
      <c r="BN262" s="726">
        <v>5.9047866382658391E-5</v>
      </c>
      <c r="BO262" s="727">
        <v>7.4339329814184285E-5</v>
      </c>
      <c r="BP262" s="726">
        <v>1.2502850151191764E-4</v>
      </c>
      <c r="BQ262" s="726">
        <v>3.0567323163473354E-4</v>
      </c>
      <c r="BR262" s="726">
        <v>9.5091039196630166E-4</v>
      </c>
      <c r="BS262" s="726">
        <v>2.7224579480015325E-3</v>
      </c>
      <c r="BT262" s="726">
        <v>5.5248385719501034E-3</v>
      </c>
      <c r="BW262" s="1186">
        <f>'2018'!R\Max</f>
        <v>0.82565598692124764</v>
      </c>
      <c r="BX262" s="1184">
        <f>'2019'!R\Max</f>
        <v>0.75697562394109408</v>
      </c>
      <c r="BY262" s="1184">
        <f>'2020'!R\Max</f>
        <v>1.006415200872719</v>
      </c>
      <c r="BZ262" s="1184">
        <f>'2021'!R\Max</f>
        <v>0.89189257722106374</v>
      </c>
      <c r="CA262" s="1184">
        <f>'2022'!R\Max</f>
        <v>0.81662131697733531</v>
      </c>
      <c r="CB262" s="1184">
        <f>'2023'!R\Max</f>
        <v>0.81662086027413228</v>
      </c>
      <c r="CC262" s="1184">
        <f>'2024'!R\Max</f>
        <v>0.81661927035605708</v>
      </c>
      <c r="CD262" s="1184">
        <f>'2025'!R\Max</f>
        <v>0.81662214241197295</v>
      </c>
      <c r="CE262" s="1184">
        <f>'2026'!R\Max</f>
        <v>0.81662204271953254</v>
      </c>
      <c r="CF262" s="1185">
        <f>'2027'!R\Max</f>
        <v>0.81662190807475488</v>
      </c>
    </row>
    <row r="263" spans="1:84" s="6" customFormat="1" ht="11.25" x14ac:dyDescent="0.2">
      <c r="A263" s="11">
        <v>43349</v>
      </c>
      <c r="B263" s="380">
        <f>'2022'!Maxi_hp</f>
        <v>54.673871330579189</v>
      </c>
      <c r="C263" s="13">
        <f>'2022'!An_max</f>
        <v>2019</v>
      </c>
      <c r="D263" s="1062">
        <f t="shared" si="97"/>
        <v>1.0473671957278603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3">
        <f t="shared" si="100"/>
        <v>0.21428571428571427</v>
      </c>
      <c r="J263" s="746">
        <f t="shared" si="101"/>
        <v>52.201244753120207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5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3">
        <f t="shared" si="105"/>
        <v>0.39285714285714285</v>
      </c>
      <c r="AT263" s="769">
        <f t="shared" si="106"/>
        <v>51.951099130005716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3">
        <f t="shared" si="110"/>
        <v>0.8928571428571429</v>
      </c>
      <c r="AY263" s="769">
        <f t="shared" si="111"/>
        <v>52.179960331939427</v>
      </c>
      <c r="AZ263" s="746">
        <f t="shared" si="115"/>
        <v>52.065529730972571</v>
      </c>
      <c r="BA263" s="643">
        <f t="shared" si="112"/>
        <v>1.0473671957278603</v>
      </c>
      <c r="BC263" s="11">
        <v>43349</v>
      </c>
      <c r="BD263" s="290">
        <f>[3]!FeuilCaduc*(1-Persistant)+Persistant</f>
        <v>0.98069842376122951</v>
      </c>
      <c r="BE263" s="291">
        <f>[3]!CroissVégét</f>
        <v>0.97411138252345786</v>
      </c>
      <c r="BF263" s="816">
        <f>1+[3]!Salcycl*Ksac</f>
        <v>1.0475873029701537</v>
      </c>
      <c r="BH263" s="1053">
        <f t="shared" si="113"/>
        <v>3.899900187194502E-5</v>
      </c>
      <c r="BI263" s="11">
        <v>44445</v>
      </c>
      <c r="BJ263" s="726">
        <v>5.2768037412598459E-6</v>
      </c>
      <c r="BK263" s="726">
        <v>1.9666895027309575E-5</v>
      </c>
      <c r="BL263" s="726">
        <v>3.0729313954434529E-5</v>
      </c>
      <c r="BM263" s="726">
        <v>3.9020647968210157E-5</v>
      </c>
      <c r="BN263" s="726">
        <v>4.8410879973095401E-5</v>
      </c>
      <c r="BO263" s="727">
        <v>6.2462417770522955E-5</v>
      </c>
      <c r="BP263" s="726">
        <v>1.1570686515971974E-4</v>
      </c>
      <c r="BQ263" s="726">
        <v>3.1653701331673084E-4</v>
      </c>
      <c r="BR263" s="726">
        <v>1.0373574630492763E-3</v>
      </c>
      <c r="BS263" s="726">
        <v>3.0325414344779351E-3</v>
      </c>
      <c r="BT263" s="726">
        <v>6.1926901086108909E-3</v>
      </c>
      <c r="BW263" s="1186">
        <f>'2018'!R\Max</f>
        <v>0.58115350811967337</v>
      </c>
      <c r="BX263" s="1184">
        <f>'2019'!R\Max</f>
        <v>1.0473671957278603</v>
      </c>
      <c r="BY263" s="1184">
        <f>'2020'!R\Max</f>
        <v>0.89796541528146201</v>
      </c>
      <c r="BZ263" s="1184">
        <f>'2021'!R\Max</f>
        <v>0.95652112238032605</v>
      </c>
      <c r="CA263" s="1184">
        <f>'2022'!R\Max</f>
        <v>0.93065887666084257</v>
      </c>
      <c r="CB263" s="1184">
        <f>'2023'!R\Max</f>
        <v>0.93065866917108475</v>
      </c>
      <c r="CC263" s="1184">
        <f>'2024'!R\Max</f>
        <v>0.93065790443603158</v>
      </c>
      <c r="CD263" s="1184">
        <f>'2025'!R\Max</f>
        <v>0.93065922676951118</v>
      </c>
      <c r="CE263" s="1184">
        <f>'2026'!R\Max</f>
        <v>0.93065919017676835</v>
      </c>
      <c r="CF263" s="1185">
        <f>'2027'!R\Max</f>
        <v>0.93065913689226465</v>
      </c>
    </row>
    <row r="264" spans="1:84" s="6" customFormat="1" ht="11.25" x14ac:dyDescent="0.2">
      <c r="A264" s="11">
        <v>43350</v>
      </c>
      <c r="B264" s="380">
        <f>'2022'!Maxi_hp</f>
        <v>50.140065797662274</v>
      </c>
      <c r="C264" s="13">
        <f>'2022'!An_max</f>
        <v>2019</v>
      </c>
      <c r="D264" s="1062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3">
        <f t="shared" si="100"/>
        <v>0.2857142857142857</v>
      </c>
      <c r="J264" s="746">
        <f t="shared" si="101"/>
        <v>51.944364431713304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5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3">
        <f t="shared" si="105"/>
        <v>0.35714285714285715</v>
      </c>
      <c r="AT264" s="769">
        <f t="shared" si="106"/>
        <v>51.710226858886223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3">
        <f t="shared" si="110"/>
        <v>0.8571428571428571</v>
      </c>
      <c r="AY264" s="769">
        <f t="shared" si="111"/>
        <v>51.915734693487842</v>
      </c>
      <c r="AZ264" s="746">
        <f t="shared" si="115"/>
        <v>51.812980776187032</v>
      </c>
      <c r="BA264" s="643">
        <f t="shared" si="112"/>
        <v>0.96526478562610996</v>
      </c>
      <c r="BC264" s="11">
        <v>43350</v>
      </c>
      <c r="BD264" s="290">
        <f>[3]!FeuilCaduc*(1-Persistant)+Persistant</f>
        <v>0.97955403039187494</v>
      </c>
      <c r="BE264" s="291">
        <f>[3]!CroissVégét</f>
        <v>0.97514052098953308</v>
      </c>
      <c r="BF264" s="816">
        <f>1+[3]!Salcycl*Ksac</f>
        <v>1.0474442537989843</v>
      </c>
      <c r="BH264" s="1053">
        <f t="shared" si="113"/>
        <v>3.1276352332430284E-5</v>
      </c>
      <c r="BI264" s="11">
        <v>44446</v>
      </c>
      <c r="BJ264" s="726">
        <v>4.7896133473176993E-6</v>
      </c>
      <c r="BK264" s="726">
        <v>1.6078371460777777E-5</v>
      </c>
      <c r="BL264" s="726">
        <v>2.4733473819688304E-5</v>
      </c>
      <c r="BM264" s="726">
        <v>3.1293478465792343E-5</v>
      </c>
      <c r="BN264" s="726">
        <v>3.9321637015946562E-5</v>
      </c>
      <c r="BO264" s="727">
        <v>5.2708554434293985E-5</v>
      </c>
      <c r="BP264" s="726">
        <v>1.1077939367708605E-4</v>
      </c>
      <c r="BQ264" s="726">
        <v>3.3871831880597045E-4</v>
      </c>
      <c r="BR264" s="726">
        <v>1.1520402912661824E-3</v>
      </c>
      <c r="BS264" s="726">
        <v>3.4016486835947296E-3</v>
      </c>
      <c r="BT264" s="726">
        <v>6.9612171907593307E-3</v>
      </c>
      <c r="BW264" s="1186">
        <f>'2018'!R\Max</f>
        <v>0.67979218011921161</v>
      </c>
      <c r="BX264" s="1184">
        <f>'2019'!R\Max</f>
        <v>0.96526478562610996</v>
      </c>
      <c r="BY264" s="1184">
        <f>'2020'!R\Max</f>
        <v>0.56580001933812163</v>
      </c>
      <c r="BZ264" s="1184">
        <f>'2021'!R\Max</f>
        <v>0.75839597686832072</v>
      </c>
      <c r="CA264" s="1184">
        <f>'2022'!R\Max</f>
        <v>0.72775072813323394</v>
      </c>
      <c r="CB264" s="1184">
        <f>'2023'!R\Max</f>
        <v>0.72775003073065936</v>
      </c>
      <c r="CC264" s="1184">
        <f>'2024'!R\Max</f>
        <v>0.72774735464292706</v>
      </c>
      <c r="CD264" s="1184">
        <f>'2025'!R\Max</f>
        <v>0.72775183022648038</v>
      </c>
      <c r="CE264" s="1184">
        <f>'2026'!R\Max</f>
        <v>0.72775173381277936</v>
      </c>
      <c r="CF264" s="1185">
        <f>'2027'!R\Max</f>
        <v>0.72775157819543213</v>
      </c>
    </row>
    <row r="265" spans="1:84" s="6" customFormat="1" ht="11.25" x14ac:dyDescent="0.2">
      <c r="A265" s="11">
        <v>43351</v>
      </c>
      <c r="B265" s="380">
        <f>'2022'!Maxi_hp</f>
        <v>49.195092920557293</v>
      </c>
      <c r="C265" s="13">
        <f>'2022'!An_max</f>
        <v>2018</v>
      </c>
      <c r="D265" s="1062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3">
        <f t="shared" si="100"/>
        <v>0.35714285714285715</v>
      </c>
      <c r="J265" s="746">
        <f t="shared" si="101"/>
        <v>51.681185569188429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5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3">
        <f t="shared" si="105"/>
        <v>0.32142857142857145</v>
      </c>
      <c r="AT265" s="769">
        <f t="shared" si="106"/>
        <v>51.465892178432213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3">
        <f t="shared" si="110"/>
        <v>0.8214285714285714</v>
      </c>
      <c r="AY265" s="769">
        <f t="shared" si="111"/>
        <v>51.644995790872983</v>
      </c>
      <c r="AZ265" s="746">
        <f t="shared" si="115"/>
        <v>51.555443984652598</v>
      </c>
      <c r="BA265" s="643">
        <f t="shared" si="112"/>
        <v>0.95189559563600046</v>
      </c>
      <c r="BC265" s="11">
        <v>43351</v>
      </c>
      <c r="BD265" s="290">
        <f>[3]!FeuilCaduc*(1-Persistant)+Persistant</f>
        <v>0.97835850865339413</v>
      </c>
      <c r="BE265" s="291">
        <f>[3]!CroissVégét</f>
        <v>0.97613026748322473</v>
      </c>
      <c r="BF265" s="816">
        <f>1+[3]!Salcycl*Ksac</f>
        <v>1.0472948135816742</v>
      </c>
      <c r="BH265" s="1053">
        <f t="shared" si="113"/>
        <v>2.4788468855757919E-5</v>
      </c>
      <c r="BI265" s="11">
        <v>44447</v>
      </c>
      <c r="BJ265" s="726">
        <v>4.322893858299732E-6</v>
      </c>
      <c r="BK265" s="726">
        <v>1.301521176002533E-5</v>
      </c>
      <c r="BL265" s="726">
        <v>1.9661209980930637E-5</v>
      </c>
      <c r="BM265" s="726">
        <v>2.4801889572511426E-5</v>
      </c>
      <c r="BN265" s="726">
        <v>3.1780658573516099E-5</v>
      </c>
      <c r="BO265" s="727">
        <v>4.5078526970388168E-5</v>
      </c>
      <c r="BP265" s="726">
        <v>1.1024812496107771E-4</v>
      </c>
      <c r="BQ265" s="726">
        <v>3.722233390329375E-4</v>
      </c>
      <c r="BR265" s="726">
        <v>1.2949759616969793E-3</v>
      </c>
      <c r="BS265" s="726">
        <v>3.8298190384709252E-3</v>
      </c>
      <c r="BT265" s="726">
        <v>7.8304908376735406E-3</v>
      </c>
      <c r="BW265" s="1186">
        <f>'2018'!R\Max</f>
        <v>0.95189559563600046</v>
      </c>
      <c r="BX265" s="1184">
        <f>'2019'!R\Max</f>
        <v>0.91812348098638963</v>
      </c>
      <c r="BY265" s="1184">
        <f>'2020'!R\Max</f>
        <v>0.89100601649988731</v>
      </c>
      <c r="BZ265" s="1184">
        <f>'2021'!R\Max</f>
        <v>0.60112622759870138</v>
      </c>
      <c r="CA265" s="1184">
        <f>'2022'!R\Max</f>
        <v>0.80106581432484503</v>
      </c>
      <c r="CB265" s="1184">
        <f>'2023'!R\Max</f>
        <v>0.80106518238667102</v>
      </c>
      <c r="CC265" s="1184">
        <f>'2024'!R\Max</f>
        <v>0.80106269755322823</v>
      </c>
      <c r="CD265" s="1184">
        <f>'2025'!R\Max</f>
        <v>0.80106675879104561</v>
      </c>
      <c r="CE265" s="1184">
        <f>'2026'!R\Max</f>
        <v>0.80106669111966722</v>
      </c>
      <c r="CF265" s="1185">
        <f>'2027'!R\Max</f>
        <v>0.80106656701832624</v>
      </c>
    </row>
    <row r="266" spans="1:84" s="6" customFormat="1" ht="11.25" x14ac:dyDescent="0.2">
      <c r="A266" s="11">
        <v>43352</v>
      </c>
      <c r="B266" s="380">
        <f>'2022'!Maxi_hp</f>
        <v>49.204296027158733</v>
      </c>
      <c r="C266" s="13">
        <f>'2022'!An_max</f>
        <v>2020</v>
      </c>
      <c r="D266" s="1062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3">
        <f t="shared" si="100"/>
        <v>0.42857142857142855</v>
      </c>
      <c r="J266" s="746">
        <f t="shared" si="101"/>
        <v>51.412137609400915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5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3">
        <f t="shared" si="105"/>
        <v>0.2857142857142857</v>
      </c>
      <c r="AT266" s="769">
        <f t="shared" si="106"/>
        <v>51.218027988555171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3">
        <f t="shared" si="110"/>
        <v>0.7857142857142857</v>
      </c>
      <c r="AY266" s="769">
        <f t="shared" si="111"/>
        <v>51.368119387022617</v>
      </c>
      <c r="AZ266" s="746">
        <f t="shared" si="115"/>
        <v>51.29307368778889</v>
      </c>
      <c r="BA266" s="643">
        <f t="shared" si="112"/>
        <v>0.95705602441555615</v>
      </c>
      <c r="BC266" s="11">
        <v>43352</v>
      </c>
      <c r="BD266" s="290">
        <f>[3]!FeuilCaduc*(1-Persistant)+Persistant</f>
        <v>0.97710985527977512</v>
      </c>
      <c r="BE266" s="291">
        <f>[3]!CroissVégét</f>
        <v>0.97708205248193514</v>
      </c>
      <c r="BF266" s="816">
        <f>1+[3]!Salcycl*Ksac</f>
        <v>1.0471387319099719</v>
      </c>
      <c r="BH266" s="1053">
        <f t="shared" si="113"/>
        <v>1.9535816730627358E-5</v>
      </c>
      <c r="BI266" s="11">
        <v>44448</v>
      </c>
      <c r="BJ266" s="726">
        <v>3.8766438473653242E-6</v>
      </c>
      <c r="BK266" s="726">
        <v>1.0477606051811343E-5</v>
      </c>
      <c r="BL266" s="726">
        <v>1.5512864665487586E-5</v>
      </c>
      <c r="BM266" s="726">
        <v>1.9546346899182772E-5</v>
      </c>
      <c r="BN266" s="726">
        <v>2.5788544385263448E-5</v>
      </c>
      <c r="BO266" s="727">
        <v>3.9573232334067724E-5</v>
      </c>
      <c r="BP266" s="726">
        <v>1.141153346480409E-4</v>
      </c>
      <c r="BQ266" s="726">
        <v>4.1705890121282116E-4</v>
      </c>
      <c r="BR266" s="726">
        <v>1.4661831875296678E-3</v>
      </c>
      <c r="BS266" s="726">
        <v>4.317095334060223E-3</v>
      </c>
      <c r="BT266" s="726">
        <v>8.8005881195219824E-3</v>
      </c>
      <c r="BW266" s="1186">
        <f>'2018'!R\Max</f>
        <v>0.68388469127881668</v>
      </c>
      <c r="BX266" s="1184">
        <f>'2019'!R\Max</f>
        <v>0.82295361283907742</v>
      </c>
      <c r="BY266" s="1184">
        <f>'2020'!R\Max</f>
        <v>0.95705602441555615</v>
      </c>
      <c r="BZ266" s="1184">
        <f>'2021'!R\Max</f>
        <v>0.36549630922836751</v>
      </c>
      <c r="CA266" s="1184">
        <f>'2022'!R\Max</f>
        <v>0.44832824841270724</v>
      </c>
      <c r="CB266" s="1184">
        <f>'2023'!R\Max</f>
        <v>0.44832712214374015</v>
      </c>
      <c r="CC266" s="1184">
        <f>'2024'!R\Max</f>
        <v>0.44832264201441907</v>
      </c>
      <c r="CD266" s="1184">
        <f>'2025'!R\Max</f>
        <v>0.44832986121820845</v>
      </c>
      <c r="CE266" s="1184">
        <f>'2026'!R\Max</f>
        <v>0.44832976690405374</v>
      </c>
      <c r="CF266" s="1185">
        <f>'2027'!R\Max</f>
        <v>0.44832956753151909</v>
      </c>
    </row>
    <row r="267" spans="1:84" s="6" customFormat="1" ht="11.25" x14ac:dyDescent="0.2">
      <c r="A267" s="11">
        <v>43353</v>
      </c>
      <c r="B267" s="380">
        <f>'2022'!Maxi_hp</f>
        <v>48.698139717979124</v>
      </c>
      <c r="C267" s="13">
        <f>'2022'!An_max</f>
        <v>2022</v>
      </c>
      <c r="D267" s="1062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3">
        <f t="shared" si="100"/>
        <v>0.5</v>
      </c>
      <c r="J267" s="746">
        <f t="shared" si="101"/>
        <v>51.137650001049039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5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3">
        <f t="shared" si="105"/>
        <v>0.25</v>
      </c>
      <c r="AT267" s="769">
        <f t="shared" si="106"/>
        <v>50.966567187570035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3">
        <f t="shared" si="110"/>
        <v>0.75</v>
      </c>
      <c r="AY267" s="769">
        <f t="shared" si="111"/>
        <v>51.085481249541047</v>
      </c>
      <c r="AZ267" s="746">
        <f t="shared" si="115"/>
        <v>51.026024218555541</v>
      </c>
      <c r="BA267" s="643">
        <f t="shared" si="112"/>
        <v>0.95229522117226995</v>
      </c>
      <c r="BC267" s="11">
        <v>43353</v>
      </c>
      <c r="BD267" s="290">
        <f>[3]!FeuilCaduc*(1-Persistant)+Persistant</f>
        <v>0.97580598557900677</v>
      </c>
      <c r="BE267" s="291">
        <f>[3]!CroissVégét</f>
        <v>0.97799726049726488</v>
      </c>
      <c r="BF267" s="816">
        <f>1+[3]!Salcycl*Ksac</f>
        <v>1.0469757481973758</v>
      </c>
      <c r="BH267" s="1053">
        <f t="shared" si="113"/>
        <v>1.551892584614157E-5</v>
      </c>
      <c r="BI267" s="11">
        <v>44449</v>
      </c>
      <c r="BJ267" s="726">
        <v>3.4508627095375618E-6</v>
      </c>
      <c r="BK267" s="726">
        <v>8.4657717393846584E-6</v>
      </c>
      <c r="BL267" s="726">
        <v>1.2288828268842697E-5</v>
      </c>
      <c r="BM267" s="726">
        <v>1.5527380700037079E-5</v>
      </c>
      <c r="BN267" s="726">
        <v>2.1345975600250528E-5</v>
      </c>
      <c r="BO267" s="727">
        <v>3.6193681017688257E-5</v>
      </c>
      <c r="BP267" s="726">
        <v>1.2238354386025918E-4</v>
      </c>
      <c r="BQ267" s="726">
        <v>4.7323248877756147E-4</v>
      </c>
      <c r="BR267" s="726">
        <v>1.6656823597471634E-3</v>
      </c>
      <c r="BS267" s="726">
        <v>4.8635240009163357E-3</v>
      </c>
      <c r="BT267" s="726">
        <v>9.8715923342437336E-3</v>
      </c>
      <c r="BW267" s="1186">
        <f>'2018'!R\Max</f>
        <v>0.78117618315050574</v>
      </c>
      <c r="BX267" s="1184">
        <f>'2019'!R\Max</f>
        <v>0.27863063763539048</v>
      </c>
      <c r="BY267" s="1184">
        <f>'2020'!R\Max</f>
        <v>0.49765401580947138</v>
      </c>
      <c r="BZ267" s="1184">
        <f>'2021'!R\Max</f>
        <v>0.81462992756734409</v>
      </c>
      <c r="CA267" s="1184">
        <f>'2022'!R\Max</f>
        <v>0.95229522117226995</v>
      </c>
      <c r="CB267" s="1184">
        <f>'2023'!R\Max</f>
        <v>0.95229498101284515</v>
      </c>
      <c r="CC267" s="1184">
        <f>'2024'!R\Max</f>
        <v>0.95229402346780745</v>
      </c>
      <c r="CD267" s="1184">
        <f>'2025'!R\Max</f>
        <v>0.95229555499858376</v>
      </c>
      <c r="CE267" s="1184">
        <f>'2026'!R\Max</f>
        <v>0.95229553878585904</v>
      </c>
      <c r="CF267" s="1185">
        <f>'2027'!R\Max</f>
        <v>0.95229549935695279</v>
      </c>
    </row>
    <row r="268" spans="1:84" s="6" customFormat="1" ht="11.25" x14ac:dyDescent="0.2">
      <c r="A268" s="11">
        <v>43354</v>
      </c>
      <c r="B268" s="380">
        <f>'2022'!Maxi_hp</f>
        <v>49.275686572099694</v>
      </c>
      <c r="C268" s="13">
        <f>'2022'!An_max</f>
        <v>2022</v>
      </c>
      <c r="D268" s="1062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3">
        <f t="shared" si="100"/>
        <v>0.5714285714285714</v>
      </c>
      <c r="J268" s="746">
        <f t="shared" si="101"/>
        <v>50.858152187189887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5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3">
        <f t="shared" si="105"/>
        <v>0.21428571428571427</v>
      </c>
      <c r="AT268" s="769">
        <f t="shared" si="106"/>
        <v>50.711442675122193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3">
        <f t="shared" si="110"/>
        <v>0.7142857142857143</v>
      </c>
      <c r="AY268" s="769">
        <f t="shared" si="111"/>
        <v>50.797457142174245</v>
      </c>
      <c r="AZ268" s="746">
        <f t="shared" si="115"/>
        <v>50.754449908648219</v>
      </c>
      <c r="BA268" s="643">
        <f t="shared" si="112"/>
        <v>0.96888472059964492</v>
      </c>
      <c r="BC268" s="11">
        <v>43354</v>
      </c>
      <c r="BD268" s="290">
        <f>[3]!FeuilCaduc*(1-Persistant)+Persistant</f>
        <v>0.97444473245570595</v>
      </c>
      <c r="BE268" s="291">
        <f>[3]!CroissVégét</f>
        <v>0.97887723107993829</v>
      </c>
      <c r="BF268" s="816">
        <f>1+[3]!Salcycl*Ksac</f>
        <v>1.0468055915569632</v>
      </c>
      <c r="BH268" s="1053">
        <f t="shared" si="113"/>
        <v>1.2764479696562495E-5</v>
      </c>
      <c r="BI268" s="11">
        <v>44450</v>
      </c>
      <c r="BJ268" s="726">
        <v>3.0523653462772746E-6</v>
      </c>
      <c r="BK268" s="726">
        <v>6.9907455650007893E-6</v>
      </c>
      <c r="BL268" s="726">
        <v>1.0004592401358614E-5</v>
      </c>
      <c r="BM268" s="726">
        <v>1.2771703764347014E-5</v>
      </c>
      <c r="BN268" s="726">
        <v>1.8554087803202696E-5</v>
      </c>
      <c r="BO268" s="727">
        <v>3.5418236141320913E-5</v>
      </c>
      <c r="BP268" s="726">
        <v>1.3693147259579938E-4</v>
      </c>
      <c r="BQ268" s="726">
        <v>5.5530811806558608E-4</v>
      </c>
      <c r="BR268" s="726">
        <v>1.9169062943367658E-3</v>
      </c>
      <c r="BS268" s="726">
        <v>5.4830081824405567E-3</v>
      </c>
      <c r="BT268" s="726">
        <v>1.1019160094509773E-2</v>
      </c>
      <c r="BW268" s="1186">
        <f>'2018'!R\Max</f>
        <v>0.91732555342959032</v>
      </c>
      <c r="BX268" s="1184">
        <f>'2019'!R\Max</f>
        <v>0.90830189007405182</v>
      </c>
      <c r="BY268" s="1184">
        <f>'2020'!R\Max</f>
        <v>0.83180307593157743</v>
      </c>
      <c r="BZ268" s="1184">
        <f>'2021'!R\Max</f>
        <v>0.82795953291395807</v>
      </c>
      <c r="CA268" s="1184">
        <f>'2022'!R\Max</f>
        <v>0.96888472059964492</v>
      </c>
      <c r="CB268" s="1184">
        <f>'2023'!R\Max</f>
        <v>0.96888453212501868</v>
      </c>
      <c r="CC268" s="1184">
        <f>'2024'!R\Max</f>
        <v>0.96888377082850918</v>
      </c>
      <c r="CD268" s="1184">
        <f>'2025'!R\Max</f>
        <v>0.96888497828333986</v>
      </c>
      <c r="CE268" s="1184">
        <f>'2026'!R\Max</f>
        <v>0.96888496754763753</v>
      </c>
      <c r="CF268" s="1185">
        <f>'2027'!R\Max</f>
        <v>0.96888493780752705</v>
      </c>
    </row>
    <row r="269" spans="1:84" s="6" customFormat="1" ht="11.25" x14ac:dyDescent="0.2">
      <c r="A269" s="11">
        <v>43355</v>
      </c>
      <c r="B269" s="380">
        <f>'2022'!Maxi_hp</f>
        <v>50.761032411385656</v>
      </c>
      <c r="C269" s="13">
        <f>'2022'!An_max</f>
        <v>2019</v>
      </c>
      <c r="D269" s="1062">
        <f t="shared" si="97"/>
        <v>1.003696731989391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3">
        <f t="shared" si="100"/>
        <v>0.6428571428571429</v>
      </c>
      <c r="J269" s="746">
        <f t="shared" si="101"/>
        <v>50.574073615616989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5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3">
        <f t="shared" si="105"/>
        <v>0.17857142857142858</v>
      </c>
      <c r="AT269" s="769">
        <f t="shared" si="106"/>
        <v>50.452587349353628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3">
        <f t="shared" si="110"/>
        <v>0.6785714285714286</v>
      </c>
      <c r="AY269" s="769">
        <f t="shared" si="111"/>
        <v>50.504422831648426</v>
      </c>
      <c r="AZ269" s="746">
        <f t="shared" si="115"/>
        <v>50.478505090501031</v>
      </c>
      <c r="BA269" s="643">
        <f t="shared" si="112"/>
        <v>1.003696731989391</v>
      </c>
      <c r="BC269" s="11">
        <v>43355</v>
      </c>
      <c r="BD269" s="290">
        <f>[3]!FeuilCaduc*(1-Persistant)+Persistant</f>
        <v>0.9730238463676989</v>
      </c>
      <c r="BE269" s="291">
        <f>[3]!CroissVégét</f>
        <v>0.97972325984311226</v>
      </c>
      <c r="BF269" s="816">
        <f>1+[3]!Salcycl*Ksac</f>
        <v>1.0466279807959624</v>
      </c>
      <c r="BH269" s="1053">
        <f t="shared" si="113"/>
        <v>1.0366973395598764E-5</v>
      </c>
      <c r="BI269" s="11">
        <v>44451</v>
      </c>
      <c r="BJ269" s="726">
        <v>2.7037962606185266E-6</v>
      </c>
      <c r="BK269" s="726">
        <v>5.6969809494801983E-6</v>
      </c>
      <c r="BL269" s="726">
        <v>7.9993874867895784E-6</v>
      </c>
      <c r="BM269" s="726">
        <v>1.0373170605579271E-5</v>
      </c>
      <c r="BN269" s="726">
        <v>1.6300614013745847E-5</v>
      </c>
      <c r="BO269" s="727">
        <v>3.5850590542988449E-5</v>
      </c>
      <c r="BP269" s="726">
        <v>1.5549783225493185E-4</v>
      </c>
      <c r="BQ269" s="726">
        <v>6.5860398533661233E-4</v>
      </c>
      <c r="BR269" s="726">
        <v>2.2095306892306581E-3</v>
      </c>
      <c r="BS269" s="726">
        <v>6.1494982807745891E-3</v>
      </c>
      <c r="BT269" s="726">
        <v>1.2192428482840115E-2</v>
      </c>
      <c r="BW269" s="1186">
        <f>'2018'!R\Max</f>
        <v>0.57724190487199933</v>
      </c>
      <c r="BX269" s="1184">
        <f>'2019'!R\Max</f>
        <v>1.003696731989391</v>
      </c>
      <c r="BY269" s="1184">
        <f>'2020'!R\Max</f>
        <v>0.93796806317939219</v>
      </c>
      <c r="BZ269" s="1184">
        <f>'2021'!R\Max</f>
        <v>0.94382996911415118</v>
      </c>
      <c r="CA269" s="1184">
        <f>'2022'!R\Max</f>
        <v>0.68243600834097673</v>
      </c>
      <c r="CB269" s="1184">
        <f>'2023'!R\Max</f>
        <v>0.68243440480442219</v>
      </c>
      <c r="CC269" s="1184">
        <f>'2024'!R\Max</f>
        <v>0.68242779302184009</v>
      </c>
      <c r="CD269" s="1184">
        <f>'2025'!R\Max</f>
        <v>0.68243818043726023</v>
      </c>
      <c r="CE269" s="1184">
        <f>'2026'!R\Max</f>
        <v>0.68243810099728652</v>
      </c>
      <c r="CF269" s="1185">
        <f>'2027'!R\Max</f>
        <v>0.68243785276649749</v>
      </c>
    </row>
    <row r="270" spans="1:84" s="6" customFormat="1" ht="11.25" x14ac:dyDescent="0.2">
      <c r="A270" s="11">
        <v>43356</v>
      </c>
      <c r="B270" s="380">
        <f>'2022'!Maxi_hp</f>
        <v>48.245201516580117</v>
      </c>
      <c r="C270" s="13">
        <f>'2022'!An_max</f>
        <v>2020</v>
      </c>
      <c r="D270" s="1062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3">
        <f t="shared" si="100"/>
        <v>0.7142857142857143</v>
      </c>
      <c r="J270" s="746">
        <f t="shared" si="101"/>
        <v>50.285843731995143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5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3">
        <f t="shared" si="105"/>
        <v>0.14285714285714285</v>
      </c>
      <c r="AT270" s="769">
        <f t="shared" si="106"/>
        <v>50.189934110960792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3">
        <f t="shared" si="110"/>
        <v>0.6428571428571429</v>
      </c>
      <c r="AY270" s="769">
        <f t="shared" si="111"/>
        <v>50.206754081656356</v>
      </c>
      <c r="AZ270" s="746">
        <f t="shared" si="115"/>
        <v>50.198344096308574</v>
      </c>
      <c r="BA270" s="643">
        <f t="shared" si="112"/>
        <v>0.95941915131640443</v>
      </c>
      <c r="BC270" s="11">
        <v>43356</v>
      </c>
      <c r="BD270" s="290">
        <f>[3]!FeuilCaduc*(1-Persistant)+Persistant</f>
        <v>0.97154099632593671</v>
      </c>
      <c r="BE270" s="291">
        <f>[3]!CroissVégét</f>
        <v>0.98053659949953242</v>
      </c>
      <c r="BF270" s="816">
        <f>1+[3]!Salcycl*Ksac</f>
        <v>1.0464426245407421</v>
      </c>
      <c r="BH270" s="1053">
        <f t="shared" si="113"/>
        <v>8.3265635534291436E-6</v>
      </c>
      <c r="BI270" s="11">
        <v>44452</v>
      </c>
      <c r="BJ270" s="726">
        <v>2.4051771775848758E-6</v>
      </c>
      <c r="BK270" s="726">
        <v>4.5845552609243019E-6</v>
      </c>
      <c r="BL270" s="726">
        <v>6.2733320997647448E-6</v>
      </c>
      <c r="BM270" s="726">
        <v>8.3319379334715298E-6</v>
      </c>
      <c r="BN270" s="726">
        <v>1.4585830476946554E-5</v>
      </c>
      <c r="BO270" s="727">
        <v>3.7491524448208505E-5</v>
      </c>
      <c r="BP270" s="726">
        <v>1.7808572608119495E-4</v>
      </c>
      <c r="BQ270" s="726">
        <v>7.8313660511557769E-4</v>
      </c>
      <c r="BR270" s="726">
        <v>2.5435905824826343E-3</v>
      </c>
      <c r="BS270" s="726">
        <v>6.863044459844452E-3</v>
      </c>
      <c r="BT270" s="726">
        <v>1.3391450053465417E-2</v>
      </c>
      <c r="BW270" s="1186">
        <f>'2018'!R\Max</f>
        <v>0.48789276286937777</v>
      </c>
      <c r="BX270" s="1184">
        <f>'2019'!R\Max</f>
        <v>0.81692908838134948</v>
      </c>
      <c r="BY270" s="1184">
        <f>'2020'!R\Max</f>
        <v>0.95941915131640443</v>
      </c>
      <c r="BZ270" s="1184">
        <f>'2021'!R\Max</f>
        <v>0.70733589969730093</v>
      </c>
      <c r="CA270" s="1184">
        <f>'2022'!R\Max</f>
        <v>0.24339028089962139</v>
      </c>
      <c r="CB270" s="1184">
        <f>'2023'!R\Max</f>
        <v>0.24338879334756539</v>
      </c>
      <c r="CC270" s="1184">
        <f>'2024'!R\Max</f>
        <v>0.24338251293677546</v>
      </c>
      <c r="CD270" s="1184">
        <f>'2025'!R\Max</f>
        <v>0.24339228754631032</v>
      </c>
      <c r="CE270" s="1184">
        <f>'2026'!R\Max</f>
        <v>0.24339222137721803</v>
      </c>
      <c r="CF270" s="1185">
        <f>'2027'!R\Max</f>
        <v>0.24339199217840829</v>
      </c>
    </row>
    <row r="271" spans="1:84" s="6" customFormat="1" ht="11.25" x14ac:dyDescent="0.2">
      <c r="A271" s="11">
        <v>43357</v>
      </c>
      <c r="B271" s="380">
        <f>'2022'!Maxi_hp</f>
        <v>47.954871485084247</v>
      </c>
      <c r="C271" s="13">
        <f>'2022'!An_max</f>
        <v>2020</v>
      </c>
      <c r="D271" s="1062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3">
        <f t="shared" ref="I271:I334" si="119">($A271-H271)/(INDEX(x.2m,G271)-H271)</f>
        <v>0.7857142857142857</v>
      </c>
      <c r="J271" s="746">
        <f t="shared" ref="J271:J334" si="120">((1-I271)*(INDEX(a.m,F271)*$A271*$A271+INDEX(b.m,F271)*$A271+INDEX(c.m,F271))+I271*(INDEX(a.m,G271)*$A271*$A271+INDEX(b.m,G271)*$A271+INDEX(c.m,G271)))/10</f>
        <v>49.993891982627765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5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3">
        <f t="shared" ref="AS271:AS334" si="124">($A271-AR271)/(INDEX(x.2lg,AQ271)-AR271)</f>
        <v>0.10714285714285714</v>
      </c>
      <c r="AT271" s="769">
        <f t="shared" ref="AT271:AT334" si="125">((1-AS271)*(INDEX(a.lg,AP271)*$A271*$A271+INDEX(b.lg,AP271)*$A271+INDEX(c.lg,AP271))+AS271*(INDEX(a.lg,AQ271)*$A271*$A271+INDEX(b.lg,AQ271)*$A271+INDEX(c.lg,AQ271)))/10</f>
        <v>49.923415857646617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3">
        <f t="shared" ref="AX271:AX334" si="129">($A271-AW271)/(INDEX(x.2ld,AV271)-AW271)</f>
        <v>0.6071428571428571</v>
      </c>
      <c r="AY271" s="769">
        <f t="shared" ref="AY271:AY334" si="130">((1-AX271)*(INDEX(a.ld,AU271)*$A271*$A271+INDEX(b.ld,AU271)*$A271+INDEX(c.ld,AU271))+AX271*(INDEX(a.ld,AV271)*$A271*$A271+INDEX(b.ld,AV271)*$A271+INDEX(c.ld,AV271)))/10</f>
        <v>49.904826657859878</v>
      </c>
      <c r="AZ271" s="746">
        <f t="shared" si="115"/>
        <v>49.914121257753251</v>
      </c>
      <c r="BA271" s="643">
        <f t="shared" ref="BA271:BA334" si="131">+B271/J271</f>
        <v>0.95921460769143452</v>
      </c>
      <c r="BC271" s="11">
        <v>43357</v>
      </c>
      <c r="BD271" s="290">
        <f>[3]!FeuilCaduc*(1-Persistant)+Persistant</f>
        <v>0.96999377203723292</v>
      </c>
      <c r="BE271" s="291">
        <f>[3]!CroissVégét</f>
        <v>0.98131846090840358</v>
      </c>
      <c r="BF271" s="816">
        <f>1+[3]!Salcycl*Ksac</f>
        <v>1.0462492215046542</v>
      </c>
      <c r="BH271" s="1053">
        <f t="shared" ref="BH271:BH334" si="132">INDEX($BJ271:$BT271,,$BH$10)*(1-Ratini)+INDEX($BJ271:$BT271,,$BH$10+1)*Ratini</f>
        <v>6.6434266032986315E-6</v>
      </c>
      <c r="BI271" s="11">
        <v>44453</v>
      </c>
      <c r="BJ271" s="726">
        <v>2.1565325851245854E-6</v>
      </c>
      <c r="BK271" s="726">
        <v>3.6535558818003669E-6</v>
      </c>
      <c r="BL271" s="726">
        <v>4.826560222160176E-6</v>
      </c>
      <c r="BM271" s="726">
        <v>6.6481822923862139E-6</v>
      </c>
      <c r="BN271" s="726">
        <v>1.3410044266222797E-5</v>
      </c>
      <c r="BO271" s="727">
        <v>4.0341890972628838E-5</v>
      </c>
      <c r="BP271" s="726">
        <v>2.0469851145641808E-4</v>
      </c>
      <c r="BQ271" s="726">
        <v>9.2892383765424914E-4</v>
      </c>
      <c r="BR271" s="726">
        <v>2.919123698955855E-3</v>
      </c>
      <c r="BS271" s="726">
        <v>7.6237001589479726E-3</v>
      </c>
      <c r="BT271" s="726">
        <v>1.4616279695379741E-2</v>
      </c>
      <c r="BW271" s="1186">
        <f>'2018'!R\Max</f>
        <v>0.63545524313626045</v>
      </c>
      <c r="BX271" s="1184">
        <f>'2019'!R\Max</f>
        <v>0.83029149982326667</v>
      </c>
      <c r="BY271" s="1184">
        <f>'2020'!R\Max</f>
        <v>0.95921460769143452</v>
      </c>
      <c r="BZ271" s="1184">
        <f>'2021'!R\Max</f>
        <v>0.40732091610965104</v>
      </c>
      <c r="CA271" s="1184">
        <f>'2022'!R\Max</f>
        <v>0.81248155503130148</v>
      </c>
      <c r="CB271" s="1184">
        <f>'2023'!R\Max</f>
        <v>0.81247999337353793</v>
      </c>
      <c r="CC271" s="1184">
        <f>'2024'!R\Max</f>
        <v>0.81247323901467206</v>
      </c>
      <c r="CD271" s="1184">
        <f>'2025'!R\Max</f>
        <v>0.8124836601232488</v>
      </c>
      <c r="CE271" s="1184">
        <f>'2026'!R\Max</f>
        <v>0.81248359587569075</v>
      </c>
      <c r="CF271" s="1185">
        <f>'2027'!R\Max</f>
        <v>0.81248335414213646</v>
      </c>
    </row>
    <row r="272" spans="1:84" s="6" customFormat="1" ht="11.25" x14ac:dyDescent="0.2">
      <c r="A272" s="11">
        <v>43358</v>
      </c>
      <c r="B272" s="380">
        <f>'2022'!Maxi_hp</f>
        <v>48.916978336718785</v>
      </c>
      <c r="C272" s="13">
        <f>'2022'!An_max</f>
        <v>2020</v>
      </c>
      <c r="D272" s="1062">
        <f t="shared" si="116"/>
        <v>0.98427181600959701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3">
        <f t="shared" si="119"/>
        <v>0.8571428571428571</v>
      </c>
      <c r="J272" s="746">
        <f t="shared" si="120"/>
        <v>49.698647813605412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5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3">
        <f t="shared" si="124"/>
        <v>7.1428571428571425E-2</v>
      </c>
      <c r="AT272" s="769">
        <f t="shared" si="125"/>
        <v>49.652965488524309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3">
        <f t="shared" si="129"/>
        <v>0.5714285714285714</v>
      </c>
      <c r="AY272" s="769">
        <f t="shared" si="130"/>
        <v>49.599016326506224</v>
      </c>
      <c r="AZ272" s="746">
        <f t="shared" ref="AZ272:AZ335" si="134">(AY272+AT272)/2</f>
        <v>49.625990907515266</v>
      </c>
      <c r="BA272" s="643">
        <f t="shared" si="131"/>
        <v>0.98427181600959701</v>
      </c>
      <c r="BC272" s="11">
        <v>43358</v>
      </c>
      <c r="BD272" s="290">
        <f>[3]!FeuilCaduc*(1-Persistant)+Persistant</f>
        <v>0.9683796872779693</v>
      </c>
      <c r="BE272" s="291">
        <f>[3]!CroissVégét</f>
        <v>0.98207001412819972</v>
      </c>
      <c r="BF272" s="816">
        <f>1+[3]!Salcycl*Ksac</f>
        <v>1.0460474609097461</v>
      </c>
      <c r="BH272" s="1053">
        <f t="shared" si="132"/>
        <v>5.3177594317553163E-6</v>
      </c>
      <c r="BI272" s="11">
        <v>44454</v>
      </c>
      <c r="BJ272" s="726">
        <v>1.9578898222446977E-6</v>
      </c>
      <c r="BK272" s="726">
        <v>2.904080529032398E-6</v>
      </c>
      <c r="BL272" s="726">
        <v>3.6592217358706942E-6</v>
      </c>
      <c r="BM272" s="726">
        <v>5.3221006919071608E-6</v>
      </c>
      <c r="BN272" s="726">
        <v>1.2773594233014806E-5</v>
      </c>
      <c r="BO272" s="727">
        <v>4.4402618248484931E-5</v>
      </c>
      <c r="BP272" s="726">
        <v>2.3533980696245049E-4</v>
      </c>
      <c r="BQ272" s="726">
        <v>1.0959849262226966E-3</v>
      </c>
      <c r="BR272" s="726">
        <v>3.336170522989517E-3</v>
      </c>
      <c r="BS272" s="726">
        <v>8.4315221749287506E-3</v>
      </c>
      <c r="BT272" s="726">
        <v>1.5866974676466732E-2</v>
      </c>
      <c r="BW272" s="1186">
        <f>'2018'!R\Max</f>
        <v>0.78699858288448288</v>
      </c>
      <c r="BX272" s="1184">
        <f>'2019'!R\Max</f>
        <v>0.87377268963612176</v>
      </c>
      <c r="BY272" s="1184">
        <f>'2020'!R\Max</f>
        <v>0.98427181600959701</v>
      </c>
      <c r="BZ272" s="1184">
        <f>'2021'!R\Max</f>
        <v>0.66337228930109116</v>
      </c>
      <c r="CA272" s="1184">
        <f>'2022'!R\Max</f>
        <v>0.89784282542377059</v>
      </c>
      <c r="CB272" s="1184">
        <f>'2023'!R\Max</f>
        <v>0.89784172856374977</v>
      </c>
      <c r="CC272" s="1184">
        <f>'2024'!R\Max</f>
        <v>0.89783687337452178</v>
      </c>
      <c r="CD272" s="1184">
        <f>'2025'!R\Max</f>
        <v>0.89784430619381472</v>
      </c>
      <c r="CE272" s="1184">
        <f>'2026'!R\Max</f>
        <v>0.89784426338899759</v>
      </c>
      <c r="CF272" s="1185">
        <f>'2027'!R\Max</f>
        <v>0.89784409185353631</v>
      </c>
    </row>
    <row r="273" spans="1:84" s="6" customFormat="1" ht="11.25" x14ac:dyDescent="0.2">
      <c r="A273" s="11">
        <v>43359</v>
      </c>
      <c r="B273" s="380">
        <f>'2022'!Maxi_hp</f>
        <v>46.225866499783969</v>
      </c>
      <c r="C273" s="13">
        <f>'2022'!An_max</f>
        <v>2018</v>
      </c>
      <c r="D273" s="1062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3">
        <f t="shared" si="119"/>
        <v>0.9285714285714286</v>
      </c>
      <c r="J273" s="746">
        <f t="shared" si="120"/>
        <v>49.400540670805746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5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3">
        <f t="shared" si="124"/>
        <v>3.5714285714285712E-2</v>
      </c>
      <c r="AT273" s="769">
        <f t="shared" si="125"/>
        <v>49.378515903159446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3">
        <f t="shared" si="129"/>
        <v>0.5357142857142857</v>
      </c>
      <c r="AY273" s="769">
        <f t="shared" si="130"/>
        <v>49.289698851607476</v>
      </c>
      <c r="AZ273" s="746">
        <f t="shared" si="134"/>
        <v>49.334107377383461</v>
      </c>
      <c r="BA273" s="643">
        <f t="shared" si="131"/>
        <v>0.9357360440207102</v>
      </c>
      <c r="BC273" s="11">
        <v>43359</v>
      </c>
      <c r="BD273" s="290">
        <f>[3]!FeuilCaduc*(1-Persistant)+Persistant</f>
        <v>0.9666961845742561</v>
      </c>
      <c r="BE273" s="291">
        <f>[3]!CroissVégét</f>
        <v>0.98279238947199099</v>
      </c>
      <c r="BF273" s="816">
        <f>1+[3]!Salcycl*Ksac</f>
        <v>1.0458370230717819</v>
      </c>
      <c r="BH273" s="1053">
        <f t="shared" si="132"/>
        <v>4.349780008997968E-6</v>
      </c>
      <c r="BI273" s="11">
        <v>44455</v>
      </c>
      <c r="BJ273" s="726">
        <v>1.8092791671728264E-6</v>
      </c>
      <c r="BK273" s="726">
        <v>2.3362375741533137E-6</v>
      </c>
      <c r="BL273" s="726">
        <v>2.7714829156688346E-6</v>
      </c>
      <c r="BM273" s="726">
        <v>4.353911237547096E-6</v>
      </c>
      <c r="BN273" s="726">
        <v>1.2676851956612349E-5</v>
      </c>
      <c r="BO273" s="727">
        <v>4.9674711551333621E-5</v>
      </c>
      <c r="BP273" s="726">
        <v>2.7001349944394469E-4</v>
      </c>
      <c r="BQ273" s="726">
        <v>1.2843405344047096E-3</v>
      </c>
      <c r="BR273" s="726">
        <v>3.7947743710809814E-3</v>
      </c>
      <c r="BS273" s="726">
        <v>9.286570744398627E-3</v>
      </c>
      <c r="BT273" s="726">
        <v>1.7143594687727432E-2</v>
      </c>
      <c r="BW273" s="1186">
        <f>'2018'!R\Max</f>
        <v>0.9357360440207102</v>
      </c>
      <c r="BX273" s="1184">
        <f>'2019'!R\Max</f>
        <v>0.89460491159702749</v>
      </c>
      <c r="BY273" s="1184">
        <f>'2020'!R\Max</f>
        <v>0.82811411523383494</v>
      </c>
      <c r="BZ273" s="1184">
        <f>'2021'!R\Max</f>
        <v>0.42710455738625575</v>
      </c>
      <c r="CA273" s="1184">
        <f>'2022'!R\Max</f>
        <v>0.60144922669895995</v>
      </c>
      <c r="CB273" s="1184">
        <f>'2023'!R\Max</f>
        <v>0.60144590453200097</v>
      </c>
      <c r="CC273" s="1184">
        <f>'2024'!R\Max</f>
        <v>0.60143087914404281</v>
      </c>
      <c r="CD273" s="1184">
        <f>'2025'!R\Max</f>
        <v>0.60145372455648138</v>
      </c>
      <c r="CE273" s="1184">
        <f>'2026'!R\Max</f>
        <v>0.60145359906893137</v>
      </c>
      <c r="CF273" s="1185">
        <f>'2027'!R\Max</f>
        <v>0.60145307254411684</v>
      </c>
    </row>
    <row r="274" spans="1:84" s="6" customFormat="1" ht="11.25" x14ac:dyDescent="0.2">
      <c r="A274" s="11">
        <v>43360</v>
      </c>
      <c r="B274" s="380">
        <f>'2022'!Maxi_hp</f>
        <v>51.387696842313346</v>
      </c>
      <c r="C274" s="13">
        <f>'2022'!An_max</f>
        <v>2022</v>
      </c>
      <c r="D274" s="1062">
        <f t="shared" si="116"/>
        <v>1.0465926037131028</v>
      </c>
      <c r="E274" s="1057">
        <f>AF$13/10</f>
        <v>49.1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3">
        <f t="shared" si="119"/>
        <v>1</v>
      </c>
      <c r="J274" s="746">
        <f t="shared" si="120"/>
        <v>49.1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5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3">
        <f t="shared" si="124"/>
        <v>0</v>
      </c>
      <c r="AT274" s="769">
        <f t="shared" si="125"/>
        <v>49.1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3">
        <f t="shared" si="129"/>
        <v>0.5</v>
      </c>
      <c r="AY274" s="769">
        <f t="shared" si="130"/>
        <v>48.977249999716875</v>
      </c>
      <c r="AZ274" s="746">
        <f t="shared" si="134"/>
        <v>49.038624999858442</v>
      </c>
      <c r="BA274" s="643">
        <f t="shared" si="131"/>
        <v>1.0465926037131028</v>
      </c>
      <c r="BC274" s="11">
        <v>43360</v>
      </c>
      <c r="BD274" s="290">
        <f>[3]!FeuilCaduc*(1-Persistant)+Persistant</f>
        <v>0.96494064125016266</v>
      </c>
      <c r="BE274" s="291">
        <f>[3]!CroissVégét</f>
        <v>0.98348667856218763</v>
      </c>
      <c r="BF274" s="816">
        <f>1+[3]!Salcycl*Ksac</f>
        <v>1.0456175801562704</v>
      </c>
      <c r="BH274" s="1053">
        <f t="shared" si="132"/>
        <v>3.7397280192448218E-6</v>
      </c>
      <c r="BI274" s="11">
        <v>44456</v>
      </c>
      <c r="BJ274" s="726">
        <v>1.7107339255382021E-6</v>
      </c>
      <c r="BK274" s="726">
        <v>1.9501463634680936E-6</v>
      </c>
      <c r="BL274" s="726">
        <v>2.1635269220690304E-6</v>
      </c>
      <c r="BM274" s="726">
        <v>3.7438537614763325E-6</v>
      </c>
      <c r="BN274" s="726">
        <v>1.3120222694126499E-5</v>
      </c>
      <c r="BO274" s="727">
        <v>5.6159255427517017E-5</v>
      </c>
      <c r="BP274" s="726">
        <v>3.0872375107536879E-4</v>
      </c>
      <c r="BQ274" s="726">
        <v>1.4940127834136953E-3</v>
      </c>
      <c r="BR274" s="726">
        <v>4.2949814646275264E-3</v>
      </c>
      <c r="BS274" s="726">
        <v>1.0188909626103367E-2</v>
      </c>
      <c r="BT274" s="726">
        <v>1.8446201887769378E-2</v>
      </c>
      <c r="BW274" s="1186">
        <f>'2018'!R\Max</f>
        <v>0.89467950299651533</v>
      </c>
      <c r="BX274" s="1184">
        <f>'2019'!R\Max</f>
        <v>0.87830709631212034</v>
      </c>
      <c r="BY274" s="1184">
        <f>'2020'!R\Max</f>
        <v>0.87467421750872887</v>
      </c>
      <c r="BZ274" s="1184">
        <f>'2021'!R\Max</f>
        <v>0.93663082110990759</v>
      </c>
      <c r="CA274" s="1184">
        <f>'2022'!R\Max</f>
        <v>1.0465926037131028</v>
      </c>
      <c r="CB274" s="1184">
        <f>'2023'!R\Max</f>
        <v>1.0465926037131028</v>
      </c>
      <c r="CC274" s="1184">
        <f>'2024'!R\Max</f>
        <v>1.0465926037131028</v>
      </c>
      <c r="CD274" s="1184">
        <f>'2025'!R\Max</f>
        <v>1.0465926037131028</v>
      </c>
      <c r="CE274" s="1184">
        <f>'2026'!R\Max</f>
        <v>1.0465926037131028</v>
      </c>
      <c r="CF274" s="1185">
        <f>'2027'!R\Max</f>
        <v>1.0465926037131026</v>
      </c>
    </row>
    <row r="275" spans="1:84" s="6" customFormat="1" ht="11.25" x14ac:dyDescent="0.2">
      <c r="A275" s="11">
        <v>43361</v>
      </c>
      <c r="B275" s="380">
        <f>'2022'!Maxi_hp</f>
        <v>49.689066419379245</v>
      </c>
      <c r="C275" s="13">
        <f>'2022'!An_max</f>
        <v>2022</v>
      </c>
      <c r="D275" s="1062">
        <f t="shared" si="116"/>
        <v>1.0183329133380272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3">
        <f t="shared" si="119"/>
        <v>0.9285714285714286</v>
      </c>
      <c r="J275" s="746">
        <f t="shared" si="120"/>
        <v>48.794520700015291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5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3">
        <f t="shared" si="124"/>
        <v>3.5714285714285712E-2</v>
      </c>
      <c r="AT275" s="769">
        <f t="shared" si="125"/>
        <v>48.815742493124816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3">
        <f t="shared" si="129"/>
        <v>0.4642857142857143</v>
      </c>
      <c r="AY275" s="769">
        <f t="shared" si="130"/>
        <v>48.662045535405298</v>
      </c>
      <c r="AZ275" s="746">
        <f t="shared" si="134"/>
        <v>48.738894014265057</v>
      </c>
      <c r="BA275" s="643">
        <f t="shared" si="131"/>
        <v>1.0183329133380272</v>
      </c>
      <c r="BC275" s="11">
        <v>43361</v>
      </c>
      <c r="BD275" s="290">
        <f>[3]!FeuilCaduc*(1-Persistant)+Persistant</f>
        <v>0.96311037689069634</v>
      </c>
      <c r="BE275" s="291">
        <f>[3]!CroissVégét</f>
        <v>0.98415393538190332</v>
      </c>
      <c r="BF275" s="816">
        <f>1+[3]!Salcycl*Ksac</f>
        <v>1.0453887971113371</v>
      </c>
      <c r="BH275" s="1053">
        <f t="shared" si="132"/>
        <v>3.4878654909532484E-6</v>
      </c>
      <c r="BI275" s="11">
        <v>44457</v>
      </c>
      <c r="BJ275" s="726">
        <v>1.6622905184947984E-6</v>
      </c>
      <c r="BK275" s="726">
        <v>1.7459375381351323E-6</v>
      </c>
      <c r="BL275" s="726">
        <v>1.8355542940907025E-6</v>
      </c>
      <c r="BM275" s="726">
        <v>3.492190453102246E-6</v>
      </c>
      <c r="BN275" s="726">
        <v>1.4104146330088535E-5</v>
      </c>
      <c r="BO275" s="727">
        <v>6.3857415820297637E-5</v>
      </c>
      <c r="BP275" s="726">
        <v>3.5147500642088543E-4</v>
      </c>
      <c r="BQ275" s="726">
        <v>1.7250252893753874E-3</v>
      </c>
      <c r="BR275" s="726">
        <v>4.8368410025665508E-3</v>
      </c>
      <c r="BS275" s="726">
        <v>1.1138606183030518E-2</v>
      </c>
      <c r="BT275" s="726">
        <v>1.9774860946809292E-2</v>
      </c>
      <c r="BW275" s="1186">
        <f>'2018'!R\Max</f>
        <v>0.86553845179039279</v>
      </c>
      <c r="BX275" s="1184">
        <f>'2019'!R\Max</f>
        <v>0.57878726378843814</v>
      </c>
      <c r="BY275" s="1184">
        <f>'2020'!R\Max</f>
        <v>0.89404523392292523</v>
      </c>
      <c r="BZ275" s="1184">
        <f>'2021'!R\Max</f>
        <v>0.1957449323088587</v>
      </c>
      <c r="CA275" s="1184">
        <f>'2022'!R\Max</f>
        <v>1.0183329133380272</v>
      </c>
      <c r="CB275" s="1184">
        <f>'2023'!R\Max</f>
        <v>1.0183329133380272</v>
      </c>
      <c r="CC275" s="1184">
        <f>'2024'!R\Max</f>
        <v>1.018332913338027</v>
      </c>
      <c r="CD275" s="1184">
        <f>'2025'!R\Max</f>
        <v>1.0183329133380274</v>
      </c>
      <c r="CE275" s="1184">
        <f>'2026'!R\Max</f>
        <v>1.0183329133380272</v>
      </c>
      <c r="CF275" s="1185">
        <f>'2027'!R\Max</f>
        <v>1.0183329133380274</v>
      </c>
    </row>
    <row r="276" spans="1:84" s="6" customFormat="1" ht="11.25" x14ac:dyDescent="0.2">
      <c r="A276" s="11">
        <v>43362</v>
      </c>
      <c r="B276" s="380">
        <f>'2022'!Maxi_hp</f>
        <v>48.413322483507429</v>
      </c>
      <c r="C276" s="13">
        <f>'2022'!An_max</f>
        <v>2022</v>
      </c>
      <c r="D276" s="1062">
        <f t="shared" si="116"/>
        <v>0.99858583298302339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3">
        <f t="shared" si="119"/>
        <v>0.8571428571428571</v>
      </c>
      <c r="J276" s="746">
        <f t="shared" si="120"/>
        <v>48.481883964731239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5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3">
        <f t="shared" si="124"/>
        <v>7.1428571428571425E-2</v>
      </c>
      <c r="AT276" s="769">
        <f t="shared" si="125"/>
        <v>48.524399125436325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3">
        <f t="shared" si="129"/>
        <v>0.42857142857142855</v>
      </c>
      <c r="AY276" s="769">
        <f t="shared" si="130"/>
        <v>48.344461224441019</v>
      </c>
      <c r="AZ276" s="746">
        <f t="shared" si="134"/>
        <v>48.434430174938669</v>
      </c>
      <c r="BA276" s="643">
        <f t="shared" si="131"/>
        <v>0.99858583298302339</v>
      </c>
      <c r="BC276" s="11">
        <v>43362</v>
      </c>
      <c r="BD276" s="290">
        <f>[3]!FeuilCaduc*(1-Persistant)+Persistant</f>
        <v>0.96120266225036788</v>
      </c>
      <c r="BE276" s="291">
        <f>[3]!CroissVégét</f>
        <v>0.98479517732042654</v>
      </c>
      <c r="BF276" s="816">
        <f>1+[3]!Salcycl*Ksac</f>
        <v>1.0451503327812959</v>
      </c>
      <c r="BH276" s="1053">
        <f t="shared" si="132"/>
        <v>3.577208090736375E-6</v>
      </c>
      <c r="BI276" s="11">
        <v>44458</v>
      </c>
      <c r="BJ276" s="726">
        <v>1.6556844846510925E-6</v>
      </c>
      <c r="BK276" s="726">
        <v>1.7154492680793485E-6</v>
      </c>
      <c r="BL276" s="726">
        <v>1.7794793558727567E-6</v>
      </c>
      <c r="BM276" s="726">
        <v>3.5819136865994391E-6</v>
      </c>
      <c r="BN276" s="726">
        <v>1.554860845792673E-5</v>
      </c>
      <c r="BO276" s="727">
        <v>7.9853446401517377E-5</v>
      </c>
      <c r="BP276" s="726">
        <v>4.1260112700188022E-4</v>
      </c>
      <c r="BQ276" s="726">
        <v>1.9950372799102836E-3</v>
      </c>
      <c r="BR276" s="726">
        <v>5.421847873151372E-3</v>
      </c>
      <c r="BS276" s="726">
        <v>1.21084042793465E-2</v>
      </c>
      <c r="BT276" s="726">
        <v>2.1065032717426119E-2</v>
      </c>
      <c r="BW276" s="1186">
        <f>'2018'!R\Max</f>
        <v>0.76504159211664258</v>
      </c>
      <c r="BX276" s="1184">
        <f>'2019'!R\Max</f>
        <v>0.87483784346870441</v>
      </c>
      <c r="BY276" s="1184">
        <f>'2020'!R\Max</f>
        <v>0.4367117386845093</v>
      </c>
      <c r="BZ276" s="1184">
        <f>'2021'!R\Max</f>
        <v>0.76091788338797683</v>
      </c>
      <c r="CA276" s="1184">
        <f>'2022'!R\Max</f>
        <v>0.99858583298302339</v>
      </c>
      <c r="CB276" s="1184">
        <f>'2023'!R\Max</f>
        <v>0.99858580303744149</v>
      </c>
      <c r="CC276" s="1184">
        <f>'2024'!R\Max</f>
        <v>0.99858566291185868</v>
      </c>
      <c r="CD276" s="1184">
        <f>'2025'!R\Max</f>
        <v>0.99858587504239127</v>
      </c>
      <c r="CE276" s="1184">
        <f>'2026'!R\Max</f>
        <v>0.99858587396551046</v>
      </c>
      <c r="CF276" s="1185">
        <f>'2027'!R\Max</f>
        <v>0.99858586851030051</v>
      </c>
    </row>
    <row r="277" spans="1:84" s="6" customFormat="1" ht="11.25" x14ac:dyDescent="0.2">
      <c r="A277" s="11">
        <v>43363</v>
      </c>
      <c r="B277" s="380">
        <f>'2022'!Maxi_hp</f>
        <v>49.877958814911565</v>
      </c>
      <c r="C277" s="13">
        <f>'2022'!An_max</f>
        <v>2022</v>
      </c>
      <c r="D277" s="1062">
        <f t="shared" si="116"/>
        <v>1.0356084951892772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3">
        <f t="shared" si="119"/>
        <v>0.7857142857142857</v>
      </c>
      <c r="J277" s="746">
        <f t="shared" si="120"/>
        <v>48.162948688244796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5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3">
        <f t="shared" si="124"/>
        <v>0.10714285714285714</v>
      </c>
      <c r="AT277" s="769">
        <f t="shared" si="125"/>
        <v>48.22639934444534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3">
        <f t="shared" si="129"/>
        <v>0.39285714285714285</v>
      </c>
      <c r="AY277" s="769">
        <f t="shared" si="130"/>
        <v>48.024872831534594</v>
      </c>
      <c r="AZ277" s="746">
        <f t="shared" si="134"/>
        <v>48.125636087989967</v>
      </c>
      <c r="BA277" s="643">
        <f t="shared" si="131"/>
        <v>1.0356084951892772</v>
      </c>
      <c r="BC277" s="11">
        <v>43363</v>
      </c>
      <c r="BD277" s="290">
        <f>[3]!FeuilCaduc*(1-Persistant)+Persistant</f>
        <v>0.95921472962157506</v>
      </c>
      <c r="BE277" s="291">
        <f>[3]!CroissVégét</f>
        <v>0.98541138621054403</v>
      </c>
      <c r="BF277" s="816">
        <f>1+[3]!Salcycl*Ksac</f>
        <v>1.0449018412026969</v>
      </c>
      <c r="BH277" s="1053">
        <f t="shared" si="132"/>
        <v>3.6755131253919199E-6</v>
      </c>
      <c r="BI277" s="11">
        <v>44459</v>
      </c>
      <c r="BJ277" s="726">
        <v>1.6476164136070419E-6</v>
      </c>
      <c r="BK277" s="726">
        <v>1.6874713225020012E-6</v>
      </c>
      <c r="BL277" s="726">
        <v>1.7301706040714879E-6</v>
      </c>
      <c r="BM277" s="726">
        <v>3.6806051036993489E-6</v>
      </c>
      <c r="BN277" s="726">
        <v>1.7014159654940225E-5</v>
      </c>
      <c r="BO277" s="727">
        <v>1.0342299413195226E-4</v>
      </c>
      <c r="BP277" s="726">
        <v>4.8998061334588872E-4</v>
      </c>
      <c r="BQ277" s="726">
        <v>2.2974551921998328E-3</v>
      </c>
      <c r="BR277" s="726">
        <v>6.0321589219531867E-3</v>
      </c>
      <c r="BS277" s="726">
        <v>1.3065444684447433E-2</v>
      </c>
      <c r="BT277" s="726">
        <v>2.2267067389348777E-2</v>
      </c>
      <c r="BW277" s="1186">
        <f>'2018'!R\Max</f>
        <v>0.9299699105760213</v>
      </c>
      <c r="BX277" s="1184">
        <f>'2019'!R\Max</f>
        <v>1.0000234309450107</v>
      </c>
      <c r="BY277" s="1184">
        <f>'2020'!R\Max</f>
        <v>0.71700034435010962</v>
      </c>
      <c r="BZ277" s="1184">
        <f>'2021'!R\Max</f>
        <v>0.67685295597622397</v>
      </c>
      <c r="CA277" s="1184">
        <f>'2022'!R\Max</f>
        <v>1.0356084951892772</v>
      </c>
      <c r="CB277" s="1184">
        <f>'2023'!R\Max</f>
        <v>1.035608495189277</v>
      </c>
      <c r="CC277" s="1184">
        <f>'2024'!R\Max</f>
        <v>1.0356084951892768</v>
      </c>
      <c r="CD277" s="1184">
        <f>'2025'!R\Max</f>
        <v>1.035608495189277</v>
      </c>
      <c r="CE277" s="1184">
        <f>'2026'!R\Max</f>
        <v>1.0356084951892772</v>
      </c>
      <c r="CF277" s="1185">
        <f>'2027'!R\Max</f>
        <v>1.0356084951892768</v>
      </c>
    </row>
    <row r="278" spans="1:84" s="6" customFormat="1" ht="11.25" x14ac:dyDescent="0.2">
      <c r="A278" s="11">
        <v>43364</v>
      </c>
      <c r="B278" s="380">
        <f>'2022'!Maxi_hp</f>
        <v>48.667322070237333</v>
      </c>
      <c r="C278" s="13">
        <f>'2022'!An_max</f>
        <v>2022</v>
      </c>
      <c r="D278" s="1062">
        <f t="shared" si="116"/>
        <v>1.017323850697549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3">
        <f t="shared" si="119"/>
        <v>0.7142857142857143</v>
      </c>
      <c r="J278" s="746">
        <f t="shared" si="120"/>
        <v>47.838573760821177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5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3">
        <f t="shared" si="124"/>
        <v>0.14285714285714285</v>
      </c>
      <c r="AT278" s="769">
        <f t="shared" si="125"/>
        <v>47.922172594802191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3">
        <f t="shared" si="129"/>
        <v>0.35714285714285715</v>
      </c>
      <c r="AY278" s="769">
        <f t="shared" si="130"/>
        <v>47.703656122287995</v>
      </c>
      <c r="AZ278" s="746">
        <f t="shared" si="134"/>
        <v>47.812914358545093</v>
      </c>
      <c r="BA278" s="643">
        <f t="shared" si="131"/>
        <v>1.017323850697549</v>
      </c>
      <c r="BC278" s="11">
        <v>43364</v>
      </c>
      <c r="BD278" s="290">
        <f>[3]!FeuilCaduc*(1-Persistant)+Persistant</f>
        <v>0.95714378465986294</v>
      </c>
      <c r="BE278" s="291">
        <f>[3]!CroissVégét</f>
        <v>0.98600350935571934</v>
      </c>
      <c r="BF278" s="816">
        <f>1+[3]!Salcycl*Ksac</f>
        <v>1.0446429730824829</v>
      </c>
      <c r="BH278" s="1053">
        <f t="shared" si="132"/>
        <v>3.7827923442664518E-6</v>
      </c>
      <c r="BI278" s="11">
        <v>44460</v>
      </c>
      <c r="BJ278" s="726">
        <v>1.6380850039938622E-6</v>
      </c>
      <c r="BK278" s="726">
        <v>1.6620052525619032E-6</v>
      </c>
      <c r="BL278" s="726">
        <v>1.6876326459530365E-6</v>
      </c>
      <c r="BM278" s="726">
        <v>3.7882764724431033E-6</v>
      </c>
      <c r="BN278" s="726">
        <v>1.850086983862954E-5</v>
      </c>
      <c r="BO278" s="727">
        <v>1.3457354395256927E-4</v>
      </c>
      <c r="BP278" s="726">
        <v>5.8363045998525379E-4</v>
      </c>
      <c r="BQ278" s="726">
        <v>2.6323180328424317E-3</v>
      </c>
      <c r="BR278" s="726">
        <v>6.6678176877107802E-3</v>
      </c>
      <c r="BS278" s="726">
        <v>1.4009749939059537E-2</v>
      </c>
      <c r="BT278" s="726">
        <v>2.3380930520237594E-2</v>
      </c>
      <c r="BW278" s="1186">
        <f>'2018'!R\Max</f>
        <v>0.70914004199385272</v>
      </c>
      <c r="BX278" s="1184">
        <f>'2019'!R\Max</f>
        <v>0.72977451076367161</v>
      </c>
      <c r="BY278" s="1184">
        <f>'2020'!R\Max</f>
        <v>0.68544010012169443</v>
      </c>
      <c r="BZ278" s="1184">
        <f>'2021'!R\Max</f>
        <v>0.26329959117697216</v>
      </c>
      <c r="CA278" s="1184">
        <f>'2022'!R\Max</f>
        <v>1.017323850697549</v>
      </c>
      <c r="CB278" s="1184">
        <f>'2023'!R\Max</f>
        <v>1.0173238506975488</v>
      </c>
      <c r="CC278" s="1184">
        <f>'2024'!R\Max</f>
        <v>1.017323850697549</v>
      </c>
      <c r="CD278" s="1184">
        <f>'2025'!R\Max</f>
        <v>1.0173238506975486</v>
      </c>
      <c r="CE278" s="1184">
        <f>'2026'!R\Max</f>
        <v>1.0173238506975488</v>
      </c>
      <c r="CF278" s="1185">
        <f>'2027'!R\Max</f>
        <v>1.017323850697549</v>
      </c>
    </row>
    <row r="279" spans="1:84" s="6" customFormat="1" ht="11.25" x14ac:dyDescent="0.2">
      <c r="A279" s="11">
        <v>43365</v>
      </c>
      <c r="B279" s="380">
        <f>'2022'!Maxi_hp</f>
        <v>47.40423809314786</v>
      </c>
      <c r="C279" s="13">
        <f>'2022'!An_max</f>
        <v>2022</v>
      </c>
      <c r="D279" s="1062">
        <f t="shared" si="116"/>
        <v>0.99778192317936154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3">
        <f t="shared" si="119"/>
        <v>0.6428571428571429</v>
      </c>
      <c r="J279" s="746">
        <f t="shared" si="120"/>
        <v>47.509618075759086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5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3">
        <f t="shared" si="124"/>
        <v>0.17857142857142858</v>
      </c>
      <c r="AT279" s="769">
        <f t="shared" si="125"/>
        <v>47.61214832390791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3">
        <f t="shared" si="129"/>
        <v>0.32142857142857145</v>
      </c>
      <c r="AY279" s="769">
        <f t="shared" si="130"/>
        <v>47.381186862236689</v>
      </c>
      <c r="AZ279" s="746">
        <f t="shared" si="134"/>
        <v>47.496667593072303</v>
      </c>
      <c r="BA279" s="643">
        <f t="shared" si="131"/>
        <v>0.99778192317936154</v>
      </c>
      <c r="BC279" s="11">
        <v>43365</v>
      </c>
      <c r="BD279" s="290">
        <f>[3]!FeuilCaduc*(1-Persistant)+Persistant</f>
        <v>0.95498701964555321</v>
      </c>
      <c r="BE279" s="291">
        <f>[3]!CroissVégét</f>
        <v>0.98657246054533965</v>
      </c>
      <c r="BF279" s="816">
        <f>1+[3]!Salcycl*Ksac</f>
        <v>1.0443733774556943</v>
      </c>
      <c r="BH279" s="1053">
        <f t="shared" si="132"/>
        <v>3.8990583592042492E-6</v>
      </c>
      <c r="BI279" s="11">
        <v>44461</v>
      </c>
      <c r="BJ279" s="726">
        <v>1.6270889255352098E-6</v>
      </c>
      <c r="BK279" s="726">
        <v>1.6390528397430273E-6</v>
      </c>
      <c r="BL279" s="726">
        <v>1.6518705968423896E-6</v>
      </c>
      <c r="BM279" s="726">
        <v>3.9049404242972897E-6</v>
      </c>
      <c r="BN279" s="726">
        <v>2.0008812288149885E-5</v>
      </c>
      <c r="BO279" s="727">
        <v>1.7331312312468918E-4</v>
      </c>
      <c r="BP279" s="726">
        <v>6.9356885830301794E-4</v>
      </c>
      <c r="BQ279" s="726">
        <v>2.9996673694959956E-3</v>
      </c>
      <c r="BR279" s="726">
        <v>7.3288701929059659E-3</v>
      </c>
      <c r="BS279" s="726">
        <v>1.494134305125251E-2</v>
      </c>
      <c r="BT279" s="726">
        <v>2.4406583583431788E-2</v>
      </c>
      <c r="BW279" s="1186">
        <f>'2018'!R\Max</f>
        <v>0.92498476131551222</v>
      </c>
      <c r="BX279" s="1184">
        <f>'2019'!R\Max</f>
        <v>0.1899812874521252</v>
      </c>
      <c r="BY279" s="1184">
        <f>'2020'!R\Max</f>
        <v>0.61196043881427775</v>
      </c>
      <c r="BZ279" s="1184">
        <f>'2021'!R\Max</f>
        <v>0.94845955176377483</v>
      </c>
      <c r="CA279" s="1184">
        <f>'2022'!R\Max</f>
        <v>0.99778192317936154</v>
      </c>
      <c r="CB279" s="1184">
        <f>'2023'!R\Max</f>
        <v>0.99778184878343579</v>
      </c>
      <c r="CC279" s="1184">
        <f>'2024'!R\Max</f>
        <v>0.99778152373590756</v>
      </c>
      <c r="CD279" s="1184">
        <f>'2025'!R\Max</f>
        <v>0.99778204248608859</v>
      </c>
      <c r="CE279" s="1184">
        <f>'2026'!R\Max</f>
        <v>0.99778204018348049</v>
      </c>
      <c r="CF279" s="1185">
        <f>'2027'!R\Max</f>
        <v>0.99778201960941493</v>
      </c>
    </row>
    <row r="280" spans="1:84" s="6" customFormat="1" ht="11.25" x14ac:dyDescent="0.2">
      <c r="A280" s="11">
        <v>43366</v>
      </c>
      <c r="B280" s="380">
        <f>'2022'!Maxi_hp</f>
        <v>44.303472000025792</v>
      </c>
      <c r="C280" s="13">
        <f>'2022'!An_max</f>
        <v>2018</v>
      </c>
      <c r="D280" s="1062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3">
        <f t="shared" si="119"/>
        <v>0.5714285714285714</v>
      </c>
      <c r="J280" s="746">
        <f t="shared" si="120"/>
        <v>47.176940525078678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5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3">
        <f t="shared" si="124"/>
        <v>0.21428571428571427</v>
      </c>
      <c r="AT280" s="769">
        <f t="shared" si="125"/>
        <v>47.296755976622393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3">
        <f t="shared" si="129"/>
        <v>0.2857142857142857</v>
      </c>
      <c r="AY280" s="769">
        <f t="shared" si="130"/>
        <v>47.057840816171037</v>
      </c>
      <c r="AZ280" s="746">
        <f t="shared" si="134"/>
        <v>47.177298396396715</v>
      </c>
      <c r="BA280" s="643">
        <f t="shared" si="131"/>
        <v>0.93909167290054796</v>
      </c>
      <c r="BC280" s="11">
        <v>43366</v>
      </c>
      <c r="BD280" s="290">
        <f>[3]!FeuilCaduc*(1-Persistant)+Persistant</f>
        <v>0.95274162814343621</v>
      </c>
      <c r="BE280" s="291">
        <f>[3]!CroissVégét</f>
        <v>0.98711912105647015</v>
      </c>
      <c r="BF280" s="816">
        <f>1+[3]!Salcycl*Ksac</f>
        <v>1.0440927035179295</v>
      </c>
      <c r="BH280" s="1053">
        <f t="shared" si="132"/>
        <v>4.024346061445684E-6</v>
      </c>
      <c r="BI280" s="11">
        <v>44462</v>
      </c>
      <c r="BJ280" s="726">
        <v>1.6146353879613167E-6</v>
      </c>
      <c r="BK280" s="726">
        <v>1.6186246910433867E-6</v>
      </c>
      <c r="BL280" s="726">
        <v>1.6228987034621903E-6</v>
      </c>
      <c r="BM280" s="726">
        <v>4.0306319045397757E-6</v>
      </c>
      <c r="BN280" s="726">
        <v>2.1538178424922877E-5</v>
      </c>
      <c r="BO280" s="727">
        <v>2.1965149210129679E-4</v>
      </c>
      <c r="BP280" s="726">
        <v>8.1981960897292933E-4</v>
      </c>
      <c r="BQ280" s="726">
        <v>3.3995655368547532E-3</v>
      </c>
      <c r="BR280" s="726">
        <v>8.0154077180467284E-3</v>
      </c>
      <c r="BS280" s="726">
        <v>1.586033191947344E-2</v>
      </c>
      <c r="BT280" s="726">
        <v>2.5344118625983195E-2</v>
      </c>
      <c r="BW280" s="1186">
        <f>'2018'!R\Max</f>
        <v>0.93909167290054796</v>
      </c>
      <c r="BX280" s="1184">
        <f>'2019'!R\Max</f>
        <v>0.88933939501291881</v>
      </c>
      <c r="BY280" s="1184">
        <f>'2020'!R\Max</f>
        <v>0.54203382574110859</v>
      </c>
      <c r="BZ280" s="1184">
        <f>'2021'!R\Max</f>
        <v>0.84665760987367056</v>
      </c>
      <c r="CA280" s="1184">
        <f>'2022'!R\Max</f>
        <v>0.63491031887734373</v>
      </c>
      <c r="CB280" s="1184">
        <f>'2023'!R\Max</f>
        <v>0.63490128796100731</v>
      </c>
      <c r="CC280" s="1184">
        <f>'2024'!R\Max</f>
        <v>0.63486300634576565</v>
      </c>
      <c r="CD280" s="1184">
        <f>'2025'!R\Max</f>
        <v>0.63492542930486473</v>
      </c>
      <c r="CE280" s="1184">
        <f>'2026'!R\Max</f>
        <v>0.6349251658782068</v>
      </c>
      <c r="CF280" s="1185">
        <f>'2027'!R\Max</f>
        <v>0.63492236996333973</v>
      </c>
    </row>
    <row r="281" spans="1:84" s="6" customFormat="1" ht="11.25" x14ac:dyDescent="0.2">
      <c r="A281" s="11">
        <v>43367</v>
      </c>
      <c r="B281" s="380">
        <f>'2022'!Maxi_hp</f>
        <v>40.249037915880088</v>
      </c>
      <c r="C281" s="13">
        <f>'2022'!An_max</f>
        <v>2021</v>
      </c>
      <c r="D281" s="1062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3">
        <f t="shared" si="119"/>
        <v>0.5</v>
      </c>
      <c r="J281" s="746">
        <f t="shared" si="120"/>
        <v>46.841400000058641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5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3">
        <f t="shared" si="124"/>
        <v>0.25</v>
      </c>
      <c r="AT281" s="769">
        <f t="shared" si="125"/>
        <v>46.97642500011716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3">
        <f t="shared" si="129"/>
        <v>0.25</v>
      </c>
      <c r="AY281" s="769">
        <f t="shared" si="130"/>
        <v>46.733993749786165</v>
      </c>
      <c r="AZ281" s="746">
        <f t="shared" si="134"/>
        <v>46.855209374951663</v>
      </c>
      <c r="BA281" s="643">
        <f t="shared" si="131"/>
        <v>0.85926206124987081</v>
      </c>
      <c r="BC281" s="11">
        <v>43367</v>
      </c>
      <c r="BD281" s="290">
        <f>[3]!FeuilCaduc*(1-Persistant)+Persistant</f>
        <v>0.95040482100443024</v>
      </c>
      <c r="BE281" s="291">
        <f>[3]!CroissVégét</f>
        <v>0.98764434064074225</v>
      </c>
      <c r="BF281" s="816">
        <f>1+[3]!Salcycl*Ksac</f>
        <v>1.0438006026255537</v>
      </c>
      <c r="BH281" s="1053">
        <f t="shared" si="132"/>
        <v>4.1586830165857774E-6</v>
      </c>
      <c r="BI281" s="11">
        <v>44463</v>
      </c>
      <c r="BJ281" s="726">
        <v>1.6007269766832187E-6</v>
      </c>
      <c r="BK281" s="726">
        <v>1.6007269766832187E-6</v>
      </c>
      <c r="BL281" s="726">
        <v>1.6007269766832187E-6</v>
      </c>
      <c r="BM281" s="726">
        <v>4.1653785247154722E-6</v>
      </c>
      <c r="BN281" s="726">
        <v>2.3089134950516343E-5</v>
      </c>
      <c r="BO281" s="727">
        <v>2.7359942105361084E-4</v>
      </c>
      <c r="BP281" s="726">
        <v>9.6240828981027592E-4</v>
      </c>
      <c r="BQ281" s="726">
        <v>3.8320766820883734E-3</v>
      </c>
      <c r="BR281" s="726">
        <v>8.727516211736704E-3</v>
      </c>
      <c r="BS281" s="726">
        <v>1.67667996375266E-2</v>
      </c>
      <c r="BT281" s="726">
        <v>2.6193571565260466E-2</v>
      </c>
      <c r="BW281" s="1186">
        <f>'2018'!R\Max</f>
        <v>0.85574219795275785</v>
      </c>
      <c r="BX281" s="1184">
        <f>'2019'!R\Max</f>
        <v>0.61677477245245227</v>
      </c>
      <c r="BY281" s="1184">
        <f>'2020'!R\Max</f>
        <v>0.79468114792162226</v>
      </c>
      <c r="BZ281" s="1184">
        <f>'2021'!R\Max</f>
        <v>0.85926206124987081</v>
      </c>
      <c r="CA281" s="1184">
        <f>'2022'!R\Max</f>
        <v>0.40088728162662435</v>
      </c>
      <c r="CB281" s="1184">
        <f>'2023'!R\Max</f>
        <v>0.40087649194913538</v>
      </c>
      <c r="CC281" s="1184">
        <f>'2024'!R\Max</f>
        <v>0.40083214019063079</v>
      </c>
      <c r="CD281" s="1184">
        <f>'2025'!R\Max</f>
        <v>0.40090604598169244</v>
      </c>
      <c r="CE281" s="1184">
        <f>'2026'!R\Max</f>
        <v>0.40090574956113412</v>
      </c>
      <c r="CF281" s="1185">
        <f>'2027'!R\Max</f>
        <v>0.40090207063115624</v>
      </c>
    </row>
    <row r="282" spans="1:84" s="6" customFormat="1" ht="11.25" x14ac:dyDescent="0.2">
      <c r="A282" s="11">
        <v>43368</v>
      </c>
      <c r="B282" s="380">
        <f>'2022'!Maxi_hp</f>
        <v>46.514117854235721</v>
      </c>
      <c r="C282" s="13">
        <f>'2022'!An_max</f>
        <v>2018</v>
      </c>
      <c r="D282" s="1062">
        <f t="shared" si="116"/>
        <v>1.0002206797795916</v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3">
        <f t="shared" si="119"/>
        <v>0.42857142857142855</v>
      </c>
      <c r="J282" s="746">
        <f t="shared" si="120"/>
        <v>46.503855393677284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5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3">
        <f t="shared" si="124"/>
        <v>0.2857142857142857</v>
      </c>
      <c r="AT282" s="769">
        <f t="shared" si="125"/>
        <v>46.651584839634594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3">
        <f t="shared" si="129"/>
        <v>0.21428571428571427</v>
      </c>
      <c r="AY282" s="769">
        <f t="shared" si="130"/>
        <v>46.410021428284907</v>
      </c>
      <c r="AZ282" s="746">
        <f t="shared" si="134"/>
        <v>46.530803133959751</v>
      </c>
      <c r="BA282" s="643">
        <f t="shared" si="131"/>
        <v>1.0002206797795916</v>
      </c>
      <c r="BC282" s="11">
        <v>43368</v>
      </c>
      <c r="BD282" s="290">
        <f>[3]!FeuilCaduc*(1-Persistant)+Persistant</f>
        <v>0.94797384363547132</v>
      </c>
      <c r="BE282" s="291">
        <f>[3]!CroissVégét</f>
        <v>0.98814893849517882</v>
      </c>
      <c r="BF282" s="816">
        <f>1+[3]!Salcycl*Ksac</f>
        <v>1.043496730454434</v>
      </c>
      <c r="BH282" s="1053">
        <f t="shared" si="132"/>
        <v>1.0933329909797991E-5</v>
      </c>
      <c r="BI282" s="11">
        <v>44464</v>
      </c>
      <c r="BJ282" s="726">
        <v>1.5844656168773561E-6</v>
      </c>
      <c r="BK282" s="726">
        <v>3.3970781955938479E-6</v>
      </c>
      <c r="BL282" s="726">
        <v>5.5711268584766743E-6</v>
      </c>
      <c r="BM282" s="726">
        <v>1.0947365598278611E-5</v>
      </c>
      <c r="BN282" s="726">
        <v>3.4186773261151244E-5</v>
      </c>
      <c r="BO282" s="727">
        <v>3.471132047776939E-4</v>
      </c>
      <c r="BP282" s="726">
        <v>1.1328429963014886E-3</v>
      </c>
      <c r="BQ282" s="726">
        <v>4.2830560113066938E-3</v>
      </c>
      <c r="BR282" s="726">
        <v>9.4244779876181337E-3</v>
      </c>
      <c r="BS282" s="726">
        <v>1.760106430618516E-2</v>
      </c>
      <c r="BT282" s="726">
        <v>2.6906424243611237E-2</v>
      </c>
      <c r="BW282" s="1186">
        <f>'2018'!R\Max</f>
        <v>1.0002206797795916</v>
      </c>
      <c r="BX282" s="1184">
        <f>'2019'!R\Max</f>
        <v>0.65629979943172023</v>
      </c>
      <c r="BY282" s="1184">
        <f>'2020'!R\Max</f>
        <v>0.48919066975664049</v>
      </c>
      <c r="BZ282" s="1184">
        <f>'2021'!R\Max</f>
        <v>0.76629302458105264</v>
      </c>
      <c r="CA282" s="1184">
        <f>'2022'!R\Max</f>
        <v>0.71488511256490062</v>
      </c>
      <c r="CB282" s="1184">
        <f>'2023'!R\Max</f>
        <v>0.71487461842387934</v>
      </c>
      <c r="CC282" s="1184">
        <f>'2024'!R\Max</f>
        <v>0.71483307921390771</v>
      </c>
      <c r="CD282" s="1184">
        <f>'2025'!R\Max</f>
        <v>0.7149041164331994</v>
      </c>
      <c r="CE282" s="1184">
        <f>'2026'!R\Max</f>
        <v>0.71490380608007209</v>
      </c>
      <c r="CF282" s="1185">
        <f>'2027'!R\Max</f>
        <v>0.71489988642603053</v>
      </c>
    </row>
    <row r="283" spans="1:84" s="6" customFormat="1" ht="11.25" x14ac:dyDescent="0.2">
      <c r="A283" s="11">
        <v>43369</v>
      </c>
      <c r="B283" s="380">
        <f>'2022'!Maxi_hp</f>
        <v>46.475483095151723</v>
      </c>
      <c r="C283" s="13">
        <f>'2022'!An_max</f>
        <v>2018</v>
      </c>
      <c r="D283" s="1062">
        <f t="shared" si="116"/>
        <v>1.0067218972020169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3">
        <f t="shared" si="119"/>
        <v>0.35714285714285715</v>
      </c>
      <c r="J283" s="746">
        <f t="shared" si="120"/>
        <v>46.165165597689963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5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3">
        <f t="shared" si="124"/>
        <v>0.32142857142857145</v>
      </c>
      <c r="AT283" s="769">
        <f t="shared" si="125"/>
        <v>46.322664941850654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3">
        <f t="shared" si="129"/>
        <v>0.17857142857142858</v>
      </c>
      <c r="AY283" s="769">
        <f t="shared" si="130"/>
        <v>46.086299617555255</v>
      </c>
      <c r="AZ283" s="746">
        <f t="shared" si="134"/>
        <v>46.204482279702958</v>
      </c>
      <c r="BA283" s="643">
        <f t="shared" si="131"/>
        <v>1.0067218972020169</v>
      </c>
      <c r="BC283" s="11">
        <v>43369</v>
      </c>
      <c r="BD283" s="290">
        <f>[3]!FeuilCaduc*(1-Persistant)+Persistant</f>
        <v>0.94544599444663047</v>
      </c>
      <c r="BE283" s="291">
        <f>[3]!CroissVégét</f>
        <v>0.98863370421593466</v>
      </c>
      <c r="BF283" s="816">
        <f>1+[3]!Salcycl*Ksac</f>
        <v>1.0431807493058287</v>
      </c>
      <c r="BH283" s="1053">
        <f t="shared" si="132"/>
        <v>2.4329868437605994E-5</v>
      </c>
      <c r="BI283" s="11">
        <v>44465</v>
      </c>
      <c r="BJ283" s="726">
        <v>1.559001718374708E-6</v>
      </c>
      <c r="BK283" s="726">
        <v>6.9989629951646691E-6</v>
      </c>
      <c r="BL283" s="726">
        <v>1.3523655959788173E-5</v>
      </c>
      <c r="BM283" s="726">
        <v>2.4358153944615406E-5</v>
      </c>
      <c r="BN283" s="726">
        <v>5.4741528541194037E-5</v>
      </c>
      <c r="BO283" s="727">
        <v>4.3973905315538957E-4</v>
      </c>
      <c r="BP283" s="726">
        <v>1.3292788445925816E-3</v>
      </c>
      <c r="BQ283" s="726">
        <v>4.7379250108363765E-3</v>
      </c>
      <c r="BR283" s="726">
        <v>1.0082791322050425E-2</v>
      </c>
      <c r="BS283" s="726">
        <v>1.8349157852353574E-2</v>
      </c>
      <c r="BT283" s="726">
        <v>2.750707172050447E-2</v>
      </c>
      <c r="BW283" s="1186">
        <f>'2018'!R\Max</f>
        <v>1.0067218972020169</v>
      </c>
      <c r="BX283" s="1184">
        <f>'2019'!R\Max</f>
        <v>0.81027859250335665</v>
      </c>
      <c r="BY283" s="1184">
        <f>'2020'!R\Max</f>
        <v>0.47833873560939533</v>
      </c>
      <c r="BZ283" s="1184">
        <f>'2021'!R\Max</f>
        <v>0.84503509228970597</v>
      </c>
      <c r="CA283" s="1184">
        <f>'2022'!R\Max</f>
        <v>0.77669942093261612</v>
      </c>
      <c r="CB283" s="1184">
        <f>'2023'!R\Max</f>
        <v>0.77668926437398922</v>
      </c>
      <c r="CC283" s="1184">
        <f>'2024'!R\Max</f>
        <v>0.77665081723501495</v>
      </c>
      <c r="CD283" s="1184">
        <f>'2025'!R\Max</f>
        <v>0.7767185690983287</v>
      </c>
      <c r="CE283" s="1184">
        <f>'2026'!R\Max</f>
        <v>0.77671822223388709</v>
      </c>
      <c r="CF283" s="1185">
        <f>'2027'!R\Max</f>
        <v>0.77671409642782241</v>
      </c>
    </row>
    <row r="284" spans="1:84" s="6" customFormat="1" ht="11.25" x14ac:dyDescent="0.2">
      <c r="A284" s="11">
        <v>43370</v>
      </c>
      <c r="B284" s="380">
        <f>'2022'!Maxi_hp</f>
        <v>45.12039737403196</v>
      </c>
      <c r="C284" s="13">
        <f>'2022'!An_max</f>
        <v>2018</v>
      </c>
      <c r="D284" s="1062">
        <f t="shared" si="116"/>
        <v>0.98459849841127378</v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3">
        <f t="shared" si="119"/>
        <v>0.2857142857142857</v>
      </c>
      <c r="J284" s="746">
        <f t="shared" si="120"/>
        <v>45.826189504490642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5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3">
        <f t="shared" si="124"/>
        <v>0.35714285714285715</v>
      </c>
      <c r="AT284" s="769">
        <f t="shared" si="125"/>
        <v>45.9900947526829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3">
        <f t="shared" si="129"/>
        <v>0.14285714285714285</v>
      </c>
      <c r="AY284" s="769">
        <f t="shared" si="130"/>
        <v>45.763204081622618</v>
      </c>
      <c r="AZ284" s="746">
        <f t="shared" si="134"/>
        <v>45.876649417152763</v>
      </c>
      <c r="BA284" s="643">
        <f t="shared" si="131"/>
        <v>0.98459849841127378</v>
      </c>
      <c r="BC284" s="11">
        <v>43370</v>
      </c>
      <c r="BD284" s="290">
        <f>[3]!FeuilCaduc*(1-Persistant)+Persistant</f>
        <v>0.94281864436775531</v>
      </c>
      <c r="BE284" s="291">
        <f>[3]!CroissVégét</f>
        <v>0.98909939873407315</v>
      </c>
      <c r="BF284" s="816">
        <f>1+[3]!Salcycl*Ksac</f>
        <v>1.0428523305459694</v>
      </c>
      <c r="BH284" s="1053">
        <f t="shared" si="132"/>
        <v>4.4356716278045733E-5</v>
      </c>
      <c r="BI284" s="11">
        <v>44466</v>
      </c>
      <c r="BJ284" s="726">
        <v>1.5243214096518141E-6</v>
      </c>
      <c r="BK284" s="726">
        <v>1.240867350714151E-5</v>
      </c>
      <c r="BL284" s="726">
        <v>2.5463372234129896E-5</v>
      </c>
      <c r="BM284" s="726">
        <v>4.4406170035917185E-5</v>
      </c>
      <c r="BN284" s="726">
        <v>8.4765473217339763E-5</v>
      </c>
      <c r="BO284" s="727">
        <v>5.5150362683764609E-4</v>
      </c>
      <c r="BP284" s="726">
        <v>1.5517549083925565E-3</v>
      </c>
      <c r="BQ284" s="726">
        <v>5.196706321890357E-3</v>
      </c>
      <c r="BR284" s="726">
        <v>1.0702433453995623E-2</v>
      </c>
      <c r="BS284" s="726">
        <v>1.9010997066757844E-2</v>
      </c>
      <c r="BT284" s="726">
        <v>2.7995382224635362E-2</v>
      </c>
      <c r="BW284" s="1186">
        <f>'2018'!R\Max</f>
        <v>0.98459849841127378</v>
      </c>
      <c r="BX284" s="1184">
        <f>'2019'!R\Max</f>
        <v>0.8291982043384204</v>
      </c>
      <c r="BY284" s="1184">
        <f>'2020'!R\Max</f>
        <v>0.34575129550438444</v>
      </c>
      <c r="BZ284" s="1184">
        <f>'2021'!R\Max</f>
        <v>0.49342816591900207</v>
      </c>
      <c r="CA284" s="1184">
        <f>'2022'!R\Max</f>
        <v>0.35366847024991843</v>
      </c>
      <c r="CB284" s="1184">
        <f>'2023'!R\Max</f>
        <v>0.35365334912393864</v>
      </c>
      <c r="CC284" s="1184">
        <f>'2024'!R\Max</f>
        <v>0.35359889091114682</v>
      </c>
      <c r="CD284" s="1184">
        <f>'2025'!R\Max</f>
        <v>0.35369810939677265</v>
      </c>
      <c r="CE284" s="1184">
        <f>'2026'!R\Max</f>
        <v>0.35369749928255328</v>
      </c>
      <c r="CF284" s="1185">
        <f>'2027'!R\Max</f>
        <v>0.35369086960356544</v>
      </c>
    </row>
    <row r="285" spans="1:84" s="6" customFormat="1" ht="11.25" x14ac:dyDescent="0.2">
      <c r="A285" s="11">
        <v>43371</v>
      </c>
      <c r="B285" s="380">
        <f>'2022'!Maxi_hp</f>
        <v>42.169880552957594</v>
      </c>
      <c r="C285" s="13">
        <f>'2022'!An_max</f>
        <v>2018</v>
      </c>
      <c r="D285" s="1062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3">
        <f t="shared" si="119"/>
        <v>0.21428571428571427</v>
      </c>
      <c r="J285" s="746">
        <f t="shared" si="120"/>
        <v>45.487786005941075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5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3">
        <f t="shared" si="124"/>
        <v>0.39285714285714285</v>
      </c>
      <c r="AT285" s="769">
        <f t="shared" si="125"/>
        <v>45.654303717273955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3">
        <f t="shared" si="129"/>
        <v>0.10714285714285714</v>
      </c>
      <c r="AY285" s="769">
        <f t="shared" si="130"/>
        <v>45.441110586734226</v>
      </c>
      <c r="AZ285" s="746">
        <f t="shared" si="134"/>
        <v>45.547707152004094</v>
      </c>
      <c r="BA285" s="643">
        <f t="shared" si="131"/>
        <v>0.92705942090586391</v>
      </c>
      <c r="BC285" s="11">
        <v>43371</v>
      </c>
      <c r="BD285" s="290">
        <f>[3]!FeuilCaduc*(1-Persistant)+Persistant</f>
        <v>0.94008925731094739</v>
      </c>
      <c r="BE285" s="291">
        <f>[3]!CroissVégét</f>
        <v>0.98954675523264646</v>
      </c>
      <c r="BF285" s="816">
        <f>1+[3]!Salcycl*Ksac</f>
        <v>1.0425111571638683</v>
      </c>
      <c r="BH285" s="1053">
        <f t="shared" si="132"/>
        <v>7.1022883317927726E-5</v>
      </c>
      <c r="BI285" s="11">
        <v>44467</v>
      </c>
      <c r="BJ285" s="726">
        <v>1.4804100268657456E-6</v>
      </c>
      <c r="BK285" s="726">
        <v>1.9628663563435596E-5</v>
      </c>
      <c r="BL285" s="726">
        <v>4.1395690228767607E-5</v>
      </c>
      <c r="BM285" s="726">
        <v>7.1100433169877511E-5</v>
      </c>
      <c r="BN285" s="726">
        <v>1.2427151911220528E-4</v>
      </c>
      <c r="BO285" s="727">
        <v>6.82435053942061E-4</v>
      </c>
      <c r="BP285" s="726">
        <v>1.8003119423206505E-3</v>
      </c>
      <c r="BQ285" s="726">
        <v>5.6594209308382815E-3</v>
      </c>
      <c r="BR285" s="726">
        <v>1.1283374866254001E-2</v>
      </c>
      <c r="BS285" s="726">
        <v>1.9586486900952611E-2</v>
      </c>
      <c r="BT285" s="726">
        <v>2.8371210241924908E-2</v>
      </c>
      <c r="BW285" s="1186">
        <f>'2018'!R\Max</f>
        <v>0.92705942090586391</v>
      </c>
      <c r="BX285" s="1184">
        <f>'2019'!R\Max</f>
        <v>0.74078488914530882</v>
      </c>
      <c r="BY285" s="1184">
        <f>'2020'!R\Max</f>
        <v>0.28742306158006653</v>
      </c>
      <c r="BZ285" s="1184">
        <f>'2021'!R\Max</f>
        <v>0.61465472817372313</v>
      </c>
      <c r="CA285" s="1184">
        <f>'2022'!R\Max</f>
        <v>0.40944316457772517</v>
      </c>
      <c r="CB285" s="1184">
        <f>'2023'!R\Max</f>
        <v>0.4094252073889656</v>
      </c>
      <c r="CC285" s="1184">
        <f>'2024'!R\Max</f>
        <v>0.40936390404727885</v>
      </c>
      <c r="CD285" s="1184">
        <f>'2025'!R\Max</f>
        <v>0.40947968187699957</v>
      </c>
      <c r="CE285" s="1184">
        <f>'2026'!R\Max</f>
        <v>0.40947882778987099</v>
      </c>
      <c r="CF285" s="1185">
        <f>'2027'!R\Max</f>
        <v>0.40947039451465361</v>
      </c>
    </row>
    <row r="286" spans="1:84" s="6" customFormat="1" ht="11.25" x14ac:dyDescent="0.2">
      <c r="A286" s="11">
        <v>43372</v>
      </c>
      <c r="B286" s="380">
        <f>'2022'!Maxi_hp</f>
        <v>44.457549596928516</v>
      </c>
      <c r="C286" s="13">
        <f>'2022'!An_max</f>
        <v>2019</v>
      </c>
      <c r="D286" s="1062">
        <f t="shared" si="116"/>
        <v>0.98464558363487931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3">
        <f t="shared" si="119"/>
        <v>0.14285714285714285</v>
      </c>
      <c r="J286" s="746">
        <f t="shared" si="120"/>
        <v>45.150813994219888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5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3">
        <f t="shared" si="124"/>
        <v>0.42857142857142855</v>
      </c>
      <c r="AT286" s="769">
        <f t="shared" si="125"/>
        <v>45.315721283201128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3">
        <f t="shared" si="129"/>
        <v>7.1428571428571425E-2</v>
      </c>
      <c r="AY286" s="769">
        <f t="shared" si="130"/>
        <v>45.120394897993123</v>
      </c>
      <c r="AZ286" s="746">
        <f t="shared" si="134"/>
        <v>45.218058090597125</v>
      </c>
      <c r="BA286" s="643">
        <f t="shared" si="131"/>
        <v>0.98464558363487931</v>
      </c>
      <c r="BC286" s="11">
        <v>43372</v>
      </c>
      <c r="BD286" s="290">
        <f>[3]!FeuilCaduc*(1-Persistant)+Persistant</f>
        <v>0.93725541144016344</v>
      </c>
      <c r="BE286" s="291">
        <f>[3]!CroissVégét</f>
        <v>0.98997648004446692</v>
      </c>
      <c r="BF286" s="816">
        <f>1+[3]!Salcycl*Ksac</f>
        <v>1.0421569264300203</v>
      </c>
      <c r="BH286" s="1053">
        <f t="shared" si="132"/>
        <v>1.043378987842374E-4</v>
      </c>
      <c r="BI286" s="11">
        <v>44468</v>
      </c>
      <c r="BJ286" s="726">
        <v>1.4272522153397674E-6</v>
      </c>
      <c r="BK286" s="726">
        <v>2.8661528827321342E-5</v>
      </c>
      <c r="BL286" s="726">
        <v>6.1326337263542806E-5</v>
      </c>
      <c r="BM286" s="726">
        <v>1.0445048252506025E-4</v>
      </c>
      <c r="BN286" s="726">
        <v>1.7327331339151453E-4</v>
      </c>
      <c r="BO286" s="727">
        <v>8.3256272024791287E-4</v>
      </c>
      <c r="BP286" s="726">
        <v>2.0749920971816407E-3</v>
      </c>
      <c r="BQ286" s="726">
        <v>6.1260881308991101E-3</v>
      </c>
      <c r="BR286" s="726">
        <v>1.1825579718588136E-2</v>
      </c>
      <c r="BS286" s="726">
        <v>2.0075521426383938E-2</v>
      </c>
      <c r="BT286" s="726">
        <v>2.863439776188717E-2</v>
      </c>
      <c r="BW286" s="1186">
        <f>'2018'!R\Max</f>
        <v>0.97178007062855765</v>
      </c>
      <c r="BX286" s="1184">
        <f>'2019'!R\Max</f>
        <v>0.98464558363487931</v>
      </c>
      <c r="BY286" s="1184">
        <f>'2020'!R\Max</f>
        <v>0.6882460206884462</v>
      </c>
      <c r="BZ286" s="1184">
        <f>'2021'!R\Max</f>
        <v>0.70977245317053084</v>
      </c>
      <c r="CA286" s="1184">
        <f>'2022'!R\Max</f>
        <v>0.56580079752547108</v>
      </c>
      <c r="CB286" s="1184">
        <f>'2023'!R\Max</f>
        <v>0.56578042983857291</v>
      </c>
      <c r="CC286" s="1184">
        <f>'2024'!R\Max</f>
        <v>0.56571471430010078</v>
      </c>
      <c r="CD286" s="1184">
        <f>'2025'!R\Max</f>
        <v>0.56584366963491917</v>
      </c>
      <c r="CE286" s="1184">
        <f>'2026'!R\Max</f>
        <v>0.56584254152038838</v>
      </c>
      <c r="CF286" s="1185">
        <f>'2027'!R\Max</f>
        <v>0.56583236586045949</v>
      </c>
    </row>
    <row r="287" spans="1:84" s="6" customFormat="1" ht="11.25" x14ac:dyDescent="0.2">
      <c r="A287" s="11">
        <v>43373</v>
      </c>
      <c r="B287" s="380">
        <f>'2022'!Maxi_hp</f>
        <v>41.406216750872005</v>
      </c>
      <c r="C287" s="13">
        <f>'2022'!An_max</f>
        <v>2018</v>
      </c>
      <c r="D287" s="1062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3">
        <f t="shared" si="119"/>
        <v>7.1428571428571425E-2</v>
      </c>
      <c r="J287" s="746">
        <f t="shared" si="120"/>
        <v>44.816132361512949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5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3">
        <f t="shared" si="124"/>
        <v>0.4642857142857143</v>
      </c>
      <c r="AT287" s="769">
        <f t="shared" si="125"/>
        <v>44.97477689522119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3">
        <f t="shared" si="129"/>
        <v>3.5714285714285712E-2</v>
      </c>
      <c r="AY287" s="769">
        <f t="shared" si="130"/>
        <v>44.801432780675327</v>
      </c>
      <c r="AZ287" s="746">
        <f t="shared" si="134"/>
        <v>44.888104837948262</v>
      </c>
      <c r="BA287" s="643">
        <f t="shared" si="131"/>
        <v>0.92391321091399448</v>
      </c>
      <c r="BC287" s="11">
        <v>43373</v>
      </c>
      <c r="BD287" s="290">
        <f>[3]!FeuilCaduc*(1-Persistant)+Persistant</f>
        <v>0.93431482109526731</v>
      </c>
      <c r="BE287" s="291">
        <f>[3]!CroissVégét</f>
        <v>0.99038925353008489</v>
      </c>
      <c r="BF287" s="816">
        <f>1+[3]!Salcycl*Ksac</f>
        <v>1.0417893526369084</v>
      </c>
      <c r="BH287" s="1053">
        <f t="shared" si="132"/>
        <v>1.4431173837607889E-4</v>
      </c>
      <c r="BI287" s="11">
        <v>44469</v>
      </c>
      <c r="BJ287" s="726">
        <v>1.3648320310923813E-6</v>
      </c>
      <c r="BK287" s="726">
        <v>3.9509986924793182E-5</v>
      </c>
      <c r="BL287" s="726">
        <v>8.526130960999195E-5</v>
      </c>
      <c r="BM287" s="726">
        <v>1.4446630421681178E-4</v>
      </c>
      <c r="BN287" s="726">
        <v>2.3178513451259188E-4</v>
      </c>
      <c r="BO287" s="727">
        <v>1.0019170594021975E-3</v>
      </c>
      <c r="BP287" s="726">
        <v>2.3758386352753114E-3</v>
      </c>
      <c r="BQ287" s="726">
        <v>6.5967254839582167E-3</v>
      </c>
      <c r="BR287" s="726">
        <v>1.2329006281115893E-2</v>
      </c>
      <c r="BS287" s="726">
        <v>2.0477984793947697E-2</v>
      </c>
      <c r="BT287" s="726">
        <v>2.8784775524747206E-2</v>
      </c>
      <c r="BW287" s="1186">
        <f>'2018'!R\Max</f>
        <v>0.92391321091399448</v>
      </c>
      <c r="BX287" s="1184">
        <f>'2019'!R\Max</f>
        <v>0.63147039429638663</v>
      </c>
      <c r="BY287" s="1184">
        <f>'2020'!R\Max</f>
        <v>0.80468201523934657</v>
      </c>
      <c r="BZ287" s="1184">
        <f>'2021'!R\Max</f>
        <v>0.41399199232275552</v>
      </c>
      <c r="CA287" s="1184">
        <f>'2022'!R\Max</f>
        <v>0.69663948379227492</v>
      </c>
      <c r="CB287" s="1184">
        <f>'2023'!R\Max</f>
        <v>0.69662002463851247</v>
      </c>
      <c r="CC287" s="1184">
        <f>'2024'!R\Max</f>
        <v>0.6965608326466507</v>
      </c>
      <c r="CD287" s="1184">
        <f>'2025'!R\Max</f>
        <v>0.69668178137770997</v>
      </c>
      <c r="CE287" s="1184">
        <f>'2026'!R\Max</f>
        <v>0.69668054490055509</v>
      </c>
      <c r="CF287" s="1185">
        <f>'2027'!R\Max</f>
        <v>0.69667026586656211</v>
      </c>
    </row>
    <row r="288" spans="1:84" s="6" customFormat="1" ht="11.25" x14ac:dyDescent="0.2">
      <c r="A288" s="11">
        <v>43374</v>
      </c>
      <c r="B288" s="380">
        <f>'2022'!Maxi_hp</f>
        <v>43.530133856028712</v>
      </c>
      <c r="C288" s="13">
        <f>'2022'!An_max</f>
        <v>2020</v>
      </c>
      <c r="D288" s="1062">
        <f t="shared" si="116"/>
        <v>0.97854389734941183</v>
      </c>
      <c r="E288" s="1057">
        <f>AG$13/10</f>
        <v>44.4846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3">
        <f t="shared" si="119"/>
        <v>0</v>
      </c>
      <c r="J288" s="746">
        <f t="shared" si="120"/>
        <v>44.484599999999048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5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3">
        <f t="shared" si="124"/>
        <v>0.5</v>
      </c>
      <c r="AT288" s="769">
        <f t="shared" si="125"/>
        <v>44.631900000199678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3">
        <f t="shared" si="129"/>
        <v>0</v>
      </c>
      <c r="AY288" s="769">
        <f t="shared" si="130"/>
        <v>44.484599999897185</v>
      </c>
      <c r="AZ288" s="746">
        <f t="shared" si="134"/>
        <v>44.558250000048432</v>
      </c>
      <c r="BA288" s="643">
        <f t="shared" si="131"/>
        <v>0.97854389734941183</v>
      </c>
      <c r="BC288" s="11">
        <v>43374</v>
      </c>
      <c r="BD288" s="290">
        <f>[3]!FeuilCaduc*(1-Persistant)+Persistant</f>
        <v>0.93126535920518227</v>
      </c>
      <c r="BE288" s="291">
        <f>[3]!CroissVégét</f>
        <v>0.99078573093558142</v>
      </c>
      <c r="BF288" s="816">
        <f>1+[3]!Salcycl*Ksac</f>
        <v>1.0414081699006479</v>
      </c>
      <c r="BH288" s="1053">
        <f t="shared" si="132"/>
        <v>1.9095475139558433E-4</v>
      </c>
      <c r="BI288" s="11">
        <v>44470</v>
      </c>
      <c r="BJ288" s="726">
        <v>1.2931330423478298E-6</v>
      </c>
      <c r="BK288" s="726">
        <v>5.2176857575636517E-5</v>
      </c>
      <c r="BL288" s="726">
        <v>1.1320682866986046E-4</v>
      </c>
      <c r="BM288" s="726">
        <v>1.9115825835213735E-4</v>
      </c>
      <c r="BN288" s="726">
        <v>2.9982178817109309E-4</v>
      </c>
      <c r="BO288" s="727">
        <v>1.1905293431168059E-3</v>
      </c>
      <c r="BP288" s="726">
        <v>2.7028956456830698E-3</v>
      </c>
      <c r="BQ288" s="726">
        <v>7.0713487823141847E-3</v>
      </c>
      <c r="BR288" s="726">
        <v>1.2793607367563749E-2</v>
      </c>
      <c r="BS288" s="726">
        <v>2.0793752193305013E-2</v>
      </c>
      <c r="BT288" s="726">
        <v>2.8822164268205275E-2</v>
      </c>
      <c r="BW288" s="1186">
        <f>'2018'!R\Max</f>
        <v>0.62338107941437881</v>
      </c>
      <c r="BX288" s="1184">
        <f>'2019'!R\Max</f>
        <v>0.78744977955976336</v>
      </c>
      <c r="BY288" s="1184">
        <f>'2020'!R\Max</f>
        <v>0.97854389734941183</v>
      </c>
      <c r="BZ288" s="1184">
        <f>'2021'!R\Max</f>
        <v>0.76243747748563884</v>
      </c>
      <c r="CA288" s="1184">
        <f>'2022'!R\Max</f>
        <v>0.84179081884069062</v>
      </c>
      <c r="CB288" s="1184">
        <f>'2023'!R\Max</f>
        <v>0.84177726364540018</v>
      </c>
      <c r="CC288" s="1184">
        <f>'2024'!R\Max</f>
        <v>0.84173847091094711</v>
      </c>
      <c r="CD288" s="1184">
        <f>'2025'!R\Max</f>
        <v>0.84182117625835318</v>
      </c>
      <c r="CE288" s="1184">
        <f>'2026'!R\Max</f>
        <v>0.84182020260787838</v>
      </c>
      <c r="CF288" s="1185">
        <f>'2027'!R\Max</f>
        <v>0.84181267275488225</v>
      </c>
    </row>
    <row r="289" spans="1:84" s="6" customFormat="1" ht="11.25" x14ac:dyDescent="0.2">
      <c r="A289" s="11">
        <v>43375</v>
      </c>
      <c r="B289" s="380">
        <f>'2022'!Maxi_hp</f>
        <v>44.550821163435508</v>
      </c>
      <c r="C289" s="13">
        <f>'2022'!An_max</f>
        <v>2018</v>
      </c>
      <c r="D289" s="1062">
        <f t="shared" si="116"/>
        <v>1.0089659887314031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3">
        <f t="shared" si="119"/>
        <v>7.1428571428571425E-2</v>
      </c>
      <c r="J289" s="746">
        <f t="shared" si="120"/>
        <v>44.154928571428179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5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3">
        <f t="shared" si="124"/>
        <v>0.5357142857142857</v>
      </c>
      <c r="AT289" s="769">
        <f t="shared" si="125"/>
        <v>44.287520043781427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3">
        <f t="shared" si="129"/>
        <v>3.5714285714285712E-2</v>
      </c>
      <c r="AY289" s="769">
        <f t="shared" si="130"/>
        <v>44.167006741989674</v>
      </c>
      <c r="AZ289" s="746">
        <f t="shared" si="134"/>
        <v>44.227263392885547</v>
      </c>
      <c r="BA289" s="643">
        <f t="shared" si="131"/>
        <v>1.0089659887314031</v>
      </c>
      <c r="BC289" s="11">
        <v>43375</v>
      </c>
      <c r="BD289" s="290">
        <f>[3]!FeuilCaduc*(1-Persistant)+Persistant</f>
        <v>0.92810508001352443</v>
      </c>
      <c r="BE289" s="291">
        <f>[3]!CroissVégét</f>
        <v>0.99116654322989417</v>
      </c>
      <c r="BF289" s="816">
        <f>1+[3]!Salcycl*Ksac</f>
        <v>1.0410131350016905</v>
      </c>
      <c r="BH289" s="1053">
        <f t="shared" si="132"/>
        <v>2.4427758788031132E-4</v>
      </c>
      <c r="BI289" s="11">
        <v>44471</v>
      </c>
      <c r="BJ289" s="726">
        <v>1.2121384310650953E-6</v>
      </c>
      <c r="BK289" s="726">
        <v>6.6665042724907487E-5</v>
      </c>
      <c r="BL289" s="726">
        <v>1.4516929715449229E-4</v>
      </c>
      <c r="BM289" s="726">
        <v>2.4453700608606754E-4</v>
      </c>
      <c r="BN289" s="726">
        <v>3.7739850325018738E-4</v>
      </c>
      <c r="BO289" s="727">
        <v>1.3984314713771978E-3</v>
      </c>
      <c r="BP289" s="726">
        <v>3.0562077595828368E-3</v>
      </c>
      <c r="BQ289" s="726">
        <v>7.54997201050789E-3</v>
      </c>
      <c r="BR289" s="726">
        <v>1.3219330768677626E-2</v>
      </c>
      <c r="BS289" s="726">
        <v>2.1022690812463083E-2</v>
      </c>
      <c r="BT289" s="726">
        <v>2.874637597457767E-2</v>
      </c>
      <c r="BW289" s="1186">
        <f>'2018'!R\Max</f>
        <v>1.0089659887314031</v>
      </c>
      <c r="BX289" s="1184">
        <f>'2019'!R\Max</f>
        <v>0.53446699096752659</v>
      </c>
      <c r="BY289" s="1184">
        <f>'2020'!R\Max</f>
        <v>0.19602299831552675</v>
      </c>
      <c r="BZ289" s="1184">
        <f>'2021'!R\Max</f>
        <v>0.93291000683827807</v>
      </c>
      <c r="CA289" s="1184">
        <f>'2022'!R\Max</f>
        <v>0.94547556419352508</v>
      </c>
      <c r="CB289" s="1184">
        <f>'2023'!R\Max</f>
        <v>0.94546978925353509</v>
      </c>
      <c r="CC289" s="1184">
        <f>'2024'!R\Max</f>
        <v>0.94545426974132196</v>
      </c>
      <c r="CD289" s="1184">
        <f>'2025'!R\Max</f>
        <v>0.94548886088541217</v>
      </c>
      <c r="CE289" s="1184">
        <f>'2026'!R\Max</f>
        <v>0.9454883982411586</v>
      </c>
      <c r="CF289" s="1185">
        <f>'2027'!R\Max</f>
        <v>0.94548504071860107</v>
      </c>
    </row>
    <row r="290" spans="1:84" s="6" customFormat="1" ht="11.25" x14ac:dyDescent="0.2">
      <c r="A290" s="11">
        <v>43376</v>
      </c>
      <c r="B290" s="380">
        <f>'2022'!Maxi_hp</f>
        <v>42.516161138689995</v>
      </c>
      <c r="C290" s="13">
        <f>'2022'!An_max</f>
        <v>2018</v>
      </c>
      <c r="D290" s="1062">
        <f t="shared" si="116"/>
        <v>0.9701291882920472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3">
        <f t="shared" si="119"/>
        <v>0.14285714285714285</v>
      </c>
      <c r="J290" s="746">
        <f t="shared" si="120"/>
        <v>43.825257142856884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5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3">
        <f t="shared" si="124"/>
        <v>0.5714285714285714</v>
      </c>
      <c r="AT290" s="769">
        <f t="shared" si="125"/>
        <v>43.942066472502688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3">
        <f t="shared" si="129"/>
        <v>7.1428571428571425E-2</v>
      </c>
      <c r="AY290" s="769">
        <f t="shared" si="130"/>
        <v>43.845727405138312</v>
      </c>
      <c r="AZ290" s="746">
        <f t="shared" si="134"/>
        <v>43.893896938820504</v>
      </c>
      <c r="BA290" s="643">
        <f t="shared" si="131"/>
        <v>0.9701291882920472</v>
      </c>
      <c r="BC290" s="11">
        <v>43376</v>
      </c>
      <c r="BD290" s="290">
        <f>[3]!FeuilCaduc*(1-Persistant)+Persistant</f>
        <v>0.9248322419303654</v>
      </c>
      <c r="BE290" s="291">
        <f>[3]!CroissVégét</f>
        <v>0.99153229792147035</v>
      </c>
      <c r="BF290" s="816">
        <f>1+[3]!Salcycl*Ksac</f>
        <v>1.0406040302412958</v>
      </c>
      <c r="BH290" s="1053">
        <f t="shared" si="132"/>
        <v>3.0985665346138462E-4</v>
      </c>
      <c r="BI290" s="11">
        <v>44472</v>
      </c>
      <c r="BJ290" s="726">
        <v>1.9683612755401185E-6</v>
      </c>
      <c r="BK290" s="726">
        <v>8.5197444815328686E-5</v>
      </c>
      <c r="BL290" s="726">
        <v>1.8493635084193883E-4</v>
      </c>
      <c r="BM290" s="726">
        <v>3.1018363519551333E-4</v>
      </c>
      <c r="BN290" s="726">
        <v>4.7204163584043518E-4</v>
      </c>
      <c r="BO290" s="727">
        <v>1.620341956241222E-3</v>
      </c>
      <c r="BP290" s="726">
        <v>3.4150252278144339E-3</v>
      </c>
      <c r="BQ290" s="726">
        <v>7.9953853534094309E-3</v>
      </c>
      <c r="BR290" s="726">
        <v>1.35699970517901E-2</v>
      </c>
      <c r="BS290" s="726">
        <v>2.1136288139888017E-2</v>
      </c>
      <c r="BT290" s="726">
        <v>2.8541393562845199E-2</v>
      </c>
      <c r="BW290" s="1186">
        <f>'2018'!R\Max</f>
        <v>0.9701291882920472</v>
      </c>
      <c r="BX290" s="1184">
        <f>'2019'!R\Max</f>
        <v>0.7908659368299028</v>
      </c>
      <c r="BY290" s="1184">
        <f>'2020'!R\Max</f>
        <v>0.13795608338830109</v>
      </c>
      <c r="BZ290" s="1184">
        <f>'2021'!R\Max</f>
        <v>0.16434148480104827</v>
      </c>
      <c r="CA290" s="1184">
        <f>'2022'!R\Max</f>
        <v>0.86648479331765005</v>
      </c>
      <c r="CB290" s="1184">
        <f>'2023'!R\Max</f>
        <v>0.86647070743383803</v>
      </c>
      <c r="CC290" s="1184">
        <f>'2024'!R\Max</f>
        <v>0.86643504830920004</v>
      </c>
      <c r="CD290" s="1184">
        <f>'2025'!R\Max</f>
        <v>0.86651805518019787</v>
      </c>
      <c r="CE290" s="1184">
        <f>'2026'!R\Max</f>
        <v>0.86651678530305021</v>
      </c>
      <c r="CF290" s="1185">
        <f>'2027'!R\Max</f>
        <v>0.86650826848466345</v>
      </c>
    </row>
    <row r="291" spans="1:84" s="6" customFormat="1" ht="11.25" x14ac:dyDescent="0.2">
      <c r="A291" s="11">
        <v>43377</v>
      </c>
      <c r="B291" s="380">
        <f>'2022'!Maxi_hp</f>
        <v>42.734559878391323</v>
      </c>
      <c r="C291" s="13">
        <f>'2022'!An_max</f>
        <v>2022</v>
      </c>
      <c r="D291" s="1062">
        <f t="shared" si="116"/>
        <v>0.98250337767857032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3">
        <f t="shared" si="119"/>
        <v>0.21428571428571427</v>
      </c>
      <c r="J291" s="746">
        <f t="shared" si="120"/>
        <v>43.495585714283514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5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3">
        <f t="shared" si="124"/>
        <v>0.6071428571428571</v>
      </c>
      <c r="AT291" s="769">
        <f t="shared" si="125"/>
        <v>43.595968731758845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3">
        <f t="shared" si="129"/>
        <v>0.10714285714285714</v>
      </c>
      <c r="AY291" s="769">
        <f t="shared" si="130"/>
        <v>43.521084074350071</v>
      </c>
      <c r="AZ291" s="746">
        <f t="shared" si="134"/>
        <v>43.558526403054458</v>
      </c>
      <c r="BA291" s="643">
        <f t="shared" si="131"/>
        <v>0.98250337767857032</v>
      </c>
      <c r="BC291" s="11">
        <v>43377</v>
      </c>
      <c r="BD291" s="290">
        <f>[3]!FeuilCaduc*(1-Persistant)+Persistant</f>
        <v>0.92144533031574949</v>
      </c>
      <c r="BE291" s="291">
        <f>[3]!CroissVégét</f>
        <v>0.99188357985413123</v>
      </c>
      <c r="BF291" s="816">
        <f>1+[3]!Salcycl*Ksac</f>
        <v>1.0401806662894686</v>
      </c>
      <c r="BH291" s="1053">
        <f t="shared" si="132"/>
        <v>3.8772857130382873E-4</v>
      </c>
      <c r="BI291" s="11">
        <v>44473</v>
      </c>
      <c r="BJ291" s="726">
        <v>3.571388145067397E-6</v>
      </c>
      <c r="BK291" s="726">
        <v>1.0778870222696616E-4</v>
      </c>
      <c r="BL291" s="726">
        <v>2.3252856012379272E-4</v>
      </c>
      <c r="BM291" s="726">
        <v>3.8813481086399888E-4</v>
      </c>
      <c r="BN291" s="726">
        <v>5.838590120245085E-4</v>
      </c>
      <c r="BO291" s="727">
        <v>1.8491598873722906E-3</v>
      </c>
      <c r="BP291" s="726">
        <v>3.7649469259502747E-3</v>
      </c>
      <c r="BQ291" s="726">
        <v>8.3898040025494978E-3</v>
      </c>
      <c r="BR291" s="726">
        <v>1.3844040615926943E-2</v>
      </c>
      <c r="BS291" s="726">
        <v>2.1161847843093884E-2</v>
      </c>
      <c r="BT291" s="726">
        <v>2.8271986716478223E-2</v>
      </c>
      <c r="BW291" s="1186">
        <f>'2018'!R\Max</f>
        <v>0.96776075399819461</v>
      </c>
      <c r="BX291" s="1184">
        <f>'2019'!R\Max</f>
        <v>0.24079098027024867</v>
      </c>
      <c r="BY291" s="1184">
        <f>'2020'!R\Max</f>
        <v>0.42274001801003636</v>
      </c>
      <c r="BZ291" s="1184">
        <f>'2021'!R\Max</f>
        <v>0.74975509729409306</v>
      </c>
      <c r="CA291" s="1184">
        <f>'2022'!R\Max</f>
        <v>0.98250337767857032</v>
      </c>
      <c r="CB291" s="1184">
        <f>'2023'!R\Max</f>
        <v>0.98250113462354638</v>
      </c>
      <c r="CC291" s="1184">
        <f>'2024'!R\Max</f>
        <v>0.98249576039943698</v>
      </c>
      <c r="CD291" s="1184">
        <f>'2025'!R\Max</f>
        <v>0.98250879573191241</v>
      </c>
      <c r="CE291" s="1184">
        <f>'2026'!R\Max</f>
        <v>0.98250856668965425</v>
      </c>
      <c r="CF291" s="1185">
        <f>'2027'!R\Max</f>
        <v>0.98250716515354541</v>
      </c>
    </row>
    <row r="292" spans="1:84" s="6" customFormat="1" ht="11.25" x14ac:dyDescent="0.2">
      <c r="A292" s="11">
        <v>43378</v>
      </c>
      <c r="B292" s="380">
        <f>'2022'!Maxi_hp</f>
        <v>44.080276283019224</v>
      </c>
      <c r="C292" s="13">
        <f>'2022'!An_max</f>
        <v>2022</v>
      </c>
      <c r="D292" s="1062">
        <f t="shared" si="116"/>
        <v>1.021182500415825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3">
        <f t="shared" si="119"/>
        <v>0.2857142857142857</v>
      </c>
      <c r="J292" s="746">
        <f t="shared" si="120"/>
        <v>43.165914285712645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5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3">
        <f t="shared" si="124"/>
        <v>0.6428571428571429</v>
      </c>
      <c r="AT292" s="769">
        <f t="shared" si="125"/>
        <v>43.249656268342264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3">
        <f t="shared" si="129"/>
        <v>0.14285714285714285</v>
      </c>
      <c r="AY292" s="769">
        <f t="shared" si="130"/>
        <v>43.193398834019902</v>
      </c>
      <c r="AZ292" s="746">
        <f t="shared" si="134"/>
        <v>43.221527551181083</v>
      </c>
      <c r="BA292" s="643">
        <f t="shared" si="131"/>
        <v>1.021182500415825</v>
      </c>
      <c r="BC292" s="11">
        <v>43378</v>
      </c>
      <c r="BD292" s="290">
        <f>[3]!FeuilCaduc*(1-Persistant)+Persistant</f>
        <v>0.9179430799943108</v>
      </c>
      <c r="BE292" s="291">
        <f>[3]!CroissVégét</f>
        <v>0.99222095198209459</v>
      </c>
      <c r="BF292" s="816">
        <f>1+[3]!Salcycl*Ksac</f>
        <v>1.0397428849992889</v>
      </c>
      <c r="BH292" s="1053">
        <f t="shared" si="132"/>
        <v>4.7791296456395832E-4</v>
      </c>
      <c r="BI292" s="11">
        <v>44474</v>
      </c>
      <c r="BJ292" s="726">
        <v>6.0225043423418847E-6</v>
      </c>
      <c r="BK292" s="726">
        <v>1.3444524016365E-4</v>
      </c>
      <c r="BL292" s="726">
        <v>2.8795838377129761E-4</v>
      </c>
      <c r="BM292" s="726">
        <v>4.7841017500077979E-4</v>
      </c>
      <c r="BN292" s="726">
        <v>7.1287807410654177E-4</v>
      </c>
      <c r="BO292" s="727">
        <v>2.084899007564658E-3</v>
      </c>
      <c r="BP292" s="726">
        <v>4.1059640958039023E-3</v>
      </c>
      <c r="BQ292" s="726">
        <v>8.733152961013636E-3</v>
      </c>
      <c r="BR292" s="726">
        <v>1.4041339554243273E-2</v>
      </c>
      <c r="BS292" s="726">
        <v>2.1099216843867674E-2</v>
      </c>
      <c r="BT292" s="726">
        <v>2.7938021979650739E-2</v>
      </c>
      <c r="BW292" s="1186">
        <f>'2018'!R\Max</f>
        <v>0.97951332615927156</v>
      </c>
      <c r="BX292" s="1184">
        <f>'2019'!R\Max</f>
        <v>0.88518109183295079</v>
      </c>
      <c r="BY292" s="1184">
        <f>'2020'!R\Max</f>
        <v>0.51492364712614558</v>
      </c>
      <c r="BZ292" s="1184">
        <f>'2021'!R\Max</f>
        <v>0.33934733481284823</v>
      </c>
      <c r="CA292" s="1184">
        <f>'2022'!R\Max</f>
        <v>1.021182500415825</v>
      </c>
      <c r="CB292" s="1184">
        <f>'2023'!R\Max</f>
        <v>1.0211825004158248</v>
      </c>
      <c r="CC292" s="1184">
        <f>'2024'!R\Max</f>
        <v>1.0211825004158248</v>
      </c>
      <c r="CD292" s="1184">
        <f>'2025'!R\Max</f>
        <v>1.0211825004158248</v>
      </c>
      <c r="CE292" s="1184">
        <f>'2026'!R\Max</f>
        <v>1.0211825004158248</v>
      </c>
      <c r="CF292" s="1185">
        <f>'2027'!R\Max</f>
        <v>1.0211825004158248</v>
      </c>
    </row>
    <row r="293" spans="1:84" s="6" customFormat="1" ht="11.25" x14ac:dyDescent="0.2">
      <c r="A293" s="11">
        <v>43379</v>
      </c>
      <c r="B293" s="380">
        <f>'2022'!Maxi_hp</f>
        <v>39.638043153684698</v>
      </c>
      <c r="C293" s="13">
        <f>'2022'!An_max</f>
        <v>2018</v>
      </c>
      <c r="D293" s="1062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3">
        <f t="shared" si="119"/>
        <v>0.35714285714285715</v>
      </c>
      <c r="J293" s="746">
        <f t="shared" si="120"/>
        <v>42.836242857141769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5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3">
        <f t="shared" si="124"/>
        <v>0.6785714285714286</v>
      </c>
      <c r="AT293" s="769">
        <f t="shared" si="125"/>
        <v>42.903558527768055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3">
        <f t="shared" si="129"/>
        <v>0.17857142857142858</v>
      </c>
      <c r="AY293" s="769">
        <f t="shared" si="130"/>
        <v>42.862993768063774</v>
      </c>
      <c r="AZ293" s="746">
        <f t="shared" si="134"/>
        <v>42.883276147915915</v>
      </c>
      <c r="BA293" s="643">
        <f t="shared" si="131"/>
        <v>0.92533893053779204</v>
      </c>
      <c r="BC293" s="11">
        <v>43379</v>
      </c>
      <c r="BD293" s="290">
        <f>[3]!FeuilCaduc*(1-Persistant)+Persistant</f>
        <v>0.91432449729596932</v>
      </c>
      <c r="BE293" s="291">
        <f>[3]!CroissVégét</f>
        <v>0.99254495612417293</v>
      </c>
      <c r="BF293" s="816">
        <f>1+[3]!Salcycl*Ksac</f>
        <v>1.0392905621619961</v>
      </c>
      <c r="BH293" s="1053">
        <f t="shared" si="132"/>
        <v>5.8042967025298271E-4</v>
      </c>
      <c r="BI293" s="11">
        <v>44475</v>
      </c>
      <c r="BJ293" s="726">
        <v>9.3230265430400068E-6</v>
      </c>
      <c r="BK293" s="726">
        <v>1.6517356824445663E-4</v>
      </c>
      <c r="BL293" s="726">
        <v>3.5123842543547182E-4</v>
      </c>
      <c r="BM293" s="726">
        <v>5.8102958355055005E-4</v>
      </c>
      <c r="BN293" s="726">
        <v>8.5912654983164526E-4</v>
      </c>
      <c r="BO293" s="727">
        <v>2.3275723618626865E-3</v>
      </c>
      <c r="BP293" s="726">
        <v>4.4380660296417023E-3</v>
      </c>
      <c r="BQ293" s="726">
        <v>9.0253531803145357E-3</v>
      </c>
      <c r="BR293" s="726">
        <v>1.416176728742617E-2</v>
      </c>
      <c r="BS293" s="726">
        <v>2.0948237987952308E-2</v>
      </c>
      <c r="BT293" s="726">
        <v>2.7539364214302527E-2</v>
      </c>
      <c r="BW293" s="1186">
        <f>'2018'!R\Max</f>
        <v>0.92533893053779204</v>
      </c>
      <c r="BX293" s="1184">
        <f>'2019'!R\Max</f>
        <v>0.4587211742064693</v>
      </c>
      <c r="BY293" s="1184">
        <f>'2020'!R\Max</f>
        <v>0.6739606152962464</v>
      </c>
      <c r="BZ293" s="1184">
        <f>'2021'!R\Max</f>
        <v>0.66572385006219326</v>
      </c>
      <c r="CA293" s="1184">
        <f>'2022'!R\Max</f>
        <v>0.30034839275635483</v>
      </c>
      <c r="CB293" s="1184">
        <f>'2023'!R\Max</f>
        <v>0.30031796071237526</v>
      </c>
      <c r="CC293" s="1184">
        <f>'2024'!R\Max</f>
        <v>0.30025226754124823</v>
      </c>
      <c r="CD293" s="1184">
        <f>'2025'!R\Max</f>
        <v>0.30042504843729773</v>
      </c>
      <c r="CE293" s="1184">
        <f>'2026'!R\Max</f>
        <v>0.30042103844848134</v>
      </c>
      <c r="CF293" s="1185">
        <f>'2027'!R\Max</f>
        <v>0.30040093973290638</v>
      </c>
    </row>
    <row r="294" spans="1:84" s="6" customFormat="1" ht="11.25" x14ac:dyDescent="0.2">
      <c r="A294" s="11">
        <v>43380</v>
      </c>
      <c r="B294" s="380">
        <f>'2022'!Maxi_hp</f>
        <v>42.817625020301556</v>
      </c>
      <c r="C294" s="13">
        <f>'2022'!An_max</f>
        <v>2021</v>
      </c>
      <c r="D294" s="1062">
        <f t="shared" si="116"/>
        <v>1.0073177765525823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3">
        <f t="shared" si="119"/>
        <v>0.42857142857142855</v>
      </c>
      <c r="J294" s="746">
        <f t="shared" si="120"/>
        <v>42.506571428570894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5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3">
        <f t="shared" si="124"/>
        <v>0.7142857142857143</v>
      </c>
      <c r="AT294" s="769">
        <f t="shared" si="125"/>
        <v>42.558104956349624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3">
        <f t="shared" si="129"/>
        <v>0.21428571428571427</v>
      </c>
      <c r="AY294" s="769">
        <f t="shared" si="130"/>
        <v>42.53019096214058</v>
      </c>
      <c r="AZ294" s="746">
        <f t="shared" si="134"/>
        <v>42.544147959245102</v>
      </c>
      <c r="BA294" s="643">
        <f t="shared" si="131"/>
        <v>1.0073177765525823</v>
      </c>
      <c r="BC294" s="11">
        <v>43380</v>
      </c>
      <c r="BD294" s="290">
        <f>[3]!FeuilCaduc*(1-Persistant)+Persistant</f>
        <v>0.91058888141524863</v>
      </c>
      <c r="BE294" s="291">
        <f>[3]!CroissVégét</f>
        <v>0.9928561136972186</v>
      </c>
      <c r="BF294" s="816">
        <f>1+[3]!Salcycl*Ksac</f>
        <v>1.0388236101769062</v>
      </c>
      <c r="BH294" s="1053">
        <f t="shared" si="132"/>
        <v>6.9529860507487216E-4</v>
      </c>
      <c r="BI294" s="11">
        <v>44476</v>
      </c>
      <c r="BJ294" s="726">
        <v>1.3474293511935319E-5</v>
      </c>
      <c r="BK294" s="726">
        <v>1.9998023617109572E-4</v>
      </c>
      <c r="BL294" s="726">
        <v>4.2238134822238603E-4</v>
      </c>
      <c r="BM294" s="726">
        <v>6.9601297220373774E-4</v>
      </c>
      <c r="BN294" s="726">
        <v>1.0226322649849798E-3</v>
      </c>
      <c r="BO294" s="727">
        <v>2.5771922242855514E-3</v>
      </c>
      <c r="BP294" s="726">
        <v>4.7612401719471422E-3</v>
      </c>
      <c r="BQ294" s="726">
        <v>9.2663221254576811E-3</v>
      </c>
      <c r="BR294" s="726">
        <v>1.4205193409472334E-2</v>
      </c>
      <c r="BS294" s="726">
        <v>2.0708751014229802E-2</v>
      </c>
      <c r="BT294" s="726">
        <v>2.707587730747045E-2</v>
      </c>
      <c r="BW294" s="1186">
        <f>'2018'!R\Max</f>
        <v>0.32005008510935873</v>
      </c>
      <c r="BX294" s="1184">
        <f>'2019'!R\Max</f>
        <v>0.76429191292465037</v>
      </c>
      <c r="BY294" s="1184">
        <f>'2020'!R\Max</f>
        <v>0.17538773407528419</v>
      </c>
      <c r="BZ294" s="1184">
        <f>'2021'!R\Max</f>
        <v>1.0073177765525823</v>
      </c>
      <c r="CA294" s="1184">
        <f>'2022'!R\Max</f>
        <v>0.73999430256957655</v>
      </c>
      <c r="CB294" s="1184">
        <f>'2023'!R\Max</f>
        <v>0.73996536089342779</v>
      </c>
      <c r="CC294" s="1184">
        <f>'2024'!R\Max</f>
        <v>0.7399060306501104</v>
      </c>
      <c r="CD294" s="1184">
        <f>'2025'!R\Max</f>
        <v>0.74006866694529871</v>
      </c>
      <c r="CE294" s="1184">
        <f>'2026'!R\Max</f>
        <v>0.74006434050074654</v>
      </c>
      <c r="CF294" s="1185">
        <f>'2027'!R\Max</f>
        <v>0.74004476152914367</v>
      </c>
    </row>
    <row r="295" spans="1:84" s="6" customFormat="1" ht="11.25" x14ac:dyDescent="0.2">
      <c r="A295" s="11">
        <v>43381</v>
      </c>
      <c r="B295" s="380">
        <f>'2022'!Maxi_hp</f>
        <v>40.412475476580589</v>
      </c>
      <c r="C295" s="13">
        <f>'2022'!An_max</f>
        <v>2019</v>
      </c>
      <c r="D295" s="1062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3">
        <f t="shared" si="119"/>
        <v>0.5</v>
      </c>
      <c r="J295" s="746">
        <f t="shared" si="120"/>
        <v>42.176900000000025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5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3">
        <f t="shared" si="124"/>
        <v>0.75</v>
      </c>
      <c r="AT295" s="769">
        <f t="shared" si="125"/>
        <v>42.213724999944681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3">
        <f t="shared" si="129"/>
        <v>0.25</v>
      </c>
      <c r="AY295" s="769">
        <f t="shared" si="130"/>
        <v>42.195312499767169</v>
      </c>
      <c r="AZ295" s="746">
        <f t="shared" si="134"/>
        <v>42.204518749855922</v>
      </c>
      <c r="BA295" s="643">
        <f t="shared" si="131"/>
        <v>0.95816609273276521</v>
      </c>
      <c r="BC295" s="11">
        <v>43381</v>
      </c>
      <c r="BD295" s="290">
        <f>[3]!FeuilCaduc*(1-Persistant)+Persistant</f>
        <v>0.90673584488131709</v>
      </c>
      <c r="BE295" s="291">
        <f>[3]!CroissVégét</f>
        <v>0.99315492642894099</v>
      </c>
      <c r="BF295" s="816">
        <f>1+[3]!Salcycl*Ksac</f>
        <v>1.0383419806101646</v>
      </c>
      <c r="BH295" s="1053">
        <f t="shared" si="132"/>
        <v>8.2253963126966215E-4</v>
      </c>
      <c r="BI295" s="11">
        <v>44477</v>
      </c>
      <c r="BJ295" s="726">
        <v>1.8477656819107688E-5</v>
      </c>
      <c r="BK295" s="726">
        <v>2.3887178939685077E-4</v>
      </c>
      <c r="BL295" s="726">
        <v>5.0139978927173535E-4</v>
      </c>
      <c r="BM295" s="726">
        <v>8.2338022211224284E-4</v>
      </c>
      <c r="BN295" s="726">
        <v>1.2034229559988755E-3</v>
      </c>
      <c r="BO295" s="727">
        <v>2.8337700245734646E-3</v>
      </c>
      <c r="BP295" s="726">
        <v>5.0754722212260246E-3</v>
      </c>
      <c r="BQ295" s="726">
        <v>9.455974340090597E-3</v>
      </c>
      <c r="BR295" s="726">
        <v>1.4171484533597642E-2</v>
      </c>
      <c r="BS295" s="726">
        <v>2.0380593524100668E-2</v>
      </c>
      <c r="BT295" s="726">
        <v>2.65474248788788E-2</v>
      </c>
      <c r="BW295" s="1186">
        <f>'2018'!R\Max</f>
        <v>0.31680338499973976</v>
      </c>
      <c r="BX295" s="1184">
        <f>'2019'!R\Max</f>
        <v>0.95816609273276521</v>
      </c>
      <c r="BY295" s="1184">
        <f>'2020'!R\Max</f>
        <v>0.73437588492376027</v>
      </c>
      <c r="BZ295" s="1184">
        <f>'2021'!R\Max</f>
        <v>0.91722145510744291</v>
      </c>
      <c r="CA295" s="1184">
        <f>'2022'!R\Max</f>
        <v>0.4064522741728519</v>
      </c>
      <c r="CB295" s="1184">
        <f>'2023'!R\Max</f>
        <v>0.40641489620174015</v>
      </c>
      <c r="CC295" s="1184">
        <f>'2024'!R\Max</f>
        <v>0.40634228286089841</v>
      </c>
      <c r="CD295" s="1184">
        <f>'2025'!R\Max</f>
        <v>0.40655029377564988</v>
      </c>
      <c r="CE295" s="1184">
        <f>'2026'!R\Max</f>
        <v>0.40654395760761874</v>
      </c>
      <c r="CF295" s="1185">
        <f>'2027'!R\Max</f>
        <v>0.40651806898984028</v>
      </c>
    </row>
    <row r="296" spans="1:84" s="6" customFormat="1" ht="11.25" x14ac:dyDescent="0.2">
      <c r="A296" s="11">
        <v>43382</v>
      </c>
      <c r="B296" s="380">
        <f>'2022'!Maxi_hp</f>
        <v>40.332218740710523</v>
      </c>
      <c r="C296" s="13">
        <f>'2022'!An_max</f>
        <v>2022</v>
      </c>
      <c r="D296" s="1062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3">
        <f t="shared" si="119"/>
        <v>0.5714285714285714</v>
      </c>
      <c r="J296" s="746">
        <f t="shared" si="120"/>
        <v>41.847228571427486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5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3">
        <f t="shared" si="124"/>
        <v>0.7857142857142857</v>
      </c>
      <c r="AT296" s="769">
        <f t="shared" si="125"/>
        <v>41.870848104949772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3">
        <f t="shared" si="129"/>
        <v>0.2857142857142857</v>
      </c>
      <c r="AY296" s="769">
        <f t="shared" si="130"/>
        <v>41.858680466456072</v>
      </c>
      <c r="AZ296" s="746">
        <f t="shared" si="134"/>
        <v>41.864764285702918</v>
      </c>
      <c r="BA296" s="643">
        <f t="shared" si="131"/>
        <v>0.9637966507595348</v>
      </c>
      <c r="BC296" s="11">
        <v>43382</v>
      </c>
      <c r="BD296" s="290">
        <f>[3]!FeuilCaduc*(1-Persistant)+Persistant</f>
        <v>0.90276533293247851</v>
      </c>
      <c r="BE296" s="291">
        <f>[3]!CroissVégét</f>
        <v>0.9934418770502661</v>
      </c>
      <c r="BF296" s="816">
        <f>1+[3]!Salcycl*Ksac</f>
        <v>1.0378456666165599</v>
      </c>
      <c r="BH296" s="1053">
        <f t="shared" si="132"/>
        <v>9.529297956933358E-4</v>
      </c>
      <c r="BI296" s="11">
        <v>44478</v>
      </c>
      <c r="BJ296" s="726">
        <v>2.5699975221644056E-5</v>
      </c>
      <c r="BK296" s="726">
        <v>2.8037255031265426E-4</v>
      </c>
      <c r="BL296" s="726">
        <v>5.833480381545555E-4</v>
      </c>
      <c r="BM296" s="726">
        <v>9.5389718435193128E-4</v>
      </c>
      <c r="BN296" s="726">
        <v>1.3874855550446614E-3</v>
      </c>
      <c r="BO296" s="727">
        <v>3.0785424893624244E-3</v>
      </c>
      <c r="BP296" s="726">
        <v>5.3585815054991498E-3</v>
      </c>
      <c r="BQ296" s="726">
        <v>9.5828294494882619E-3</v>
      </c>
      <c r="BR296" s="726">
        <v>1.406176798678805E-2</v>
      </c>
      <c r="BS296" s="726">
        <v>1.9980301125776086E-2</v>
      </c>
      <c r="BT296" s="726">
        <v>2.5975722324104944E-2</v>
      </c>
      <c r="BW296" s="1186">
        <f>'2018'!R\Max</f>
        <v>0.83200849475678262</v>
      </c>
      <c r="BX296" s="1184">
        <f>'2019'!R\Max</f>
        <v>0.2383639018043591</v>
      </c>
      <c r="BY296" s="1184">
        <f>'2020'!R\Max</f>
        <v>0.88672947381791878</v>
      </c>
      <c r="BZ296" s="1184">
        <f>'2021'!R\Max</f>
        <v>0.40434293704578583</v>
      </c>
      <c r="CA296" s="1184">
        <f>'2022'!R\Max</f>
        <v>0.9637966507595348</v>
      </c>
      <c r="CB296" s="1184">
        <f>'2023'!R\Max</f>
        <v>0.96379113261596083</v>
      </c>
      <c r="CC296" s="1184">
        <f>'2024'!R\Max</f>
        <v>0.96378096149901826</v>
      </c>
      <c r="CD296" s="1184">
        <f>'2025'!R\Max</f>
        <v>0.963811397768913</v>
      </c>
      <c r="CE296" s="1184">
        <f>'2026'!R\Max</f>
        <v>0.96381034907760854</v>
      </c>
      <c r="CF296" s="1185">
        <f>'2027'!R\Max</f>
        <v>0.96380644648474412</v>
      </c>
    </row>
    <row r="297" spans="1:84" s="6" customFormat="1" ht="11.25" x14ac:dyDescent="0.2">
      <c r="A297" s="11">
        <v>43383</v>
      </c>
      <c r="B297" s="380">
        <f>'2022'!Maxi_hp</f>
        <v>33.241133995143599</v>
      </c>
      <c r="C297" s="13">
        <f>'2022'!An_max</f>
        <v>2022</v>
      </c>
      <c r="D297" s="1062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3">
        <f t="shared" si="119"/>
        <v>0.6428571428571429</v>
      </c>
      <c r="J297" s="746">
        <f t="shared" si="120"/>
        <v>41.517557142855367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5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3">
        <f t="shared" si="124"/>
        <v>0.8214285714285714</v>
      </c>
      <c r="AT297" s="769">
        <f t="shared" si="125"/>
        <v>41.529903717239257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3">
        <f t="shared" si="129"/>
        <v>0.32142857142857145</v>
      </c>
      <c r="AY297" s="769">
        <f t="shared" si="130"/>
        <v>41.520616945764047</v>
      </c>
      <c r="AZ297" s="746">
        <f t="shared" si="134"/>
        <v>41.525260331501656</v>
      </c>
      <c r="BA297" s="643">
        <f t="shared" si="131"/>
        <v>0.80065245362982462</v>
      </c>
      <c r="BC297" s="11">
        <v>43383</v>
      </c>
      <c r="BD297" s="290">
        <f>[3]!FeuilCaduc*(1-Persistant)+Persistant</f>
        <v>0.89867764159247643</v>
      </c>
      <c r="BE297" s="291">
        <f>[3]!CroissVégét</f>
        <v>0.99371742996744827</v>
      </c>
      <c r="BF297" s="816">
        <f>1+[3]!Salcycl*Ksac</f>
        <v>1.0373347051990596</v>
      </c>
      <c r="BH297" s="1053">
        <f t="shared" si="132"/>
        <v>1.0797955345646744E-3</v>
      </c>
      <c r="BI297" s="11">
        <v>44479</v>
      </c>
      <c r="BJ297" s="726">
        <v>3.5145635423778261E-5</v>
      </c>
      <c r="BK297" s="726">
        <v>3.2266198866667226E-4</v>
      </c>
      <c r="BL297" s="726">
        <v>6.6421652575338226E-4</v>
      </c>
      <c r="BM297" s="726">
        <v>1.0808833220749448E-3</v>
      </c>
      <c r="BN297" s="726">
        <v>1.56523227998423E-3</v>
      </c>
      <c r="BO297" s="727">
        <v>3.2994593510389334E-3</v>
      </c>
      <c r="BP297" s="726">
        <v>5.5989505835579182E-3</v>
      </c>
      <c r="BQ297" s="726">
        <v>9.6610814014205827E-3</v>
      </c>
      <c r="BR297" s="726">
        <v>1.3916975656034848E-2</v>
      </c>
      <c r="BS297" s="726">
        <v>1.9567863590992236E-2</v>
      </c>
      <c r="BT297" s="726">
        <v>2.5409458286870967E-2</v>
      </c>
      <c r="BW297" s="1186">
        <f>'2018'!R\Max</f>
        <v>0.4653039307847856</v>
      </c>
      <c r="BX297" s="1184">
        <f>'2019'!R\Max</f>
        <v>0.72920341621982254</v>
      </c>
      <c r="BY297" s="1184">
        <f>'2020'!R\Max</f>
        <v>0.62084472077280783</v>
      </c>
      <c r="BZ297" s="1184">
        <f>'2021'!R\Max</f>
        <v>0.72654002806553442</v>
      </c>
      <c r="CA297" s="1184">
        <f>'2022'!R\Max</f>
        <v>0.80065245362982462</v>
      </c>
      <c r="CB297" s="1184">
        <f>'2023'!R\Max</f>
        <v>0.80062691137668451</v>
      </c>
      <c r="CC297" s="1184">
        <f>'2024'!R\Max</f>
        <v>0.80058200543105773</v>
      </c>
      <c r="CD297" s="1184">
        <f>'2025'!R\Max</f>
        <v>0.80072191898188849</v>
      </c>
      <c r="CE297" s="1184">
        <f>'2026'!R\Max</f>
        <v>0.80071654162298445</v>
      </c>
      <c r="CF297" s="1185">
        <f>'2027'!R\Max</f>
        <v>0.80069813957148128</v>
      </c>
    </row>
    <row r="298" spans="1:84" s="6" customFormat="1" ht="11.25" x14ac:dyDescent="0.2">
      <c r="A298" s="11">
        <v>43384</v>
      </c>
      <c r="B298" s="380">
        <f>'2022'!Maxi_hp</f>
        <v>42.375150802238252</v>
      </c>
      <c r="C298" s="13">
        <f>'2022'!An_max</f>
        <v>2019</v>
      </c>
      <c r="D298" s="1062">
        <f t="shared" si="116"/>
        <v>1.0288255895480938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3">
        <f t="shared" si="119"/>
        <v>0.7142857142857143</v>
      </c>
      <c r="J298" s="746">
        <f t="shared" si="120"/>
        <v>41.187885714284491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5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3">
        <f t="shared" si="124"/>
        <v>0.8571428571428571</v>
      </c>
      <c r="AT298" s="769">
        <f t="shared" si="125"/>
        <v>41.191321282780599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3">
        <f t="shared" si="129"/>
        <v>0.35714285714285715</v>
      </c>
      <c r="AY298" s="769">
        <f t="shared" si="130"/>
        <v>41.181444023230242</v>
      </c>
      <c r="AZ298" s="746">
        <f t="shared" si="134"/>
        <v>41.186382653005424</v>
      </c>
      <c r="BA298" s="643">
        <f t="shared" si="131"/>
        <v>1.0288255895480938</v>
      </c>
      <c r="BC298" s="11">
        <v>43384</v>
      </c>
      <c r="BD298" s="290">
        <f>[3]!FeuilCaduc*(1-Persistant)+Persistant</f>
        <v>0.89447343425168757</v>
      </c>
      <c r="BE298" s="291">
        <f>[3]!CroissVégét</f>
        <v>0.99398203191418089</v>
      </c>
      <c r="BF298" s="816">
        <f>1+[3]!Salcycl*Ksac</f>
        <v>1.0368091792814609</v>
      </c>
      <c r="BH298" s="1053">
        <f t="shared" si="132"/>
        <v>1.2031307279629362E-3</v>
      </c>
      <c r="BI298" s="11">
        <v>44480</v>
      </c>
      <c r="BJ298" s="726">
        <v>4.681812125713889E-5</v>
      </c>
      <c r="BK298" s="726">
        <v>3.6574117795643159E-4</v>
      </c>
      <c r="BL298" s="726">
        <v>7.4400320336875502E-4</v>
      </c>
      <c r="BM298" s="726">
        <v>1.2043325047040266E-3</v>
      </c>
      <c r="BN298" s="726">
        <v>1.7366523426172518E-3</v>
      </c>
      <c r="BO298" s="727">
        <v>3.4964806656947378E-3</v>
      </c>
      <c r="BP298" s="726">
        <v>5.7965075204414384E-3</v>
      </c>
      <c r="BQ298" s="726">
        <v>9.6906438725183203E-3</v>
      </c>
      <c r="BR298" s="726">
        <v>1.3737036678374483E-2</v>
      </c>
      <c r="BS298" s="726">
        <v>1.9143238491746487E-2</v>
      </c>
      <c r="BT298" s="726">
        <v>2.4848610720437536E-2</v>
      </c>
      <c r="BW298" s="1186">
        <f>'2018'!R\Max</f>
        <v>0.75152765788784304</v>
      </c>
      <c r="BX298" s="1184">
        <f>'2019'!R\Max</f>
        <v>1.0288255895480938</v>
      </c>
      <c r="BY298" s="1184">
        <f>'2020'!R\Max</f>
        <v>0.56223479979474322</v>
      </c>
      <c r="BZ298" s="1184">
        <f>'2021'!R\Max</f>
        <v>1.0139392711953765</v>
      </c>
      <c r="CA298" s="1184">
        <f>'2022'!R\Max</f>
        <v>0.58686977296211584</v>
      </c>
      <c r="CB298" s="1184">
        <f>'2023'!R\Max</f>
        <v>0.58683083733108055</v>
      </c>
      <c r="CC298" s="1184">
        <f>'2024'!R\Max</f>
        <v>0.58676521127719905</v>
      </c>
      <c r="CD298" s="1184">
        <f>'2025'!R\Max</f>
        <v>0.58697739715972486</v>
      </c>
      <c r="CE298" s="1184">
        <f>'2026'!R\Max</f>
        <v>0.58696838848455712</v>
      </c>
      <c r="CF298" s="1185">
        <f>'2027'!R\Max</f>
        <v>0.5869398765686118</v>
      </c>
    </row>
    <row r="299" spans="1:84" s="6" customFormat="1" ht="11.25" x14ac:dyDescent="0.2">
      <c r="A299" s="11">
        <v>43385</v>
      </c>
      <c r="B299" s="380">
        <f>'2022'!Maxi_hp</f>
        <v>39.768274465309958</v>
      </c>
      <c r="C299" s="13">
        <f>'2022'!An_max</f>
        <v>2021</v>
      </c>
      <c r="D299" s="1062">
        <f t="shared" si="116"/>
        <v>0.97332385079822814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3">
        <f t="shared" si="119"/>
        <v>0.7857142857142857</v>
      </c>
      <c r="J299" s="746">
        <f t="shared" si="120"/>
        <v>40.858214285713622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5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3">
        <f t="shared" si="124"/>
        <v>0.8928571428571429</v>
      </c>
      <c r="AT299" s="769">
        <f t="shared" si="125"/>
        <v>40.855530247847284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3">
        <f t="shared" si="129"/>
        <v>0.39285714285714285</v>
      </c>
      <c r="AY299" s="769">
        <f t="shared" si="130"/>
        <v>40.841483782910345</v>
      </c>
      <c r="AZ299" s="746">
        <f t="shared" si="134"/>
        <v>40.848507015378814</v>
      </c>
      <c r="BA299" s="643">
        <f t="shared" si="131"/>
        <v>0.97332385079822814</v>
      </c>
      <c r="BC299" s="11">
        <v>43385</v>
      </c>
      <c r="BD299" s="290">
        <f>[3]!FeuilCaduc*(1-Persistant)+Persistant</f>
        <v>0.8901537565639891</v>
      </c>
      <c r="BE299" s="291">
        <f>[3]!CroissVégét</f>
        <v>0.99423611258398381</v>
      </c>
      <c r="BF299" s="816">
        <f>1+[3]!Salcycl*Ksac</f>
        <v>1.0362692195704986</v>
      </c>
      <c r="BH299" s="1053">
        <f t="shared" si="132"/>
        <v>1.3229286815016734E-3</v>
      </c>
      <c r="BI299" s="11">
        <v>44481</v>
      </c>
      <c r="BJ299" s="726">
        <v>6.0720888289744903E-5</v>
      </c>
      <c r="BK299" s="726">
        <v>4.0961101164320598E-4</v>
      </c>
      <c r="BL299" s="726">
        <v>8.2270566292098391E-4</v>
      </c>
      <c r="BM299" s="726">
        <v>1.3242380266332242E-3</v>
      </c>
      <c r="BN299" s="726">
        <v>1.9017341419014179E-3</v>
      </c>
      <c r="BO299" s="727">
        <v>3.6695653881604904E-3</v>
      </c>
      <c r="BP299" s="726">
        <v>5.9511790888719411E-3</v>
      </c>
      <c r="BQ299" s="726">
        <v>9.6714299326156397E-3</v>
      </c>
      <c r="BR299" s="726">
        <v>1.3521880651093705E-2</v>
      </c>
      <c r="BS299" s="726">
        <v>1.8706385181311111E-2</v>
      </c>
      <c r="BT299" s="726">
        <v>2.4293160150367355E-2</v>
      </c>
      <c r="BW299" s="1186">
        <f>'2018'!R\Max</f>
        <v>0.86076301993139481</v>
      </c>
      <c r="BX299" s="1184">
        <f>'2019'!R\Max</f>
        <v>0.51091211910310241</v>
      </c>
      <c r="BY299" s="1184">
        <f>'2020'!R\Max</f>
        <v>0.40592763123446651</v>
      </c>
      <c r="BZ299" s="1184">
        <f>'2021'!R\Max</f>
        <v>0.97332385079822814</v>
      </c>
      <c r="CA299" s="1184">
        <f>'2022'!R\Max</f>
        <v>0.73902221159904713</v>
      </c>
      <c r="CB299" s="1184">
        <f>'2023'!R\Max</f>
        <v>0.7389913876509594</v>
      </c>
      <c r="CC299" s="1184">
        <f>'2024'!R\Max</f>
        <v>0.73894133243109594</v>
      </c>
      <c r="CD299" s="1184">
        <f>'2025'!R\Max</f>
        <v>0.73910871702419023</v>
      </c>
      <c r="CE299" s="1184">
        <f>'2026'!R\Max</f>
        <v>0.73910091869867489</v>
      </c>
      <c r="CF299" s="1185">
        <f>'2027'!R\Max</f>
        <v>0.73907802475477846</v>
      </c>
    </row>
    <row r="300" spans="1:84" s="6" customFormat="1" ht="11.25" x14ac:dyDescent="0.2">
      <c r="A300" s="11">
        <v>43386</v>
      </c>
      <c r="B300" s="380">
        <f>'2022'!Maxi_hp</f>
        <v>39.855056795061437</v>
      </c>
      <c r="C300" s="13">
        <f>'2022'!An_max</f>
        <v>2019</v>
      </c>
      <c r="D300" s="1062">
        <f t="shared" si="116"/>
        <v>0.98338242594965108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3">
        <f t="shared" si="119"/>
        <v>0.8571428571428571</v>
      </c>
      <c r="J300" s="746">
        <f t="shared" si="120"/>
        <v>40.528542857142746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5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3">
        <f t="shared" si="124"/>
        <v>0.9285714285714286</v>
      </c>
      <c r="AT300" s="769">
        <f t="shared" si="125"/>
        <v>40.522960058247136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3">
        <f t="shared" si="129"/>
        <v>0.42857142857142855</v>
      </c>
      <c r="AY300" s="769">
        <f t="shared" si="130"/>
        <v>40.501058308993059</v>
      </c>
      <c r="AZ300" s="746">
        <f t="shared" si="134"/>
        <v>40.512009183620094</v>
      </c>
      <c r="BA300" s="643">
        <f t="shared" si="131"/>
        <v>0.98338242594965108</v>
      </c>
      <c r="BC300" s="11">
        <v>43386</v>
      </c>
      <c r="BD300" s="290">
        <f>[3]!FeuilCaduc*(1-Persistant)+Persistant</f>
        <v>0.88572004947976746</v>
      </c>
      <c r="BE300" s="291">
        <f>[3]!CroissVégét</f>
        <v>0.99448008524317211</v>
      </c>
      <c r="BF300" s="816">
        <f>1+[3]!Salcycl*Ksac</f>
        <v>1.0357150061849709</v>
      </c>
      <c r="BH300" s="1053">
        <f t="shared" si="132"/>
        <v>1.4391821663850668E-3</v>
      </c>
      <c r="BI300" s="11">
        <v>44482</v>
      </c>
      <c r="BJ300" s="726">
        <v>7.6857339586331588E-5</v>
      </c>
      <c r="BK300" s="726">
        <v>4.542721950015147E-4</v>
      </c>
      <c r="BL300" s="726">
        <v>9.0032114970516866E-4</v>
      </c>
      <c r="BM300" s="726">
        <v>1.4405926473556833E-3</v>
      </c>
      <c r="BN300" s="726">
        <v>2.0604653351644227E-3</v>
      </c>
      <c r="BO300" s="727">
        <v>3.8186716358148708E-3</v>
      </c>
      <c r="BP300" s="726">
        <v>6.0628912401290078E-3</v>
      </c>
      <c r="BQ300" s="726">
        <v>9.6033525780580119E-3</v>
      </c>
      <c r="BR300" s="726">
        <v>1.3271438014440364E-2</v>
      </c>
      <c r="BS300" s="726">
        <v>1.8257264922890027E-2</v>
      </c>
      <c r="BT300" s="726">
        <v>2.3743089608979241E-2</v>
      </c>
      <c r="BW300" s="1186">
        <f>'2018'!R\Max</f>
        <v>0.70127018837821842</v>
      </c>
      <c r="BX300" s="1184">
        <f>'2019'!R\Max</f>
        <v>0.98338242594965108</v>
      </c>
      <c r="BY300" s="1184">
        <f>'2020'!R\Max</f>
        <v>0.60021782538826074</v>
      </c>
      <c r="BZ300" s="1184">
        <f>'2021'!R\Max</f>
        <v>0.96237424434376284</v>
      </c>
      <c r="CA300" s="1184">
        <f>'2022'!R\Max</f>
        <v>0.6148569435050073</v>
      </c>
      <c r="CB300" s="1184">
        <f>'2023'!R\Max</f>
        <v>0.61481960231387134</v>
      </c>
      <c r="CC300" s="1184">
        <f>'2024'!R\Max</f>
        <v>0.61476091736565519</v>
      </c>
      <c r="CD300" s="1184">
        <f>'2025'!R\Max</f>
        <v>0.61496331245325442</v>
      </c>
      <c r="CE300" s="1184">
        <f>'2026'!R\Max</f>
        <v>0.61495300178499146</v>
      </c>
      <c r="CF300" s="1185">
        <f>'2027'!R\Max</f>
        <v>0.61492490483887374</v>
      </c>
    </row>
    <row r="301" spans="1:84" s="6" customFormat="1" ht="11.25" x14ac:dyDescent="0.2">
      <c r="A301" s="11">
        <v>43387</v>
      </c>
      <c r="B301" s="380">
        <f>'2022'!Maxi_hp</f>
        <v>41.909965007378638</v>
      </c>
      <c r="C301" s="13">
        <f>'2022'!An_max</f>
        <v>2021</v>
      </c>
      <c r="D301" s="1062">
        <f t="shared" si="116"/>
        <v>1.0425657118720353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3">
        <f t="shared" si="119"/>
        <v>0.9285714285714286</v>
      </c>
      <c r="J301" s="746">
        <f t="shared" si="120"/>
        <v>40.19887142856917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5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3">
        <f t="shared" si="124"/>
        <v>0.9642857142857143</v>
      </c>
      <c r="AT301" s="769">
        <f t="shared" si="125"/>
        <v>40.194040160443237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3">
        <f t="shared" si="129"/>
        <v>0.4642857142857143</v>
      </c>
      <c r="AY301" s="769">
        <f t="shared" si="130"/>
        <v>40.160489686691605</v>
      </c>
      <c r="AZ301" s="746">
        <f t="shared" si="134"/>
        <v>40.177264923567421</v>
      </c>
      <c r="BA301" s="643">
        <f t="shared" si="131"/>
        <v>1.0425657118720353</v>
      </c>
      <c r="BC301" s="11">
        <v>43387</v>
      </c>
      <c r="BD301" s="290">
        <f>[3]!FeuilCaduc*(1-Persistant)+Persistant</f>
        <v>0.88117416024711881</v>
      </c>
      <c r="BE301" s="291">
        <f>[3]!CroissVégét</f>
        <v>0.99471434732473374</v>
      </c>
      <c r="BF301" s="816">
        <f>1+[3]!Salcycl*Ksac</f>
        <v>1.0351467700308898</v>
      </c>
      <c r="BH301" s="1053">
        <f t="shared" si="132"/>
        <v>1.5518834594769075E-3</v>
      </c>
      <c r="BI301" s="11">
        <v>44483</v>
      </c>
      <c r="BJ301" s="726">
        <v>9.5230801469238695E-5</v>
      </c>
      <c r="BK301" s="726">
        <v>4.9972523697251791E-4</v>
      </c>
      <c r="BL301" s="726">
        <v>9.7684657515406648E-4</v>
      </c>
      <c r="BM301" s="726">
        <v>1.5533886316041051E-3</v>
      </c>
      <c r="BN301" s="726">
        <v>2.2128329093341315E-3</v>
      </c>
      <c r="BO301" s="727">
        <v>3.9437569524288767E-3</v>
      </c>
      <c r="BP301" s="726">
        <v>6.1315695749809239E-3</v>
      </c>
      <c r="BQ301" s="726">
        <v>9.4863252651028167E-3</v>
      </c>
      <c r="BR301" s="726">
        <v>1.298564043446359E-2</v>
      </c>
      <c r="BS301" s="726">
        <v>1.7795841018454467E-2</v>
      </c>
      <c r="BT301" s="726">
        <v>2.3198384570034272E-2</v>
      </c>
      <c r="BW301" s="1186">
        <f>'2018'!R\Max</f>
        <v>0.88844904140421466</v>
      </c>
      <c r="BX301" s="1184">
        <f>'2019'!R\Max</f>
        <v>0.33670436670833365</v>
      </c>
      <c r="BY301" s="1184">
        <f>'2020'!R\Max</f>
        <v>0.5592118149079196</v>
      </c>
      <c r="BZ301" s="1184">
        <f>'2021'!R\Max</f>
        <v>1.0425657118720353</v>
      </c>
      <c r="CA301" s="1184">
        <f>'2022'!R\Max</f>
        <v>0.52619212894284495</v>
      </c>
      <c r="CB301" s="1184">
        <f>'2023'!R\Max</f>
        <v>0.52615368842068921</v>
      </c>
      <c r="CC301" s="1184">
        <f>'2024'!R\Max</f>
        <v>0.52609495462705635</v>
      </c>
      <c r="CD301" s="1184">
        <f>'2025'!R\Max</f>
        <v>0.52630326360965496</v>
      </c>
      <c r="CE301" s="1184">
        <f>'2026'!R\Max</f>
        <v>0.52629167959627532</v>
      </c>
      <c r="CF301" s="1185">
        <f>'2027'!R\Max</f>
        <v>0.52626241095089865</v>
      </c>
    </row>
    <row r="302" spans="1:84" s="6" customFormat="1" ht="11.25" x14ac:dyDescent="0.2">
      <c r="A302" s="11">
        <v>43388</v>
      </c>
      <c r="B302" s="380">
        <f>'2022'!Maxi_hp</f>
        <v>39.182881096445506</v>
      </c>
      <c r="C302" s="13">
        <f>'2022'!An_max</f>
        <v>2022</v>
      </c>
      <c r="D302" s="1062">
        <f t="shared" si="116"/>
        <v>0.98278573677042391</v>
      </c>
      <c r="E302" s="1057">
        <f>AH$13/10</f>
        <v>39.869199999999999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3">
        <f t="shared" si="119"/>
        <v>1</v>
      </c>
      <c r="J302" s="746">
        <f t="shared" si="120"/>
        <v>39.869199999998088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5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3">
        <f t="shared" si="124"/>
        <v>1</v>
      </c>
      <c r="AT302" s="769">
        <f t="shared" si="125"/>
        <v>39.869200000073761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3">
        <f t="shared" si="129"/>
        <v>0.5</v>
      </c>
      <c r="AY302" s="769">
        <f t="shared" si="130"/>
        <v>39.82009999975562</v>
      </c>
      <c r="AZ302" s="746">
        <f t="shared" si="134"/>
        <v>39.844649999914694</v>
      </c>
      <c r="BA302" s="643">
        <f t="shared" si="131"/>
        <v>0.98278573677042391</v>
      </c>
      <c r="BC302" s="11">
        <v>43388</v>
      </c>
      <c r="BD302" s="290">
        <f>[3]!FeuilCaduc*(1-Persistant)+Persistant</f>
        <v>0.87651835122667876</v>
      </c>
      <c r="BE302" s="291">
        <f>[3]!CroissVégét</f>
        <v>0.99493928100346574</v>
      </c>
      <c r="BF302" s="816">
        <f>1+[3]!Salcycl*Ksac</f>
        <v>1.0345647939033349</v>
      </c>
      <c r="BH302" s="1053">
        <f t="shared" si="132"/>
        <v>1.6610243833574212E-3</v>
      </c>
      <c r="BI302" s="11">
        <v>44484</v>
      </c>
      <c r="BJ302" s="726">
        <v>1.1584449927883321E-4</v>
      </c>
      <c r="BK302" s="726">
        <v>5.4597044201372543E-4</v>
      </c>
      <c r="BL302" s="726">
        <v>1.0522785295934572E-3</v>
      </c>
      <c r="BM302" s="726">
        <v>1.6626177894790331E-3</v>
      </c>
      <c r="BN302" s="726">
        <v>2.3588232521512121E-3</v>
      </c>
      <c r="BO302" s="727">
        <v>4.0447785719749801E-3</v>
      </c>
      <c r="BP302" s="726">
        <v>6.157139814557927E-3</v>
      </c>
      <c r="BQ302" s="726">
        <v>9.3202624432235405E-3</v>
      </c>
      <c r="BR302" s="726">
        <v>1.2664421185717891E-2</v>
      </c>
      <c r="BS302" s="726">
        <v>1.7322078937389476E-2</v>
      </c>
      <c r="BT302" s="726">
        <v>2.2659032883176691E-2</v>
      </c>
      <c r="BW302" s="1186">
        <f>'2018'!R\Max</f>
        <v>0.27375488842494022</v>
      </c>
      <c r="BX302" s="1184">
        <f>'2019'!R\Max</f>
        <v>0.80828354064912233</v>
      </c>
      <c r="BY302" s="1184">
        <f>'2020'!R\Max</f>
        <v>0.39035649871254341</v>
      </c>
      <c r="BZ302" s="1184">
        <f>'2021'!R\Max</f>
        <v>0.86036033572031889</v>
      </c>
      <c r="CA302" s="1184">
        <f>'2022'!R\Max</f>
        <v>0.98278573677042391</v>
      </c>
      <c r="CB302" s="1184">
        <f>'2023'!R\Max</f>
        <v>0.98278321066263608</v>
      </c>
      <c r="CC302" s="1184">
        <f>'2024'!R\Max</f>
        <v>0.98277943994467709</v>
      </c>
      <c r="CD302" s="1184">
        <f>'2025'!R\Max</f>
        <v>0.98279314903384762</v>
      </c>
      <c r="CE302" s="1184">
        <f>'2026'!R\Max</f>
        <v>0.98279231701817527</v>
      </c>
      <c r="CF302" s="1185">
        <f>'2027'!R\Max</f>
        <v>0.98279037323738405</v>
      </c>
    </row>
    <row r="303" spans="1:84" s="6" customFormat="1" ht="11.25" x14ac:dyDescent="0.2">
      <c r="A303" s="11">
        <v>43389</v>
      </c>
      <c r="B303" s="380">
        <f>'2022'!Maxi_hp</f>
        <v>38.517225515333379</v>
      </c>
      <c r="C303" s="13">
        <f>'2022'!An_max</f>
        <v>2021</v>
      </c>
      <c r="D303" s="1062">
        <f t="shared" si="116"/>
        <v>0.97416770855452417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3">
        <f t="shared" si="119"/>
        <v>0.9285714285714286</v>
      </c>
      <c r="J303" s="746">
        <f t="shared" si="120"/>
        <v>39.538598104925349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5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3">
        <f t="shared" si="124"/>
        <v>0.9642857142857143</v>
      </c>
      <c r="AT303" s="769">
        <f t="shared" si="125"/>
        <v>39.545283596071286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3">
        <f t="shared" si="129"/>
        <v>0.5357142857142857</v>
      </c>
      <c r="AY303" s="769">
        <f t="shared" si="130"/>
        <v>39.480211333804093</v>
      </c>
      <c r="AZ303" s="746">
        <f t="shared" si="134"/>
        <v>39.512747464937689</v>
      </c>
      <c r="BA303" s="643">
        <f t="shared" si="131"/>
        <v>0.97416770855452417</v>
      </c>
      <c r="BC303" s="11">
        <v>43389</v>
      </c>
      <c r="BD303" s="290">
        <f>[3]!FeuilCaduc*(1-Persistant)+Persistant</f>
        <v>0.8717553063806176</v>
      </c>
      <c r="BE303" s="291">
        <f>[3]!CroissVégét</f>
        <v>0.99515525375273173</v>
      </c>
      <c r="BF303" s="816">
        <f>1+[3]!Salcycl*Ksac</f>
        <v>1.0339694132975772</v>
      </c>
      <c r="BH303" s="1053">
        <f t="shared" si="132"/>
        <v>1.7665963463843965E-3</v>
      </c>
      <c r="BI303" s="11">
        <v>44485</v>
      </c>
      <c r="BJ303" s="726">
        <v>1.3870153313408259E-4</v>
      </c>
      <c r="BK303" s="726">
        <v>5.9300790194999971E-4</v>
      </c>
      <c r="BL303" s="726">
        <v>1.1266132950001498E-3</v>
      </c>
      <c r="BM303" s="726">
        <v>1.768271516581447E-3</v>
      </c>
      <c r="BN303" s="726">
        <v>2.4984222233879832E-3</v>
      </c>
      <c r="BO303" s="727">
        <v>4.1216936824491276E-3</v>
      </c>
      <c r="BP303" s="726">
        <v>6.139528271247096E-3</v>
      </c>
      <c r="BQ303" s="726">
        <v>9.1050800884507899E-3</v>
      </c>
      <c r="BR303" s="726">
        <v>1.2307715534020032E-2</v>
      </c>
      <c r="BS303" s="726">
        <v>1.6835946445214391E-2</v>
      </c>
      <c r="BT303" s="726">
        <v>2.2125024708470806E-2</v>
      </c>
      <c r="BW303" s="1186">
        <f>'2018'!R\Max</f>
        <v>0.45680481507970316</v>
      </c>
      <c r="BX303" s="1184">
        <f>'2019'!R\Max</f>
        <v>0.88843608331906609</v>
      </c>
      <c r="BY303" s="1184">
        <f>'2020'!R\Max</f>
        <v>0.48533884295256874</v>
      </c>
      <c r="BZ303" s="1184">
        <f>'2021'!R\Max</f>
        <v>0.97416770855452417</v>
      </c>
      <c r="CA303" s="1184">
        <f>'2022'!R\Max</f>
        <v>0.8900213728467854</v>
      </c>
      <c r="CB303" s="1184">
        <f>'2023'!R\Max</f>
        <v>0.89000737145194952</v>
      </c>
      <c r="CC303" s="1184">
        <f>'2024'!R\Max</f>
        <v>0.88998685594810123</v>
      </c>
      <c r="CD303" s="1184">
        <f>'2025'!R\Max</f>
        <v>0.89006311703318286</v>
      </c>
      <c r="CE303" s="1184">
        <f>'2026'!R\Max</f>
        <v>0.89005805347004507</v>
      </c>
      <c r="CF303" s="1185">
        <f>'2027'!R\Max</f>
        <v>0.89004716699511999</v>
      </c>
    </row>
    <row r="304" spans="1:84" s="6" customFormat="1" ht="11.25" x14ac:dyDescent="0.2">
      <c r="A304" s="11">
        <v>43390</v>
      </c>
      <c r="B304" s="380">
        <f>'2022'!Maxi_hp</f>
        <v>36.170374756257267</v>
      </c>
      <c r="C304" s="13">
        <f>'2022'!An_max</f>
        <v>2021</v>
      </c>
      <c r="D304" s="1062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3">
        <f t="shared" si="119"/>
        <v>0.8571428571428571</v>
      </c>
      <c r="J304" s="746">
        <f t="shared" si="120"/>
        <v>39.206421574324899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5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3">
        <f t="shared" si="124"/>
        <v>0.9285714285714286</v>
      </c>
      <c r="AT304" s="769">
        <f t="shared" si="125"/>
        <v>39.21907233965716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3">
        <f t="shared" si="129"/>
        <v>0.5714285714285714</v>
      </c>
      <c r="AY304" s="769">
        <f t="shared" si="130"/>
        <v>39.141145772274051</v>
      </c>
      <c r="AZ304" s="746">
        <f t="shared" si="134"/>
        <v>39.180109055965602</v>
      </c>
      <c r="BA304" s="643">
        <f t="shared" si="131"/>
        <v>0.92256251154387814</v>
      </c>
      <c r="BC304" s="11">
        <v>43390</v>
      </c>
      <c r="BD304" s="290">
        <f>[3]!FeuilCaduc*(1-Persistant)+Persistant</f>
        <v>0.86688813531301845</v>
      </c>
      <c r="BE304" s="291">
        <f>[3]!CroissVégét</f>
        <v>0.99536261888322142</v>
      </c>
      <c r="BF304" s="816">
        <f>1+[3]!Salcycl*Ksac</f>
        <v>1.0333610169141274</v>
      </c>
      <c r="BH304" s="1053">
        <f t="shared" si="132"/>
        <v>1.8606041527805025E-3</v>
      </c>
      <c r="BI304" s="11">
        <v>44486</v>
      </c>
      <c r="BJ304" s="726">
        <v>1.6308664274680449E-4</v>
      </c>
      <c r="BK304" s="726">
        <v>6.3798384028557989E-4</v>
      </c>
      <c r="BL304" s="726">
        <v>1.1945777018280283E-3</v>
      </c>
      <c r="BM304" s="726">
        <v>1.8623474921684278E-3</v>
      </c>
      <c r="BN304" s="726">
        <v>2.6207676063023468E-3</v>
      </c>
      <c r="BO304" s="727">
        <v>4.169574143954643E-3</v>
      </c>
      <c r="BP304" s="726">
        <v>6.0815636008611012E-3</v>
      </c>
      <c r="BQ304" s="726">
        <v>8.8536066216533624E-3</v>
      </c>
      <c r="BR304" s="726">
        <v>1.1933678786928673E-2</v>
      </c>
      <c r="BS304" s="726">
        <v>1.6361554774836445E-2</v>
      </c>
      <c r="BT304" s="726">
        <v>2.1626844519094291E-2</v>
      </c>
      <c r="BW304" s="1186">
        <f>'2018'!R\Max</f>
        <v>0.55660010356820067</v>
      </c>
      <c r="BX304" s="1184">
        <f>'2019'!R\Max</f>
        <v>0.52253698570736473</v>
      </c>
      <c r="BY304" s="1184">
        <f>'2020'!R\Max</f>
        <v>0.26045506029334164</v>
      </c>
      <c r="BZ304" s="1184">
        <f>'2021'!R\Max</f>
        <v>0.92256251154387814</v>
      </c>
      <c r="CA304" s="1184">
        <f>'2022'!R\Max</f>
        <v>0.54460197335980887</v>
      </c>
      <c r="CB304" s="1184">
        <f>'2023'!R\Max</f>
        <v>0.54456826474001785</v>
      </c>
      <c r="CC304" s="1184">
        <f>'2024'!R\Max</f>
        <v>0.54451953880136339</v>
      </c>
      <c r="CD304" s="1184">
        <f>'2025'!R\Max</f>
        <v>0.54470411837319577</v>
      </c>
      <c r="CE304" s="1184">
        <f>'2026'!R\Max</f>
        <v>0.54469075029236091</v>
      </c>
      <c r="CF304" s="1185">
        <f>'2027'!R\Max</f>
        <v>0.54466428323998373</v>
      </c>
    </row>
    <row r="305" spans="1:84" s="6" customFormat="1" ht="11.25" x14ac:dyDescent="0.2">
      <c r="A305" s="11">
        <v>43391</v>
      </c>
      <c r="B305" s="380">
        <f>'2022'!Maxi_hp</f>
        <v>37.794322636082605</v>
      </c>
      <c r="C305" s="13">
        <f>'2022'!An_max</f>
        <v>2020</v>
      </c>
      <c r="D305" s="1062">
        <f t="shared" si="116"/>
        <v>0.97224874727643562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3">
        <f t="shared" si="119"/>
        <v>0.7857142857142857</v>
      </c>
      <c r="J305" s="746">
        <f t="shared" si="120"/>
        <v>38.873099854287283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5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3">
        <f t="shared" si="124"/>
        <v>0.8928571428571429</v>
      </c>
      <c r="AT305" s="769">
        <f t="shared" si="125"/>
        <v>38.890901735627892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3">
        <f t="shared" si="129"/>
        <v>0.6071428571428571</v>
      </c>
      <c r="AY305" s="769">
        <f t="shared" si="130"/>
        <v>38.803225400737887</v>
      </c>
      <c r="AZ305" s="746">
        <f t="shared" si="134"/>
        <v>38.84706356818289</v>
      </c>
      <c r="BA305" s="643">
        <f t="shared" si="131"/>
        <v>0.97224874727643562</v>
      </c>
      <c r="BC305" s="11">
        <v>43391</v>
      </c>
      <c r="BD305" s="290">
        <f>[3]!FeuilCaduc*(1-Persistant)+Persistant</f>
        <v>0.86192037475695327</v>
      </c>
      <c r="BE305" s="291">
        <f>[3]!CroissVégét</f>
        <v>0.99556171606410238</v>
      </c>
      <c r="BF305" s="816">
        <f>1+[3]!Salcycl*Ksac</f>
        <v>1.0327400468446191</v>
      </c>
      <c r="BH305" s="1053">
        <f t="shared" si="132"/>
        <v>1.9374180596440451E-3</v>
      </c>
      <c r="BI305" s="11">
        <v>44487</v>
      </c>
      <c r="BJ305" s="726">
        <v>1.8814846651040684E-4</v>
      </c>
      <c r="BK305" s="726">
        <v>6.7865655427001284E-4</v>
      </c>
      <c r="BL305" s="726">
        <v>1.252349284476805E-3</v>
      </c>
      <c r="BM305" s="726">
        <v>1.9392112427488286E-3</v>
      </c>
      <c r="BN305" s="726">
        <v>2.7182593959190998E-3</v>
      </c>
      <c r="BO305" s="727">
        <v>4.1937253263812195E-3</v>
      </c>
      <c r="BP305" s="726">
        <v>6.0041341455355285E-3</v>
      </c>
      <c r="BQ305" s="726">
        <v>8.6032911778202228E-3</v>
      </c>
      <c r="BR305" s="726">
        <v>1.1578680001348346E-2</v>
      </c>
      <c r="BS305" s="726">
        <v>1.5927504436957958E-2</v>
      </c>
      <c r="BT305" s="726">
        <v>2.1180476243361956E-2</v>
      </c>
      <c r="BW305" s="1186">
        <f>'2018'!R\Max</f>
        <v>0.28325308712413827</v>
      </c>
      <c r="BX305" s="1184">
        <f>'2019'!R\Max</f>
        <v>0.40689028968587776</v>
      </c>
      <c r="BY305" s="1184">
        <f>'2020'!R\Max</f>
        <v>0.97224874727643562</v>
      </c>
      <c r="BZ305" s="1184">
        <f>'2021'!R\Max</f>
        <v>0.92043553103982778</v>
      </c>
      <c r="CA305" s="1184">
        <f>'2022'!R\Max</f>
        <v>0.93259790789309827</v>
      </c>
      <c r="CB305" s="1184">
        <f>'2023'!R\Max</f>
        <v>0.93258979528665897</v>
      </c>
      <c r="CC305" s="1184">
        <f>'2024'!R\Max</f>
        <v>0.93257818006623738</v>
      </c>
      <c r="CD305" s="1184">
        <f>'2025'!R\Max</f>
        <v>0.93262285639657916</v>
      </c>
      <c r="CE305" s="1184">
        <f>'2026'!R\Max</f>
        <v>0.93261936732638751</v>
      </c>
      <c r="CF305" s="1185">
        <f>'2027'!R\Max</f>
        <v>0.93261294462098732</v>
      </c>
    </row>
    <row r="306" spans="1:84" s="6" customFormat="1" ht="11.25" x14ac:dyDescent="0.2">
      <c r="A306" s="11">
        <v>43392</v>
      </c>
      <c r="B306" s="380">
        <f>'2022'!Maxi_hp</f>
        <v>37.715287299843339</v>
      </c>
      <c r="C306" s="13">
        <f>'2022'!An_max</f>
        <v>2020</v>
      </c>
      <c r="D306" s="1062">
        <f t="shared" si="116"/>
        <v>0.97862493169662701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3">
        <f t="shared" si="119"/>
        <v>0.7142857142857143</v>
      </c>
      <c r="J306" s="746">
        <f t="shared" si="120"/>
        <v>38.539062390794527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5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3">
        <f t="shared" si="124"/>
        <v>0.8571428571428571</v>
      </c>
      <c r="AT306" s="769">
        <f t="shared" si="125"/>
        <v>38.561107288620306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3">
        <f t="shared" si="129"/>
        <v>0.6428571428571429</v>
      </c>
      <c r="AY306" s="769">
        <f t="shared" si="130"/>
        <v>38.466772302825532</v>
      </c>
      <c r="AZ306" s="746">
        <f t="shared" si="134"/>
        <v>38.513939795722919</v>
      </c>
      <c r="BA306" s="643">
        <f t="shared" si="131"/>
        <v>0.97862493169662701</v>
      </c>
      <c r="BC306" s="11">
        <v>43392</v>
      </c>
      <c r="BD306" s="290">
        <f>[3]!FeuilCaduc*(1-Persistant)+Persistant</f>
        <v>0.85685598742298774</v>
      </c>
      <c r="BE306" s="291">
        <f>[3]!CroissVégét</f>
        <v>0.99575287182696259</v>
      </c>
      <c r="BF306" s="816">
        <f>1+[3]!Salcycl*Ksac</f>
        <v>1.0321069984278735</v>
      </c>
      <c r="BH306" s="1053">
        <f t="shared" si="132"/>
        <v>1.9970085742227121E-3</v>
      </c>
      <c r="BI306" s="11">
        <v>44488</v>
      </c>
      <c r="BJ306" s="726">
        <v>2.1388727915763143E-4</v>
      </c>
      <c r="BK306" s="726">
        <v>7.1501799463463158E-4</v>
      </c>
      <c r="BL306" s="726">
        <v>1.299910185321977E-3</v>
      </c>
      <c r="BM306" s="726">
        <v>1.998833245115125E-3</v>
      </c>
      <c r="BN306" s="726">
        <v>2.7908553396475155E-3</v>
      </c>
      <c r="BO306" s="727">
        <v>4.1941066600768694E-3</v>
      </c>
      <c r="BP306" s="726">
        <v>5.9072059736883682E-3</v>
      </c>
      <c r="BQ306" s="726">
        <v>8.3541316703617148E-3</v>
      </c>
      <c r="BR306" s="726">
        <v>1.124274295713598E-2</v>
      </c>
      <c r="BS306" s="726">
        <v>1.5533848189850387E-2</v>
      </c>
      <c r="BT306" s="726">
        <v>2.0785984479782939E-2</v>
      </c>
      <c r="BW306" s="1186">
        <f>'2018'!R\Max</f>
        <v>0.63956529138790663</v>
      </c>
      <c r="BX306" s="1184">
        <f>'2019'!R\Max</f>
        <v>0.82996669436943871</v>
      </c>
      <c r="BY306" s="1184">
        <f>'2020'!R\Max</f>
        <v>0.97862493169662701</v>
      </c>
      <c r="BZ306" s="1184">
        <f>'2021'!R\Max</f>
        <v>0.96098791000190309</v>
      </c>
      <c r="CA306" s="1184">
        <f>'2022'!R\Max</f>
        <v>0.43322678296982514</v>
      </c>
      <c r="CB306" s="1184">
        <f>'2023'!R\Max</f>
        <v>0.433196716600184</v>
      </c>
      <c r="CC306" s="1184">
        <f>'2024'!R\Max</f>
        <v>0.43315389120773429</v>
      </c>
      <c r="CD306" s="1184">
        <f>'2025'!R\Max</f>
        <v>0.43332054188040264</v>
      </c>
      <c r="CE306" s="1184">
        <f>'2026'!R\Max</f>
        <v>0.43330664274717079</v>
      </c>
      <c r="CF306" s="1185">
        <f>'2027'!R\Max</f>
        <v>0.43328265433746199</v>
      </c>
    </row>
    <row r="307" spans="1:84" s="6" customFormat="1" ht="11.25" x14ac:dyDescent="0.2">
      <c r="A307" s="11">
        <v>43393</v>
      </c>
      <c r="B307" s="380">
        <f>'2022'!Maxi_hp</f>
        <v>31.908942257613869</v>
      </c>
      <c r="C307" s="13">
        <f>'2022'!An_max</f>
        <v>2020</v>
      </c>
      <c r="D307" s="1062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3">
        <f t="shared" si="119"/>
        <v>0.6428571428571429</v>
      </c>
      <c r="J307" s="746">
        <f t="shared" si="120"/>
        <v>38.204738629595624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5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3">
        <f t="shared" si="124"/>
        <v>0.8214285714285714</v>
      </c>
      <c r="AT307" s="769">
        <f t="shared" si="125"/>
        <v>38.230024503553956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3">
        <f t="shared" si="129"/>
        <v>0.6785714285714286</v>
      </c>
      <c r="AY307" s="769">
        <f t="shared" si="130"/>
        <v>38.132108564169279</v>
      </c>
      <c r="AZ307" s="746">
        <f t="shared" si="134"/>
        <v>38.181066533861618</v>
      </c>
      <c r="BA307" s="643">
        <f t="shared" si="131"/>
        <v>0.83520901862407548</v>
      </c>
      <c r="BC307" s="11">
        <v>43393</v>
      </c>
      <c r="BD307" s="290">
        <f>[3]!FeuilCaduc*(1-Persistant)+Persistant</f>
        <v>0.85169935814433595</v>
      </c>
      <c r="BE307" s="291">
        <f>[3]!CroissVégét</f>
        <v>0.99593640005294937</v>
      </c>
      <c r="BF307" s="816">
        <f>1+[3]!Salcycl*Ksac</f>
        <v>1.031462419768042</v>
      </c>
      <c r="BH307" s="1053">
        <f t="shared" si="132"/>
        <v>2.0393466754703255E-3</v>
      </c>
      <c r="BI307" s="11">
        <v>44489</v>
      </c>
      <c r="BJ307" s="726">
        <v>2.403032162183399E-4</v>
      </c>
      <c r="BK307" s="726">
        <v>7.4706013802383576E-4</v>
      </c>
      <c r="BL307" s="726">
        <v>1.3372427737981364E-3</v>
      </c>
      <c r="BM307" s="726">
        <v>2.0411844484062966E-3</v>
      </c>
      <c r="BN307" s="726">
        <v>2.8385139249952657E-3</v>
      </c>
      <c r="BO307" s="727">
        <v>4.1706785822723039E-3</v>
      </c>
      <c r="BP307" s="726">
        <v>5.7907464038282853E-3</v>
      </c>
      <c r="BQ307" s="726">
        <v>8.1061270544405227E-3</v>
      </c>
      <c r="BR307" s="726">
        <v>1.0925892101632478E-2</v>
      </c>
      <c r="BS307" s="726">
        <v>1.5180638817840129E-2</v>
      </c>
      <c r="BT307" s="726">
        <v>2.0443433382512113E-2</v>
      </c>
      <c r="BW307" s="1186">
        <f>'2018'!R\Max</f>
        <v>0.29015796381316689</v>
      </c>
      <c r="BX307" s="1184">
        <f>'2019'!R\Max</f>
        <v>0.36109798576915825</v>
      </c>
      <c r="BY307" s="1184">
        <f>'2020'!R\Max</f>
        <v>0.83520901862407548</v>
      </c>
      <c r="BZ307" s="1184">
        <f>'2021'!R\Max</f>
        <v>0.72389796765117964</v>
      </c>
      <c r="CA307" s="1184">
        <f>'2022'!R\Max</f>
        <v>0.18104785497681261</v>
      </c>
      <c r="CB307" s="1184">
        <f>'2023'!R\Max</f>
        <v>0.1810331384285995</v>
      </c>
      <c r="CC307" s="1184">
        <f>'2024'!R\Max</f>
        <v>0.18101216437241405</v>
      </c>
      <c r="CD307" s="1184">
        <f>'2025'!R\Max</f>
        <v>0.18109430949378758</v>
      </c>
      <c r="CE307" s="1184">
        <f>'2026'!R\Max</f>
        <v>0.18108706662560156</v>
      </c>
      <c r="CF307" s="1185">
        <f>'2027'!R\Max</f>
        <v>0.18107525327849133</v>
      </c>
    </row>
    <row r="308" spans="1:84" s="6" customFormat="1" ht="11.25" x14ac:dyDescent="0.2">
      <c r="A308" s="11">
        <v>43394</v>
      </c>
      <c r="B308" s="380">
        <f>'2022'!Maxi_hp</f>
        <v>24.59946864863414</v>
      </c>
      <c r="C308" s="13">
        <f>'2022'!An_max</f>
        <v>2019</v>
      </c>
      <c r="D308" s="1062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3">
        <f t="shared" si="119"/>
        <v>0.5714285714285714</v>
      </c>
      <c r="J308" s="746">
        <f t="shared" si="120"/>
        <v>37.870558017497288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5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3">
        <f t="shared" si="124"/>
        <v>0.7857142857142857</v>
      </c>
      <c r="AT308" s="769">
        <f t="shared" si="125"/>
        <v>37.897988885009127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3">
        <f t="shared" si="129"/>
        <v>0.7142857142857143</v>
      </c>
      <c r="AY308" s="769">
        <f t="shared" si="130"/>
        <v>37.799556268379092</v>
      </c>
      <c r="AZ308" s="746">
        <f t="shared" si="134"/>
        <v>37.84877257669411</v>
      </c>
      <c r="BA308" s="643">
        <f t="shared" si="131"/>
        <v>0.64956710268880846</v>
      </c>
      <c r="BC308" s="11">
        <v>43394</v>
      </c>
      <c r="BD308" s="290">
        <f>[3]!FeuilCaduc*(1-Persistant)+Persistant</f>
        <v>0.84645528727532271</v>
      </c>
      <c r="BE308" s="291">
        <f>[3]!CroissVégét</f>
        <v>0.99611260244351996</v>
      </c>
      <c r="BF308" s="816">
        <f>1+[3]!Salcycl*Ksac</f>
        <v>1.0308069109094153</v>
      </c>
      <c r="BH308" s="1053">
        <f t="shared" si="132"/>
        <v>2.0644040022661471E-3</v>
      </c>
      <c r="BI308" s="11">
        <v>44490</v>
      </c>
      <c r="BJ308" s="726">
        <v>2.6739626690290514E-4</v>
      </c>
      <c r="BK308" s="726">
        <v>7.7477503432493515E-4</v>
      </c>
      <c r="BL308" s="726">
        <v>1.3643297581061346E-3</v>
      </c>
      <c r="BM308" s="726">
        <v>2.0662364625274039E-3</v>
      </c>
      <c r="BN308" s="726">
        <v>2.8611946514937175E-3</v>
      </c>
      <c r="BO308" s="727">
        <v>4.1234027958317095E-3</v>
      </c>
      <c r="BP308" s="726">
        <v>5.654724215550383E-3</v>
      </c>
      <c r="BQ308" s="726">
        <v>7.8592773109742217E-3</v>
      </c>
      <c r="BR308" s="726">
        <v>1.0628152337310652E-2</v>
      </c>
      <c r="BS308" s="726">
        <v>1.4867928685453592E-2</v>
      </c>
      <c r="BT308" s="726">
        <v>2.015288608989654E-2</v>
      </c>
      <c r="BW308" s="1186">
        <f>'2018'!R\Max</f>
        <v>0.47929694148814783</v>
      </c>
      <c r="BX308" s="1184">
        <f>'2019'!R\Max</f>
        <v>0.64956710268880846</v>
      </c>
      <c r="BY308" s="1184">
        <f>'2020'!R\Max</f>
        <v>0.1618694145565667</v>
      </c>
      <c r="BZ308" s="1184">
        <f>'2021'!R\Max</f>
        <v>0.41294322363771707</v>
      </c>
      <c r="CA308" s="1184">
        <f>'2022'!R\Max</f>
        <v>0.46264880425501698</v>
      </c>
      <c r="CB308" s="1184">
        <f>'2023'!R\Max</f>
        <v>0.46262144899301039</v>
      </c>
      <c r="CC308" s="1184">
        <f>'2024'!R\Max</f>
        <v>0.46258217507948546</v>
      </c>
      <c r="CD308" s="1184">
        <f>'2025'!R\Max</f>
        <v>0.46273603959630372</v>
      </c>
      <c r="CE308" s="1184">
        <f>'2026'!R\Max</f>
        <v>0.46272184034425246</v>
      </c>
      <c r="CF308" s="1185">
        <f>'2027'!R\Max</f>
        <v>0.46269978783701388</v>
      </c>
    </row>
    <row r="309" spans="1:84" s="6" customFormat="1" ht="11.25" x14ac:dyDescent="0.2">
      <c r="A309" s="11">
        <v>43395</v>
      </c>
      <c r="B309" s="380">
        <f>'2022'!Maxi_hp</f>
        <v>34.985698000900676</v>
      </c>
      <c r="C309" s="13">
        <f>'2022'!An_max</f>
        <v>2022</v>
      </c>
      <c r="D309" s="1062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3">
        <f t="shared" si="119"/>
        <v>0.5</v>
      </c>
      <c r="J309" s="746">
        <f t="shared" si="120"/>
        <v>37.536950000084474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5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3">
        <f t="shared" si="124"/>
        <v>0.75</v>
      </c>
      <c r="AT309" s="769">
        <f t="shared" si="125"/>
        <v>37.565335937542841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3">
        <f t="shared" si="129"/>
        <v>0.75</v>
      </c>
      <c r="AY309" s="769">
        <f t="shared" si="130"/>
        <v>37.469437499763444</v>
      </c>
      <c r="AZ309" s="746">
        <f t="shared" si="134"/>
        <v>37.517386718653142</v>
      </c>
      <c r="BA309" s="643">
        <f t="shared" si="131"/>
        <v>0.9320335829315366</v>
      </c>
      <c r="BC309" s="11">
        <v>43395</v>
      </c>
      <c r="BD309" s="290">
        <f>[3]!FeuilCaduc*(1-Persistant)+Persistant</f>
        <v>0.84112898132199043</v>
      </c>
      <c r="BE309" s="291">
        <f>[3]!CroissVégét</f>
        <v>0.99628176897521181</v>
      </c>
      <c r="BF309" s="816">
        <f>1+[3]!Salcycl*Ksac</f>
        <v>1.0301411226652488</v>
      </c>
      <c r="BH309" s="1053">
        <f t="shared" si="132"/>
        <v>2.0721530416269547E-3</v>
      </c>
      <c r="BI309" s="11">
        <v>44491</v>
      </c>
      <c r="BJ309" s="726">
        <v>2.9516626698503534E-4</v>
      </c>
      <c r="BK309" s="726">
        <v>7.9815485399556874E-4</v>
      </c>
      <c r="BL309" s="726">
        <v>1.3811542969156547E-3</v>
      </c>
      <c r="BM309" s="726">
        <v>2.0739617465619304E-3</v>
      </c>
      <c r="BN309" s="726">
        <v>2.8588583026130316E-3</v>
      </c>
      <c r="BO309" s="727">
        <v>4.052242527987142E-3</v>
      </c>
      <c r="BP309" s="726">
        <v>5.499109860507982E-3</v>
      </c>
      <c r="BQ309" s="726">
        <v>7.6135834306030048E-3</v>
      </c>
      <c r="BR309" s="726">
        <v>1.0349548809376243E-2</v>
      </c>
      <c r="BS309" s="726">
        <v>1.4595769291498232E-2</v>
      </c>
      <c r="BT309" s="726">
        <v>1.99144041529376E-2</v>
      </c>
      <c r="BW309" s="1186">
        <f>'2018'!R\Max</f>
        <v>0.62194444606634314</v>
      </c>
      <c r="BX309" s="1184">
        <f>'2019'!R\Max</f>
        <v>0.13451627297745081</v>
      </c>
      <c r="BY309" s="1184">
        <f>'2020'!R\Max</f>
        <v>0.68717760314334153</v>
      </c>
      <c r="BZ309" s="1184">
        <f>'2021'!R\Max</f>
        <v>0.34903521034462925</v>
      </c>
      <c r="CA309" s="1184">
        <f>'2022'!R\Max</f>
        <v>0.9320335829315366</v>
      </c>
      <c r="CB309" s="1184">
        <f>'2023'!R\Max</f>
        <v>0.93202697996951467</v>
      </c>
      <c r="CC309" s="1184">
        <f>'2024'!R\Max</f>
        <v>0.93201735598264779</v>
      </c>
      <c r="CD309" s="1184">
        <f>'2025'!R\Max</f>
        <v>0.93205480629985415</v>
      </c>
      <c r="CE309" s="1184">
        <f>'2026'!R\Max</f>
        <v>0.93205122595015044</v>
      </c>
      <c r="CF309" s="1185">
        <f>'2027'!R\Max</f>
        <v>0.93204589156691553</v>
      </c>
    </row>
    <row r="310" spans="1:84" s="6" customFormat="1" ht="11.25" x14ac:dyDescent="0.2">
      <c r="A310" s="11">
        <v>43396</v>
      </c>
      <c r="B310" s="380">
        <f>'2022'!Maxi_hp</f>
        <v>37.419724893736571</v>
      </c>
      <c r="C310" s="13">
        <f>'2022'!An_max</f>
        <v>2018</v>
      </c>
      <c r="D310" s="1062">
        <f t="shared" si="116"/>
        <v>1.0057891323125945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3">
        <f t="shared" si="119"/>
        <v>0.42857142857142855</v>
      </c>
      <c r="J310" s="746">
        <f t="shared" si="120"/>
        <v>37.204344023580781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5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3">
        <f t="shared" si="124"/>
        <v>0.7142857142857143</v>
      </c>
      <c r="AT310" s="769">
        <f t="shared" si="125"/>
        <v>37.232401166443843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3">
        <f t="shared" si="129"/>
        <v>0.7857142857142857</v>
      </c>
      <c r="AY310" s="769">
        <f t="shared" si="130"/>
        <v>37.142074344120921</v>
      </c>
      <c r="AZ310" s="746">
        <f t="shared" si="134"/>
        <v>37.187237755282382</v>
      </c>
      <c r="BA310" s="643">
        <f t="shared" si="131"/>
        <v>1.0057891323125945</v>
      </c>
      <c r="BC310" s="11">
        <v>43396</v>
      </c>
      <c r="BD310" s="290">
        <f>[3]!FeuilCaduc*(1-Persistant)+Persistant</f>
        <v>0.83572604080636914</v>
      </c>
      <c r="BE310" s="291">
        <f>[3]!CroissVégét</f>
        <v>0.99644417833885535</v>
      </c>
      <c r="BF310" s="816">
        <f>1+[3]!Salcycl*Ksac</f>
        <v>1.0294657551007962</v>
      </c>
      <c r="BH310" s="1053">
        <f t="shared" si="132"/>
        <v>2.0655946402060575E-3</v>
      </c>
      <c r="BI310" s="11">
        <v>44492</v>
      </c>
      <c r="BJ310" s="726">
        <v>3.2184923566934849E-4</v>
      </c>
      <c r="BK310" s="726">
        <v>8.1658829103231309E-4</v>
      </c>
      <c r="BL310" s="726">
        <v>1.3887137220356814E-3</v>
      </c>
      <c r="BM310" s="726">
        <v>2.0673663914088721E-3</v>
      </c>
      <c r="BN310" s="726">
        <v>2.8367487123419858E-3</v>
      </c>
      <c r="BO310" s="727">
        <v>3.9649058174949297E-3</v>
      </c>
      <c r="BP310" s="726">
        <v>5.3345738087609579E-3</v>
      </c>
      <c r="BQ310" s="726">
        <v>7.3832032314465074E-3</v>
      </c>
      <c r="BR310" s="726">
        <v>1.0107018855082313E-2</v>
      </c>
      <c r="BS310" s="726">
        <v>1.4379437665345742E-2</v>
      </c>
      <c r="BT310" s="726">
        <v>1.9737148682075885E-2</v>
      </c>
      <c r="BW310" s="1186">
        <f>'2018'!R\Max</f>
        <v>1.0057891323125945</v>
      </c>
      <c r="BX310" s="1184">
        <f>'2019'!R\Max</f>
        <v>0.48032384183411042</v>
      </c>
      <c r="BY310" s="1184">
        <f>'2020'!R\Max</f>
        <v>0.13767238940078033</v>
      </c>
      <c r="BZ310" s="1184">
        <f>'2021'!R\Max</f>
        <v>0.99646608611182186</v>
      </c>
      <c r="CA310" s="1184">
        <f>'2022'!R\Max</f>
        <v>0.48999331586524564</v>
      </c>
      <c r="CB310" s="1184">
        <f>'2023'!R\Max</f>
        <v>0.48996859811833643</v>
      </c>
      <c r="CC310" s="1184">
        <f>'2024'!R\Max</f>
        <v>0.48993173330633188</v>
      </c>
      <c r="CD310" s="1184">
        <f>'2025'!R\Max</f>
        <v>0.49007322937527314</v>
      </c>
      <c r="CE310" s="1184">
        <f>'2026'!R\Max</f>
        <v>0.49005934650060584</v>
      </c>
      <c r="CF310" s="1185">
        <f>'2027'!R\Max</f>
        <v>0.49003936967272449</v>
      </c>
    </row>
    <row r="311" spans="1:84" s="6" customFormat="1" ht="11.25" x14ac:dyDescent="0.2">
      <c r="A311" s="11">
        <v>43397</v>
      </c>
      <c r="B311" s="380">
        <f>'2022'!Maxi_hp</f>
        <v>38.572719008292552</v>
      </c>
      <c r="C311" s="13">
        <f>'2022'!An_max</f>
        <v>2021</v>
      </c>
      <c r="D311" s="1062">
        <f t="shared" si="116"/>
        <v>1.0460917652643686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3">
        <f t="shared" si="119"/>
        <v>0.35714285714285715</v>
      </c>
      <c r="J311" s="746">
        <f t="shared" si="120"/>
        <v>36.873169533596744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5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3">
        <f t="shared" si="124"/>
        <v>0.6785714285714286</v>
      </c>
      <c r="AT311" s="769">
        <f t="shared" si="125"/>
        <v>36.899520075773552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3">
        <f t="shared" si="129"/>
        <v>0.8214285714285714</v>
      </c>
      <c r="AY311" s="769">
        <f t="shared" si="130"/>
        <v>36.817788884429532</v>
      </c>
      <c r="AZ311" s="746">
        <f t="shared" si="134"/>
        <v>36.858654480101542</v>
      </c>
      <c r="BA311" s="643">
        <f t="shared" si="131"/>
        <v>1.0460917652643686</v>
      </c>
      <c r="BC311" s="11">
        <v>43397</v>
      </c>
      <c r="BD311" s="290">
        <f>[3]!FeuilCaduc*(1-Persistant)+Persistant</f>
        <v>0.83025244538896747</v>
      </c>
      <c r="BE311" s="291">
        <f>[3]!CroissVégét</f>
        <v>0.99660009836364072</v>
      </c>
      <c r="BF311" s="816">
        <f>1+[3]!Salcycl*Ksac</f>
        <v>1.0287815556736208</v>
      </c>
      <c r="BH311" s="1053">
        <f t="shared" si="132"/>
        <v>2.0540440467949291E-3</v>
      </c>
      <c r="BI311" s="11">
        <v>44493</v>
      </c>
      <c r="BJ311" s="726">
        <v>3.4607086003289708E-4</v>
      </c>
      <c r="BK311" s="726">
        <v>8.3157042440392195E-4</v>
      </c>
      <c r="BL311" s="726">
        <v>1.3920058833107099E-3</v>
      </c>
      <c r="BM311" s="726">
        <v>2.05577694674967E-3</v>
      </c>
      <c r="BN311" s="726">
        <v>2.8090163804759902E-3</v>
      </c>
      <c r="BO311" s="727">
        <v>3.880330846043977E-3</v>
      </c>
      <c r="BP311" s="726">
        <v>5.1834975257259918E-3</v>
      </c>
      <c r="BQ311" s="726">
        <v>7.1797227938357848E-3</v>
      </c>
      <c r="BR311" s="726">
        <v>9.8994572107465994E-3</v>
      </c>
      <c r="BS311" s="726">
        <v>1.4202350266241745E-2</v>
      </c>
      <c r="BT311" s="726">
        <v>1.9599411048963105E-2</v>
      </c>
      <c r="BW311" s="1186">
        <f>'2018'!R\Max</f>
        <v>0.97242362454322417</v>
      </c>
      <c r="BX311" s="1184">
        <f>'2019'!R\Max</f>
        <v>0.49468881907270223</v>
      </c>
      <c r="BY311" s="1184">
        <f>'2020'!R\Max</f>
        <v>0.28407151726972146</v>
      </c>
      <c r="BZ311" s="1184">
        <f>'2021'!R\Max</f>
        <v>1.0460917652643686</v>
      </c>
      <c r="CA311" s="1184">
        <f>'2022'!R\Max</f>
        <v>0.73292761002207385</v>
      </c>
      <c r="CB311" s="1184">
        <f>'2023'!R\Max</f>
        <v>0.73290914481989788</v>
      </c>
      <c r="CC311" s="1184">
        <f>'2024'!R\Max</f>
        <v>0.73288094109340052</v>
      </c>
      <c r="CD311" s="1184">
        <f>'2025'!R\Max</f>
        <v>0.73298756400546661</v>
      </c>
      <c r="CE311" s="1184">
        <f>'2026'!R\Max</f>
        <v>0.7329768940045045</v>
      </c>
      <c r="CF311" s="1185">
        <f>'2027'!R\Max</f>
        <v>0.73296198149558367</v>
      </c>
    </row>
    <row r="312" spans="1:84" s="6" customFormat="1" ht="11.25" x14ac:dyDescent="0.2">
      <c r="A312" s="11">
        <v>43398</v>
      </c>
      <c r="B312" s="380">
        <f>'2022'!Maxi_hp</f>
        <v>35.926796289859503</v>
      </c>
      <c r="C312" s="13">
        <f>'2022'!An_max</f>
        <v>2018</v>
      </c>
      <c r="D312" s="1062">
        <f t="shared" si="116"/>
        <v>0.98311454359400408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3">
        <f t="shared" si="119"/>
        <v>0.2857142857142857</v>
      </c>
      <c r="J312" s="746">
        <f t="shared" si="120"/>
        <v>36.543855976863831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5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3">
        <f t="shared" si="124"/>
        <v>0.6428571428571429</v>
      </c>
      <c r="AT312" s="769">
        <f t="shared" si="125"/>
        <v>36.567028170797442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3">
        <f t="shared" si="129"/>
        <v>0.8571428571428571</v>
      </c>
      <c r="AY312" s="769">
        <f t="shared" si="130"/>
        <v>36.496903206833778</v>
      </c>
      <c r="AZ312" s="746">
        <f t="shared" si="134"/>
        <v>36.53196568881561</v>
      </c>
      <c r="BA312" s="643">
        <f t="shared" si="131"/>
        <v>0.98311454359400408</v>
      </c>
      <c r="BC312" s="11">
        <v>43398</v>
      </c>
      <c r="BD312" s="290">
        <f>[3]!FeuilCaduc*(1-Persistant)+Persistant</f>
        <v>0.82471453629716374</v>
      </c>
      <c r="BE312" s="291">
        <f>[3]!CroissVégét</f>
        <v>0.99674978642645717</v>
      </c>
      <c r="BF312" s="816">
        <f>1+[3]!Salcycl*Ksac</f>
        <v>1.0280893170371455</v>
      </c>
      <c r="BH312" s="1053">
        <f t="shared" si="132"/>
        <v>2.037509511982916E-3</v>
      </c>
      <c r="BI312" s="11">
        <v>44494</v>
      </c>
      <c r="BJ312" s="726">
        <v>3.6783044406330786E-4</v>
      </c>
      <c r="BK312" s="726">
        <v>8.4310273776678742E-4</v>
      </c>
      <c r="BL312" s="726">
        <v>1.3910352199221453E-3</v>
      </c>
      <c r="BM312" s="726">
        <v>2.0392016731501173E-3</v>
      </c>
      <c r="BN312" s="726">
        <v>2.7756741737505631E-3</v>
      </c>
      <c r="BO312" s="727">
        <v>3.798549487034088E-3</v>
      </c>
      <c r="BP312" s="726">
        <v>5.0459366942999292E-3</v>
      </c>
      <c r="BQ312" s="726">
        <v>7.0032304858561843E-3</v>
      </c>
      <c r="BR312" s="726">
        <v>9.7269831578245536E-3</v>
      </c>
      <c r="BS312" s="726">
        <v>1.4064663913800382E-2</v>
      </c>
      <c r="BT312" s="726">
        <v>1.9501388247973032E-2</v>
      </c>
      <c r="BW312" s="1186">
        <f>'2018'!R\Max</f>
        <v>0.98311454359400408</v>
      </c>
      <c r="BX312" s="1184">
        <f>'2019'!R\Max</f>
        <v>0.8252704287634931</v>
      </c>
      <c r="BY312" s="1184">
        <f>'2020'!R\Max</f>
        <v>0.87326628051285948</v>
      </c>
      <c r="BZ312" s="1184">
        <f>'2021'!R\Max</f>
        <v>0.93392356686352118</v>
      </c>
      <c r="CA312" s="1184">
        <f>'2022'!R\Max</f>
        <v>0.63781034671688219</v>
      </c>
      <c r="CB312" s="1184">
        <f>'2023'!R\Max</f>
        <v>0.63778944048136199</v>
      </c>
      <c r="CC312" s="1184">
        <f>'2024'!R\Max</f>
        <v>0.6377567344369276</v>
      </c>
      <c r="CD312" s="1184">
        <f>'2025'!R\Max</f>
        <v>0.63787841853689775</v>
      </c>
      <c r="CE312" s="1184">
        <f>'2026'!R\Max</f>
        <v>0.63786607785485727</v>
      </c>
      <c r="CF312" s="1185">
        <f>'2027'!R\Max</f>
        <v>0.63784921784924409</v>
      </c>
    </row>
    <row r="313" spans="1:84" s="6" customFormat="1" ht="11.25" x14ac:dyDescent="0.2">
      <c r="A313" s="11">
        <v>43399</v>
      </c>
      <c r="B313" s="380">
        <f>'2022'!Maxi_hp</f>
        <v>37.208706699200022</v>
      </c>
      <c r="C313" s="13">
        <f>'2022'!An_max</f>
        <v>2019</v>
      </c>
      <c r="D313" s="1062">
        <f t="shared" si="116"/>
        <v>1.0273870966503345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3">
        <f t="shared" si="119"/>
        <v>0.21428571428571427</v>
      </c>
      <c r="J313" s="746">
        <f t="shared" si="120"/>
        <v>36.216832798965747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5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3">
        <f t="shared" si="124"/>
        <v>0.6071428571428571</v>
      </c>
      <c r="AT313" s="769">
        <f t="shared" si="125"/>
        <v>36.235260956158996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3">
        <f t="shared" si="129"/>
        <v>0.8928571428571429</v>
      </c>
      <c r="AY313" s="769">
        <f t="shared" si="130"/>
        <v>36.179739394531182</v>
      </c>
      <c r="AZ313" s="746">
        <f t="shared" si="134"/>
        <v>36.207500175345089</v>
      </c>
      <c r="BA313" s="643">
        <f t="shared" si="131"/>
        <v>1.0273870966503345</v>
      </c>
      <c r="BC313" s="11">
        <v>43399</v>
      </c>
      <c r="BD313" s="290">
        <f>[3]!FeuilCaduc*(1-Persistant)+Persistant</f>
        <v>0.81911899613020722</v>
      </c>
      <c r="BE313" s="291">
        <f>[3]!CroissVégét</f>
        <v>0.99689348984691617</v>
      </c>
      <c r="BF313" s="816">
        <f>1+[3]!Salcycl*Ksac</f>
        <v>1.0273898745162759</v>
      </c>
      <c r="BH313" s="1053">
        <f t="shared" si="132"/>
        <v>2.0159819916070036E-3</v>
      </c>
      <c r="BI313" s="11">
        <v>44495</v>
      </c>
      <c r="BJ313" s="726">
        <v>3.8712466389153292E-4</v>
      </c>
      <c r="BK313" s="726">
        <v>8.511799214381663E-4</v>
      </c>
      <c r="BL313" s="726">
        <v>1.3857945661354238E-3</v>
      </c>
      <c r="BM313" s="726">
        <v>2.0176315215303703E-3</v>
      </c>
      <c r="BN313" s="726">
        <v>2.7367111911263866E-3</v>
      </c>
      <c r="BO313" s="727">
        <v>3.7195605096068691E-3</v>
      </c>
      <c r="BP313" s="726">
        <v>4.9219025851586912E-3</v>
      </c>
      <c r="BQ313" s="726">
        <v>6.8537534856884692E-3</v>
      </c>
      <c r="BR313" s="726">
        <v>9.5896324797134884E-3</v>
      </c>
      <c r="BS313" s="726">
        <v>1.3966416850234495E-2</v>
      </c>
      <c r="BT313" s="726">
        <v>1.9443114555674174E-2</v>
      </c>
      <c r="BW313" s="1186">
        <f>'2018'!R\Max</f>
        <v>0.11188931079837555</v>
      </c>
      <c r="BX313" s="1184">
        <f>'2019'!R\Max</f>
        <v>1.0273870966503345</v>
      </c>
      <c r="BY313" s="1184">
        <f>'2020'!R\Max</f>
        <v>0.65863580225654195</v>
      </c>
      <c r="BZ313" s="1184">
        <f>'2021'!R\Max</f>
        <v>0.77899039144606874</v>
      </c>
      <c r="CA313" s="1184">
        <f>'2022'!R\Max</f>
        <v>0.40339345274429445</v>
      </c>
      <c r="CB313" s="1184">
        <f>'2023'!R\Max</f>
        <v>0.40337241360957538</v>
      </c>
      <c r="CC313" s="1184">
        <f>'2024'!R\Max</f>
        <v>0.4033387147186267</v>
      </c>
      <c r="CD313" s="1184">
        <f>'2025'!R\Max</f>
        <v>0.40346202713707213</v>
      </c>
      <c r="CE313" s="1184">
        <f>'2026'!R\Max</f>
        <v>0.40344944513785697</v>
      </c>
      <c r="CF313" s="1185">
        <f>'2027'!R\Max</f>
        <v>0.40343251674030606</v>
      </c>
    </row>
    <row r="314" spans="1:84" s="6" customFormat="1" ht="11.25" x14ac:dyDescent="0.2">
      <c r="A314" s="11">
        <v>43400</v>
      </c>
      <c r="B314" s="380">
        <f>'2022'!Maxi_hp</f>
        <v>29.570719829876996</v>
      </c>
      <c r="C314" s="13">
        <f>'2022'!An_max</f>
        <v>2021</v>
      </c>
      <c r="D314" s="1062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3">
        <f t="shared" si="119"/>
        <v>0.14285714285714285</v>
      </c>
      <c r="J314" s="746">
        <f t="shared" si="120"/>
        <v>35.892529445913219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5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3">
        <f t="shared" si="124"/>
        <v>0.5714285714285714</v>
      </c>
      <c r="AT314" s="769">
        <f t="shared" si="125"/>
        <v>35.904553936155779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3">
        <f t="shared" si="129"/>
        <v>0.9285714285714286</v>
      </c>
      <c r="AY314" s="769">
        <f t="shared" si="130"/>
        <v>35.866619533486663</v>
      </c>
      <c r="AZ314" s="746">
        <f t="shared" si="134"/>
        <v>35.885586734821217</v>
      </c>
      <c r="BA314" s="643">
        <f t="shared" si="131"/>
        <v>0.82386837278875491</v>
      </c>
      <c r="BC314" s="11">
        <v>43400</v>
      </c>
      <c r="BD314" s="290">
        <f>[3]!FeuilCaduc*(1-Persistant)+Persistant</f>
        <v>0.81347282613424399</v>
      </c>
      <c r="BE314" s="291">
        <f>[3]!CroissVégét</f>
        <v>0.99703144626847073</v>
      </c>
      <c r="BF314" s="816">
        <f>1+[3]!Salcycl*Ksac</f>
        <v>1.0266841032667804</v>
      </c>
      <c r="BH314" s="1053">
        <f t="shared" si="132"/>
        <v>1.989452340504164E-3</v>
      </c>
      <c r="BI314" s="11">
        <v>44496</v>
      </c>
      <c r="BJ314" s="726">
        <v>4.0395003333967009E-4</v>
      </c>
      <c r="BK314" s="726">
        <v>8.5579650940253407E-4</v>
      </c>
      <c r="BL314" s="726">
        <v>1.3762766202498606E-3</v>
      </c>
      <c r="BM314" s="726">
        <v>1.9910573419020965E-3</v>
      </c>
      <c r="BN314" s="726">
        <v>2.6921164734608214E-3</v>
      </c>
      <c r="BO314" s="727">
        <v>3.6433630859412825E-3</v>
      </c>
      <c r="BP314" s="726">
        <v>4.8114074378559548E-3</v>
      </c>
      <c r="BQ314" s="726">
        <v>6.7313205359204459E-3</v>
      </c>
      <c r="BR314" s="726">
        <v>9.487442782373191E-3</v>
      </c>
      <c r="BS314" s="726">
        <v>1.3907649160454845E-2</v>
      </c>
      <c r="BT314" s="726">
        <v>1.9424625962038134E-2</v>
      </c>
      <c r="BW314" s="1186">
        <f>'2018'!R\Max</f>
        <v>0.26444022902590514</v>
      </c>
      <c r="BX314" s="1184">
        <f>'2019'!R\Max</f>
        <v>0.72622183722187561</v>
      </c>
      <c r="BY314" s="1184">
        <f>'2020'!R\Max</f>
        <v>0.75622099551351041</v>
      </c>
      <c r="BZ314" s="1184">
        <f>'2021'!R\Max</f>
        <v>0.82386837278875491</v>
      </c>
      <c r="CA314" s="1184">
        <f>'2022'!R\Max</f>
        <v>0.43478803232132102</v>
      </c>
      <c r="CB314" s="1184">
        <f>'2023'!R\Max</f>
        <v>0.43476711851032518</v>
      </c>
      <c r="CC314" s="1184">
        <f>'2024'!R\Max</f>
        <v>0.43473285173163656</v>
      </c>
      <c r="CD314" s="1184">
        <f>'2025'!R\Max</f>
        <v>0.43485611820289233</v>
      </c>
      <c r="CE314" s="1184">
        <f>'2026'!R\Max</f>
        <v>0.43484356674858754</v>
      </c>
      <c r="CF314" s="1185">
        <f>'2027'!R\Max</f>
        <v>0.43482679631909227</v>
      </c>
    </row>
    <row r="315" spans="1:84" s="6" customFormat="1" ht="11.25" x14ac:dyDescent="0.2">
      <c r="A315" s="11">
        <v>43401</v>
      </c>
      <c r="B315" s="380">
        <f>'2022'!Maxi_hp</f>
        <v>24.903019933810778</v>
      </c>
      <c r="C315" s="13">
        <f>'2022'!An_max</f>
        <v>2020</v>
      </c>
      <c r="D315" s="1062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3">
        <f t="shared" si="119"/>
        <v>7.1428571428571425E-2</v>
      </c>
      <c r="J315" s="746">
        <f t="shared" si="120"/>
        <v>35.571375364408809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5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3">
        <f t="shared" si="124"/>
        <v>0.5357142857142857</v>
      </c>
      <c r="AT315" s="769">
        <f t="shared" si="125"/>
        <v>35.575242616242861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3">
        <f t="shared" si="129"/>
        <v>0.9642857142857143</v>
      </c>
      <c r="AY315" s="769">
        <f t="shared" si="130"/>
        <v>35.557865706505254</v>
      </c>
      <c r="AZ315" s="746">
        <f t="shared" si="134"/>
        <v>35.566554161374057</v>
      </c>
      <c r="BA315" s="643">
        <f t="shared" si="131"/>
        <v>0.70008594491197751</v>
      </c>
      <c r="BC315" s="11">
        <v>43401</v>
      </c>
      <c r="BD315" s="290">
        <f>[3]!FeuilCaduc*(1-Persistant)+Persistant</f>
        <v>0.80778332106293327</v>
      </c>
      <c r="BE315" s="291">
        <f>[3]!CroissVégét</f>
        <v>0.99716388402603495</v>
      </c>
      <c r="BF315" s="816">
        <f>1+[3]!Salcycl*Ksac</f>
        <v>1.0259729151328667</v>
      </c>
      <c r="BH315" s="1053">
        <f t="shared" si="132"/>
        <v>1.9579113585554892E-3</v>
      </c>
      <c r="BI315" s="11">
        <v>44497</v>
      </c>
      <c r="BJ315" s="726">
        <v>4.1830292687677532E-4</v>
      </c>
      <c r="BK315" s="726">
        <v>8.5694691133951734E-4</v>
      </c>
      <c r="BL315" s="726">
        <v>1.362473984069002E-3</v>
      </c>
      <c r="BM315" s="726">
        <v>1.9594699294298154E-3</v>
      </c>
      <c r="BN315" s="726">
        <v>2.641879055241385E-3</v>
      </c>
      <c r="BO315" s="727">
        <v>3.5699567649865255E-3</v>
      </c>
      <c r="BP315" s="726">
        <v>4.7144643350832743E-3</v>
      </c>
      <c r="BQ315" s="726">
        <v>6.635961693095889E-3</v>
      </c>
      <c r="BR315" s="726">
        <v>9.4204531692229938E-3</v>
      </c>
      <c r="BS315" s="726">
        <v>1.3888402407656771E-2</v>
      </c>
      <c r="BT315" s="726">
        <v>1.9445959803785173E-2</v>
      </c>
      <c r="BW315" s="1186">
        <f>'2018'!R\Max</f>
        <v>0.10912865959805108</v>
      </c>
      <c r="BX315" s="1184">
        <f>'2019'!R\Max</f>
        <v>0.28348057637342217</v>
      </c>
      <c r="BY315" s="1184">
        <f>'2020'!R\Max</f>
        <v>0.70008594491197751</v>
      </c>
      <c r="BZ315" s="1184">
        <f>'2021'!R\Max</f>
        <v>0.32016376651777112</v>
      </c>
      <c r="CA315" s="1184">
        <f>'2022'!R\Max</f>
        <v>0.51810284177478372</v>
      </c>
      <c r="CB315" s="1184">
        <f>'2023'!R\Max</f>
        <v>0.51808198097999658</v>
      </c>
      <c r="CC315" s="1184">
        <f>'2024'!R\Max</f>
        <v>0.5180470705113186</v>
      </c>
      <c r="CD315" s="1184">
        <f>'2025'!R\Max</f>
        <v>0.51817052117390172</v>
      </c>
      <c r="CE315" s="1184">
        <f>'2026'!R\Max</f>
        <v>0.51815808455172074</v>
      </c>
      <c r="CF315" s="1185">
        <f>'2027'!R\Max</f>
        <v>0.51814143012822678</v>
      </c>
    </row>
    <row r="316" spans="1:84" s="6" customFormat="1" ht="11.25" x14ac:dyDescent="0.2">
      <c r="A316" s="11">
        <v>43402</v>
      </c>
      <c r="B316" s="380">
        <f>'2022'!Maxi_hp</f>
        <v>29.923980500554308</v>
      </c>
      <c r="C316" s="13">
        <f>'2022'!An_max</f>
        <v>2019</v>
      </c>
      <c r="D316" s="1062" t="str">
        <f t="shared" si="116"/>
        <v/>
      </c>
      <c r="E316" s="1057">
        <f>AI$13/10</f>
        <v>35.253799999999998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3">
        <f t="shared" si="119"/>
        <v>0</v>
      </c>
      <c r="J316" s="746">
        <f t="shared" si="120"/>
        <v>35.253799999877813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5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3">
        <f t="shared" si="124"/>
        <v>0.5</v>
      </c>
      <c r="AT316" s="769">
        <f t="shared" si="125"/>
        <v>35.247662500711158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3">
        <f t="shared" si="129"/>
        <v>1</v>
      </c>
      <c r="AY316" s="769">
        <f t="shared" si="130"/>
        <v>35.253799999877813</v>
      </c>
      <c r="AZ316" s="746">
        <f t="shared" si="134"/>
        <v>35.250731250294486</v>
      </c>
      <c r="BA316" s="643">
        <f t="shared" si="131"/>
        <v>0.84881574470434451</v>
      </c>
      <c r="BC316" s="11">
        <v>43402</v>
      </c>
      <c r="BD316" s="290">
        <f>[3]!FeuilCaduc*(1-Persistant)+Persistant</f>
        <v>0.80205804176065143</v>
      </c>
      <c r="BE316" s="291">
        <f>[3]!CroissVégét</f>
        <v>0.99729102250050727</v>
      </c>
      <c r="BF316" s="816">
        <f>1+[3]!Salcycl*Ksac</f>
        <v>1.0252572552200814</v>
      </c>
      <c r="BH316" s="1053">
        <f t="shared" si="132"/>
        <v>1.9213498367241534E-3</v>
      </c>
      <c r="BI316" s="11">
        <v>44498</v>
      </c>
      <c r="BJ316" s="726">
        <v>4.3017960257353159E-4</v>
      </c>
      <c r="BK316" s="726">
        <v>8.5462544464925223E-4</v>
      </c>
      <c r="BL316" s="726">
        <v>1.3443792023667669E-3</v>
      </c>
      <c r="BM316" s="726">
        <v>1.9228600704860603E-3</v>
      </c>
      <c r="BN316" s="726">
        <v>2.5859880163108377E-3</v>
      </c>
      <c r="BO316" s="727">
        <v>3.4993414461834513E-3</v>
      </c>
      <c r="BP316" s="726">
        <v>4.6310870769149821E-3</v>
      </c>
      <c r="BQ316" s="726">
        <v>6.5677080772423386E-3</v>
      </c>
      <c r="BR316" s="726">
        <v>9.3887039160095043E-3</v>
      </c>
      <c r="BS316" s="726">
        <v>1.3908719268864235E-2</v>
      </c>
      <c r="BT316" s="726">
        <v>1.9507154397670642E-2</v>
      </c>
      <c r="BW316" s="1186">
        <f>'2018'!R\Max</f>
        <v>0.12682728911301916</v>
      </c>
      <c r="BX316" s="1184">
        <f>'2019'!R\Max</f>
        <v>0.84881574470434451</v>
      </c>
      <c r="BY316" s="1184">
        <f>'2020'!R\Max</f>
        <v>0.39549739550828072</v>
      </c>
      <c r="BZ316" s="1184">
        <f>'2021'!R\Max</f>
        <v>0.5292967743578445</v>
      </c>
      <c r="CA316" s="1184">
        <f>'2022'!R\Max</f>
        <v>0.82103345744833545</v>
      </c>
      <c r="CB316" s="1184">
        <f>'2023'!R\Max</f>
        <v>0.82102129449886341</v>
      </c>
      <c r="CC316" s="1184">
        <f>'2024'!R\Max</f>
        <v>0.82100054768108877</v>
      </c>
      <c r="CD316" s="1184">
        <f>'2025'!R\Max</f>
        <v>0.82107268789924504</v>
      </c>
      <c r="CE316" s="1184">
        <f>'2026'!R\Max</f>
        <v>0.82106556332697989</v>
      </c>
      <c r="CF316" s="1185">
        <f>'2027'!R\Max</f>
        <v>0.82105590546148621</v>
      </c>
    </row>
    <row r="317" spans="1:84" s="6" customFormat="1" ht="11.25" x14ac:dyDescent="0.2">
      <c r="A317" s="11">
        <v>43403</v>
      </c>
      <c r="B317" s="380">
        <f>'2022'!Maxi_hp</f>
        <v>33.09982659368044</v>
      </c>
      <c r="C317" s="13">
        <f>'2022'!An_max</f>
        <v>2018</v>
      </c>
      <c r="D317" s="1062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3">
        <f t="shared" si="119"/>
        <v>7.1428571428571425E-2</v>
      </c>
      <c r="J317" s="746">
        <f t="shared" si="120"/>
        <v>34.938228717393109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5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3">
        <f t="shared" si="124"/>
        <v>0.4642857142857143</v>
      </c>
      <c r="AT317" s="769">
        <f t="shared" si="125"/>
        <v>34.922149094001256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3">
        <f t="shared" si="129"/>
        <v>0.9642857142857143</v>
      </c>
      <c r="AY317" s="769">
        <f t="shared" si="130"/>
        <v>34.951194856994384</v>
      </c>
      <c r="AZ317" s="746">
        <f t="shared" si="134"/>
        <v>34.936671975497816</v>
      </c>
      <c r="BA317" s="643">
        <f t="shared" si="131"/>
        <v>0.94738135872361873</v>
      </c>
      <c r="BC317" s="11">
        <v>43403</v>
      </c>
      <c r="BD317" s="290">
        <f>[3]!FeuilCaduc*(1-Persistant)+Persistant</f>
        <v>0.7963047856257206</v>
      </c>
      <c r="BE317" s="291">
        <f>[3]!CroissVégét</f>
        <v>0.99741307246059263</v>
      </c>
      <c r="BF317" s="816">
        <f>1+[3]!Salcycl*Ksac</f>
        <v>1.0245380982032151</v>
      </c>
      <c r="BH317" s="1053">
        <f t="shared" si="132"/>
        <v>1.8797586030978315E-3</v>
      </c>
      <c r="BI317" s="11">
        <v>44499</v>
      </c>
      <c r="BJ317" s="726">
        <v>4.3957622505780329E-4</v>
      </c>
      <c r="BK317" s="726">
        <v>8.4882636647964698E-4</v>
      </c>
      <c r="BL317" s="726">
        <v>1.321984802356672E-3</v>
      </c>
      <c r="BM317" s="726">
        <v>1.8812185887110071E-3</v>
      </c>
      <c r="BN317" s="726">
        <v>2.5244325335983262E-3</v>
      </c>
      <c r="BO317" s="727">
        <v>3.4315173531942666E-3</v>
      </c>
      <c r="BP317" s="726">
        <v>4.5612900550640722E-3</v>
      </c>
      <c r="BQ317" s="726">
        <v>6.5265916214142282E-3</v>
      </c>
      <c r="BR317" s="726">
        <v>9.3922361456957957E-3</v>
      </c>
      <c r="BS317" s="726">
        <v>1.3968643170505208E-2</v>
      </c>
      <c r="BT317" s="726">
        <v>1.9608248673815141E-2</v>
      </c>
      <c r="BW317" s="1186">
        <f>'2018'!R\Max</f>
        <v>0.94738135872361873</v>
      </c>
      <c r="BX317" s="1184">
        <f>'2019'!R\Max</f>
        <v>0.65013160912027645</v>
      </c>
      <c r="BY317" s="1184">
        <f>'2020'!R\Max</f>
        <v>0.86750477913256763</v>
      </c>
      <c r="BZ317" s="1184">
        <f>'2021'!R\Max</f>
        <v>0.30481492678522709</v>
      </c>
      <c r="CA317" s="1184">
        <f>'2022'!R\Max</f>
        <v>0.68531456693367665</v>
      </c>
      <c r="CB317" s="1184">
        <f>'2023'!R\Max</f>
        <v>0.68529671488091704</v>
      </c>
      <c r="CC317" s="1184">
        <f>'2024'!R\Max</f>
        <v>0.68526576065671463</v>
      </c>
      <c r="CD317" s="1184">
        <f>'2025'!R\Max</f>
        <v>0.68537168947811977</v>
      </c>
      <c r="CE317" s="1184">
        <f>'2026'!R\Max</f>
        <v>0.68536152797626471</v>
      </c>
      <c r="CF317" s="1185">
        <f>'2027'!R\Max</f>
        <v>0.68534743811171395</v>
      </c>
    </row>
    <row r="318" spans="1:84" s="6" customFormat="1" ht="11.25" x14ac:dyDescent="0.2">
      <c r="A318" s="11">
        <v>43404</v>
      </c>
      <c r="B318" s="380">
        <f>'2022'!Maxi_hp</f>
        <v>33.51042975379562</v>
      </c>
      <c r="C318" s="13">
        <f>'2022'!An_max</f>
        <v>2020</v>
      </c>
      <c r="D318" s="1062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3">
        <f t="shared" si="119"/>
        <v>0.14285714285714285</v>
      </c>
      <c r="J318" s="746">
        <f t="shared" si="120"/>
        <v>34.623086880573204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5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3">
        <f t="shared" si="124"/>
        <v>0.42857142857142855</v>
      </c>
      <c r="AT318" s="769">
        <f t="shared" si="125"/>
        <v>34.599037900806536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3">
        <f t="shared" si="129"/>
        <v>0.9285714285714286</v>
      </c>
      <c r="AY318" s="769">
        <f t="shared" si="130"/>
        <v>34.646903243048918</v>
      </c>
      <c r="AZ318" s="746">
        <f t="shared" si="134"/>
        <v>34.622970571927723</v>
      </c>
      <c r="BA318" s="643">
        <f t="shared" si="131"/>
        <v>0.96786372253243858</v>
      </c>
      <c r="BC318" s="11">
        <v>43404</v>
      </c>
      <c r="BD318" s="290">
        <f>[3]!FeuilCaduc*(1-Persistant)+Persistant</f>
        <v>0.79053155513041851</v>
      </c>
      <c r="BE318" s="291">
        <f>[3]!CroissVégét</f>
        <v>0.99753023639231442</v>
      </c>
      <c r="BF318" s="816">
        <f>1+[3]!Salcycl*Ksac</f>
        <v>1.0238164443913023</v>
      </c>
      <c r="BH318" s="1053">
        <f t="shared" si="132"/>
        <v>1.8367466238122939E-3</v>
      </c>
      <c r="BI318" s="11">
        <v>44500</v>
      </c>
      <c r="BJ318" s="726">
        <v>4.4653157218291629E-4</v>
      </c>
      <c r="BK318" s="726">
        <v>8.4067649879076818E-4</v>
      </c>
      <c r="BL318" s="726">
        <v>1.2975721906730321E-3</v>
      </c>
      <c r="BM318" s="726">
        <v>1.838157925157623E-3</v>
      </c>
      <c r="BN318" s="726">
        <v>2.4624329138444121E-3</v>
      </c>
      <c r="BO318" s="727">
        <v>3.3725585840148195E-3</v>
      </c>
      <c r="BP318" s="726">
        <v>4.5127057720347787E-3</v>
      </c>
      <c r="BQ318" s="726">
        <v>6.5221548561619743E-3</v>
      </c>
      <c r="BR318" s="726">
        <v>9.4402102311126942E-3</v>
      </c>
      <c r="BS318" s="726">
        <v>1.4073380770285193E-2</v>
      </c>
      <c r="BT318" s="726">
        <v>1.9747030607987947E-2</v>
      </c>
      <c r="BW318" s="1186">
        <f>'2018'!R\Max</f>
        <v>0.28640735010036816</v>
      </c>
      <c r="BX318" s="1184">
        <f>'2019'!R\Max</f>
        <v>0.49606513495414828</v>
      </c>
      <c r="BY318" s="1184">
        <f>'2020'!R\Max</f>
        <v>0.96786372253243858</v>
      </c>
      <c r="BZ318" s="1184">
        <f>'2021'!R\Max</f>
        <v>0.55121561637547523</v>
      </c>
      <c r="CA318" s="1184">
        <f>'2022'!R\Max</f>
        <v>0.6751683960467586</v>
      </c>
      <c r="CB318" s="1184">
        <f>'2023'!R\Max</f>
        <v>0.67515004180819893</v>
      </c>
      <c r="CC318" s="1184">
        <f>'2024'!R\Max</f>
        <v>0.67511779828472007</v>
      </c>
      <c r="CD318" s="1184">
        <f>'2025'!R\Max</f>
        <v>0.67522653335060334</v>
      </c>
      <c r="CE318" s="1184">
        <f>'2026'!R\Max</f>
        <v>0.6752164858321108</v>
      </c>
      <c r="CF318" s="1185">
        <f>'2027'!R\Max</f>
        <v>0.6752021023413497</v>
      </c>
    </row>
    <row r="319" spans="1:84" s="6" customFormat="1" ht="11.25" x14ac:dyDescent="0.2">
      <c r="A319" s="11">
        <v>43405</v>
      </c>
      <c r="B319" s="380">
        <f>'2022'!Maxi_hp</f>
        <v>32.377451552901285</v>
      </c>
      <c r="C319" s="13">
        <f>'2022'!An_max</f>
        <v>2020</v>
      </c>
      <c r="D319" s="1062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3">
        <f t="shared" si="119"/>
        <v>0.21428571428571427</v>
      </c>
      <c r="J319" s="746">
        <f t="shared" si="120"/>
        <v>34.308803935774733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5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3">
        <f t="shared" si="124"/>
        <v>0.39285714285714285</v>
      </c>
      <c r="AT319" s="769">
        <f t="shared" si="125"/>
        <v>34.278664427017794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3">
        <f t="shared" si="129"/>
        <v>0.8928571428571429</v>
      </c>
      <c r="AY319" s="769">
        <f t="shared" si="130"/>
        <v>34.341368025687657</v>
      </c>
      <c r="AZ319" s="746">
        <f t="shared" si="134"/>
        <v>34.31001622635273</v>
      </c>
      <c r="BA319" s="643">
        <f t="shared" si="131"/>
        <v>0.94370679938336255</v>
      </c>
      <c r="BC319" s="11">
        <v>43405</v>
      </c>
      <c r="BD319" s="290">
        <f>[3]!FeuilCaduc*(1-Persistant)+Persistant</f>
        <v>0.78474652459248617</v>
      </c>
      <c r="BE319" s="291">
        <f>[3]!CroissVégét</f>
        <v>0.99764270881659778</v>
      </c>
      <c r="BF319" s="816">
        <f>1+[3]!Salcycl*Ksac</f>
        <v>1.0230933155740607</v>
      </c>
      <c r="BH319" s="1053">
        <f t="shared" si="132"/>
        <v>1.8003530088755418E-3</v>
      </c>
      <c r="BI319" s="11">
        <v>44501</v>
      </c>
      <c r="BJ319" s="726">
        <v>4.517650585718819E-4</v>
      </c>
      <c r="BK319" s="726">
        <v>8.3304558932440051E-4</v>
      </c>
      <c r="BL319" s="726">
        <v>1.2764437937567423E-3</v>
      </c>
      <c r="BM319" s="726">
        <v>1.8017243531654081E-3</v>
      </c>
      <c r="BN319" s="726">
        <v>2.4109107519448489E-3</v>
      </c>
      <c r="BO319" s="727">
        <v>3.3273948277438678E-3</v>
      </c>
      <c r="BP319" s="726">
        <v>4.4824384512255335E-3</v>
      </c>
      <c r="BQ319" s="726">
        <v>6.5414421980577071E-3</v>
      </c>
      <c r="BR319" s="726">
        <v>9.514334123219205E-3</v>
      </c>
      <c r="BS319" s="726">
        <v>1.4198670948466672E-2</v>
      </c>
      <c r="BT319" s="726">
        <v>1.989282761453268E-2</v>
      </c>
      <c r="BW319" s="1186">
        <f>'2018'!R\Max</f>
        <v>0.66648015978694308</v>
      </c>
      <c r="BX319" s="1184">
        <f>'2019'!R\Max</f>
        <v>0.2268867713882991</v>
      </c>
      <c r="BY319" s="1184">
        <f>'2020'!R\Max</f>
        <v>0.94370679938336255</v>
      </c>
      <c r="BZ319" s="1184">
        <f>'2021'!R\Max</f>
        <v>0.53881096362776681</v>
      </c>
      <c r="CA319" s="1184">
        <f>'2022'!R\Max</f>
        <v>0.72482639377287361</v>
      </c>
      <c r="CB319" s="1184">
        <f>'2023'!R\Max</f>
        <v>0.7248094536433759</v>
      </c>
      <c r="CC319" s="1184">
        <f>'2024'!R\Max</f>
        <v>0.72477935330130405</v>
      </c>
      <c r="CD319" s="1184">
        <f>'2025'!R\Max</f>
        <v>0.72487952899340202</v>
      </c>
      <c r="CE319" s="1184">
        <f>'2026'!R\Max</f>
        <v>0.7248705967035759</v>
      </c>
      <c r="CF319" s="1185">
        <f>'2027'!R\Max</f>
        <v>0.7248574173247091</v>
      </c>
    </row>
    <row r="320" spans="1:84" s="6" customFormat="1" ht="11.25" x14ac:dyDescent="0.2">
      <c r="A320" s="11">
        <v>43406</v>
      </c>
      <c r="B320" s="380">
        <f>'2022'!Maxi_hp</f>
        <v>29.890548238014514</v>
      </c>
      <c r="C320" s="13">
        <f>'2022'!An_max</f>
        <v>2022</v>
      </c>
      <c r="D320" s="1062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3">
        <f t="shared" si="119"/>
        <v>0.2857142857142857</v>
      </c>
      <c r="J320" s="746">
        <f t="shared" si="120"/>
        <v>33.995809329726868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5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3">
        <f t="shared" si="124"/>
        <v>0.35714285714285715</v>
      </c>
      <c r="AT320" s="769">
        <f t="shared" si="125"/>
        <v>33.961364176623256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3">
        <f t="shared" si="129"/>
        <v>0.8571428571428571</v>
      </c>
      <c r="AY320" s="769">
        <f t="shared" si="130"/>
        <v>34.035032069576637</v>
      </c>
      <c r="AZ320" s="746">
        <f t="shared" si="134"/>
        <v>33.998198123099947</v>
      </c>
      <c r="BA320" s="643">
        <f t="shared" si="131"/>
        <v>0.8792421427036714</v>
      </c>
      <c r="BC320" s="11">
        <v>43406</v>
      </c>
      <c r="BD320" s="290">
        <f>[3]!FeuilCaduc*(1-Persistant)+Persistant</f>
        <v>0.77895800540929394</v>
      </c>
      <c r="BE320" s="291">
        <f>[3]!CroissVégét</f>
        <v>0.99775067659530603</v>
      </c>
      <c r="BF320" s="816">
        <f>1+[3]!Salcycl*Ksac</f>
        <v>1.0223697506761618</v>
      </c>
      <c r="BH320" s="1053">
        <f t="shared" si="132"/>
        <v>1.7705856146327617E-3</v>
      </c>
      <c r="BI320" s="11">
        <v>44502</v>
      </c>
      <c r="BJ320" s="726">
        <v>4.5527379958393998E-4</v>
      </c>
      <c r="BK320" s="726">
        <v>8.2593362417902611E-4</v>
      </c>
      <c r="BL320" s="726">
        <v>1.2586031619661539E-3</v>
      </c>
      <c r="BM320" s="726">
        <v>1.7719257403505677E-3</v>
      </c>
      <c r="BN320" s="726">
        <v>2.3698788808419686E-3</v>
      </c>
      <c r="BO320" s="727">
        <v>3.296042808482526E-3</v>
      </c>
      <c r="BP320" s="726">
        <v>4.4705101985360752E-3</v>
      </c>
      <c r="BQ320" s="726">
        <v>6.5844815207461603E-3</v>
      </c>
      <c r="BR320" s="726">
        <v>9.6146363526906451E-3</v>
      </c>
      <c r="BS320" s="726">
        <v>1.4344529852794555E-2</v>
      </c>
      <c r="BT320" s="726">
        <v>2.0045631219330208E-2</v>
      </c>
      <c r="BW320" s="1186">
        <f>'2018'!R\Max</f>
        <v>0.2682399628083959</v>
      </c>
      <c r="BX320" s="1184">
        <f>'2019'!R\Max</f>
        <v>0.15257575943086712</v>
      </c>
      <c r="BY320" s="1184">
        <f>'2020'!R\Max</f>
        <v>0.85173557077987128</v>
      </c>
      <c r="BZ320" s="1184">
        <f>'2021'!R\Max</f>
        <v>0.82690919486660319</v>
      </c>
      <c r="CA320" s="1184">
        <f>'2022'!R\Max</f>
        <v>0.8792421427036714</v>
      </c>
      <c r="CB320" s="1184">
        <f>'2023'!R\Max</f>
        <v>0.87923295697412296</v>
      </c>
      <c r="CC320" s="1184">
        <f>'2024'!R\Max</f>
        <v>0.87921647580122109</v>
      </c>
      <c r="CD320" s="1184">
        <f>'2025'!R\Max</f>
        <v>0.87927068670022057</v>
      </c>
      <c r="CE320" s="1184">
        <f>'2026'!R\Max</f>
        <v>0.87926601156827555</v>
      </c>
      <c r="CF320" s="1185">
        <f>'2027'!R\Max</f>
        <v>0.87925891726229688</v>
      </c>
    </row>
    <row r="321" spans="1:84" s="6" customFormat="1" ht="11.25" x14ac:dyDescent="0.2">
      <c r="A321" s="11">
        <v>43407</v>
      </c>
      <c r="B321" s="380">
        <f>'2022'!Maxi_hp</f>
        <v>30.00122544451607</v>
      </c>
      <c r="C321" s="13">
        <f>'2022'!An_max</f>
        <v>2018</v>
      </c>
      <c r="D321" s="1062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3">
        <f t="shared" si="119"/>
        <v>0.35714285714285715</v>
      </c>
      <c r="J321" s="746">
        <f t="shared" si="120"/>
        <v>33.684532506843759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5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3">
        <f t="shared" si="124"/>
        <v>0.32142857142857145</v>
      </c>
      <c r="AT321" s="769">
        <f t="shared" si="125"/>
        <v>33.64747265395043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3">
        <f t="shared" si="129"/>
        <v>0.8214285714285714</v>
      </c>
      <c r="AY321" s="769">
        <f t="shared" si="130"/>
        <v>33.728338242721343</v>
      </c>
      <c r="AZ321" s="746">
        <f t="shared" si="134"/>
        <v>33.687905448335883</v>
      </c>
      <c r="BA321" s="643">
        <f t="shared" si="131"/>
        <v>0.89065286681418709</v>
      </c>
      <c r="BC321" s="11">
        <v>43407</v>
      </c>
      <c r="BD321" s="290">
        <f>[3]!FeuilCaduc*(1-Persistant)+Persistant</f>
        <v>0.77317440998061149</v>
      </c>
      <c r="BE321" s="291">
        <f>[3]!CroissVégét</f>
        <v>0.99785431922609247</v>
      </c>
      <c r="BF321" s="816">
        <f>1+[3]!Salcycl*Ksac</f>
        <v>1.0216468012475763</v>
      </c>
      <c r="BH321" s="1053">
        <f t="shared" si="132"/>
        <v>1.7474523975566816E-3</v>
      </c>
      <c r="BI321" s="11">
        <v>44503</v>
      </c>
      <c r="BJ321" s="726">
        <v>4.5705490171621876E-4</v>
      </c>
      <c r="BK321" s="726">
        <v>8.1934061608600708E-4</v>
      </c>
      <c r="BL321" s="726">
        <v>1.2440539073033132E-3</v>
      </c>
      <c r="BM321" s="726">
        <v>1.7487700545575798E-3</v>
      </c>
      <c r="BN321" s="726">
        <v>2.3393502688147491E-3</v>
      </c>
      <c r="BO321" s="727">
        <v>3.2785193454132841E-3</v>
      </c>
      <c r="BP321" s="726">
        <v>4.4769431370034257E-3</v>
      </c>
      <c r="BQ321" s="726">
        <v>6.6513005062655154E-3</v>
      </c>
      <c r="BR321" s="726">
        <v>9.7411450486388062E-3</v>
      </c>
      <c r="BS321" s="726">
        <v>1.4510973080683378E-2</v>
      </c>
      <c r="BT321" s="726">
        <v>2.0205432407915027E-2</v>
      </c>
      <c r="BW321" s="1186">
        <f>'2018'!R\Max</f>
        <v>0.89065286681418709</v>
      </c>
      <c r="BX321" s="1184">
        <f>'2019'!R\Max</f>
        <v>0.38779151091140723</v>
      </c>
      <c r="BY321" s="1184">
        <f>'2020'!R\Max</f>
        <v>0.8780568303337104</v>
      </c>
      <c r="BZ321" s="1184">
        <f>'2021'!R\Max</f>
        <v>0.53804242475450614</v>
      </c>
      <c r="CA321" s="1184">
        <f>'2022'!R\Max</f>
        <v>0.30466365235586718</v>
      </c>
      <c r="CB321" s="1184">
        <f>'2023'!R\Max</f>
        <v>0.30464491915268471</v>
      </c>
      <c r="CC321" s="1184">
        <f>'2024'!R\Max</f>
        <v>0.30461104296888519</v>
      </c>
      <c r="CD321" s="1184">
        <f>'2025'!R\Max</f>
        <v>0.3047213698070973</v>
      </c>
      <c r="CE321" s="1184">
        <f>'2026'!R\Max</f>
        <v>0.30471213815768594</v>
      </c>
      <c r="CF321" s="1185">
        <f>'2027'!R\Max</f>
        <v>0.30469776999930887</v>
      </c>
    </row>
    <row r="322" spans="1:84" s="6" customFormat="1" ht="11.25" x14ac:dyDescent="0.2">
      <c r="A322" s="11">
        <v>43408</v>
      </c>
      <c r="B322" s="380">
        <f>'2022'!Maxi_hp</f>
        <v>23.180990079496752</v>
      </c>
      <c r="C322" s="13">
        <f>'2022'!An_max</f>
        <v>2018</v>
      </c>
      <c r="D322" s="1062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3">
        <f t="shared" si="119"/>
        <v>0.42857142857142855</v>
      </c>
      <c r="J322" s="746">
        <f t="shared" si="120"/>
        <v>33.37540291547775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5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3">
        <f t="shared" si="124"/>
        <v>0.2857142857142857</v>
      </c>
      <c r="AT322" s="769">
        <f t="shared" si="125"/>
        <v>33.337325364617371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3">
        <f t="shared" si="129"/>
        <v>0.7857142857142857</v>
      </c>
      <c r="AY322" s="769">
        <f t="shared" si="130"/>
        <v>33.42172940924231</v>
      </c>
      <c r="AZ322" s="746">
        <f t="shared" si="134"/>
        <v>33.379527386929837</v>
      </c>
      <c r="BA322" s="643">
        <f t="shared" si="131"/>
        <v>0.69455311560438515</v>
      </c>
      <c r="BC322" s="11">
        <v>43408</v>
      </c>
      <c r="BD322" s="290">
        <f>[3]!FeuilCaduc*(1-Persistant)+Persistant</f>
        <v>0.76740421455885688</v>
      </c>
      <c r="BE322" s="291">
        <f>[3]!CroissVégét</f>
        <v>0.99795380912643716</v>
      </c>
      <c r="BF322" s="816">
        <f>1+[3]!Salcycl*Ksac</f>
        <v>1.0209255268198572</v>
      </c>
      <c r="BH322" s="1053">
        <f t="shared" si="132"/>
        <v>1.7309613529649908E-3</v>
      </c>
      <c r="BI322" s="11">
        <v>44504</v>
      </c>
      <c r="BJ322" s="726">
        <v>4.5710547851051455E-4</v>
      </c>
      <c r="BK322" s="726">
        <v>8.1326659956268324E-4</v>
      </c>
      <c r="BL322" s="726">
        <v>1.2327996729770722E-3</v>
      </c>
      <c r="BM322" s="726">
        <v>1.7322653024958781E-3</v>
      </c>
      <c r="BN322" s="726">
        <v>2.319337922516344E-3</v>
      </c>
      <c r="BO322" s="727">
        <v>3.2748412253348026E-3</v>
      </c>
      <c r="BP322" s="726">
        <v>4.501759237815036E-3</v>
      </c>
      <c r="BQ322" s="726">
        <v>6.7419264266899183E-3</v>
      </c>
      <c r="BR322" s="726">
        <v>9.8938876983937288E-3</v>
      </c>
      <c r="BS322" s="726">
        <v>1.4698015491008567E-2</v>
      </c>
      <c r="BT322" s="726">
        <v>2.0372221562147633E-2</v>
      </c>
      <c r="BW322" s="1186">
        <f>'2018'!R\Max</f>
        <v>0.69455311560438515</v>
      </c>
      <c r="BX322" s="1184">
        <f>'2019'!R\Max</f>
        <v>0.39482581265642142</v>
      </c>
      <c r="BY322" s="1184">
        <f>'2020'!R\Max</f>
        <v>0.16052755284352482</v>
      </c>
      <c r="BZ322" s="1184">
        <f>'2021'!R\Max</f>
        <v>0.51145551169362757</v>
      </c>
      <c r="CA322" s="1184">
        <f>'2022'!R\Max</f>
        <v>0.53934024673966396</v>
      </c>
      <c r="CB322" s="1184">
        <f>'2023'!R\Max</f>
        <v>0.53931771444411547</v>
      </c>
      <c r="CC322" s="1184">
        <f>'2024'!R\Max</f>
        <v>0.53927670661259597</v>
      </c>
      <c r="CD322" s="1184">
        <f>'2025'!R\Max</f>
        <v>0.53940910350587268</v>
      </c>
      <c r="CE322" s="1184">
        <f>'2026'!R\Max</f>
        <v>0.53939832349565864</v>
      </c>
      <c r="CF322" s="1185">
        <f>'2027'!R\Max</f>
        <v>0.53938116505361011</v>
      </c>
    </row>
    <row r="323" spans="1:84" s="6" customFormat="1" ht="11.25" x14ac:dyDescent="0.2">
      <c r="A323" s="11">
        <v>43409</v>
      </c>
      <c r="B323" s="380">
        <f>'2022'!Maxi_hp</f>
        <v>31.350870837065635</v>
      </c>
      <c r="C323" s="13">
        <f>'2022'!An_max</f>
        <v>2022</v>
      </c>
      <c r="D323" s="1062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3">
        <f t="shared" si="119"/>
        <v>0.5</v>
      </c>
      <c r="J323" s="746">
        <f t="shared" si="120"/>
        <v>33.068849999457598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5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3">
        <f t="shared" si="124"/>
        <v>0.25</v>
      </c>
      <c r="AT323" s="769">
        <f t="shared" si="125"/>
        <v>33.031257812865078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3">
        <f t="shared" si="129"/>
        <v>0.75</v>
      </c>
      <c r="AY323" s="769">
        <f t="shared" si="130"/>
        <v>33.115648437570783</v>
      </c>
      <c r="AZ323" s="746">
        <f t="shared" si="134"/>
        <v>33.073453125217931</v>
      </c>
      <c r="BA323" s="643">
        <f t="shared" si="131"/>
        <v>0.94804841527842243</v>
      </c>
      <c r="BC323" s="11">
        <v>43409</v>
      </c>
      <c r="BD323" s="290">
        <f>[3]!FeuilCaduc*(1-Persistant)+Persistant</f>
        <v>0.76165592127670301</v>
      </c>
      <c r="BE323" s="291">
        <f>[3]!CroissVégét</f>
        <v>0.99804931190721602</v>
      </c>
      <c r="BF323" s="816">
        <f>1+[3]!Salcycl*Ksac</f>
        <v>1.0202069901595878</v>
      </c>
      <c r="BH323" s="1053">
        <f t="shared" si="132"/>
        <v>1.7211204537232144E-3</v>
      </c>
      <c r="BI323" s="11">
        <v>44505</v>
      </c>
      <c r="BJ323" s="726">
        <v>4.5542266645621636E-4</v>
      </c>
      <c r="BK323" s="726">
        <v>8.0771162605861751E-4</v>
      </c>
      <c r="BL323" s="726">
        <v>1.2248441029558627E-3</v>
      </c>
      <c r="BM323" s="726">
        <v>1.7224194683619744E-3</v>
      </c>
      <c r="BN323" s="726">
        <v>2.3098547899921534E-3</v>
      </c>
      <c r="BO323" s="727">
        <v>3.2850250751693048E-3</v>
      </c>
      <c r="BP323" s="726">
        <v>4.5449801512843103E-3</v>
      </c>
      <c r="BQ323" s="726">
        <v>6.8563859257158065E-3</v>
      </c>
      <c r="BR323" s="726">
        <v>1.0072890907202949E-2</v>
      </c>
      <c r="BS323" s="726">
        <v>1.4905671015774899E-2</v>
      </c>
      <c r="BT323" s="726">
        <v>2.0545988396716151E-2</v>
      </c>
      <c r="BW323" s="1186">
        <f>'2018'!R\Max</f>
        <v>0.32915881126466373</v>
      </c>
      <c r="BX323" s="1184">
        <f>'2019'!R\Max</f>
        <v>0.39869230238485021</v>
      </c>
      <c r="BY323" s="1184">
        <f>'2020'!R\Max</f>
        <v>0.50567487335401373</v>
      </c>
      <c r="BZ323" s="1184">
        <f>'2021'!R\Max</f>
        <v>0.34897248800521635</v>
      </c>
      <c r="CA323" s="1184">
        <f>'2022'!R\Max</f>
        <v>0.94804841527842243</v>
      </c>
      <c r="CB323" s="1184">
        <f>'2023'!R\Max</f>
        <v>0.94804382021928613</v>
      </c>
      <c r="CC323" s="1184">
        <f>'2024'!R\Max</f>
        <v>0.94803541658506829</v>
      </c>
      <c r="CD323" s="1184">
        <f>'2025'!R\Max</f>
        <v>0.94806235168959374</v>
      </c>
      <c r="CE323" s="1184">
        <f>'2026'!R\Max</f>
        <v>0.94806021016642572</v>
      </c>
      <c r="CF323" s="1185">
        <f>'2027'!R\Max</f>
        <v>0.94805673566004356</v>
      </c>
    </row>
    <row r="324" spans="1:84" s="6" customFormat="1" ht="11.25" x14ac:dyDescent="0.2">
      <c r="A324" s="11">
        <v>43410</v>
      </c>
      <c r="B324" s="380">
        <f>'2022'!Maxi_hp</f>
        <v>32.30095483773875</v>
      </c>
      <c r="C324" s="13">
        <f>'2022'!An_max</f>
        <v>2022</v>
      </c>
      <c r="D324" s="1062">
        <f t="shared" si="116"/>
        <v>0.98582804601215435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3">
        <f t="shared" si="119"/>
        <v>0.5714285714285714</v>
      </c>
      <c r="J324" s="746">
        <f t="shared" si="120"/>
        <v>32.765303207188843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5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3">
        <f t="shared" si="124"/>
        <v>0.21428571428571427</v>
      </c>
      <c r="AT324" s="769">
        <f t="shared" si="125"/>
        <v>32.729605503526649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3">
        <f t="shared" si="129"/>
        <v>0.7142857142857143</v>
      </c>
      <c r="AY324" s="769">
        <f t="shared" si="130"/>
        <v>32.810538191933716</v>
      </c>
      <c r="AZ324" s="746">
        <f t="shared" si="134"/>
        <v>32.770071847730179</v>
      </c>
      <c r="BA324" s="643">
        <f t="shared" si="131"/>
        <v>0.98582804601215435</v>
      </c>
      <c r="BC324" s="11">
        <v>43410</v>
      </c>
      <c r="BD324" s="290">
        <f>[3]!FeuilCaduc*(1-Persistant)+Persistant</f>
        <v>0.75593801961083673</v>
      </c>
      <c r="BE324" s="291">
        <f>[3]!CroissVégét</f>
        <v>0.99814098663615436</v>
      </c>
      <c r="BF324" s="816">
        <f>1+[3]!Salcycl*Ksac</f>
        <v>1.0194922524513546</v>
      </c>
      <c r="BH324" s="1053">
        <f t="shared" si="132"/>
        <v>1.7181767971611124E-3</v>
      </c>
      <c r="BI324" s="11">
        <v>44506</v>
      </c>
      <c r="BJ324" s="726">
        <v>4.5251793444750071E-4</v>
      </c>
      <c r="BK324" s="726">
        <v>8.0284381354132537E-4</v>
      </c>
      <c r="BL324" s="726">
        <v>1.2201707917209607E-3</v>
      </c>
      <c r="BM324" s="726">
        <v>1.7194803392103293E-3</v>
      </c>
      <c r="BN324" s="726">
        <v>2.3121657751859728E-3</v>
      </c>
      <c r="BO324" s="727">
        <v>3.3117211161770525E-3</v>
      </c>
      <c r="BP324" s="726">
        <v>4.6108433769298778E-3</v>
      </c>
      <c r="BQ324" s="726">
        <v>6.9954463049118915E-3</v>
      </c>
      <c r="BR324" s="726">
        <v>1.0274772938816941E-2</v>
      </c>
      <c r="BS324" s="726">
        <v>1.5127422490084065E-2</v>
      </c>
      <c r="BT324" s="726">
        <v>2.072320120956558E-2</v>
      </c>
      <c r="BW324" s="1186">
        <f>'2018'!R\Max</f>
        <v>0.74477045971104849</v>
      </c>
      <c r="BX324" s="1184">
        <f>'2019'!R\Max</f>
        <v>0.43694597467654034</v>
      </c>
      <c r="BY324" s="1184">
        <f>'2020'!R\Max</f>
        <v>0.76368481164750335</v>
      </c>
      <c r="BZ324" s="1184">
        <f>'2021'!R\Max</f>
        <v>0.41113852822586622</v>
      </c>
      <c r="CA324" s="1184">
        <f>'2022'!R\Max</f>
        <v>0.98582804601215435</v>
      </c>
      <c r="CB324" s="1184">
        <f>'2023'!R\Max</f>
        <v>0.98582669976831994</v>
      </c>
      <c r="CC324" s="1184">
        <f>'2024'!R\Max</f>
        <v>0.98582423617599035</v>
      </c>
      <c r="CD324" s="1184">
        <f>'2025'!R\Max</f>
        <v>0.98583210249627007</v>
      </c>
      <c r="CE324" s="1184">
        <f>'2026'!R\Max</f>
        <v>0.98583148857970515</v>
      </c>
      <c r="CF324" s="1185">
        <f>'2027'!R\Max</f>
        <v>0.98583047718394268</v>
      </c>
    </row>
    <row r="325" spans="1:84" s="6" customFormat="1" ht="11.25" x14ac:dyDescent="0.2">
      <c r="A325" s="11">
        <v>43411</v>
      </c>
      <c r="B325" s="380">
        <f>'2022'!Maxi_hp</f>
        <v>29.852104958050223</v>
      </c>
      <c r="C325" s="13">
        <f>'2022'!An_max</f>
        <v>2022</v>
      </c>
      <c r="D325" s="1062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3">
        <f t="shared" si="119"/>
        <v>0.6428571428571429</v>
      </c>
      <c r="J325" s="746">
        <f t="shared" si="120"/>
        <v>32.465191982101118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5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3">
        <f t="shared" si="124"/>
        <v>0.17857142857142858</v>
      </c>
      <c r="AT325" s="769">
        <f t="shared" si="125"/>
        <v>32.432703940636877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3">
        <f t="shared" si="129"/>
        <v>0.6785714285714286</v>
      </c>
      <c r="AY325" s="769">
        <f t="shared" si="130"/>
        <v>32.50684154085549</v>
      </c>
      <c r="AZ325" s="746">
        <f t="shared" si="134"/>
        <v>32.46977274074618</v>
      </c>
      <c r="BA325" s="643">
        <f t="shared" si="131"/>
        <v>0.91951111746107783</v>
      </c>
      <c r="BC325" s="11">
        <v>43411</v>
      </c>
      <c r="BD325" s="290">
        <f>[3]!FeuilCaduc*(1-Persistant)+Persistant</f>
        <v>0.75025894754742239</v>
      </c>
      <c r="BE325" s="291">
        <f>[3]!CroissVégét</f>
        <v>0.99822898609149657</v>
      </c>
      <c r="BF325" s="816">
        <f>1+[3]!Salcycl*Ksac</f>
        <v>1.0187823684434278</v>
      </c>
      <c r="BH325" s="1053">
        <f t="shared" si="132"/>
        <v>1.7190900251047574E-3</v>
      </c>
      <c r="BI325" s="11">
        <v>44507</v>
      </c>
      <c r="BJ325" s="726">
        <v>4.5016532904841545E-4</v>
      </c>
      <c r="BK325" s="726">
        <v>7.992714434440309E-4</v>
      </c>
      <c r="BL325" s="726">
        <v>1.2177626596209653E-3</v>
      </c>
      <c r="BM325" s="726">
        <v>1.7204022608894515E-3</v>
      </c>
      <c r="BN325" s="726">
        <v>2.3209667396106989E-3</v>
      </c>
      <c r="BO325" s="727">
        <v>3.347151739221608E-3</v>
      </c>
      <c r="BP325" s="726">
        <v>4.6886022782172748E-3</v>
      </c>
      <c r="BQ325" s="726">
        <v>7.1448785467887847E-3</v>
      </c>
      <c r="BR325" s="726">
        <v>1.0482523007184124E-2</v>
      </c>
      <c r="BS325" s="726">
        <v>1.5347939861385813E-2</v>
      </c>
      <c r="BT325" s="726">
        <v>2.0894679571725413E-2</v>
      </c>
      <c r="BW325" s="1186">
        <f>'2018'!R\Max</f>
        <v>0.30675460511588121</v>
      </c>
      <c r="BX325" s="1184">
        <f>'2019'!R\Max</f>
        <v>0.13390684603693082</v>
      </c>
      <c r="BY325" s="1184">
        <f>'2020'!R\Max</f>
        <v>0.52361040317894525</v>
      </c>
      <c r="BZ325" s="1184">
        <f>'2021'!R\Max</f>
        <v>0.28843600187608426</v>
      </c>
      <c r="CA325" s="1184">
        <f>'2022'!R\Max</f>
        <v>0.91951111746107783</v>
      </c>
      <c r="CB325" s="1184">
        <f>'2023'!R\Max</f>
        <v>0.91950374128623036</v>
      </c>
      <c r="CC325" s="1184">
        <f>'2024'!R\Max</f>
        <v>0.91949027558772234</v>
      </c>
      <c r="CD325" s="1184">
        <f>'2025'!R\Max</f>
        <v>0.91953321230642271</v>
      </c>
      <c r="CE325" s="1184">
        <f>'2026'!R\Max</f>
        <v>0.91952991134316431</v>
      </c>
      <c r="CF325" s="1185">
        <f>'2027'!R\Max</f>
        <v>0.91952440385094647</v>
      </c>
    </row>
    <row r="326" spans="1:84" s="6" customFormat="1" ht="11.25" x14ac:dyDescent="0.2">
      <c r="A326" s="11">
        <v>43412</v>
      </c>
      <c r="B326" s="380">
        <f>'2022'!Maxi_hp</f>
        <v>27.215230575971084</v>
      </c>
      <c r="C326" s="13">
        <f>'2022'!An_max</f>
        <v>2021</v>
      </c>
      <c r="D326" s="1062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3">
        <f t="shared" si="119"/>
        <v>0.7142857142857143</v>
      </c>
      <c r="J326" s="746">
        <f t="shared" si="120"/>
        <v>32.168945772520132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5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3">
        <f t="shared" si="124"/>
        <v>0.14285714285714285</v>
      </c>
      <c r="AT326" s="769">
        <f t="shared" si="125"/>
        <v>32.140888630811659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3">
        <f t="shared" si="129"/>
        <v>0.6428571428571429</v>
      </c>
      <c r="AY326" s="769">
        <f t="shared" si="130"/>
        <v>32.205001348656204</v>
      </c>
      <c r="AZ326" s="746">
        <f t="shared" si="134"/>
        <v>32.172944989733935</v>
      </c>
      <c r="BA326" s="643">
        <f t="shared" si="131"/>
        <v>0.84600940199971708</v>
      </c>
      <c r="BC326" s="11">
        <v>43412</v>
      </c>
      <c r="BD326" s="290">
        <f>[3]!FeuilCaduc*(1-Persistant)+Persistant</f>
        <v>0.74462705271936014</v>
      </c>
      <c r="BE326" s="291">
        <f>[3]!CroissVégét</f>
        <v>0.99831345700622864</v>
      </c>
      <c r="BF326" s="816">
        <f>1+[3]!Salcycl*Ksac</f>
        <v>1.0180783815899199</v>
      </c>
      <c r="BH326" s="1053">
        <f t="shared" si="132"/>
        <v>1.7238638661842989E-3</v>
      </c>
      <c r="BI326" s="11">
        <v>44508</v>
      </c>
      <c r="BJ326" s="726">
        <v>4.4836524412883915E-4</v>
      </c>
      <c r="BK326" s="726">
        <v>7.9699563704780643E-4</v>
      </c>
      <c r="BL326" s="726">
        <v>1.217621761170799E-3</v>
      </c>
      <c r="BM326" s="726">
        <v>1.7251889664115258E-3</v>
      </c>
      <c r="BN326" s="726">
        <v>2.336264343914009E-3</v>
      </c>
      <c r="BO326" s="727">
        <v>3.3913252866589871E-3</v>
      </c>
      <c r="BP326" s="726">
        <v>4.7782675734879924E-3</v>
      </c>
      <c r="BQ326" s="726">
        <v>7.3046877836257318E-3</v>
      </c>
      <c r="BR326" s="726">
        <v>1.0696136009126741E-2</v>
      </c>
      <c r="BS326" s="726">
        <v>1.5567203656178022E-2</v>
      </c>
      <c r="BT326" s="726">
        <v>2.1060393698593211E-2</v>
      </c>
      <c r="BW326" s="1186">
        <f>'2018'!R\Max</f>
        <v>0.54182503723812958</v>
      </c>
      <c r="BX326" s="1184">
        <f>'2019'!R\Max</f>
        <v>0.4675419214325936</v>
      </c>
      <c r="BY326" s="1184">
        <f>'2020'!R\Max</f>
        <v>0.16991198496197069</v>
      </c>
      <c r="BZ326" s="1184">
        <f>'2021'!R\Max</f>
        <v>0.84600940199971708</v>
      </c>
      <c r="CA326" s="1184">
        <f>'2022'!R\Max</f>
        <v>0.69865636887859328</v>
      </c>
      <c r="CB326" s="1184">
        <f>'2023'!R\Max</f>
        <v>0.698634639404492</v>
      </c>
      <c r="CC326" s="1184">
        <f>'2024'!R\Max</f>
        <v>0.6985951762889131</v>
      </c>
      <c r="CD326" s="1184">
        <f>'2025'!R\Max</f>
        <v>0.69872111572406659</v>
      </c>
      <c r="CE326" s="1184">
        <f>'2026'!R\Max</f>
        <v>0.69871154446445416</v>
      </c>
      <c r="CF326" s="1185">
        <f>'2027'!R\Max</f>
        <v>0.69869541386505474</v>
      </c>
    </row>
    <row r="327" spans="1:84" s="6" customFormat="1" ht="11.25" x14ac:dyDescent="0.2">
      <c r="A327" s="11">
        <v>43413</v>
      </c>
      <c r="B327" s="380">
        <f>'2022'!Maxi_hp</f>
        <v>21.819080346731017</v>
      </c>
      <c r="C327" s="13">
        <f>'2022'!An_max</f>
        <v>2020</v>
      </c>
      <c r="D327" s="1062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3">
        <f t="shared" si="119"/>
        <v>0.7857142857142857</v>
      </c>
      <c r="J327" s="746">
        <f t="shared" si="120"/>
        <v>31.876994023126151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5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3">
        <f t="shared" si="124"/>
        <v>0.10714285714285714</v>
      </c>
      <c r="AT327" s="769">
        <f t="shared" si="125"/>
        <v>31.854495076292995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3">
        <f t="shared" si="129"/>
        <v>0.6071428571428571</v>
      </c>
      <c r="AY327" s="769">
        <f t="shared" si="130"/>
        <v>31.905460481824623</v>
      </c>
      <c r="AZ327" s="746">
        <f t="shared" si="134"/>
        <v>31.879977779058809</v>
      </c>
      <c r="BA327" s="643">
        <f t="shared" si="131"/>
        <v>0.68447734848843311</v>
      </c>
      <c r="BC327" s="11">
        <v>43413</v>
      </c>
      <c r="BD327" s="290">
        <f>[3]!FeuilCaduc*(1-Persistant)+Persistant</f>
        <v>0.73905055378765083</v>
      </c>
      <c r="BE327" s="291">
        <f>[3]!CroissVégét</f>
        <v>0.99839454030316765</v>
      </c>
      <c r="BF327" s="816">
        <f>1+[3]!Salcycl*Ksac</f>
        <v>1.0173813192234564</v>
      </c>
      <c r="BH327" s="1053">
        <f t="shared" si="132"/>
        <v>1.7325018992622192E-3</v>
      </c>
      <c r="BI327" s="11">
        <v>44509</v>
      </c>
      <c r="BJ327" s="726">
        <v>4.4711806144787574E-4</v>
      </c>
      <c r="BK327" s="726">
        <v>7.9601747976090721E-4</v>
      </c>
      <c r="BL327" s="726">
        <v>1.2197500739375433E-3</v>
      </c>
      <c r="BM327" s="726">
        <v>1.7338440388304614E-3</v>
      </c>
      <c r="BN327" s="726">
        <v>2.358064969477101E-3</v>
      </c>
      <c r="BO327" s="727">
        <v>3.4442496395467662E-3</v>
      </c>
      <c r="BP327" s="726">
        <v>4.8798492457279435E-3</v>
      </c>
      <c r="BQ327" s="726">
        <v>7.4748782141381004E-3</v>
      </c>
      <c r="BR327" s="726">
        <v>1.0915605874642745E-2</v>
      </c>
      <c r="BS327" s="726">
        <v>1.5785193669104719E-2</v>
      </c>
      <c r="BT327" s="726">
        <v>2.1220313433959064E-2</v>
      </c>
      <c r="BW327" s="1186">
        <f>'2018'!R\Max</f>
        <v>0.18809883925075965</v>
      </c>
      <c r="BX327" s="1184">
        <f>'2019'!R\Max</f>
        <v>0.64512554278211987</v>
      </c>
      <c r="BY327" s="1184">
        <f>'2020'!R\Max</f>
        <v>0.68447734848843311</v>
      </c>
      <c r="BZ327" s="1184">
        <f>'2021'!R\Max</f>
        <v>0.66704055249458094</v>
      </c>
      <c r="CA327" s="1184">
        <f>'2022'!R\Max</f>
        <v>0.32965775591419427</v>
      </c>
      <c r="CB327" s="1184">
        <f>'2023'!R\Max</f>
        <v>0.32963411095387579</v>
      </c>
      <c r="CC327" s="1184">
        <f>'2024'!R\Max</f>
        <v>0.32959149968167872</v>
      </c>
      <c r="CD327" s="1184">
        <f>'2025'!R\Max</f>
        <v>0.32972788364724043</v>
      </c>
      <c r="CE327" s="1184">
        <f>'2026'!R\Max</f>
        <v>0.32971760266499767</v>
      </c>
      <c r="CF327" s="1185">
        <f>'2027'!R\Max</f>
        <v>0.32970014522020763</v>
      </c>
    </row>
    <row r="328" spans="1:84" s="6" customFormat="1" ht="11.25" x14ac:dyDescent="0.2">
      <c r="A328" s="11">
        <v>43414</v>
      </c>
      <c r="B328" s="380">
        <f>'2022'!Maxi_hp</f>
        <v>21.826965115054627</v>
      </c>
      <c r="C328" s="13">
        <f>'2022'!An_max</f>
        <v>2022</v>
      </c>
      <c r="D328" s="1062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3">
        <f t="shared" si="119"/>
        <v>0.8571428571428571</v>
      </c>
      <c r="J328" s="746">
        <f t="shared" si="120"/>
        <v>31.58976618062173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5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3">
        <f t="shared" si="124"/>
        <v>7.1428571428571425E-2</v>
      </c>
      <c r="AT328" s="769">
        <f t="shared" si="125"/>
        <v>31.573858783700103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3">
        <f t="shared" si="129"/>
        <v>0.5714285714285714</v>
      </c>
      <c r="AY328" s="769">
        <f t="shared" si="130"/>
        <v>31.608661807860649</v>
      </c>
      <c r="AZ328" s="746">
        <f t="shared" si="134"/>
        <v>31.591260295780376</v>
      </c>
      <c r="BA328" s="643">
        <f t="shared" si="131"/>
        <v>0.69095051195548429</v>
      </c>
      <c r="BC328" s="11">
        <v>43414</v>
      </c>
      <c r="BD328" s="290">
        <f>[3]!FeuilCaduc*(1-Persistant)+Persistant</f>
        <v>0.73353750233911663</v>
      </c>
      <c r="BE328" s="291">
        <f>[3]!CroissVégét</f>
        <v>0.99847237132123801</v>
      </c>
      <c r="BF328" s="816">
        <f>1+[3]!Salcycl*Ksac</f>
        <v>1.0166921877923896</v>
      </c>
      <c r="BH328" s="1053">
        <f t="shared" si="132"/>
        <v>1.7450075179331888E-3</v>
      </c>
      <c r="BI328" s="11">
        <v>44510</v>
      </c>
      <c r="BJ328" s="726">
        <v>4.4642414554105529E-4</v>
      </c>
      <c r="BK328" s="726">
        <v>7.9633800915150611E-4</v>
      </c>
      <c r="BL328" s="726">
        <v>1.2241494776559715E-3</v>
      </c>
      <c r="BM328" s="726">
        <v>1.746370875703491E-3</v>
      </c>
      <c r="BN328" s="726">
        <v>2.3863746587676048E-3</v>
      </c>
      <c r="BO328" s="727">
        <v>3.505932137557656E-3</v>
      </c>
      <c r="BP328" s="726">
        <v>4.9933564337421152E-3</v>
      </c>
      <c r="BQ328" s="726">
        <v>7.6554530091414302E-3</v>
      </c>
      <c r="BR328" s="726">
        <v>1.1140925514275658E-2</v>
      </c>
      <c r="BS328" s="726">
        <v>1.6001888975437625E-2</v>
      </c>
      <c r="BT328" s="726">
        <v>2.1374408303142692E-2</v>
      </c>
      <c r="BW328" s="1186">
        <f>'2018'!R\Max</f>
        <v>0.68975603058727353</v>
      </c>
      <c r="BX328" s="1184">
        <f>'2019'!R\Max</f>
        <v>0.62992812308937463</v>
      </c>
      <c r="BY328" s="1184">
        <f>'2020'!R\Max</f>
        <v>0.53777026881675671</v>
      </c>
      <c r="BZ328" s="1184">
        <f>'2021'!R\Max</f>
        <v>0.2171401465747422</v>
      </c>
      <c r="CA328" s="1184">
        <f>'2022'!R\Max</f>
        <v>0.69095051195548429</v>
      </c>
      <c r="CB328" s="1184">
        <f>'2023'!R\Max</f>
        <v>0.69092680073777346</v>
      </c>
      <c r="CC328" s="1184">
        <f>'2024'!R\Max</f>
        <v>0.69088448519965684</v>
      </c>
      <c r="CD328" s="1184">
        <f>'2025'!R\Max</f>
        <v>0.69102052625028609</v>
      </c>
      <c r="CE328" s="1184">
        <f>'2026'!R\Max</f>
        <v>0.69101032673776741</v>
      </c>
      <c r="CF328" s="1185">
        <f>'2027'!R\Max</f>
        <v>0.69099291739089341</v>
      </c>
    </row>
    <row r="329" spans="1:84" s="6" customFormat="1" ht="11.25" x14ac:dyDescent="0.2">
      <c r="A329" s="11">
        <v>43415</v>
      </c>
      <c r="B329" s="380">
        <f>'2022'!Maxi_hp</f>
        <v>29.566400484351405</v>
      </c>
      <c r="C329" s="13">
        <f>'2022'!An_max</f>
        <v>2022</v>
      </c>
      <c r="D329" s="1062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3">
        <f t="shared" si="119"/>
        <v>0.9285714285714286</v>
      </c>
      <c r="J329" s="746">
        <f t="shared" si="120"/>
        <v>31.307691690325736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5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3">
        <f t="shared" si="124"/>
        <v>3.5714285714285712E-2</v>
      </c>
      <c r="AT329" s="769">
        <f t="shared" si="125"/>
        <v>31.299315257154273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3">
        <f t="shared" si="129"/>
        <v>0.5357142857142857</v>
      </c>
      <c r="AY329" s="769">
        <f t="shared" si="130"/>
        <v>31.315048191856061</v>
      </c>
      <c r="AZ329" s="746">
        <f t="shared" si="134"/>
        <v>31.307181724505167</v>
      </c>
      <c r="BA329" s="643">
        <f t="shared" si="131"/>
        <v>0.94438136087457381</v>
      </c>
      <c r="BC329" s="11">
        <v>43415</v>
      </c>
      <c r="BD329" s="290">
        <f>[3]!FeuilCaduc*(1-Persistant)+Persistant</f>
        <v>0.72809574557030932</v>
      </c>
      <c r="BE329" s="291">
        <f>[3]!CroissVégét</f>
        <v>0.99854708003323223</v>
      </c>
      <c r="BF329" s="816">
        <f>1+[3]!Salcycl*Ksac</f>
        <v>1.0160119681962887</v>
      </c>
      <c r="BH329" s="1053">
        <f t="shared" si="132"/>
        <v>1.761383895008107E-3</v>
      </c>
      <c r="BI329" s="11">
        <v>44511</v>
      </c>
      <c r="BJ329" s="726">
        <v>4.4628383860343513E-4</v>
      </c>
      <c r="BK329" s="726">
        <v>7.9795820297313687E-4</v>
      </c>
      <c r="BL329" s="726">
        <v>1.230821733332935E-3</v>
      </c>
      <c r="BM329" s="726">
        <v>1.7627726535369437E-3</v>
      </c>
      <c r="BN329" s="726">
        <v>2.4211990556709927E-3</v>
      </c>
      <c r="BO329" s="727">
        <v>3.5763794988618283E-3</v>
      </c>
      <c r="BP329" s="726">
        <v>5.1187973232851534E-3</v>
      </c>
      <c r="BQ329" s="726">
        <v>7.8464142171481878E-3</v>
      </c>
      <c r="BR329" s="726">
        <v>1.1372086766386093E-2</v>
      </c>
      <c r="BS329" s="726">
        <v>1.6217267943414944E-2</v>
      </c>
      <c r="BT329" s="726">
        <v>2.152264756593782E-2</v>
      </c>
      <c r="BW329" s="1186">
        <f>'2018'!R\Max</f>
        <v>0.85690508819598743</v>
      </c>
      <c r="BX329" s="1184">
        <f>'2019'!R\Max</f>
        <v>0.78097264318807325</v>
      </c>
      <c r="BY329" s="1184">
        <f>'2020'!R\Max</f>
        <v>0.35983646777613826</v>
      </c>
      <c r="BZ329" s="1184">
        <f>'2021'!R\Max</f>
        <v>0.39979161318940376</v>
      </c>
      <c r="CA329" s="1184">
        <f>'2022'!R\Max</f>
        <v>0.94438136087457381</v>
      </c>
      <c r="CB329" s="1184">
        <f>'2023'!R\Max</f>
        <v>0.94437530340856757</v>
      </c>
      <c r="CC329" s="1184">
        <f>'2024'!R\Max</f>
        <v>0.94436462024098244</v>
      </c>
      <c r="CD329" s="1184">
        <f>'2025'!R\Max</f>
        <v>0.94439917835773057</v>
      </c>
      <c r="CE329" s="1184">
        <f>'2026'!R\Max</f>
        <v>0.94439659379081897</v>
      </c>
      <c r="CF329" s="1185">
        <f>'2027'!R\Max</f>
        <v>0.94439216936581638</v>
      </c>
    </row>
    <row r="330" spans="1:84" s="6" customFormat="1" ht="11.25" x14ac:dyDescent="0.2">
      <c r="A330" s="11">
        <v>43416</v>
      </c>
      <c r="B330" s="380">
        <f>'2022'!Maxi_hp</f>
        <v>29.617679160087185</v>
      </c>
      <c r="C330" s="13">
        <f>'2022'!An_max</f>
        <v>2022</v>
      </c>
      <c r="D330" s="1062" t="str">
        <f t="shared" si="116"/>
        <v/>
      </c>
      <c r="E330" s="1057">
        <f>AJ$13/10</f>
        <v>31.031200000000002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3">
        <f t="shared" si="119"/>
        <v>1</v>
      </c>
      <c r="J330" s="746">
        <f t="shared" si="120"/>
        <v>31.031200000643729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5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3">
        <f t="shared" si="124"/>
        <v>0</v>
      </c>
      <c r="AT330" s="769">
        <f t="shared" si="125"/>
        <v>31.03120000138879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3">
        <f t="shared" si="129"/>
        <v>0.5</v>
      </c>
      <c r="AY330" s="769">
        <f t="shared" si="130"/>
        <v>31.025062500685454</v>
      </c>
      <c r="AZ330" s="746">
        <f t="shared" si="134"/>
        <v>31.028131251037124</v>
      </c>
      <c r="BA330" s="643">
        <f t="shared" si="131"/>
        <v>0.95444839901366296</v>
      </c>
      <c r="BC330" s="11">
        <v>43416</v>
      </c>
      <c r="BD330" s="290">
        <f>[3]!FeuilCaduc*(1-Persistant)+Persistant</f>
        <v>0.72273289002272234</v>
      </c>
      <c r="BE330" s="291">
        <f>[3]!CroissVégét</f>
        <v>0.99861879125535868</v>
      </c>
      <c r="BF330" s="816">
        <f>1+[3]!Salcycl*Ksac</f>
        <v>1.0153416112528404</v>
      </c>
      <c r="BH330" s="1053">
        <f t="shared" si="132"/>
        <v>1.7816339470200333E-3</v>
      </c>
      <c r="BI330" s="11">
        <v>44512</v>
      </c>
      <c r="BJ330" s="726">
        <v>4.4669745537831662E-4</v>
      </c>
      <c r="BK330" s="726">
        <v>8.0087896720014949E-4</v>
      </c>
      <c r="BL330" s="726">
        <v>1.2397684623671112E-3</v>
      </c>
      <c r="BM330" s="726">
        <v>1.7830522922539227E-3</v>
      </c>
      <c r="BN330" s="726">
        <v>2.4625433458518907E-3</v>
      </c>
      <c r="BO330" s="727">
        <v>3.6555977400530761E-3</v>
      </c>
      <c r="BP330" s="726">
        <v>5.2561790382542467E-3</v>
      </c>
      <c r="BQ330" s="726">
        <v>8.0477626700599641E-3</v>
      </c>
      <c r="BR330" s="726">
        <v>1.1609080344562317E-2</v>
      </c>
      <c r="BS330" s="726">
        <v>1.6431308246780244E-2</v>
      </c>
      <c r="BT330" s="726">
        <v>2.1665000269824455E-2</v>
      </c>
      <c r="BW330" s="1186">
        <f>'2018'!R\Max</f>
        <v>0.91050846936410879</v>
      </c>
      <c r="BX330" s="1184">
        <f>'2019'!R\Max</f>
        <v>0.66280171205875538</v>
      </c>
      <c r="BY330" s="1184">
        <f>'2020'!R\Max</f>
        <v>0.74098472158781947</v>
      </c>
      <c r="BZ330" s="1184">
        <f>'2021'!R\Max</f>
        <v>0.26698780080955087</v>
      </c>
      <c r="CA330" s="1184">
        <f>'2022'!R\Max</f>
        <v>0.95444839901366296</v>
      </c>
      <c r="CB330" s="1184">
        <f>'2023'!R\Max</f>
        <v>0.95444318825445995</v>
      </c>
      <c r="CC330" s="1184">
        <f>'2024'!R\Max</f>
        <v>0.95443412379343717</v>
      </c>
      <c r="CD330" s="1184">
        <f>'2025'!R\Max</f>
        <v>0.95446367600123649</v>
      </c>
      <c r="CE330" s="1184">
        <f>'2026'!R\Max</f>
        <v>0.95446146500700768</v>
      </c>
      <c r="CF330" s="1185">
        <f>'2027'!R\Max</f>
        <v>0.95445767713630425</v>
      </c>
    </row>
    <row r="331" spans="1:84" s="6" customFormat="1" ht="11.25" x14ac:dyDescent="0.2">
      <c r="A331" s="11">
        <v>43417</v>
      </c>
      <c r="B331" s="380">
        <f>'2022'!Maxi_hp</f>
        <v>29.179515996539571</v>
      </c>
      <c r="C331" s="13">
        <f>'2022'!An_max</f>
        <v>2020</v>
      </c>
      <c r="D331" s="1062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3">
        <f t="shared" si="119"/>
        <v>0.9285714285714286</v>
      </c>
      <c r="J331" s="746">
        <f t="shared" si="120"/>
        <v>30.759414321450247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5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3">
        <f t="shared" si="124"/>
        <v>3.5714285714285712E-2</v>
      </c>
      <c r="AT331" s="769">
        <f t="shared" si="125"/>
        <v>30.765098756418695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3">
        <f t="shared" si="129"/>
        <v>0.4642857142857143</v>
      </c>
      <c r="AY331" s="769">
        <f t="shared" si="130"/>
        <v>30.739147599626865</v>
      </c>
      <c r="AZ331" s="746">
        <f t="shared" si="134"/>
        <v>30.752123178022778</v>
      </c>
      <c r="BA331" s="643">
        <f t="shared" si="131"/>
        <v>0.94863691784245308</v>
      </c>
      <c r="BC331" s="11">
        <v>43417</v>
      </c>
      <c r="BD331" s="290">
        <f>[3]!FeuilCaduc*(1-Persistant)+Persistant</f>
        <v>0.71745626662741557</v>
      </c>
      <c r="BE331" s="291">
        <f>[3]!CroissVégét</f>
        <v>0.99868762484886009</v>
      </c>
      <c r="BF331" s="816">
        <f>1+[3]!Salcycl*Ksac</f>
        <v>1.014682033328427</v>
      </c>
      <c r="BH331" s="1053">
        <f t="shared" si="132"/>
        <v>1.8057602987031091E-3</v>
      </c>
      <c r="BI331" s="11">
        <v>44513</v>
      </c>
      <c r="BJ331" s="726">
        <v>4.4766527803905568E-4</v>
      </c>
      <c r="BK331" s="726">
        <v>8.0510112405084383E-4</v>
      </c>
      <c r="BL331" s="726">
        <v>1.2509911256498268E-3</v>
      </c>
      <c r="BM331" s="726">
        <v>1.8072124196349543E-3</v>
      </c>
      <c r="BN331" s="726">
        <v>2.5104121970784396E-3</v>
      </c>
      <c r="BO331" s="727">
        <v>3.7435920960206654E-3</v>
      </c>
      <c r="BP331" s="726">
        <v>5.4055075318046441E-3</v>
      </c>
      <c r="BQ331" s="726">
        <v>8.2594978887410644E-3</v>
      </c>
      <c r="BR331" s="726">
        <v>1.1851895784858251E-2</v>
      </c>
      <c r="BS331" s="726">
        <v>1.6643986877073684E-2</v>
      </c>
      <c r="BT331" s="726">
        <v>2.1801435302850416E-2</v>
      </c>
      <c r="BW331" s="1186">
        <f>'2018'!R\Max</f>
        <v>0.28457928442690172</v>
      </c>
      <c r="BX331" s="1184">
        <f>'2019'!R\Max</f>
        <v>0.61967969305500759</v>
      </c>
      <c r="BY331" s="1184">
        <f>'2020'!R\Max</f>
        <v>0.94863691784245308</v>
      </c>
      <c r="BZ331" s="1184">
        <f>'2021'!R\Max</f>
        <v>0.18015994393442061</v>
      </c>
      <c r="CA331" s="1184">
        <f>'2022'!R\Max</f>
        <v>0.93016119374391903</v>
      </c>
      <c r="CB331" s="1184">
        <f>'2023'!R\Max</f>
        <v>0.93015309771891308</v>
      </c>
      <c r="CC331" s="1184">
        <f>'2024'!R\Max</f>
        <v>0.93013922949076422</v>
      </c>
      <c r="CD331" s="1184">
        <f>'2025'!R\Max</f>
        <v>0.93018486367344166</v>
      </c>
      <c r="CE331" s="1184">
        <f>'2026'!R\Max</f>
        <v>0.93018143976238787</v>
      </c>
      <c r="CF331" s="1185">
        <f>'2027'!R\Max</f>
        <v>0.93017558065096828</v>
      </c>
    </row>
    <row r="332" spans="1:84" s="6" customFormat="1" ht="11.25" x14ac:dyDescent="0.2">
      <c r="A332" s="11">
        <v>43418</v>
      </c>
      <c r="B332" s="380">
        <f>'2022'!Maxi_hp</f>
        <v>19.900379192311398</v>
      </c>
      <c r="C332" s="13">
        <f>'2022'!An_max</f>
        <v>2020</v>
      </c>
      <c r="D332" s="1062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3">
        <f t="shared" si="119"/>
        <v>0.8571428571428571</v>
      </c>
      <c r="J332" s="746">
        <f t="shared" si="120"/>
        <v>30.491243148914407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5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3">
        <f t="shared" si="124"/>
        <v>7.1428571428571425E-2</v>
      </c>
      <c r="AT332" s="769">
        <f t="shared" si="125"/>
        <v>30.496837020878285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3">
        <f t="shared" si="129"/>
        <v>0.42857142857142855</v>
      </c>
      <c r="AY332" s="769">
        <f t="shared" si="130"/>
        <v>30.457746355395226</v>
      </c>
      <c r="AZ332" s="746">
        <f t="shared" si="134"/>
        <v>30.477291688136756</v>
      </c>
      <c r="BA332" s="643">
        <f t="shared" si="131"/>
        <v>0.65265883372222955</v>
      </c>
      <c r="BC332" s="11">
        <v>43418</v>
      </c>
      <c r="BD332" s="290">
        <f>[3]!FeuilCaduc*(1-Persistant)+Persistant</f>
        <v>0.71227289730794707</v>
      </c>
      <c r="BE332" s="291">
        <f>[3]!CroissVégét</f>
        <v>0.99875369591398344</v>
      </c>
      <c r="BF332" s="816">
        <f>1+[3]!Salcycl*Ksac</f>
        <v>1.0140341121634935</v>
      </c>
      <c r="BH332" s="1053">
        <f t="shared" si="132"/>
        <v>1.8340543375780711E-3</v>
      </c>
      <c r="BI332" s="11">
        <v>44514</v>
      </c>
      <c r="BJ332" s="726">
        <v>4.4922640589954298E-4</v>
      </c>
      <c r="BK332" s="726">
        <v>8.1030009714114866E-4</v>
      </c>
      <c r="BL332" s="726">
        <v>1.2642155325997169E-3</v>
      </c>
      <c r="BM332" s="726">
        <v>1.8355459036143247E-3</v>
      </c>
      <c r="BN332" s="726">
        <v>2.5657868135156156E-3</v>
      </c>
      <c r="BO332" s="727">
        <v>3.8413369198203964E-3</v>
      </c>
      <c r="BP332" s="726">
        <v>5.566026570940661E-3</v>
      </c>
      <c r="BQ332" s="726">
        <v>8.4765923656683201E-3</v>
      </c>
      <c r="BR332" s="726">
        <v>1.2092243709396714E-2</v>
      </c>
      <c r="BS332" s="726">
        <v>1.6847187026594171E-2</v>
      </c>
      <c r="BT332" s="726">
        <v>2.1928467824822287E-2</v>
      </c>
      <c r="BW332" s="1186">
        <f>'2018'!R\Max</f>
        <v>0.60811023790782548</v>
      </c>
      <c r="BX332" s="1184">
        <f>'2019'!R\Max</f>
        <v>0.20331022942217603</v>
      </c>
      <c r="BY332" s="1184">
        <f>'2020'!R\Max</f>
        <v>0.65265883372222955</v>
      </c>
      <c r="BZ332" s="1184">
        <f>'2021'!R\Max</f>
        <v>0.21411430452452945</v>
      </c>
      <c r="CA332" s="1184">
        <f>'2022'!R\Max</f>
        <v>0.33034396983395875</v>
      </c>
      <c r="CB332" s="1184">
        <f>'2023'!R\Max</f>
        <v>0.33031531741621123</v>
      </c>
      <c r="CC332" s="1184">
        <f>'2024'!R\Max</f>
        <v>0.33026709086137029</v>
      </c>
      <c r="CD332" s="1184">
        <f>'2025'!R\Max</f>
        <v>0.33042763359440602</v>
      </c>
      <c r="CE332" s="1184">
        <f>'2026'!R\Max</f>
        <v>0.33041550234610773</v>
      </c>
      <c r="CF332" s="1185">
        <f>'2027'!R\Max</f>
        <v>0.33039482329395814</v>
      </c>
    </row>
    <row r="333" spans="1:84" s="6" customFormat="1" ht="11.25" x14ac:dyDescent="0.2">
      <c r="A333" s="11">
        <v>43419</v>
      </c>
      <c r="B333" s="380">
        <f>'2022'!Maxi_hp</f>
        <v>27.219183293094108</v>
      </c>
      <c r="C333" s="13">
        <f>'2022'!An_max</f>
        <v>2020</v>
      </c>
      <c r="D333" s="1062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3">
        <f t="shared" si="119"/>
        <v>0.7857142857142857</v>
      </c>
      <c r="J333" s="746">
        <f t="shared" si="120"/>
        <v>30.22679384068719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5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3">
        <f t="shared" si="124"/>
        <v>0.10714285714285714</v>
      </c>
      <c r="AT333" s="769">
        <f t="shared" si="125"/>
        <v>30.227109945831558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3">
        <f t="shared" si="129"/>
        <v>0.39285714285714285</v>
      </c>
      <c r="AY333" s="769">
        <f t="shared" si="130"/>
        <v>30.181301636222219</v>
      </c>
      <c r="AZ333" s="746">
        <f t="shared" si="134"/>
        <v>30.204205791026887</v>
      </c>
      <c r="BA333" s="643">
        <f t="shared" si="131"/>
        <v>0.90049852579651879</v>
      </c>
      <c r="BC333" s="11">
        <v>43419</v>
      </c>
      <c r="BD333" s="290">
        <f>[3]!FeuilCaduc*(1-Persistant)+Persistant</f>
        <v>0.70718946337911481</v>
      </c>
      <c r="BE333" s="291">
        <f>[3]!CroissVégét</f>
        <v>0.99881711497657366</v>
      </c>
      <c r="BF333" s="816">
        <f>1+[3]!Salcycl*Ksac</f>
        <v>1.0133986829223893</v>
      </c>
      <c r="BH333" s="1053">
        <f t="shared" si="132"/>
        <v>1.862876157881608E-3</v>
      </c>
      <c r="BI333" s="11">
        <v>44515</v>
      </c>
      <c r="BJ333" s="726">
        <v>4.5133811692653776E-4</v>
      </c>
      <c r="BK333" s="726">
        <v>8.1533599021210614E-4</v>
      </c>
      <c r="BL333" s="726">
        <v>1.2771383307447731E-3</v>
      </c>
      <c r="BM333" s="726">
        <v>1.8644093399700749E-3</v>
      </c>
      <c r="BN333" s="726">
        <v>2.6234059185256285E-3</v>
      </c>
      <c r="BO333" s="727">
        <v>3.9427226930085291E-3</v>
      </c>
      <c r="BP333" s="726">
        <v>5.7300701480609614E-3</v>
      </c>
      <c r="BQ333" s="726">
        <v>8.6894635353382613E-3</v>
      </c>
      <c r="BR333" s="726">
        <v>1.2320922150778076E-2</v>
      </c>
      <c r="BS333" s="726">
        <v>1.7035677830662968E-2</v>
      </c>
      <c r="BT333" s="726">
        <v>2.2048328815396274E-2</v>
      </c>
      <c r="BW333" s="1186">
        <f>'2018'!R\Max</f>
        <v>0.67204287008034724</v>
      </c>
      <c r="BX333" s="1184">
        <f>'2019'!R\Max</f>
        <v>0.4006738256116929</v>
      </c>
      <c r="BY333" s="1184">
        <f>'2020'!R\Max</f>
        <v>0.90049852579651879</v>
      </c>
      <c r="BZ333" s="1184">
        <f>'2021'!R\Max</f>
        <v>0.18291280218754202</v>
      </c>
      <c r="CA333" s="1184">
        <f>'2022'!R\Max</f>
        <v>0.43336262583802021</v>
      </c>
      <c r="CB333" s="1184">
        <f>'2023'!R\Max</f>
        <v>0.43332961328409275</v>
      </c>
      <c r="CC333" s="1184">
        <f>'2024'!R\Max</f>
        <v>0.43327508894169908</v>
      </c>
      <c r="CD333" s="1184">
        <f>'2025'!R\Max</f>
        <v>0.43345896527429023</v>
      </c>
      <c r="CE333" s="1184">
        <f>'2026'!R\Max</f>
        <v>0.43344494811550122</v>
      </c>
      <c r="CF333" s="1185">
        <f>'2027'!R\Max</f>
        <v>0.43342116589435337</v>
      </c>
    </row>
    <row r="334" spans="1:84" s="6" customFormat="1" ht="11.25" x14ac:dyDescent="0.2">
      <c r="A334" s="11">
        <v>43420</v>
      </c>
      <c r="B334" s="380">
        <f>'2022'!Maxi_hp</f>
        <v>29.09089929988528</v>
      </c>
      <c r="C334" s="13">
        <f>'2022'!An_max</f>
        <v>2022</v>
      </c>
      <c r="D334" s="1062">
        <f t="shared" si="116"/>
        <v>0.9707912505610351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3">
        <f t="shared" si="119"/>
        <v>0.7142857142857143</v>
      </c>
      <c r="J334" s="746">
        <f t="shared" si="120"/>
        <v>29.966173760912248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5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3">
        <f t="shared" si="124"/>
        <v>0.14285714285714285</v>
      </c>
      <c r="AT334" s="769">
        <f t="shared" si="125"/>
        <v>29.956612675530568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3">
        <f t="shared" si="129"/>
        <v>0.35714285714285715</v>
      </c>
      <c r="AY334" s="769">
        <f t="shared" si="130"/>
        <v>29.91025630456528</v>
      </c>
      <c r="AZ334" s="746">
        <f t="shared" si="134"/>
        <v>29.933434490047922</v>
      </c>
      <c r="BA334" s="643">
        <f t="shared" si="131"/>
        <v>0.9707912505610351</v>
      </c>
      <c r="BC334" s="11">
        <v>43420</v>
      </c>
      <c r="BD334" s="290">
        <f>[3]!FeuilCaduc*(1-Persistant)+Persistant</f>
        <v>0.70221227596561042</v>
      </c>
      <c r="BE334" s="291">
        <f>[3]!CroissVégét</f>
        <v>0.9988779881675528</v>
      </c>
      <c r="BF334" s="816">
        <f>1+[3]!Salcycl*Ksac</f>
        <v>1.0127765344957014</v>
      </c>
      <c r="BH334" s="1053">
        <f t="shared" si="132"/>
        <v>1.8922235805201653E-3</v>
      </c>
      <c r="BI334" s="11">
        <v>44516</v>
      </c>
      <c r="BJ334" s="726">
        <v>4.5400055880883918E-4</v>
      </c>
      <c r="BK334" s="726">
        <v>8.2020769660325066E-4</v>
      </c>
      <c r="BL334" s="726">
        <v>1.2897575356470329E-3</v>
      </c>
      <c r="BM334" s="726">
        <v>1.8938005490991353E-3</v>
      </c>
      <c r="BN334" s="726">
        <v>2.6832674919015599E-3</v>
      </c>
      <c r="BO334" s="727">
        <v>4.047746103878736E-3</v>
      </c>
      <c r="BP334" s="726">
        <v>5.8976307701982134E-3</v>
      </c>
      <c r="BQ334" s="726">
        <v>8.8980904932889262E-3</v>
      </c>
      <c r="BR334" s="726">
        <v>1.2537897842884616E-2</v>
      </c>
      <c r="BS334" s="726">
        <v>1.7209419950639418E-2</v>
      </c>
      <c r="BT334" s="726">
        <v>2.2160985828907794E-2</v>
      </c>
      <c r="BW334" s="1186">
        <f>'2018'!R\Max</f>
        <v>0.85555568855750808</v>
      </c>
      <c r="BX334" s="1184">
        <f>'2019'!R\Max</f>
        <v>0.50421301244383865</v>
      </c>
      <c r="BY334" s="1184">
        <f>'2020'!R\Max</f>
        <v>0.69288573608391635</v>
      </c>
      <c r="BZ334" s="1184">
        <f>'2021'!R\Max</f>
        <v>0.32990691194861915</v>
      </c>
      <c r="CA334" s="1184">
        <f>'2022'!R\Max</f>
        <v>0.9707912505610351</v>
      </c>
      <c r="CB334" s="1184">
        <f>'2023'!R\Max</f>
        <v>0.97078729847765333</v>
      </c>
      <c r="CC334" s="1184">
        <f>'2024'!R\Max</f>
        <v>0.97078090234093062</v>
      </c>
      <c r="CD334" s="1184">
        <f>'2025'!R\Max</f>
        <v>0.97080278507795581</v>
      </c>
      <c r="CE334" s="1184">
        <f>'2026'!R\Max</f>
        <v>0.9708010994759515</v>
      </c>
      <c r="CF334" s="1185">
        <f>'2027'!R\Max</f>
        <v>0.97079825499815653</v>
      </c>
    </row>
    <row r="335" spans="1:84" s="6" customFormat="1" ht="11.25" x14ac:dyDescent="0.2">
      <c r="A335" s="11">
        <v>43421</v>
      </c>
      <c r="B335" s="380">
        <f>'2022'!Maxi_hp</f>
        <v>28.670073792979203</v>
      </c>
      <c r="C335" s="13">
        <f>'2022'!An_max</f>
        <v>2018</v>
      </c>
      <c r="D335" s="1062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3">
        <f t="shared" ref="I335:I380" si="138">($A335-H335)/(INDEX(x.2m,G335)-H335)</f>
        <v>0.6428571428571429</v>
      </c>
      <c r="J335" s="746">
        <f t="shared" ref="J335:J380" si="139">((1-I335)*(INDEX(a.m,F335)*$A335*$A335+INDEX(b.m,F335)*$A335+INDEX(c.m,F335))+I335*(INDEX(a.m,G335)*$A335*$A335+INDEX(b.m,G335)*$A335+INDEX(c.m,G335)))/10</f>
        <v>29.709490268837129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5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3">
        <f t="shared" ref="AS335:AS380" si="143">($A335-AR335)/(INDEX(x.2lg,AQ335)-AR335)</f>
        <v>0.17857142857142858</v>
      </c>
      <c r="AT335" s="769">
        <f t="shared" ref="AT335:AT380" si="144">((1-AS335)*(INDEX(a.lg,AP335)*$A335*$A335+INDEX(b.lg,AP335)*$A335+INDEX(c.lg,AP335))+AS335*(INDEX(a.lg,AQ335)*$A335*$A335+INDEX(b.lg,AQ335)*$A335+INDEX(c.lg,AQ335)))/10</f>
        <v>29.686040355690885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3">
        <f t="shared" ref="AX335:AX380" si="148">($A335-AW335)/(INDEX(x.2ld,AV335)-AW335)</f>
        <v>0.32142857142857145</v>
      </c>
      <c r="AY335" s="769">
        <f t="shared" ref="AY335:AY380" si="149">((1-AX335)*(INDEX(a.ld,AU335)*$A335*$A335+INDEX(b.ld,AU335)*$A335+INDEX(c.ld,AU335))+AX335*(INDEX(a.ld,AV335)*$A335*$A335+INDEX(b.ld,AV335)*$A335+INDEX(c.ld,AV335)))/10</f>
        <v>29.64505323082475</v>
      </c>
      <c r="AZ335" s="746">
        <f t="shared" si="134"/>
        <v>29.665546793257818</v>
      </c>
      <c r="BA335" s="643">
        <f t="shared" ref="BA335:BA380" si="150">+B335/J335</f>
        <v>0.96501399160832491</v>
      </c>
      <c r="BC335" s="11">
        <v>43421</v>
      </c>
      <c r="BD335" s="290">
        <f>[3]!FeuilCaduc*(1-Persistant)+Persistant</f>
        <v>0.69734724864930842</v>
      </c>
      <c r="BE335" s="291">
        <f>[3]!CroissVégét</f>
        <v>0.99893641739554129</v>
      </c>
      <c r="BF335" s="816">
        <f>1+[3]!Salcycl*Ksac</f>
        <v>1.0121684060811635</v>
      </c>
      <c r="BH335" s="1053">
        <f t="shared" ref="BH335:BH380" si="151">INDEX($BJ335:$BT335,,$BH$10)*(1-Ratini)+INDEX($BJ335:$BT335,,$BH$10+1)*Ratini</f>
        <v>1.9220942799214142E-3</v>
      </c>
      <c r="BI335" s="11">
        <v>44517</v>
      </c>
      <c r="BJ335" s="726">
        <v>4.5721382641710851E-4</v>
      </c>
      <c r="BK335" s="726">
        <v>8.2491410526800563E-4</v>
      </c>
      <c r="BL335" s="726">
        <v>1.3020711417044673E-3</v>
      </c>
      <c r="BM335" s="726">
        <v>1.9237172045916476E-3</v>
      </c>
      <c r="BN335" s="726">
        <v>2.7453691222020979E-3</v>
      </c>
      <c r="BO335" s="727">
        <v>4.1564031775068499E-3</v>
      </c>
      <c r="BP335" s="726">
        <v>6.0687000661246949E-3</v>
      </c>
      <c r="BQ335" s="726">
        <v>9.1024519208581858E-3</v>
      </c>
      <c r="BR335" s="726">
        <v>1.2743137663523096E-2</v>
      </c>
      <c r="BS335" s="726">
        <v>1.7368374588415631E-2</v>
      </c>
      <c r="BT335" s="726">
        <v>2.2266406587355833E-2</v>
      </c>
      <c r="BW335" s="1186">
        <f>'2018'!R\Max</f>
        <v>0.96501399160832491</v>
      </c>
      <c r="BX335" s="1184">
        <f>'2019'!R\Max</f>
        <v>0.42588858614544323</v>
      </c>
      <c r="BY335" s="1184">
        <f>'2020'!R\Max</f>
        <v>0.79175086132285144</v>
      </c>
      <c r="BZ335" s="1184">
        <f>'2021'!R\Max</f>
        <v>0.10448943343480926</v>
      </c>
      <c r="CA335" s="1184">
        <f>'2022'!R\Max</f>
        <v>0.45825096704950036</v>
      </c>
      <c r="CB335" s="1184">
        <f>'2023'!R\Max</f>
        <v>0.45821514185297302</v>
      </c>
      <c r="CC335" s="1184">
        <f>'2024'!R\Max</f>
        <v>0.45815843589955696</v>
      </c>
      <c r="CD335" s="1184">
        <f>'2025'!R\Max</f>
        <v>0.45835568559869222</v>
      </c>
      <c r="CE335" s="1184">
        <f>'2026'!R\Max</f>
        <v>0.45834029493117051</v>
      </c>
      <c r="CF335" s="1185">
        <f>'2027'!R\Max</f>
        <v>0.45831448477102299</v>
      </c>
    </row>
    <row r="336" spans="1:84" s="6" customFormat="1" ht="11.25" x14ac:dyDescent="0.2">
      <c r="A336" s="11">
        <v>43422</v>
      </c>
      <c r="B336" s="380">
        <f>'2022'!Maxi_hp</f>
        <v>27.452705708144066</v>
      </c>
      <c r="C336" s="13">
        <f>'2022'!An_max</f>
        <v>2020</v>
      </c>
      <c r="D336" s="1062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3">
        <f t="shared" si="138"/>
        <v>0.5714285714285714</v>
      </c>
      <c r="J336" s="746">
        <f t="shared" si="139"/>
        <v>29.456850728711913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5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3">
        <f t="shared" si="143"/>
        <v>0.21428571428571427</v>
      </c>
      <c r="AT336" s="769">
        <f t="shared" si="144"/>
        <v>29.416088133624623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3">
        <f t="shared" si="148"/>
        <v>0.2857142857142857</v>
      </c>
      <c r="AY336" s="769">
        <f t="shared" si="149"/>
        <v>29.386135277045629</v>
      </c>
      <c r="AZ336" s="746">
        <f t="shared" ref="AZ336:AZ380" si="153">(AY336+AT336)/2</f>
        <v>29.401111705335126</v>
      </c>
      <c r="BA336" s="643">
        <f t="shared" si="150"/>
        <v>0.93196336434517812</v>
      </c>
      <c r="BC336" s="11">
        <v>43422</v>
      </c>
      <c r="BD336" s="290">
        <f>[3]!FeuilCaduc*(1-Persistant)+Persistant</f>
        <v>0.69259987253677058</v>
      </c>
      <c r="BE336" s="291">
        <f>[3]!CroissVégét</f>
        <v>0.99899250051286803</v>
      </c>
      <c r="BF336" s="816">
        <f>1+[3]!Salcycl*Ksac</f>
        <v>1.0115749840670962</v>
      </c>
      <c r="BH336" s="1053">
        <f t="shared" si="151"/>
        <v>1.9524857791978979E-3</v>
      </c>
      <c r="BI336" s="11">
        <v>44518</v>
      </c>
      <c r="BJ336" s="726">
        <v>4.6097795672787206E-4</v>
      </c>
      <c r="BK336" s="726">
        <v>8.2945410220929634E-4</v>
      </c>
      <c r="BL336" s="726">
        <v>1.3140771248585374E-3</v>
      </c>
      <c r="BM336" s="726">
        <v>1.9541568283748647E-3</v>
      </c>
      <c r="BN336" s="726">
        <v>2.8097079863225786E-3</v>
      </c>
      <c r="BO336" s="727">
        <v>4.2686892427044494E-3</v>
      </c>
      <c r="BP336" s="726">
        <v>6.2432687546185228E-3</v>
      </c>
      <c r="BQ336" s="726">
        <v>9.3025261243797897E-3</v>
      </c>
      <c r="BR336" s="726">
        <v>1.2936608741474308E-2</v>
      </c>
      <c r="BS336" s="726">
        <v>1.751250362046038E-2</v>
      </c>
      <c r="BT336" s="726">
        <v>2.2364559044383569E-2</v>
      </c>
      <c r="BW336" s="1186">
        <f>'2018'!R\Max</f>
        <v>0.80014528791374995</v>
      </c>
      <c r="BX336" s="1184">
        <f>'2019'!R\Max</f>
        <v>0.42197194706226721</v>
      </c>
      <c r="BY336" s="1184">
        <f>'2020'!R\Max</f>
        <v>0.93196336434517812</v>
      </c>
      <c r="BZ336" s="1184">
        <f>'2021'!R\Max</f>
        <v>0.62790675706169174</v>
      </c>
      <c r="CA336" s="1184">
        <f>'2022'!R\Max</f>
        <v>0.54864784991976001</v>
      </c>
      <c r="CB336" s="1184">
        <f>'2023'!R\Max</f>
        <v>0.54861088693234694</v>
      </c>
      <c r="CC336" s="1184">
        <f>'2024'!R\Max</f>
        <v>0.54855374049070504</v>
      </c>
      <c r="CD336" s="1184">
        <f>'2025'!R\Max</f>
        <v>0.54875610501346117</v>
      </c>
      <c r="CE336" s="1184">
        <f>'2026'!R\Max</f>
        <v>0.54874009341011309</v>
      </c>
      <c r="CF336" s="1185">
        <f>'2027'!R\Max</f>
        <v>0.54871342223011899</v>
      </c>
    </row>
    <row r="337" spans="1:84" s="6" customFormat="1" ht="11.25" x14ac:dyDescent="0.2">
      <c r="A337" s="11">
        <v>43423</v>
      </c>
      <c r="B337" s="380">
        <f>'2022'!Maxi_hp</f>
        <v>29.080430360791048</v>
      </c>
      <c r="C337" s="13">
        <f>'2022'!An_max</f>
        <v>2020</v>
      </c>
      <c r="D337" s="1062">
        <f t="shared" si="135"/>
        <v>0.99562001673886757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3">
        <f t="shared" si="138"/>
        <v>0.5</v>
      </c>
      <c r="J337" s="746">
        <f t="shared" si="139"/>
        <v>29.208362499624492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5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3">
        <f t="shared" si="143"/>
        <v>0.25</v>
      </c>
      <c r="AT337" s="769">
        <f t="shared" si="144"/>
        <v>29.147451154515146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3">
        <f t="shared" si="148"/>
        <v>0.25</v>
      </c>
      <c r="AY337" s="769">
        <f t="shared" si="149"/>
        <v>29.133945312723519</v>
      </c>
      <c r="AZ337" s="746">
        <f t="shared" si="153"/>
        <v>29.140698233619332</v>
      </c>
      <c r="BA337" s="643">
        <f t="shared" si="150"/>
        <v>0.99562001673886757</v>
      </c>
      <c r="BC337" s="11">
        <v>43423</v>
      </c>
      <c r="BD337" s="290">
        <f>[3]!FeuilCaduc*(1-Persistant)+Persistant</f>
        <v>0.68797519391974316</v>
      </c>
      <c r="BE337" s="291">
        <f>[3]!CroissVégét</f>
        <v>0.99904633147520905</v>
      </c>
      <c r="BF337" s="816">
        <f>1+[3]!Salcycl*Ksac</f>
        <v>1.0109968992399678</v>
      </c>
      <c r="BH337" s="1053">
        <f t="shared" si="151"/>
        <v>1.9833954453195245E-3</v>
      </c>
      <c r="BI337" s="11">
        <v>44519</v>
      </c>
      <c r="BJ337" s="726">
        <v>4.6529292374952914E-4</v>
      </c>
      <c r="BK337" s="726">
        <v>8.338265719187621E-4</v>
      </c>
      <c r="BL337" s="726">
        <v>1.3257734453075516E-3</v>
      </c>
      <c r="BM337" s="726">
        <v>1.9851167858659061E-3</v>
      </c>
      <c r="BN337" s="726">
        <v>2.8762808290791384E-3</v>
      </c>
      <c r="BO337" s="727">
        <v>4.3845988989926936E-3</v>
      </c>
      <c r="BP337" s="726">
        <v>6.4213266127597307E-3</v>
      </c>
      <c r="BQ337" s="726">
        <v>9.4982910744228211E-3</v>
      </c>
      <c r="BR337" s="726">
        <v>1.3118278563601416E-2</v>
      </c>
      <c r="BS337" s="726">
        <v>1.7641769731940114E-2</v>
      </c>
      <c r="BT337" s="726">
        <v>2.2455411449355506E-2</v>
      </c>
      <c r="BW337" s="1186">
        <f>'2018'!R\Max</f>
        <v>0.70026176554419162</v>
      </c>
      <c r="BX337" s="1184">
        <f>'2019'!R\Max</f>
        <v>0.67146971504094022</v>
      </c>
      <c r="BY337" s="1184">
        <f>'2020'!R\Max</f>
        <v>0.99562001673886757</v>
      </c>
      <c r="BZ337" s="1184">
        <f>'2021'!R\Max</f>
        <v>0.97802597586089435</v>
      </c>
      <c r="CA337" s="1184">
        <f>'2022'!R\Max</f>
        <v>0.28335433813084437</v>
      </c>
      <c r="CB337" s="1184">
        <f>'2023'!R\Max</f>
        <v>0.28332374189439963</v>
      </c>
      <c r="CC337" s="1184">
        <f>'2024'!R\Max</f>
        <v>0.28327761546738456</v>
      </c>
      <c r="CD337" s="1184">
        <f>'2025'!R\Max</f>
        <v>0.28344420110045898</v>
      </c>
      <c r="CE337" s="1184">
        <f>'2026'!R\Max</f>
        <v>0.28343081380985896</v>
      </c>
      <c r="CF337" s="1185">
        <f>'2027'!R\Max</f>
        <v>0.28340867605842823</v>
      </c>
    </row>
    <row r="338" spans="1:84" s="6" customFormat="1" ht="11.25" x14ac:dyDescent="0.2">
      <c r="A338" s="11">
        <v>43424</v>
      </c>
      <c r="B338" s="380">
        <f>'2022'!Maxi_hp</f>
        <v>30.110087627610774</v>
      </c>
      <c r="C338" s="13">
        <f>'2022'!An_max</f>
        <v>2019</v>
      </c>
      <c r="D338" s="1062">
        <f t="shared" si="135"/>
        <v>1.039564612027909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3">
        <f t="shared" si="138"/>
        <v>0.42857142857142855</v>
      </c>
      <c r="J338" s="746">
        <f t="shared" si="139"/>
        <v>28.96413294492023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5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3">
        <f t="shared" si="143"/>
        <v>0.2857142857142857</v>
      </c>
      <c r="AT338" s="769">
        <f t="shared" si="144"/>
        <v>28.88082456567458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3">
        <f t="shared" si="148"/>
        <v>0.21428571428571427</v>
      </c>
      <c r="AY338" s="769">
        <f t="shared" si="149"/>
        <v>28.888926203309428</v>
      </c>
      <c r="AZ338" s="746">
        <f t="shared" si="153"/>
        <v>28.884875384492005</v>
      </c>
      <c r="BA338" s="643">
        <f t="shared" si="150"/>
        <v>1.039564612027909</v>
      </c>
      <c r="BC338" s="11">
        <v>43424</v>
      </c>
      <c r="BD338" s="290">
        <f>[3]!FeuilCaduc*(1-Persistant)+Persistant</f>
        <v>0.6834777946811299</v>
      </c>
      <c r="BE338" s="291">
        <f>[3]!CroissVégét</f>
        <v>0.99909800049508712</v>
      </c>
      <c r="BF338" s="816">
        <f>1+[3]!Salcycl*Ksac</f>
        <v>1.0104347243351413</v>
      </c>
      <c r="BH338" s="1053">
        <f t="shared" si="151"/>
        <v>2.0144709348606463E-3</v>
      </c>
      <c r="BI338" s="11">
        <v>44520</v>
      </c>
      <c r="BJ338" s="726">
        <v>4.6997270377395955E-4</v>
      </c>
      <c r="BK338" s="726">
        <v>8.3857826195355106E-4</v>
      </c>
      <c r="BL338" s="726">
        <v>1.3376469662987759E-3</v>
      </c>
      <c r="BM338" s="726">
        <v>2.016242536996565E-3</v>
      </c>
      <c r="BN338" s="726">
        <v>2.9428143635348136E-3</v>
      </c>
      <c r="BO338" s="727">
        <v>4.4998263356909214E-3</v>
      </c>
      <c r="BP338" s="726">
        <v>6.5961407955582689E-3</v>
      </c>
      <c r="BQ338" s="726">
        <v>9.6839843557415886E-3</v>
      </c>
      <c r="BR338" s="726">
        <v>1.328404482763262E-2</v>
      </c>
      <c r="BS338" s="726">
        <v>1.7755031880080343E-2</v>
      </c>
      <c r="BT338" s="726">
        <v>2.2538571387135456E-2</v>
      </c>
      <c r="BW338" s="1186">
        <f>'2018'!R\Max</f>
        <v>0.32854978894235709</v>
      </c>
      <c r="BX338" s="1184">
        <f>'2019'!R\Max</f>
        <v>1.039564612027909</v>
      </c>
      <c r="BY338" s="1184">
        <f>'2020'!R\Max</f>
        <v>0.30432593364750787</v>
      </c>
      <c r="BZ338" s="1184">
        <f>'2021'!R\Max</f>
        <v>0.79838096484033483</v>
      </c>
      <c r="CA338" s="1184">
        <f>'2022'!R\Max</f>
        <v>0.57122919464031408</v>
      </c>
      <c r="CB338" s="1184">
        <f>'2023'!R\Max</f>
        <v>0.57119024064156132</v>
      </c>
      <c r="CC338" s="1184">
        <f>'2024'!R\Max</f>
        <v>0.57113296864610152</v>
      </c>
      <c r="CD338" s="1184">
        <f>'2025'!R\Max</f>
        <v>0.57134393936403716</v>
      </c>
      <c r="CE338" s="1184">
        <f>'2026'!R\Max</f>
        <v>0.57132672647274607</v>
      </c>
      <c r="CF338" s="1185">
        <f>'2027'!R\Max</f>
        <v>0.57129845751471187</v>
      </c>
    </row>
    <row r="339" spans="1:84" s="6" customFormat="1" ht="11.25" x14ac:dyDescent="0.2">
      <c r="A339" s="11">
        <v>43425</v>
      </c>
      <c r="B339" s="380">
        <f>'2022'!Maxi_hp</f>
        <v>29.084066217541494</v>
      </c>
      <c r="C339" s="13">
        <f>'2022'!An_max</f>
        <v>2019</v>
      </c>
      <c r="D339" s="1062">
        <f t="shared" si="135"/>
        <v>1.012525881451604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3">
        <f t="shared" si="138"/>
        <v>0.35714285714285715</v>
      </c>
      <c r="J339" s="746">
        <f t="shared" si="139"/>
        <v>28.724269423953125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5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3">
        <f t="shared" si="143"/>
        <v>0.32142857142857145</v>
      </c>
      <c r="AT339" s="769">
        <f t="shared" si="144"/>
        <v>28.616903512658816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3">
        <f t="shared" si="148"/>
        <v>0.17857142857142858</v>
      </c>
      <c r="AY339" s="769">
        <f t="shared" si="149"/>
        <v>28.651520814414006</v>
      </c>
      <c r="AZ339" s="746">
        <f t="shared" si="153"/>
        <v>28.634212163536411</v>
      </c>
      <c r="BA339" s="643">
        <f t="shared" si="150"/>
        <v>1.012525881451604</v>
      </c>
      <c r="BC339" s="11">
        <v>43425</v>
      </c>
      <c r="BD339" s="290">
        <f>[3]!FeuilCaduc*(1-Persistant)+Persistant</f>
        <v>0.67911177557735525</v>
      </c>
      <c r="BE339" s="291">
        <f>[3]!CroissVégét</f>
        <v>0.99914759418945731</v>
      </c>
      <c r="BF339" s="816">
        <f>1+[3]!Salcycl*Ksac</f>
        <v>1.0098889719471693</v>
      </c>
      <c r="BH339" s="1053">
        <f t="shared" si="151"/>
        <v>2.045468390045263E-3</v>
      </c>
      <c r="BI339" s="11">
        <v>44521</v>
      </c>
      <c r="BJ339" s="726">
        <v>4.7449969002128222E-4</v>
      </c>
      <c r="BK339" s="726">
        <v>8.4353949944464702E-4</v>
      </c>
      <c r="BL339" s="726">
        <v>1.3497161814982573E-3</v>
      </c>
      <c r="BM339" s="726">
        <v>2.0472895372799734E-3</v>
      </c>
      <c r="BN339" s="726">
        <v>3.0080430742563139E-3</v>
      </c>
      <c r="BO339" s="727">
        <v>4.6117117196047934E-3</v>
      </c>
      <c r="BP339" s="726">
        <v>6.7634524965830235E-3</v>
      </c>
      <c r="BQ339" s="726">
        <v>9.8588326344975913E-3</v>
      </c>
      <c r="BR339" s="726">
        <v>1.3437299556121225E-2</v>
      </c>
      <c r="BS339" s="726">
        <v>1.7858821714015791E-2</v>
      </c>
      <c r="BT339" s="726">
        <v>2.2617548707045836E-2</v>
      </c>
      <c r="BW339" s="1186">
        <f>'2018'!R\Max</f>
        <v>1.0029301096674048</v>
      </c>
      <c r="BX339" s="1184">
        <f>'2019'!R\Max</f>
        <v>1.012525881451604</v>
      </c>
      <c r="BY339" s="1184">
        <f>'2020'!R\Max</f>
        <v>0.69505076835087021</v>
      </c>
      <c r="BZ339" s="1184">
        <f>'2021'!R\Max</f>
        <v>0.3427787815955311</v>
      </c>
      <c r="CA339" s="1184">
        <f>'2022'!R\Max</f>
        <v>0.12171761519122348</v>
      </c>
      <c r="CB339" s="1184">
        <f>'2023'!R\Max</f>
        <v>0.12170367765145988</v>
      </c>
      <c r="CC339" s="1184">
        <f>'2024'!R\Max</f>
        <v>0.12168366497543108</v>
      </c>
      <c r="CD339" s="1184">
        <f>'2025'!R\Max</f>
        <v>0.12175881498982143</v>
      </c>
      <c r="CE339" s="1184">
        <f>'2026'!R\Max</f>
        <v>0.12175259187002564</v>
      </c>
      <c r="CF339" s="1185">
        <f>'2027'!R\Max</f>
        <v>0.12174243778940891</v>
      </c>
    </row>
    <row r="340" spans="1:84" s="6" customFormat="1" ht="11.25" x14ac:dyDescent="0.2">
      <c r="A340" s="11">
        <v>43426</v>
      </c>
      <c r="B340" s="380">
        <f>'2022'!Maxi_hp</f>
        <v>29.591035421411469</v>
      </c>
      <c r="C340" s="13">
        <f>'2022'!An_max</f>
        <v>2020</v>
      </c>
      <c r="D340" s="1062">
        <f t="shared" si="135"/>
        <v>1.038687240367683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3">
        <f t="shared" si="138"/>
        <v>0.2857142857142857</v>
      </c>
      <c r="J340" s="746">
        <f t="shared" si="139"/>
        <v>28.488879300121749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5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3">
        <f t="shared" si="143"/>
        <v>0.35714285714285715</v>
      </c>
      <c r="AT340" s="769">
        <f t="shared" si="144"/>
        <v>28.356383142726759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3">
        <f t="shared" si="148"/>
        <v>0.14285714285714285</v>
      </c>
      <c r="AY340" s="769">
        <f t="shared" si="149"/>
        <v>28.422172012339747</v>
      </c>
      <c r="AZ340" s="746">
        <f t="shared" si="153"/>
        <v>28.389277577533253</v>
      </c>
      <c r="BA340" s="643">
        <f t="shared" si="150"/>
        <v>1.038687240367683</v>
      </c>
      <c r="BC340" s="11">
        <v>43426</v>
      </c>
      <c r="BD340" s="290">
        <f>[3]!FeuilCaduc*(1-Persistant)+Persistant</f>
        <v>0.67488074250533581</v>
      </c>
      <c r="BE340" s="291">
        <f>[3]!CroissVégét</f>
        <v>0.99919519572159454</v>
      </c>
      <c r="BF340" s="816">
        <f>1+[3]!Salcycl*Ksac</f>
        <v>1.009360092813167</v>
      </c>
      <c r="BH340" s="1053">
        <f t="shared" si="151"/>
        <v>2.0763841045249149E-3</v>
      </c>
      <c r="BI340" s="11">
        <v>44522</v>
      </c>
      <c r="BJ340" s="726">
        <v>4.7887305440980755E-4</v>
      </c>
      <c r="BK340" s="726">
        <v>8.4870939703583629E-4</v>
      </c>
      <c r="BL340" s="726">
        <v>1.3619793222290548E-3</v>
      </c>
      <c r="BM340" s="726">
        <v>2.0782540752957721E-3</v>
      </c>
      <c r="BN340" s="726">
        <v>3.0719593992457289E-3</v>
      </c>
      <c r="BO340" s="727">
        <v>4.7202416453975722E-3</v>
      </c>
      <c r="BP340" s="726">
        <v>6.9232396404255358E-3</v>
      </c>
      <c r="BQ340" s="726">
        <v>1.0022807634248794E-2</v>
      </c>
      <c r="BR340" s="726">
        <v>1.3578010872348285E-2</v>
      </c>
      <c r="BS340" s="726">
        <v>1.7953108555029792E-2</v>
      </c>
      <c r="BT340" s="726">
        <v>2.2692314181395178E-2</v>
      </c>
      <c r="BW340" s="1186">
        <f>'2018'!R\Max</f>
        <v>0.7218432451208977</v>
      </c>
      <c r="BX340" s="1184">
        <f>'2019'!R\Max</f>
        <v>0.4957578921807641</v>
      </c>
      <c r="BY340" s="1184">
        <f>'2020'!R\Max</f>
        <v>1.038687240367683</v>
      </c>
      <c r="BZ340" s="1184">
        <f>'2021'!R\Max</f>
        <v>0.65383089276327322</v>
      </c>
      <c r="CA340" s="1184">
        <f>'2022'!R\Max</f>
        <v>0.30510315635361779</v>
      </c>
      <c r="CB340" s="1184">
        <f>'2023'!R\Max</f>
        <v>0.30506758367631753</v>
      </c>
      <c r="CC340" s="1184">
        <f>'2024'!R\Max</f>
        <v>0.30501762087835055</v>
      </c>
      <c r="CD340" s="1184">
        <f>'2025'!R\Max</f>
        <v>0.30520868956999503</v>
      </c>
      <c r="CE340" s="1184">
        <f>'2026'!R\Max</f>
        <v>0.30519264390944234</v>
      </c>
      <c r="CF340" s="1185">
        <f>'2027'!R\Max</f>
        <v>0.30516662049788856</v>
      </c>
    </row>
    <row r="341" spans="1:84" s="6" customFormat="1" ht="11.25" x14ac:dyDescent="0.2">
      <c r="A341" s="11">
        <v>43427</v>
      </c>
      <c r="B341" s="380">
        <f>'2022'!Maxi_hp</f>
        <v>29.56301535081597</v>
      </c>
      <c r="C341" s="13">
        <f>'2022'!An_max</f>
        <v>2020</v>
      </c>
      <c r="D341" s="1062">
        <f t="shared" si="135"/>
        <v>1.0461795663788345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3">
        <f t="shared" si="138"/>
        <v>0.21428571428571427</v>
      </c>
      <c r="J341" s="746">
        <f t="shared" si="139"/>
        <v>28.258069934536302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5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3">
        <f t="shared" si="143"/>
        <v>0.39285714285714285</v>
      </c>
      <c r="AT341" s="769">
        <f t="shared" si="144"/>
        <v>28.09995860063604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3">
        <f t="shared" si="148"/>
        <v>0.10714285714285714</v>
      </c>
      <c r="AY341" s="769">
        <f t="shared" si="149"/>
        <v>28.201322663761676</v>
      </c>
      <c r="AZ341" s="746">
        <f t="shared" si="153"/>
        <v>28.150640632198858</v>
      </c>
      <c r="BA341" s="643">
        <f t="shared" si="150"/>
        <v>1.0461795663788345</v>
      </c>
      <c r="BC341" s="11">
        <v>43427</v>
      </c>
      <c r="BD341" s="290">
        <f>[3]!FeuilCaduc*(1-Persistant)+Persistant</f>
        <v>0.67078779583869075</v>
      </c>
      <c r="BE341" s="291">
        <f>[3]!CroissVégét</f>
        <v>0.99924088493749397</v>
      </c>
      <c r="BF341" s="816">
        <f>1+[3]!Salcycl*Ksac</f>
        <v>1.0088484744798363</v>
      </c>
      <c r="BH341" s="1053">
        <f t="shared" si="151"/>
        <v>2.1072011546346427E-3</v>
      </c>
      <c r="BI341" s="11">
        <v>44523</v>
      </c>
      <c r="BJ341" s="726">
        <v>4.8308896413488495E-4</v>
      </c>
      <c r="BK341" s="726">
        <v>8.5408171129849116E-4</v>
      </c>
      <c r="BL341" s="726">
        <v>1.3744260013652007E-3</v>
      </c>
      <c r="BM341" s="726">
        <v>2.1091192102694616E-3</v>
      </c>
      <c r="BN341" s="726">
        <v>3.134536179778357E-3</v>
      </c>
      <c r="BO341" s="727">
        <v>4.8253726504885758E-3</v>
      </c>
      <c r="BP341" s="726">
        <v>7.0754363671403841E-3</v>
      </c>
      <c r="BQ341" s="726">
        <v>1.0175818365277383E-2</v>
      </c>
      <c r="BR341" s="726">
        <v>1.3706062500921398E-2</v>
      </c>
      <c r="BS341" s="726">
        <v>1.8037750217199239E-2</v>
      </c>
      <c r="BT341" s="726">
        <v>2.2762697166296961E-2</v>
      </c>
      <c r="BW341" s="1186">
        <f>'2018'!R\Max</f>
        <v>0.43729750877654749</v>
      </c>
      <c r="BX341" s="1184">
        <f>'2019'!R\Max</f>
        <v>0.29701917063047134</v>
      </c>
      <c r="BY341" s="1184">
        <f>'2020'!R\Max</f>
        <v>1.0461795663788345</v>
      </c>
      <c r="BZ341" s="1184">
        <f>'2021'!R\Max</f>
        <v>0.46200075392392037</v>
      </c>
      <c r="CA341" s="1184">
        <f>'2022'!R\Max</f>
        <v>0.46105918025782988</v>
      </c>
      <c r="CB341" s="1184">
        <f>'2023'!R\Max</f>
        <v>0.46101650920057113</v>
      </c>
      <c r="CC341" s="1184">
        <f>'2024'!R\Max</f>
        <v>0.46095780497906241</v>
      </c>
      <c r="CD341" s="1184">
        <f>'2025'!R\Max</f>
        <v>0.46118624799474051</v>
      </c>
      <c r="CE341" s="1184">
        <f>'2026'!R\Max</f>
        <v>0.46116680509894642</v>
      </c>
      <c r="CF341" s="1185">
        <f>'2027'!R\Max</f>
        <v>0.46113545018140917</v>
      </c>
    </row>
    <row r="342" spans="1:84" s="6" customFormat="1" ht="11.25" x14ac:dyDescent="0.2">
      <c r="A342" s="11">
        <v>43428</v>
      </c>
      <c r="B342" s="380">
        <f>'2022'!Maxi_hp</f>
        <v>27.223770958160259</v>
      </c>
      <c r="C342" s="13">
        <f>'2022'!An_max</f>
        <v>2020</v>
      </c>
      <c r="D342" s="1062">
        <f t="shared" si="135"/>
        <v>0.97116940605772195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3">
        <f t="shared" si="138"/>
        <v>0.14285714285714285</v>
      </c>
      <c r="J342" s="746">
        <f t="shared" si="139"/>
        <v>28.031948688200544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5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3">
        <f t="shared" si="143"/>
        <v>0.42857142857142855</v>
      </c>
      <c r="AT342" s="769">
        <f t="shared" si="144"/>
        <v>27.848325033698764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3">
        <f t="shared" si="148"/>
        <v>7.1428571428571425E-2</v>
      </c>
      <c r="AY342" s="769">
        <f t="shared" si="149"/>
        <v>27.989415633997748</v>
      </c>
      <c r="AZ342" s="746">
        <f t="shared" si="153"/>
        <v>27.918870333848254</v>
      </c>
      <c r="BA342" s="643">
        <f t="shared" si="150"/>
        <v>0.97116940605772195</v>
      </c>
      <c r="BC342" s="11">
        <v>43428</v>
      </c>
      <c r="BD342" s="290">
        <f>[3]!FeuilCaduc*(1-Persistant)+Persistant</f>
        <v>0.66683552289354608</v>
      </c>
      <c r="BE342" s="291">
        <f>[3]!CroissVégét</f>
        <v>0.99928473849698995</v>
      </c>
      <c r="BF342" s="816">
        <f>1+[3]!Salcycl*Ksac</f>
        <v>1.0083544403616933</v>
      </c>
      <c r="BH342" s="1053">
        <f t="shared" si="151"/>
        <v>2.1379106108089566E-3</v>
      </c>
      <c r="BI342" s="11">
        <v>44524</v>
      </c>
      <c r="BJ342" s="726">
        <v>4.8714550766732525E-4</v>
      </c>
      <c r="BK342" s="726">
        <v>8.5965358018427404E-4</v>
      </c>
      <c r="BL342" s="726">
        <v>1.3870511995812162E-3</v>
      </c>
      <c r="BM342" s="726">
        <v>2.1398760024004104E-3</v>
      </c>
      <c r="BN342" s="726">
        <v>3.1957579026488697E-3</v>
      </c>
      <c r="BO342" s="727">
        <v>4.9270791684114983E-3</v>
      </c>
      <c r="BP342" s="726">
        <v>7.2200034661169515E-3</v>
      </c>
      <c r="BQ342" s="726">
        <v>1.0317813788496265E-2</v>
      </c>
      <c r="BR342" s="726">
        <v>1.3821393601428023E-2</v>
      </c>
      <c r="BS342" s="726">
        <v>1.8112678558918714E-2</v>
      </c>
      <c r="BT342" s="726">
        <v>2.2828620275712658E-2</v>
      </c>
      <c r="BW342" s="1186">
        <f>'2018'!R\Max</f>
        <v>0.79195961341159304</v>
      </c>
      <c r="BX342" s="1184">
        <f>'2019'!R\Max</f>
        <v>0.55201949330116096</v>
      </c>
      <c r="BY342" s="1184">
        <f>'2020'!R\Max</f>
        <v>0.97116940605772195</v>
      </c>
      <c r="BZ342" s="1184">
        <f>'2021'!R\Max</f>
        <v>6.6619377264856422E-2</v>
      </c>
      <c r="CA342" s="1184">
        <f>'2022'!R\Max</f>
        <v>0.51161100420234285</v>
      </c>
      <c r="CB342" s="1184">
        <f>'2023'!R\Max</f>
        <v>0.51156718485989849</v>
      </c>
      <c r="CC342" s="1184">
        <f>'2024'!R\Max</f>
        <v>0.5115080697710872</v>
      </c>
      <c r="CD342" s="1184">
        <f>'2025'!R\Max</f>
        <v>0.51174202430290694</v>
      </c>
      <c r="CE342" s="1184">
        <f>'2026'!R\Max</f>
        <v>0.51172185056651365</v>
      </c>
      <c r="CF342" s="1185">
        <f>'2027'!R\Max</f>
        <v>0.51168949196516378</v>
      </c>
    </row>
    <row r="343" spans="1:84" s="6" customFormat="1" ht="11.25" x14ac:dyDescent="0.2">
      <c r="A343" s="11">
        <v>43429</v>
      </c>
      <c r="B343" s="380">
        <f>'2022'!Maxi_hp</f>
        <v>26.38503248912658</v>
      </c>
      <c r="C343" s="13">
        <f>'2022'!An_max</f>
        <v>2020</v>
      </c>
      <c r="D343" s="1062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3">
        <f t="shared" si="138"/>
        <v>7.1428571428571425E-2</v>
      </c>
      <c r="J343" s="746">
        <f t="shared" si="139"/>
        <v>27.810622922810062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5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3">
        <f t="shared" si="143"/>
        <v>0.4642857142857143</v>
      </c>
      <c r="AT343" s="769">
        <f t="shared" si="144"/>
        <v>27.602177588269114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3">
        <f t="shared" si="148"/>
        <v>3.5714285714285712E-2</v>
      </c>
      <c r="AY343" s="769">
        <f t="shared" si="149"/>
        <v>27.786893792104507</v>
      </c>
      <c r="AZ343" s="746">
        <f t="shared" si="153"/>
        <v>27.694535690186811</v>
      </c>
      <c r="BA343" s="643">
        <f t="shared" si="150"/>
        <v>0.94873935626539951</v>
      </c>
      <c r="BC343" s="11">
        <v>43429</v>
      </c>
      <c r="BD343" s="290">
        <f>[3]!FeuilCaduc*(1-Persistant)+Persistant</f>
        <v>0.66302599355952796</v>
      </c>
      <c r="BE343" s="291">
        <f>[3]!CroissVégét</f>
        <v>0.99932682999978462</v>
      </c>
      <c r="BF343" s="816">
        <f>1+[3]!Salcycl*Ksac</f>
        <v>1.007878249194941</v>
      </c>
      <c r="BH343" s="1053">
        <f t="shared" si="151"/>
        <v>2.1685143009642464E-3</v>
      </c>
      <c r="BI343" s="11">
        <v>44525</v>
      </c>
      <c r="BJ343" s="726">
        <v>4.9104326728927462E-4</v>
      </c>
      <c r="BK343" s="726">
        <v>8.6542647475000177E-4</v>
      </c>
      <c r="BL343" s="726">
        <v>1.3998568871453235E-3</v>
      </c>
      <c r="BM343" s="726">
        <v>2.1705262792323997E-3</v>
      </c>
      <c r="BN343" s="726">
        <v>3.2556252236629855E-3</v>
      </c>
      <c r="BO343" s="727">
        <v>5.025360728980236E-3</v>
      </c>
      <c r="BP343" s="726">
        <v>7.3569389609844721E-3</v>
      </c>
      <c r="BQ343" s="726">
        <v>1.0448796543907927E-2</v>
      </c>
      <c r="BR343" s="726">
        <v>1.3924015429394291E-2</v>
      </c>
      <c r="BS343" s="726">
        <v>1.8177919311549155E-2</v>
      </c>
      <c r="BT343" s="726">
        <v>2.2890123362497291E-2</v>
      </c>
      <c r="BW343" s="1186">
        <f>'2018'!R\Max</f>
        <v>0.49475452808441817</v>
      </c>
      <c r="BX343" s="1184">
        <f>'2019'!R\Max</f>
        <v>0.46034608140323635</v>
      </c>
      <c r="BY343" s="1184">
        <f>'2020'!R\Max</f>
        <v>0.94873935626539951</v>
      </c>
      <c r="BZ343" s="1184">
        <f>'2021'!R\Max</f>
        <v>0.64869890300844457</v>
      </c>
      <c r="CA343" s="1184">
        <f>'2022'!R\Max</f>
        <v>0.19966664122840366</v>
      </c>
      <c r="CB343" s="1184">
        <f>'2023'!R\Max</f>
        <v>0.19964165820823665</v>
      </c>
      <c r="CC343" s="1184">
        <f>'2024'!R\Max</f>
        <v>0.19960857676878371</v>
      </c>
      <c r="CD343" s="1184">
        <f>'2025'!R\Max</f>
        <v>0.1997416791686821</v>
      </c>
      <c r="CE343" s="1184">
        <f>'2026'!R\Max</f>
        <v>0.19973005225930376</v>
      </c>
      <c r="CF343" s="1185">
        <f>'2027'!R\Max</f>
        <v>0.19971149928746501</v>
      </c>
    </row>
    <row r="344" spans="1:84" s="6" customFormat="1" ht="11.25" x14ac:dyDescent="0.2">
      <c r="A344" s="11">
        <v>43430</v>
      </c>
      <c r="B344" s="380">
        <f>'2022'!Maxi_hp</f>
        <v>26.793324525882319</v>
      </c>
      <c r="C344" s="13">
        <f>'2022'!An_max</f>
        <v>2020</v>
      </c>
      <c r="D344" s="1062">
        <f t="shared" si="135"/>
        <v>0.97097667353997708</v>
      </c>
      <c r="E344" s="1057">
        <f>AK$13/10</f>
        <v>27.594200000000001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3">
        <f t="shared" si="138"/>
        <v>0</v>
      </c>
      <c r="J344" s="746">
        <f t="shared" si="139"/>
        <v>27.59420000091195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5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3">
        <f t="shared" si="143"/>
        <v>0.5</v>
      </c>
      <c r="AT344" s="769">
        <f t="shared" si="144"/>
        <v>27.362211411446332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3">
        <f t="shared" si="148"/>
        <v>0</v>
      </c>
      <c r="AY344" s="769">
        <f t="shared" si="149"/>
        <v>27.594200000166893</v>
      </c>
      <c r="AZ344" s="746">
        <f t="shared" si="153"/>
        <v>27.478205705806612</v>
      </c>
      <c r="BA344" s="643">
        <f t="shared" si="150"/>
        <v>0.97097667353997708</v>
      </c>
      <c r="BC344" s="11">
        <v>43430</v>
      </c>
      <c r="BD344" s="290">
        <f>[3]!FeuilCaduc*(1-Persistant)+Persistant</f>
        <v>0.65936075910655212</v>
      </c>
      <c r="BE344" s="291">
        <f>[3]!CroissVégét</f>
        <v>0.99936723010658135</v>
      </c>
      <c r="BF344" s="816">
        <f>1+[3]!Salcycl*Ksac</f>
        <v>1.007420094888319</v>
      </c>
      <c r="BH344" s="1053">
        <f t="shared" si="151"/>
        <v>2.199014314443195E-3</v>
      </c>
      <c r="BI344" s="11">
        <v>44526</v>
      </c>
      <c r="BJ344" s="726">
        <v>4.9478288148738063E-4</v>
      </c>
      <c r="BK344" s="726">
        <v>8.7140187578127644E-4</v>
      </c>
      <c r="BL344" s="726">
        <v>1.4128451032839975E-3</v>
      </c>
      <c r="BM344" s="726">
        <v>2.2010721302392917E-3</v>
      </c>
      <c r="BN344" s="726">
        <v>3.3141395072035316E-3</v>
      </c>
      <c r="BO344" s="727">
        <v>5.1202182273712947E-3</v>
      </c>
      <c r="BP344" s="726">
        <v>7.4862432520306256E-3</v>
      </c>
      <c r="BQ344" s="726">
        <v>1.0568772142781881E-2</v>
      </c>
      <c r="BR344" s="726">
        <v>1.4013942135099886E-2</v>
      </c>
      <c r="BS344" s="726">
        <v>1.823350025809934E-2</v>
      </c>
      <c r="BT344" s="726">
        <v>2.2947247393546009E-2</v>
      </c>
      <c r="BW344" s="1186">
        <f>'2018'!R\Max</f>
        <v>0.1380704345284598</v>
      </c>
      <c r="BX344" s="1184">
        <f>'2019'!R\Max</f>
        <v>0.71771532688677075</v>
      </c>
      <c r="BY344" s="1184">
        <f>'2020'!R\Max</f>
        <v>0.97097667353997708</v>
      </c>
      <c r="BZ344" s="1184">
        <f>'2021'!R\Max</f>
        <v>0.29590486742581484</v>
      </c>
      <c r="CA344" s="1184">
        <f>'2022'!R\Max</f>
        <v>0.40342990389892913</v>
      </c>
      <c r="CB344" s="1184">
        <f>'2023'!R\Max</f>
        <v>0.40338615610463752</v>
      </c>
      <c r="CC344" s="1184">
        <f>'2024'!R\Max</f>
        <v>0.40332923525777903</v>
      </c>
      <c r="CD344" s="1184">
        <f>'2025'!R\Max</f>
        <v>0.40356190401066822</v>
      </c>
      <c r="CE344" s="1184">
        <f>'2026'!R\Max</f>
        <v>0.40354132594185205</v>
      </c>
      <c r="CF344" s="1185">
        <f>'2027'!R\Max</f>
        <v>0.40350865024187865</v>
      </c>
    </row>
    <row r="345" spans="1:84" s="6" customFormat="1" ht="11.25" x14ac:dyDescent="0.2">
      <c r="A345" s="11">
        <v>43431</v>
      </c>
      <c r="B345" s="380">
        <f>'2022'!Maxi_hp</f>
        <v>25.130362962848679</v>
      </c>
      <c r="C345" s="13">
        <f>'2022'!An_max</f>
        <v>2018</v>
      </c>
      <c r="D345" s="1062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3">
        <f t="shared" si="138"/>
        <v>7.1428571428571425E-2</v>
      </c>
      <c r="J345" s="746">
        <f t="shared" si="139"/>
        <v>27.379262245180353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5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3">
        <f t="shared" si="143"/>
        <v>0.5357142857142857</v>
      </c>
      <c r="AT345" s="769">
        <f t="shared" si="144"/>
        <v>27.129121648147702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3">
        <f t="shared" si="148"/>
        <v>3.5714285714285712E-2</v>
      </c>
      <c r="AY345" s="769">
        <f t="shared" si="149"/>
        <v>27.407323452377955</v>
      </c>
      <c r="AZ345" s="746">
        <f t="shared" si="153"/>
        <v>27.268222550262827</v>
      </c>
      <c r="BA345" s="643">
        <f t="shared" si="150"/>
        <v>0.91786121692422318</v>
      </c>
      <c r="BC345" s="11">
        <v>43431</v>
      </c>
      <c r="BD345" s="290">
        <f>[3]!FeuilCaduc*(1-Persistant)+Persistant</f>
        <v>0.65584085415297422</v>
      </c>
      <c r="BE345" s="291">
        <f>[3]!CroissVégét</f>
        <v>0.9994060066555025</v>
      </c>
      <c r="BF345" s="816">
        <f>1+[3]!Salcycl*Ksac</f>
        <v>1.0069801067691218</v>
      </c>
      <c r="BH345" s="1053">
        <f t="shared" si="151"/>
        <v>2.2294130007496863E-3</v>
      </c>
      <c r="BI345" s="11">
        <v>44527</v>
      </c>
      <c r="BJ345" s="726">
        <v>4.9836504188621852E-4</v>
      </c>
      <c r="BK345" s="726">
        <v>8.7758127840822703E-4</v>
      </c>
      <c r="BL345" s="726">
        <v>1.4260179606055484E-3</v>
      </c>
      <c r="BM345" s="726">
        <v>2.2315159055450503E-3</v>
      </c>
      <c r="BN345" s="726">
        <v>3.3713027993179591E-3</v>
      </c>
      <c r="BO345" s="727">
        <v>5.2116538547525527E-3</v>
      </c>
      <c r="BP345" s="726">
        <v>7.6079189602136698E-3</v>
      </c>
      <c r="BQ345" s="726">
        <v>1.0677748743055169E-2</v>
      </c>
      <c r="BR345" s="726">
        <v>1.4091190505845277E-2</v>
      </c>
      <c r="BS345" s="726">
        <v>1.8279451041097464E-2</v>
      </c>
      <c r="BT345" s="726">
        <v>2.3000034369981773E-2</v>
      </c>
      <c r="BW345" s="1186">
        <f>'2018'!R\Max</f>
        <v>0.91786121692422318</v>
      </c>
      <c r="BX345" s="1184">
        <f>'2019'!R\Max</f>
        <v>0.75158560212311876</v>
      </c>
      <c r="BY345" s="1184">
        <f>'2020'!R\Max</f>
        <v>0.79904664561066363</v>
      </c>
      <c r="BZ345" s="1184">
        <f>'2021'!R\Max</f>
        <v>0.59958512574439138</v>
      </c>
      <c r="CA345" s="1184">
        <f>'2022'!R\Max</f>
        <v>0.57848338767873342</v>
      </c>
      <c r="CB345" s="1184">
        <f>'2023'!R\Max</f>
        <v>0.57843838528539437</v>
      </c>
      <c r="CC345" s="1184">
        <f>'2024'!R\Max</f>
        <v>0.57838080002031078</v>
      </c>
      <c r="CD345" s="1184">
        <f>'2025'!R\Max</f>
        <v>0.57861982417295921</v>
      </c>
      <c r="CE345" s="1184">
        <f>'2026'!R\Max</f>
        <v>0.57859842597133704</v>
      </c>
      <c r="CF345" s="1185">
        <f>'2027'!R\Max</f>
        <v>0.57856460713064339</v>
      </c>
    </row>
    <row r="346" spans="1:84" s="6" customFormat="1" ht="11.25" x14ac:dyDescent="0.2">
      <c r="A346" s="11">
        <v>43432</v>
      </c>
      <c r="B346" s="380">
        <f>'2022'!Maxi_hp</f>
        <v>18.630206084198146</v>
      </c>
      <c r="C346" s="13">
        <f>'2022'!An_max</f>
        <v>2018</v>
      </c>
      <c r="D346" s="1062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3">
        <f t="shared" si="138"/>
        <v>0.14285714285714285</v>
      </c>
      <c r="J346" s="746">
        <f t="shared" si="139"/>
        <v>27.163322449369094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5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3">
        <f t="shared" si="143"/>
        <v>0.5714285714285714</v>
      </c>
      <c r="AT346" s="769">
        <f t="shared" si="144"/>
        <v>26.903603446483611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3">
        <f t="shared" si="148"/>
        <v>7.1428571428571425E-2</v>
      </c>
      <c r="AY346" s="769">
        <f t="shared" si="149"/>
        <v>27.222300780245241</v>
      </c>
      <c r="AZ346" s="746">
        <f t="shared" si="153"/>
        <v>27.062952113364425</v>
      </c>
      <c r="BA346" s="643">
        <f t="shared" si="150"/>
        <v>0.68585888633188385</v>
      </c>
      <c r="BC346" s="11">
        <v>43432</v>
      </c>
      <c r="BD346" s="290">
        <f>[3]!FeuilCaduc*(1-Persistant)+Persistant</f>
        <v>0.65246680175585481</v>
      </c>
      <c r="BE346" s="291">
        <f>[3]!CroissVégét</f>
        <v>0.99944322477397196</v>
      </c>
      <c r="BF346" s="816">
        <f>1+[3]!Salcycl*Ksac</f>
        <v>1.0065583502194819</v>
      </c>
      <c r="BH346" s="1053">
        <f t="shared" si="151"/>
        <v>2.2577413697186257E-3</v>
      </c>
      <c r="BI346" s="11">
        <v>44528</v>
      </c>
      <c r="BJ346" s="726">
        <v>5.0150431935193558E-4</v>
      </c>
      <c r="BK346" s="726">
        <v>8.8364575989859214E-4</v>
      </c>
      <c r="BL346" s="726">
        <v>1.4385865666623069E-3</v>
      </c>
      <c r="BM346" s="726">
        <v>2.2598855260519577E-3</v>
      </c>
      <c r="BN346" s="726">
        <v>3.4235994013105085E-3</v>
      </c>
      <c r="BO346" s="727">
        <v>5.2942390680707635E-3</v>
      </c>
      <c r="BP346" s="726">
        <v>7.715638432527862E-3</v>
      </c>
      <c r="BQ346" s="726">
        <v>1.0770739314560391E-2</v>
      </c>
      <c r="BR346" s="726">
        <v>1.4153640369860181E-2</v>
      </c>
      <c r="BS346" s="726">
        <v>1.8315605648607521E-2</v>
      </c>
      <c r="BT346" s="726">
        <v>2.3047825841051247E-2</v>
      </c>
      <c r="BW346" s="1186">
        <f>'2018'!R\Max</f>
        <v>0.68585888633188385</v>
      </c>
      <c r="BX346" s="1184">
        <f>'2019'!R\Max</f>
        <v>0.4318226784827004</v>
      </c>
      <c r="BY346" s="1184">
        <f>'2020'!R\Max</f>
        <v>0.57072626251766767</v>
      </c>
      <c r="BZ346" s="1184">
        <f>'2021'!R\Max</f>
        <v>0.27578932863579014</v>
      </c>
      <c r="CA346" s="1184">
        <f>'2022'!R\Max</f>
        <v>0.42264983284811364</v>
      </c>
      <c r="CB346" s="1184">
        <f>'2023'!R\Max</f>
        <v>0.42260420078228128</v>
      </c>
      <c r="CC346" s="1184">
        <f>'2024'!R\Max</f>
        <v>0.4225466924326377</v>
      </c>
      <c r="CD346" s="1184">
        <f>'2025'!R\Max</f>
        <v>0.42278884725322674</v>
      </c>
      <c r="CE346" s="1184">
        <f>'2026'!R\Max</f>
        <v>0.42276692001281502</v>
      </c>
      <c r="CF346" s="1185">
        <f>'2027'!R\Max</f>
        <v>0.42273241422955776</v>
      </c>
    </row>
    <row r="347" spans="1:84" s="6" customFormat="1" ht="11.25" x14ac:dyDescent="0.2">
      <c r="A347" s="11">
        <v>43433</v>
      </c>
      <c r="B347" s="380">
        <f>'2022'!Maxi_hp</f>
        <v>26.41641779115476</v>
      </c>
      <c r="C347" s="13">
        <f>'2022'!An_max</f>
        <v>2018</v>
      </c>
      <c r="D347" s="1062">
        <f t="shared" si="135"/>
        <v>0.98027801033599127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3">
        <f t="shared" si="138"/>
        <v>0.21428571428571427</v>
      </c>
      <c r="J347" s="746">
        <f t="shared" si="139"/>
        <v>26.947883674449155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5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3">
        <f t="shared" si="143"/>
        <v>0.6071428571428571</v>
      </c>
      <c r="AT347" s="769">
        <f t="shared" si="144"/>
        <v>26.686351949934448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3">
        <f t="shared" si="148"/>
        <v>0.10714285714285714</v>
      </c>
      <c r="AY347" s="769">
        <f t="shared" si="149"/>
        <v>27.039646022234642</v>
      </c>
      <c r="AZ347" s="746">
        <f t="shared" si="153"/>
        <v>26.862998986084545</v>
      </c>
      <c r="BA347" s="643">
        <f t="shared" si="150"/>
        <v>0.98027801033599127</v>
      </c>
      <c r="BC347" s="11">
        <v>43433</v>
      </c>
      <c r="BD347" s="290">
        <f>[3]!FeuilCaduc*(1-Persistant)+Persistant</f>
        <v>0.64923862155967649</v>
      </c>
      <c r="BE347" s="291">
        <f>[3]!CroissVégét</f>
        <v>0.9994789469862303</v>
      </c>
      <c r="BF347" s="816">
        <f>1+[3]!Salcycl*Ksac</f>
        <v>1.0061548276949595</v>
      </c>
      <c r="BH347" s="1053">
        <f t="shared" si="151"/>
        <v>2.2837115252228755E-3</v>
      </c>
      <c r="BI347" s="11">
        <v>44529</v>
      </c>
      <c r="BJ347" s="726">
        <v>5.0416241681877985E-4</v>
      </c>
      <c r="BK347" s="726">
        <v>8.8992329716216026E-4</v>
      </c>
      <c r="BL347" s="726">
        <v>1.4508294739296239E-3</v>
      </c>
      <c r="BM347" s="726">
        <v>2.2858916129407719E-3</v>
      </c>
      <c r="BN347" s="726">
        <v>3.4700507995023637E-3</v>
      </c>
      <c r="BO347" s="727">
        <v>5.36700319938474E-3</v>
      </c>
      <c r="BP347" s="726">
        <v>7.8101701893930437E-3</v>
      </c>
      <c r="BQ347" s="726">
        <v>1.0852799799601057E-2</v>
      </c>
      <c r="BR347" s="726">
        <v>1.4209621380240329E-2</v>
      </c>
      <c r="BS347" s="726">
        <v>1.8350120548664382E-2</v>
      </c>
      <c r="BT347" s="726">
        <v>2.3094132116378469E-2</v>
      </c>
      <c r="BW347" s="1186">
        <f>'2018'!R\Max</f>
        <v>0.98027801033599127</v>
      </c>
      <c r="BX347" s="1184">
        <f>'2019'!R\Max</f>
        <v>0.75362046396610771</v>
      </c>
      <c r="BY347" s="1184">
        <f>'2020'!R\Max</f>
        <v>0.31622280080720394</v>
      </c>
      <c r="BZ347" s="1184">
        <f>'2021'!R\Max</f>
        <v>0.29624801625064878</v>
      </c>
      <c r="CA347" s="1184">
        <f>'2022'!R\Max</f>
        <v>0.59286658102854817</v>
      </c>
      <c r="CB347" s="1184">
        <f>'2023'!R\Max</f>
        <v>0.59282089843602637</v>
      </c>
      <c r="CC347" s="1184">
        <f>'2024'!R\Max</f>
        <v>0.59276406433128803</v>
      </c>
      <c r="CD347" s="1184">
        <f>'2025'!R\Max</f>
        <v>0.59300628389985044</v>
      </c>
      <c r="CE347" s="1184">
        <f>'2026'!R\Max</f>
        <v>0.5929841505089567</v>
      </c>
      <c r="CF347" s="1185">
        <f>'2027'!R\Max</f>
        <v>0.59294943408135448</v>
      </c>
    </row>
    <row r="348" spans="1:84" s="6" customFormat="1" ht="11.25" x14ac:dyDescent="0.2">
      <c r="A348" s="11">
        <v>43434</v>
      </c>
      <c r="B348" s="380">
        <f>'2022'!Maxi_hp</f>
        <v>25.687652657075112</v>
      </c>
      <c r="C348" s="13">
        <f>'2022'!An_max</f>
        <v>2020</v>
      </c>
      <c r="D348" s="1062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3">
        <f t="shared" si="138"/>
        <v>0.2857142857142857</v>
      </c>
      <c r="J348" s="746">
        <f t="shared" si="139"/>
        <v>26.734448978943487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5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3">
        <f t="shared" si="143"/>
        <v>0.6428571428571429</v>
      </c>
      <c r="AT348" s="769">
        <f t="shared" si="144"/>
        <v>26.478062308739339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3">
        <f t="shared" si="148"/>
        <v>0.14285714285714285</v>
      </c>
      <c r="AY348" s="769">
        <f t="shared" si="149"/>
        <v>26.859873210532328</v>
      </c>
      <c r="AZ348" s="746">
        <f t="shared" si="153"/>
        <v>26.668967759635834</v>
      </c>
      <c r="BA348" s="643">
        <f t="shared" si="150"/>
        <v>0.96084466439937288</v>
      </c>
      <c r="BC348" s="11">
        <v>43434</v>
      </c>
      <c r="BD348" s="290">
        <f>[3]!FeuilCaduc*(1-Persistant)+Persistant</f>
        <v>0.64615584091608813</v>
      </c>
      <c r="BE348" s="291">
        <f>[3]!CroissVégét</f>
        <v>0.99951323331664843</v>
      </c>
      <c r="BF348" s="816">
        <f>1+[3]!Salcycl*Ksac</f>
        <v>1.0057694801145109</v>
      </c>
      <c r="BH348" s="1053">
        <f t="shared" si="151"/>
        <v>2.3073261374233389E-3</v>
      </c>
      <c r="BI348" s="11">
        <v>44530</v>
      </c>
      <c r="BJ348" s="726">
        <v>5.0634010205761028E-4</v>
      </c>
      <c r="BK348" s="726">
        <v>8.9641547360828368E-4</v>
      </c>
      <c r="BL348" s="726">
        <v>1.4627489559888142E-3</v>
      </c>
      <c r="BM348" s="726">
        <v>2.3095368374104522E-3</v>
      </c>
      <c r="BN348" s="726">
        <v>3.5106600036256571E-3</v>
      </c>
      <c r="BO348" s="727">
        <v>5.4299506231632643E-3</v>
      </c>
      <c r="BP348" s="726">
        <v>7.8915215384070207E-3</v>
      </c>
      <c r="BQ348" s="726">
        <v>1.0923945210319162E-2</v>
      </c>
      <c r="BR348" s="726">
        <v>1.4259158299439193E-2</v>
      </c>
      <c r="BS348" s="726">
        <v>1.8383031751272032E-2</v>
      </c>
      <c r="BT348" s="726">
        <v>2.3138998531125127E-2</v>
      </c>
      <c r="BW348" s="1186">
        <f>'2018'!R\Max</f>
        <v>0.40933464939381192</v>
      </c>
      <c r="BX348" s="1184">
        <f>'2019'!R\Max</f>
        <v>0.44817587589928071</v>
      </c>
      <c r="BY348" s="1184">
        <f>'2020'!R\Max</f>
        <v>0.96084466439937288</v>
      </c>
      <c r="BZ348" s="1184">
        <f>'2021'!R\Max</f>
        <v>0.80056491440126243</v>
      </c>
      <c r="CA348" s="1184">
        <f>'2022'!R\Max</f>
        <v>0.16647463812824301</v>
      </c>
      <c r="CB348" s="1184">
        <f>'2023'!R\Max</f>
        <v>0.16645234277956139</v>
      </c>
      <c r="CC348" s="1184">
        <f>'2024'!R\Max</f>
        <v>0.16642490652607267</v>
      </c>
      <c r="CD348" s="1184">
        <f>'2025'!R\Max</f>
        <v>0.16654305844674699</v>
      </c>
      <c r="CE348" s="1184">
        <f>'2026'!R\Max</f>
        <v>0.16653217943463544</v>
      </c>
      <c r="CF348" s="1185">
        <f>'2027'!R\Max</f>
        <v>0.16651515792850707</v>
      </c>
    </row>
    <row r="349" spans="1:84" s="6" customFormat="1" ht="11.25" x14ac:dyDescent="0.2">
      <c r="A349" s="11">
        <v>43435</v>
      </c>
      <c r="B349" s="380">
        <f>'2022'!Maxi_hp</f>
        <v>26.512351889003813</v>
      </c>
      <c r="C349" s="13">
        <f>'2022'!An_max</f>
        <v>2020</v>
      </c>
      <c r="D349" s="1062">
        <f t="shared" si="135"/>
        <v>0.99954119662789631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3">
        <f t="shared" si="138"/>
        <v>0.35714285714285715</v>
      </c>
      <c r="J349" s="746">
        <f t="shared" si="139"/>
        <v>26.52452142887882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5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3">
        <f t="shared" si="143"/>
        <v>0.6785714285714286</v>
      </c>
      <c r="AT349" s="769">
        <f t="shared" si="144"/>
        <v>26.279429665979528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3">
        <f t="shared" si="148"/>
        <v>0.17857142857142858</v>
      </c>
      <c r="AY349" s="769">
        <f t="shared" si="149"/>
        <v>26.683496380863442</v>
      </c>
      <c r="AZ349" s="746">
        <f t="shared" si="153"/>
        <v>26.481463023421483</v>
      </c>
      <c r="BA349" s="643">
        <f t="shared" si="150"/>
        <v>0.99954119662789631</v>
      </c>
      <c r="BC349" s="11">
        <v>43435</v>
      </c>
      <c r="BD349" s="290">
        <f>[3]!FeuilCaduc*(1-Persistant)+Persistant</f>
        <v>0.64321750886433393</v>
      </c>
      <c r="BE349" s="291">
        <f>[3]!CroissVégét</f>
        <v>0.99954614138899944</v>
      </c>
      <c r="BF349" s="816">
        <f>1+[3]!Salcycl*Ksac</f>
        <v>1.0054021886080418</v>
      </c>
      <c r="BH349" s="1053">
        <f t="shared" si="151"/>
        <v>2.3285883130092907E-3</v>
      </c>
      <c r="BI349" s="11">
        <v>44531</v>
      </c>
      <c r="BJ349" s="726">
        <v>5.0803820977783154E-4</v>
      </c>
      <c r="BK349" s="726">
        <v>9.0312390228626234E-4</v>
      </c>
      <c r="BL349" s="726">
        <v>1.4743474159565602E-3</v>
      </c>
      <c r="BM349" s="726">
        <v>2.3308243079918911E-3</v>
      </c>
      <c r="BN349" s="726">
        <v>3.5454309616477515E-3</v>
      </c>
      <c r="BO349" s="727">
        <v>5.4830872474285058E-3</v>
      </c>
      <c r="BP349" s="726">
        <v>7.959701818346156E-3</v>
      </c>
      <c r="BQ349" s="726">
        <v>1.0984192261825244E-2</v>
      </c>
      <c r="BR349" s="726">
        <v>1.4302276939283896E-2</v>
      </c>
      <c r="BS349" s="726">
        <v>1.8414375663417026E-2</v>
      </c>
      <c r="BT349" s="726">
        <v>2.3182470888601762E-2</v>
      </c>
      <c r="BW349" s="1186">
        <f>'2018'!R\Max</f>
        <v>0.7173364493047284</v>
      </c>
      <c r="BX349" s="1184">
        <f>'2019'!R\Max</f>
        <v>0.28792350514384801</v>
      </c>
      <c r="BY349" s="1184">
        <f>'2020'!R\Max</f>
        <v>0.99954119662789631</v>
      </c>
      <c r="BZ349" s="1184">
        <f>'2021'!R\Max</f>
        <v>0.17393715425544523</v>
      </c>
      <c r="CA349" s="1184">
        <f>'2022'!R\Max</f>
        <v>0.14439166386115299</v>
      </c>
      <c r="CB349" s="1184">
        <f>'2023'!R\Max</f>
        <v>0.14437214289997272</v>
      </c>
      <c r="CC349" s="1184">
        <f>'2024'!R\Max</f>
        <v>0.14434832802950143</v>
      </c>
      <c r="CD349" s="1184">
        <f>'2025'!R\Max</f>
        <v>0.14445172615143087</v>
      </c>
      <c r="CE349" s="1184">
        <f>'2026'!R\Max</f>
        <v>0.14444215248194928</v>
      </c>
      <c r="CF349" s="1185">
        <f>'2027'!R\Max</f>
        <v>0.14442719681952848</v>
      </c>
    </row>
    <row r="350" spans="1:84" s="6" customFormat="1" ht="11.25" x14ac:dyDescent="0.2">
      <c r="A350" s="11">
        <v>43436</v>
      </c>
      <c r="B350" s="380">
        <f>'2022'!Maxi_hp</f>
        <v>10.56169638849005</v>
      </c>
      <c r="C350" s="13">
        <f>'2022'!An_max</f>
        <v>2021</v>
      </c>
      <c r="D350" s="1062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3">
        <f t="shared" si="138"/>
        <v>0.42857142857142855</v>
      </c>
      <c r="J350" s="746">
        <f t="shared" si="139"/>
        <v>26.319604081979822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5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3">
        <f t="shared" si="143"/>
        <v>0.7142857142857143</v>
      </c>
      <c r="AT350" s="769">
        <f t="shared" si="144"/>
        <v>26.091149167929377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3">
        <f t="shared" si="148"/>
        <v>0.21428571428571427</v>
      </c>
      <c r="AY350" s="769">
        <f t="shared" si="149"/>
        <v>26.511029567303403</v>
      </c>
      <c r="AZ350" s="746">
        <f t="shared" si="153"/>
        <v>26.301089367616392</v>
      </c>
      <c r="BA350" s="643">
        <f t="shared" si="150"/>
        <v>0.40128629426159568</v>
      </c>
      <c r="BC350" s="11">
        <v>43436</v>
      </c>
      <c r="BD350" s="290">
        <f>[3]!FeuilCaduc*(1-Persistant)+Persistant</f>
        <v>0.64042221284015988</v>
      </c>
      <c r="BE350" s="291">
        <f>[3]!CroissVégét</f>
        <v>0.99957772652184329</v>
      </c>
      <c r="BF350" s="816">
        <f>1+[3]!Salcycl*Ksac</f>
        <v>1.0050527766050199</v>
      </c>
      <c r="BH350" s="1053">
        <f t="shared" si="151"/>
        <v>2.3475015469237204E-3</v>
      </c>
      <c r="BI350" s="11">
        <v>44532</v>
      </c>
      <c r="BJ350" s="726">
        <v>5.092576318052553E-4</v>
      </c>
      <c r="BK350" s="726">
        <v>9.1005023064173437E-4</v>
      </c>
      <c r="BL350" s="726">
        <v>1.4856273802279795E-3</v>
      </c>
      <c r="BM350" s="726">
        <v>2.3497575221632736E-3</v>
      </c>
      <c r="BN350" s="726">
        <v>3.5743684393290268E-3</v>
      </c>
      <c r="BO350" s="727">
        <v>5.5264203112306625E-3</v>
      </c>
      <c r="BP350" s="726">
        <v>8.0147221274707893E-3</v>
      </c>
      <c r="BQ350" s="726">
        <v>1.103355914874281E-2</v>
      </c>
      <c r="BR350" s="726">
        <v>1.4339004031792054E-2</v>
      </c>
      <c r="BS350" s="726">
        <v>1.8444189062101393E-2</v>
      </c>
      <c r="BT350" s="726">
        <v>2.3224595438348077E-2</v>
      </c>
      <c r="BW350" s="1186">
        <f>'2018'!R\Max</f>
        <v>0.28254836774104469</v>
      </c>
      <c r="BX350" s="1184">
        <f>'2019'!R\Max</f>
        <v>0.16050850547905685</v>
      </c>
      <c r="BY350" s="1184">
        <f>'2020'!R\Max</f>
        <v>0.18564821337327941</v>
      </c>
      <c r="BZ350" s="1184">
        <f>'2021'!R\Max</f>
        <v>0.40128629426159568</v>
      </c>
      <c r="CA350" s="1184">
        <f>'2022'!R\Max</f>
        <v>0.24132552066602805</v>
      </c>
      <c r="CB350" s="1184">
        <f>'2023'!R\Max</f>
        <v>0.24129262900211509</v>
      </c>
      <c r="CC350" s="1184">
        <f>'2024'!R\Max</f>
        <v>0.24125276403246174</v>
      </c>
      <c r="CD350" s="1184">
        <f>'2025'!R\Max</f>
        <v>0.2414269210554483</v>
      </c>
      <c r="CE350" s="1184">
        <f>'2026'!R\Max</f>
        <v>0.24141073351322623</v>
      </c>
      <c r="CF350" s="1185">
        <f>'2027'!R\Max</f>
        <v>0.2413854651042967</v>
      </c>
    </row>
    <row r="351" spans="1:84" s="6" customFormat="1" ht="11.25" x14ac:dyDescent="0.2">
      <c r="A351" s="11">
        <v>43437</v>
      </c>
      <c r="B351" s="380">
        <f>'2022'!Maxi_hp</f>
        <v>17.22212353344614</v>
      </c>
      <c r="C351" s="13">
        <f>'2022'!An_max</f>
        <v>2021</v>
      </c>
      <c r="D351" s="1062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3">
        <f t="shared" si="138"/>
        <v>0.5</v>
      </c>
      <c r="J351" s="746">
        <f t="shared" si="139"/>
        <v>26.12120000012219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5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3">
        <f t="shared" si="143"/>
        <v>0.75</v>
      </c>
      <c r="AT351" s="769">
        <f t="shared" si="144"/>
        <v>25.913915961235762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3">
        <f t="shared" si="148"/>
        <v>0.25</v>
      </c>
      <c r="AY351" s="769">
        <f t="shared" si="149"/>
        <v>26.342986805550755</v>
      </c>
      <c r="AZ351" s="746">
        <f t="shared" si="153"/>
        <v>26.128451383393259</v>
      </c>
      <c r="BA351" s="643">
        <f t="shared" si="150"/>
        <v>0.65931594005503491</v>
      </c>
      <c r="BC351" s="11">
        <v>43437</v>
      </c>
      <c r="BD351" s="290">
        <f>[3]!FeuilCaduc*(1-Persistant)+Persistant</f>
        <v>0.63776809796037026</v>
      </c>
      <c r="BE351" s="291">
        <f>[3]!CroissVégét</f>
        <v>0.99960804182016849</v>
      </c>
      <c r="BF351" s="816">
        <f>1+[3]!Salcycl*Ksac</f>
        <v>1.0047210122450463</v>
      </c>
      <c r="BH351" s="1053">
        <f t="shared" si="151"/>
        <v>2.3640696740585753E-3</v>
      </c>
      <c r="BI351" s="11">
        <v>44533</v>
      </c>
      <c r="BJ351" s="726">
        <v>5.0999930725332588E-4</v>
      </c>
      <c r="BK351" s="726">
        <v>9.1719614526132934E-4</v>
      </c>
      <c r="BL351" s="726">
        <v>1.4965914922005731E-3</v>
      </c>
      <c r="BM351" s="726">
        <v>2.3663403179353107E-3</v>
      </c>
      <c r="BN351" s="726">
        <v>3.5974778997349658E-3</v>
      </c>
      <c r="BO351" s="727">
        <v>5.5599581820518756E-3</v>
      </c>
      <c r="BP351" s="726">
        <v>8.056595051727837E-3</v>
      </c>
      <c r="BQ351" s="726">
        <v>1.1072065321609805E-2</v>
      </c>
      <c r="BR351" s="726">
        <v>1.436936709980143E-2</v>
      </c>
      <c r="BS351" s="726">
        <v>1.847250906713389E-2</v>
      </c>
      <c r="BT351" s="726">
        <v>2.3265418853909082E-2</v>
      </c>
      <c r="BW351" s="1186">
        <f>'2018'!R\Max</f>
        <v>0.30673931263925813</v>
      </c>
      <c r="BX351" s="1184">
        <f>'2019'!R\Max</f>
        <v>0.1818934632057658</v>
      </c>
      <c r="BY351" s="1184">
        <f>'2020'!R\Max</f>
        <v>5.6199374235295703E-2</v>
      </c>
      <c r="BZ351" s="1184">
        <f>'2021'!R\Max</f>
        <v>0.65931594005503491</v>
      </c>
      <c r="CA351" s="1184">
        <f>'2022'!R\Max</f>
        <v>0.3632527624775429</v>
      </c>
      <c r="CB351" s="1184">
        <f>'2023'!R\Max</f>
        <v>0.3632074297451256</v>
      </c>
      <c r="CC351" s="1184">
        <f>'2024'!R\Max</f>
        <v>0.36315272767434564</v>
      </c>
      <c r="CD351" s="1184">
        <f>'2025'!R\Max</f>
        <v>0.36339269825275639</v>
      </c>
      <c r="CE351" s="1184">
        <f>'2026'!R\Max</f>
        <v>0.36337034570383503</v>
      </c>
      <c r="CF351" s="1185">
        <f>'2027'!R\Max</f>
        <v>0.36333545247554377</v>
      </c>
    </row>
    <row r="352" spans="1:84" s="6" customFormat="1" ht="11.25" x14ac:dyDescent="0.2">
      <c r="A352" s="11">
        <v>43438</v>
      </c>
      <c r="B352" s="380">
        <f>'2022'!Maxi_hp</f>
        <v>18.845623436406257</v>
      </c>
      <c r="C352" s="13">
        <f>'2022'!An_max</f>
        <v>2022</v>
      </c>
      <c r="D352" s="1062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3">
        <f t="shared" si="138"/>
        <v>0.5714285714285714</v>
      </c>
      <c r="J352" s="746">
        <f t="shared" si="139"/>
        <v>25.930812246458874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5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3">
        <f t="shared" si="143"/>
        <v>0.7857142857142857</v>
      </c>
      <c r="AT352" s="769">
        <f t="shared" si="144"/>
        <v>25.748425194354997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3">
        <f t="shared" si="148"/>
        <v>0.2857142857142857</v>
      </c>
      <c r="AY352" s="769">
        <f t="shared" si="149"/>
        <v>26.179882128323829</v>
      </c>
      <c r="AZ352" s="746">
        <f t="shared" si="153"/>
        <v>25.964153661339413</v>
      </c>
      <c r="BA352" s="643">
        <f t="shared" si="150"/>
        <v>0.72676564302299573</v>
      </c>
      <c r="BC352" s="11">
        <v>43438</v>
      </c>
      <c r="BD352" s="290">
        <f>[3]!FeuilCaduc*(1-Persistant)+Persistant</f>
        <v>0.63525288871101571</v>
      </c>
      <c r="BE352" s="291">
        <f>[3]!CroissVégét</f>
        <v>0.99963713826343847</v>
      </c>
      <c r="BF352" s="816">
        <f>1+[3]!Salcycl*Ksac</f>
        <v>1.004406611088877</v>
      </c>
      <c r="BH352" s="1053">
        <f t="shared" si="151"/>
        <v>2.3777405884950922E-3</v>
      </c>
      <c r="BI352" s="11">
        <v>44534</v>
      </c>
      <c r="BJ352" s="726">
        <v>5.1059290866868905E-4</v>
      </c>
      <c r="BK352" s="726">
        <v>9.2400427514791451E-4</v>
      </c>
      <c r="BL352" s="726">
        <v>1.506445636078751E-3</v>
      </c>
      <c r="BM352" s="726">
        <v>2.3800212228555981E-3</v>
      </c>
      <c r="BN352" s="726">
        <v>3.6147468845905209E-3</v>
      </c>
      <c r="BO352" s="727">
        <v>5.5845599605770999E-3</v>
      </c>
      <c r="BP352" s="726">
        <v>8.0866047748607908E-3</v>
      </c>
      <c r="BQ352" s="726">
        <v>1.1100541324887662E-2</v>
      </c>
      <c r="BR352" s="726">
        <v>1.4393420663926952E-2</v>
      </c>
      <c r="BS352" s="726">
        <v>1.8498691731988277E-2</v>
      </c>
      <c r="BT352" s="726">
        <v>2.3304082769167549E-2</v>
      </c>
      <c r="BW352" s="1186">
        <f>'2018'!R\Max</f>
        <v>0.23615291146715792</v>
      </c>
      <c r="BX352" s="1184">
        <f>'2019'!R\Max</f>
        <v>0.2498162411336021</v>
      </c>
      <c r="BY352" s="1184">
        <f>'2020'!R\Max</f>
        <v>0.51665456301857071</v>
      </c>
      <c r="BZ352" s="1184">
        <f>'2021'!R\Max</f>
        <v>0.2725293766111655</v>
      </c>
      <c r="CA352" s="1184">
        <f>'2022'!R\Max</f>
        <v>0.72676564302299573</v>
      </c>
      <c r="CB352" s="1184">
        <f>'2023'!R\Max</f>
        <v>0.72672650507166936</v>
      </c>
      <c r="CC352" s="1184">
        <f>'2024'!R\Max</f>
        <v>0.72667939589918418</v>
      </c>
      <c r="CD352" s="1184">
        <f>'2025'!R\Max</f>
        <v>0.72688653311885387</v>
      </c>
      <c r="CE352" s="1184">
        <f>'2026'!R\Max</f>
        <v>0.72686722992406094</v>
      </c>
      <c r="CF352" s="1185">
        <f>'2027'!R\Max</f>
        <v>0.72683706997207687</v>
      </c>
    </row>
    <row r="353" spans="1:84" s="6" customFormat="1" ht="11.25" x14ac:dyDescent="0.2">
      <c r="A353" s="11">
        <v>43439</v>
      </c>
      <c r="B353" s="380">
        <f>'2022'!Maxi_hp</f>
        <v>25.657599625066538</v>
      </c>
      <c r="C353" s="13">
        <f>'2022'!An_max</f>
        <v>2022</v>
      </c>
      <c r="D353" s="1062">
        <f t="shared" si="135"/>
        <v>0.99641380764427945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3">
        <f t="shared" si="138"/>
        <v>0.6428571428571429</v>
      </c>
      <c r="J353" s="746">
        <f t="shared" si="139"/>
        <v>25.749943876958319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5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3">
        <f t="shared" si="143"/>
        <v>0.8214285714285714</v>
      </c>
      <c r="AT353" s="769">
        <f t="shared" si="144"/>
        <v>25.595372014679015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3">
        <f t="shared" si="148"/>
        <v>0.32142857142857145</v>
      </c>
      <c r="AY353" s="769">
        <f t="shared" si="149"/>
        <v>26.022229573396704</v>
      </c>
      <c r="AZ353" s="746">
        <f t="shared" si="153"/>
        <v>25.808800794037857</v>
      </c>
      <c r="BA353" s="643">
        <f t="shared" si="150"/>
        <v>0.99641380764427945</v>
      </c>
      <c r="BC353" s="11">
        <v>43439</v>
      </c>
      <c r="BD353" s="290">
        <f>[3]!FeuilCaduc*(1-Persistant)+Persistant</f>
        <v>0.63287391284958383</v>
      </c>
      <c r="BE353" s="291">
        <f>[3]!CroissVégét</f>
        <v>0.99966506479017636</v>
      </c>
      <c r="BF353" s="816">
        <f>1+[3]!Salcycl*Ksac</f>
        <v>1.0041092391061979</v>
      </c>
      <c r="BH353" s="1053">
        <f t="shared" si="151"/>
        <v>2.3888688665033636E-3</v>
      </c>
      <c r="BI353" s="11">
        <v>44535</v>
      </c>
      <c r="BJ353" s="726">
        <v>5.1122577393211655E-4</v>
      </c>
      <c r="BK353" s="726">
        <v>9.2992738158676716E-4</v>
      </c>
      <c r="BL353" s="726">
        <v>1.514702697892183E-3</v>
      </c>
      <c r="BM353" s="726">
        <v>2.391157016337582E-3</v>
      </c>
      <c r="BN353" s="726">
        <v>3.6284560488215861E-3</v>
      </c>
      <c r="BO353" s="727">
        <v>5.6045440641781024E-3</v>
      </c>
      <c r="BP353" s="726">
        <v>8.1115013698576204E-3</v>
      </c>
      <c r="BQ353" s="726">
        <v>1.1124760196371415E-2</v>
      </c>
      <c r="BR353" s="726">
        <v>1.4415271912822106E-2</v>
      </c>
      <c r="BS353" s="726">
        <v>1.8523881621420317E-2</v>
      </c>
      <c r="BT353" s="726">
        <v>2.3340996312900365E-2</v>
      </c>
      <c r="BW353" s="1186">
        <f>'2018'!R\Max</f>
        <v>0.76132418185684603</v>
      </c>
      <c r="BX353" s="1184">
        <f>'2019'!R\Max</f>
        <v>0.38322291419214843</v>
      </c>
      <c r="BY353" s="1184">
        <f>'2020'!R\Max</f>
        <v>0.35739845663538722</v>
      </c>
      <c r="BZ353" s="1184">
        <f>'2021'!R\Max</f>
        <v>0.39383790568921201</v>
      </c>
      <c r="CA353" s="1184">
        <f>'2022'!R\Max</f>
        <v>0.99641380764427945</v>
      </c>
      <c r="CB353" s="1184">
        <f>'2023'!R\Max</f>
        <v>0.99641309965277769</v>
      </c>
      <c r="CC353" s="1184">
        <f>'2024'!R\Max</f>
        <v>0.9964122492126255</v>
      </c>
      <c r="CD353" s="1184">
        <f>'2025'!R\Max</f>
        <v>0.99641599543404269</v>
      </c>
      <c r="CE353" s="1184">
        <f>'2026'!R\Max</f>
        <v>0.99641564632997903</v>
      </c>
      <c r="CF353" s="1185">
        <f>'2027'!R\Max</f>
        <v>0.99641510025696278</v>
      </c>
    </row>
    <row r="354" spans="1:84" s="6" customFormat="1" ht="11.25" x14ac:dyDescent="0.2">
      <c r="A354" s="11">
        <v>43440</v>
      </c>
      <c r="B354" s="380">
        <f>'2022'!Maxi_hp</f>
        <v>20.632916228723204</v>
      </c>
      <c r="C354" s="13">
        <f>'2022'!An_max</f>
        <v>2020</v>
      </c>
      <c r="D354" s="1062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3">
        <f t="shared" si="138"/>
        <v>0.7142857142857143</v>
      </c>
      <c r="J354" s="746">
        <f t="shared" si="139"/>
        <v>25.580097958871299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5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3">
        <f t="shared" si="143"/>
        <v>0.8571428571428571</v>
      </c>
      <c r="AT354" s="769">
        <f t="shared" si="144"/>
        <v>25.455451562681368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3">
        <f t="shared" si="148"/>
        <v>0.35714285714285715</v>
      </c>
      <c r="AY354" s="769">
        <f t="shared" si="149"/>
        <v>25.870543171731487</v>
      </c>
      <c r="AZ354" s="746">
        <f t="shared" si="153"/>
        <v>25.66299736720643</v>
      </c>
      <c r="BA354" s="643">
        <f t="shared" si="150"/>
        <v>0.8066003602448133</v>
      </c>
      <c r="BC354" s="11">
        <v>43440</v>
      </c>
      <c r="BD354" s="290">
        <f>[3]!FeuilCaduc*(1-Persistant)+Persistant</f>
        <v>0.6306281273157095</v>
      </c>
      <c r="BE354" s="291">
        <f>[3]!CroissVégét</f>
        <v>0.9996918683792223</v>
      </c>
      <c r="BF354" s="816">
        <f>1+[3]!Salcycl*Ksac</f>
        <v>1.0038285159144638</v>
      </c>
      <c r="BH354" s="1053">
        <f t="shared" si="151"/>
        <v>2.3974590646232909E-3</v>
      </c>
      <c r="BI354" s="11">
        <v>44536</v>
      </c>
      <c r="BJ354" s="726">
        <v>5.1189895949478473E-4</v>
      </c>
      <c r="BK354" s="726">
        <v>9.3496722115938647E-4</v>
      </c>
      <c r="BL354" s="726">
        <v>1.5213655481152719E-3</v>
      </c>
      <c r="BM354" s="726">
        <v>2.3997522593344773E-3</v>
      </c>
      <c r="BN354" s="726">
        <v>3.6386123936482818E-3</v>
      </c>
      <c r="BO354" s="727">
        <v>5.6199214056418516E-3</v>
      </c>
      <c r="BP354" s="726">
        <v>8.1313008384489814E-3</v>
      </c>
      <c r="BQ354" s="726">
        <v>1.114474429407793E-2</v>
      </c>
      <c r="BR354" s="726">
        <v>1.4434950272950775E-2</v>
      </c>
      <c r="BS354" s="726">
        <v>1.8548116761456675E-2</v>
      </c>
      <c r="BT354" s="726">
        <v>2.3376207268823501E-2</v>
      </c>
      <c r="BW354" s="1186">
        <f>'2018'!R\Max</f>
        <v>0.4876684180117507</v>
      </c>
      <c r="BX354" s="1184">
        <f>'2019'!R\Max</f>
        <v>0.32076753965645244</v>
      </c>
      <c r="BY354" s="1184">
        <f>'2020'!R\Max</f>
        <v>0.8066003602448133</v>
      </c>
      <c r="BZ354" s="1184">
        <f>'2021'!R\Max</f>
        <v>0.50013253054968454</v>
      </c>
      <c r="CA354" s="1184">
        <f>'2022'!R\Max</f>
        <v>0.46439738356100263</v>
      </c>
      <c r="CB354" s="1184">
        <f>'2023'!R\Max</f>
        <v>0.46434786845421361</v>
      </c>
      <c r="CC354" s="1184">
        <f>'2024'!R\Max</f>
        <v>0.46428850497118734</v>
      </c>
      <c r="CD354" s="1184">
        <f>'2025'!R\Max</f>
        <v>0.46455051400092207</v>
      </c>
      <c r="CE354" s="1184">
        <f>'2026'!R\Max</f>
        <v>0.46452609361844166</v>
      </c>
      <c r="CF354" s="1185">
        <f>'2027'!R\Max</f>
        <v>0.46448784885144268</v>
      </c>
    </row>
    <row r="355" spans="1:84" s="6" customFormat="1" ht="11.25" x14ac:dyDescent="0.2">
      <c r="A355" s="11">
        <v>43441</v>
      </c>
      <c r="B355" s="380">
        <f>'2022'!Maxi_hp</f>
        <v>21.562088371382199</v>
      </c>
      <c r="C355" s="13">
        <f>'2022'!An_max</f>
        <v>2022</v>
      </c>
      <c r="D355" s="1062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3">
        <f t="shared" si="138"/>
        <v>0.7857142857142857</v>
      </c>
      <c r="J355" s="746">
        <f t="shared" si="139"/>
        <v>25.422777551040053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5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3">
        <f t="shared" si="143"/>
        <v>0.8928571428571429</v>
      </c>
      <c r="AT355" s="769">
        <f t="shared" si="144"/>
        <v>25.329358990969403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3">
        <f t="shared" si="148"/>
        <v>0.39285714285714285</v>
      </c>
      <c r="AY355" s="769">
        <f t="shared" si="149"/>
        <v>25.725336962592394</v>
      </c>
      <c r="AZ355" s="746">
        <f t="shared" si="153"/>
        <v>25.527347976780899</v>
      </c>
      <c r="BA355" s="643">
        <f t="shared" si="150"/>
        <v>0.84814054357723345</v>
      </c>
      <c r="BC355" s="11">
        <v>43441</v>
      </c>
      <c r="BD355" s="290">
        <f>[3]!FeuilCaduc*(1-Persistant)+Persistant</f>
        <v>0.62851214593092741</v>
      </c>
      <c r="BE355" s="291">
        <f>[3]!CroissVégét</f>
        <v>0.99971759412779237</v>
      </c>
      <c r="BF355" s="816">
        <f>1+[3]!Salcycl*Ksac</f>
        <v>1.0035640182413659</v>
      </c>
      <c r="BH355" s="1053">
        <f t="shared" si="151"/>
        <v>2.4035158841254102E-3</v>
      </c>
      <c r="BI355" s="11">
        <v>44537</v>
      </c>
      <c r="BJ355" s="726">
        <v>5.1261352606110872E-4</v>
      </c>
      <c r="BK355" s="726">
        <v>9.3912561783750486E-4</v>
      </c>
      <c r="BL355" s="726">
        <v>1.5264371586664566E-3</v>
      </c>
      <c r="BM355" s="726">
        <v>2.40581165764344E-3</v>
      </c>
      <c r="BN355" s="726">
        <v>3.6452231072501779E-3</v>
      </c>
      <c r="BO355" s="727">
        <v>5.6307031582451105E-3</v>
      </c>
      <c r="BP355" s="726">
        <v>8.1460194931172146E-3</v>
      </c>
      <c r="BQ355" s="726">
        <v>1.1160516262144406E-2</v>
      </c>
      <c r="BR355" s="726">
        <v>1.4452485393088889E-2</v>
      </c>
      <c r="BS355" s="726">
        <v>1.8571435401426792E-2</v>
      </c>
      <c r="BT355" s="726">
        <v>2.3409763755479499E-2</v>
      </c>
      <c r="BW355" s="1186">
        <f>'2018'!R\Max</f>
        <v>0.76668516209911408</v>
      </c>
      <c r="BX355" s="1184">
        <f>'2019'!R\Max</f>
        <v>0.60156304469369637</v>
      </c>
      <c r="BY355" s="1184">
        <f>'2020'!R\Max</f>
        <v>0.49088548388507108</v>
      </c>
      <c r="BZ355" s="1184">
        <f>'2021'!R\Max</f>
        <v>0.23573054174826227</v>
      </c>
      <c r="CA355" s="1184">
        <f>'2022'!R\Max</f>
        <v>0.84814054357723345</v>
      </c>
      <c r="CB355" s="1184">
        <f>'2023'!R\Max</f>
        <v>0.84811478934127904</v>
      </c>
      <c r="CC355" s="1184">
        <f>'2024'!R\Max</f>
        <v>0.84808394471872939</v>
      </c>
      <c r="CD355" s="1184">
        <f>'2025'!R\Max</f>
        <v>0.8482201731979534</v>
      </c>
      <c r="CE355" s="1184">
        <f>'2026'!R\Max</f>
        <v>0.84820749221501479</v>
      </c>
      <c r="CF355" s="1185">
        <f>'2027'!R\Max</f>
        <v>0.84818759860579618</v>
      </c>
    </row>
    <row r="356" spans="1:84" s="6" customFormat="1" ht="11.25" x14ac:dyDescent="0.2">
      <c r="A356" s="11">
        <v>43442</v>
      </c>
      <c r="B356" s="380">
        <f>'2022'!Maxi_hp</f>
        <v>16.757981515209075</v>
      </c>
      <c r="C356" s="13">
        <f>'2022'!An_max</f>
        <v>2019</v>
      </c>
      <c r="D356" s="1062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3">
        <f t="shared" si="138"/>
        <v>0.8571428571428571</v>
      </c>
      <c r="J356" s="746">
        <f t="shared" si="139"/>
        <v>25.279485715074195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5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3">
        <f t="shared" si="143"/>
        <v>0.9285714285714286</v>
      </c>
      <c r="AT356" s="769">
        <f t="shared" si="144"/>
        <v>25.217789441879308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3">
        <f t="shared" si="148"/>
        <v>0.42857142857142855</v>
      </c>
      <c r="AY356" s="769">
        <f t="shared" si="149"/>
        <v>25.587124974387031</v>
      </c>
      <c r="AZ356" s="746">
        <f t="shared" si="153"/>
        <v>25.402457208133171</v>
      </c>
      <c r="BA356" s="643">
        <f t="shared" si="150"/>
        <v>0.66290832432624469</v>
      </c>
      <c r="BC356" s="11">
        <v>43442</v>
      </c>
      <c r="BD356" s="290">
        <f>[3]!FeuilCaduc*(1-Persistant)+Persistant</f>
        <v>0.62652226865599625</v>
      </c>
      <c r="BE356" s="291">
        <f>[3]!CroissVégét</f>
        <v>0.99974228532646048</v>
      </c>
      <c r="BF356" s="816">
        <f>1+[3]!Salcycl*Ksac</f>
        <v>1.0033152835819996</v>
      </c>
      <c r="BH356" s="1053">
        <f t="shared" si="151"/>
        <v>2.4070441184436331E-3</v>
      </c>
      <c r="BI356" s="11">
        <v>44538</v>
      </c>
      <c r="BJ356" s="726">
        <v>5.1337053947272493E-4</v>
      </c>
      <c r="BK356" s="726">
        <v>9.4240444469599941E-4</v>
      </c>
      <c r="BL356" s="726">
        <v>1.5299205698896786E-3</v>
      </c>
      <c r="BM356" s="726">
        <v>2.4093400092871334E-3</v>
      </c>
      <c r="BN356" s="726">
        <v>3.6482954912102367E-3</v>
      </c>
      <c r="BO356" s="727">
        <v>5.6369006604570998E-3</v>
      </c>
      <c r="BP356" s="726">
        <v>8.1556738518252132E-3</v>
      </c>
      <c r="BQ356" s="726">
        <v>1.117209894376116E-2</v>
      </c>
      <c r="BR356" s="726">
        <v>1.4467907100428674E-2</v>
      </c>
      <c r="BS356" s="726">
        <v>1.8593875995763336E-2</v>
      </c>
      <c r="BT356" s="726">
        <v>2.3441714192912532E-2</v>
      </c>
      <c r="BW356" s="1186">
        <f>'2018'!R\Max</f>
        <v>0.63946033665822977</v>
      </c>
      <c r="BX356" s="1184">
        <f>'2019'!R\Max</f>
        <v>0.66290832432624469</v>
      </c>
      <c r="BY356" s="1184">
        <f>'2020'!R\Max</f>
        <v>0.11516434798313016</v>
      </c>
      <c r="BZ356" s="1184">
        <f>'2021'!R\Max</f>
        <v>0.41743774446332998</v>
      </c>
      <c r="CA356" s="1184">
        <f>'2022'!R\Max</f>
        <v>0.17603188753039553</v>
      </c>
      <c r="CB356" s="1184">
        <f>'2023'!R\Max</f>
        <v>0.17600715045825319</v>
      </c>
      <c r="CC356" s="1184">
        <f>'2024'!R\Max</f>
        <v>0.17597755268990151</v>
      </c>
      <c r="CD356" s="1184">
        <f>'2025'!R\Max</f>
        <v>0.17610839221594651</v>
      </c>
      <c r="CE356" s="1184">
        <f>'2026'!R\Max</f>
        <v>0.17609622433547101</v>
      </c>
      <c r="CF356" s="1185">
        <f>'2027'!R\Max</f>
        <v>0.17607710236939042</v>
      </c>
    </row>
    <row r="357" spans="1:84" s="6" customFormat="1" ht="11.25" x14ac:dyDescent="0.2">
      <c r="A357" s="11">
        <v>43443</v>
      </c>
      <c r="B357" s="380">
        <f>'2022'!Maxi_hp</f>
        <v>11.880379374635188</v>
      </c>
      <c r="C357" s="13">
        <f>'2022'!An_max</f>
        <v>2019</v>
      </c>
      <c r="D357" s="1062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3">
        <f t="shared" si="138"/>
        <v>0.9285714285714286</v>
      </c>
      <c r="J357" s="746">
        <f t="shared" si="139"/>
        <v>25.151725511465752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5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3">
        <f t="shared" si="143"/>
        <v>0.9642857142857143</v>
      </c>
      <c r="AT357" s="769">
        <f t="shared" si="144"/>
        <v>25.12143806314894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3">
        <f t="shared" si="148"/>
        <v>0.4642857142857143</v>
      </c>
      <c r="AY357" s="769">
        <f t="shared" si="149"/>
        <v>25.456421248002776</v>
      </c>
      <c r="AZ357" s="746">
        <f t="shared" si="153"/>
        <v>25.288929655575856</v>
      </c>
      <c r="BA357" s="643">
        <f t="shared" si="150"/>
        <v>0.47234848238222693</v>
      </c>
      <c r="BC357" s="11">
        <v>43443</v>
      </c>
      <c r="BD357" s="290">
        <f>[3]!FeuilCaduc*(1-Persistant)+Persistant</f>
        <v>0.62465451216441836</v>
      </c>
      <c r="BE357" s="291">
        <f>[3]!CroissVégét</f>
        <v>0.99976598353118062</v>
      </c>
      <c r="BF357" s="816">
        <f>1+[3]!Salcycl*Ksac</f>
        <v>1.0030818140205524</v>
      </c>
      <c r="BH357" s="1053">
        <f t="shared" si="151"/>
        <v>2.4080486006062178E-3</v>
      </c>
      <c r="BI357" s="11">
        <v>44539</v>
      </c>
      <c r="BJ357" s="726">
        <v>5.1417107159207808E-4</v>
      </c>
      <c r="BK357" s="726">
        <v>9.4480560562514851E-4</v>
      </c>
      <c r="BL357" s="726">
        <v>1.5318188575347419E-3</v>
      </c>
      <c r="BM357" s="726">
        <v>2.4103421518935331E-3</v>
      </c>
      <c r="BN357" s="726">
        <v>3.6478368869560102E-3</v>
      </c>
      <c r="BO357" s="727">
        <v>5.6385253206379521E-3</v>
      </c>
      <c r="BP357" s="726">
        <v>8.1602805327392058E-3</v>
      </c>
      <c r="BQ357" s="726">
        <v>1.1179515294095978E-2</v>
      </c>
      <c r="BR357" s="726">
        <v>1.4481245356671875E-2</v>
      </c>
      <c r="BS357" s="726">
        <v>1.8615477185788473E-2</v>
      </c>
      <c r="BT357" s="726">
        <v>2.3472107269325793E-2</v>
      </c>
      <c r="BW357" s="1186">
        <f>'2018'!R\Max</f>
        <v>0.21672016749719869</v>
      </c>
      <c r="BX357" s="1184">
        <f>'2019'!R\Max</f>
        <v>0.47234848238222693</v>
      </c>
      <c r="BY357" s="1184">
        <f>'2020'!R\Max</f>
        <v>0.36054618391513471</v>
      </c>
      <c r="BZ357" s="1184">
        <f>'2021'!R\Max</f>
        <v>0.34820608994156621</v>
      </c>
      <c r="CA357" s="1184">
        <f>'2022'!R\Max</f>
        <v>0.21408513015734917</v>
      </c>
      <c r="CB357" s="1184">
        <f>'2023'!R\Max</f>
        <v>0.2140549472067213</v>
      </c>
      <c r="CC357" s="1184">
        <f>'2024'!R\Max</f>
        <v>0.21401884239896524</v>
      </c>
      <c r="CD357" s="1184">
        <f>'2025'!R\Max</f>
        <v>0.21417843427852024</v>
      </c>
      <c r="CE357" s="1184">
        <f>'2026'!R\Max</f>
        <v>0.21416362267336855</v>
      </c>
      <c r="CF357" s="1185">
        <f>'2027'!R\Max</f>
        <v>0.21414029579131058</v>
      </c>
    </row>
    <row r="358" spans="1:84" s="6" customFormat="1" ht="11.25" x14ac:dyDescent="0.2">
      <c r="A358" s="11">
        <v>43444</v>
      </c>
      <c r="B358" s="380">
        <f>'2022'!Maxi_hp</f>
        <v>21.95872257479607</v>
      </c>
      <c r="C358" s="13">
        <f>'2022'!An_max</f>
        <v>2019</v>
      </c>
      <c r="D358" s="1062" t="str">
        <f t="shared" si="135"/>
        <v/>
      </c>
      <c r="E358" s="1057">
        <f>AL$13/10</f>
        <v>25.041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3">
        <f t="shared" si="138"/>
        <v>1</v>
      </c>
      <c r="J358" s="746">
        <f t="shared" si="139"/>
        <v>25.040999999642374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5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3">
        <f t="shared" si="143"/>
        <v>1</v>
      </c>
      <c r="AT358" s="769">
        <f t="shared" si="144"/>
        <v>25.041000001132488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3">
        <f t="shared" si="148"/>
        <v>0.5</v>
      </c>
      <c r="AY358" s="769">
        <f t="shared" si="149"/>
        <v>25.333739812672139</v>
      </c>
      <c r="AZ358" s="746">
        <f t="shared" si="153"/>
        <v>25.187369906902312</v>
      </c>
      <c r="BA358" s="643">
        <f t="shared" si="150"/>
        <v>0.8769107693426651</v>
      </c>
      <c r="BC358" s="11">
        <v>43444</v>
      </c>
      <c r="BD358" s="290">
        <f>[3]!FeuilCaduc*(1-Persistant)+Persistant</f>
        <v>0.62290464148302538</v>
      </c>
      <c r="BE358" s="291">
        <f>[3]!CroissVégét</f>
        <v>0.9997887286324697</v>
      </c>
      <c r="BF358" s="816">
        <f>1+[3]!Salcycl*Ksac</f>
        <v>1.0028630801853782</v>
      </c>
      <c r="BH358" s="1053">
        <f t="shared" si="151"/>
        <v>2.4065341506376396E-3</v>
      </c>
      <c r="BI358" s="11">
        <v>44540</v>
      </c>
      <c r="BJ358" s="726">
        <v>5.1501620117981562E-4</v>
      </c>
      <c r="BK358" s="726">
        <v>9.4633101703148995E-4</v>
      </c>
      <c r="BL358" s="726">
        <v>1.5321350997191787E-3</v>
      </c>
      <c r="BM358" s="726">
        <v>2.4088229100465955E-3</v>
      </c>
      <c r="BN358" s="726">
        <v>3.6438546021567608E-3</v>
      </c>
      <c r="BO358" s="727">
        <v>5.6355885216690087E-3</v>
      </c>
      <c r="BP358" s="726">
        <v>8.159856148852989E-3</v>
      </c>
      <c r="BQ358" s="726">
        <v>1.1182788293083492E-2</v>
      </c>
      <c r="BR358" s="726">
        <v>1.4492530213948255E-2</v>
      </c>
      <c r="BS358" s="726">
        <v>1.863627778127561E-2</v>
      </c>
      <c r="BT358" s="726">
        <v>2.3500991907455759E-2</v>
      </c>
      <c r="BW358" s="1186">
        <f>'2018'!R\Max</f>
        <v>0.43308420235067258</v>
      </c>
      <c r="BX358" s="1184">
        <f>'2019'!R\Max</f>
        <v>0.8769107693426651</v>
      </c>
      <c r="BY358" s="1184">
        <f>'2020'!R\Max</f>
        <v>0.36863800338183234</v>
      </c>
      <c r="BZ358" s="1184">
        <f>'2021'!R\Max</f>
        <v>9.3602287813790722E-2</v>
      </c>
      <c r="CA358" s="1184">
        <f>'2022'!R\Max</f>
        <v>0.50628280871057307</v>
      </c>
      <c r="CB358" s="1184">
        <f>'2023'!R\Max</f>
        <v>0.50623234213036128</v>
      </c>
      <c r="CC358" s="1184">
        <f>'2024'!R\Max</f>
        <v>0.50617195460923836</v>
      </c>
      <c r="CD358" s="1184">
        <f>'2025'!R\Max</f>
        <v>0.50643867386048469</v>
      </c>
      <c r="CE358" s="1184">
        <f>'2026'!R\Max</f>
        <v>0.50641398929310244</v>
      </c>
      <c r="CF358" s="1185">
        <f>'2027'!R\Max</f>
        <v>0.50637501649333683</v>
      </c>
    </row>
    <row r="359" spans="1:84" s="6" customFormat="1" ht="11.25" x14ac:dyDescent="0.2">
      <c r="A359" s="11">
        <v>43445</v>
      </c>
      <c r="B359" s="380">
        <f>'2022'!Maxi_hp</f>
        <v>18.260406248134906</v>
      </c>
      <c r="C359" s="13">
        <f>'2022'!An_max</f>
        <v>2018</v>
      </c>
      <c r="D359" s="1062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3">
        <f t="shared" si="138"/>
        <v>0.9285714285714286</v>
      </c>
      <c r="J359" s="746">
        <f t="shared" si="139"/>
        <v>24.944490428588217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5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3">
        <f t="shared" si="143"/>
        <v>0.96551724137931039</v>
      </c>
      <c r="AT359" s="769">
        <f t="shared" si="144"/>
        <v>24.974908535901843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3">
        <f t="shared" si="148"/>
        <v>0.5357142857142857</v>
      </c>
      <c r="AY359" s="769">
        <f t="shared" si="149"/>
        <v>25.219594708404372</v>
      </c>
      <c r="AZ359" s="746">
        <f t="shared" si="153"/>
        <v>25.097251622153109</v>
      </c>
      <c r="BA359" s="643">
        <f t="shared" si="150"/>
        <v>0.73204166268344129</v>
      </c>
      <c r="BC359" s="11">
        <v>43445</v>
      </c>
      <c r="BD359" s="290">
        <f>[3]!FeuilCaduc*(1-Persistant)+Persistant</f>
        <v>0.62126820244498304</v>
      </c>
      <c r="BE359" s="291">
        <f>[3]!CroissVégét</f>
        <v>0.99981055892185233</v>
      </c>
      <c r="BF359" s="816">
        <f>1+[3]!Salcycl*Ksac</f>
        <v>1.0026585253056228</v>
      </c>
      <c r="BH359" s="1053">
        <f t="shared" si="151"/>
        <v>2.4025055229982663E-3</v>
      </c>
      <c r="BI359" s="11">
        <v>44541</v>
      </c>
      <c r="BJ359" s="726">
        <v>5.1590701478023641E-4</v>
      </c>
      <c r="BK359" s="726">
        <v>9.4698258955346331E-4</v>
      </c>
      <c r="BL359" s="726">
        <v>1.5308723439141293E-3</v>
      </c>
      <c r="BM359" s="726">
        <v>2.4047870426747702E-3</v>
      </c>
      <c r="BN359" s="726">
        <v>3.6363558371778743E-3</v>
      </c>
      <c r="BO359" s="727">
        <v>5.6281015256717066E-3</v>
      </c>
      <c r="BP359" s="726">
        <v>8.1544172027402124E-3</v>
      </c>
      <c r="BQ359" s="726">
        <v>1.1181940858389991E-2</v>
      </c>
      <c r="BR359" s="726">
        <v>1.4501791770961253E-2</v>
      </c>
      <c r="BS359" s="726">
        <v>1.8656316742303045E-2</v>
      </c>
      <c r="BT359" s="726">
        <v>2.3528417231314418E-2</v>
      </c>
      <c r="BW359" s="1186">
        <f>'2018'!R\Max</f>
        <v>0.73204166268344129</v>
      </c>
      <c r="BX359" s="1184">
        <f>'2019'!R\Max</f>
        <v>8.0629999076842401E-2</v>
      </c>
      <c r="BY359" s="1184">
        <f>'2020'!R\Max</f>
        <v>0.20160144037095781</v>
      </c>
      <c r="BZ359" s="1184">
        <f>'2021'!R\Max</f>
        <v>0.52725510944605158</v>
      </c>
      <c r="CA359" s="1184">
        <f>'2022'!R\Max</f>
        <v>0.7101898321428699</v>
      </c>
      <c r="CB359" s="1184">
        <f>'2023'!R\Max</f>
        <v>0.71014819073880375</v>
      </c>
      <c r="CC359" s="1184">
        <f>'2024'!R\Max</f>
        <v>0.71009832350678925</v>
      </c>
      <c r="CD359" s="1184">
        <f>'2025'!R\Max</f>
        <v>0.7103182891424703</v>
      </c>
      <c r="CE359" s="1184">
        <f>'2026'!R\Max</f>
        <v>0.71029800038433732</v>
      </c>
      <c r="CF359" s="1185">
        <f>'2027'!R\Max</f>
        <v>0.71026587879954539</v>
      </c>
    </row>
    <row r="360" spans="1:84" s="6" customFormat="1" ht="11.25" x14ac:dyDescent="0.2">
      <c r="A360" s="11">
        <v>43446</v>
      </c>
      <c r="B360" s="380">
        <f>'2022'!Maxi_hp</f>
        <v>23.792403120855759</v>
      </c>
      <c r="C360" s="13">
        <f>'2022'!An_max</f>
        <v>2021</v>
      </c>
      <c r="D360" s="1062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3">
        <f t="shared" si="138"/>
        <v>0.8571428571428571</v>
      </c>
      <c r="J360" s="746">
        <f t="shared" si="139"/>
        <v>24.858549593176161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5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3">
        <f t="shared" si="143"/>
        <v>0.93103448275862066</v>
      </c>
      <c r="AT360" s="769">
        <f t="shared" si="144"/>
        <v>24.920976654311708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3">
        <f t="shared" si="148"/>
        <v>0.5714285714285714</v>
      </c>
      <c r="AY360" s="769">
        <f t="shared" si="149"/>
        <v>25.114499966374467</v>
      </c>
      <c r="AZ360" s="746">
        <f t="shared" si="153"/>
        <v>25.017738310343088</v>
      </c>
      <c r="BA360" s="643">
        <f t="shared" si="150"/>
        <v>0.95711147714695854</v>
      </c>
      <c r="BC360" s="11">
        <v>43446</v>
      </c>
      <c r="BD360" s="290">
        <f>[3]!FeuilCaduc*(1-Persistant)+Persistant</f>
        <v>0.61974055469729172</v>
      </c>
      <c r="BE360" s="291">
        <f>[3]!CroissVégét</f>
        <v>0.99983151115568181</v>
      </c>
      <c r="BF360" s="816">
        <f>1+[3]!Salcycl*Ksac</f>
        <v>1.0024675693371614</v>
      </c>
      <c r="BH360" s="1053">
        <f t="shared" si="151"/>
        <v>2.3959673539986465E-3</v>
      </c>
      <c r="BI360" s="11">
        <v>44542</v>
      </c>
      <c r="BJ360" s="726">
        <v>5.1684460760131922E-4</v>
      </c>
      <c r="BK360" s="726">
        <v>9.4676220976711294E-4</v>
      </c>
      <c r="BL360" s="726">
        <v>1.5280335739140871E-3</v>
      </c>
      <c r="BM360" s="726">
        <v>2.398239190414105E-3</v>
      </c>
      <c r="BN360" s="726">
        <v>3.6253476114968108E-3</v>
      </c>
      <c r="BO360" s="727">
        <v>5.616075378666951E-3</v>
      </c>
      <c r="BP360" s="726">
        <v>8.1439799812206629E-3</v>
      </c>
      <c r="BQ360" s="726">
        <v>1.1176995758260345E-2</v>
      </c>
      <c r="BR360" s="726">
        <v>1.4509060128980943E-2</v>
      </c>
      <c r="BS360" s="726">
        <v>1.867563316091133E-2</v>
      </c>
      <c r="BT360" s="726">
        <v>2.3554432532684095E-2</v>
      </c>
      <c r="BW360" s="1186">
        <f>'2018'!R\Max</f>
        <v>0.13036974122849559</v>
      </c>
      <c r="BX360" s="1184">
        <f>'2019'!R\Max</f>
        <v>0.21911926875538126</v>
      </c>
      <c r="BY360" s="1184">
        <f>'2020'!R\Max</f>
        <v>0.29330524740408831</v>
      </c>
      <c r="BZ360" s="1184">
        <f>'2021'!R\Max</f>
        <v>0.95711147714695854</v>
      </c>
      <c r="CA360" s="1184">
        <f>'2022'!R\Max</f>
        <v>0.24813544380108205</v>
      </c>
      <c r="CB360" s="1184">
        <f>'2023'!R\Max</f>
        <v>0.24810024042914774</v>
      </c>
      <c r="CC360" s="1184">
        <f>'2024'!R\Max</f>
        <v>0.24805804084296937</v>
      </c>
      <c r="CD360" s="1184">
        <f>'2025'!R\Max</f>
        <v>0.24824393754824023</v>
      </c>
      <c r="CE360" s="1184">
        <f>'2026'!R\Max</f>
        <v>0.24822684894683197</v>
      </c>
      <c r="CF360" s="1185">
        <f>'2027'!R\Max</f>
        <v>0.2481997150210645</v>
      </c>
    </row>
    <row r="361" spans="1:84" s="6" customFormat="1" ht="11.25" x14ac:dyDescent="0.2">
      <c r="A361" s="11">
        <v>43447</v>
      </c>
      <c r="B361" s="380">
        <f>'2022'!Maxi_hp</f>
        <v>25.480851358483925</v>
      </c>
      <c r="C361" s="13">
        <f>'2022'!An_max</f>
        <v>2021</v>
      </c>
      <c r="D361" s="1062">
        <f t="shared" si="135"/>
        <v>1.028140304426099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3">
        <f t="shared" si="138"/>
        <v>0.7857142857142857</v>
      </c>
      <c r="J361" s="746">
        <f t="shared" si="139"/>
        <v>24.783437872039421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5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3">
        <f t="shared" si="143"/>
        <v>0.89655172413793105</v>
      </c>
      <c r="AT361" s="769">
        <f t="shared" si="144"/>
        <v>24.878969077611792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3">
        <f t="shared" si="148"/>
        <v>0.6071428571428571</v>
      </c>
      <c r="AY361" s="769">
        <f t="shared" si="149"/>
        <v>25.018969621243222</v>
      </c>
      <c r="AZ361" s="746">
        <f t="shared" si="153"/>
        <v>24.948969349427507</v>
      </c>
      <c r="BA361" s="643">
        <f t="shared" si="150"/>
        <v>1.028140304426099</v>
      </c>
      <c r="BC361" s="11">
        <v>43447</v>
      </c>
      <c r="BD361" s="290">
        <f>[3]!FeuilCaduc*(1-Persistant)+Persistant</f>
        <v>0.61831690500385694</v>
      </c>
      <c r="BE361" s="291">
        <f>[3]!CroissVégét</f>
        <v>0.99985162061643362</v>
      </c>
      <c r="BF361" s="816">
        <f>1+[3]!Salcycl*Ksac</f>
        <v>1.0022896131254821</v>
      </c>
      <c r="BH361" s="1053">
        <f t="shared" si="151"/>
        <v>2.3895624585192916E-3</v>
      </c>
      <c r="BI361" s="11">
        <v>44543</v>
      </c>
      <c r="BJ361" s="726">
        <v>5.1792391899867761E-4</v>
      </c>
      <c r="BK361" s="726">
        <v>9.4623352084412791E-4</v>
      </c>
      <c r="BL361" s="726">
        <v>1.5249258348975655E-3</v>
      </c>
      <c r="BM361" s="726">
        <v>2.3918256645526961E-3</v>
      </c>
      <c r="BN361" s="726">
        <v>3.61510931921138E-3</v>
      </c>
      <c r="BO361" s="727">
        <v>5.6054345094930262E-3</v>
      </c>
      <c r="BP361" s="726">
        <v>8.1351082493101527E-3</v>
      </c>
      <c r="BQ361" s="726">
        <v>1.1173014522880069E-2</v>
      </c>
      <c r="BR361" s="726">
        <v>1.4516053123369241E-2</v>
      </c>
      <c r="BS361" s="726">
        <v>1.8693502701111638E-2</v>
      </c>
      <c r="BT361" s="726">
        <v>2.3578485304745614E-2</v>
      </c>
      <c r="BW361" s="1186">
        <f>'2018'!R\Max</f>
        <v>8.3168057287724959E-2</v>
      </c>
      <c r="BX361" s="1184">
        <f>'2019'!R\Max</f>
        <v>0.10090778271487556</v>
      </c>
      <c r="BY361" s="1184">
        <f>'2020'!R\Max</f>
        <v>0.49234311348096854</v>
      </c>
      <c r="BZ361" s="1184">
        <f>'2021'!R\Max</f>
        <v>1.028140304426099</v>
      </c>
      <c r="CA361" s="1184">
        <f>'2022'!R\Max</f>
        <v>0.23627899838617095</v>
      </c>
      <c r="CB361" s="1184">
        <f>'2023'!R\Max</f>
        <v>0.23624542927448308</v>
      </c>
      <c r="CC361" s="1184">
        <f>'2024'!R\Max</f>
        <v>0.23620515206909964</v>
      </c>
      <c r="CD361" s="1184">
        <f>'2025'!R\Max</f>
        <v>0.23638234258045693</v>
      </c>
      <c r="CE361" s="1184">
        <f>'2026'!R\Max</f>
        <v>0.23636610944138337</v>
      </c>
      <c r="CF361" s="1185">
        <f>'2027'!R\Max</f>
        <v>0.23634026091190863</v>
      </c>
    </row>
    <row r="362" spans="1:84" s="6" customFormat="1" ht="11.25" x14ac:dyDescent="0.2">
      <c r="A362" s="11">
        <v>43448</v>
      </c>
      <c r="B362" s="380">
        <f>'2022'!Maxi_hp</f>
        <v>22.845836803064749</v>
      </c>
      <c r="C362" s="13">
        <f>'2022'!An_max</f>
        <v>2021</v>
      </c>
      <c r="D362" s="1062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3">
        <f t="shared" si="138"/>
        <v>0.7142857142857143</v>
      </c>
      <c r="J362" s="746">
        <f t="shared" si="139"/>
        <v>24.719415650623187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5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3">
        <f t="shared" si="143"/>
        <v>0.86206896551724133</v>
      </c>
      <c r="AT362" s="769">
        <f t="shared" si="144"/>
        <v>24.848650512561715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3">
        <f t="shared" si="148"/>
        <v>0.6428571428571429</v>
      </c>
      <c r="AY362" s="769">
        <f t="shared" si="149"/>
        <v>24.933517709161556</v>
      </c>
      <c r="AZ362" s="746">
        <f t="shared" si="153"/>
        <v>24.891084110861634</v>
      </c>
      <c r="BA362" s="643">
        <f t="shared" si="150"/>
        <v>0.92420618375292363</v>
      </c>
      <c r="BC362" s="11">
        <v>43448</v>
      </c>
      <c r="BD362" s="290">
        <f>[3]!FeuilCaduc*(1-Persistant)+Persistant</f>
        <v>0.61699234058646302</v>
      </c>
      <c r="BE362" s="291">
        <f>[3]!CroissVégét</f>
        <v>0.99987092117157228</v>
      </c>
      <c r="BF362" s="816">
        <f>1+[3]!Salcycl*Ksac</f>
        <v>1.0021240425733078</v>
      </c>
      <c r="BH362" s="1053">
        <f t="shared" si="151"/>
        <v>2.3832956045325543E-3</v>
      </c>
      <c r="BI362" s="11">
        <v>44544</v>
      </c>
      <c r="BJ362" s="726">
        <v>5.1914608285101593E-4</v>
      </c>
      <c r="BK362" s="726">
        <v>9.4539841830295441E-4</v>
      </c>
      <c r="BL362" s="726">
        <v>1.5215521440866543E-3</v>
      </c>
      <c r="BM362" s="726">
        <v>2.3855512376455249E-3</v>
      </c>
      <c r="BN362" s="726">
        <v>3.6056482486334948E-3</v>
      </c>
      <c r="BO362" s="727">
        <v>5.5961904243164162E-3</v>
      </c>
      <c r="BP362" s="726">
        <v>8.1278188510660061E-3</v>
      </c>
      <c r="BQ362" s="726">
        <v>1.1170020364353075E-2</v>
      </c>
      <c r="BR362" s="726">
        <v>1.4522801064988541E-2</v>
      </c>
      <c r="BS362" s="726">
        <v>1.870996451195623E-2</v>
      </c>
      <c r="BT362" s="726">
        <v>2.3600624954686792E-2</v>
      </c>
      <c r="BW362" s="1186">
        <f>'2018'!R\Max</f>
        <v>0.11612937045636572</v>
      </c>
      <c r="BX362" s="1184">
        <f>'2019'!R\Max</f>
        <v>0.80168538469067263</v>
      </c>
      <c r="BY362" s="1184">
        <f>'2020'!R\Max</f>
        <v>0.44832133149151804</v>
      </c>
      <c r="BZ362" s="1184">
        <f>'2021'!R\Max</f>
        <v>0.92420618375292363</v>
      </c>
      <c r="CA362" s="1184">
        <f>'2022'!R\Max</f>
        <v>0.75197249270109956</v>
      </c>
      <c r="CB362" s="1184">
        <f>'2023'!R\Max</f>
        <v>0.75193459678937669</v>
      </c>
      <c r="CC362" s="1184">
        <f>'2024'!R\Max</f>
        <v>0.75188908981552571</v>
      </c>
      <c r="CD362" s="1184">
        <f>'2025'!R\Max</f>
        <v>0.75208900909950593</v>
      </c>
      <c r="CE362" s="1184">
        <f>'2026'!R\Max</f>
        <v>0.75207075666838175</v>
      </c>
      <c r="CF362" s="1185">
        <f>'2027'!R\Max</f>
        <v>0.75204161284928528</v>
      </c>
    </row>
    <row r="363" spans="1:84" s="6" customFormat="1" ht="11.25" x14ac:dyDescent="0.2">
      <c r="A363" s="11">
        <v>43449</v>
      </c>
      <c r="B363" s="380">
        <f>'2022'!Maxi_hp</f>
        <v>25.557265904120406</v>
      </c>
      <c r="C363" s="13">
        <f>'2022'!An_max</f>
        <v>2019</v>
      </c>
      <c r="D363" s="1062">
        <f t="shared" si="135"/>
        <v>1.0361021552474747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3">
        <f t="shared" si="138"/>
        <v>0.6428571428571429</v>
      </c>
      <c r="J363" s="746">
        <f t="shared" si="139"/>
        <v>24.666743307773555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5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3">
        <f t="shared" si="143"/>
        <v>0.82758620689655171</v>
      </c>
      <c r="AT363" s="769">
        <f t="shared" si="144"/>
        <v>24.829785674502109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3">
        <f t="shared" si="148"/>
        <v>0.6785714285714286</v>
      </c>
      <c r="AY363" s="769">
        <f t="shared" si="149"/>
        <v>24.858658265322447</v>
      </c>
      <c r="AZ363" s="746">
        <f t="shared" si="153"/>
        <v>24.844221969912276</v>
      </c>
      <c r="BA363" s="643">
        <f t="shared" si="150"/>
        <v>1.0361021552474747</v>
      </c>
      <c r="BC363" s="11">
        <v>43449</v>
      </c>
      <c r="BD363" s="290">
        <f>[3]!FeuilCaduc*(1-Persistant)+Persistant</f>
        <v>0.6157618622494625</v>
      </c>
      <c r="BE363" s="291">
        <f>[3]!CroissVégét</f>
        <v>0.99988944533008528</v>
      </c>
      <c r="BF363" s="816">
        <f>1+[3]!Salcycl*Ksac</f>
        <v>1.0019702327811828</v>
      </c>
      <c r="BH363" s="1053">
        <f t="shared" si="151"/>
        <v>2.3771715142957119E-3</v>
      </c>
      <c r="BI363" s="11">
        <v>44545</v>
      </c>
      <c r="BJ363" s="726">
        <v>5.2051225253512768E-4</v>
      </c>
      <c r="BK363" s="726">
        <v>9.4425876774029236E-4</v>
      </c>
      <c r="BL363" s="726">
        <v>1.5179154697276824E-3</v>
      </c>
      <c r="BM363" s="726">
        <v>2.3794206365410314E-3</v>
      </c>
      <c r="BN363" s="726">
        <v>3.5969716592108925E-3</v>
      </c>
      <c r="BO363" s="727">
        <v>5.5883546431461121E-3</v>
      </c>
      <c r="BP363" s="726">
        <v>8.1221286701134553E-3</v>
      </c>
      <c r="BQ363" s="726">
        <v>1.1168036523660812E-2</v>
      </c>
      <c r="BR363" s="726">
        <v>1.452933428272541E-2</v>
      </c>
      <c r="BS363" s="726">
        <v>1.872505775314651E-2</v>
      </c>
      <c r="BT363" s="726">
        <v>2.3620900904846292E-2</v>
      </c>
      <c r="BW363" s="1186">
        <f>'2018'!R\Max</f>
        <v>0.24565811236590207</v>
      </c>
      <c r="BX363" s="1184">
        <f>'2019'!R\Max</f>
        <v>1.0361021552474747</v>
      </c>
      <c r="BY363" s="1184">
        <f>'2020'!R\Max</f>
        <v>0.15968364191658299</v>
      </c>
      <c r="BZ363" s="1184">
        <f>'2021'!R\Max</f>
        <v>0.94579652754330268</v>
      </c>
      <c r="CA363" s="1184">
        <f>'2022'!R\Max</f>
        <v>0.24990423434714623</v>
      </c>
      <c r="CB363" s="1184">
        <f>'2023'!R\Max</f>
        <v>0.24986865130198499</v>
      </c>
      <c r="CC363" s="1184">
        <f>'2024'!R\Max</f>
        <v>0.24982591446117094</v>
      </c>
      <c r="CD363" s="1184">
        <f>'2025'!R\Max</f>
        <v>0.25001360398710243</v>
      </c>
      <c r="CE363" s="1184">
        <f>'2026'!R\Max</f>
        <v>0.24999650531430653</v>
      </c>
      <c r="CF363" s="1185">
        <f>'2027'!R\Max</f>
        <v>0.24996914038791715</v>
      </c>
    </row>
    <row r="364" spans="1:84" s="6" customFormat="1" ht="11.25" x14ac:dyDescent="0.2">
      <c r="A364" s="11">
        <v>43450</v>
      </c>
      <c r="B364" s="380">
        <f>'2022'!Maxi_hp</f>
        <v>25.18523938599883</v>
      </c>
      <c r="C364" s="13">
        <f>'2022'!An_max</f>
        <v>2021</v>
      </c>
      <c r="D364" s="1062">
        <f t="shared" si="135"/>
        <v>1.0227225452563229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3">
        <f t="shared" si="138"/>
        <v>0.5714285714285714</v>
      </c>
      <c r="J364" s="746">
        <f t="shared" si="139"/>
        <v>24.625681229787212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5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3">
        <f t="shared" si="143"/>
        <v>0.7931034482758621</v>
      </c>
      <c r="AT364" s="769">
        <f t="shared" si="144"/>
        <v>24.82213927235069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3">
        <f t="shared" si="148"/>
        <v>0.7142857142857143</v>
      </c>
      <c r="AY364" s="769">
        <f t="shared" si="149"/>
        <v>24.794905320448532</v>
      </c>
      <c r="AZ364" s="746">
        <f t="shared" si="153"/>
        <v>24.808522296399609</v>
      </c>
      <c r="BA364" s="643">
        <f t="shared" si="150"/>
        <v>1.0227225452563229</v>
      </c>
      <c r="BC364" s="11">
        <v>43450</v>
      </c>
      <c r="BD364" s="290">
        <f>[3]!FeuilCaduc*(1-Persistant)+Persistant</f>
        <v>0.61462041703967107</v>
      </c>
      <c r="BE364" s="291">
        <f>[3]!CroissVégét</f>
        <v>0.9999072242967757</v>
      </c>
      <c r="BF364" s="816">
        <f>1+[3]!Salcycl*Ksac</f>
        <v>1.0018275521299589</v>
      </c>
      <c r="BH364" s="1053">
        <f t="shared" si="151"/>
        <v>2.3711948665977034E-3</v>
      </c>
      <c r="BI364" s="11">
        <v>44546</v>
      </c>
      <c r="BJ364" s="726">
        <v>5.2202360375405092E-4</v>
      </c>
      <c r="BK364" s="726">
        <v>9.4281639821054914E-4</v>
      </c>
      <c r="BL364" s="726">
        <v>1.5140187251635119E-3</v>
      </c>
      <c r="BM364" s="726">
        <v>2.3734385446492509E-3</v>
      </c>
      <c r="BN364" s="726">
        <v>3.5890867967417056E-3</v>
      </c>
      <c r="BO364" s="727">
        <v>5.581938727395268E-3</v>
      </c>
      <c r="BP364" s="726">
        <v>8.1180546603835738E-3</v>
      </c>
      <c r="BQ364" s="726">
        <v>1.1167086288203253E-2</v>
      </c>
      <c r="BR364" s="726">
        <v>1.4535683114500051E-2</v>
      </c>
      <c r="BS364" s="726">
        <v>1.8738821560731918E-2</v>
      </c>
      <c r="BT364" s="726">
        <v>2.363936254658652E-2</v>
      </c>
      <c r="BW364" s="1186">
        <f>'2018'!R\Max</f>
        <v>0.14640618947077239</v>
      </c>
      <c r="BX364" s="1184">
        <f>'2019'!R\Max</f>
        <v>0.60346092764237036</v>
      </c>
      <c r="BY364" s="1184">
        <f>'2020'!R\Max</f>
        <v>0.1020359316101097</v>
      </c>
      <c r="BZ364" s="1184">
        <f>'2021'!R\Max</f>
        <v>1.0227225452563229</v>
      </c>
      <c r="CA364" s="1184">
        <f>'2022'!R\Max</f>
        <v>0.213314878734784</v>
      </c>
      <c r="CB364" s="1184">
        <f>'2023'!R\Max</f>
        <v>0.21328448321180038</v>
      </c>
      <c r="CC364" s="1184">
        <f>'2024'!R\Max</f>
        <v>0.21324797303174836</v>
      </c>
      <c r="CD364" s="1184">
        <f>'2025'!R\Max</f>
        <v>0.21340825684799641</v>
      </c>
      <c r="CE364" s="1184">
        <f>'2026'!R\Max</f>
        <v>0.21339368722051771</v>
      </c>
      <c r="CF364" s="1185">
        <f>'2027'!R\Max</f>
        <v>0.21337031777622975</v>
      </c>
    </row>
    <row r="365" spans="1:84" s="6" customFormat="1" ht="11.25" x14ac:dyDescent="0.2">
      <c r="A365" s="11">
        <v>43451</v>
      </c>
      <c r="B365" s="380">
        <f>'2022'!Maxi_hp</f>
        <v>25.601732712427946</v>
      </c>
      <c r="C365" s="13">
        <f>'2022'!An_max</f>
        <v>2021</v>
      </c>
      <c r="D365" s="1062">
        <f t="shared" si="135"/>
        <v>1.0408693647597316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3">
        <f t="shared" si="138"/>
        <v>0.5</v>
      </c>
      <c r="J365" s="746">
        <f t="shared" si="139"/>
        <v>24.596489799022674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5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3">
        <f t="shared" si="143"/>
        <v>0.75862068965517238</v>
      </c>
      <c r="AT365" s="769">
        <f t="shared" si="144"/>
        <v>24.825476024274167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3">
        <f t="shared" si="148"/>
        <v>0.75</v>
      </c>
      <c r="AY365" s="769">
        <f t="shared" si="149"/>
        <v>24.742772915400565</v>
      </c>
      <c r="AZ365" s="746">
        <f t="shared" si="153"/>
        <v>24.784124469837366</v>
      </c>
      <c r="BA365" s="643">
        <f t="shared" si="150"/>
        <v>1.0408693647597316</v>
      </c>
      <c r="BC365" s="11">
        <v>43451</v>
      </c>
      <c r="BD365" s="290">
        <f>[3]!FeuilCaduc*(1-Persistant)+Persistant</f>
        <v>0.61356293020072572</v>
      </c>
      <c r="BE365" s="291">
        <f>[3]!CroissVégét</f>
        <v>0.99992428802440059</v>
      </c>
      <c r="BF365" s="816">
        <f>1+[3]!Salcycl*Ksac</f>
        <v>1.0016953662750907</v>
      </c>
      <c r="BH365" s="1053">
        <f t="shared" si="151"/>
        <v>2.3653702990615462E-3</v>
      </c>
      <c r="BI365" s="11">
        <v>44547</v>
      </c>
      <c r="BJ365" s="726">
        <v>5.2368133737740988E-4</v>
      </c>
      <c r="BK365" s="726">
        <v>9.4107309562739495E-4</v>
      </c>
      <c r="BL365" s="726">
        <v>1.509864762941369E-3</v>
      </c>
      <c r="BM365" s="726">
        <v>2.3676096042656771E-3</v>
      </c>
      <c r="BN365" s="726">
        <v>3.5820009086733012E-3</v>
      </c>
      <c r="BO365" s="727">
        <v>5.5769543075737549E-3</v>
      </c>
      <c r="BP365" s="726">
        <v>8.1156138770414488E-3</v>
      </c>
      <c r="BQ365" s="726">
        <v>1.1167193009601444E-2</v>
      </c>
      <c r="BR365" s="726">
        <v>1.4541877898616043E-2</v>
      </c>
      <c r="BS365" s="726">
        <v>1.8751295013247175E-2</v>
      </c>
      <c r="BT365" s="726">
        <v>2.3656059194719636E-2</v>
      </c>
      <c r="BW365" s="1186">
        <f>'2018'!R\Max</f>
        <v>0.82764103708543535</v>
      </c>
      <c r="BX365" s="1184">
        <f>'2019'!R\Max</f>
        <v>0.48949821273611738</v>
      </c>
      <c r="BY365" s="1184">
        <f>'2020'!R\Max</f>
        <v>0.7201939016531046</v>
      </c>
      <c r="BZ365" s="1184">
        <f>'2021'!R\Max</f>
        <v>1.0408693647597316</v>
      </c>
      <c r="CA365" s="1184">
        <f>'2022'!R\Max</f>
        <v>0.15608363125389035</v>
      </c>
      <c r="CB365" s="1184">
        <f>'2023'!R\Max</f>
        <v>0.15606138031027006</v>
      </c>
      <c r="CC365" s="1184">
        <f>'2024'!R\Max</f>
        <v>0.15603465752640761</v>
      </c>
      <c r="CD365" s="1184">
        <f>'2025'!R\Max</f>
        <v>0.15615196749256599</v>
      </c>
      <c r="CE365" s="1184">
        <f>'2026'!R\Max</f>
        <v>0.15614132354771715</v>
      </c>
      <c r="CF365" s="1185">
        <f>'2027'!R\Max</f>
        <v>0.1561242162549478</v>
      </c>
    </row>
    <row r="366" spans="1:84" s="6" customFormat="1" ht="11.25" x14ac:dyDescent="0.2">
      <c r="A366" s="11">
        <v>43452</v>
      </c>
      <c r="B366" s="380">
        <f>'2022'!Maxi_hp</f>
        <v>25.724211482819697</v>
      </c>
      <c r="C366" s="13">
        <f>'2022'!An_max</f>
        <v>2021</v>
      </c>
      <c r="D366" s="1062">
        <f t="shared" si="135"/>
        <v>1.0465748032640063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3">
        <f t="shared" si="138"/>
        <v>0.42857142857142855</v>
      </c>
      <c r="J366" s="746">
        <f t="shared" si="139"/>
        <v>24.579429394432474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5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3">
        <f t="shared" si="143"/>
        <v>0.72413793103448276</v>
      </c>
      <c r="AT366" s="769">
        <f t="shared" si="144"/>
        <v>24.839560636929399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3">
        <f t="shared" si="148"/>
        <v>0.7857142857142857</v>
      </c>
      <c r="AY366" s="769">
        <f t="shared" si="149"/>
        <v>24.702775076617087</v>
      </c>
      <c r="AZ366" s="746">
        <f t="shared" si="153"/>
        <v>24.771167856773243</v>
      </c>
      <c r="BA366" s="643">
        <f t="shared" si="150"/>
        <v>1.0465748032640063</v>
      </c>
      <c r="BC366" s="11">
        <v>43452</v>
      </c>
      <c r="BD366" s="290">
        <f>[3]!FeuilCaduc*(1-Persistant)+Persistant</f>
        <v>0.61258433619096941</v>
      </c>
      <c r="BE366" s="291">
        <f>[3]!CroissVégét</f>
        <v>0.99994066526373915</v>
      </c>
      <c r="BF366" s="816">
        <f>1+[3]!Salcycl*Ksac</f>
        <v>1.0015730420238711</v>
      </c>
      <c r="BH366" s="1053">
        <f t="shared" si="151"/>
        <v>2.3603681803919308E-3</v>
      </c>
      <c r="BI366" s="11">
        <v>44548</v>
      </c>
      <c r="BJ366" s="726">
        <v>5.2529405963229795E-4</v>
      </c>
      <c r="BK366" s="726">
        <v>9.3927186511783814E-4</v>
      </c>
      <c r="BL366" s="726">
        <v>1.5059691729230043E-3</v>
      </c>
      <c r="BM366" s="726">
        <v>2.3626045892321426E-3</v>
      </c>
      <c r="BN366" s="726">
        <v>3.5764735217262093E-3</v>
      </c>
      <c r="BO366" s="727">
        <v>5.5738914670196245E-3</v>
      </c>
      <c r="BP366" s="726">
        <v>8.1150348582835381E-3</v>
      </c>
      <c r="BQ366" s="726">
        <v>1.1168418201888804E-2</v>
      </c>
      <c r="BR366" s="726">
        <v>1.4547495751728732E-2</v>
      </c>
      <c r="BS366" s="726">
        <v>1.8761555622872256E-2</v>
      </c>
      <c r="BT366" s="726">
        <v>2.3669735584658291E-2</v>
      </c>
      <c r="BW366" s="1186">
        <f>'2018'!R\Max</f>
        <v>0.53798085041123078</v>
      </c>
      <c r="BX366" s="1184">
        <f>'2019'!R\Max</f>
        <v>0.75888553720735008</v>
      </c>
      <c r="BY366" s="1184">
        <f>'2020'!R\Max</f>
        <v>0.39090695042596285</v>
      </c>
      <c r="BZ366" s="1184">
        <f>'2021'!R\Max</f>
        <v>1.0465748032640063</v>
      </c>
      <c r="CA366" s="1184">
        <f>'2022'!R\Max</f>
        <v>0.93841706005958236</v>
      </c>
      <c r="CB366" s="1184">
        <f>'2023'!R\Max</f>
        <v>0.93840529090837321</v>
      </c>
      <c r="CC366" s="1184">
        <f>'2024'!R\Max</f>
        <v>0.93839115783490235</v>
      </c>
      <c r="CD366" s="1184">
        <f>'2025'!R\Max</f>
        <v>0.93845318238865716</v>
      </c>
      <c r="CE366" s="1184">
        <f>'2026'!R\Max</f>
        <v>0.93844756529714735</v>
      </c>
      <c r="CF366" s="1185">
        <f>'2027'!R\Max</f>
        <v>0.93843852127534499</v>
      </c>
    </row>
    <row r="367" spans="1:84" s="6" customFormat="1" ht="11.25" x14ac:dyDescent="0.2">
      <c r="A367" s="11">
        <v>43453</v>
      </c>
      <c r="B367" s="380">
        <f>'2022'!Maxi_hp</f>
        <v>25.408167099175618</v>
      </c>
      <c r="C367" s="13">
        <f>'2022'!An_max</f>
        <v>2021</v>
      </c>
      <c r="D367" s="1062">
        <f t="shared" si="135"/>
        <v>1.0339131157568784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3">
        <f t="shared" si="138"/>
        <v>0.35714285714285715</v>
      </c>
      <c r="J367" s="746">
        <f t="shared" si="139"/>
        <v>24.574760404867785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5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3">
        <f t="shared" si="143"/>
        <v>0.68965517241379315</v>
      </c>
      <c r="AT367" s="769">
        <f t="shared" si="144"/>
        <v>24.864157825451475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3">
        <f t="shared" si="148"/>
        <v>0.8214285714285714</v>
      </c>
      <c r="AY367" s="769">
        <f t="shared" si="149"/>
        <v>24.675425849242934</v>
      </c>
      <c r="AZ367" s="746">
        <f t="shared" si="153"/>
        <v>24.769791837347206</v>
      </c>
      <c r="BA367" s="643">
        <f t="shared" si="150"/>
        <v>1.0339131157568784</v>
      </c>
      <c r="BC367" s="11">
        <v>43453</v>
      </c>
      <c r="BD367" s="290">
        <f>[3]!FeuilCaduc*(1-Persistant)+Persistant</f>
        <v>0.61167960854563364</v>
      </c>
      <c r="BE367" s="291">
        <f>[3]!CroissVégét</f>
        <v>0.99995638361167161</v>
      </c>
      <c r="BF367" s="816">
        <f>1+[3]!Salcycl*Ksac</f>
        <v>1.0014599510682043</v>
      </c>
      <c r="BH367" s="1053">
        <f t="shared" si="151"/>
        <v>2.3567501498768556E-3</v>
      </c>
      <c r="BI367" s="11">
        <v>44549</v>
      </c>
      <c r="BJ367" s="726">
        <v>5.265339312926356E-4</v>
      </c>
      <c r="BK367" s="726">
        <v>9.3797413190126763E-4</v>
      </c>
      <c r="BL367" s="726">
        <v>1.5031325370395807E-3</v>
      </c>
      <c r="BM367" s="726">
        <v>2.3589845133988418E-3</v>
      </c>
      <c r="BN367" s="726">
        <v>3.5725308086135398E-3</v>
      </c>
      <c r="BO367" s="727">
        <v>5.5719116761331856E-3</v>
      </c>
      <c r="BP367" s="726">
        <v>8.1150634730165292E-3</v>
      </c>
      <c r="BQ367" s="726">
        <v>1.1169974589007346E-2</v>
      </c>
      <c r="BR367" s="726">
        <v>1.4552540407480753E-2</v>
      </c>
      <c r="BS367" s="726">
        <v>1.8770323815068813E-2</v>
      </c>
      <c r="BT367" s="726">
        <v>2.3681346411392083E-2</v>
      </c>
      <c r="BW367" s="1186">
        <f>'2018'!R\Max</f>
        <v>0.95194357032253518</v>
      </c>
      <c r="BX367" s="1184">
        <f>'2019'!R\Max</f>
        <v>0.43636912728546695</v>
      </c>
      <c r="BY367" s="1184">
        <f>'2020'!R\Max</f>
        <v>0.41902065006203404</v>
      </c>
      <c r="BZ367" s="1184">
        <f>'2021'!R\Max</f>
        <v>1.0339131157568784</v>
      </c>
      <c r="CA367" s="1184">
        <f>'2022'!R\Max</f>
        <v>0.75952458043063475</v>
      </c>
      <c r="CB367" s="1184">
        <f>'2023'!R\Max</f>
        <v>0.75948740387446823</v>
      </c>
      <c r="CC367" s="1184">
        <f>'2024'!R\Max</f>
        <v>0.75944277647453096</v>
      </c>
      <c r="CD367" s="1184">
        <f>'2025'!R\Max</f>
        <v>0.75963869284693097</v>
      </c>
      <c r="CE367" s="1184">
        <f>'2026'!R\Max</f>
        <v>0.75962096391854939</v>
      </c>
      <c r="CF367" s="1185">
        <f>'2027'!R\Max</f>
        <v>0.75959238544585916</v>
      </c>
    </row>
    <row r="368" spans="1:84" s="6" customFormat="1" ht="11.25" x14ac:dyDescent="0.2">
      <c r="A368" s="11">
        <v>43454</v>
      </c>
      <c r="B368" s="380">
        <f>'2022'!Maxi_hp</f>
        <v>22.549218247197125</v>
      </c>
      <c r="C368" s="13">
        <f>'2022'!An_max</f>
        <v>2021</v>
      </c>
      <c r="D368" s="1062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3">
        <f t="shared" si="138"/>
        <v>0.2857142857142857</v>
      </c>
      <c r="J368" s="746">
        <f t="shared" si="139"/>
        <v>24.582743204917229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5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3">
        <f t="shared" si="143"/>
        <v>0.65517241379310343</v>
      </c>
      <c r="AT368" s="769">
        <f t="shared" si="144"/>
        <v>24.899032303793678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3">
        <f t="shared" si="148"/>
        <v>0.8571428571428571</v>
      </c>
      <c r="AY368" s="769">
        <f t="shared" si="149"/>
        <v>24.661239261499475</v>
      </c>
      <c r="AZ368" s="746">
        <f t="shared" si="153"/>
        <v>24.780135782646575</v>
      </c>
      <c r="BA368" s="643">
        <f t="shared" si="150"/>
        <v>0.91727835495131627</v>
      </c>
      <c r="BC368" s="11">
        <v>43454</v>
      </c>
      <c r="BD368" s="290">
        <f>[3]!FeuilCaduc*(1-Persistant)+Persistant</f>
        <v>0.61084378837758946</v>
      </c>
      <c r="BE368" s="291">
        <f>[3]!CroissVégét</f>
        <v>0.99997146955734828</v>
      </c>
      <c r="BF368" s="816">
        <f>1+[3]!Salcycl*Ksac</f>
        <v>1.0013554735471988</v>
      </c>
      <c r="BH368" s="1053">
        <f t="shared" si="151"/>
        <v>2.3545214623916515E-3</v>
      </c>
      <c r="BI368" s="11">
        <v>44550</v>
      </c>
      <c r="BJ368" s="726">
        <v>5.2740194223337155E-4</v>
      </c>
      <c r="BK368" s="726">
        <v>9.3718197460362224E-4</v>
      </c>
      <c r="BL368" s="726">
        <v>1.5013582544100583E-3</v>
      </c>
      <c r="BM368" s="726">
        <v>2.3567546364985899E-3</v>
      </c>
      <c r="BN368" s="726">
        <v>3.5701805964392891E-3</v>
      </c>
      <c r="BO368" s="727">
        <v>5.5710267676281813E-3</v>
      </c>
      <c r="BP368" s="726">
        <v>8.1157166928756339E-3</v>
      </c>
      <c r="BQ368" s="726">
        <v>1.1171885395167939E-2</v>
      </c>
      <c r="BR368" s="726">
        <v>1.4557041851751369E-2</v>
      </c>
      <c r="BS368" s="726">
        <v>1.8777638063249995E-2</v>
      </c>
      <c r="BT368" s="726">
        <v>2.3690940165108518E-2</v>
      </c>
      <c r="BW368" s="1186">
        <f>'2018'!R\Max</f>
        <v>0.56720833457158193</v>
      </c>
      <c r="BX368" s="1184">
        <f>'2019'!R\Max</f>
        <v>0.35146252419732715</v>
      </c>
      <c r="BY368" s="1184">
        <f>'2020'!R\Max</f>
        <v>0.36029421338886475</v>
      </c>
      <c r="BZ368" s="1184">
        <f>'2021'!R\Max</f>
        <v>0.91727835495131627</v>
      </c>
      <c r="CA368" s="1184">
        <f>'2022'!R\Max</f>
        <v>0.19954999253432781</v>
      </c>
      <c r="CB368" s="1184">
        <f>'2023'!R\Max</f>
        <v>0.19952158807204315</v>
      </c>
      <c r="CC368" s="1184">
        <f>'2024'!R\Max</f>
        <v>0.19948750433384044</v>
      </c>
      <c r="CD368" s="1184">
        <f>'2025'!R\Max</f>
        <v>0.19963720833387774</v>
      </c>
      <c r="CE368" s="1184">
        <f>'2026'!R\Max</f>
        <v>0.1996236637713075</v>
      </c>
      <c r="CF368" s="1185">
        <f>'2027'!R\Max</f>
        <v>0.19960181523323739</v>
      </c>
    </row>
    <row r="369" spans="1:84" s="6" customFormat="1" ht="11.25" x14ac:dyDescent="0.2">
      <c r="A369" s="11">
        <v>43455</v>
      </c>
      <c r="B369" s="380">
        <f>'2022'!Maxi_hp</f>
        <v>22.13532278533097</v>
      </c>
      <c r="C369" s="13">
        <f>'2022'!An_max</f>
        <v>2022</v>
      </c>
      <c r="D369" s="1062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3">
        <f t="shared" si="138"/>
        <v>0.21428571428571427</v>
      </c>
      <c r="J369" s="746">
        <f t="shared" si="139"/>
        <v>24.603638181622539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5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3">
        <f t="shared" si="143"/>
        <v>0.62068965517241381</v>
      </c>
      <c r="AT369" s="769">
        <f t="shared" si="144"/>
        <v>24.943948782569375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3">
        <f t="shared" si="148"/>
        <v>0.8928571428571429</v>
      </c>
      <c r="AY369" s="769">
        <f t="shared" si="149"/>
        <v>24.660729344215774</v>
      </c>
      <c r="AZ369" s="746">
        <f t="shared" si="153"/>
        <v>24.802339063392573</v>
      </c>
      <c r="BA369" s="643">
        <f t="shared" si="150"/>
        <v>0.89967681291398383</v>
      </c>
      <c r="BC369" s="11">
        <v>43455</v>
      </c>
      <c r="BD369" s="290">
        <f>[3]!FeuilCaduc*(1-Persistant)+Persistant</f>
        <v>0.61007201132608702</v>
      </c>
      <c r="BE369" s="291">
        <f>[3]!CroissVégét</f>
        <v>0.99998594852652212</v>
      </c>
      <c r="BF369" s="816">
        <f>1+[3]!Salcycl*Ksac</f>
        <v>1.001259001415761</v>
      </c>
      <c r="BH369" s="1053">
        <f t="shared" si="151"/>
        <v>2.3536875442928106E-3</v>
      </c>
      <c r="BI369" s="11">
        <v>44551</v>
      </c>
      <c r="BJ369" s="726">
        <v>5.2789903274427883E-4</v>
      </c>
      <c r="BK369" s="726">
        <v>9.3689753399601365E-4</v>
      </c>
      <c r="BL369" s="726">
        <v>1.5006498562280927E-3</v>
      </c>
      <c r="BM369" s="726">
        <v>2.3559203898485112E-3</v>
      </c>
      <c r="BN369" s="726">
        <v>3.5694309060875905E-3</v>
      </c>
      <c r="BO369" s="727">
        <v>5.5712486975184623E-3</v>
      </c>
      <c r="BP369" s="726">
        <v>8.1170115441058024E-3</v>
      </c>
      <c r="BQ369" s="726">
        <v>1.1174173854648105E-2</v>
      </c>
      <c r="BR369" s="726">
        <v>1.4561029954064766E-2</v>
      </c>
      <c r="BS369" s="726">
        <v>1.8783536593702702E-2</v>
      </c>
      <c r="BT369" s="726">
        <v>2.3698565000670916E-2</v>
      </c>
      <c r="BW369" s="1186">
        <f>'2018'!R\Max</f>
        <v>0.35335102395049328</v>
      </c>
      <c r="BX369" s="1184">
        <f>'2019'!R\Max</f>
        <v>0.83373367026199396</v>
      </c>
      <c r="BY369" s="1184">
        <f>'2020'!R\Max</f>
        <v>0.30646031804375329</v>
      </c>
      <c r="BZ369" s="1184">
        <f>'2021'!R\Max</f>
        <v>0.72487217494121725</v>
      </c>
      <c r="CA369" s="1184">
        <f>'2022'!R\Max</f>
        <v>0.89967681291398383</v>
      </c>
      <c r="CB369" s="1184">
        <f>'2023'!R\Max</f>
        <v>0.89965849191832714</v>
      </c>
      <c r="CC369" s="1184">
        <f>'2024'!R\Max</f>
        <v>0.89963650393601102</v>
      </c>
      <c r="CD369" s="1184">
        <f>'2025'!R\Max</f>
        <v>0.8997330383383868</v>
      </c>
      <c r="CE369" s="1184">
        <f>'2026'!R\Max</f>
        <v>0.8997243121943318</v>
      </c>
      <c r="CF369" s="1185">
        <f>'2027'!R\Max</f>
        <v>0.89971022830634018</v>
      </c>
    </row>
    <row r="370" spans="1:84" s="6" customFormat="1" ht="11.25" x14ac:dyDescent="0.2">
      <c r="A370" s="11">
        <v>43456</v>
      </c>
      <c r="B370" s="380">
        <f>'2022'!Maxi_hp</f>
        <v>25.041754314682116</v>
      </c>
      <c r="C370" s="13">
        <f>'2022'!An_max</f>
        <v>2021</v>
      </c>
      <c r="D370" s="1062">
        <f t="shared" si="135"/>
        <v>1.0163996030432845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3">
        <f t="shared" si="138"/>
        <v>0.14285714285714285</v>
      </c>
      <c r="J370" s="746">
        <f t="shared" si="139"/>
        <v>24.637705720961094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5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3">
        <f t="shared" si="143"/>
        <v>0.58620689655172409</v>
      </c>
      <c r="AT370" s="769">
        <f t="shared" si="144"/>
        <v>24.998671974550035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3">
        <f t="shared" si="148"/>
        <v>0.9285714285714286</v>
      </c>
      <c r="AY370" s="769">
        <f t="shared" si="149"/>
        <v>24.674410141525524</v>
      </c>
      <c r="AZ370" s="746">
        <f t="shared" si="153"/>
        <v>24.836541058037781</v>
      </c>
      <c r="BA370" s="643">
        <f t="shared" si="150"/>
        <v>1.0163996030432845</v>
      </c>
      <c r="BC370" s="11">
        <v>43456</v>
      </c>
      <c r="BD370" s="290">
        <f>[3]!FeuilCaduc*(1-Persistant)+Persistant</f>
        <v>0.60935953277953325</v>
      </c>
      <c r="BE370" s="291">
        <f>[3]!CroissVégét</f>
        <v>0.99999984492411664</v>
      </c>
      <c r="BF370" s="816">
        <f>1+[3]!Salcycl*Ksac</f>
        <v>1.0011699415974418</v>
      </c>
      <c r="BH370" s="1053">
        <f t="shared" si="151"/>
        <v>2.3542540209650362E-3</v>
      </c>
      <c r="BI370" s="11">
        <v>44552</v>
      </c>
      <c r="BJ370" s="728">
        <v>5.2802608549946104E-4</v>
      </c>
      <c r="BK370" s="728">
        <v>9.3712302297332614E-4</v>
      </c>
      <c r="BL370" s="728">
        <v>1.5010110269955532E-3</v>
      </c>
      <c r="BM370" s="728">
        <v>2.3564874039136135E-3</v>
      </c>
      <c r="BN370" s="728">
        <v>3.5702899833029689E-3</v>
      </c>
      <c r="BO370" s="729">
        <v>5.5725895647163919E-3</v>
      </c>
      <c r="BP370" s="728">
        <v>8.1189651159378328E-3</v>
      </c>
      <c r="BQ370" s="728">
        <v>1.1176863212815212E-2</v>
      </c>
      <c r="BR370" s="728">
        <v>1.4564534448028956E-2</v>
      </c>
      <c r="BS370" s="728">
        <v>1.8788057344695346E-2</v>
      </c>
      <c r="BT370" s="728">
        <v>2.370426868222825E-2</v>
      </c>
      <c r="BW370" s="1186">
        <f>'2018'!R\Max</f>
        <v>0.25461315622268699</v>
      </c>
      <c r="BX370" s="1184">
        <f>'2019'!R\Max</f>
        <v>0.31367930761301699</v>
      </c>
      <c r="BY370" s="1184">
        <f>'2020'!R\Max</f>
        <v>0.33866729028065956</v>
      </c>
      <c r="BZ370" s="1184">
        <f>'2021'!R\Max</f>
        <v>1.0163996030432845</v>
      </c>
      <c r="CA370" s="1184">
        <f>'2022'!R\Max</f>
        <v>0.74247012094357878</v>
      </c>
      <c r="CB370" s="1184">
        <f>'2023'!R\Max</f>
        <v>0.74243139966563498</v>
      </c>
      <c r="CC370" s="1184">
        <f>'2024'!R\Max</f>
        <v>0.74238493141620443</v>
      </c>
      <c r="CD370" s="1184">
        <f>'2025'!R\Max</f>
        <v>0.74258896874134095</v>
      </c>
      <c r="CE370" s="1184">
        <f>'2026'!R\Max</f>
        <v>0.74257052215917096</v>
      </c>
      <c r="CF370" s="1185">
        <f>'2027'!R\Max</f>
        <v>0.74254075062898894</v>
      </c>
    </row>
    <row r="371" spans="1:84" s="6" customFormat="1" ht="11.25" x14ac:dyDescent="0.2">
      <c r="A371" s="11">
        <v>43457</v>
      </c>
      <c r="B371" s="380">
        <f>'2022'!Maxi_hp</f>
        <v>19.829576058520093</v>
      </c>
      <c r="C371" s="13">
        <f>'2022'!An_max</f>
        <v>2020</v>
      </c>
      <c r="D371" s="1062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3">
        <f t="shared" si="138"/>
        <v>7.1428571428571425E-2</v>
      </c>
      <c r="J371" s="746">
        <f t="shared" si="139"/>
        <v>24.68520619709577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5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3">
        <f t="shared" si="143"/>
        <v>0.55172413793103448</v>
      </c>
      <c r="AT371" s="769">
        <f t="shared" si="144"/>
        <v>25.062966593329246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3">
        <f t="shared" si="148"/>
        <v>0.9642857142857143</v>
      </c>
      <c r="AY371" s="769">
        <f t="shared" si="149"/>
        <v>24.702795680931636</v>
      </c>
      <c r="AZ371" s="746">
        <f t="shared" si="153"/>
        <v>24.88288113713044</v>
      </c>
      <c r="BA371" s="643">
        <f t="shared" si="150"/>
        <v>0.80329797127046298</v>
      </c>
      <c r="BC371" s="11">
        <v>43457</v>
      </c>
      <c r="BD371" s="290">
        <f>[3]!FeuilCaduc*(1-Persistant)+Persistant</f>
        <v>0.60870175121632608</v>
      </c>
      <c r="BE371" s="291">
        <f>[3]!CroissVégét</f>
        <v>0.99999984492411664</v>
      </c>
      <c r="BF371" s="816">
        <f>1+[3]!Salcycl*Ksac</f>
        <v>1.0010877189020408</v>
      </c>
      <c r="BH371" s="1053">
        <f t="shared" si="151"/>
        <v>2.356228372776558E-3</v>
      </c>
      <c r="BI371" s="11">
        <v>44553</v>
      </c>
      <c r="BJ371" s="726">
        <v>5.2778428228276032E-4</v>
      </c>
      <c r="BK371" s="726">
        <v>9.3786138469630922E-4</v>
      </c>
      <c r="BL371" s="726">
        <v>1.5024466641089505E-3</v>
      </c>
      <c r="BM371" s="726">
        <v>2.3584631658231134E-3</v>
      </c>
      <c r="BN371" s="726">
        <v>3.5727687989396228E-3</v>
      </c>
      <c r="BO371" s="727">
        <v>5.57506548360344E-3</v>
      </c>
      <c r="BP371" s="726">
        <v>8.1216001818670471E-3</v>
      </c>
      <c r="BQ371" s="726">
        <v>1.1179984453725943E-2</v>
      </c>
      <c r="BR371" s="726">
        <v>1.456759497955553E-2</v>
      </c>
      <c r="BS371" s="726">
        <v>1.8791250912368645E-2</v>
      </c>
      <c r="BT371" s="726">
        <v>2.3708114912691799E-2</v>
      </c>
      <c r="BW371" s="1186">
        <f>'2018'!R\Max</f>
        <v>0.20659865471362232</v>
      </c>
      <c r="BX371" s="1184">
        <f>'2019'!R\Max</f>
        <v>0.29123292479426766</v>
      </c>
      <c r="BY371" s="1184">
        <f>'2020'!R\Max</f>
        <v>0.80329797127046298</v>
      </c>
      <c r="BZ371" s="1184">
        <f>'2021'!R\Max</f>
        <v>0.23795577158187273</v>
      </c>
      <c r="CA371" s="1184">
        <f>'2022'!R\Max</f>
        <v>0.76534937107950507</v>
      </c>
      <c r="CB371" s="1184">
        <f>'2023'!R\Max</f>
        <v>0.76531310942186637</v>
      </c>
      <c r="CC371" s="1184">
        <f>'2024'!R\Max</f>
        <v>0.76526958829136893</v>
      </c>
      <c r="CD371" s="1184">
        <f>'2025'!R\Max</f>
        <v>0.76546067032551635</v>
      </c>
      <c r="CE371" s="1184">
        <f>'2026'!R\Max</f>
        <v>0.76544338991361316</v>
      </c>
      <c r="CF371" s="1185">
        <f>'2027'!R\Max</f>
        <v>0.76541551154902066</v>
      </c>
    </row>
    <row r="372" spans="1:84" s="6" customFormat="1" ht="11.25" x14ac:dyDescent="0.2">
      <c r="A372" s="11">
        <v>43458</v>
      </c>
      <c r="B372" s="380">
        <f>'2022'!Maxi_hp</f>
        <v>22.708821562297572</v>
      </c>
      <c r="C372" s="13">
        <f>'2022'!An_max</f>
        <v>2022</v>
      </c>
      <c r="D372" s="1062" t="str">
        <f t="shared" si="135"/>
        <v/>
      </c>
      <c r="E372" s="1057">
        <f>AM$13/10</f>
        <v>24.746400000000001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3">
        <f t="shared" si="138"/>
        <v>0</v>
      </c>
      <c r="J372" s="746">
        <f t="shared" si="139"/>
        <v>24.746399998664856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5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3">
        <f t="shared" si="143"/>
        <v>0.51724137931034486</v>
      </c>
      <c r="AT372" s="769">
        <f t="shared" si="144"/>
        <v>25.136597353065838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3">
        <f t="shared" si="148"/>
        <v>1</v>
      </c>
      <c r="AY372" s="769">
        <f t="shared" si="149"/>
        <v>24.746399998664856</v>
      </c>
      <c r="AZ372" s="746">
        <f t="shared" si="153"/>
        <v>24.941498675865347</v>
      </c>
      <c r="BA372" s="643">
        <f t="shared" si="150"/>
        <v>0.9176616220348327</v>
      </c>
      <c r="BC372" s="11">
        <v>43458</v>
      </c>
      <c r="BD372" s="290">
        <f>[3]!FeuilCaduc*(1-Persistant)+Persistant</f>
        <v>0.60809422952685477</v>
      </c>
      <c r="BE372" s="291">
        <f>[3]!CroissVégét</f>
        <v>0.99999984492411664</v>
      </c>
      <c r="BF372" s="816">
        <f>1+[3]!Salcycl*Ksac</f>
        <v>1.0010117786908568</v>
      </c>
      <c r="BH372" s="1053">
        <f t="shared" si="151"/>
        <v>2.3596114551156502E-3</v>
      </c>
      <c r="BI372" s="11">
        <v>44554</v>
      </c>
      <c r="BJ372" s="726">
        <v>5.2717319052683555E-4</v>
      </c>
      <c r="BK372" s="726">
        <v>9.391129162979097E-4</v>
      </c>
      <c r="BL372" s="726">
        <v>1.5049574742324607E-3</v>
      </c>
      <c r="BM372" s="726">
        <v>2.3618485313545746E-3</v>
      </c>
      <c r="BN372" s="726">
        <v>3.5768681801923549E-3</v>
      </c>
      <c r="BO372" s="727">
        <v>5.5786764747139178E-3</v>
      </c>
      <c r="BP372" s="726">
        <v>8.1249158850890228E-3</v>
      </c>
      <c r="BQ372" s="726">
        <v>1.1183535936106612E-2</v>
      </c>
      <c r="BR372" s="726">
        <v>1.4570208491688949E-2</v>
      </c>
      <c r="BS372" s="726">
        <v>1.8793112665159161E-2</v>
      </c>
      <c r="BT372" s="726">
        <v>2.3710097681675094E-2</v>
      </c>
      <c r="BW372" s="1186">
        <f>'2018'!R\Max</f>
        <v>0.21616405905965802</v>
      </c>
      <c r="BX372" s="1184">
        <f>'2019'!R\Max</f>
        <v>0.61831369753360521</v>
      </c>
      <c r="BY372" s="1184">
        <f>'2020'!R\Max</f>
        <v>0.40251979244669406</v>
      </c>
      <c r="BZ372" s="1184">
        <f>'2021'!R\Max</f>
        <v>0.56253178634340339</v>
      </c>
      <c r="CA372" s="1184">
        <f>'2022'!R\Max</f>
        <v>0.9176616220348327</v>
      </c>
      <c r="CB372" s="1184">
        <f>'2023'!R\Max</f>
        <v>0.91764641990236406</v>
      </c>
      <c r="CC372" s="1184">
        <f>'2024'!R\Max</f>
        <v>0.91762816962467575</v>
      </c>
      <c r="CD372" s="1184">
        <f>'2025'!R\Max</f>
        <v>0.91770827907181274</v>
      </c>
      <c r="CE372" s="1184">
        <f>'2026'!R\Max</f>
        <v>0.91770103089262822</v>
      </c>
      <c r="CF372" s="1185">
        <f>'2027'!R\Max</f>
        <v>0.9176893464053788</v>
      </c>
    </row>
    <row r="373" spans="1:84" s="6" customFormat="1" ht="11.25" x14ac:dyDescent="0.2">
      <c r="A373" s="11">
        <v>43459</v>
      </c>
      <c r="B373" s="380">
        <f>'2022'!Maxi_hp</f>
        <v>16.332134440633631</v>
      </c>
      <c r="C373" s="13">
        <f>'2022'!An_max</f>
        <v>2018</v>
      </c>
      <c r="D373" s="1062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3">
        <f t="shared" si="138"/>
        <v>6.6666666666666666E-2</v>
      </c>
      <c r="J373" s="746">
        <f t="shared" si="139"/>
        <v>24.823756014655032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5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3">
        <f t="shared" si="143"/>
        <v>0.48275862068965519</v>
      </c>
      <c r="AT373" s="769">
        <f t="shared" si="144"/>
        <v>25.219328962420594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3">
        <f t="shared" si="148"/>
        <v>0.96551724137931039</v>
      </c>
      <c r="AY373" s="769">
        <f t="shared" si="149"/>
        <v>24.806325413029771</v>
      </c>
      <c r="AZ373" s="746">
        <f t="shared" si="153"/>
        <v>25.012827187725183</v>
      </c>
      <c r="BA373" s="643">
        <f t="shared" si="150"/>
        <v>0.657923580581107</v>
      </c>
      <c r="BC373" s="11">
        <v>43459</v>
      </c>
      <c r="BD373" s="290">
        <f>[3]!FeuilCaduc*(1-Persistant)+Persistant</f>
        <v>0.60753271419984134</v>
      </c>
      <c r="BE373" s="291">
        <f>[3]!CroissVégét</f>
        <v>0.99999984492411664</v>
      </c>
      <c r="BF373" s="816">
        <f>1+[3]!Salcycl*Ksac</f>
        <v>1.0009415892749802</v>
      </c>
      <c r="BH373" s="1053">
        <f t="shared" si="151"/>
        <v>2.3643986816546986E-3</v>
      </c>
      <c r="BI373" s="11">
        <v>44555</v>
      </c>
      <c r="BJ373" s="726">
        <v>5.2619103764965159E-4</v>
      </c>
      <c r="BK373" s="726">
        <v>9.4087574050892694E-4</v>
      </c>
      <c r="BL373" s="726">
        <v>1.5085407254051884E-3</v>
      </c>
      <c r="BM373" s="726">
        <v>2.3666389093265358E-3</v>
      </c>
      <c r="BN373" s="726">
        <v>3.5825806117833112E-3</v>
      </c>
      <c r="BO373" s="727">
        <v>5.5834092942734304E-3</v>
      </c>
      <c r="BP373" s="726">
        <v>8.1288918736913129E-3</v>
      </c>
      <c r="BQ373" s="726">
        <v>1.1187489092625159E-2</v>
      </c>
      <c r="BR373" s="726">
        <v>1.4572336664466215E-2</v>
      </c>
      <c r="BS373" s="726">
        <v>1.8793592350980035E-2</v>
      </c>
      <c r="BT373" s="726">
        <v>2.3710153388946557E-2</v>
      </c>
      <c r="BW373" s="1186">
        <f>'2018'!R\Max</f>
        <v>0.657923580581107</v>
      </c>
      <c r="BX373" s="1184">
        <f>'2019'!R\Max</f>
        <v>0.55148316736885417</v>
      </c>
      <c r="BY373" s="1184">
        <f>'2020'!R\Max</f>
        <v>0.44115668831959931</v>
      </c>
      <c r="BZ373" s="1184">
        <f>'2021'!R\Max</f>
        <v>0.42137804118852512</v>
      </c>
      <c r="CA373" s="1184">
        <f>'2022'!R\Max</f>
        <v>0.5442012593537312</v>
      </c>
      <c r="CB373" s="1184">
        <f>'2023'!R\Max</f>
        <v>0.54415157344002252</v>
      </c>
      <c r="CC373" s="1184">
        <f>'2024'!R\Max</f>
        <v>0.54409191779250776</v>
      </c>
      <c r="CD373" s="1184">
        <f>'2025'!R\Max</f>
        <v>0.54435380913273934</v>
      </c>
      <c r="CE373" s="1184">
        <f>'2026'!R\Max</f>
        <v>0.54433008260079896</v>
      </c>
      <c r="CF373" s="1185">
        <f>'2027'!R\Max</f>
        <v>0.54429188370690063</v>
      </c>
    </row>
    <row r="374" spans="1:84" s="6" customFormat="1" ht="11.25" x14ac:dyDescent="0.2">
      <c r="A374" s="11">
        <v>43460</v>
      </c>
      <c r="B374" s="380">
        <f>'2022'!Maxi_hp</f>
        <v>24.2954595694269</v>
      </c>
      <c r="C374" s="13">
        <f>'2022'!An_max</f>
        <v>2018</v>
      </c>
      <c r="D374" s="1062">
        <f t="shared" si="135"/>
        <v>0.97498699084385443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3">
        <f t="shared" si="138"/>
        <v>0.13333333333333333</v>
      </c>
      <c r="J374" s="746">
        <f t="shared" si="139"/>
        <v>24.918752555251121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5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3">
        <f t="shared" si="143"/>
        <v>0.44827586206896552</v>
      </c>
      <c r="AT374" s="769">
        <f t="shared" si="144"/>
        <v>25.310926136991075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3">
        <f t="shared" si="148"/>
        <v>0.93103448275862066</v>
      </c>
      <c r="AY374" s="769">
        <f t="shared" si="149"/>
        <v>24.882892580535906</v>
      </c>
      <c r="AZ374" s="746">
        <f t="shared" si="153"/>
        <v>25.09690935876349</v>
      </c>
      <c r="BA374" s="643">
        <f t="shared" si="150"/>
        <v>0.97498699084385443</v>
      </c>
      <c r="BC374" s="11">
        <v>43460</v>
      </c>
      <c r="BD374" s="290">
        <f>[3]!FeuilCaduc*(1-Persistant)+Persistant</f>
        <v>0.60701315227700314</v>
      </c>
      <c r="BE374" s="291">
        <f>[3]!CroissVégét</f>
        <v>0.99999984492411664</v>
      </c>
      <c r="BF374" s="816">
        <f>1+[3]!Salcycl*Ksac</f>
        <v>1.0008766440346255</v>
      </c>
      <c r="BH374" s="1053">
        <f t="shared" si="151"/>
        <v>2.3705856645645567E-3</v>
      </c>
      <c r="BI374" s="11">
        <v>44556</v>
      </c>
      <c r="BJ374" s="726">
        <v>5.2483599361986464E-4</v>
      </c>
      <c r="BK374" s="726">
        <v>9.4314805199287115E-4</v>
      </c>
      <c r="BL374" s="726">
        <v>1.5131938385630503E-3</v>
      </c>
      <c r="BM374" s="726">
        <v>2.3728299071753664E-3</v>
      </c>
      <c r="BN374" s="726">
        <v>3.5898988027063239E-3</v>
      </c>
      <c r="BO374" s="727">
        <v>5.5892508410675286E-3</v>
      </c>
      <c r="BP374" s="726">
        <v>8.1335078586589893E-3</v>
      </c>
      <c r="BQ374" s="726">
        <v>1.1191815367128658E-2</v>
      </c>
      <c r="BR374" s="726">
        <v>1.4573941042543883E-2</v>
      </c>
      <c r="BS374" s="726">
        <v>1.879263943073127E-2</v>
      </c>
      <c r="BT374" s="726">
        <v>2.3708218044904861E-2</v>
      </c>
      <c r="BW374" s="1186">
        <f>'2018'!R\Max</f>
        <v>0.97498699084385443</v>
      </c>
      <c r="BX374" s="1184">
        <f>'2019'!R\Max</f>
        <v>0.44628740456888288</v>
      </c>
      <c r="BY374" s="1184">
        <f>'2020'!R\Max</f>
        <v>0.17803721313735385</v>
      </c>
      <c r="BZ374" s="1184">
        <f>'2021'!R\Max</f>
        <v>0.47695452711923936</v>
      </c>
      <c r="CA374" s="1184">
        <f>'2022'!R\Max</f>
        <v>0.92413877661159305</v>
      </c>
      <c r="CB374" s="1184">
        <f>'2023'!R\Max</f>
        <v>0.92412480487757565</v>
      </c>
      <c r="CC374" s="1184">
        <f>'2024'!R\Max</f>
        <v>0.9241080203924511</v>
      </c>
      <c r="CD374" s="1184">
        <f>'2025'!R\Max</f>
        <v>0.9241816648882526</v>
      </c>
      <c r="CE374" s="1184">
        <f>'2026'!R\Max</f>
        <v>0.92417498691758337</v>
      </c>
      <c r="CF374" s="1185">
        <f>'2027'!R\Max</f>
        <v>0.92416425187764661</v>
      </c>
    </row>
    <row r="375" spans="1:84" s="6" customFormat="1" ht="11.25" x14ac:dyDescent="0.2">
      <c r="A375" s="11">
        <v>43461</v>
      </c>
      <c r="B375" s="380">
        <f>'2022'!Maxi_hp</f>
        <v>24.678488393426758</v>
      </c>
      <c r="C375" s="13">
        <f>'2022'!An_max</f>
        <v>2018</v>
      </c>
      <c r="D375" s="1062">
        <f t="shared" si="135"/>
        <v>0.98594992262927295</v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3">
        <f t="shared" si="138"/>
        <v>0.2</v>
      </c>
      <c r="J375" s="746">
        <f t="shared" si="139"/>
        <v>25.030164136141543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5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3">
        <f t="shared" si="143"/>
        <v>0.41379310344827586</v>
      </c>
      <c r="AT375" s="769">
        <f t="shared" si="144"/>
        <v>25.411153588880758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3">
        <f t="shared" si="148"/>
        <v>0.89655172413793105</v>
      </c>
      <c r="AY375" s="769">
        <f t="shared" si="149"/>
        <v>24.975443050676382</v>
      </c>
      <c r="AZ375" s="746">
        <f t="shared" si="153"/>
        <v>25.19329831977857</v>
      </c>
      <c r="BA375" s="643">
        <f t="shared" si="150"/>
        <v>0.98594992262927295</v>
      </c>
      <c r="BC375" s="11">
        <v>43461</v>
      </c>
      <c r="BD375" s="290">
        <f>[3]!FeuilCaduc*(1-Persistant)+Persistant</f>
        <v>0.60653170600139006</v>
      </c>
      <c r="BE375" s="291">
        <f>[3]!CroissVégét</f>
        <v>0.99999984492411664</v>
      </c>
      <c r="BF375" s="816">
        <f>1+[3]!Salcycl*Ksac</f>
        <v>1.0008164632501737</v>
      </c>
      <c r="BH375" s="1053">
        <f t="shared" si="151"/>
        <v>2.3776101465868742E-3</v>
      </c>
      <c r="BI375" s="11">
        <v>44557</v>
      </c>
      <c r="BJ375" s="726">
        <v>5.2343594131694512E-4</v>
      </c>
      <c r="BK375" s="726">
        <v>9.4536719285762919E-4</v>
      </c>
      <c r="BL375" s="726">
        <v>1.5181149106637387E-3</v>
      </c>
      <c r="BM375" s="726">
        <v>2.3798598949210078E-3</v>
      </c>
      <c r="BN375" s="726">
        <v>3.5987970896538901E-3</v>
      </c>
      <c r="BO375" s="727">
        <v>5.5970406915244368E-3</v>
      </c>
      <c r="BP375" s="726">
        <v>8.1400180993009639E-3</v>
      </c>
      <c r="BQ375" s="726">
        <v>1.1197298897977008E-2</v>
      </c>
      <c r="BR375" s="726">
        <v>1.4575009480429295E-2</v>
      </c>
      <c r="BS375" s="726">
        <v>1.8789519539490485E-2</v>
      </c>
      <c r="BT375" s="726">
        <v>2.3703318964356374E-2</v>
      </c>
      <c r="BW375" s="1186">
        <f>'2018'!R\Max</f>
        <v>0.98594992262927295</v>
      </c>
      <c r="BX375" s="1184">
        <f>'2019'!R\Max</f>
        <v>0.87786076968465243</v>
      </c>
      <c r="BY375" s="1184">
        <f>'2020'!R\Max</f>
        <v>0.6623368541467175</v>
      </c>
      <c r="BZ375" s="1184">
        <f>'2021'!R\Max</f>
        <v>0.4417057187576412</v>
      </c>
      <c r="CA375" s="1184">
        <f>'2022'!R\Max</f>
        <v>0.33145169975332245</v>
      </c>
      <c r="CB375" s="1184">
        <f>'2023'!R\Max</f>
        <v>0.3314077967840669</v>
      </c>
      <c r="CC375" s="1184">
        <f>'2024'!R\Max</f>
        <v>0.33135506032023054</v>
      </c>
      <c r="CD375" s="1184">
        <f>'2025'!R\Max</f>
        <v>0.33158657278305609</v>
      </c>
      <c r="CE375" s="1184">
        <f>'2026'!R\Max</f>
        <v>0.33156552944655293</v>
      </c>
      <c r="CF375" s="1185">
        <f>'2027'!R\Max</f>
        <v>0.3315317747689695</v>
      </c>
    </row>
    <row r="376" spans="1:84" s="6" customFormat="1" ht="11.25" x14ac:dyDescent="0.2">
      <c r="A376" s="11">
        <v>43462</v>
      </c>
      <c r="B376" s="380">
        <f>'2022'!Maxi_hp</f>
        <v>22.122809606273847</v>
      </c>
      <c r="C376" s="13">
        <f>'2022'!An_max</f>
        <v>2022</v>
      </c>
      <c r="D376" s="1062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3">
        <f t="shared" si="138"/>
        <v>0.26666666666666666</v>
      </c>
      <c r="J376" s="746">
        <f t="shared" si="139"/>
        <v>25.156765276690326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5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3">
        <f t="shared" si="143"/>
        <v>0.37931034482758619</v>
      </c>
      <c r="AT376" s="769">
        <f t="shared" si="144"/>
        <v>25.519776030295883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3">
        <f t="shared" si="148"/>
        <v>0.86206896551724133</v>
      </c>
      <c r="AY376" s="769">
        <f t="shared" si="149"/>
        <v>25.083318367960125</v>
      </c>
      <c r="AZ376" s="746">
        <f t="shared" si="153"/>
        <v>25.301547199128002</v>
      </c>
      <c r="BA376" s="643">
        <f t="shared" si="150"/>
        <v>0.87939802128584188</v>
      </c>
      <c r="BC376" s="11">
        <v>43462</v>
      </c>
      <c r="BD376" s="290">
        <f>[3]!FeuilCaduc*(1-Persistant)+Persistant</f>
        <v>0.60608476510646603</v>
      </c>
      <c r="BE376" s="291">
        <f>[3]!CroissVégét</f>
        <v>0.99999984492411664</v>
      </c>
      <c r="BF376" s="816">
        <f>1+[3]!Salcycl*Ksac</f>
        <v>1.0007605956383083</v>
      </c>
      <c r="BH376" s="1053">
        <f t="shared" si="151"/>
        <v>2.3847996851767621E-3</v>
      </c>
      <c r="BI376" s="11">
        <v>44558</v>
      </c>
      <c r="BJ376" s="726">
        <v>5.2218253858059835E-4</v>
      </c>
      <c r="BK376" s="726">
        <v>9.4728882560230919E-4</v>
      </c>
      <c r="BL376" s="726">
        <v>1.5227863503168367E-3</v>
      </c>
      <c r="BM376" s="726">
        <v>2.3870560246921509E-3</v>
      </c>
      <c r="BN376" s="726">
        <v>3.6085140802376253E-3</v>
      </c>
      <c r="BO376" s="727">
        <v>5.6062872676561522E-3</v>
      </c>
      <c r="BP376" s="726">
        <v>8.1481919916032639E-3</v>
      </c>
      <c r="BQ376" s="726">
        <v>1.1203873942414982E-2</v>
      </c>
      <c r="BR376" s="726">
        <v>1.4575957862063295E-2</v>
      </c>
      <c r="BS376" s="726">
        <v>1.8785145104622644E-2</v>
      </c>
      <c r="BT376" s="726">
        <v>2.3696698661711094E-2</v>
      </c>
      <c r="BW376" s="1186">
        <f>'2018'!R\Max</f>
        <v>0.13798945814240277</v>
      </c>
      <c r="BX376" s="1184">
        <f>'2019'!R\Max</f>
        <v>0.17430702127053643</v>
      </c>
      <c r="BY376" s="1184">
        <f>'2020'!R\Max</f>
        <v>0.26803155908732157</v>
      </c>
      <c r="BZ376" s="1184">
        <f>'2021'!R\Max</f>
        <v>0.23800388276508697</v>
      </c>
      <c r="CA376" s="1184">
        <f>'2022'!R\Max</f>
        <v>0.87939802128584188</v>
      </c>
      <c r="CB376" s="1184">
        <f>'2023'!R\Max</f>
        <v>0.87937713638202109</v>
      </c>
      <c r="CC376" s="1184">
        <f>'2024'!R\Max</f>
        <v>0.87935204590340543</v>
      </c>
      <c r="CD376" s="1184">
        <f>'2025'!R\Max</f>
        <v>0.87946218542806331</v>
      </c>
      <c r="CE376" s="1184">
        <f>'2026'!R\Max</f>
        <v>0.87945215726435044</v>
      </c>
      <c r="CF376" s="1185">
        <f>'2027'!R\Max</f>
        <v>0.8794361050759324</v>
      </c>
    </row>
    <row r="377" spans="1:84" s="6" customFormat="1" ht="11.25" x14ac:dyDescent="0.2">
      <c r="A377" s="11">
        <v>43463</v>
      </c>
      <c r="B377" s="380">
        <f>'2022'!Maxi_hp</f>
        <v>24.70046719987749</v>
      </c>
      <c r="C377" s="13">
        <f>'2022'!An_max</f>
        <v>2019</v>
      </c>
      <c r="D377" s="1062">
        <f t="shared" si="135"/>
        <v>0.97640607626636655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3">
        <f t="shared" si="138"/>
        <v>0.33333333333333331</v>
      </c>
      <c r="J377" s="746">
        <f t="shared" si="139"/>
        <v>25.297330486029388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5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3">
        <f t="shared" si="143"/>
        <v>0.34482758620689657</v>
      </c>
      <c r="AT377" s="769">
        <f t="shared" si="144"/>
        <v>25.636558173494091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3">
        <f t="shared" si="148"/>
        <v>0.82758620689655171</v>
      </c>
      <c r="AY377" s="769">
        <f t="shared" si="149"/>
        <v>25.205860074095686</v>
      </c>
      <c r="AZ377" s="746">
        <f t="shared" si="153"/>
        <v>25.421209123794888</v>
      </c>
      <c r="BA377" s="643">
        <f t="shared" si="150"/>
        <v>0.97640607626636655</v>
      </c>
      <c r="BC377" s="11">
        <v>43463</v>
      </c>
      <c r="BD377" s="290">
        <f>[3]!FeuilCaduc*(1-Persistant)+Persistant</f>
        <v>0.60566895671486809</v>
      </c>
      <c r="BE377" s="291">
        <f>[3]!CroissVégét</f>
        <v>0.99999984492411664</v>
      </c>
      <c r="BF377" s="816">
        <f>1+[3]!Salcycl*Ksac</f>
        <v>1.0007086195893584</v>
      </c>
      <c r="BH377" s="1053">
        <f t="shared" si="151"/>
        <v>2.3921486955718568E-3</v>
      </c>
      <c r="BI377" s="11">
        <v>44559</v>
      </c>
      <c r="BJ377" s="726">
        <v>5.2107452493156865E-4</v>
      </c>
      <c r="BK377" s="726">
        <v>9.4891023540601583E-4</v>
      </c>
      <c r="BL377" s="726">
        <v>1.5272041662810587E-3</v>
      </c>
      <c r="BM377" s="726">
        <v>2.3944127075553549E-3</v>
      </c>
      <c r="BN377" s="726">
        <v>3.6190419427015513E-3</v>
      </c>
      <c r="BO377" s="727">
        <v>5.6169782708619786E-3</v>
      </c>
      <c r="BP377" s="726">
        <v>8.1580107920499953E-3</v>
      </c>
      <c r="BQ377" s="726">
        <v>1.1211512996239952E-2</v>
      </c>
      <c r="BR377" s="726">
        <v>1.4576748078413783E-2</v>
      </c>
      <c r="BS377" s="726">
        <v>1.877946534049443E-2</v>
      </c>
      <c r="BT377" s="726">
        <v>2.3688292838146534E-2</v>
      </c>
      <c r="BW377" s="1186">
        <f>'2018'!R\Max</f>
        <v>0.18778620072341179</v>
      </c>
      <c r="BX377" s="1184">
        <f>'2019'!R\Max</f>
        <v>0.97640607626636655</v>
      </c>
      <c r="BY377" s="1184">
        <f>'2020'!R\Max</f>
        <v>0.30903852574702301</v>
      </c>
      <c r="BZ377" s="1184">
        <f>'2021'!R\Max</f>
        <v>0.18020617999163271</v>
      </c>
      <c r="CA377" s="1184">
        <f>'2022'!R\Max</f>
        <v>0.42979212415456214</v>
      </c>
      <c r="CB377" s="1184">
        <f>'2023'!R\Max</f>
        <v>0.42974418636179074</v>
      </c>
      <c r="CC377" s="1184">
        <f>'2024'!R\Max</f>
        <v>0.42968662785345324</v>
      </c>
      <c r="CD377" s="1184">
        <f>'2025'!R\Max</f>
        <v>0.42993955886657831</v>
      </c>
      <c r="CE377" s="1184">
        <f>'2026'!R\Max</f>
        <v>0.42991645956686242</v>
      </c>
      <c r="CF377" s="1185">
        <f>'2027'!R\Max</f>
        <v>0.42987957789443343</v>
      </c>
    </row>
    <row r="378" spans="1:84" s="6" customFormat="1" ht="11.25" x14ac:dyDescent="0.2">
      <c r="A378" s="11">
        <v>43464</v>
      </c>
      <c r="B378" s="380">
        <f>'2022'!Maxi_hp</f>
        <v>26.021620495154139</v>
      </c>
      <c r="C378" s="13">
        <f>'2022'!An_max</f>
        <v>2019</v>
      </c>
      <c r="D378" s="1062">
        <f t="shared" si="135"/>
        <v>1.0224350483072104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3">
        <f t="shared" si="138"/>
        <v>0.4</v>
      </c>
      <c r="J378" s="746">
        <f t="shared" si="139"/>
        <v>25.450634285509587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5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3">
        <f t="shared" si="143"/>
        <v>0.31034482758620691</v>
      </c>
      <c r="AT378" s="769">
        <f t="shared" si="144"/>
        <v>25.761264732171753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3">
        <f t="shared" si="148"/>
        <v>0.7931034482758621</v>
      </c>
      <c r="AY378" s="769">
        <f t="shared" si="149"/>
        <v>25.342409726052448</v>
      </c>
      <c r="AZ378" s="746">
        <f t="shared" si="153"/>
        <v>25.551837229112103</v>
      </c>
      <c r="BA378" s="643">
        <f t="shared" si="150"/>
        <v>1.0224350483072104</v>
      </c>
      <c r="BC378" s="11">
        <v>43464</v>
      </c>
      <c r="BD378" s="290">
        <f>[3]!FeuilCaduc*(1-Persistant)+Persistant</f>
        <v>0.60528115283757489</v>
      </c>
      <c r="BE378" s="291">
        <f>[3]!CroissVégét</f>
        <v>0.99999984492411664</v>
      </c>
      <c r="BF378" s="816">
        <f>1+[3]!Salcycl*Ksac</f>
        <v>1.0006601441046969</v>
      </c>
      <c r="BH378" s="1053">
        <f t="shared" si="151"/>
        <v>2.3996515410373222E-3</v>
      </c>
      <c r="BI378" s="11">
        <v>44560</v>
      </c>
      <c r="BJ378" s="726">
        <v>5.2011066960576456E-4</v>
      </c>
      <c r="BK378" s="726">
        <v>9.5022865729226197E-4</v>
      </c>
      <c r="BL378" s="726">
        <v>1.5313642950128504E-3</v>
      </c>
      <c r="BM378" s="726">
        <v>2.4019243026579202E-3</v>
      </c>
      <c r="BN378" s="726">
        <v>3.6303728399882437E-3</v>
      </c>
      <c r="BO378" s="727">
        <v>5.6291014745953882E-3</v>
      </c>
      <c r="BP378" s="726">
        <v>8.1694558672716702E-3</v>
      </c>
      <c r="BQ378" s="726">
        <v>1.122018862586055E-2</v>
      </c>
      <c r="BR378" s="726">
        <v>1.4577342024722559E-2</v>
      </c>
      <c r="BS378" s="726">
        <v>1.8772429406136711E-2</v>
      </c>
      <c r="BT378" s="726">
        <v>2.36780371214565E-2</v>
      </c>
      <c r="BW378" s="1186">
        <f>'2018'!R\Max</f>
        <v>0.13989194421929901</v>
      </c>
      <c r="BX378" s="1184">
        <f>'2019'!R\Max</f>
        <v>1.0224350483072104</v>
      </c>
      <c r="BY378" s="1184">
        <f>'2020'!R\Max</f>
        <v>0.3505261339880486</v>
      </c>
      <c r="BZ378" s="1184">
        <f>'2021'!R\Max</f>
        <v>0.68459752569744503</v>
      </c>
      <c r="CA378" s="1184">
        <f>'2022'!R\Max</f>
        <v>0.56259900845647548</v>
      </c>
      <c r="CB378" s="1184">
        <f>'2023'!R\Max</f>
        <v>0.56255120519364932</v>
      </c>
      <c r="CC378" s="1184">
        <f>'2024'!R\Max</f>
        <v>0.56249384157193028</v>
      </c>
      <c r="CD378" s="1184">
        <f>'2025'!R\Max</f>
        <v>0.56274614622816499</v>
      </c>
      <c r="CE378" s="1184">
        <f>'2026'!R\Max</f>
        <v>0.56272303769996856</v>
      </c>
      <c r="CF378" s="1185">
        <f>'2027'!R\Max</f>
        <v>0.56268623677375118</v>
      </c>
    </row>
    <row r="379" spans="1:84" s="6" customFormat="1" ht="11.25" x14ac:dyDescent="0.2">
      <c r="A379" s="11">
        <v>43465</v>
      </c>
      <c r="B379" s="380">
        <f>'2022'!Maxi_hp</f>
        <v>25.489311551615195</v>
      </c>
      <c r="C379" s="13">
        <f>'2022'!An_max</f>
        <v>2021</v>
      </c>
      <c r="D379" s="1062">
        <f t="shared" si="135"/>
        <v>0.99507564267300441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3">
        <f t="shared" si="138"/>
        <v>0.46666666666666667</v>
      </c>
      <c r="J379" s="746">
        <f t="shared" si="139"/>
        <v>25.615451186348992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5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3">
        <f t="shared" si="143"/>
        <v>0.27586206896551724</v>
      </c>
      <c r="AT379" s="769">
        <f t="shared" si="144"/>
        <v>25.893660415657632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3">
        <f t="shared" si="148"/>
        <v>0.75862068965517238</v>
      </c>
      <c r="AY379" s="769">
        <f t="shared" si="149"/>
        <v>25.49230886088877</v>
      </c>
      <c r="AZ379" s="746">
        <f t="shared" si="153"/>
        <v>25.692984638273202</v>
      </c>
      <c r="BA379" s="643">
        <f t="shared" si="150"/>
        <v>0.99507564267300441</v>
      </c>
      <c r="BC379" s="11">
        <v>43465</v>
      </c>
      <c r="BD379" s="290">
        <f>[3]!FeuilCaduc*(1-Persistant)+Persistant</f>
        <v>0.60491847548575273</v>
      </c>
      <c r="BE379" s="291">
        <f>[3]!CroissVégét</f>
        <v>0.99999984492411664</v>
      </c>
      <c r="BF379" s="816">
        <f>1+[3]!Salcycl*Ksac</f>
        <v>1.000614809435719</v>
      </c>
      <c r="BH379" s="1053">
        <f t="shared" si="151"/>
        <v>2.4073025301070087E-3</v>
      </c>
      <c r="BI379" s="11">
        <v>44561</v>
      </c>
      <c r="BJ379" s="726">
        <v>5.1928976806564747E-4</v>
      </c>
      <c r="BK379" s="726">
        <v>9.5124128430981996E-4</v>
      </c>
      <c r="BL379" s="726">
        <v>1.5352626079954154E-3</v>
      </c>
      <c r="BM379" s="726">
        <v>2.4095851144426408E-3</v>
      </c>
      <c r="BN379" s="726">
        <v>3.6424989109758144E-3</v>
      </c>
      <c r="BO379" s="727">
        <v>5.6426446903684617E-3</v>
      </c>
      <c r="BP379" s="726">
        <v>8.1825086561444077E-3</v>
      </c>
      <c r="BQ379" s="726">
        <v>1.1229873446710845E-2</v>
      </c>
      <c r="BR379" s="726">
        <v>1.4577701611701629E-2</v>
      </c>
      <c r="BS379" s="726">
        <v>1.8763986447720857E-2</v>
      </c>
      <c r="BT379" s="726">
        <v>2.3665867123161693E-2</v>
      </c>
      <c r="BW379" s="1186">
        <f>'2018'!R\Max</f>
        <v>0.24279750823662496</v>
      </c>
      <c r="BX379" s="1184">
        <f>'2019'!R\Max</f>
        <v>0.70054237952119303</v>
      </c>
      <c r="BY379" s="1184">
        <f>'2020'!R\Max</f>
        <v>0.47543894406685927</v>
      </c>
      <c r="BZ379" s="1184">
        <f>'2021'!R\Max</f>
        <v>0.99507564267300441</v>
      </c>
      <c r="CA379" s="1184">
        <f>'2022'!R\Max</f>
        <v>0.51874154909760251</v>
      </c>
      <c r="CB379" s="1184">
        <f>'2023'!R\Max</f>
        <v>0.51869340354874349</v>
      </c>
      <c r="CC379" s="1184">
        <f>'2024'!R\Max</f>
        <v>0.51863568271900751</v>
      </c>
      <c r="CD379" s="1184">
        <f>'2025'!R\Max</f>
        <v>0.51888990812085989</v>
      </c>
      <c r="CE379" s="1184">
        <f>'2026'!R\Max</f>
        <v>0.51886654364878593</v>
      </c>
      <c r="CF379" s="1185">
        <f>'2027'!R\Max</f>
        <v>0.51882944024416022</v>
      </c>
    </row>
    <row r="380" spans="1:84" s="6" customFormat="1" ht="12" customHeight="1" thickBot="1" x14ac:dyDescent="0.25">
      <c r="A380" s="11">
        <v>43466</v>
      </c>
      <c r="B380" s="381">
        <f>'2022'!Maxi_hp</f>
        <v>15.05843026866239</v>
      </c>
      <c r="C380" s="14">
        <f>'2022'!An_max</f>
        <v>2020</v>
      </c>
      <c r="D380" s="1063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8">
        <f t="shared" si="137"/>
        <v>43458</v>
      </c>
      <c r="I380" s="749">
        <f t="shared" si="138"/>
        <v>0.53333333333333333</v>
      </c>
      <c r="J380" s="747">
        <f t="shared" si="139"/>
        <v>25.790555708607041</v>
      </c>
      <c r="M380" s="806" t="s">
        <v>243</v>
      </c>
      <c r="N380" s="807">
        <f>$AZ22*10</f>
        <v>271.47234518761775</v>
      </c>
      <c r="O380" s="807">
        <f>$AZ36*10</f>
        <v>308.63523351494223</v>
      </c>
      <c r="P380" s="807">
        <f>$AZ50*10</f>
        <v>354.39501145482063</v>
      </c>
      <c r="Q380" s="807">
        <f>$AZ64*10</f>
        <v>403.8168124993972</v>
      </c>
      <c r="R380" s="807">
        <f>$AZ78*10</f>
        <v>454.94218750082655</v>
      </c>
      <c r="S380" s="807">
        <f>$AZ92*10</f>
        <v>506.40512499664328</v>
      </c>
      <c r="T380" s="807">
        <f>$AZ106*10</f>
        <v>553.847999997437</v>
      </c>
      <c r="U380" s="807">
        <f>$AZ120*10</f>
        <v>591.44018750078976</v>
      </c>
      <c r="V380" s="807">
        <f>$AZ134*10</f>
        <v>616.78806250356138</v>
      </c>
      <c r="W380" s="807">
        <f>$AZ148*10</f>
        <v>631.45668749511242</v>
      </c>
      <c r="X380" s="807">
        <f>$AZ162*10</f>
        <v>637.50212499778718</v>
      </c>
      <c r="Y380" s="807">
        <f>$AZ176*10</f>
        <v>635.93706250097603</v>
      </c>
      <c r="Z380" s="807">
        <f>$AZ190*10</f>
        <v>627.8048750013113</v>
      </c>
      <c r="AA380" s="807">
        <f>$AZ204*10</f>
        <v>614.7626874987036</v>
      </c>
      <c r="AB380" s="807">
        <f>$AZ218*10</f>
        <v>598.16074999747798</v>
      </c>
      <c r="AC380" s="807">
        <f>$AZ232*10</f>
        <v>578.76625000033528</v>
      </c>
      <c r="AD380" s="807">
        <f>$AZ246*10</f>
        <v>556.33368749823421</v>
      </c>
      <c r="AE380" s="807">
        <f>$AZ260*10</f>
        <v>527.91706250142306</v>
      </c>
      <c r="AF380" s="807">
        <f>$AZ274*10</f>
        <v>490.38624999858439</v>
      </c>
      <c r="AG380" s="807">
        <f>$AZ288*10</f>
        <v>445.58250000048429</v>
      </c>
      <c r="AH380" s="807">
        <f>$AZ302*10</f>
        <v>398.44649999914691</v>
      </c>
      <c r="AI380" s="807">
        <f>$AZ316*10</f>
        <v>352.50731250294484</v>
      </c>
      <c r="AJ380" s="807">
        <f>$AZ330*10</f>
        <v>310.28131251037121</v>
      </c>
      <c r="AK380" s="807">
        <f>$AZ344*10</f>
        <v>274.78205705806613</v>
      </c>
      <c r="AL380" s="807">
        <f>$AZ358*10</f>
        <v>251.87369906902313</v>
      </c>
      <c r="AM380" s="807">
        <f>$AZ372*10</f>
        <v>249.41498675865347</v>
      </c>
      <c r="AO380" s="1055">
        <v>43466</v>
      </c>
      <c r="AP380" s="14">
        <f t="shared" si="140"/>
        <v>15</v>
      </c>
      <c r="AQ380" s="14">
        <f t="shared" si="141"/>
        <v>14</v>
      </c>
      <c r="AR380" s="748">
        <f t="shared" si="142"/>
        <v>43473</v>
      </c>
      <c r="AS380" s="749">
        <f t="shared" si="143"/>
        <v>0.2413793103448276</v>
      </c>
      <c r="AT380" s="770">
        <f t="shared" si="144"/>
        <v>26.033509940679728</v>
      </c>
      <c r="AU380" s="14">
        <f t="shared" si="145"/>
        <v>15</v>
      </c>
      <c r="AV380" s="14">
        <f t="shared" si="146"/>
        <v>14</v>
      </c>
      <c r="AW380" s="748">
        <f t="shared" si="147"/>
        <v>43487</v>
      </c>
      <c r="AX380" s="749">
        <f t="shared" si="148"/>
        <v>0.72413793103448276</v>
      </c>
      <c r="AY380" s="770">
        <f t="shared" si="149"/>
        <v>25.654899029125424</v>
      </c>
      <c r="AZ380" s="747">
        <f t="shared" si="153"/>
        <v>25.844204484902576</v>
      </c>
      <c r="BA380" s="643">
        <f t="shared" si="150"/>
        <v>0.58387381950195683</v>
      </c>
      <c r="BC380" s="11">
        <v>43466</v>
      </c>
      <c r="BD380" s="292">
        <f>[3]!FeuilCaduc*(1-Persistant)+Persistant</f>
        <v>0.60457829942861385</v>
      </c>
      <c r="BE380" s="293">
        <f>[3]!CroissVégét</f>
        <v>0.99999984492411664</v>
      </c>
      <c r="BF380" s="817">
        <f>1+[3]!Salcycl*Ksac</f>
        <v>1.0005722874285767</v>
      </c>
      <c r="BH380" s="1054">
        <f t="shared" si="151"/>
        <v>2.4150959137955916E-3</v>
      </c>
      <c r="BI380" s="11">
        <v>44562</v>
      </c>
      <c r="BJ380" s="822">
        <v>5.1861063850512916E-4</v>
      </c>
      <c r="BK380" s="730">
        <v>9.5194527570198917E-4</v>
      </c>
      <c r="BL380" s="730">
        <v>1.5388949190492079E-3</v>
      </c>
      <c r="BM380" s="730">
        <v>2.4173893898335121E-3</v>
      </c>
      <c r="BN380" s="730">
        <v>3.6554122516709673E-3</v>
      </c>
      <c r="BO380" s="731">
        <v>5.6575957336878436E-3</v>
      </c>
      <c r="BP380" s="730">
        <v>8.1971506317892323E-3</v>
      </c>
      <c r="BQ380" s="730">
        <v>1.1240540101526794E-2</v>
      </c>
      <c r="BR380" s="730">
        <v>1.4577788776549801E-2</v>
      </c>
      <c r="BS380" s="730">
        <v>1.8754085640803279E-2</v>
      </c>
      <c r="BT380" s="730">
        <v>2.3651718495327767E-2</v>
      </c>
      <c r="BW380" s="1187">
        <f>'2018'!R\Max</f>
        <v>0</v>
      </c>
      <c r="BX380" s="1188">
        <f>'2019'!R\Max</f>
        <v>0</v>
      </c>
      <c r="BY380" s="1188">
        <f>'2020'!R\Max</f>
        <v>0.58387381950195683</v>
      </c>
      <c r="BZ380" s="1188">
        <f>'2021'!R\Max</f>
        <v>0</v>
      </c>
      <c r="CA380" s="1188">
        <f>'2022'!R\Max</f>
        <v>0</v>
      </c>
      <c r="CB380" s="1188">
        <f>'2023'!R\Max</f>
        <v>0</v>
      </c>
      <c r="CC380" s="1188">
        <f>'2024'!R\Max</f>
        <v>0.64859097678082955</v>
      </c>
      <c r="CD380" s="1188">
        <f>'2025'!R\Max</f>
        <v>0</v>
      </c>
      <c r="CE380" s="1188">
        <f>'2026'!R\Max</f>
        <v>0</v>
      </c>
      <c r="CF380" s="1189">
        <f>'2027'!R\Max</f>
        <v>0</v>
      </c>
    </row>
    <row r="381" spans="1:84" ht="12" customHeight="1" x14ac:dyDescent="0.25">
      <c r="B381" s="635" t="s">
        <v>168</v>
      </c>
      <c r="M381" s="136" t="s">
        <v>244</v>
      </c>
      <c r="N381" s="808">
        <f t="shared" ref="N381:AM381" si="154">1-N3/N380*Ajust_M</f>
        <v>-1.9952485841896461E-3</v>
      </c>
      <c r="O381" s="808">
        <f t="shared" si="154"/>
        <v>9.3065691713489773E-4</v>
      </c>
      <c r="P381" s="808">
        <f t="shared" si="154"/>
        <v>-3.0728100283041737E-3</v>
      </c>
      <c r="Q381" s="808">
        <f t="shared" si="154"/>
        <v>5.3195531426153408E-4</v>
      </c>
      <c r="R381" s="808">
        <f t="shared" si="154"/>
        <v>6.0708263250708328E-4</v>
      </c>
      <c r="S381" s="808">
        <f t="shared" si="154"/>
        <v>1.3331717301394708E-3</v>
      </c>
      <c r="T381" s="808">
        <f t="shared" si="154"/>
        <v>-1.773049650025893E-3</v>
      </c>
      <c r="U381" s="808">
        <f t="shared" si="154"/>
        <v>-1.1933793376346369E-3</v>
      </c>
      <c r="V381" s="808">
        <f t="shared" si="154"/>
        <v>1.4926116304481152E-4</v>
      </c>
      <c r="W381" s="808">
        <f t="shared" si="154"/>
        <v>4.8597941426753444E-5</v>
      </c>
      <c r="X381" s="808">
        <f t="shared" si="154"/>
        <v>2.8882256319984201E-4</v>
      </c>
      <c r="Y381" s="808">
        <f t="shared" si="154"/>
        <v>-6.2732229735917855E-4</v>
      </c>
      <c r="Z381" s="808">
        <f t="shared" si="154"/>
        <v>4.8880633701786635E-4</v>
      </c>
      <c r="AA381" s="808">
        <f t="shared" si="154"/>
        <v>4.9917633792029292E-5</v>
      </c>
      <c r="AB381" s="808">
        <f t="shared" si="154"/>
        <v>2.0521239061332963E-4</v>
      </c>
      <c r="AC381" s="808">
        <f t="shared" si="154"/>
        <v>6.3626723281640096E-4</v>
      </c>
      <c r="AD381" s="808">
        <f t="shared" si="154"/>
        <v>9.3772408530601314E-4</v>
      </c>
      <c r="AE381" s="808">
        <f t="shared" si="154"/>
        <v>-2.6158228188981614E-3</v>
      </c>
      <c r="AF381" s="808">
        <f t="shared" si="154"/>
        <v>-1.251564458459864E-3</v>
      </c>
      <c r="AG381" s="808">
        <f t="shared" si="154"/>
        <v>1.6528925630684421E-3</v>
      </c>
      <c r="AH381" s="808">
        <f t="shared" si="154"/>
        <v>-6.1614294730549801E-4</v>
      </c>
      <c r="AI381" s="808">
        <f t="shared" si="154"/>
        <v>-8.7054923307183785E-5</v>
      </c>
      <c r="AJ381" s="808">
        <f t="shared" si="154"/>
        <v>-9.8902152309898739E-5</v>
      </c>
      <c r="AK381" s="808">
        <f t="shared" si="154"/>
        <v>-4.22131981379259E-3</v>
      </c>
      <c r="AL381" s="808">
        <f t="shared" si="154"/>
        <v>5.811242199694866E-3</v>
      </c>
      <c r="AM381" s="808">
        <f t="shared" si="154"/>
        <v>7.8222515174732887E-3</v>
      </c>
    </row>
  </sheetData>
  <sheetProtection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7" priority="20" stopIfTrue="1" operator="lessThan">
      <formula>0.01</formula>
    </cfRule>
    <cfRule type="cellIs" dxfId="36" priority="21" stopIfTrue="1" operator="greaterThan">
      <formula>0.05</formula>
    </cfRule>
  </conditionalFormatting>
  <conditionalFormatting sqref="A9:J9 A7:J7">
    <cfRule type="cellIs" dxfId="35" priority="50" stopIfTrue="1" operator="lessThan">
      <formula>0.01</formula>
    </cfRule>
    <cfRule type="cellIs" dxfId="34" priority="51" stopIfTrue="1" operator="greaterThan">
      <formula>0.05</formula>
    </cfRule>
  </conditionalFormatting>
  <conditionalFormatting sqref="N381:AM381">
    <cfRule type="cellIs" dxfId="33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C5" sqref="AC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7" t="s">
        <v>24</v>
      </c>
      <c r="I1" s="1257"/>
      <c r="J1" s="1257"/>
      <c r="K1" s="1257"/>
      <c r="L1" s="15"/>
      <c r="M1" s="34"/>
      <c r="N1" s="539"/>
      <c r="O1" s="540"/>
      <c r="P1" s="541" t="s">
        <v>4</v>
      </c>
      <c r="Q1" s="419">
        <v>8.0000000000000002E-3</v>
      </c>
      <c r="R1" s="542"/>
      <c r="S1" s="543" t="s">
        <v>105</v>
      </c>
      <c r="T1" s="820">
        <f>PertePVan/365.25</f>
        <v>2.1902806297056812E-5</v>
      </c>
      <c r="U1" s="540"/>
      <c r="V1" s="544"/>
      <c r="W1" s="208"/>
      <c r="X1" s="545"/>
      <c r="Y1" s="537" t="s">
        <v>166</v>
      </c>
      <c r="Z1" s="1250">
        <v>7.0000000000000007E-2</v>
      </c>
      <c r="AA1" s="1251"/>
      <c r="AB1" s="629"/>
      <c r="AC1" s="630"/>
      <c r="AE1" s="537" t="s">
        <v>247</v>
      </c>
      <c r="AF1" s="818">
        <v>0.05</v>
      </c>
      <c r="AG1" s="540"/>
      <c r="AH1" s="208"/>
      <c r="AI1" s="208"/>
      <c r="AJ1" s="208"/>
      <c r="AK1" s="208"/>
      <c r="AL1" s="537" t="s">
        <v>123</v>
      </c>
      <c r="AM1" s="647">
        <v>0.5</v>
      </c>
      <c r="AN1" s="628"/>
      <c r="AO1" s="208"/>
      <c r="AP1" s="208"/>
      <c r="AQ1" s="208"/>
      <c r="AR1" s="537" t="s">
        <v>104</v>
      </c>
      <c r="AS1" s="368">
        <v>0.6</v>
      </c>
      <c r="AT1" s="648" t="s">
        <v>54</v>
      </c>
      <c r="AU1" s="538"/>
    </row>
    <row r="2" spans="1:78" s="534" customFormat="1" ht="18" customHeight="1" thickBot="1" x14ac:dyDescent="0.35">
      <c r="A2" s="83" t="s">
        <v>132</v>
      </c>
      <c r="B2" s="1211" t="str">
        <f>Station</f>
        <v>Garderie Labège</v>
      </c>
      <c r="C2" s="1212"/>
      <c r="D2" s="1212"/>
      <c r="E2" s="1212"/>
      <c r="F2" s="1213"/>
      <c r="G2" s="819" t="s">
        <v>248</v>
      </c>
      <c r="K2" s="81"/>
      <c r="L2" s="535"/>
      <c r="M2" s="38"/>
      <c r="U2" s="35"/>
      <c r="V2" s="35"/>
      <c r="W2" s="35">
        <f>+U5/Recap!L38</f>
        <v>9.6628399146776164E-2</v>
      </c>
      <c r="X2" s="536"/>
      <c r="AA2" s="538"/>
      <c r="AB2" s="538"/>
      <c r="AC2" s="538"/>
      <c r="AD2" s="538"/>
      <c r="AE2" s="537" t="s">
        <v>167</v>
      </c>
      <c r="AF2" s="653">
        <v>3</v>
      </c>
      <c r="AG2" s="654">
        <f>+Tau_i*365</f>
        <v>1095</v>
      </c>
      <c r="AH2" s="544"/>
      <c r="AI2" s="240"/>
      <c r="AJ2" s="545"/>
      <c r="AL2" s="645" t="s">
        <v>198</v>
      </c>
      <c r="AM2" s="1259">
        <v>0.5</v>
      </c>
      <c r="AN2" s="1260"/>
      <c r="AS2" s="209" t="s">
        <v>124</v>
      </c>
      <c r="AT2" s="649">
        <f>H_i</f>
        <v>-2.0026106892122759</v>
      </c>
      <c r="AU2" s="646"/>
      <c r="AY2" s="656"/>
      <c r="AZ2" s="656"/>
      <c r="BB2" s="536"/>
      <c r="BE2" s="31"/>
      <c r="BF2" s="29"/>
      <c r="BH2" s="536"/>
      <c r="BI2" s="536"/>
      <c r="BJ2" s="536"/>
      <c r="BK2" s="70"/>
      <c r="BL2" s="70"/>
      <c r="BM2" s="536"/>
      <c r="BN2" s="536"/>
      <c r="BO2" s="536"/>
      <c r="BP2" s="536"/>
      <c r="BQ2" s="70"/>
      <c r="BR2" s="70"/>
      <c r="BS2" s="536"/>
      <c r="BT2" s="536"/>
      <c r="BU2" s="536"/>
      <c r="BW2" s="31"/>
      <c r="BX2" s="29"/>
      <c r="BZ2" s="536"/>
    </row>
    <row r="3" spans="1:78" s="80" customFormat="1" ht="12.75" customHeight="1" x14ac:dyDescent="0.25">
      <c r="A3" s="1254">
        <f>'2018'!An</f>
        <v>2018</v>
      </c>
      <c r="B3" s="1255"/>
      <c r="C3" s="1255"/>
      <c r="D3" s="1255"/>
      <c r="E3" s="1255"/>
      <c r="F3" s="1256"/>
      <c r="G3" s="1254">
        <f>'2019'!An</f>
        <v>2019</v>
      </c>
      <c r="H3" s="1255"/>
      <c r="I3" s="1255"/>
      <c r="J3" s="1255"/>
      <c r="K3" s="1255"/>
      <c r="L3" s="1256"/>
      <c r="M3" s="1254">
        <f>'2020'!An</f>
        <v>2020</v>
      </c>
      <c r="N3" s="1255"/>
      <c r="O3" s="1255"/>
      <c r="P3" s="1255"/>
      <c r="Q3" s="1255"/>
      <c r="R3" s="1256"/>
      <c r="S3" s="1254">
        <f>'2021'!An</f>
        <v>2021</v>
      </c>
      <c r="T3" s="1255"/>
      <c r="U3" s="1255"/>
      <c r="V3" s="1255"/>
      <c r="W3" s="1255"/>
      <c r="X3" s="1256"/>
      <c r="Y3" s="1254">
        <f>'2022'!An</f>
        <v>2022</v>
      </c>
      <c r="Z3" s="1255"/>
      <c r="AA3" s="1255"/>
      <c r="AB3" s="1255"/>
      <c r="AC3" s="1255"/>
      <c r="AD3" s="1256"/>
      <c r="AE3" s="1254">
        <f>'2023'!An</f>
        <v>2023</v>
      </c>
      <c r="AF3" s="1255"/>
      <c r="AG3" s="1255"/>
      <c r="AH3" s="1255"/>
      <c r="AI3" s="1255"/>
      <c r="AJ3" s="1256"/>
      <c r="AK3" s="1254">
        <f>'2024'!An</f>
        <v>2024</v>
      </c>
      <c r="AL3" s="1255"/>
      <c r="AM3" s="1262"/>
      <c r="AN3" s="1262"/>
      <c r="AO3" s="1255"/>
      <c r="AP3" s="1256"/>
      <c r="AQ3" s="1254">
        <f>'2025'!An</f>
        <v>2025</v>
      </c>
      <c r="AR3" s="1255"/>
      <c r="AS3" s="1255"/>
      <c r="AT3" s="1255"/>
      <c r="AU3" s="1255"/>
      <c r="AV3" s="1256"/>
      <c r="AW3" s="1254">
        <f>'2026'!An</f>
        <v>2026</v>
      </c>
      <c r="AX3" s="1255"/>
      <c r="AY3" s="1255"/>
      <c r="AZ3" s="1255"/>
      <c r="BA3" s="1255"/>
      <c r="BB3" s="1256"/>
      <c r="BC3" s="1254">
        <f>'2027'!An</f>
        <v>2027</v>
      </c>
      <c r="BD3" s="1255"/>
      <c r="BE3" s="1255"/>
      <c r="BF3" s="1255"/>
      <c r="BG3" s="1255"/>
      <c r="BH3" s="1256"/>
      <c r="BI3" s="1263" t="e">
        <v>#NAME?</v>
      </c>
      <c r="BJ3" s="1264"/>
      <c r="BK3" s="1264"/>
      <c r="BL3" s="1264"/>
      <c r="BM3" s="1264"/>
      <c r="BN3" s="1265"/>
      <c r="BO3" s="1263" t="e">
        <v>#NAME?</v>
      </c>
      <c r="BP3" s="1264"/>
      <c r="BQ3" s="1264"/>
      <c r="BR3" s="1264"/>
      <c r="BS3" s="1264"/>
      <c r="BT3" s="1265"/>
      <c r="BU3" s="1263" t="e">
        <v>#NAME?</v>
      </c>
      <c r="BV3" s="1264"/>
      <c r="BW3" s="1264"/>
      <c r="BX3" s="1264"/>
      <c r="BY3" s="1264"/>
      <c r="BZ3" s="1265"/>
    </row>
    <row r="4" spans="1:78" s="428" customFormat="1" ht="15" customHeight="1" x14ac:dyDescent="0.25">
      <c r="A4" s="213" t="s">
        <v>77</v>
      </c>
      <c r="B4" s="442" t="s">
        <v>135</v>
      </c>
      <c r="C4" s="443" t="s">
        <v>135</v>
      </c>
      <c r="D4" s="444" t="s">
        <v>80</v>
      </c>
      <c r="E4" s="577" t="s">
        <v>80</v>
      </c>
      <c r="F4" s="432"/>
      <c r="G4" s="358" t="s">
        <v>92</v>
      </c>
      <c r="H4" s="442" t="s">
        <v>135</v>
      </c>
      <c r="I4" s="443" t="s">
        <v>135</v>
      </c>
      <c r="J4" s="444" t="s">
        <v>80</v>
      </c>
      <c r="K4" s="577" t="s">
        <v>80</v>
      </c>
      <c r="L4" s="432"/>
      <c r="M4" s="358" t="s">
        <v>92</v>
      </c>
      <c r="N4" s="442" t="s">
        <v>135</v>
      </c>
      <c r="O4" s="443" t="s">
        <v>135</v>
      </c>
      <c r="P4" s="444" t="s">
        <v>80</v>
      </c>
      <c r="Q4" s="577" t="s">
        <v>80</v>
      </c>
      <c r="R4" s="432"/>
      <c r="S4" s="358" t="s">
        <v>92</v>
      </c>
      <c r="T4" s="442" t="s">
        <v>135</v>
      </c>
      <c r="U4" s="443" t="s">
        <v>135</v>
      </c>
      <c r="V4" s="444" t="s">
        <v>80</v>
      </c>
      <c r="W4" s="577" t="s">
        <v>80</v>
      </c>
      <c r="X4" s="432"/>
      <c r="Y4" s="358" t="s">
        <v>92</v>
      </c>
      <c r="Z4" s="442" t="s">
        <v>135</v>
      </c>
      <c r="AA4" s="443" t="s">
        <v>135</v>
      </c>
      <c r="AB4" s="444" t="s">
        <v>80</v>
      </c>
      <c r="AC4" s="577" t="s">
        <v>80</v>
      </c>
      <c r="AD4" s="432"/>
      <c r="AE4" s="358" t="s">
        <v>92</v>
      </c>
      <c r="AF4" s="442" t="s">
        <v>135</v>
      </c>
      <c r="AG4" s="443" t="s">
        <v>135</v>
      </c>
      <c r="AH4" s="444" t="s">
        <v>80</v>
      </c>
      <c r="AI4" s="577" t="s">
        <v>80</v>
      </c>
      <c r="AJ4" s="432"/>
      <c r="AK4" s="358" t="s">
        <v>92</v>
      </c>
      <c r="AL4" s="442" t="s">
        <v>135</v>
      </c>
      <c r="AM4" s="443" t="s">
        <v>135</v>
      </c>
      <c r="AN4" s="444" t="s">
        <v>80</v>
      </c>
      <c r="AO4" s="577" t="s">
        <v>80</v>
      </c>
      <c r="AP4" s="432"/>
      <c r="AQ4" s="358" t="s">
        <v>92</v>
      </c>
      <c r="AR4" s="442" t="s">
        <v>135</v>
      </c>
      <c r="AS4" s="443" t="s">
        <v>135</v>
      </c>
      <c r="AT4" s="444" t="s">
        <v>80</v>
      </c>
      <c r="AU4" s="577" t="s">
        <v>80</v>
      </c>
      <c r="AV4" s="432"/>
      <c r="AW4" s="358" t="s">
        <v>92</v>
      </c>
      <c r="AX4" s="442" t="s">
        <v>135</v>
      </c>
      <c r="AY4" s="443" t="s">
        <v>135</v>
      </c>
      <c r="AZ4" s="444" t="s">
        <v>80</v>
      </c>
      <c r="BA4" s="577" t="s">
        <v>80</v>
      </c>
      <c r="BB4" s="432"/>
      <c r="BC4" s="358" t="s">
        <v>92</v>
      </c>
      <c r="BD4" s="442" t="s">
        <v>135</v>
      </c>
      <c r="BE4" s="443" t="s">
        <v>135</v>
      </c>
      <c r="BF4" s="444" t="s">
        <v>80</v>
      </c>
      <c r="BG4" s="577" t="s">
        <v>80</v>
      </c>
      <c r="BH4" s="432"/>
      <c r="BI4" s="358" t="s">
        <v>92</v>
      </c>
      <c r="BJ4" s="442" t="s">
        <v>135</v>
      </c>
      <c r="BK4" s="443" t="s">
        <v>135</v>
      </c>
      <c r="BL4" s="444" t="s">
        <v>80</v>
      </c>
      <c r="BM4" s="577" t="s">
        <v>80</v>
      </c>
      <c r="BN4" s="432"/>
      <c r="BO4" s="358" t="s">
        <v>92</v>
      </c>
      <c r="BP4" s="442" t="s">
        <v>135</v>
      </c>
      <c r="BQ4" s="443" t="s">
        <v>135</v>
      </c>
      <c r="BR4" s="444" t="s">
        <v>80</v>
      </c>
      <c r="BS4" s="577" t="s">
        <v>80</v>
      </c>
      <c r="BT4" s="432"/>
      <c r="BU4" s="358" t="s">
        <v>92</v>
      </c>
      <c r="BV4" s="442" t="s">
        <v>135</v>
      </c>
      <c r="BW4" s="443" t="s">
        <v>135</v>
      </c>
      <c r="BX4" s="444" t="s">
        <v>80</v>
      </c>
      <c r="BY4" s="577" t="s">
        <v>80</v>
      </c>
      <c r="BZ4" s="432"/>
    </row>
    <row r="5" spans="1:78" s="428" customFormat="1" ht="15" customHeight="1" x14ac:dyDescent="0.25">
      <c r="A5" s="213" t="s">
        <v>16</v>
      </c>
      <c r="B5" s="433" t="s">
        <v>135</v>
      </c>
      <c r="C5" s="439" t="s">
        <v>135</v>
      </c>
      <c r="D5" s="440" t="s">
        <v>135</v>
      </c>
      <c r="E5" s="441" t="s">
        <v>135</v>
      </c>
      <c r="F5" s="187"/>
      <c r="G5" s="358" t="s">
        <v>93</v>
      </c>
      <c r="H5" s="433" t="s">
        <v>135</v>
      </c>
      <c r="I5" s="439" t="s">
        <v>135</v>
      </c>
      <c r="J5" s="440" t="s">
        <v>135</v>
      </c>
      <c r="K5" s="441" t="s">
        <v>135</v>
      </c>
      <c r="L5" s="187"/>
      <c r="M5" s="358" t="s">
        <v>93</v>
      </c>
      <c r="N5" s="433">
        <v>43922</v>
      </c>
      <c r="O5" s="439" t="s">
        <v>356</v>
      </c>
      <c r="P5" s="1141">
        <v>0.115</v>
      </c>
      <c r="Q5" s="441" t="s">
        <v>135</v>
      </c>
      <c r="R5" s="187"/>
      <c r="S5" s="358" t="s">
        <v>93</v>
      </c>
      <c r="T5" s="433">
        <v>44307</v>
      </c>
      <c r="U5" s="439">
        <v>5.0000000000000001E-3</v>
      </c>
      <c r="V5" s="440">
        <v>0.1</v>
      </c>
      <c r="W5" s="441" t="s">
        <v>135</v>
      </c>
      <c r="X5" s="187"/>
      <c r="Y5" s="358" t="s">
        <v>93</v>
      </c>
      <c r="Z5" s="433">
        <v>44593</v>
      </c>
      <c r="AA5" s="439" t="s">
        <v>356</v>
      </c>
      <c r="AB5" s="1141">
        <v>0.1</v>
      </c>
      <c r="AC5" s="441">
        <v>2</v>
      </c>
      <c r="AD5" s="187"/>
      <c r="AE5" s="358" t="s">
        <v>93</v>
      </c>
      <c r="AF5" s="433" t="s">
        <v>135</v>
      </c>
      <c r="AG5" s="439" t="s">
        <v>135</v>
      </c>
      <c r="AH5" s="440">
        <f>AVERAGE(AB10,V10,P10)</f>
        <v>0.105</v>
      </c>
      <c r="AI5" s="441">
        <f>AVERAGE(AC10,W10,Q10)</f>
        <v>2.6666666666666665</v>
      </c>
      <c r="AJ5" s="187"/>
      <c r="AK5" s="358" t="s">
        <v>93</v>
      </c>
      <c r="AL5" s="433" t="s">
        <v>135</v>
      </c>
      <c r="AM5" s="439" t="s">
        <v>135</v>
      </c>
      <c r="AN5" s="440" t="s">
        <v>135</v>
      </c>
      <c r="AO5" s="441" t="s">
        <v>135</v>
      </c>
      <c r="AP5" s="187"/>
      <c r="AQ5" s="358" t="s">
        <v>93</v>
      </c>
      <c r="AR5" s="433" t="s">
        <v>135</v>
      </c>
      <c r="AS5" s="439" t="s">
        <v>135</v>
      </c>
      <c r="AT5" s="440" t="s">
        <v>135</v>
      </c>
      <c r="AU5" s="441" t="s">
        <v>135</v>
      </c>
      <c r="AV5" s="187"/>
      <c r="AW5" s="358" t="s">
        <v>93</v>
      </c>
      <c r="AX5" s="433" t="s">
        <v>135</v>
      </c>
      <c r="AY5" s="439" t="s">
        <v>135</v>
      </c>
      <c r="AZ5" s="440" t="s">
        <v>135</v>
      </c>
      <c r="BA5" s="441" t="s">
        <v>135</v>
      </c>
      <c r="BB5" s="187"/>
      <c r="BC5" s="358" t="s">
        <v>93</v>
      </c>
      <c r="BD5" s="433" t="s">
        <v>135</v>
      </c>
      <c r="BE5" s="439" t="s">
        <v>135</v>
      </c>
      <c r="BF5" s="440" t="s">
        <v>135</v>
      </c>
      <c r="BG5" s="441" t="s">
        <v>135</v>
      </c>
      <c r="BH5" s="187"/>
      <c r="BI5" s="358" t="s">
        <v>93</v>
      </c>
      <c r="BJ5" s="433" t="s">
        <v>135</v>
      </c>
      <c r="BK5" s="439" t="s">
        <v>135</v>
      </c>
      <c r="BL5" s="440" t="s">
        <v>135</v>
      </c>
      <c r="BM5" s="441" t="s">
        <v>135</v>
      </c>
      <c r="BN5" s="187"/>
      <c r="BO5" s="358" t="s">
        <v>93</v>
      </c>
      <c r="BP5" s="433" t="s">
        <v>135</v>
      </c>
      <c r="BQ5" s="439" t="s">
        <v>135</v>
      </c>
      <c r="BR5" s="440" t="s">
        <v>135</v>
      </c>
      <c r="BS5" s="441" t="s">
        <v>135</v>
      </c>
      <c r="BT5" s="187"/>
      <c r="BU5" s="358" t="s">
        <v>93</v>
      </c>
      <c r="BV5" s="433" t="s">
        <v>135</v>
      </c>
      <c r="BW5" s="439" t="s">
        <v>135</v>
      </c>
      <c r="BX5" s="440" t="s">
        <v>135</v>
      </c>
      <c r="BY5" s="441" t="s">
        <v>135</v>
      </c>
      <c r="BZ5" s="187"/>
    </row>
    <row r="6" spans="1:78" s="428" customFormat="1" ht="15" customHeight="1" x14ac:dyDescent="0.25">
      <c r="A6" s="213" t="s">
        <v>18</v>
      </c>
      <c r="B6" s="420" t="s">
        <v>135</v>
      </c>
      <c r="C6" s="434" t="s">
        <v>135</v>
      </c>
      <c r="D6" s="1261" t="s">
        <v>135</v>
      </c>
      <c r="E6" s="1261"/>
      <c r="F6" s="188"/>
      <c r="G6" s="358" t="s">
        <v>94</v>
      </c>
      <c r="H6" s="420" t="s">
        <v>135</v>
      </c>
      <c r="I6" s="434" t="s">
        <v>135</v>
      </c>
      <c r="J6" s="1261" t="s">
        <v>135</v>
      </c>
      <c r="K6" s="1261"/>
      <c r="L6" s="188"/>
      <c r="M6" s="358" t="s">
        <v>94</v>
      </c>
      <c r="N6" s="420" t="s">
        <v>135</v>
      </c>
      <c r="O6" s="434" t="s">
        <v>135</v>
      </c>
      <c r="P6" s="1261" t="s">
        <v>135</v>
      </c>
      <c r="Q6" s="1261"/>
      <c r="R6" s="188"/>
      <c r="S6" s="358" t="s">
        <v>94</v>
      </c>
      <c r="T6" s="420" t="s">
        <v>135</v>
      </c>
      <c r="U6" s="434" t="s">
        <v>135</v>
      </c>
      <c r="V6" s="1261" t="s">
        <v>135</v>
      </c>
      <c r="W6" s="1261"/>
      <c r="X6" s="188"/>
      <c r="Y6" s="358" t="s">
        <v>94</v>
      </c>
      <c r="Z6" s="420" t="s">
        <v>135</v>
      </c>
      <c r="AA6" s="434" t="s">
        <v>135</v>
      </c>
      <c r="AB6" s="1261" t="s">
        <v>135</v>
      </c>
      <c r="AC6" s="1261"/>
      <c r="AD6" s="188"/>
      <c r="AE6" s="358" t="s">
        <v>94</v>
      </c>
      <c r="AF6" s="420" t="s">
        <v>135</v>
      </c>
      <c r="AG6" s="434" t="s">
        <v>135</v>
      </c>
      <c r="AH6" s="1261" t="s">
        <v>135</v>
      </c>
      <c r="AI6" s="1261"/>
      <c r="AJ6" s="188"/>
      <c r="AK6" s="358" t="s">
        <v>94</v>
      </c>
      <c r="AL6" s="420" t="s">
        <v>135</v>
      </c>
      <c r="AM6" s="434" t="s">
        <v>135</v>
      </c>
      <c r="AN6" s="1261" t="s">
        <v>135</v>
      </c>
      <c r="AO6" s="1261"/>
      <c r="AP6" s="188"/>
      <c r="AQ6" s="358" t="s">
        <v>94</v>
      </c>
      <c r="AR6" s="420" t="s">
        <v>135</v>
      </c>
      <c r="AS6" s="434" t="s">
        <v>135</v>
      </c>
      <c r="AT6" s="1261" t="s">
        <v>135</v>
      </c>
      <c r="AU6" s="1261"/>
      <c r="AV6" s="188"/>
      <c r="AW6" s="358" t="s">
        <v>94</v>
      </c>
      <c r="AX6" s="420" t="s">
        <v>135</v>
      </c>
      <c r="AY6" s="434" t="s">
        <v>135</v>
      </c>
      <c r="AZ6" s="1261" t="s">
        <v>135</v>
      </c>
      <c r="BA6" s="1261"/>
      <c r="BB6" s="188"/>
      <c r="BC6" s="358" t="s">
        <v>94</v>
      </c>
      <c r="BD6" s="420" t="s">
        <v>135</v>
      </c>
      <c r="BE6" s="434" t="s">
        <v>135</v>
      </c>
      <c r="BF6" s="1261" t="s">
        <v>135</v>
      </c>
      <c r="BG6" s="1261"/>
      <c r="BH6" s="188"/>
      <c r="BI6" s="358" t="s">
        <v>94</v>
      </c>
      <c r="BJ6" s="420" t="s">
        <v>135</v>
      </c>
      <c r="BK6" s="434" t="s">
        <v>135</v>
      </c>
      <c r="BL6" s="1261" t="s">
        <v>135</v>
      </c>
      <c r="BM6" s="1261"/>
      <c r="BN6" s="188"/>
      <c r="BO6" s="358" t="s">
        <v>94</v>
      </c>
      <c r="BP6" s="420" t="s">
        <v>135</v>
      </c>
      <c r="BQ6" s="434" t="s">
        <v>135</v>
      </c>
      <c r="BR6" s="1261" t="s">
        <v>135</v>
      </c>
      <c r="BS6" s="1261"/>
      <c r="BT6" s="188"/>
      <c r="BU6" s="358" t="s">
        <v>94</v>
      </c>
      <c r="BV6" s="420" t="s">
        <v>135</v>
      </c>
      <c r="BW6" s="434" t="s">
        <v>135</v>
      </c>
      <c r="BX6" s="1261" t="s">
        <v>135</v>
      </c>
      <c r="BY6" s="1261"/>
      <c r="BZ6" s="188"/>
    </row>
    <row r="7" spans="1:78" ht="15.75" x14ac:dyDescent="0.25">
      <c r="A7" s="828" t="s">
        <v>253</v>
      </c>
      <c r="B7" s="431"/>
      <c r="C7" s="431"/>
      <c r="D7" s="221"/>
      <c r="E7" s="1252">
        <f>'2018'!Dépas_env</f>
        <v>8.9659887314030851E-3</v>
      </c>
      <c r="F7" s="1253"/>
      <c r="G7" s="828" t="s">
        <v>252</v>
      </c>
      <c r="H7" s="431"/>
      <c r="I7" s="431"/>
      <c r="J7" s="221"/>
      <c r="K7" s="1252">
        <f>'2019'!Dépas_env</f>
        <v>4.7367195727860301E-2</v>
      </c>
      <c r="L7" s="1253"/>
      <c r="M7" s="828" t="s">
        <v>252</v>
      </c>
      <c r="N7" s="431"/>
      <c r="O7" s="431"/>
      <c r="P7" s="221"/>
      <c r="Q7" s="1252">
        <f>'2020'!Dépas_env</f>
        <v>4.7327367668172693E-2</v>
      </c>
      <c r="R7" s="1253"/>
      <c r="S7" s="828" t="s">
        <v>252</v>
      </c>
      <c r="T7" s="431"/>
      <c r="U7" s="431"/>
      <c r="V7" s="221"/>
      <c r="W7" s="1252">
        <f>'2021'!Dépas_env</f>
        <v>4.6574803264006315E-2</v>
      </c>
      <c r="X7" s="1253"/>
      <c r="Y7" s="828" t="s">
        <v>252</v>
      </c>
      <c r="Z7" s="431"/>
      <c r="AA7" s="431"/>
      <c r="AB7" s="221"/>
      <c r="AC7" s="1252">
        <f>'2022'!Dépas_env</f>
        <v>4.6592603713102809E-2</v>
      </c>
      <c r="AD7" s="1253"/>
      <c r="AE7" s="828" t="s">
        <v>252</v>
      </c>
      <c r="AF7" s="431"/>
      <c r="AG7" s="431"/>
      <c r="AH7" s="221"/>
      <c r="AI7" s="1252">
        <f>'2023'!Dépas_env</f>
        <v>4.6592603713102809E-2</v>
      </c>
      <c r="AJ7" s="1253"/>
      <c r="AK7" s="828" t="s">
        <v>252</v>
      </c>
      <c r="AL7" s="431"/>
      <c r="AM7" s="431"/>
      <c r="AN7" s="221"/>
      <c r="AO7" s="1252">
        <f>'2024'!Dépas_env</f>
        <v>4.6592603713102809E-2</v>
      </c>
      <c r="AP7" s="1253"/>
      <c r="AQ7" s="828" t="s">
        <v>252</v>
      </c>
      <c r="AR7" s="431"/>
      <c r="AS7" s="431"/>
      <c r="AT7" s="221"/>
      <c r="AU7" s="1252">
        <f>'2025'!Dépas_env</f>
        <v>4.6592603713102809E-2</v>
      </c>
      <c r="AV7" s="1253"/>
      <c r="AW7" s="828" t="s">
        <v>252</v>
      </c>
      <c r="AX7" s="431"/>
      <c r="AY7" s="431"/>
      <c r="AZ7" s="221"/>
      <c r="BA7" s="1252">
        <f>'2026'!Dépas_env</f>
        <v>4.6592603713102809E-2</v>
      </c>
      <c r="BB7" s="1253"/>
      <c r="BC7" s="828" t="s">
        <v>252</v>
      </c>
      <c r="BD7" s="431"/>
      <c r="BE7" s="431"/>
      <c r="BF7" s="221"/>
      <c r="BG7" s="1252">
        <f>'2027'!Dépas_env</f>
        <v>4.6592603713102587E-2</v>
      </c>
      <c r="BH7" s="1253"/>
      <c r="BI7" s="828" t="s">
        <v>252</v>
      </c>
      <c r="BJ7" s="431"/>
      <c r="BK7" s="431"/>
      <c r="BL7" s="221"/>
      <c r="BM7" s="1252"/>
      <c r="BN7" s="1253"/>
      <c r="BO7" s="828" t="s">
        <v>252</v>
      </c>
      <c r="BP7" s="431"/>
      <c r="BQ7" s="431"/>
      <c r="BR7" s="221"/>
      <c r="BS7" s="1252"/>
      <c r="BT7" s="1253"/>
      <c r="BU7" s="828" t="s">
        <v>252</v>
      </c>
      <c r="BV7" s="431"/>
      <c r="BW7" s="431"/>
      <c r="BX7" s="221"/>
      <c r="BY7" s="1252"/>
      <c r="BZ7" s="1253"/>
    </row>
    <row r="8" spans="1:78" ht="15.75" x14ac:dyDescent="0.25">
      <c r="A8" s="427" t="s">
        <v>134</v>
      </c>
      <c r="T8" s="655" t="s">
        <v>195</v>
      </c>
    </row>
    <row r="9" spans="1:78" s="28" customFormat="1" ht="15" customHeight="1" x14ac:dyDescent="0.25">
      <c r="A9" s="446" t="s">
        <v>77</v>
      </c>
      <c r="B9" s="580">
        <f>IF(B4="D",T0,IF(YEAR(B4)=A3,B4, "err."))</f>
        <v>43259</v>
      </c>
      <c r="C9" s="581">
        <f>IF(B9&gt;T0,IF(C4="D",0,C4),0)</f>
        <v>0</v>
      </c>
      <c r="D9" s="582" t="s">
        <v>80</v>
      </c>
      <c r="E9" s="463" t="s">
        <v>80</v>
      </c>
      <c r="F9" s="1193">
        <f>IF(C5="I",T0,B10)</f>
        <v>43259</v>
      </c>
      <c r="G9" s="447" t="s">
        <v>92</v>
      </c>
      <c r="H9" s="580">
        <f>IF(H4="D",B9,IF(YEAR(H4)=G3,H4, "err."))</f>
        <v>43259</v>
      </c>
      <c r="I9" s="581">
        <f>IF(YEAR(H9)=G3,IF(I4="D",C9,I4),C9)</f>
        <v>0</v>
      </c>
      <c r="J9" s="583" t="s">
        <v>80</v>
      </c>
      <c r="K9" s="451" t="s">
        <v>80</v>
      </c>
      <c r="L9" s="1193">
        <f>IF(I5="I",F9,IF(YEAR(H10)=G3,H10,F9))</f>
        <v>43259</v>
      </c>
      <c r="M9" s="449" t="s">
        <v>92</v>
      </c>
      <c r="N9" s="580">
        <f>IF(N4="D",H9,IF(YEAR(N4)=M3,N4, "err."))</f>
        <v>43259</v>
      </c>
      <c r="O9" s="581">
        <f>IF(YEAR(N9)=M3,IF(O4="D",I9,O4),I9)</f>
        <v>0</v>
      </c>
      <c r="P9" s="583" t="s">
        <v>80</v>
      </c>
      <c r="Q9" s="451" t="s">
        <v>80</v>
      </c>
      <c r="R9" s="1193">
        <f>IF(O5="I",L9,IF(YEAR(N10)=M3,N10,L9))</f>
        <v>43259</v>
      </c>
      <c r="S9" s="447" t="s">
        <v>92</v>
      </c>
      <c r="T9" s="580">
        <f>IF(T4="D",N9,IF(YEAR(T4)=S3,T4, "err."))</f>
        <v>43259</v>
      </c>
      <c r="U9" s="581">
        <f>IF(YEAR(T9)=S3,IF(U4="D",O9,U4),O9)</f>
        <v>0</v>
      </c>
      <c r="V9" s="583" t="s">
        <v>80</v>
      </c>
      <c r="W9" s="451" t="s">
        <v>80</v>
      </c>
      <c r="X9" s="1193">
        <f>IF(U5="I",R9,IF(YEAR(T10)=S3,T10,R9))</f>
        <v>44307</v>
      </c>
      <c r="Y9" s="447" t="s">
        <v>92</v>
      </c>
      <c r="Z9" s="580">
        <f>IF(Z4="D",T9,IF(YEAR(Z4)=Y3,Z4, "err."))</f>
        <v>43259</v>
      </c>
      <c r="AA9" s="581">
        <f>IF(YEAR(Z9)=Y3,IF(AA4="D",U9,AA4),U9)</f>
        <v>0</v>
      </c>
      <c r="AB9" s="583" t="s">
        <v>80</v>
      </c>
      <c r="AC9" s="451" t="s">
        <v>80</v>
      </c>
      <c r="AD9" s="1193">
        <f>IF(AA5="I",X9,IF(YEAR(Z10)=Y3,Z10,X9))</f>
        <v>44307</v>
      </c>
      <c r="AE9" s="447" t="s">
        <v>92</v>
      </c>
      <c r="AF9" s="580">
        <f>IF(AF4="D",Z9,IF(YEAR(AF4)=AE3,AF4, "err."))</f>
        <v>43259</v>
      </c>
      <c r="AG9" s="581">
        <f>IF(YEAR(AF9)=AE3,IF(AG4="D",AA9,AG4),AA9)</f>
        <v>0</v>
      </c>
      <c r="AH9" s="583" t="s">
        <v>80</v>
      </c>
      <c r="AI9" s="451" t="s">
        <v>80</v>
      </c>
      <c r="AJ9" s="1193">
        <f>IF(AG5="I",AD9,IF(YEAR(AF10)=AE3,AF10,AD9))</f>
        <v>45046</v>
      </c>
      <c r="AK9" s="447" t="s">
        <v>92</v>
      </c>
      <c r="AL9" s="596">
        <f>IF(AL4="D",AF9,AL4)</f>
        <v>43259</v>
      </c>
      <c r="AM9" s="597">
        <f>IF(AM4="D",AG9,AM4)</f>
        <v>0</v>
      </c>
      <c r="AN9" s="583" t="s">
        <v>80</v>
      </c>
      <c r="AO9" s="598" t="s">
        <v>80</v>
      </c>
      <c r="AP9" s="1193">
        <f>IF(AM5="I",AJ9,IF(YEAR(AL10)=AK3,AL10,AJ9))</f>
        <v>45046</v>
      </c>
      <c r="AQ9" s="447" t="s">
        <v>92</v>
      </c>
      <c r="AR9" s="580">
        <f>IF(AR4="D",AL9,AR4)</f>
        <v>43259</v>
      </c>
      <c r="AS9" s="581">
        <f>IF(AS4="D",AM9,AS4)</f>
        <v>0</v>
      </c>
      <c r="AT9" s="583" t="s">
        <v>80</v>
      </c>
      <c r="AU9" s="451" t="s">
        <v>80</v>
      </c>
      <c r="AV9" s="1193">
        <f>IF(AS5="I",AP9,IF(YEAR(AR10)=AQ3,AR10,AP9))</f>
        <v>45777</v>
      </c>
      <c r="AW9" s="447" t="s">
        <v>92</v>
      </c>
      <c r="AX9" s="580">
        <f>IF(AX4="D",AR9,AX4)</f>
        <v>43259</v>
      </c>
      <c r="AY9" s="581">
        <f>IF(AY4="D",AS9,AY4)</f>
        <v>0</v>
      </c>
      <c r="AZ9" s="583" t="s">
        <v>80</v>
      </c>
      <c r="BA9" s="451" t="s">
        <v>80</v>
      </c>
      <c r="BB9" s="1193">
        <f>IF(AY5="I",AV9,IF(YEAR(AX10)=AW3,AX10,AV9))</f>
        <v>45777</v>
      </c>
      <c r="BC9" s="447" t="s">
        <v>92</v>
      </c>
      <c r="BD9" s="580">
        <f>IF(BD4="D",AX9,BD4)</f>
        <v>43259</v>
      </c>
      <c r="BE9" s="581">
        <f>IF(BE4="D",AY9,BE4)</f>
        <v>0</v>
      </c>
      <c r="BF9" s="583" t="s">
        <v>80</v>
      </c>
      <c r="BG9" s="451" t="s">
        <v>80</v>
      </c>
      <c r="BH9" s="1193">
        <f>IF(BE5="I",BB9,IF(YEAR(BD10)=BC3,BD10,BB9))</f>
        <v>46507</v>
      </c>
      <c r="BI9" s="447" t="s">
        <v>92</v>
      </c>
      <c r="BJ9" s="580">
        <f>IF(BJ4="D",BD9,BJ4)</f>
        <v>43259</v>
      </c>
      <c r="BK9" s="581">
        <f>IF(BK4="D",BE9,BK4)</f>
        <v>0</v>
      </c>
      <c r="BL9" s="583" t="s">
        <v>80</v>
      </c>
      <c r="BM9" s="451" t="s">
        <v>80</v>
      </c>
      <c r="BN9" s="1193" t="e">
        <f>IF(BK5="I",BH9,IF(YEAR(BJ10)=BI3,BJ10,BH9))</f>
        <v>#NAME?</v>
      </c>
      <c r="BO9" s="447" t="s">
        <v>92</v>
      </c>
      <c r="BP9" s="580">
        <f>IF(BP4="D",BJ9,BP4)</f>
        <v>43259</v>
      </c>
      <c r="BQ9" s="581">
        <f>IF(BQ4="D",BK9,BQ4)</f>
        <v>0</v>
      </c>
      <c r="BR9" s="583" t="s">
        <v>80</v>
      </c>
      <c r="BS9" s="451" t="s">
        <v>80</v>
      </c>
      <c r="BT9" s="1193" t="e">
        <f>IF(BQ5="I",BN9,IF(YEAR(BP10)=BO3,BP10,BN9))</f>
        <v>#NAME?</v>
      </c>
      <c r="BU9" s="447" t="s">
        <v>92</v>
      </c>
      <c r="BV9" s="580">
        <f>IF(BV4="D",BP9,BV4)</f>
        <v>43259</v>
      </c>
      <c r="BW9" s="581">
        <f>IF(BW4="D",BQ9,BW4)</f>
        <v>0</v>
      </c>
      <c r="BX9" s="583" t="s">
        <v>80</v>
      </c>
      <c r="BY9" s="451" t="s">
        <v>80</v>
      </c>
      <c r="BZ9" s="1193" t="e">
        <f>IF(BW5="I",BT9,IF(YEAR(BV10)=BU3,BV10,BT9))</f>
        <v>#NAME?</v>
      </c>
    </row>
    <row r="10" spans="1:78" s="450" customFormat="1" ht="15" customHeight="1" x14ac:dyDescent="0.25">
      <c r="A10" s="464" t="s">
        <v>16</v>
      </c>
      <c r="B10" s="578">
        <f>IF(B5="D",T0,IF(YEAR(B5)=A3,B5, "err."))</f>
        <v>43259</v>
      </c>
      <c r="C10" s="584">
        <f>IF(B10&gt;T0,IF(C5="D",0,C5),0)</f>
        <v>0</v>
      </c>
      <c r="D10" s="585">
        <f>IF(YEAR(B10)=A3,IF(D5="D",Salim_i,D5),Salim_i)</f>
        <v>7.0000000000000007E-2</v>
      </c>
      <c r="E10" s="586">
        <f>IF(E5="D",Tau_i,IF(YEAR(B10)=A3,E5,Tau_i))</f>
        <v>3</v>
      </c>
      <c r="F10" s="1194">
        <f>C10</f>
        <v>0</v>
      </c>
      <c r="G10" s="449" t="s">
        <v>93</v>
      </c>
      <c r="H10" s="578">
        <f>IF(H5="D",IF(AND(G3&gt;=YEAR(F9)+Inter_net,G3&gt;Amaj),DATE(G3,4,30),B10),IF(YEAR(H5)=G3,H5,"err."))</f>
        <v>43259</v>
      </c>
      <c r="I10" s="584">
        <f>IF(G3=YEAR(H10),IF(I5="D",F10,I5),C13)</f>
        <v>0</v>
      </c>
      <c r="J10" s="585">
        <f>IF(G3=YEAR(H10),IF(J5="D",D10,J5),D10)</f>
        <v>7.0000000000000007E-2</v>
      </c>
      <c r="K10" s="586">
        <f>IF(G3=YEAR(H10),IF(K5="D",E10,K5),E10)</f>
        <v>3</v>
      </c>
      <c r="L10" s="1194">
        <f>IF(I5="I",F10,IF(I5="D",F10,I5))</f>
        <v>0</v>
      </c>
      <c r="M10" s="449" t="s">
        <v>93</v>
      </c>
      <c r="N10" s="578">
        <f>IF(N5="D",IF(AND(M3&gt;=YEAR(L9)+Inter_net,M3&gt;Amaj),DATE(M3,4,30),H10),IF(YEAR(N5)=M3,N5,"err."))</f>
        <v>43922</v>
      </c>
      <c r="O10" s="584" t="str">
        <f>IF(M3=YEAR(N10),IF(O5="D",L10,O5),I13)</f>
        <v>I</v>
      </c>
      <c r="P10" s="585">
        <f>IF(M3=YEAR(N10),IF(P5="D",J10,P5),J10)</f>
        <v>0.115</v>
      </c>
      <c r="Q10" s="586">
        <f>IF(M3=YEAR(N10),IF(Q5="D",K10,Q5),K10)</f>
        <v>3</v>
      </c>
      <c r="R10" s="1194">
        <f>IF(O5="I",L10,IF(O5="D",L10,O5))</f>
        <v>0</v>
      </c>
      <c r="S10" s="449" t="s">
        <v>93</v>
      </c>
      <c r="T10" s="578">
        <f>IF(T5="D",IF(AND(S3&gt;=YEAR(R9)+Inter_net,S3&gt;Amaj),DATE(S3,4,30),N10),IF(YEAR(T5)=S3,T5,"err."))</f>
        <v>44307</v>
      </c>
      <c r="U10" s="584">
        <f>IF(S3=YEAR(T10),IF(U5="D",R10,U5),O13)</f>
        <v>5.0000000000000001E-3</v>
      </c>
      <c r="V10" s="585">
        <f>IF(S3=YEAR(T10),IF(V5="D",P10,V5),P10)</f>
        <v>0.1</v>
      </c>
      <c r="W10" s="586">
        <f>IF(S3=YEAR(T10),IF(W5="D",Q10,W5),Q10)</f>
        <v>3</v>
      </c>
      <c r="X10" s="1194">
        <f>IF(U5="I",R10,IF(U5="D",R10,U5))</f>
        <v>5.0000000000000001E-3</v>
      </c>
      <c r="Y10" s="449" t="s">
        <v>93</v>
      </c>
      <c r="Z10" s="578">
        <f>IF(Z5="D",IF(AND(Y3&gt;=YEAR(X9)+Inter_net,Y3&gt;Amaj),DATE(Y3,4,30),T10),IF(YEAR(Z5)=Y3,Z5,"err."))</f>
        <v>44593</v>
      </c>
      <c r="AA10" s="584" t="str">
        <f>IF(Y3=YEAR(Z10),IF(AA5="D",X10,AA5),U13)</f>
        <v>I</v>
      </c>
      <c r="AB10" s="585">
        <f>IF(Y3=YEAR(Z10),IF(AB5="D",V10,AB5),V10)</f>
        <v>0.1</v>
      </c>
      <c r="AC10" s="586">
        <f>IF(Y3=YEAR(Z10),IF(AC5="D",W10,AC5),W10)</f>
        <v>2</v>
      </c>
      <c r="AD10" s="1194">
        <f>IF(AA5="I",X10,IF(AA5="D",X10,AA5))</f>
        <v>5.0000000000000001E-3</v>
      </c>
      <c r="AE10" s="449" t="s">
        <v>93</v>
      </c>
      <c r="AF10" s="578">
        <f>IF(AF5="D",IF(AND(AE3&gt;=YEAR(AD9)+Inter_net,AE3&gt;Amaj),DATE(AE3,4,30),Z10),IF(YEAR(AF5)=AE3,AF5,"err."))</f>
        <v>45046</v>
      </c>
      <c r="AG10" s="584">
        <f>IF(AE3=YEAR(AF10),IF(AG5="D",AD10,AG5),AA13)</f>
        <v>5.0000000000000001E-3</v>
      </c>
      <c r="AH10" s="585">
        <f>IF(AE3=YEAR(AF10),IF(AH5="D",AB10,AH5),AB10)</f>
        <v>0.105</v>
      </c>
      <c r="AI10" s="586">
        <f>IF(AE3=YEAR(AF10),IF(AI5="D",AC10,AI5),AC10)</f>
        <v>2.6666666666666665</v>
      </c>
      <c r="AJ10" s="1194">
        <f>IF(AG5="I",AD10,IF(AG5="D",AD10,AG5))</f>
        <v>5.0000000000000001E-3</v>
      </c>
      <c r="AK10" s="449" t="s">
        <v>93</v>
      </c>
      <c r="AL10" s="578">
        <f>IF(AL5="D",IF(AND(AK3&gt;=YEAR(AJ9)+Inter_net,AK3&gt;Amaj),DATE(AK3,4,30),AF10),IF(YEAR(AL5)=AK3,AL5,"err."))</f>
        <v>45046</v>
      </c>
      <c r="AM10" s="584">
        <f>IF(AK3=YEAR(AL10),IF(AM5="D",AJ10,AM5),AG13)</f>
        <v>5.0000000000000001E-3</v>
      </c>
      <c r="AN10" s="585">
        <f>IF(AN5="D",AH10,AN5)</f>
        <v>0.105</v>
      </c>
      <c r="AO10" s="586">
        <f>IF(AO5="D",AI10,AO5)</f>
        <v>2.6666666666666665</v>
      </c>
      <c r="AP10" s="1194">
        <f>IF(AM5="I",AJ10,IF(AM5="D",AJ10,AM5))</f>
        <v>5.0000000000000001E-3</v>
      </c>
      <c r="AQ10" s="449" t="s">
        <v>93</v>
      </c>
      <c r="AR10" s="578">
        <f>IF(AR5="D",IF(AND(AQ3&gt;=YEAR(AP9)+Inter_net,AQ3&gt;Amaj),DATE(AQ3,4,30),AL10),IF(YEAR(AR5)=AQ3,AR5,"err."))</f>
        <v>45777</v>
      </c>
      <c r="AS10" s="584">
        <f>IF(AQ3=YEAR(AR10),IF(AS5="D",AP10,AS5),AM13)</f>
        <v>5.0000000000000001E-3</v>
      </c>
      <c r="AT10" s="585">
        <f>IF(AT5="D",AN10,AT5)</f>
        <v>0.105</v>
      </c>
      <c r="AU10" s="586">
        <f>IF(AU5="D",AO10,AU5)</f>
        <v>2.6666666666666665</v>
      </c>
      <c r="AV10" s="1194">
        <f>IF(AS5="I",AP10,IF(AS5="D",AP10,AS5))</f>
        <v>5.0000000000000001E-3</v>
      </c>
      <c r="AW10" s="449" t="s">
        <v>93</v>
      </c>
      <c r="AX10" s="578">
        <f>IF(AX5="D",IF(AND(AW3&gt;=YEAR(AV9)+Inter_net,AW3&gt;Amaj),DATE(AW3,4,30),AR10),IF(YEAR(AX5)=AW3,AX5,"err."))</f>
        <v>45777</v>
      </c>
      <c r="AY10" s="584">
        <f>IF(AW3=YEAR(AX10),IF(AY5="D",AV10,AY5),AS13)</f>
        <v>5.0000000000000001E-3</v>
      </c>
      <c r="AZ10" s="585">
        <f>IF(AZ5="D",AT10,AZ5)</f>
        <v>0.105</v>
      </c>
      <c r="BA10" s="586">
        <f>IF(BA5="D",AU10,BA5)</f>
        <v>2.6666666666666665</v>
      </c>
      <c r="BB10" s="1194">
        <f>IF(AY5="I",AV10,IF(AY5="D",AV10,AY5))</f>
        <v>5.0000000000000001E-3</v>
      </c>
      <c r="BC10" s="449" t="s">
        <v>93</v>
      </c>
      <c r="BD10" s="578">
        <f>IF(BD5="D",IF(AND(BC3&gt;=YEAR(BB9)+Inter_net,BC3&gt;Amaj),DATE(BC3,4,30),AX10),IF(YEAR(BD5)=BC3,BD5,"err."))</f>
        <v>46507</v>
      </c>
      <c r="BE10" s="584">
        <f>IF(BC3=YEAR(BD10),IF(BE5="D",BB10,BE5),AY13)</f>
        <v>5.0000000000000001E-3</v>
      </c>
      <c r="BF10" s="585">
        <f>IF(BF5="D",AZ10,BF5)</f>
        <v>0.105</v>
      </c>
      <c r="BG10" s="586">
        <f>IF(BG5="D",BA10,BG5)</f>
        <v>2.6666666666666665</v>
      </c>
      <c r="BH10" s="1194">
        <f>IF(BE5="I",BB10,IF(BE5="D",BB10,BE5))</f>
        <v>5.0000000000000001E-3</v>
      </c>
      <c r="BI10" s="449" t="s">
        <v>93</v>
      </c>
      <c r="BJ10" s="578" t="e">
        <f>IF(BJ5="D",IF(AND(BI3&gt;=YEAR(BH9)+Inter_net,BI3&gt;Amaj),DATE(BI3,4,30),BD10),IF(YEAR(BJ5)=BI3,BJ5,"err."))</f>
        <v>#NAME?</v>
      </c>
      <c r="BK10" s="584" t="e">
        <f>IF(BI3=YEAR(BJ10),IF(BK5="D",BH10,BK5),BE13)</f>
        <v>#NAME?</v>
      </c>
      <c r="BL10" s="585">
        <f>IF(BL5="D",BF10,BL5)</f>
        <v>0.105</v>
      </c>
      <c r="BM10" s="586">
        <f>IF(BM5="D",BG10,BM5)</f>
        <v>2.6666666666666665</v>
      </c>
      <c r="BN10" s="1194">
        <f>IF(BK5="I",BH10,IF(BK5="D",BH10,BK5))</f>
        <v>5.0000000000000001E-3</v>
      </c>
      <c r="BO10" s="449" t="s">
        <v>93</v>
      </c>
      <c r="BP10" s="578" t="e">
        <f>IF(BP5="D",IF(AND(BO3&gt;=YEAR(BN9)+Inter_net,BO3&gt;Amaj),DATE(BO3,4,30),BJ10),IF(YEAR(BP5)=BO3,BP5,"err."))</f>
        <v>#NAME?</v>
      </c>
      <c r="BQ10" s="584" t="e">
        <f>IF(BO3=YEAR(BP10),IF(BQ5="D",BN10,BQ5),BK13)</f>
        <v>#NAME?</v>
      </c>
      <c r="BR10" s="585">
        <f>IF(BR5="D",BL10,BR5)</f>
        <v>0.105</v>
      </c>
      <c r="BS10" s="586">
        <f>IF(BS5="D",BM10,BS5)</f>
        <v>2.6666666666666665</v>
      </c>
      <c r="BT10" s="1194">
        <f>IF(BQ5="I",BN10,IF(BQ5="D",BN10,BQ5))</f>
        <v>5.0000000000000001E-3</v>
      </c>
      <c r="BU10" s="449" t="s">
        <v>93</v>
      </c>
      <c r="BV10" s="578" t="e">
        <f>IF(BV5="D",IF(AND(BU3&gt;=YEAR(BT9)+Inter_net,BU3&gt;Amaj),DATE(BU3,4,30),BP10),IF(YEAR(BV5)=BU3,BV5,"err."))</f>
        <v>#NAME?</v>
      </c>
      <c r="BW10" s="584" t="e">
        <f>IF(BU3=YEAR(BV10),IF(BW5="D",BT10,BW5),BQ13)</f>
        <v>#NAME?</v>
      </c>
      <c r="BX10" s="585">
        <f>IF(BX5="D",BR10,BX5)</f>
        <v>0.105</v>
      </c>
      <c r="BY10" s="586">
        <f>IF(BY5="D",BS10,BY5)</f>
        <v>2.6666666666666665</v>
      </c>
      <c r="BZ10" s="1194">
        <f>IF(BW5="I",BT10,IF(BW5="D",BT10,BW5))</f>
        <v>5.0000000000000001E-3</v>
      </c>
    </row>
    <row r="11" spans="1:78" s="450" customFormat="1" ht="15" customHeight="1" x14ac:dyDescent="0.25">
      <c r="A11" s="448" t="s">
        <v>18</v>
      </c>
      <c r="B11" s="579">
        <f>IF(B6="D",DATE(A3,1,1),IF(YEAR(B6)=A3,B6, "err."))</f>
        <v>43101</v>
      </c>
      <c r="C11" s="587">
        <f>IF(C6="D",D_i,C6)</f>
        <v>0.5</v>
      </c>
      <c r="D11" s="1258">
        <f>IF(D6="D",IF(B11&gt;DATE(A3,1,1),H_i,H_i+PousHi),D6)</f>
        <v>-1.5026106892122759</v>
      </c>
      <c r="E11" s="1258"/>
      <c r="F11" s="188"/>
      <c r="G11" s="449" t="s">
        <v>94</v>
      </c>
      <c r="H11" s="579">
        <f>IF(H6="D",IF(AND(G3&gt;=YEAR(B11)+Inter_tai,G3&gt;Amaj),DATE(G3,3,31),B11),IF(YEAR(H6)=G3,H6,"err."))</f>
        <v>43101</v>
      </c>
      <c r="I11" s="587">
        <f>IF(I6="D",IF(G3=YEAR(H11),D_i,C11),I6)</f>
        <v>0.5</v>
      </c>
      <c r="J11" s="1258">
        <f>IF(J6="D",IF(G3=YEAR(H11),H_i,D16+E16),J6)</f>
        <v>-1.0026107667502175</v>
      </c>
      <c r="K11" s="1258"/>
      <c r="L11" s="188"/>
      <c r="M11" s="449" t="s">
        <v>94</v>
      </c>
      <c r="N11" s="579">
        <f>IF(N6="D",IF(AND(M3&gt;=YEAR(H11)+Inter_tai,M3&gt;Amaj),DATE(M3,3,31),H11),IF(YEAR(N6)=M3,N6,"err."))</f>
        <v>43101</v>
      </c>
      <c r="O11" s="587">
        <f>IF(O6="D",IF(M3=YEAR(N11),D_i,I11),O6)</f>
        <v>0.5</v>
      </c>
      <c r="P11" s="1258">
        <f>IF(P6="D",IF(M3=YEAR(N11),H_i,J16+K16),P6)</f>
        <v>-0.50261084428815916</v>
      </c>
      <c r="Q11" s="1258"/>
      <c r="R11" s="188"/>
      <c r="S11" s="449" t="s">
        <v>94</v>
      </c>
      <c r="T11" s="579">
        <f>IF(T6="D",IF(AND(S3&gt;=YEAR(N11)+Inter_tai,S3&gt;Amaj),DATE(S3,3,31),N11),IF(YEAR(T6)=S3,T6,"err."))</f>
        <v>43101</v>
      </c>
      <c r="U11" s="587">
        <f>IF(U6="D",IF(S3=YEAR(T11),D_i,O11),U6)</f>
        <v>0.5</v>
      </c>
      <c r="V11" s="1258">
        <f>IF(V6="D",IF(S3=YEAR(T11),H_i,P16+Q16),V6)</f>
        <v>-2.6109218261007872E-3</v>
      </c>
      <c r="W11" s="1258"/>
      <c r="X11" s="188"/>
      <c r="Y11" s="449" t="s">
        <v>94</v>
      </c>
      <c r="Z11" s="579">
        <f>IF(Z6="D",IF(AND(Y3&gt;=YEAR(T11)+Inter_tai,Y3&gt;Amaj),DATE(Y3,3,31),T11),IF(YEAR(Z6)=Y3,Z6,"err."))</f>
        <v>43101</v>
      </c>
      <c r="AA11" s="587">
        <f>IF(AA6="D",IF(Y3=YEAR(Z11),D_i,U11),AA6)</f>
        <v>0.5</v>
      </c>
      <c r="AB11" s="1258">
        <f>IF(AB6="D",IF(Y3=YEAR(Z11),H_i,V16+W16),AB6)</f>
        <v>0.49738900063595753</v>
      </c>
      <c r="AC11" s="1258"/>
      <c r="AD11" s="188"/>
      <c r="AE11" s="449" t="s">
        <v>94</v>
      </c>
      <c r="AF11" s="579">
        <f>IF(AF6="D",IF(AND(AE3&gt;=YEAR(Z11)+Inter_tai,AE3&gt;Amaj),DATE(AE3,3,31),Z11),IF(YEAR(AF6)=AE3,AF6,"err."))</f>
        <v>43101</v>
      </c>
      <c r="AG11" s="587">
        <f>IF(AG6="D",IF(AE3=YEAR(AF11),D_i,AA11),AG6)</f>
        <v>0.5</v>
      </c>
      <c r="AH11" s="1258">
        <f>IF(AH6="D",IF(AE3=YEAR(AF11),H_i,AB16+AC16),AH6)</f>
        <v>0.99738892309801586</v>
      </c>
      <c r="AI11" s="1258"/>
      <c r="AJ11" s="188"/>
      <c r="AK11" s="449" t="s">
        <v>94</v>
      </c>
      <c r="AL11" s="579">
        <f>IF(AL6="D",IF(AND(AK3&gt;=YEAR(AF11)+Inter_tai,AK3&gt;Amaj),DATE(AK3,3,31),AF11),IF(YEAR(AL6)=AK3,AL6,"err."))</f>
        <v>43101</v>
      </c>
      <c r="AM11" s="587">
        <f>IF(AM6="D",IF(AK3=YEAR(AL11),D_i,AG11),AM6)</f>
        <v>0.5</v>
      </c>
      <c r="AN11" s="1258">
        <f>IF(AN6="D",IF(AK3=YEAR(AL11),H_i,AH16+PousHi),AN6)</f>
        <v>1.4973888455600741</v>
      </c>
      <c r="AO11" s="1258"/>
      <c r="AP11" s="188"/>
      <c r="AQ11" s="449" t="s">
        <v>94</v>
      </c>
      <c r="AR11" s="579">
        <f>IF(AR6="D",IF(AND(AQ3&gt;=YEAR(AL11)+Inter_tai,AQ3&gt;Amaj),DATE(AQ3,3,31),AL11),IF(YEAR(AR6)=AQ3,AR6,"err."))</f>
        <v>45747</v>
      </c>
      <c r="AS11" s="587">
        <f>IF(AS6="D",IF(AQ3=YEAR(AR11),D_i,AM11),AS6)</f>
        <v>0.5</v>
      </c>
      <c r="AT11" s="1258">
        <f>IF(AT6="D",IF(AQ3=YEAR(AR11),H_i,AN16+PousHi),AT6)</f>
        <v>-2.0026106892122759</v>
      </c>
      <c r="AU11" s="1258"/>
      <c r="AV11" s="188"/>
      <c r="AW11" s="449" t="s">
        <v>94</v>
      </c>
      <c r="AX11" s="579">
        <f>IF(AX6="D",IF(AND(AW3&gt;=YEAR(AR11)+Inter_tai,AW3&gt;Amaj),DATE(AW3,3,31),AR11),IF(YEAR(AX6)=AW3,AX6,"err."))</f>
        <v>45747</v>
      </c>
      <c r="AY11" s="587">
        <f>IF(AY6="D",IF(AW3=YEAR(AX11),D_i,AS11),AY6)</f>
        <v>0.5</v>
      </c>
      <c r="AZ11" s="1258">
        <f>IF(AZ6="D",IF(AW3=YEAR(AX11),H_i,AT16+PousHi),AZ6)</f>
        <v>-1.027598875889788</v>
      </c>
      <c r="BA11" s="1258"/>
      <c r="BB11" s="188"/>
      <c r="BC11" s="449" t="s">
        <v>94</v>
      </c>
      <c r="BD11" s="579">
        <f>IF(BD6="D",IF(AND(BC3&gt;=YEAR(AX11)+Inter_tai,BC3&gt;Amaj),DATE(BC3,3,31),AX11),IF(YEAR(BD6)=BC3,BD6,"err."))</f>
        <v>45747</v>
      </c>
      <c r="BE11" s="587">
        <f>IF(BE6="D",IF(BC3=YEAR(BD11),D_i,AY11),BE6)</f>
        <v>0.5</v>
      </c>
      <c r="BF11" s="1258">
        <f>IF(BF6="D",IF(BC3=YEAR(BD11),H_i,AZ16+PousHi),BF6)</f>
        <v>-0.52759895342772967</v>
      </c>
      <c r="BG11" s="1258"/>
      <c r="BH11" s="188"/>
      <c r="BI11" s="449" t="s">
        <v>94</v>
      </c>
      <c r="BJ11" s="579" t="e">
        <f>IF(BJ6="D",IF(AND(BI3&gt;=YEAR(BD11)+Inter_tai,BI3&gt;Amaj),DATE(BI3,3,31),BD11),IF(YEAR(BJ6)=BI3,BJ6,"err."))</f>
        <v>#NAME?</v>
      </c>
      <c r="BK11" s="587" t="e">
        <f>IF(BK6="D",IF(BI3=YEAR(BJ11),D_i,BE11),BK6)</f>
        <v>#NAME?</v>
      </c>
      <c r="BL11" s="1258" t="e">
        <f>IF(BL6="D",IF(BI3=YEAR(BJ11),H_i,BF16+PousHi),BL6)</f>
        <v>#NAME?</v>
      </c>
      <c r="BM11" s="1258"/>
      <c r="BN11" s="188"/>
      <c r="BO11" s="449" t="s">
        <v>94</v>
      </c>
      <c r="BP11" s="579" t="e">
        <f>IF(BP6="D",IF(AND(BO3&gt;=YEAR(BJ11)+Inter_tai,BO3&gt;Amaj),DATE(BO3,3,31),BJ11),IF(YEAR(BP6)=BO3,BP6,"err."))</f>
        <v>#NAME?</v>
      </c>
      <c r="BQ11" s="587" t="e">
        <f>IF(BQ6="D",IF(BO3=YEAR(BP11),D_i,BK11),BQ6)</f>
        <v>#NAME?</v>
      </c>
      <c r="BR11" s="1258" t="e">
        <f>IF(BR6="D",IF(BO3=YEAR(BP11),H_i,BL16+PousHi),BR6)</f>
        <v>#NAME?</v>
      </c>
      <c r="BS11" s="1258"/>
      <c r="BT11" s="188"/>
      <c r="BU11" s="449" t="s">
        <v>94</v>
      </c>
      <c r="BV11" s="579" t="e">
        <f>IF(BV6="D",IF(AND(BU3&gt;=YEAR(BP11)+Inter_tai,BU3&gt;Amaj),DATE(BU3,3,31),BP11),IF(YEAR(BV6)=BU3,BV6,"err."))</f>
        <v>#NAME?</v>
      </c>
      <c r="BW11" s="587" t="e">
        <f>IF(BW6="D",IF(BU3=YEAR(BV11),D_i,BQ11),BW6)</f>
        <v>#NAME?</v>
      </c>
      <c r="BX11" s="1258" t="e">
        <f>IF(BX6="D",IF(BU3=YEAR(BV11),H_i,BR16+PousHi),BX6)</f>
        <v>#NAME?</v>
      </c>
      <c r="BY11" s="1258"/>
      <c r="BZ11" s="188"/>
    </row>
    <row r="12" spans="1:78" x14ac:dyDescent="0.25">
      <c r="A12" s="8" t="s">
        <v>165</v>
      </c>
      <c r="B12" s="445"/>
      <c r="C12" s="455"/>
      <c r="D12" s="403"/>
      <c r="E12" s="456"/>
      <c r="H12" s="445"/>
      <c r="L12" s="466"/>
      <c r="M12" s="456"/>
      <c r="AL12" s="456"/>
      <c r="AM12" s="455"/>
      <c r="AN12" s="403"/>
      <c r="AO12" s="456"/>
    </row>
    <row r="13" spans="1:78" s="409" customFormat="1" ht="15" customHeight="1" x14ac:dyDescent="0.25">
      <c r="A13" s="460" t="s">
        <v>16</v>
      </c>
      <c r="B13" s="588">
        <f>+'2018'!Tnet</f>
        <v>43259</v>
      </c>
      <c r="C13" s="589">
        <f>+'2018'!Resal</f>
        <v>0</v>
      </c>
      <c r="D13" s="590">
        <f>+'2018'!Salim</f>
        <v>7.0000000000000007E-2</v>
      </c>
      <c r="E13" s="591">
        <f>+'2018'!Tau_j/365</f>
        <v>3</v>
      </c>
      <c r="F13" s="465"/>
      <c r="G13" s="467" t="s">
        <v>93</v>
      </c>
      <c r="H13" s="588">
        <f>+'2019'!Tnet</f>
        <v>43259</v>
      </c>
      <c r="I13" s="589">
        <f>+'2019'!Resal</f>
        <v>0</v>
      </c>
      <c r="J13" s="590">
        <f>+'2019'!Salim</f>
        <v>7.0000000000000007E-2</v>
      </c>
      <c r="K13" s="591">
        <f>+'2019'!Tau_j/365</f>
        <v>3</v>
      </c>
      <c r="L13" s="468"/>
      <c r="M13" s="449" t="s">
        <v>93</v>
      </c>
      <c r="N13" s="588">
        <f>+'2020'!Tnet</f>
        <v>43922</v>
      </c>
      <c r="O13" s="589">
        <f>+'2020'!Resal</f>
        <v>3.1793112897840876E-2</v>
      </c>
      <c r="P13" s="590">
        <f>+'2020'!Salim</f>
        <v>0.115</v>
      </c>
      <c r="Q13" s="591">
        <f>+'2020'!Tau_j/365</f>
        <v>3</v>
      </c>
      <c r="R13" s="468"/>
      <c r="S13" s="449" t="s">
        <v>93</v>
      </c>
      <c r="T13" s="588">
        <f>+'2021'!Tnet</f>
        <v>44307</v>
      </c>
      <c r="U13" s="589">
        <f>+'2021'!Resal</f>
        <v>5.0000000000000001E-3</v>
      </c>
      <c r="V13" s="590">
        <f>+'2021'!Salim</f>
        <v>0.1</v>
      </c>
      <c r="W13" s="591">
        <f>+'2021'!Tau_j/365</f>
        <v>3</v>
      </c>
      <c r="X13" s="468"/>
      <c r="Y13" s="449" t="s">
        <v>93</v>
      </c>
      <c r="Z13" s="588">
        <f>+'2022'!Tnet</f>
        <v>44593</v>
      </c>
      <c r="AA13" s="589">
        <f>+'2022'!Resal</f>
        <v>2.6837011099374114E-2</v>
      </c>
      <c r="AB13" s="590">
        <f>+'2022'!Salim</f>
        <v>0.1</v>
      </c>
      <c r="AC13" s="591">
        <f>+'2022'!Tau_j/365</f>
        <v>2</v>
      </c>
      <c r="AD13" s="468"/>
      <c r="AE13" s="449" t="s">
        <v>93</v>
      </c>
      <c r="AF13" s="588">
        <f>+'2023'!Tnet</f>
        <v>45046</v>
      </c>
      <c r="AG13" s="589">
        <f>+'2023'!Resal</f>
        <v>5.0000000000000001E-3</v>
      </c>
      <c r="AH13" s="590">
        <f>+'2023'!Salim</f>
        <v>0.105</v>
      </c>
      <c r="AI13" s="591">
        <f>+'2023'!Tau_j/365</f>
        <v>2.6666666666666665</v>
      </c>
      <c r="AJ13" s="468"/>
      <c r="AK13" s="449" t="s">
        <v>93</v>
      </c>
      <c r="AL13" s="588">
        <f>+'2024'!Tnet</f>
        <v>45046</v>
      </c>
      <c r="AM13" s="589">
        <f>+'2024'!Resal</f>
        <v>5.0000000000000001E-3</v>
      </c>
      <c r="AN13" s="590">
        <f>+'2024'!Salim</f>
        <v>0.105</v>
      </c>
      <c r="AO13" s="591">
        <f>+'2024'!Tau_j/365</f>
        <v>2.6666666666666665</v>
      </c>
      <c r="AP13" s="465"/>
      <c r="AQ13" s="449" t="s">
        <v>93</v>
      </c>
      <c r="AR13" s="588">
        <f>+'2025'!Tnet</f>
        <v>45777</v>
      </c>
      <c r="AS13" s="589">
        <f>+'2025'!Resal</f>
        <v>5.0000000000000001E-3</v>
      </c>
      <c r="AT13" s="590">
        <f>+'2025'!Salim</f>
        <v>0.105</v>
      </c>
      <c r="AU13" s="591">
        <f>+'2025'!Tau_j/365</f>
        <v>2.6666666666666665</v>
      </c>
      <c r="AV13" s="465"/>
      <c r="AW13" s="449" t="s">
        <v>93</v>
      </c>
      <c r="AX13" s="588">
        <f>+'2026'!Tnet</f>
        <v>45777</v>
      </c>
      <c r="AY13" s="589">
        <f>+'2026'!Resal</f>
        <v>5.0000000000000001E-3</v>
      </c>
      <c r="AZ13" s="590">
        <f>+'2026'!Salim</f>
        <v>0.105</v>
      </c>
      <c r="BA13" s="591">
        <f>+'2026'!Tau_j/365</f>
        <v>2.6666666666666665</v>
      </c>
      <c r="BB13" s="465"/>
      <c r="BC13" s="449" t="s">
        <v>93</v>
      </c>
      <c r="BD13" s="588">
        <f>+'2027'!Tnet</f>
        <v>46507</v>
      </c>
      <c r="BE13" s="589">
        <f>+'2027'!Resal</f>
        <v>5.0000000000000001E-3</v>
      </c>
      <c r="BF13" s="590">
        <f>+'2027'!Salim</f>
        <v>0.105</v>
      </c>
      <c r="BG13" s="591">
        <f>+'2027'!Tau_j/365</f>
        <v>2.6666666666666665</v>
      </c>
      <c r="BH13" s="465"/>
      <c r="BI13" s="449" t="s">
        <v>93</v>
      </c>
      <c r="BJ13" s="588">
        <f>+'2018'!Tnet</f>
        <v>43259</v>
      </c>
      <c r="BK13" s="589">
        <f>+'2018'!Resal</f>
        <v>0</v>
      </c>
      <c r="BL13" s="590">
        <f>+'2018'!Salim</f>
        <v>7.0000000000000007E-2</v>
      </c>
      <c r="BM13" s="591">
        <f>+'2018'!Tau_j/365</f>
        <v>3</v>
      </c>
      <c r="BN13" s="465"/>
      <c r="BO13" s="449" t="s">
        <v>93</v>
      </c>
      <c r="BP13" s="588">
        <f>+'2018'!Tnet</f>
        <v>43259</v>
      </c>
      <c r="BQ13" s="589">
        <f>+'2018'!Resal</f>
        <v>0</v>
      </c>
      <c r="BR13" s="590">
        <f>+'2018'!Salim</f>
        <v>7.0000000000000007E-2</v>
      </c>
      <c r="BS13" s="591">
        <f>+'2018'!Tau_j/365</f>
        <v>3</v>
      </c>
      <c r="BT13" s="465"/>
      <c r="BU13" s="449" t="s">
        <v>93</v>
      </c>
      <c r="BV13" s="588">
        <f>+'2018'!Tnet</f>
        <v>43259</v>
      </c>
      <c r="BW13" s="589">
        <f>+'2018'!Resal</f>
        <v>0</v>
      </c>
      <c r="BX13" s="590">
        <f>+'2018'!Salim</f>
        <v>7.0000000000000007E-2</v>
      </c>
      <c r="BY13" s="591">
        <f>+'2018'!Tau_j/365</f>
        <v>3</v>
      </c>
      <c r="BZ13" s="465"/>
    </row>
    <row r="14" spans="1:78" s="459" customFormat="1" ht="12.75" customHeight="1" x14ac:dyDescent="0.25">
      <c r="A14" s="477"/>
      <c r="B14" s="478" t="s">
        <v>2</v>
      </c>
      <c r="C14" s="478" t="s">
        <v>129</v>
      </c>
      <c r="D14" s="478" t="s">
        <v>130</v>
      </c>
      <c r="E14" s="478" t="s">
        <v>131</v>
      </c>
      <c r="F14" s="479"/>
      <c r="G14" s="480"/>
      <c r="H14" s="481" t="s">
        <v>2</v>
      </c>
      <c r="I14" s="481" t="s">
        <v>129</v>
      </c>
      <c r="J14" s="481" t="s">
        <v>130</v>
      </c>
      <c r="K14" s="481" t="s">
        <v>131</v>
      </c>
      <c r="L14" s="482"/>
      <c r="M14" s="483"/>
      <c r="N14" s="481" t="s">
        <v>2</v>
      </c>
      <c r="O14" s="481" t="s">
        <v>129</v>
      </c>
      <c r="P14" s="481" t="s">
        <v>130</v>
      </c>
      <c r="Q14" s="481" t="s">
        <v>131</v>
      </c>
      <c r="R14" s="479"/>
      <c r="S14" s="480"/>
      <c r="T14" s="481" t="s">
        <v>2</v>
      </c>
      <c r="U14" s="481" t="s">
        <v>129</v>
      </c>
      <c r="V14" s="481" t="s">
        <v>130</v>
      </c>
      <c r="W14" s="481" t="s">
        <v>131</v>
      </c>
      <c r="X14" s="479"/>
      <c r="Y14" s="480"/>
      <c r="Z14" s="481" t="s">
        <v>2</v>
      </c>
      <c r="AA14" s="481" t="s">
        <v>129</v>
      </c>
      <c r="AB14" s="481" t="s">
        <v>130</v>
      </c>
      <c r="AC14" s="481" t="s">
        <v>131</v>
      </c>
      <c r="AD14" s="479"/>
      <c r="AE14" s="480"/>
      <c r="AF14" s="481" t="s">
        <v>2</v>
      </c>
      <c r="AG14" s="481" t="s">
        <v>129</v>
      </c>
      <c r="AH14" s="481" t="s">
        <v>130</v>
      </c>
      <c r="AI14" s="481" t="s">
        <v>131</v>
      </c>
      <c r="AJ14" s="479"/>
      <c r="AK14" s="480"/>
      <c r="AL14" s="481" t="s">
        <v>2</v>
      </c>
      <c r="AM14" s="481" t="s">
        <v>129</v>
      </c>
      <c r="AN14" s="481" t="s">
        <v>130</v>
      </c>
      <c r="AO14" s="481" t="s">
        <v>131</v>
      </c>
      <c r="AP14" s="479"/>
      <c r="AQ14" s="480"/>
      <c r="AR14" s="481" t="s">
        <v>2</v>
      </c>
      <c r="AS14" s="481" t="s">
        <v>129</v>
      </c>
      <c r="AT14" s="481" t="s">
        <v>130</v>
      </c>
      <c r="AU14" s="481" t="s">
        <v>131</v>
      </c>
      <c r="AV14" s="479"/>
      <c r="AW14" s="480"/>
      <c r="AX14" s="481" t="s">
        <v>2</v>
      </c>
      <c r="AY14" s="481" t="s">
        <v>129</v>
      </c>
      <c r="AZ14" s="481" t="s">
        <v>130</v>
      </c>
      <c r="BA14" s="481" t="s">
        <v>131</v>
      </c>
      <c r="BB14" s="479"/>
      <c r="BC14" s="480"/>
      <c r="BD14" s="481" t="s">
        <v>2</v>
      </c>
      <c r="BE14" s="481" t="s">
        <v>129</v>
      </c>
      <c r="BF14" s="481" t="s">
        <v>130</v>
      </c>
      <c r="BG14" s="481" t="s">
        <v>131</v>
      </c>
      <c r="BH14" s="479"/>
      <c r="BI14" s="480"/>
      <c r="BJ14" s="481" t="s">
        <v>2</v>
      </c>
      <c r="BK14" s="481" t="s">
        <v>129</v>
      </c>
      <c r="BL14" s="481" t="s">
        <v>130</v>
      </c>
      <c r="BM14" s="481" t="s">
        <v>131</v>
      </c>
      <c r="BN14" s="479"/>
      <c r="BO14" s="480"/>
      <c r="BP14" s="481" t="s">
        <v>2</v>
      </c>
      <c r="BQ14" s="481" t="s">
        <v>129</v>
      </c>
      <c r="BR14" s="481" t="s">
        <v>130</v>
      </c>
      <c r="BS14" s="481" t="s">
        <v>131</v>
      </c>
      <c r="BT14" s="479"/>
      <c r="BU14" s="480"/>
      <c r="BV14" s="481" t="s">
        <v>2</v>
      </c>
      <c r="BW14" s="481" t="s">
        <v>129</v>
      </c>
      <c r="BX14" s="481" t="s">
        <v>130</v>
      </c>
      <c r="BY14" s="481" t="s">
        <v>131</v>
      </c>
      <c r="BZ14" s="479"/>
    </row>
    <row r="15" spans="1:78" s="462" customFormat="1" ht="15" customHeight="1" x14ac:dyDescent="0.25">
      <c r="A15" s="484" t="s">
        <v>125</v>
      </c>
      <c r="B15" s="592">
        <f>B11</f>
        <v>43101</v>
      </c>
      <c r="C15" s="593">
        <f>'2018'!Dd</f>
        <v>0.5</v>
      </c>
      <c r="D15" s="593">
        <f>'2018'!Df</f>
        <v>0.5</v>
      </c>
      <c r="E15" s="593">
        <f>'2018'!PousD</f>
        <v>0</v>
      </c>
      <c r="F15" s="469"/>
      <c r="G15" s="485" t="s">
        <v>128</v>
      </c>
      <c r="H15" s="592">
        <f>H11</f>
        <v>43101</v>
      </c>
      <c r="I15" s="593">
        <f>'2019'!Dd</f>
        <v>0.5</v>
      </c>
      <c r="J15" s="593">
        <f>'2019'!Df</f>
        <v>0.5</v>
      </c>
      <c r="K15" s="593">
        <f>'2019'!PousD</f>
        <v>0</v>
      </c>
      <c r="L15" s="469"/>
      <c r="M15" s="485" t="s">
        <v>128</v>
      </c>
      <c r="N15" s="592">
        <f>N11</f>
        <v>43101</v>
      </c>
      <c r="O15" s="593">
        <f>'2020'!Dd</f>
        <v>0.5</v>
      </c>
      <c r="P15" s="593">
        <f>'2020'!Df</f>
        <v>0.5</v>
      </c>
      <c r="Q15" s="593">
        <f>'2020'!PousD</f>
        <v>0</v>
      </c>
      <c r="R15" s="469"/>
      <c r="S15" s="486" t="s">
        <v>128</v>
      </c>
      <c r="T15" s="592">
        <f>T11</f>
        <v>43101</v>
      </c>
      <c r="U15" s="593">
        <f>'2021'!Dd</f>
        <v>0.5</v>
      </c>
      <c r="V15" s="593">
        <f>'2021'!Df</f>
        <v>0.5</v>
      </c>
      <c r="W15" s="593">
        <f>'2021'!PousD</f>
        <v>0</v>
      </c>
      <c r="X15" s="469"/>
      <c r="Y15" s="486" t="s">
        <v>128</v>
      </c>
      <c r="Z15" s="592">
        <f>Z11</f>
        <v>43101</v>
      </c>
      <c r="AA15" s="593">
        <f>'2022'!Dd</f>
        <v>0.5</v>
      </c>
      <c r="AB15" s="593">
        <f>'2022'!Df</f>
        <v>0.5</v>
      </c>
      <c r="AC15" s="593">
        <f>'2022'!PousD</f>
        <v>0</v>
      </c>
      <c r="AD15" s="469"/>
      <c r="AE15" s="486" t="s">
        <v>128</v>
      </c>
      <c r="AF15" s="592">
        <f>AF11</f>
        <v>43101</v>
      </c>
      <c r="AG15" s="593">
        <f>'2023'!Dd</f>
        <v>0.5</v>
      </c>
      <c r="AH15" s="593">
        <f>'2023'!Df</f>
        <v>0.5</v>
      </c>
      <c r="AI15" s="593">
        <f>'2023'!PousD</f>
        <v>0</v>
      </c>
      <c r="AJ15" s="469"/>
      <c r="AK15" s="486" t="s">
        <v>128</v>
      </c>
      <c r="AL15" s="592">
        <f>AL11</f>
        <v>43101</v>
      </c>
      <c r="AM15" s="593">
        <f>'2024'!Dd</f>
        <v>0.5</v>
      </c>
      <c r="AN15" s="593">
        <f>'2024'!Df</f>
        <v>0.5</v>
      </c>
      <c r="AO15" s="593">
        <f>'2024'!PousD</f>
        <v>0</v>
      </c>
      <c r="AP15" s="469"/>
      <c r="AQ15" s="486" t="s">
        <v>128</v>
      </c>
      <c r="AR15" s="592">
        <f>AR11</f>
        <v>45747</v>
      </c>
      <c r="AS15" s="593">
        <f>'2025'!Dd</f>
        <v>0.5</v>
      </c>
      <c r="AT15" s="593">
        <f>'2025'!Df</f>
        <v>0.5</v>
      </c>
      <c r="AU15" s="593">
        <f>'2025'!PousD</f>
        <v>0</v>
      </c>
      <c r="AV15" s="469"/>
      <c r="AW15" s="486" t="s">
        <v>128</v>
      </c>
      <c r="AX15" s="592">
        <f>AX11</f>
        <v>45747</v>
      </c>
      <c r="AY15" s="593">
        <f>'2026'!Dd</f>
        <v>0.5</v>
      </c>
      <c r="AZ15" s="593">
        <f>'2026'!Df</f>
        <v>0.5</v>
      </c>
      <c r="BA15" s="593">
        <f>'2026'!PousD</f>
        <v>0</v>
      </c>
      <c r="BB15" s="469"/>
      <c r="BC15" s="486" t="s">
        <v>128</v>
      </c>
      <c r="BD15" s="592">
        <f>BD11</f>
        <v>45747</v>
      </c>
      <c r="BE15" s="593">
        <f>'2027'!Dd</f>
        <v>0.5</v>
      </c>
      <c r="BF15" s="593">
        <f>'2027'!Df</f>
        <v>0.5</v>
      </c>
      <c r="BG15" s="593">
        <f>'2027'!PousD</f>
        <v>0</v>
      </c>
      <c r="BH15" s="469"/>
      <c r="BI15" s="486" t="s">
        <v>128</v>
      </c>
      <c r="BJ15" s="592" t="e">
        <f>BJ11</f>
        <v>#NAME?</v>
      </c>
      <c r="BK15" s="593">
        <f>'2018'!Dd</f>
        <v>0.5</v>
      </c>
      <c r="BL15" s="593">
        <f>'2018'!Df</f>
        <v>0.5</v>
      </c>
      <c r="BM15" s="593">
        <f>'2018'!PousD</f>
        <v>0</v>
      </c>
      <c r="BN15" s="469"/>
      <c r="BO15" s="486" t="s">
        <v>128</v>
      </c>
      <c r="BP15" s="592" t="e">
        <f>BP11</f>
        <v>#NAME?</v>
      </c>
      <c r="BQ15" s="593">
        <f>'2018'!Dd</f>
        <v>0.5</v>
      </c>
      <c r="BR15" s="593">
        <f>'2018'!Df</f>
        <v>0.5</v>
      </c>
      <c r="BS15" s="593">
        <f>'2018'!PousD</f>
        <v>0</v>
      </c>
      <c r="BT15" s="469"/>
      <c r="BU15" s="486" t="s">
        <v>128</v>
      </c>
      <c r="BV15" s="592" t="e">
        <f>BV11</f>
        <v>#NAME?</v>
      </c>
      <c r="BW15" s="593">
        <f>'2018'!Dd</f>
        <v>0.5</v>
      </c>
      <c r="BX15" s="593">
        <f>'2018'!Df</f>
        <v>0.5</v>
      </c>
      <c r="BY15" s="593">
        <f>'2018'!PousD</f>
        <v>0</v>
      </c>
      <c r="BZ15" s="469"/>
    </row>
    <row r="16" spans="1:78" s="462" customFormat="1" ht="15" customHeight="1" x14ac:dyDescent="0.25">
      <c r="A16" s="474" t="s">
        <v>126</v>
      </c>
      <c r="B16" s="594"/>
      <c r="C16" s="595">
        <f>'2018'!Hdd</f>
        <v>-2.0026106892122759</v>
      </c>
      <c r="D16" s="595">
        <f>'2018'!Hdf</f>
        <v>-1.5026107667502175</v>
      </c>
      <c r="E16" s="595">
        <f>'2018'!PousH</f>
        <v>0.5</v>
      </c>
      <c r="F16" s="461"/>
      <c r="G16" s="475" t="s">
        <v>127</v>
      </c>
      <c r="H16" s="594"/>
      <c r="I16" s="595">
        <f>'2019'!Hdd</f>
        <v>-1.5026107667502175</v>
      </c>
      <c r="J16" s="595">
        <f>'2019'!Hdf</f>
        <v>-1.0026108442881592</v>
      </c>
      <c r="K16" s="595">
        <f>'2019'!PousH</f>
        <v>0.5</v>
      </c>
      <c r="L16" s="461"/>
      <c r="M16" s="475" t="s">
        <v>127</v>
      </c>
      <c r="N16" s="594"/>
      <c r="O16" s="595">
        <f>'2020'!Hdd</f>
        <v>-1.0026108442881592</v>
      </c>
      <c r="P16" s="595">
        <f>'2020'!Hdf</f>
        <v>-0.50261092182610079</v>
      </c>
      <c r="Q16" s="595">
        <f>'2020'!PousH</f>
        <v>0.5</v>
      </c>
      <c r="R16" s="461"/>
      <c r="S16" s="476" t="s">
        <v>127</v>
      </c>
      <c r="T16" s="594"/>
      <c r="U16" s="595">
        <f>'2021'!Hdd</f>
        <v>-0.50261092182610079</v>
      </c>
      <c r="V16" s="595">
        <f>'2021'!Hdf</f>
        <v>-2.6109993640424656E-3</v>
      </c>
      <c r="W16" s="595">
        <f>'2021'!PousH</f>
        <v>0.5</v>
      </c>
      <c r="X16" s="461"/>
      <c r="Y16" s="476" t="s">
        <v>127</v>
      </c>
      <c r="Z16" s="594"/>
      <c r="AA16" s="595">
        <f>'2022'!Hdd</f>
        <v>-2.6109993640424656E-3</v>
      </c>
      <c r="AB16" s="595">
        <f>'2022'!Hdf</f>
        <v>0.49738892309801586</v>
      </c>
      <c r="AC16" s="595">
        <f>'2022'!PousH</f>
        <v>0.5</v>
      </c>
      <c r="AD16" s="461"/>
      <c r="AE16" s="476" t="s">
        <v>127</v>
      </c>
      <c r="AF16" s="594"/>
      <c r="AG16" s="595">
        <f>'2023'!Hdd</f>
        <v>0.49738892309801586</v>
      </c>
      <c r="AH16" s="595">
        <f>'2023'!Hdf</f>
        <v>0.99738884556007412</v>
      </c>
      <c r="AI16" s="595">
        <f>'2023'!PousH</f>
        <v>0.5</v>
      </c>
      <c r="AJ16" s="461"/>
      <c r="AK16" s="476" t="s">
        <v>127</v>
      </c>
      <c r="AL16" s="594"/>
      <c r="AM16" s="595">
        <f>'2024'!Hdd</f>
        <v>0.99738884556007412</v>
      </c>
      <c r="AN16" s="595">
        <f>'2024'!Hdf</f>
        <v>1.4973887680221325</v>
      </c>
      <c r="AO16" s="595">
        <f>'2024'!PousH</f>
        <v>0.5</v>
      </c>
      <c r="AP16" s="461"/>
      <c r="AQ16" s="476" t="s">
        <v>127</v>
      </c>
      <c r="AR16" s="594"/>
      <c r="AS16" s="595">
        <f>'2025'!Hdd</f>
        <v>1.4973887680221325</v>
      </c>
      <c r="AT16" s="595">
        <f>'2025'!Hdf</f>
        <v>-1.527598875889788</v>
      </c>
      <c r="AU16" s="595">
        <f>'2025'!PousH</f>
        <v>0.5</v>
      </c>
      <c r="AV16" s="461"/>
      <c r="AW16" s="476" t="s">
        <v>127</v>
      </c>
      <c r="AX16" s="594"/>
      <c r="AY16" s="595">
        <f>'2026'!Hdd</f>
        <v>-1.527598875889788</v>
      </c>
      <c r="AZ16" s="595">
        <f>'2026'!Hdf</f>
        <v>-1.0275989534277297</v>
      </c>
      <c r="BA16" s="595">
        <f>'2026'!PousH</f>
        <v>0.5</v>
      </c>
      <c r="BB16" s="461"/>
      <c r="BC16" s="476" t="s">
        <v>127</v>
      </c>
      <c r="BD16" s="594"/>
      <c r="BE16" s="595">
        <f>'2027'!Hdd</f>
        <v>-1.0275989534277297</v>
      </c>
      <c r="BF16" s="595">
        <f>'2027'!Hdf</f>
        <v>-0.52759903096567129</v>
      </c>
      <c r="BG16" s="595">
        <f>'2027'!PousH</f>
        <v>0.5</v>
      </c>
      <c r="BH16" s="461"/>
      <c r="BI16" s="476" t="s">
        <v>127</v>
      </c>
      <c r="BJ16" s="594"/>
      <c r="BK16" s="595">
        <f>'2018'!Hdd</f>
        <v>-2.0026106892122759</v>
      </c>
      <c r="BL16" s="595">
        <f>'2018'!Hdf</f>
        <v>-1.5026107667502175</v>
      </c>
      <c r="BM16" s="595">
        <f>'2018'!PousH</f>
        <v>0.5</v>
      </c>
      <c r="BN16" s="461"/>
      <c r="BO16" s="476" t="s">
        <v>127</v>
      </c>
      <c r="BP16" s="594"/>
      <c r="BQ16" s="595">
        <f>'2018'!Hdd</f>
        <v>-2.0026106892122759</v>
      </c>
      <c r="BR16" s="595">
        <f>'2018'!Hdf</f>
        <v>-1.5026107667502175</v>
      </c>
      <c r="BS16" s="595">
        <f>'2018'!PousH</f>
        <v>0.5</v>
      </c>
      <c r="BT16" s="461"/>
      <c r="BU16" s="476" t="s">
        <v>127</v>
      </c>
      <c r="BV16" s="594"/>
      <c r="BW16" s="595">
        <f>'2018'!Hdd</f>
        <v>-2.0026106892122759</v>
      </c>
      <c r="BX16" s="595">
        <f>'2018'!Hdf</f>
        <v>-1.5026107667502175</v>
      </c>
      <c r="BY16" s="595">
        <f>'2018'!PousH</f>
        <v>0.5</v>
      </c>
      <c r="BZ16" s="461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9" t="s">
        <v>64</v>
      </c>
      <c r="C19" s="430" t="s">
        <v>65</v>
      </c>
      <c r="D19" s="430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9" t="s">
        <v>64</v>
      </c>
      <c r="AG19" s="430" t="s">
        <v>65</v>
      </c>
      <c r="AH19" s="430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4.1435007733138547E-8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3.6170165509940122E-2</v>
      </c>
      <c r="AG20" s="48">
        <f>'2023'!O29</f>
        <v>5.458757906374035E-2</v>
      </c>
      <c r="AH20" s="66">
        <f>'2023'!P29</f>
        <v>3.9610243284042633E-4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1.6878591957190173E-7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3.6824371309404413E-2</v>
      </c>
      <c r="AG21" s="48">
        <f>'2023'!O60</f>
        <v>5.6476628794337166E-2</v>
      </c>
      <c r="AH21" s="66">
        <f>'2023'!P60</f>
        <v>1.5940704174835892E-4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4.744141382850744E-8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3.7414885194446024E-2</v>
      </c>
      <c r="AG22" s="48">
        <f>'2023'!O88</f>
        <v>5.8141530150170574E-2</v>
      </c>
      <c r="AH22" s="66">
        <f>'2023'!P88</f>
        <v>7.8425582369335802E-5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1.005416582370877E-7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3.8068246132289318E-2</v>
      </c>
      <c r="AG23" s="48">
        <f>'2023'!O119</f>
        <v>6.0143720239512456E-2</v>
      </c>
      <c r="AH23" s="66">
        <f>'2023'!P119</f>
        <v>7.2160729546568929E-6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8.0996584275652909E-6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3.8700108662394483E-2</v>
      </c>
      <c r="AG24" s="48">
        <f>'2023'!O149</f>
        <v>6.6607047182625414E-3</v>
      </c>
      <c r="AH24" s="66">
        <f>'2023'!P149</f>
        <v>1.9604389711942472E-4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1.5330789122347532E-4</v>
      </c>
      <c r="C25" s="48">
        <f>'2018'!O180</f>
        <v>4.6431022939271712E-4</v>
      </c>
      <c r="D25" s="66">
        <f>'2018'!P180</f>
        <v>6.0563716986585196E-6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3.9352597246409049E-2</v>
      </c>
      <c r="AG25" s="48">
        <f>'2023'!O180</f>
        <v>1.0009495776113989E-2</v>
      </c>
      <c r="AH25" s="66">
        <f>'2023'!P180</f>
        <v>7.9989610793033999E-5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8.100755444928609E-4</v>
      </c>
      <c r="C26" s="48">
        <f>'2018'!O210</f>
        <v>2.4409811293287236E-3</v>
      </c>
      <c r="D26" s="66">
        <f>'2018'!P210</f>
        <v>2.1240194479950102E-5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3.9983616126908816E-2</v>
      </c>
      <c r="AG26" s="48">
        <f>'2023'!O210</f>
        <v>1.313085700518048E-2</v>
      </c>
      <c r="AH26" s="66">
        <f>'2023'!P210</f>
        <v>2.2009095347964242E-4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1.4882822361241832E-3</v>
      </c>
      <c r="C27" s="48">
        <f>'2018'!O241</f>
        <v>4.4235219949964192E-3</v>
      </c>
      <c r="D27" s="66">
        <f>'2018'!P241</f>
        <v>1.2311426017769877E-5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4.0635233521843284E-2</v>
      </c>
      <c r="AG27" s="48">
        <f>'2023'!O241</f>
        <v>1.6173568406996307E-2</v>
      </c>
      <c r="AH27" s="66">
        <f>'2023'!P241</f>
        <v>8.7534246705885964E-5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2.166028590531055E-3</v>
      </c>
      <c r="C28" s="48">
        <f>'2018'!O272</f>
        <v>6.3297407202105097E-3</v>
      </c>
      <c r="D28" s="66">
        <f>'2018'!P272</f>
        <v>3.1950079776936114E-7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4.1286408627212112E-2</v>
      </c>
      <c r="AG28" s="48">
        <f>'2023'!O272</f>
        <v>1.9057787966346024E-2</v>
      </c>
      <c r="AH28" s="66">
        <f>'2023'!P272</f>
        <v>1.9975135012615004E-5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2.8214741512629926E-3</v>
      </c>
      <c r="C29" s="48">
        <f>'2018'!O302</f>
        <v>8.0482361801202697E-3</v>
      </c>
      <c r="D29" s="66">
        <f>'2018'!P302</f>
        <v>3.4241976507128217E-5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4.1916157248208741E-2</v>
      </c>
      <c r="AG29" s="48">
        <f>'2023'!O302</f>
        <v>2.1573590137228146E-2</v>
      </c>
      <c r="AH29" s="66">
        <f>'2023'!P302</f>
        <v>4.437344335249341E-4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3.4983155929440013E-3</v>
      </c>
      <c r="C30" s="48">
        <f>'2018'!O333</f>
        <v>9.643645703789297E-3</v>
      </c>
      <c r="D30" s="66">
        <f>'2018'!P333</f>
        <v>3.9860068594307075E-5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4.2566462918226522E-2</v>
      </c>
      <c r="AG30" s="48">
        <f>'2023'!O333</f>
        <v>2.3805361258992141E-2</v>
      </c>
      <c r="AH30" s="66">
        <f>'2023'!P333</f>
        <v>4.0654523345141062E-4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4.1528860165024328E-3</v>
      </c>
      <c r="C31" s="49">
        <f>'2018'!O363</f>
        <v>1.1172709492835699E-2</v>
      </c>
      <c r="D31" s="67">
        <f>'2018'!P363</f>
        <v>6.8274566339495717E-5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4.3195370712064918E-2</v>
      </c>
      <c r="AG31" s="49">
        <f>'2023'!O363</f>
        <v>2.6015727795686928E-2</v>
      </c>
      <c r="AH31" s="67">
        <f>'2023'!P363</f>
        <v>6.4459845403314108E-4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4.828823753678213E-3</v>
      </c>
      <c r="C32" s="48">
        <f>'2019'!O29</f>
        <v>1.2795470364212238E-2</v>
      </c>
      <c r="D32" s="66">
        <f>'2019'!P29</f>
        <v>5.4038991407247624E-5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4.3844808107583622E-2</v>
      </c>
      <c r="AG32" s="48">
        <f>'2024'!O29</f>
        <v>2.8446668955066298E-2</v>
      </c>
      <c r="AH32" s="66">
        <f>'2024'!P29</f>
        <v>5.097637189674716E-4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5.5043026936972828E-3</v>
      </c>
      <c r="C33" s="48">
        <f>'2019'!O60</f>
        <v>1.4392634780729977E-2</v>
      </c>
      <c r="D33" s="66">
        <f>'2019'!P60</f>
        <v>2.5122634171782563E-5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4.4493804693225503E-2</v>
      </c>
      <c r="AG33" s="48">
        <f>'2024'!O60</f>
        <v>3.0847104009494364E-2</v>
      </c>
      <c r="AH33" s="66">
        <f>'2024'!P60</f>
        <v>2.010414492224515E-4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6.1140186171284583E-3</v>
      </c>
      <c r="C34" s="48">
        <f>'2019'!O88</f>
        <v>1.5804027242006285E-2</v>
      </c>
      <c r="D34" s="66">
        <f>'2019'!P88</f>
        <v>2.0284793388535445E-6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4.5079616521063182E-2</v>
      </c>
      <c r="AG34" s="48">
        <f>'2024'!O88</f>
        <v>3.2965395814420463E-2</v>
      </c>
      <c r="AH34" s="66">
        <f>'2024'!P88</f>
        <v>1.1585992863226694E-4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6.788625222734157E-3</v>
      </c>
      <c r="C35" s="48">
        <f>'2019'!O119</f>
        <v>1.7393019248029599E-2</v>
      </c>
      <c r="D35" s="66">
        <f>'2019'!P119</f>
        <v>1.2106598837944286E-6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4.5727774972424085E-2</v>
      </c>
      <c r="AG35" s="48">
        <f>'2024'!O119</f>
        <v>3.5378051512030974E-2</v>
      </c>
      <c r="AH35" s="66">
        <f>'2024'!P119</f>
        <v>9.7030618688882441E-6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7.4410343460141748E-3</v>
      </c>
      <c r="C36" s="48">
        <f>'2019'!O149</f>
        <v>1.9108365350724466E-2</v>
      </c>
      <c r="D36" s="66">
        <f>'2019'!P149</f>
        <v>4.0126478068677251E-5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4.6354606200409432E-2</v>
      </c>
      <c r="AG36" s="48">
        <f>'2024'!O149</f>
        <v>3.8073359861612407E-2</v>
      </c>
      <c r="AH36" s="66">
        <f>'2024'!P149</f>
        <v>2.428718688621947E-4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8.1147402310209893E-3</v>
      </c>
      <c r="C37" s="48">
        <f>'2019'!O180</f>
        <v>2.0987295406685477E-2</v>
      </c>
      <c r="D37" s="66">
        <f>'2019'!P180</f>
        <v>1.7081038756011629E-5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4.7001899244192624E-2</v>
      </c>
      <c r="AG37" s="48">
        <f>'2024'!O180</f>
        <v>4.1057350839298339E-2</v>
      </c>
      <c r="AH37" s="66">
        <f>'2024'!P180</f>
        <v>1.0576648095736827E-4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8.7662782713150422E-3</v>
      </c>
      <c r="C38" s="48">
        <f>'2019'!O210</f>
        <v>2.257469335652959E-2</v>
      </c>
      <c r="D38" s="66">
        <f>'2019'!P210</f>
        <v>4.760930285659491E-5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4.7627893540261756E-2</v>
      </c>
      <c r="AG38" s="48">
        <f>'2024'!O210</f>
        <v>4.348567393215607E-2</v>
      </c>
      <c r="AH38" s="66">
        <f>'2024'!P210</f>
        <v>3.1906681455454432E-4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9.4390846383460847E-3</v>
      </c>
      <c r="C39" s="48">
        <f>'2019'!O241</f>
        <v>2.3995006470770259E-2</v>
      </c>
      <c r="D39" s="66">
        <f>'2019'!P241</f>
        <v>2.5434131013346175E-5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4.8274322331941177E-2</v>
      </c>
      <c r="AG39" s="48">
        <f>'2024'!O241</f>
        <v>4.5576500563323449E-2</v>
      </c>
      <c r="AH39" s="66">
        <f>'2024'!P241</f>
        <v>1.11429719063795E-4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1.0111434333658353E-2</v>
      </c>
      <c r="C40" s="48">
        <f>'2019'!O272</f>
        <v>2.5291976611363797E-2</v>
      </c>
      <c r="D40" s="66">
        <f>'2019'!P272</f>
        <v>6.461840560257979E-7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4.8920312355853368E-2</v>
      </c>
      <c r="AG40" s="48">
        <f>'2024'!O272</f>
        <v>4.7444790218336926E-2</v>
      </c>
      <c r="AH40" s="66">
        <f>'2024'!P272</f>
        <v>5.702717961173327E-5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1.076166080877905E-2</v>
      </c>
      <c r="C41" s="48">
        <f>'2019'!O302</f>
        <v>2.6295484055748303E-2</v>
      </c>
      <c r="D41" s="66">
        <f>'2019'!P302</f>
        <v>6.8680408470968109E-5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4.9545046507054935E-2</v>
      </c>
      <c r="AG41" s="48">
        <f>'2024'!O302</f>
        <v>4.8796845004440564E-2</v>
      </c>
      <c r="AH41" s="66">
        <f>'2024'!P302</f>
        <v>5.9966667947928382E-4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1.1433112796871647E-2</v>
      </c>
      <c r="C42" s="48">
        <f>'2019'!O333</f>
        <v>2.7018649850843481E-2</v>
      </c>
      <c r="D42" s="66">
        <f>'2019'!P333</f>
        <v>7.9814593081585679E-5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5.0190174018628131E-2</v>
      </c>
      <c r="AG42" s="48">
        <f>'2024'!O333</f>
        <v>4.9635736036989883E-2</v>
      </c>
      <c r="AH42" s="66">
        <f>'2024'!P333</f>
        <v>5.6193620653580416E-4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1.2082471103232573E-2</v>
      </c>
      <c r="C43" s="49">
        <f>'2019'!O363</f>
        <v>2.7887499386700789E-2</v>
      </c>
      <c r="D43" s="67">
        <f>'2019'!P363</f>
        <v>1.3666110033957248E-4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5.0814074037886514E-2</v>
      </c>
      <c r="AG43" s="49">
        <f>'2024'!O363</f>
        <v>5.077964837683293E-2</v>
      </c>
      <c r="AH43" s="67">
        <f>'2024'!P363</f>
        <v>8.1552542902571501E-4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1.2753026582705385E-2</v>
      </c>
      <c r="C44" s="48">
        <f>'2020'!O29</f>
        <v>2.9014328587288998E-2</v>
      </c>
      <c r="D44" s="66">
        <f>'2020'!P29</f>
        <v>1.0810214325206389E-4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5.1479115685447163E-2</v>
      </c>
      <c r="AG44" s="48">
        <f>'2025'!O29</f>
        <v>5.2444993686297459E-2</v>
      </c>
      <c r="AH44" s="66">
        <f>'2025'!P29</f>
        <v>6.5524178661623697E-4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1.3423126918263972E-2</v>
      </c>
      <c r="C45" s="48">
        <f>'2020'!O60</f>
        <v>3.0158847882050904E-2</v>
      </c>
      <c r="D45" s="66">
        <f>'2020'!P60</f>
        <v>5.009593891690376E-5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5.2122930434925108E-2</v>
      </c>
      <c r="AG45" s="48">
        <f>'2025'!O60</f>
        <v>5.4093260317043479E-2</v>
      </c>
      <c r="AH45" s="66">
        <f>'2025'!P60</f>
        <v>2.6937979323633272E-4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1.4027987885321114E-2</v>
      </c>
      <c r="C46" s="48">
        <f>'2020'!O88</f>
        <v>3.1179205326886873E-2</v>
      </c>
      <c r="D46" s="66">
        <f>'2020'!P88</f>
        <v>4.3609294471760607E-6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5.2704064917793669E-2</v>
      </c>
      <c r="AG46" s="48">
        <f>'2025'!O88</f>
        <v>5.5562654652085555E-2</v>
      </c>
      <c r="AH46" s="66">
        <f>'2025'!P88</f>
        <v>2.3246912327997714E-4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1.4697222832562806E-2</v>
      </c>
      <c r="C47" s="48">
        <f>'2020'!O119</f>
        <v>3.2937449511755881E-2</v>
      </c>
      <c r="D47" s="66">
        <f>'2020'!P119</f>
        <v>2.3334586937173329E-6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5.3347048224974158E-2</v>
      </c>
      <c r="AG47" s="48">
        <f>'2025'!O119</f>
        <v>5.7361712230781799E-2</v>
      </c>
      <c r="AH47" s="66">
        <f>'2025'!P119</f>
        <v>4.5062138877446679E-8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1.5344437048329551E-2</v>
      </c>
      <c r="C48" s="48">
        <f>'2020'!O149</f>
        <v>3.5701706956367839E-2</v>
      </c>
      <c r="D48" s="66">
        <f>'2020'!P149</f>
        <v>7.3688431541984008E-5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5.3968874593461336E-2</v>
      </c>
      <c r="AG48" s="48">
        <f>'2025'!O149</f>
        <v>6.6607047182625414E-3</v>
      </c>
      <c r="AH48" s="66">
        <f>'2025'!P149</f>
        <v>6.4990788501831246E-6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1.6012778447097809E-2</v>
      </c>
      <c r="C49" s="48">
        <f>'2020'!O180</f>
        <v>3.8753574703513129E-2</v>
      </c>
      <c r="D49" s="66">
        <f>'2020'!P180</f>
        <v>2.9724410870936343E-5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5.4610999402808114E-2</v>
      </c>
      <c r="AG49" s="48">
        <f>'2025'!O180</f>
        <v>1.0009495776113989E-2</v>
      </c>
      <c r="AH49" s="66">
        <f>'2025'!P180</f>
        <v>5.5054004459030325E-6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1.6659128516010369E-2</v>
      </c>
      <c r="C50" s="48">
        <f>'2020'!O210</f>
        <v>4.1280366526841784E-2</v>
      </c>
      <c r="D50" s="66">
        <f>'2020'!P210</f>
        <v>8.2399822894194363E-5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5.5231995521762611E-2</v>
      </c>
      <c r="AG50" s="48">
        <f>'2025'!O210</f>
        <v>1.313085700518048E-2</v>
      </c>
      <c r="AH50" s="66">
        <f>'2025'!P210</f>
        <v>1.9922365959529167E-5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1.7326577559352629E-2</v>
      </c>
      <c r="C51" s="48">
        <f>'2020'!O241</f>
        <v>4.3496639489591774E-2</v>
      </c>
      <c r="D51" s="66">
        <f>'2020'!P241</f>
        <v>3.9426401311730509E-5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5.5873262979523886E-2</v>
      </c>
      <c r="AG51" s="48">
        <f>'2025'!O241</f>
        <v>1.6173568406996307E-2</v>
      </c>
      <c r="AH51" s="66">
        <f>'2025'!P241</f>
        <v>1.1655602746795813E-5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1.7993573567294363E-2</v>
      </c>
      <c r="C52" s="48">
        <f>'2020'!O272</f>
        <v>4.5500484253089876E-2</v>
      </c>
      <c r="D52" s="66">
        <f>'2020'!P272</f>
        <v>2.0083019596102533E-6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5.6514095172807144E-2</v>
      </c>
      <c r="AG52" s="48">
        <f>'2025'!O272</f>
        <v>1.9057787966346024E-2</v>
      </c>
      <c r="AH52" s="66">
        <f>'2025'!P272</f>
        <v>3.031744014147661E-7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1.8638622514572045E-2</v>
      </c>
      <c r="C53" s="48">
        <f>'2020'!O302</f>
        <v>4.7000188737680658E-2</v>
      </c>
      <c r="D53" s="66">
        <f>'2020'!P302</f>
        <v>1.5157430342863253E-4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5.7133841208371172E-2</v>
      </c>
      <c r="AG53" s="48">
        <f>'2025'!O302</f>
        <v>2.1573590137228146E-2</v>
      </c>
      <c r="AH53" s="66">
        <f>'2025'!P302</f>
        <v>3.2520873647210436E-5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1.9304727963425306E-2</v>
      </c>
      <c r="C54" s="48">
        <f>'2020'!O333</f>
        <v>4.8006579340638705E-2</v>
      </c>
      <c r="D54" s="66">
        <f>'2020'!P333</f>
        <v>1.4907616556284408E-4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5.7773817775942815E-2</v>
      </c>
      <c r="AG54" s="48">
        <f>'2025'!O333</f>
        <v>2.3805361258992141E-2</v>
      </c>
      <c r="AH54" s="66">
        <f>'2025'!P333</f>
        <v>3.7863292247639689E-5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1.9948915654869781E-2</v>
      </c>
      <c r="C55" s="49">
        <f>'2020'!O363</f>
        <v>4.9296468181889486E-2</v>
      </c>
      <c r="D55" s="67">
        <f>'2020'!P363</f>
        <v>2.4827991970209813E-4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5.8392736339590967E-2</v>
      </c>
      <c r="AG55" s="49">
        <f>'2025'!O363</f>
        <v>2.6015727795686928E-2</v>
      </c>
      <c r="AH55" s="67">
        <f>'2025'!P363</f>
        <v>6.4856865458950942E-5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2.0635582797733032E-2</v>
      </c>
      <c r="C56" s="48">
        <f>'2021'!O29</f>
        <v>5.1102793913969678E-2</v>
      </c>
      <c r="D56" s="66">
        <f>'2021'!P29</f>
        <v>1.9525745611110383E-4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5.9031858423864492E-2</v>
      </c>
      <c r="AG56" s="48">
        <f>'2026'!O29</f>
        <v>2.8446668955066298E-2</v>
      </c>
      <c r="AH56" s="66">
        <f>'2026'!P29</f>
        <v>5.1337119110797519E-5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2.1300332796742594E-2</v>
      </c>
      <c r="C57" s="48">
        <f>'2021'!O60</f>
        <v>5.2887170691578035E-2</v>
      </c>
      <c r="D57" s="66">
        <f>'2021'!P60</f>
        <v>8.3955085099751185E-5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5.9670546699846283E-2</v>
      </c>
      <c r="AG57" s="48">
        <f>'2026'!O60</f>
        <v>3.0847104009494364E-2</v>
      </c>
      <c r="AH57" s="66">
        <f>'2026'!P60</f>
        <v>2.3875535011230506E-5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2.1900364323240828E-2</v>
      </c>
      <c r="C58" s="48">
        <f>'2021'!O88</f>
        <v>5.4480621028373762E-2</v>
      </c>
      <c r="D58" s="66">
        <f>'2021'!P88</f>
        <v>2.3338313871890215E-5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6.0247053810436491E-2</v>
      </c>
      <c r="AG58" s="48">
        <f>'2026'!O88</f>
        <v>3.2965395814420463E-2</v>
      </c>
      <c r="AH58" s="66">
        <f>'2026'!P88</f>
        <v>1.9294745397399802E-6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2.2564255843523728E-2</v>
      </c>
      <c r="C59" s="48">
        <f>'2021'!O119</f>
        <v>5.6415120448186293E-2</v>
      </c>
      <c r="D59" s="66">
        <f>'2021'!P119</f>
        <v>3.5935500658422817E-6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6.088491726460743E-2</v>
      </c>
      <c r="AG59" s="48">
        <f>'2026'!O119</f>
        <v>3.5378051512030974E-2</v>
      </c>
      <c r="AH59" s="66">
        <f>'2026'!P119</f>
        <v>1.1551803644347876E-6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2.3206302454247041E-2</v>
      </c>
      <c r="C60" s="48">
        <f>'2021'!O149</f>
        <v>7.2016351308054798E-3</v>
      </c>
      <c r="D60" s="66">
        <f>'2021'!P149</f>
        <v>1.1186768748893185E-4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6.150179224544805E-2</v>
      </c>
      <c r="AG60" s="48">
        <f>'2026'!O149</f>
        <v>3.8073359861612407E-2</v>
      </c>
      <c r="AH60" s="66">
        <f>'2026'!P149</f>
        <v>3.8525898491295058E-5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2.3869307560488329E-2</v>
      </c>
      <c r="C61" s="48">
        <f>'2021'!O180</f>
        <v>1.0048784539183489E-2</v>
      </c>
      <c r="D61" s="66">
        <f>'2021'!P180</f>
        <v>4.3716315648815631E-5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6.2138804037705553E-2</v>
      </c>
      <c r="AG61" s="48">
        <f>'2026'!O180</f>
        <v>4.1057350839298339E-2</v>
      </c>
      <c r="AH61" s="66">
        <f>'2026'!P180</f>
        <v>1.6530067503256144E-5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2.4510496924035396E-2</v>
      </c>
      <c r="C62" s="48">
        <f>'2021'!O210</f>
        <v>1.2694579462185033E-2</v>
      </c>
      <c r="D62" s="66">
        <f>'2021'!P210</f>
        <v>1.1925664199042257E-4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6.2754855380002472E-2</v>
      </c>
      <c r="AG62" s="48">
        <f>'2026'!O210</f>
        <v>4.348567393215607E-2</v>
      </c>
      <c r="AH62" s="66">
        <f>'2026'!P210</f>
        <v>4.6291474336173944E-5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2.5172616799756464E-2</v>
      </c>
      <c r="C63" s="48">
        <f>'2021'!O241</f>
        <v>1.5269665097068671E-2</v>
      </c>
      <c r="D63" s="66">
        <f>'2021'!P241</f>
        <v>5.3481363486176086E-5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6.3391016647467824E-2</v>
      </c>
      <c r="AG63" s="48">
        <f>'2026'!O241</f>
        <v>4.5576500563323449E-2</v>
      </c>
      <c r="AH63" s="66">
        <f>'2026'!P241</f>
        <v>2.4778307742372098E-5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2.5834287257284427E-2</v>
      </c>
      <c r="C64" s="48">
        <f>'2021'!O272</f>
        <v>1.7714215735472411E-2</v>
      </c>
      <c r="D64" s="66">
        <f>'2021'!P272</f>
        <v>3.3949598911836507E-6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6.4026746116315092E-2</v>
      </c>
      <c r="AG64" s="48">
        <f>'2026'!O272</f>
        <v>4.7444790218336926E-2</v>
      </c>
      <c r="AH64" s="66">
        <f>'2026'!P272</f>
        <v>6.2985765967120292E-7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2.6474185887847779E-2</v>
      </c>
      <c r="C65" s="48">
        <f>'2021'!O302</f>
        <v>1.9842233974193449E-2</v>
      </c>
      <c r="D65" s="66">
        <f>'2021'!P302</f>
        <v>2.349716059332298E-4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6.4641557329201849E-2</v>
      </c>
      <c r="AG65" s="48">
        <f>'2026'!O302</f>
        <v>4.8796845004440564E-2</v>
      </c>
      <c r="AH65" s="66">
        <f>'2026'!P302</f>
        <v>6.6959305611050362E-5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2.7134972896850518E-2</v>
      </c>
      <c r="C66" s="48">
        <f>'2021'!O333</f>
        <v>2.1722499647914645E-2</v>
      </c>
      <c r="D66" s="66">
        <f>'2021'!P333</f>
        <v>2.1852664249763073E-4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6.5276437985388291E-2</v>
      </c>
      <c r="AG66" s="48">
        <f>'2026'!O333</f>
        <v>4.9635736036989883E-2</v>
      </c>
      <c r="AH66" s="66">
        <f>'2026'!P333</f>
        <v>7.7817816734918307E-5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2.7774017148175623E-2</v>
      </c>
      <c r="C67" s="49">
        <f>'2021'!O363</f>
        <v>2.3604950117784192E-2</v>
      </c>
      <c r="D67" s="67">
        <f>'2021'!P363</f>
        <v>3.6013049319135907E-4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6.5890428315231064E-2</v>
      </c>
      <c r="AG67" s="49">
        <f>'2026'!O363</f>
        <v>5.077964837683293E-2</v>
      </c>
      <c r="AH67" s="67">
        <f>'2026'!P363</f>
        <v>1.3324339945902774E-4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2.8433921888215141E-2</v>
      </c>
      <c r="C68" s="48">
        <f>'2022'!O29</f>
        <v>2.5696382573616009E-2</v>
      </c>
      <c r="D68" s="66">
        <f>'2022'!P29</f>
        <v>2.8255024663300618E-4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6.6524461292073456E-2</v>
      </c>
      <c r="AG68" s="48">
        <f>'2027'!O29</f>
        <v>5.239095385366746E-2</v>
      </c>
      <c r="AH68" s="66">
        <f>'2027'!P29</f>
        <v>1.0540027095561374E-4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2.9093378713599405E-2</v>
      </c>
      <c r="C69" s="48">
        <f>'2022'!O60</f>
        <v>2.8231414057602319E-2</v>
      </c>
      <c r="D69" s="66">
        <f>'2022'!P60</f>
        <v>1.1783108874033658E-4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6.7158063914888988E-2</v>
      </c>
      <c r="AG69" s="48">
        <f>'2027'!O60</f>
        <v>5.4040914229963662E-2</v>
      </c>
      <c r="AH69" s="66">
        <f>'2027'!P60</f>
        <v>4.8829383263441162E-5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2.9688632397216641E-2</v>
      </c>
      <c r="C70" s="48">
        <f>'2022'!O88</f>
        <v>3.0946783342177493E-2</v>
      </c>
      <c r="D70" s="66">
        <f>'2022'!P88</f>
        <v>4.2662744893979478E-5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6.7729980499360964E-2</v>
      </c>
      <c r="AG70" s="48">
        <f>'2027'!O88</f>
        <v>5.5511769763279338E-2</v>
      </c>
      <c r="AH70" s="66">
        <f>'2027'!P88</f>
        <v>3.9105124647650152E-6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3.0347237579642639E-2</v>
      </c>
      <c r="C71" s="48">
        <f>'2022'!O119</f>
        <v>3.3966796260594526E-2</v>
      </c>
      <c r="D71" s="66">
        <f>'2022'!P119</f>
        <v>4.9395802593220417E-6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6.8362764868135639E-2</v>
      </c>
      <c r="AG71" s="48">
        <f>'2027'!O119</f>
        <v>5.7312209052574954E-2</v>
      </c>
      <c r="AH71" s="66">
        <f>'2027'!P119</f>
        <v>2.2704840824865122E-6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3.0984171795945259E-2</v>
      </c>
      <c r="C72" s="48">
        <f>'2022'!O149</f>
        <v>3.7198791421628546E-2</v>
      </c>
      <c r="D72" s="66">
        <f>'2022'!P149</f>
        <v>1.5160806094519693E-4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6.8974727887511689E-2</v>
      </c>
      <c r="AG72" s="48">
        <f>'2027'!O149</f>
        <v>6.6607047182625414E-3</v>
      </c>
      <c r="AH72" s="66">
        <f>'2027'!P149</f>
        <v>7.1780376417150834E-5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3.1641897622536996E-2</v>
      </c>
      <c r="C73" s="48">
        <f>'2022'!O180</f>
        <v>4.0706295078978397E-2</v>
      </c>
      <c r="D73" s="66">
        <f>'2022'!P180</f>
        <v>6.0634167818528648E-5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6.9606667375861297E-2</v>
      </c>
      <c r="AG73" s="48">
        <f>'2027'!O180</f>
        <v>1.0009495776113989E-2</v>
      </c>
      <c r="AH73" s="66">
        <f>'2027'!P180</f>
        <v>2.9025148275177334E-5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3.2277981417625168E-2</v>
      </c>
      <c r="C74" s="48">
        <f>'2022'!O210</f>
        <v>4.3616597060136271E-2</v>
      </c>
      <c r="D74" s="66">
        <f>'2022'!P210</f>
        <v>1.6819198598215515E-4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7.0217813315041622E-2</v>
      </c>
      <c r="AG74" s="48">
        <f>'2027'!O210</f>
        <v>1.313085700518048E-2</v>
      </c>
      <c r="AH74" s="66">
        <f>'2027'!P210</f>
        <v>8.055785817232214E-5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3.2934829062480242E-2</v>
      </c>
      <c r="C75" s="48">
        <f>'2022'!O241</f>
        <v>4.6166238710823641E-2</v>
      </c>
      <c r="D75" s="66">
        <f>'2022'!P241</f>
        <v>7.0404416159857401E-5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7.0848909051032916E-2</v>
      </c>
      <c r="AG75" s="48">
        <f>'2027'!O241</f>
        <v>1.6173568406996307E-2</v>
      </c>
      <c r="AH75" s="66">
        <f>'2027'!P241</f>
        <v>3.8723987345267897E-5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3.3591230867703437E-2</v>
      </c>
      <c r="C76" s="48">
        <f>'2022'!O272</f>
        <v>4.8449541135529003E-2</v>
      </c>
      <c r="D76" s="66">
        <f>'2022'!P272</f>
        <v>1.1604198020280126E-5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7.1479576426668689E-2</v>
      </c>
      <c r="AG76" s="48">
        <f>'2027'!O272</f>
        <v>1.9057787966346024E-2</v>
      </c>
      <c r="AH76" s="66">
        <f>'2027'!P272</f>
        <v>1.939002029396691E-6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3.4226034207466949E-2</v>
      </c>
      <c r="C77" s="48">
        <f>'2022'!O302</f>
        <v>5.0153853574987375E-2</v>
      </c>
      <c r="D77" s="66">
        <f>'2022'!P302</f>
        <v>3.3924457695798111E-4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7.2089492111159226E-2</v>
      </c>
      <c r="AG77" s="48">
        <f>'2027'!O302</f>
        <v>2.1573590137228146E-2</v>
      </c>
      <c r="AH77" s="66">
        <f>'2027'!P302</f>
        <v>1.4740642098843315E-4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3.4881559598758938E-2</v>
      </c>
      <c r="C78" s="48">
        <f>'2022'!O333</f>
        <v>5.1298566191706862E-2</v>
      </c>
      <c r="D78" s="66">
        <f>'2022'!P333</f>
        <v>3.1245703901439104E-4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7.2719317432934916E-2</v>
      </c>
      <c r="AG78" s="48">
        <f>'2027'!O333</f>
        <v>2.3805361258992141E-2</v>
      </c>
      <c r="AH78" s="66">
        <f>'2027'!P333</f>
        <v>1.4560529282971204E-4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3.5515515362409711E-2</v>
      </c>
      <c r="C79" s="49">
        <f>'2022'!O363</f>
        <v>5.2712140833288783E-2</v>
      </c>
      <c r="D79" s="67">
        <f>'2022'!P363</f>
        <v>5.0228324882412077E-4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7.3328418770788217E-2</v>
      </c>
      <c r="AG79" s="49">
        <f>'2027'!O363</f>
        <v>2.6015727795686928E-2</v>
      </c>
      <c r="AH79" s="67">
        <f>'2027'!P363</f>
        <v>2.4269005015989774E-4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2" priority="132" stopIfTrue="1">
      <formula>AND(B5="D",C5&lt;&gt;"D")</formula>
    </cfRule>
    <cfRule type="expression" dxfId="31" priority="992" stopIfTrue="1">
      <formula>YEAR(B5)&lt;&gt;A3</formula>
    </cfRule>
  </conditionalFormatting>
  <conditionalFormatting sqref="B4 H4 N4 T4 Z4 AF4 AL4 AR4 AX4 BD4 BJ4 BP4 BV4">
    <cfRule type="expression" dxfId="30" priority="133" stopIfTrue="1">
      <formula>YEAR(B4)&lt;&gt;A3</formula>
    </cfRule>
    <cfRule type="expression" dxfId="29" priority="149" stopIfTrue="1">
      <formula>AND(B4="D",C4&lt;&gt;"D")</formula>
    </cfRule>
  </conditionalFormatting>
  <conditionalFormatting sqref="B6 H6 N6 T6 Z6 AF6 AL6 AR6 AX6 BD6 BJ6 BP6 BV6">
    <cfRule type="expression" dxfId="28" priority="154" stopIfTrue="1">
      <formula>YEAR(B6)&lt;&gt;A3</formula>
    </cfRule>
  </conditionalFormatting>
  <conditionalFormatting sqref="C4:BY6">
    <cfRule type="cellIs" dxfId="27" priority="1162" stopIfTrue="1" operator="equal">
      <formula>"D"</formula>
    </cfRule>
  </conditionalFormatting>
  <conditionalFormatting sqref="B6 H6 N6 T6 Z6 AL6 AR6 BD6 BJ6 BP6 BV6 AF6 AX6">
    <cfRule type="expression" dxfId="26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5" priority="4" stopIfTrue="1">
      <formula>B6&lt;&gt;"D"</formula>
    </cfRule>
  </conditionalFormatting>
  <conditionalFormatting sqref="E7 K7 Q7 W7 AC7 AI7 AO7 AU7 BA7 BG7 BM7 BS7 BY7">
    <cfRule type="cellIs" dxfId="24" priority="5" stopIfTrue="1" operator="lessThan">
      <formula>0.01</formula>
    </cfRule>
    <cfRule type="cellIs" dxfId="23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2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1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YEAR(E6)</f>
        <v>2018</v>
      </c>
      <c r="K1" s="1271"/>
      <c r="L1" s="113" t="str">
        <f>"Calcul pertes et enveloppes en "&amp;TEXT(An,0)</f>
        <v>Calcul pertes et enveloppes en 2018</v>
      </c>
      <c r="M1" s="243"/>
      <c r="N1" s="243"/>
      <c r="O1" s="458"/>
      <c r="P1" s="458"/>
      <c r="Q1" s="458"/>
      <c r="R1" s="458"/>
      <c r="S1" s="458"/>
      <c r="T1" s="458"/>
      <c r="U1" s="458"/>
      <c r="V1" s="458"/>
      <c r="W1" s="456"/>
      <c r="X1" s="487" t="str">
        <f>"Prévision sans nettoyage ni taille végétation en "&amp;TEXT(An,0)</f>
        <v>Prévision sans nettoyage ni taille végétation en 2018</v>
      </c>
      <c r="Y1" s="488"/>
      <c r="Z1" s="489"/>
      <c r="AA1" s="490"/>
      <c r="AB1" s="491"/>
      <c r="AC1" s="492"/>
      <c r="AD1" s="492"/>
      <c r="AE1" s="492"/>
      <c r="AF1" s="458"/>
      <c r="AG1" s="458"/>
      <c r="AH1" s="458"/>
      <c r="AI1" s="492"/>
      <c r="AL1" s="829" t="s">
        <v>267</v>
      </c>
    </row>
    <row r="2" spans="1:40" s="6" customFormat="1" ht="16.5" thickBot="1" x14ac:dyDescent="0.3"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98"/>
      <c r="AD2" s="498"/>
      <c r="AE2" s="498"/>
      <c r="AF2" s="462"/>
      <c r="AG2" s="499"/>
      <c r="AH2" s="500"/>
      <c r="AI2" s="498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5">
        <v>44926</v>
      </c>
      <c r="F3" s="1276"/>
      <c r="G3" s="615">
        <f>YEAR(Tmaj)</f>
        <v>2022</v>
      </c>
      <c r="H3" s="565"/>
      <c r="I3" s="565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505"/>
      <c r="AD3" s="495"/>
      <c r="AE3" s="505"/>
      <c r="AF3" s="495"/>
      <c r="AG3" s="499"/>
      <c r="AH3" s="500"/>
      <c r="AI3" s="505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thickBot="1" x14ac:dyDescent="0.3">
      <c r="D4" s="105" t="s">
        <v>133</v>
      </c>
      <c r="E4" s="1277" t="s">
        <v>335</v>
      </c>
      <c r="F4" s="1278"/>
      <c r="G4" s="1278"/>
      <c r="H4" s="1278"/>
      <c r="I4" s="1279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505"/>
      <c r="AD4" s="505"/>
      <c r="AE4" s="505"/>
      <c r="AF4" s="495"/>
      <c r="AG4" s="499"/>
      <c r="AH4" s="500"/>
      <c r="AI4" s="505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5">
        <v>43259</v>
      </c>
      <c r="F5" s="1276"/>
      <c r="G5" s="560"/>
      <c r="H5" s="560"/>
      <c r="I5" s="560"/>
      <c r="J5" s="19"/>
      <c r="K5" s="192"/>
      <c r="L5" s="506"/>
      <c r="M5" s="505"/>
      <c r="N5" s="505"/>
      <c r="O5" s="428"/>
      <c r="P5" s="508"/>
      <c r="Q5" s="508"/>
      <c r="R5" s="495"/>
      <c r="S5" s="499"/>
      <c r="T5" s="499"/>
      <c r="U5" s="495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495"/>
      <c r="AD5" s="505"/>
      <c r="AE5" s="508"/>
      <c r="AF5" s="495"/>
      <c r="AG5" s="499"/>
      <c r="AH5" s="500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75">
        <v>43301</v>
      </c>
      <c r="F6" s="1276"/>
      <c r="G6" s="576"/>
      <c r="H6" s="557"/>
      <c r="I6" s="557"/>
      <c r="J6" s="35"/>
      <c r="K6" s="193"/>
      <c r="L6" s="154" t="s">
        <v>83</v>
      </c>
      <c r="M6" s="41"/>
      <c r="N6" s="41"/>
      <c r="O6" s="508"/>
      <c r="P6" s="498"/>
      <c r="Q6" s="498"/>
      <c r="R6" s="515"/>
      <c r="S6" s="499"/>
      <c r="T6" s="499"/>
      <c r="U6" s="515"/>
      <c r="V6" s="500"/>
      <c r="W6" s="462"/>
      <c r="X6" s="497"/>
      <c r="Y6" s="498"/>
      <c r="Z6" s="462"/>
      <c r="AA6" s="462"/>
      <c r="AB6" s="516"/>
      <c r="AC6" s="500"/>
      <c r="AD6" s="515"/>
      <c r="AE6" s="515"/>
      <c r="AF6" s="500"/>
      <c r="AG6" s="499"/>
      <c r="AH6" s="499"/>
      <c r="AI6" s="500"/>
      <c r="AJ6" s="516">
        <f>SUMIF(AJ15:AJ380,"FAUX",Wh)</f>
        <v>4615.3260000000028</v>
      </c>
      <c r="AK6" s="516">
        <f>SUMIF(AK15:AK380,"FAUX",Wh)</f>
        <v>4615.3260000000028</v>
      </c>
      <c r="AL6" s="516">
        <f>SUMIF(AJ15:AJ380,"FAUX",Wh_s)</f>
        <v>4615.3260000000028</v>
      </c>
      <c r="AM6" s="516">
        <f>SUMIF(AK15:AK380,"FAUX",Wh_s)</f>
        <v>4615.3260000000028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498"/>
      <c r="P7" s="248"/>
      <c r="Q7" s="248"/>
      <c r="R7" s="517"/>
      <c r="S7" s="517"/>
      <c r="T7" s="517"/>
      <c r="U7" s="248"/>
      <c r="V7" s="428"/>
      <c r="W7" s="518"/>
      <c r="X7" s="519"/>
      <c r="Y7" s="248"/>
      <c r="Z7" s="518"/>
      <c r="AA7" s="518"/>
      <c r="AB7" s="248"/>
      <c r="AC7" s="498"/>
      <c r="AD7" s="248"/>
      <c r="AE7" s="248"/>
      <c r="AF7" s="493"/>
      <c r="AG7" s="493"/>
      <c r="AH7" s="493"/>
      <c r="AI7" s="493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20" t="s">
        <v>95</v>
      </c>
      <c r="P8" s="498"/>
      <c r="Q8" s="498"/>
      <c r="R8" s="498"/>
      <c r="S8" s="498"/>
      <c r="T8" s="498"/>
      <c r="U8" s="498"/>
      <c r="W8" s="404"/>
      <c r="X8" s="1268" t="s">
        <v>102</v>
      </c>
      <c r="Y8" s="1269"/>
      <c r="Z8" s="498"/>
      <c r="AA8" s="498"/>
      <c r="AB8" s="462"/>
      <c r="AC8" s="520" t="s">
        <v>95</v>
      </c>
      <c r="AD8" s="462"/>
      <c r="AE8" s="462"/>
      <c r="AF8" s="462"/>
      <c r="AG8" s="462"/>
      <c r="AH8" s="462"/>
      <c r="AI8" s="462"/>
      <c r="AJ8" s="516">
        <f>SUMIF(AJ15:AJ380,"FAUX",Wh_pvt)</f>
        <v>4625.9802305126768</v>
      </c>
      <c r="AK8" s="516">
        <f>SUMIF(AK15:AK380,"FAUX",Wh_sa)</f>
        <v>4656.6601299130762</v>
      </c>
      <c r="AL8" s="516">
        <f>SUMIF(AJ15:AJ380,"FAUX",Wh_pvt_s)</f>
        <v>4625.9802305126768</v>
      </c>
      <c r="AM8" s="516">
        <f>SUMIF(AK15:AK380,"FAUX",Wh_sa_s)</f>
        <v>4656.6601299130762</v>
      </c>
      <c r="AN8" s="832" t="s">
        <v>258</v>
      </c>
    </row>
    <row r="9" spans="1:40" s="19" customFormat="1" ht="15" customHeight="1" x14ac:dyDescent="0.25">
      <c r="A9" s="183"/>
      <c r="D9" s="73">
        <f>SUM(D$15:D$380)</f>
        <v>4625.9802305126768</v>
      </c>
      <c r="E9" s="73">
        <f>SUM(E$15:E$380)</f>
        <v>4656.6601299130762</v>
      </c>
      <c r="F9" s="73">
        <f>SUM(F$15:F$380)</f>
        <v>4656.7264910671083</v>
      </c>
      <c r="H9" s="1272">
        <f>+SUM(Wh)</f>
        <v>4615.3260000000028</v>
      </c>
      <c r="I9" s="1273"/>
      <c r="J9" s="1274"/>
      <c r="K9" s="191"/>
      <c r="L9" s="114"/>
      <c r="M9" s="114"/>
      <c r="N9" s="114"/>
      <c r="O9" s="325">
        <f>MAX(T0,Tnet_2018)</f>
        <v>43259</v>
      </c>
      <c r="P9" s="244" t="s">
        <v>112</v>
      </c>
      <c r="Q9" s="245"/>
      <c r="R9" s="245"/>
      <c r="S9" s="245"/>
      <c r="T9" s="245"/>
      <c r="U9" s="245"/>
      <c r="V9" s="462"/>
      <c r="W9" s="521"/>
      <c r="X9" s="1266">
        <f>+SUM(Wh_s)</f>
        <v>4615.3260000000028</v>
      </c>
      <c r="Y9" s="1267"/>
      <c r="Z9" s="516">
        <f>SUM(Z$15:Z$380)</f>
        <v>4625.9802305126768</v>
      </c>
      <c r="AA9" s="516">
        <f>SUM(AA$15:AA$380)</f>
        <v>4656.6601299130762</v>
      </c>
      <c r="AB9" s="516">
        <f>F9</f>
        <v>4656.7264910671083</v>
      </c>
      <c r="AC9" s="325">
        <f>IF(An_Tnet,Tnet,T0)</f>
        <v>43259</v>
      </c>
      <c r="AD9" s="315" t="s">
        <v>103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1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IF(OR(Inflex,GainD),Salim_i*(1-EXP((T0-Tnet)/Tau_ij)),IF(Acti_net,Salim_i*(1-EXP((T0-Tnet)/Tau_ij)),0))</f>
        <v>0</v>
      </c>
      <c r="AD10" s="428"/>
      <c r="AE10" s="428"/>
      <c r="AF10" s="260"/>
      <c r="AG10" s="261"/>
      <c r="AH10" s="262"/>
      <c r="AI10" s="428"/>
      <c r="AJ10" s="516">
        <f>SUMIF(AJ15:AJ380,"FAUX",Wh_sa)</f>
        <v>4656.6601299130762</v>
      </c>
      <c r="AK10" s="516">
        <f>SUMIF(AK15:AK380,"FAUX",Wh_hp)</f>
        <v>4656.7264910671083</v>
      </c>
      <c r="AL10" s="516">
        <f>SUMIF(AJ15:AJ380,"FAUX",Wh_sa_s)</f>
        <v>4656.6601299130762</v>
      </c>
      <c r="AM10" s="516">
        <f>SUMIF(AK15:AK380,"FAUX",Wh_hp)</f>
        <v>4656.7264910671083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218">
        <f>D$9-Prod_an</f>
        <v>10.654230512674076</v>
      </c>
      <c r="E11" s="219">
        <f>(E$9-D$9)*Prod_an/D$9</f>
        <v>30.609239625815459</v>
      </c>
      <c r="F11" s="220">
        <f>(F$9-E$9)*Prod_an/E$9</f>
        <v>6.5772109419627092E-2</v>
      </c>
      <c r="G11" s="185" t="s">
        <v>6</v>
      </c>
      <c r="K11" s="194"/>
      <c r="L11" s="182">
        <f>Tvie_2018</f>
        <v>43259</v>
      </c>
      <c r="M11" s="844"/>
      <c r="N11" s="844"/>
      <c r="O11" s="318">
        <f>Salim_2018</f>
        <v>7.0000000000000007E-2</v>
      </c>
      <c r="P11" s="256">
        <f>Ttai_2018</f>
        <v>43101</v>
      </c>
      <c r="Q11" s="272">
        <f>Dens_2018</f>
        <v>0.5</v>
      </c>
      <c r="R11" s="524"/>
      <c r="S11" s="247"/>
      <c r="T11" s="525"/>
      <c r="U11" s="266">
        <f>Htf_2018</f>
        <v>-1.5026106892122759</v>
      </c>
      <c r="V11" s="428"/>
      <c r="W11" s="519"/>
      <c r="X11" s="526" t="s">
        <v>43</v>
      </c>
      <c r="Y11" s="50">
        <f>Z$9-Prod_an_s</f>
        <v>10.654230512674076</v>
      </c>
      <c r="Z11" s="51">
        <f>(AA$9-Z$9)*Prod_an_s/Z$9</f>
        <v>30.609239625815459</v>
      </c>
      <c r="AA11" s="186">
        <f>(AB$9-AA$9)*Prod_an_s/AA$9</f>
        <v>6.5772109419627092E-2</v>
      </c>
      <c r="AB11" s="527" t="s">
        <v>6</v>
      </c>
      <c r="AC11" s="473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8.9659887314030851E-3</v>
      </c>
      <c r="I12" s="102"/>
      <c r="J12" s="99"/>
      <c r="K12" s="191"/>
      <c r="L12" s="204">
        <f>Pspv_2018</f>
        <v>0</v>
      </c>
      <c r="M12" s="212"/>
      <c r="N12" s="212"/>
      <c r="O12" s="528">
        <f>Tau_2018*365</f>
        <v>1095</v>
      </c>
      <c r="P12" s="529">
        <f>INDEX(Croivg,MIN(MAX(Ttai-$A$15,0)+1,366))</f>
        <v>2.3909964587625958E-6</v>
      </c>
      <c r="Q12" s="296">
        <f>D_i</f>
        <v>0.5</v>
      </c>
      <c r="R12" s="278"/>
      <c r="S12" s="279"/>
      <c r="T12" s="530"/>
      <c r="U12" s="297">
        <f>H_i</f>
        <v>-2.0026106892122759</v>
      </c>
      <c r="V12" s="518"/>
      <c r="W12" s="505"/>
      <c r="X12" s="506"/>
      <c r="Y12" s="505"/>
      <c r="Z12" s="428"/>
      <c r="AA12" s="428"/>
      <c r="AB12" s="505"/>
      <c r="AC12" s="318" t="b">
        <f>NOT(An_Tnet)</f>
        <v>0</v>
      </c>
      <c r="AD12" s="428"/>
      <c r="AE12" s="296">
        <f>D_i</f>
        <v>0.5</v>
      </c>
      <c r="AF12" s="203"/>
      <c r="AG12" s="203"/>
      <c r="AH12" s="203"/>
      <c r="AI12" s="297">
        <f>H_i</f>
        <v>-2.0026106892122759</v>
      </c>
      <c r="AJ12" s="833">
        <f>IF($AJ8=0,0,($AJ10-$AJ8)*$AJ6/$AJ8)</f>
        <v>30.609239625815459</v>
      </c>
      <c r="AK12" s="834">
        <f>IF($AK8=0,0,($AK10-$AK8)*$AK6/$AK8)</f>
        <v>6.5772109419627092E-2</v>
      </c>
      <c r="AL12" s="833">
        <f>IF($AL8=0,0,($AL10-$AL8)*$AL6/$AL8)</f>
        <v>30.609239625815459</v>
      </c>
      <c r="AM12" s="834">
        <f>IF($AM8=0,0,($AM10-$AM8)*$AM6/$AM8)</f>
        <v>6.5772109419627092E-2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30.609239625815459</v>
      </c>
      <c r="AK13" s="73">
        <f>+AK11+AK12</f>
        <v>6.5772109419627092E-2</v>
      </c>
      <c r="AL13" s="73">
        <f>+AL11+AL12</f>
        <v>30.609239625815459</v>
      </c>
      <c r="AM13" s="73">
        <f>+AM11+AM12</f>
        <v>6.5772109419627092E-2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208</v>
      </c>
      <c r="V14" s="45" t="str">
        <f>"Enveloppe "&amp; TEXT(An,0)</f>
        <v>Enveloppe 2018</v>
      </c>
      <c r="W14" s="435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0"/>
      <c r="C15" s="854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7">
        <f t="shared" ref="L15:L78" si="2">IF(t&lt;T0,0,IF(t&lt;Tvie,1-EXP((T0-t)*PertePVj),1-EXP((T0-t)*PertePVj)+Pspv))</f>
        <v>0</v>
      </c>
      <c r="M15" s="856"/>
      <c r="N15" s="856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1.1078790194703113E-10</v>
      </c>
      <c r="Q15" s="303">
        <f>IF(OR(t&lt;Ttai,Notai),Dd+PousD*Croivg,Dens+PousD*(Croivg-Croi_tai))</f>
        <v>0.5</v>
      </c>
      <c r="R15" s="304">
        <f t="shared" ref="R15:R78" si="4">(Hp_vg-S15)/(INDEX(Echel_vg,T15+1)-S15)</f>
        <v>0.99739050628595338</v>
      </c>
      <c r="S15" s="810">
        <f>INDEX(Echel_vg,T15)</f>
        <v>-3</v>
      </c>
      <c r="T15" s="249">
        <f>MIN(MATCH(Hp_vg,Echel_vg),10)</f>
        <v>3</v>
      </c>
      <c r="U15" s="250">
        <f>IF(OR(t&lt;Ttai,Notai),Hdd+PousH*Croivg,Hdtf+PousH*(Croivg-Croi_tai))</f>
        <v>-2.0026094937140466</v>
      </c>
      <c r="V15" s="382">
        <f t="shared" ref="V15:V78" si="5">MaxiM*(1-Ppv)*(1-Pvg)*(1-Psa)</f>
        <v>25.790555706445144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4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1.1078790194703113E-10</v>
      </c>
      <c r="AE15" s="303">
        <f t="shared" ref="AE15:AE78" si="12">Dd+PousD*Croivg</f>
        <v>0.5</v>
      </c>
      <c r="AF15" s="304">
        <f t="shared" ref="AF15:AF78" si="13">(Hp_vg_s-AG15)/(INDEX(Echel_vg,AH15+1)-AG15)</f>
        <v>0.99739050628595338</v>
      </c>
      <c r="AG15" s="810">
        <f>INDEX(Echel_vg,AH15)</f>
        <v>-3</v>
      </c>
      <c r="AH15" s="249">
        <f t="shared" ref="AH15:AH78" si="14">MIN(MATCH(Hp_vg_s,Echel_vg),10)</f>
        <v>3</v>
      </c>
      <c r="AI15" s="224">
        <f t="shared" ref="AI15:AI78" si="15">Hdd+PousH*Croivg</f>
        <v>-2.0026094937140466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7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7">
        <f t="shared" si="2"/>
        <v>0</v>
      </c>
      <c r="M16" s="856"/>
      <c r="N16" s="856"/>
      <c r="O16" s="324">
        <f t="shared" si="3"/>
        <v>0</v>
      </c>
      <c r="P16" s="169">
        <f>(INDEX(Models!$BJ16:$BT16,,T16)*(1-R16)+INDEX(Models!$BJ16:$BT16,,T16+1)*R16-ERP_i)*Q16*Ramure*Pc/MaxiM</f>
        <v>2.8069676031460391E-9</v>
      </c>
      <c r="Q16" s="305">
        <f t="shared" ref="Q16:Q78" si="19">IF(OR(t&lt;Ttai,Notai),Dd+PousD*Croivg,Dens+PousD*(Croivg-Croi_tai))</f>
        <v>0.5</v>
      </c>
      <c r="R16" s="177">
        <f t="shared" si="4"/>
        <v>0.99741972089994757</v>
      </c>
      <c r="S16" s="811">
        <f t="shared" ref="S16:S79" si="20">INDEX(Echel_vg,T16)</f>
        <v>-3</v>
      </c>
      <c r="T16" s="176">
        <f t="shared" ref="T16:T78" si="21">MIN(MATCH(Hp_vg,Echel_vg),10)</f>
        <v>3</v>
      </c>
      <c r="U16" s="251">
        <f t="shared" ref="U16:U78" si="22">IF(OR(t&lt;Ttai,Notai),Hdd+PousH*Croivg,Hdtf+PousH*(Croivg-Croi_tai))</f>
        <v>-2.0025802791000524</v>
      </c>
      <c r="V16" s="383">
        <f t="shared" si="5"/>
        <v>25.974722293422804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6">
        <f t="shared" si="11"/>
        <v>0</v>
      </c>
      <c r="AD16" s="169">
        <f>(INDEX(Models!$BJ16:$BT16,,AH16)*(1-AF16)+INDEX(Models!$BJ16:$BT16,,AH16+1)*AF16-ERP_i)*AE16*Ramure*Pc/MaxiM</f>
        <v>2.8069676031460391E-9</v>
      </c>
      <c r="AE16" s="305">
        <f t="shared" si="12"/>
        <v>0.5</v>
      </c>
      <c r="AF16" s="177">
        <f t="shared" si="13"/>
        <v>0.99741972089994757</v>
      </c>
      <c r="AG16" s="811">
        <f t="shared" ref="AG16:AG78" si="23">INDEX(Echel_vg,AH16)</f>
        <v>-3</v>
      </c>
      <c r="AH16" s="176">
        <f t="shared" si="14"/>
        <v>3</v>
      </c>
      <c r="AI16" s="225">
        <f t="shared" si="15"/>
        <v>-2.0025802791000524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7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7">
        <f t="shared" si="2"/>
        <v>0</v>
      </c>
      <c r="M17" s="856"/>
      <c r="N17" s="856"/>
      <c r="O17" s="324">
        <f t="shared" si="3"/>
        <v>0</v>
      </c>
      <c r="P17" s="169">
        <f>(INDEX(Models!$BJ17:$BT17,,T17)*(1-R17)+INDEX(Models!$BJ17:$BT17,,T17+1)*R17-ERP_i)*Q17*Ramure*Pc/MaxiM</f>
        <v>5.586878295912209E-9</v>
      </c>
      <c r="Q17" s="305">
        <f t="shared" si="19"/>
        <v>0.5</v>
      </c>
      <c r="R17" s="177">
        <f t="shared" si="4"/>
        <v>0.99745015749543731</v>
      </c>
      <c r="S17" s="811">
        <f t="shared" si="20"/>
        <v>-3</v>
      </c>
      <c r="T17" s="176">
        <f t="shared" si="21"/>
        <v>3</v>
      </c>
      <c r="U17" s="251">
        <f t="shared" si="22"/>
        <v>-2.0025498425045627</v>
      </c>
      <c r="V17" s="383">
        <f t="shared" si="5"/>
        <v>26.166725524604335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6">
        <f t="shared" si="11"/>
        <v>0</v>
      </c>
      <c r="AD17" s="169">
        <f>(INDEX(Models!$BJ17:$BT17,,AH17)*(1-AF17)+INDEX(Models!$BJ17:$BT17,,AH17+1)*AF17-ERP_i)*AE17*Ramure*Pc/MaxiM</f>
        <v>5.586878295912209E-9</v>
      </c>
      <c r="AE17" s="305">
        <f t="shared" si="12"/>
        <v>0.5</v>
      </c>
      <c r="AF17" s="177">
        <f t="shared" si="13"/>
        <v>0.99745015749543731</v>
      </c>
      <c r="AG17" s="811">
        <f t="shared" si="23"/>
        <v>-3</v>
      </c>
      <c r="AH17" s="176">
        <f t="shared" si="14"/>
        <v>3</v>
      </c>
      <c r="AI17" s="225">
        <f t="shared" si="15"/>
        <v>-2.0025498425045627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7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7">
        <f t="shared" si="2"/>
        <v>0</v>
      </c>
      <c r="M18" s="856"/>
      <c r="N18" s="856"/>
      <c r="O18" s="324">
        <f t="shared" si="3"/>
        <v>0</v>
      </c>
      <c r="P18" s="169">
        <f>(INDEX(Models!$BJ18:$BT18,,T18)*(1-R18)+INDEX(Models!$BJ18:$BT18,,T18+1)*R18-ERP_i)*Q18*Ramure*Pc/MaxiM</f>
        <v>8.4432686909070826E-9</v>
      </c>
      <c r="Q18" s="305">
        <f t="shared" si="19"/>
        <v>0.5</v>
      </c>
      <c r="R18" s="177">
        <f t="shared" si="4"/>
        <v>0.99748186702673225</v>
      </c>
      <c r="S18" s="811">
        <f t="shared" si="20"/>
        <v>-3</v>
      </c>
      <c r="T18" s="176">
        <f t="shared" si="21"/>
        <v>3</v>
      </c>
      <c r="U18" s="251">
        <f t="shared" si="22"/>
        <v>-2.0025181329732678</v>
      </c>
      <c r="V18" s="383">
        <f t="shared" si="5"/>
        <v>26.365339920236455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6">
        <f t="shared" si="11"/>
        <v>0</v>
      </c>
      <c r="AD18" s="169">
        <f>(INDEX(Models!$BJ18:$BT18,,AH18)*(1-AF18)+INDEX(Models!$BJ18:$BT18,,AH18+1)*AF18-ERP_i)*AE18*Ramure*Pc/MaxiM</f>
        <v>8.4432686909070826E-9</v>
      </c>
      <c r="AE18" s="305">
        <f t="shared" si="12"/>
        <v>0.5</v>
      </c>
      <c r="AF18" s="177">
        <f t="shared" si="13"/>
        <v>0.99748186702673225</v>
      </c>
      <c r="AG18" s="811">
        <f t="shared" si="23"/>
        <v>-3</v>
      </c>
      <c r="AH18" s="176">
        <f t="shared" si="14"/>
        <v>3</v>
      </c>
      <c r="AI18" s="225">
        <f t="shared" si="15"/>
        <v>-2.0025181329732678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7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7">
        <f t="shared" si="2"/>
        <v>0</v>
      </c>
      <c r="M19" s="856"/>
      <c r="N19" s="856"/>
      <c r="O19" s="324">
        <f t="shared" si="3"/>
        <v>0</v>
      </c>
      <c r="P19" s="169">
        <f>(INDEX(Models!$BJ19:$BT19,,T19)*(1-R19)+INDEX(Models!$BJ19:$BT19,,T19+1)*R19-ERP_i)*Q19*Ramure*Pc/MaxiM</f>
        <v>1.1368947179606523E-8</v>
      </c>
      <c r="Q19" s="305">
        <f t="shared" si="19"/>
        <v>0.5</v>
      </c>
      <c r="R19" s="177">
        <f t="shared" si="4"/>
        <v>0.9975149025592942</v>
      </c>
      <c r="S19" s="811">
        <f t="shared" si="20"/>
        <v>-3</v>
      </c>
      <c r="T19" s="176">
        <f t="shared" si="21"/>
        <v>3</v>
      </c>
      <c r="U19" s="251">
        <f t="shared" si="22"/>
        <v>-2.0024850974407058</v>
      </c>
      <c r="V19" s="383">
        <f t="shared" si="5"/>
        <v>26.569339993726199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6">
        <f t="shared" si="11"/>
        <v>0</v>
      </c>
      <c r="AD19" s="169">
        <f>(INDEX(Models!$BJ19:$BT19,,AH19)*(1-AF19)+INDEX(Models!$BJ19:$BT19,,AH19+1)*AF19-ERP_i)*AE19*Ramure*Pc/MaxiM</f>
        <v>1.1368947179606523E-8</v>
      </c>
      <c r="AE19" s="305">
        <f t="shared" si="12"/>
        <v>0.5</v>
      </c>
      <c r="AF19" s="177">
        <f t="shared" si="13"/>
        <v>0.9975149025592942</v>
      </c>
      <c r="AG19" s="811">
        <f t="shared" si="23"/>
        <v>-3</v>
      </c>
      <c r="AH19" s="176">
        <f t="shared" si="14"/>
        <v>3</v>
      </c>
      <c r="AI19" s="225">
        <f t="shared" si="15"/>
        <v>-2.0024850974407058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7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7">
        <f t="shared" si="2"/>
        <v>0</v>
      </c>
      <c r="M20" s="856"/>
      <c r="N20" s="856"/>
      <c r="O20" s="324">
        <f t="shared" si="3"/>
        <v>0</v>
      </c>
      <c r="P20" s="169">
        <f>(INDEX(Models!$BJ20:$BT20,,T20)*(1-R20)+INDEX(Models!$BJ20:$BT20,,T20+1)*R20-ERP_i)*Q20*Ramure*Pc/MaxiM</f>
        <v>1.4356785136968867E-8</v>
      </c>
      <c r="Q20" s="305">
        <f t="shared" si="19"/>
        <v>0.5</v>
      </c>
      <c r="R20" s="177">
        <f t="shared" si="4"/>
        <v>0.99754931935604496</v>
      </c>
      <c r="S20" s="811">
        <f t="shared" si="20"/>
        <v>-3</v>
      </c>
      <c r="T20" s="176">
        <f t="shared" si="21"/>
        <v>3</v>
      </c>
      <c r="U20" s="251">
        <f t="shared" si="22"/>
        <v>-2.002450680643955</v>
      </c>
      <c r="V20" s="383">
        <f t="shared" si="5"/>
        <v>26.777500262172229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6">
        <f t="shared" si="11"/>
        <v>0</v>
      </c>
      <c r="AD20" s="169">
        <f>(INDEX(Models!$BJ20:$BT20,,AH20)*(1-AF20)+INDEX(Models!$BJ20:$BT20,,AH20+1)*AF20-ERP_i)*AE20*Ramure*Pc/MaxiM</f>
        <v>1.4356785136968867E-8</v>
      </c>
      <c r="AE20" s="305">
        <f t="shared" si="12"/>
        <v>0.5</v>
      </c>
      <c r="AF20" s="177">
        <f t="shared" si="13"/>
        <v>0.99754931935604496</v>
      </c>
      <c r="AG20" s="811">
        <f t="shared" si="23"/>
        <v>-3</v>
      </c>
      <c r="AH20" s="176">
        <f t="shared" si="14"/>
        <v>3</v>
      </c>
      <c r="AI20" s="225">
        <f t="shared" si="15"/>
        <v>-2.002450680643955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7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7">
        <f t="shared" si="2"/>
        <v>0</v>
      </c>
      <c r="M21" s="856"/>
      <c r="N21" s="856"/>
      <c r="O21" s="324">
        <f t="shared" si="3"/>
        <v>0</v>
      </c>
      <c r="P21" s="169">
        <f>(INDEX(Models!$BJ21:$BT21,,T21)*(1-R21)+INDEX(Models!$BJ21:$BT21,,T21+1)*R21-ERP_i)*Q21*Ramure*Pc/MaxiM</f>
        <v>1.739971117174997E-8</v>
      </c>
      <c r="Q21" s="305">
        <f t="shared" si="19"/>
        <v>0.5</v>
      </c>
      <c r="R21" s="177">
        <f t="shared" si="4"/>
        <v>0.99758517496710786</v>
      </c>
      <c r="S21" s="811">
        <f t="shared" si="20"/>
        <v>-3</v>
      </c>
      <c r="T21" s="176">
        <f t="shared" si="21"/>
        <v>3</v>
      </c>
      <c r="U21" s="251">
        <f t="shared" si="22"/>
        <v>-2.0024148250328921</v>
      </c>
      <c r="V21" s="383">
        <f t="shared" si="5"/>
        <v>26.988595239014856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6">
        <f t="shared" si="11"/>
        <v>0</v>
      </c>
      <c r="AD21" s="169">
        <f>(INDEX(Models!$BJ21:$BT21,,AH21)*(1-AF21)+INDEX(Models!$BJ21:$BT21,,AH21+1)*AF21-ERP_i)*AE21*Ramure*Pc/MaxiM</f>
        <v>1.739971117174997E-8</v>
      </c>
      <c r="AE21" s="305">
        <f t="shared" si="12"/>
        <v>0.5</v>
      </c>
      <c r="AF21" s="177">
        <f t="shared" si="13"/>
        <v>0.99758517496710786</v>
      </c>
      <c r="AG21" s="811">
        <f t="shared" si="23"/>
        <v>-3</v>
      </c>
      <c r="AH21" s="176">
        <f t="shared" si="14"/>
        <v>3</v>
      </c>
      <c r="AI21" s="225">
        <f t="shared" si="15"/>
        <v>-2.0024148250328921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7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7">
        <f t="shared" si="2"/>
        <v>0</v>
      </c>
      <c r="M22" s="856"/>
      <c r="N22" s="856"/>
      <c r="O22" s="324">
        <f t="shared" si="3"/>
        <v>0</v>
      </c>
      <c r="P22" s="169">
        <f>(INDEX(Models!$BJ22:$BT22,,T22)*(1-R22)+INDEX(Models!$BJ22:$BT22,,T22+1)*R22-ERP_i)*Q22*Ramure*Pc/MaxiM</f>
        <v>2.0490696658280013E-8</v>
      </c>
      <c r="Q22" s="305">
        <f t="shared" si="19"/>
        <v>0.5</v>
      </c>
      <c r="R22" s="177">
        <f t="shared" si="4"/>
        <v>0.99762252932310513</v>
      </c>
      <c r="S22" s="811">
        <f t="shared" si="20"/>
        <v>-3</v>
      </c>
      <c r="T22" s="176">
        <f t="shared" si="21"/>
        <v>3</v>
      </c>
      <c r="U22" s="251">
        <f t="shared" si="22"/>
        <v>-2.0023774706768949</v>
      </c>
      <c r="V22" s="383">
        <f t="shared" si="5"/>
        <v>27.201399442481314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6">
        <f t="shared" si="11"/>
        <v>0</v>
      </c>
      <c r="AD22" s="169">
        <f>(INDEX(Models!$BJ22:$BT22,,AH22)*(1-AF22)+INDEX(Models!$BJ22:$BT22,,AH22+1)*AF22-ERP_i)*AE22*Ramure*Pc/MaxiM</f>
        <v>2.0490696658280013E-8</v>
      </c>
      <c r="AE22" s="305">
        <f t="shared" si="12"/>
        <v>0.5</v>
      </c>
      <c r="AF22" s="177">
        <f t="shared" si="13"/>
        <v>0.99762252932310513</v>
      </c>
      <c r="AG22" s="811">
        <f t="shared" si="23"/>
        <v>-3</v>
      </c>
      <c r="AH22" s="176">
        <f t="shared" si="14"/>
        <v>3</v>
      </c>
      <c r="AI22" s="225">
        <f t="shared" si="15"/>
        <v>-2.0023774706768949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7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7">
        <f t="shared" si="2"/>
        <v>0</v>
      </c>
      <c r="M23" s="856"/>
      <c r="N23" s="856"/>
      <c r="O23" s="324">
        <f t="shared" si="3"/>
        <v>0</v>
      </c>
      <c r="P23" s="169">
        <f>(INDEX(Models!$BJ23:$BT23,,T23)*(1-R23)+INDEX(Models!$BJ23:$BT23,,T23+1)*R23-ERP_i)*Q23*Ramure*Pc/MaxiM</f>
        <v>2.3619477346721142E-8</v>
      </c>
      <c r="Q23" s="305">
        <f t="shared" si="19"/>
        <v>0.5</v>
      </c>
      <c r="R23" s="177">
        <f t="shared" si="4"/>
        <v>0.99766144483214036</v>
      </c>
      <c r="S23" s="811">
        <f t="shared" si="20"/>
        <v>-3</v>
      </c>
      <c r="T23" s="176">
        <f t="shared" si="21"/>
        <v>3</v>
      </c>
      <c r="U23" s="251">
        <f t="shared" si="22"/>
        <v>-2.0023385551678596</v>
      </c>
      <c r="V23" s="383">
        <f t="shared" si="5"/>
        <v>27.418466033259609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6">
        <f t="shared" si="11"/>
        <v>0</v>
      </c>
      <c r="AD23" s="169">
        <f>(INDEX(Models!$BJ23:$BT23,,AH23)*(1-AF23)+INDEX(Models!$BJ23:$BT23,,AH23+1)*AF23-ERP_i)*AE23*Ramure*Pc/MaxiM</f>
        <v>2.3619477346721142E-8</v>
      </c>
      <c r="AE23" s="305">
        <f t="shared" si="12"/>
        <v>0.5</v>
      </c>
      <c r="AF23" s="177">
        <f t="shared" si="13"/>
        <v>0.99766144483214036</v>
      </c>
      <c r="AG23" s="811">
        <f t="shared" si="23"/>
        <v>-3</v>
      </c>
      <c r="AH23" s="176">
        <f t="shared" si="14"/>
        <v>3</v>
      </c>
      <c r="AI23" s="225">
        <f t="shared" si="15"/>
        <v>-2.0023385551678596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7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7">
        <f t="shared" si="2"/>
        <v>0</v>
      </c>
      <c r="M24" s="856"/>
      <c r="N24" s="856"/>
      <c r="O24" s="324">
        <f t="shared" si="3"/>
        <v>0</v>
      </c>
      <c r="P24" s="169">
        <f>(INDEX(Models!$BJ24:$BT24,,T24)*(1-R24)+INDEX(Models!$BJ24:$BT24,,T24+1)*R24-ERP_i)*Q24*Ramure*Pc/MaxiM</f>
        <v>2.6747442437372599E-8</v>
      </c>
      <c r="Q24" s="305">
        <f t="shared" si="19"/>
        <v>0.5</v>
      </c>
      <c r="R24" s="177">
        <f t="shared" si="4"/>
        <v>0.99770198648060981</v>
      </c>
      <c r="S24" s="811">
        <f t="shared" si="20"/>
        <v>-3</v>
      </c>
      <c r="T24" s="176">
        <f t="shared" si="21"/>
        <v>3</v>
      </c>
      <c r="U24" s="251">
        <f t="shared" si="22"/>
        <v>-2.0022980135193902</v>
      </c>
      <c r="V24" s="383">
        <f t="shared" si="5"/>
        <v>27.64300802704998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6">
        <f t="shared" si="11"/>
        <v>0</v>
      </c>
      <c r="AD24" s="169">
        <f>(INDEX(Models!$BJ24:$BT24,,AH24)*(1-AF24)+INDEX(Models!$BJ24:$BT24,,AH24+1)*AF24-ERP_i)*AE24*Ramure*Pc/MaxiM</f>
        <v>2.6747442437372599E-8</v>
      </c>
      <c r="AE24" s="305">
        <f t="shared" si="12"/>
        <v>0.5</v>
      </c>
      <c r="AF24" s="177">
        <f t="shared" si="13"/>
        <v>0.99770198648060981</v>
      </c>
      <c r="AG24" s="811">
        <f t="shared" si="23"/>
        <v>-3</v>
      </c>
      <c r="AH24" s="176">
        <f t="shared" si="14"/>
        <v>3</v>
      </c>
      <c r="AI24" s="225">
        <f t="shared" si="15"/>
        <v>-2.0022980135193902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7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7">
        <f t="shared" si="2"/>
        <v>0</v>
      </c>
      <c r="M25" s="856"/>
      <c r="N25" s="856"/>
      <c r="O25" s="324">
        <f t="shared" si="3"/>
        <v>0</v>
      </c>
      <c r="P25" s="169">
        <f>(INDEX(Models!$BJ25:$BT25,,T25)*(1-R25)+INDEX(Models!$BJ25:$BT25,,T25+1)*R25-ERP_i)*Q25*Ramure*Pc/MaxiM</f>
        <v>2.9845603636029566E-8</v>
      </c>
      <c r="Q25" s="305">
        <f t="shared" si="19"/>
        <v>0.5</v>
      </c>
      <c r="R25" s="177">
        <f t="shared" si="4"/>
        <v>0.99774422193797596</v>
      </c>
      <c r="S25" s="811">
        <f t="shared" si="20"/>
        <v>-3</v>
      </c>
      <c r="T25" s="176">
        <f t="shared" si="21"/>
        <v>3</v>
      </c>
      <c r="U25" s="251">
        <f t="shared" si="22"/>
        <v>-2.002255778062024</v>
      </c>
      <c r="V25" s="383">
        <f t="shared" si="5"/>
        <v>27.874789723192336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6">
        <f t="shared" si="11"/>
        <v>0</v>
      </c>
      <c r="AD25" s="169">
        <f>(INDEX(Models!$BJ25:$BT25,,AH25)*(1-AF25)+INDEX(Models!$BJ25:$BT25,,AH25+1)*AF25-ERP_i)*AE25*Ramure*Pc/MaxiM</f>
        <v>2.9845603636029566E-8</v>
      </c>
      <c r="AE25" s="305">
        <f t="shared" si="12"/>
        <v>0.5</v>
      </c>
      <c r="AF25" s="177">
        <f t="shared" si="13"/>
        <v>0.99774422193797596</v>
      </c>
      <c r="AG25" s="811">
        <f t="shared" si="23"/>
        <v>-3</v>
      </c>
      <c r="AH25" s="176">
        <f t="shared" si="14"/>
        <v>3</v>
      </c>
      <c r="AI25" s="225">
        <f t="shared" si="15"/>
        <v>-2.002255778062024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7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7">
        <f t="shared" si="2"/>
        <v>0</v>
      </c>
      <c r="M26" s="856"/>
      <c r="N26" s="856"/>
      <c r="O26" s="324">
        <f t="shared" si="3"/>
        <v>0</v>
      </c>
      <c r="P26" s="169">
        <f>(INDEX(Models!$BJ26:$BT26,,T26)*(1-R26)+INDEX(Models!$BJ26:$BT26,,T26+1)*R26-ERP_i)*Q26*Ramure*Pc/MaxiM</f>
        <v>3.2889550591477093E-8</v>
      </c>
      <c r="Q26" s="305">
        <f t="shared" si="19"/>
        <v>0.5</v>
      </c>
      <c r="R26" s="177">
        <f t="shared" si="4"/>
        <v>0.99778822166564707</v>
      </c>
      <c r="S26" s="811">
        <f t="shared" si="20"/>
        <v>-3</v>
      </c>
      <c r="T26" s="176">
        <f t="shared" si="21"/>
        <v>3</v>
      </c>
      <c r="U26" s="251">
        <f t="shared" si="22"/>
        <v>-2.0022117783343529</v>
      </c>
      <c r="V26" s="383">
        <f t="shared" si="5"/>
        <v>28.113575423057295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6">
        <f t="shared" si="11"/>
        <v>0</v>
      </c>
      <c r="AD26" s="169">
        <f>(INDEX(Models!$BJ26:$BT26,,AH26)*(1-AF26)+INDEX(Models!$BJ26:$BT26,,AH26+1)*AF26-ERP_i)*AE26*Ramure*Pc/MaxiM</f>
        <v>3.2889550591477093E-8</v>
      </c>
      <c r="AE26" s="305">
        <f t="shared" si="12"/>
        <v>0.5</v>
      </c>
      <c r="AF26" s="177">
        <f t="shared" si="13"/>
        <v>0.99778822166564707</v>
      </c>
      <c r="AG26" s="811">
        <f t="shared" si="23"/>
        <v>-3</v>
      </c>
      <c r="AH26" s="176">
        <f t="shared" si="14"/>
        <v>3</v>
      </c>
      <c r="AI26" s="225">
        <f t="shared" si="15"/>
        <v>-2.0022117783343529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7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7">
        <f t="shared" si="2"/>
        <v>0</v>
      </c>
      <c r="M27" s="856"/>
      <c r="N27" s="856"/>
      <c r="O27" s="324">
        <f t="shared" si="3"/>
        <v>0</v>
      </c>
      <c r="P27" s="169">
        <f>(INDEX(Models!$BJ27:$BT27,,T27)*(1-R27)+INDEX(Models!$BJ27:$BT27,,T27+1)*R27-ERP_i)*Q27*Ramure*Pc/MaxiM</f>
        <v>3.5853756829931054E-8</v>
      </c>
      <c r="Q27" s="305">
        <f t="shared" si="19"/>
        <v>0.5</v>
      </c>
      <c r="R27" s="177">
        <f t="shared" si="4"/>
        <v>0.99783405903011602</v>
      </c>
      <c r="S27" s="811">
        <f t="shared" si="20"/>
        <v>-3</v>
      </c>
      <c r="T27" s="176">
        <f t="shared" si="21"/>
        <v>3</v>
      </c>
      <c r="U27" s="251">
        <f t="shared" si="22"/>
        <v>-2.002165940969884</v>
      </c>
      <c r="V27" s="383">
        <f t="shared" si="5"/>
        <v>28.3591294227002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6">
        <f t="shared" si="11"/>
        <v>0</v>
      </c>
      <c r="AD27" s="169">
        <f>(INDEX(Models!$BJ27:$BT27,,AH27)*(1-AF27)+INDEX(Models!$BJ27:$BT27,,AH27+1)*AF27-ERP_i)*AE27*Ramure*Pc/MaxiM</f>
        <v>3.5853756829931054E-8</v>
      </c>
      <c r="AE27" s="305">
        <f t="shared" si="12"/>
        <v>0.5</v>
      </c>
      <c r="AF27" s="177">
        <f t="shared" si="13"/>
        <v>0.99783405903011602</v>
      </c>
      <c r="AG27" s="811">
        <f t="shared" si="23"/>
        <v>-3</v>
      </c>
      <c r="AH27" s="176">
        <f t="shared" si="14"/>
        <v>3</v>
      </c>
      <c r="AI27" s="225">
        <f t="shared" si="15"/>
        <v>-2.002165940969884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7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7">
        <f t="shared" si="2"/>
        <v>0</v>
      </c>
      <c r="M28" s="856"/>
      <c r="N28" s="856"/>
      <c r="O28" s="324">
        <f t="shared" si="3"/>
        <v>0</v>
      </c>
      <c r="P28" s="169">
        <f>(INDEX(Models!$BJ28:$BT28,,T28)*(1-R28)+INDEX(Models!$BJ28:$BT28,,T28+1)*R28-ERP_i)*Q28*Ramure*Pc/MaxiM</f>
        <v>3.8711538670979347E-8</v>
      </c>
      <c r="Q28" s="305">
        <f t="shared" si="19"/>
        <v>0.5</v>
      </c>
      <c r="R28" s="177">
        <f t="shared" si="4"/>
        <v>0.99788181042050539</v>
      </c>
      <c r="S28" s="811">
        <f t="shared" si="20"/>
        <v>-3</v>
      </c>
      <c r="T28" s="176">
        <f t="shared" si="21"/>
        <v>3</v>
      </c>
      <c r="U28" s="251">
        <f t="shared" si="22"/>
        <v>-2.0021181895794946</v>
      </c>
      <c r="V28" s="383">
        <f t="shared" si="5"/>
        <v>28.611216023136379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6">
        <f t="shared" si="11"/>
        <v>0</v>
      </c>
      <c r="AD28" s="169">
        <f>(INDEX(Models!$BJ28:$BT28,,AH28)*(1-AF28)+INDEX(Models!$BJ28:$BT28,,AH28+1)*AF28-ERP_i)*AE28*Ramure*Pc/MaxiM</f>
        <v>3.8711538670979347E-8</v>
      </c>
      <c r="AE28" s="305">
        <f t="shared" si="12"/>
        <v>0.5</v>
      </c>
      <c r="AF28" s="177">
        <f t="shared" si="13"/>
        <v>0.99788181042050539</v>
      </c>
      <c r="AG28" s="811">
        <f t="shared" si="23"/>
        <v>-3</v>
      </c>
      <c r="AH28" s="176">
        <f t="shared" si="14"/>
        <v>3</v>
      </c>
      <c r="AI28" s="225">
        <f t="shared" si="15"/>
        <v>-2.0021181895794946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7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7">
        <f t="shared" si="2"/>
        <v>0</v>
      </c>
      <c r="M29" s="856"/>
      <c r="N29" s="856"/>
      <c r="O29" s="324">
        <f t="shared" si="3"/>
        <v>0</v>
      </c>
      <c r="P29" s="169">
        <f>(INDEX(Models!$BJ29:$BT29,,T29)*(1-R29)+INDEX(Models!$BJ29:$BT29,,T29+1)*R29-ERP_i)*Q29*Ramure*Pc/MaxiM</f>
        <v>4.1435007733138547E-8</v>
      </c>
      <c r="Q29" s="305">
        <f t="shared" si="19"/>
        <v>0.5</v>
      </c>
      <c r="R29" s="177">
        <f t="shared" si="4"/>
        <v>0.99793155537067779</v>
      </c>
      <c r="S29" s="811">
        <f t="shared" si="20"/>
        <v>-3</v>
      </c>
      <c r="T29" s="176">
        <f t="shared" si="21"/>
        <v>3</v>
      </c>
      <c r="U29" s="251">
        <f t="shared" si="22"/>
        <v>-2.0020684446293222</v>
      </c>
      <c r="V29" s="383">
        <f t="shared" si="5"/>
        <v>28.869599522256298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6">
        <f t="shared" si="11"/>
        <v>0</v>
      </c>
      <c r="AD29" s="169">
        <f>(INDEX(Models!$BJ29:$BT29,,AH29)*(1-AF29)+INDEX(Models!$BJ29:$BT29,,AH29+1)*AF29-ERP_i)*AE29*Ramure*Pc/MaxiM</f>
        <v>4.1435007733138547E-8</v>
      </c>
      <c r="AE29" s="305">
        <f t="shared" si="12"/>
        <v>0.5</v>
      </c>
      <c r="AF29" s="177">
        <f t="shared" si="13"/>
        <v>0.99793155537067779</v>
      </c>
      <c r="AG29" s="811">
        <f t="shared" si="23"/>
        <v>-3</v>
      </c>
      <c r="AH29" s="176">
        <f t="shared" si="14"/>
        <v>3</v>
      </c>
      <c r="AI29" s="225">
        <f t="shared" si="15"/>
        <v>-2.0020684446293222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7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7">
        <f t="shared" si="2"/>
        <v>0</v>
      </c>
      <c r="M30" s="856"/>
      <c r="N30" s="856"/>
      <c r="O30" s="324">
        <f t="shared" si="3"/>
        <v>0</v>
      </c>
      <c r="P30" s="169">
        <f>(INDEX(Models!$BJ30:$BT30,,T30)*(1-R30)+INDEX(Models!$BJ30:$BT30,,T30+1)*R30-ERP_i)*Q30*Ramure*Pc/MaxiM</f>
        <v>4.4026741507606822E-8</v>
      </c>
      <c r="Q30" s="305">
        <f t="shared" si="19"/>
        <v>0.5</v>
      </c>
      <c r="R30" s="177">
        <f t="shared" si="4"/>
        <v>0.99798337668607129</v>
      </c>
      <c r="S30" s="811">
        <f t="shared" si="20"/>
        <v>-3</v>
      </c>
      <c r="T30" s="176">
        <f t="shared" si="21"/>
        <v>3</v>
      </c>
      <c r="U30" s="251">
        <f t="shared" si="22"/>
        <v>-2.0020166233139287</v>
      </c>
      <c r="V30" s="383">
        <f t="shared" si="5"/>
        <v>29.134044218269811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6">
        <f t="shared" si="11"/>
        <v>0</v>
      </c>
      <c r="AD30" s="169">
        <f>(INDEX(Models!$BJ30:$BT30,,AH30)*(1-AF30)+INDEX(Models!$BJ30:$BT30,,AH30+1)*AF30-ERP_i)*AE30*Ramure*Pc/MaxiM</f>
        <v>4.4026741507606822E-8</v>
      </c>
      <c r="AE30" s="305">
        <f t="shared" si="12"/>
        <v>0.5</v>
      </c>
      <c r="AF30" s="177">
        <f t="shared" si="13"/>
        <v>0.99798337668607129</v>
      </c>
      <c r="AG30" s="811">
        <f t="shared" si="23"/>
        <v>-3</v>
      </c>
      <c r="AH30" s="176">
        <f t="shared" si="14"/>
        <v>3</v>
      </c>
      <c r="AI30" s="225">
        <f t="shared" si="15"/>
        <v>-2.0020166233139287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7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7">
        <f t="shared" si="2"/>
        <v>0</v>
      </c>
      <c r="M31" s="856"/>
      <c r="N31" s="856"/>
      <c r="O31" s="324">
        <f t="shared" si="3"/>
        <v>0</v>
      </c>
      <c r="P31" s="169">
        <f>(INDEX(Models!$BJ31:$BT31,,T31)*(1-R31)+INDEX(Models!$BJ31:$BT31,,T31+1)*R31-ERP_i)*Q31*Ramure*Pc/MaxiM</f>
        <v>4.6535411700798534E-8</v>
      </c>
      <c r="Q31" s="305">
        <f t="shared" si="19"/>
        <v>0.5</v>
      </c>
      <c r="R31" s="177">
        <f t="shared" si="4"/>
        <v>0.99803736057542514</v>
      </c>
      <c r="S31" s="811">
        <f t="shared" si="20"/>
        <v>-3</v>
      </c>
      <c r="T31" s="176">
        <f t="shared" si="21"/>
        <v>3</v>
      </c>
      <c r="U31" s="251">
        <f t="shared" si="22"/>
        <v>-2.0019626394245749</v>
      </c>
      <c r="V31" s="383">
        <f t="shared" si="5"/>
        <v>29.40431440920678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6">
        <f t="shared" si="11"/>
        <v>0</v>
      </c>
      <c r="AD31" s="169">
        <f>(INDEX(Models!$BJ31:$BT31,,AH31)*(1-AF31)+INDEX(Models!$BJ31:$BT31,,AH31+1)*AF31-ERP_i)*AE31*Ramure*Pc/MaxiM</f>
        <v>4.6535411700798534E-8</v>
      </c>
      <c r="AE31" s="305">
        <f t="shared" si="12"/>
        <v>0.5</v>
      </c>
      <c r="AF31" s="177">
        <f t="shared" si="13"/>
        <v>0.99803736057542514</v>
      </c>
      <c r="AG31" s="811">
        <f t="shared" si="23"/>
        <v>-3</v>
      </c>
      <c r="AH31" s="176">
        <f t="shared" si="14"/>
        <v>3</v>
      </c>
      <c r="AI31" s="225">
        <f t="shared" si="15"/>
        <v>-2.0019626394245749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7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7">
        <f t="shared" si="2"/>
        <v>0</v>
      </c>
      <c r="M32" s="856"/>
      <c r="N32" s="856"/>
      <c r="O32" s="324">
        <f t="shared" si="3"/>
        <v>0</v>
      </c>
      <c r="P32" s="169">
        <f>(INDEX(Models!$BJ32:$BT32,,T32)*(1-R32)+INDEX(Models!$BJ32:$BT32,,T32+1)*R32-ERP_i)*Q32*Ramure*Pc/MaxiM</f>
        <v>4.8953685495978321E-8</v>
      </c>
      <c r="Q32" s="305">
        <f t="shared" si="19"/>
        <v>0.5</v>
      </c>
      <c r="R32" s="177">
        <f t="shared" si="4"/>
        <v>0.99809359678756682</v>
      </c>
      <c r="S32" s="811">
        <f t="shared" si="20"/>
        <v>-3</v>
      </c>
      <c r="T32" s="176">
        <f t="shared" si="21"/>
        <v>3</v>
      </c>
      <c r="U32" s="251">
        <f t="shared" si="22"/>
        <v>-2.0019064032124332</v>
      </c>
      <c r="V32" s="383">
        <f t="shared" si="5"/>
        <v>29.680174391732379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6">
        <f t="shared" si="11"/>
        <v>0</v>
      </c>
      <c r="AD32" s="169">
        <f>(INDEX(Models!$BJ32:$BT32,,AH32)*(1-AF32)+INDEX(Models!$BJ32:$BT32,,AH32+1)*AF32-ERP_i)*AE32*Ramure*Pc/MaxiM</f>
        <v>4.8953685495978321E-8</v>
      </c>
      <c r="AE32" s="305">
        <f t="shared" si="12"/>
        <v>0.5</v>
      </c>
      <c r="AF32" s="177">
        <f t="shared" si="13"/>
        <v>0.99809359678756682</v>
      </c>
      <c r="AG32" s="811">
        <f t="shared" si="23"/>
        <v>-3</v>
      </c>
      <c r="AH32" s="176">
        <f t="shared" si="14"/>
        <v>3</v>
      </c>
      <c r="AI32" s="225">
        <f t="shared" si="15"/>
        <v>-2.0019064032124332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7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7">
        <f t="shared" si="2"/>
        <v>0</v>
      </c>
      <c r="M33" s="856"/>
      <c r="N33" s="856"/>
      <c r="O33" s="324">
        <f t="shared" si="3"/>
        <v>0</v>
      </c>
      <c r="P33" s="169">
        <f>(INDEX(Models!$BJ33:$BT33,,T33)*(1-R33)+INDEX(Models!$BJ33:$BT33,,T33+1)*R33-ERP_i)*Q33*Ramure*Pc/MaxiM</f>
        <v>5.127399145028924E-8</v>
      </c>
      <c r="Q33" s="305">
        <f t="shared" si="19"/>
        <v>0.5</v>
      </c>
      <c r="R33" s="177">
        <f t="shared" si="4"/>
        <v>0.99815217875342777</v>
      </c>
      <c r="S33" s="811">
        <f t="shared" si="20"/>
        <v>-3</v>
      </c>
      <c r="T33" s="176">
        <f t="shared" si="21"/>
        <v>3</v>
      </c>
      <c r="U33" s="251">
        <f t="shared" si="22"/>
        <v>-2.0018478212465722</v>
      </c>
      <c r="V33" s="383">
        <f t="shared" si="5"/>
        <v>29.961388467002607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6">
        <f t="shared" si="11"/>
        <v>0</v>
      </c>
      <c r="AD33" s="169">
        <f>(INDEX(Models!$BJ33:$BT33,,AH33)*(1-AF33)+INDEX(Models!$BJ33:$BT33,,AH33+1)*AF33-ERP_i)*AE33*Ramure*Pc/MaxiM</f>
        <v>5.127399145028924E-8</v>
      </c>
      <c r="AE33" s="305">
        <f t="shared" si="12"/>
        <v>0.5</v>
      </c>
      <c r="AF33" s="177">
        <f t="shared" si="13"/>
        <v>0.99815217875342777</v>
      </c>
      <c r="AG33" s="811">
        <f t="shared" si="23"/>
        <v>-3</v>
      </c>
      <c r="AH33" s="176">
        <f t="shared" si="14"/>
        <v>3</v>
      </c>
      <c r="AI33" s="225">
        <f t="shared" si="15"/>
        <v>-2.0018478212465722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7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7">
        <f t="shared" si="2"/>
        <v>0</v>
      </c>
      <c r="M34" s="856"/>
      <c r="N34" s="856"/>
      <c r="O34" s="324">
        <f t="shared" si="3"/>
        <v>0</v>
      </c>
      <c r="P34" s="169">
        <f>(INDEX(Models!$BJ34:$BT34,,T34)*(1-R34)+INDEX(Models!$BJ34:$BT34,,T34+1)*R34-ERP_i)*Q34*Ramure*Pc/MaxiM</f>
        <v>5.3488793445845321E-8</v>
      </c>
      <c r="Q34" s="305">
        <f t="shared" si="19"/>
        <v>0.5</v>
      </c>
      <c r="R34" s="177">
        <f t="shared" si="4"/>
        <v>0.99821320373347033</v>
      </c>
      <c r="S34" s="811">
        <f t="shared" si="20"/>
        <v>-3</v>
      </c>
      <c r="T34" s="176">
        <f t="shared" si="21"/>
        <v>3</v>
      </c>
      <c r="U34" s="251">
        <f t="shared" si="22"/>
        <v>-2.0017867962665297</v>
      </c>
      <c r="V34" s="383">
        <f t="shared" si="5"/>
        <v>30.247720932248061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6">
        <f t="shared" si="11"/>
        <v>0</v>
      </c>
      <c r="AD34" s="169">
        <f>(INDEX(Models!$BJ34:$BT34,,AH34)*(1-AF34)+INDEX(Models!$BJ34:$BT34,,AH34+1)*AF34-ERP_i)*AE34*Ramure*Pc/MaxiM</f>
        <v>5.3488793445845321E-8</v>
      </c>
      <c r="AE34" s="305">
        <f t="shared" si="12"/>
        <v>0.5</v>
      </c>
      <c r="AF34" s="177">
        <f t="shared" si="13"/>
        <v>0.99821320373347033</v>
      </c>
      <c r="AG34" s="811">
        <f t="shared" si="23"/>
        <v>-3</v>
      </c>
      <c r="AH34" s="176">
        <f t="shared" si="14"/>
        <v>3</v>
      </c>
      <c r="AI34" s="225">
        <f t="shared" si="15"/>
        <v>-2.0017867962665297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7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7">
        <f t="shared" si="2"/>
        <v>0</v>
      </c>
      <c r="M35" s="856"/>
      <c r="N35" s="856"/>
      <c r="O35" s="324">
        <f t="shared" si="3"/>
        <v>0</v>
      </c>
      <c r="P35" s="169">
        <f>(INDEX(Models!$BJ35:$BT35,,T35)*(1-R35)+INDEX(Models!$BJ35:$BT35,,T35+1)*R35-ERP_i)*Q35*Ramure*Pc/MaxiM</f>
        <v>5.5590453340738411E-8</v>
      </c>
      <c r="Q35" s="305">
        <f t="shared" si="19"/>
        <v>0.5</v>
      </c>
      <c r="R35" s="177">
        <f t="shared" si="4"/>
        <v>0.99827677297070672</v>
      </c>
      <c r="S35" s="811">
        <f t="shared" si="20"/>
        <v>-3</v>
      </c>
      <c r="T35" s="176">
        <f t="shared" si="21"/>
        <v>3</v>
      </c>
      <c r="U35" s="251">
        <f t="shared" si="22"/>
        <v>-2.0017232270292933</v>
      </c>
      <c r="V35" s="383">
        <f t="shared" si="5"/>
        <v>30.538936084397072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6">
        <f t="shared" si="11"/>
        <v>0</v>
      </c>
      <c r="AD35" s="169">
        <f>(INDEX(Models!$BJ35:$BT35,,AH35)*(1-AF35)+INDEX(Models!$BJ35:$BT35,,AH35+1)*AF35-ERP_i)*AE35*Ramure*Pc/MaxiM</f>
        <v>5.5590453340738411E-8</v>
      </c>
      <c r="AE35" s="305">
        <f t="shared" si="12"/>
        <v>0.5</v>
      </c>
      <c r="AF35" s="177">
        <f t="shared" si="13"/>
        <v>0.99827677297070672</v>
      </c>
      <c r="AG35" s="811">
        <f t="shared" si="23"/>
        <v>-3</v>
      </c>
      <c r="AH35" s="176">
        <f t="shared" si="14"/>
        <v>3</v>
      </c>
      <c r="AI35" s="225">
        <f t="shared" si="15"/>
        <v>-2.0017232270292933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7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7">
        <f t="shared" si="2"/>
        <v>0</v>
      </c>
      <c r="M36" s="856"/>
      <c r="N36" s="856"/>
      <c r="O36" s="324">
        <f t="shared" si="3"/>
        <v>0</v>
      </c>
      <c r="P36" s="169">
        <f>(INDEX(Models!$BJ36:$BT36,,T36)*(1-R36)+INDEX(Models!$BJ36:$BT36,,T36+1)*R36-ERP_i)*Q36*Ramure*Pc/MaxiM</f>
        <v>5.7570828115218422E-8</v>
      </c>
      <c r="Q36" s="305">
        <f t="shared" si="19"/>
        <v>0.5</v>
      </c>
      <c r="R36" s="177">
        <f t="shared" si="4"/>
        <v>0.99834299184948883</v>
      </c>
      <c r="S36" s="811">
        <f t="shared" si="20"/>
        <v>-3</v>
      </c>
      <c r="T36" s="176">
        <f t="shared" si="21"/>
        <v>3</v>
      </c>
      <c r="U36" s="251">
        <f t="shared" si="22"/>
        <v>-2.0016570081505112</v>
      </c>
      <c r="V36" s="383">
        <f t="shared" si="5"/>
        <v>30.834798224558732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6">
        <f t="shared" si="11"/>
        <v>0</v>
      </c>
      <c r="AD36" s="169">
        <f>(INDEX(Models!$BJ36:$BT36,,AH36)*(1-AF36)+INDEX(Models!$BJ36:$BT36,,AH36+1)*AF36-ERP_i)*AE36*Ramure*Pc/MaxiM</f>
        <v>5.7570828115218422E-8</v>
      </c>
      <c r="AE36" s="305">
        <f t="shared" si="12"/>
        <v>0.5</v>
      </c>
      <c r="AF36" s="177">
        <f t="shared" si="13"/>
        <v>0.99834299184948883</v>
      </c>
      <c r="AG36" s="811">
        <f t="shared" si="23"/>
        <v>-3</v>
      </c>
      <c r="AH36" s="176">
        <f t="shared" si="14"/>
        <v>3</v>
      </c>
      <c r="AI36" s="225">
        <f t="shared" si="15"/>
        <v>-2.0016570081505112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7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7">
        <f t="shared" si="2"/>
        <v>0</v>
      </c>
      <c r="M37" s="856"/>
      <c r="N37" s="856"/>
      <c r="O37" s="324">
        <f t="shared" si="3"/>
        <v>0</v>
      </c>
      <c r="P37" s="169">
        <f>(INDEX(Models!$BJ37:$BT37,,T37)*(1-R37)+INDEX(Models!$BJ37:$BT37,,T37+1)*R37-ERP_i)*Q37*Ramure*Pc/MaxiM</f>
        <v>5.9415883327730236E-8</v>
      </c>
      <c r="Q37" s="305">
        <f t="shared" si="19"/>
        <v>0.5</v>
      </c>
      <c r="R37" s="177">
        <f t="shared" si="4"/>
        <v>0.99841197006026583</v>
      </c>
      <c r="S37" s="811">
        <f t="shared" si="20"/>
        <v>-3</v>
      </c>
      <c r="T37" s="176">
        <f t="shared" si="21"/>
        <v>3</v>
      </c>
      <c r="U37" s="251">
        <f t="shared" si="22"/>
        <v>-2.0015880299397342</v>
      </c>
      <c r="V37" s="383">
        <f t="shared" si="5"/>
        <v>31.13798707073801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6">
        <f t="shared" si="11"/>
        <v>0</v>
      </c>
      <c r="AD37" s="169">
        <f>(INDEX(Models!$BJ37:$BT37,,AH37)*(1-AF37)+INDEX(Models!$BJ37:$BT37,,AH37+1)*AF37-ERP_i)*AE37*Ramure*Pc/MaxiM</f>
        <v>5.9415883327730236E-8</v>
      </c>
      <c r="AE37" s="305">
        <f t="shared" si="12"/>
        <v>0.5</v>
      </c>
      <c r="AF37" s="177">
        <f t="shared" si="13"/>
        <v>0.99841197006026583</v>
      </c>
      <c r="AG37" s="811">
        <f t="shared" si="23"/>
        <v>-3</v>
      </c>
      <c r="AH37" s="176">
        <f t="shared" si="14"/>
        <v>3</v>
      </c>
      <c r="AI37" s="225">
        <f t="shared" si="15"/>
        <v>-2.0015880299397342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7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7">
        <f t="shared" si="2"/>
        <v>0</v>
      </c>
      <c r="M38" s="856"/>
      <c r="N38" s="856"/>
      <c r="O38" s="324">
        <f t="shared" si="3"/>
        <v>0</v>
      </c>
      <c r="P38" s="169">
        <f>(INDEX(Models!$BJ38:$BT38,,T38)*(1-R38)+INDEX(Models!$BJ38:$BT38,,T38+1)*R38-ERP_i)*Q38*Ramure*Pc/MaxiM</f>
        <v>6.1136838789802274E-8</v>
      </c>
      <c r="Q38" s="305">
        <f t="shared" si="19"/>
        <v>0.5</v>
      </c>
      <c r="R38" s="177">
        <f t="shared" si="4"/>
        <v>0.99848382177049544</v>
      </c>
      <c r="S38" s="811">
        <f t="shared" si="20"/>
        <v>-3</v>
      </c>
      <c r="T38" s="176">
        <f t="shared" si="21"/>
        <v>3</v>
      </c>
      <c r="U38" s="251">
        <f t="shared" si="22"/>
        <v>-2.0015161782295046</v>
      </c>
      <c r="V38" s="383">
        <f t="shared" si="5"/>
        <v>31.450623733021573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6">
        <f t="shared" si="11"/>
        <v>0</v>
      </c>
      <c r="AD38" s="169">
        <f>(INDEX(Models!$BJ38:$BT38,,AH38)*(1-AF38)+INDEX(Models!$BJ38:$BT38,,AH38+1)*AF38-ERP_i)*AE38*Ramure*Pc/MaxiM</f>
        <v>6.1136838789802274E-8</v>
      </c>
      <c r="AE38" s="305">
        <f t="shared" si="12"/>
        <v>0.5</v>
      </c>
      <c r="AF38" s="177">
        <f t="shared" si="13"/>
        <v>0.99848382177049544</v>
      </c>
      <c r="AG38" s="811">
        <f t="shared" si="23"/>
        <v>-3</v>
      </c>
      <c r="AH38" s="176">
        <f t="shared" si="14"/>
        <v>3</v>
      </c>
      <c r="AI38" s="225">
        <f t="shared" si="15"/>
        <v>-2.0015161782295046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7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7">
        <f t="shared" si="2"/>
        <v>0</v>
      </c>
      <c r="M39" s="856"/>
      <c r="N39" s="856"/>
      <c r="O39" s="324">
        <f t="shared" si="3"/>
        <v>0</v>
      </c>
      <c r="P39" s="169">
        <f>(INDEX(Models!$BJ39:$BT39,,T39)*(1-R39)+INDEX(Models!$BJ39:$BT39,,T39+1)*R39-ERP_i)*Q39*Ramure*Pc/MaxiM</f>
        <v>6.2814864897523807E-8</v>
      </c>
      <c r="Q39" s="305">
        <f t="shared" si="19"/>
        <v>0.5</v>
      </c>
      <c r="R39" s="177">
        <f t="shared" si="4"/>
        <v>0.99855866580190389</v>
      </c>
      <c r="S39" s="811">
        <f t="shared" si="20"/>
        <v>-3</v>
      </c>
      <c r="T39" s="176">
        <f t="shared" si="21"/>
        <v>3</v>
      </c>
      <c r="U39" s="251">
        <f t="shared" si="22"/>
        <v>-2.0014413341980961</v>
      </c>
      <c r="V39" s="383">
        <f t="shared" si="5"/>
        <v>31.771634593699215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6">
        <f t="shared" si="11"/>
        <v>0</v>
      </c>
      <c r="AD39" s="169">
        <f>(INDEX(Models!$BJ39:$BT39,,AH39)*(1-AF39)+INDEX(Models!$BJ39:$BT39,,AH39+1)*AF39-ERP_i)*AE39*Ramure*Pc/MaxiM</f>
        <v>6.2814864897523807E-8</v>
      </c>
      <c r="AE39" s="305">
        <f t="shared" si="12"/>
        <v>0.5</v>
      </c>
      <c r="AF39" s="177">
        <f t="shared" si="13"/>
        <v>0.99855866580190389</v>
      </c>
      <c r="AG39" s="811">
        <f t="shared" si="23"/>
        <v>-3</v>
      </c>
      <c r="AH39" s="176">
        <f t="shared" si="14"/>
        <v>3</v>
      </c>
      <c r="AI39" s="225">
        <f t="shared" si="15"/>
        <v>-2.0014413341980961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7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7">
        <f t="shared" si="2"/>
        <v>0</v>
      </c>
      <c r="M40" s="856"/>
      <c r="N40" s="856"/>
      <c r="O40" s="324">
        <f t="shared" si="3"/>
        <v>0</v>
      </c>
      <c r="P40" s="169">
        <f>(INDEX(Models!$BJ40:$BT40,,T40)*(1-R40)+INDEX(Models!$BJ40:$BT40,,T40+1)*R40-ERP_i)*Q40*Ramure*Pc/MaxiM</f>
        <v>6.4460490105407824E-8</v>
      </c>
      <c r="Q40" s="305">
        <f t="shared" si="19"/>
        <v>0.5</v>
      </c>
      <c r="R40" s="177">
        <f t="shared" si="4"/>
        <v>0.99863662581429624</v>
      </c>
      <c r="S40" s="811">
        <f t="shared" si="20"/>
        <v>-3</v>
      </c>
      <c r="T40" s="176">
        <f t="shared" si="21"/>
        <v>3</v>
      </c>
      <c r="U40" s="251">
        <f t="shared" si="22"/>
        <v>-2.0013633741857038</v>
      </c>
      <c r="V40" s="383">
        <f t="shared" si="5"/>
        <v>32.099946035079711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6">
        <f t="shared" si="11"/>
        <v>0</v>
      </c>
      <c r="AD40" s="169">
        <f>(INDEX(Models!$BJ40:$BT40,,AH40)*(1-AF40)+INDEX(Models!$BJ40:$BT40,,AH40+1)*AF40-ERP_i)*AE40*Ramure*Pc/MaxiM</f>
        <v>6.4460490105407824E-8</v>
      </c>
      <c r="AE40" s="305">
        <f t="shared" si="12"/>
        <v>0.5</v>
      </c>
      <c r="AF40" s="177">
        <f t="shared" si="13"/>
        <v>0.99863662581429624</v>
      </c>
      <c r="AG40" s="811">
        <f t="shared" si="23"/>
        <v>-3</v>
      </c>
      <c r="AH40" s="176">
        <f t="shared" si="14"/>
        <v>3</v>
      </c>
      <c r="AI40" s="225">
        <f t="shared" si="15"/>
        <v>-2.0013633741857038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7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7">
        <f t="shared" si="2"/>
        <v>0</v>
      </c>
      <c r="M41" s="856"/>
      <c r="N41" s="856"/>
      <c r="O41" s="324">
        <f t="shared" si="3"/>
        <v>0</v>
      </c>
      <c r="P41" s="169">
        <f>(INDEX(Models!$BJ41:$BT41,,T41)*(1-R41)+INDEX(Models!$BJ41:$BT41,,T41+1)*R41-ERP_i)*Q41*Ramure*Pc/MaxiM</f>
        <v>6.6084906512778052E-8</v>
      </c>
      <c r="Q41" s="305">
        <f t="shared" si="19"/>
        <v>0.5</v>
      </c>
      <c r="R41" s="177">
        <f t="shared" si="4"/>
        <v>0.99871783049611818</v>
      </c>
      <c r="S41" s="811">
        <f t="shared" si="20"/>
        <v>-3</v>
      </c>
      <c r="T41" s="176">
        <f t="shared" si="21"/>
        <v>3</v>
      </c>
      <c r="U41" s="251">
        <f t="shared" si="22"/>
        <v>-2.0012821695038818</v>
      </c>
      <c r="V41" s="383">
        <f t="shared" si="5"/>
        <v>32.434484445605264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6">
        <f t="shared" si="11"/>
        <v>0</v>
      </c>
      <c r="AD41" s="169">
        <f>(INDEX(Models!$BJ41:$BT41,,AH41)*(1-AF41)+INDEX(Models!$BJ41:$BT41,,AH41+1)*AF41-ERP_i)*AE41*Ramure*Pc/MaxiM</f>
        <v>6.6084906512778052E-8</v>
      </c>
      <c r="AE41" s="305">
        <f t="shared" si="12"/>
        <v>0.5</v>
      </c>
      <c r="AF41" s="177">
        <f t="shared" si="13"/>
        <v>0.99871783049611818</v>
      </c>
      <c r="AG41" s="811">
        <f t="shared" si="23"/>
        <v>-3</v>
      </c>
      <c r="AH41" s="176">
        <f t="shared" si="14"/>
        <v>3</v>
      </c>
      <c r="AI41" s="225">
        <f t="shared" si="15"/>
        <v>-2.0012821695038818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7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7">
        <f t="shared" si="2"/>
        <v>0</v>
      </c>
      <c r="M42" s="856"/>
      <c r="N42" s="856"/>
      <c r="O42" s="324">
        <f t="shared" si="3"/>
        <v>0</v>
      </c>
      <c r="P42" s="169">
        <f>(INDEX(Models!$BJ42:$BT42,,T42)*(1-R42)+INDEX(Models!$BJ42:$BT42,,T42+1)*R42-ERP_i)*Q42*Ramure*Pc/MaxiM</f>
        <v>6.7699965225424461E-8</v>
      </c>
      <c r="Q42" s="305">
        <f t="shared" si="19"/>
        <v>0.5</v>
      </c>
      <c r="R42" s="177">
        <f t="shared" si="4"/>
        <v>0.99880241376196421</v>
      </c>
      <c r="S42" s="811">
        <f t="shared" si="20"/>
        <v>-3</v>
      </c>
      <c r="T42" s="176">
        <f t="shared" si="21"/>
        <v>3</v>
      </c>
      <c r="U42" s="251">
        <f t="shared" si="22"/>
        <v>-2.0011975862380358</v>
      </c>
      <c r="V42" s="383">
        <f t="shared" si="5"/>
        <v>32.774176206185722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6">
        <f t="shared" si="11"/>
        <v>0</v>
      </c>
      <c r="AD42" s="169">
        <f>(INDEX(Models!$BJ42:$BT42,,AH42)*(1-AF42)+INDEX(Models!$BJ42:$BT42,,AH42+1)*AF42-ERP_i)*AE42*Ramure*Pc/MaxiM</f>
        <v>6.7699965225424461E-8</v>
      </c>
      <c r="AE42" s="305">
        <f t="shared" si="12"/>
        <v>0.5</v>
      </c>
      <c r="AF42" s="177">
        <f t="shared" si="13"/>
        <v>0.99880241376196421</v>
      </c>
      <c r="AG42" s="811">
        <f t="shared" si="23"/>
        <v>-3</v>
      </c>
      <c r="AH42" s="176">
        <f t="shared" si="14"/>
        <v>3</v>
      </c>
      <c r="AI42" s="225">
        <f t="shared" si="15"/>
        <v>-2.0011975862380358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7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7">
        <f t="shared" si="2"/>
        <v>0</v>
      </c>
      <c r="M43" s="856"/>
      <c r="N43" s="856"/>
      <c r="O43" s="324">
        <f t="shared" si="3"/>
        <v>0</v>
      </c>
      <c r="P43" s="169">
        <f>(INDEX(Models!$BJ43:$BT43,,T43)*(1-R43)+INDEX(Models!$BJ43:$BT43,,T43+1)*R43-ERP_i)*Q43*Ramure*Pc/MaxiM</f>
        <v>6.9318181857478684E-8</v>
      </c>
      <c r="Q43" s="305">
        <f t="shared" si="19"/>
        <v>0.5</v>
      </c>
      <c r="R43" s="177">
        <f t="shared" si="4"/>
        <v>0.99889051495724956</v>
      </c>
      <c r="S43" s="811">
        <f t="shared" si="20"/>
        <v>-3</v>
      </c>
      <c r="T43" s="176">
        <f t="shared" si="21"/>
        <v>3</v>
      </c>
      <c r="U43" s="251">
        <f t="shared" si="22"/>
        <v>-2.0011094850427504</v>
      </c>
      <c r="V43" s="383">
        <f t="shared" si="5"/>
        <v>33.117947704053087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6">
        <f t="shared" si="11"/>
        <v>0</v>
      </c>
      <c r="AD43" s="169">
        <f>(INDEX(Models!$BJ43:$BT43,,AH43)*(1-AF43)+INDEX(Models!$BJ43:$BT43,,AH43+1)*AF43-ERP_i)*AE43*Ramure*Pc/MaxiM</f>
        <v>6.9318181857478684E-8</v>
      </c>
      <c r="AE43" s="305">
        <f t="shared" si="12"/>
        <v>0.5</v>
      </c>
      <c r="AF43" s="177">
        <f t="shared" si="13"/>
        <v>0.99889051495724956</v>
      </c>
      <c r="AG43" s="811">
        <f t="shared" si="23"/>
        <v>-3</v>
      </c>
      <c r="AH43" s="176">
        <f t="shared" si="14"/>
        <v>3</v>
      </c>
      <c r="AI43" s="225">
        <f t="shared" si="15"/>
        <v>-2.0011094850427504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7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7">
        <f t="shared" si="2"/>
        <v>0</v>
      </c>
      <c r="M44" s="856"/>
      <c r="N44" s="856"/>
      <c r="O44" s="324">
        <f t="shared" si="3"/>
        <v>0</v>
      </c>
      <c r="P44" s="169">
        <f>(INDEX(Models!$BJ44:$BT44,,T44)*(1-R44)+INDEX(Models!$BJ44:$BT44,,T44+1)*R44-ERP_i)*Q44*Ramure*Pc/MaxiM</f>
        <v>7.1128185659875257E-8</v>
      </c>
      <c r="Q44" s="305">
        <f t="shared" si="19"/>
        <v>0.5</v>
      </c>
      <c r="R44" s="177">
        <f t="shared" si="4"/>
        <v>0.99898227907024273</v>
      </c>
      <c r="S44" s="811">
        <f t="shared" si="20"/>
        <v>-3</v>
      </c>
      <c r="T44" s="176">
        <f t="shared" si="21"/>
        <v>3</v>
      </c>
      <c r="U44" s="251">
        <f t="shared" si="22"/>
        <v>-2.0010177209297573</v>
      </c>
      <c r="V44" s="383">
        <f t="shared" si="5"/>
        <v>33.464725316810338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6">
        <f t="shared" si="11"/>
        <v>0</v>
      </c>
      <c r="AD44" s="169">
        <f>(INDEX(Models!$BJ44:$BT44,,AH44)*(1-AF44)+INDEX(Models!$BJ44:$BT44,,AH44+1)*AF44-ERP_i)*AE44*Ramure*Pc/MaxiM</f>
        <v>7.1128185659875257E-8</v>
      </c>
      <c r="AE44" s="305">
        <f t="shared" si="12"/>
        <v>0.5</v>
      </c>
      <c r="AF44" s="177">
        <f t="shared" si="13"/>
        <v>0.99898227907024273</v>
      </c>
      <c r="AG44" s="811">
        <f t="shared" si="23"/>
        <v>-3</v>
      </c>
      <c r="AH44" s="176">
        <f t="shared" si="14"/>
        <v>3</v>
      </c>
      <c r="AI44" s="225">
        <f t="shared" si="15"/>
        <v>-2.0010177209297573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7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7">
        <f t="shared" si="2"/>
        <v>0</v>
      </c>
      <c r="M45" s="856"/>
      <c r="N45" s="856"/>
      <c r="O45" s="324">
        <f t="shared" si="3"/>
        <v>0</v>
      </c>
      <c r="P45" s="169">
        <f>(INDEX(Models!$BJ45:$BT45,,T45)*(1-R45)+INDEX(Models!$BJ45:$BT45,,T45+1)*R45-ERP_i)*Q45*Ramure*Pc/MaxiM</f>
        <v>7.309202181076072E-8</v>
      </c>
      <c r="Q45" s="305">
        <f t="shared" si="19"/>
        <v>0.5</v>
      </c>
      <c r="R45" s="177">
        <f t="shared" si="4"/>
        <v>0.99907785695167295</v>
      </c>
      <c r="S45" s="811">
        <f t="shared" si="20"/>
        <v>-3</v>
      </c>
      <c r="T45" s="176">
        <f t="shared" si="21"/>
        <v>3</v>
      </c>
      <c r="U45" s="251">
        <f t="shared" si="22"/>
        <v>-2.0009221430483271</v>
      </c>
      <c r="V45" s="383">
        <f t="shared" si="5"/>
        <v>33.813435429173083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6">
        <f t="shared" si="11"/>
        <v>0</v>
      </c>
      <c r="AD45" s="169">
        <f>(INDEX(Models!$BJ45:$BT45,,AH45)*(1-AF45)+INDEX(Models!$BJ45:$BT45,,AH45+1)*AF45-ERP_i)*AE45*Ramure*Pc/MaxiM</f>
        <v>7.309202181076072E-8</v>
      </c>
      <c r="AE45" s="305">
        <f t="shared" si="12"/>
        <v>0.5</v>
      </c>
      <c r="AF45" s="177">
        <f t="shared" si="13"/>
        <v>0.99907785695167295</v>
      </c>
      <c r="AG45" s="811">
        <f t="shared" si="23"/>
        <v>-3</v>
      </c>
      <c r="AH45" s="176">
        <f t="shared" si="14"/>
        <v>3</v>
      </c>
      <c r="AI45" s="225">
        <f t="shared" si="15"/>
        <v>-2.0009221430483271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7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7">
        <f t="shared" si="2"/>
        <v>0</v>
      </c>
      <c r="M46" s="856"/>
      <c r="N46" s="856"/>
      <c r="O46" s="324">
        <f t="shared" si="3"/>
        <v>0</v>
      </c>
      <c r="P46" s="169">
        <f>(INDEX(Models!$BJ46:$BT46,,T46)*(1-R46)+INDEX(Models!$BJ46:$BT46,,T46+1)*R46-ERP_i)*Q46*Ramure*Pc/MaxiM</f>
        <v>7.5240441892098901E-8</v>
      </c>
      <c r="Q46" s="305">
        <f t="shared" si="19"/>
        <v>0.5</v>
      </c>
      <c r="R46" s="177">
        <f t="shared" si="4"/>
        <v>0.99917740554211321</v>
      </c>
      <c r="S46" s="811">
        <f t="shared" si="20"/>
        <v>-3</v>
      </c>
      <c r="T46" s="176">
        <f t="shared" si="21"/>
        <v>3</v>
      </c>
      <c r="U46" s="251">
        <f t="shared" si="22"/>
        <v>-2.0008225944578868</v>
      </c>
      <c r="V46" s="383">
        <f t="shared" si="5"/>
        <v>34.163004426482452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6">
        <f t="shared" si="11"/>
        <v>0</v>
      </c>
      <c r="AD46" s="169">
        <f>(INDEX(Models!$BJ46:$BT46,,AH46)*(1-AF46)+INDEX(Models!$BJ46:$BT46,,AH46+1)*AF46-ERP_i)*AE46*Ramure*Pc/MaxiM</f>
        <v>7.5240441892098901E-8</v>
      </c>
      <c r="AE46" s="305">
        <f t="shared" si="12"/>
        <v>0.5</v>
      </c>
      <c r="AF46" s="177">
        <f t="shared" si="13"/>
        <v>0.99917740554211321</v>
      </c>
      <c r="AG46" s="811">
        <f t="shared" si="23"/>
        <v>-3</v>
      </c>
      <c r="AH46" s="176">
        <f t="shared" si="14"/>
        <v>3</v>
      </c>
      <c r="AI46" s="225">
        <f t="shared" si="15"/>
        <v>-2.0008225944578868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7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7">
        <f t="shared" si="2"/>
        <v>0</v>
      </c>
      <c r="M47" s="856"/>
      <c r="N47" s="856"/>
      <c r="O47" s="324">
        <f t="shared" si="3"/>
        <v>0</v>
      </c>
      <c r="P47" s="169">
        <f>(INDEX(Models!$BJ47:$BT47,,T47)*(1-R47)+INDEX(Models!$BJ47:$BT47,,T47+1)*R47-ERP_i)*Q47*Ramure*Pc/MaxiM</f>
        <v>7.7605974107346932E-8</v>
      </c>
      <c r="Q47" s="305">
        <f t="shared" si="19"/>
        <v>0.5</v>
      </c>
      <c r="R47" s="177">
        <f t="shared" si="4"/>
        <v>0.99928108810735816</v>
      </c>
      <c r="S47" s="811">
        <f t="shared" si="20"/>
        <v>-3</v>
      </c>
      <c r="T47" s="176">
        <f t="shared" si="21"/>
        <v>3</v>
      </c>
      <c r="U47" s="251">
        <f t="shared" si="22"/>
        <v>-2.0007189118926418</v>
      </c>
      <c r="V47" s="383">
        <f t="shared" si="5"/>
        <v>34.512358691754777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6">
        <f t="shared" si="11"/>
        <v>0</v>
      </c>
      <c r="AD47" s="169">
        <f>(INDEX(Models!$BJ47:$BT47,,AH47)*(1-AF47)+INDEX(Models!$BJ47:$BT47,,AH47+1)*AF47-ERP_i)*AE47*Ramure*Pc/MaxiM</f>
        <v>7.7605974107346932E-8</v>
      </c>
      <c r="AE47" s="305">
        <f t="shared" si="12"/>
        <v>0.5</v>
      </c>
      <c r="AF47" s="177">
        <f t="shared" si="13"/>
        <v>0.99928108810735816</v>
      </c>
      <c r="AG47" s="811">
        <f t="shared" si="23"/>
        <v>-3</v>
      </c>
      <c r="AH47" s="176">
        <f t="shared" si="14"/>
        <v>3</v>
      </c>
      <c r="AI47" s="225">
        <f t="shared" si="15"/>
        <v>-2.0007189118926418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7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7">
        <f t="shared" si="2"/>
        <v>0</v>
      </c>
      <c r="M48" s="856"/>
      <c r="N48" s="856"/>
      <c r="O48" s="324">
        <f t="shared" si="3"/>
        <v>0</v>
      </c>
      <c r="P48" s="169">
        <f>(INDEX(Models!$BJ48:$BT48,,T48)*(1-R48)+INDEX(Models!$BJ48:$BT48,,T48+1)*R48-ERP_i)*Q48*Ramure*Pc/MaxiM</f>
        <v>8.0223088299974579E-8</v>
      </c>
      <c r="Q48" s="305">
        <f t="shared" si="19"/>
        <v>0.5</v>
      </c>
      <c r="R48" s="177">
        <f t="shared" si="4"/>
        <v>0.9993890744819911</v>
      </c>
      <c r="S48" s="811">
        <f t="shared" si="20"/>
        <v>-3</v>
      </c>
      <c r="T48" s="176">
        <f t="shared" si="21"/>
        <v>3</v>
      </c>
      <c r="U48" s="251">
        <f t="shared" si="22"/>
        <v>-2.0006109255180089</v>
      </c>
      <c r="V48" s="383">
        <f t="shared" si="5"/>
        <v>34.860424608648287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6">
        <f t="shared" si="11"/>
        <v>0</v>
      </c>
      <c r="AD48" s="169">
        <f>(INDEX(Models!$BJ48:$BT48,,AH48)*(1-AF48)+INDEX(Models!$BJ48:$BT48,,AH48+1)*AF48-ERP_i)*AE48*Ramure*Pc/MaxiM</f>
        <v>8.0223088299974579E-8</v>
      </c>
      <c r="AE48" s="305">
        <f t="shared" si="12"/>
        <v>0.5</v>
      </c>
      <c r="AF48" s="177">
        <f t="shared" si="13"/>
        <v>0.9993890744819911</v>
      </c>
      <c r="AG48" s="811">
        <f t="shared" si="23"/>
        <v>-3</v>
      </c>
      <c r="AH48" s="176">
        <f t="shared" si="14"/>
        <v>3</v>
      </c>
      <c r="AI48" s="225">
        <f t="shared" si="15"/>
        <v>-2.0006109255180089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7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7">
        <f t="shared" si="2"/>
        <v>0</v>
      </c>
      <c r="M49" s="856"/>
      <c r="N49" s="856"/>
      <c r="O49" s="324">
        <f t="shared" si="3"/>
        <v>0</v>
      </c>
      <c r="P49" s="169">
        <f>(INDEX(Models!$BJ49:$BT49,,T49)*(1-R49)+INDEX(Models!$BJ49:$BT49,,T49+1)*R49-ERP_i)*Q49*Ramure*Pc/MaxiM</f>
        <v>8.3128383987659304E-8</v>
      </c>
      <c r="Q49" s="305">
        <f t="shared" si="19"/>
        <v>0.5</v>
      </c>
      <c r="R49" s="177">
        <f t="shared" si="4"/>
        <v>0.99950154132135705</v>
      </c>
      <c r="S49" s="811">
        <f t="shared" si="20"/>
        <v>-3</v>
      </c>
      <c r="T49" s="176">
        <f t="shared" si="21"/>
        <v>3</v>
      </c>
      <c r="U49" s="251">
        <f t="shared" si="22"/>
        <v>-2.000498458678643</v>
      </c>
      <c r="V49" s="383">
        <f t="shared" si="5"/>
        <v>35.206128560185384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6">
        <f t="shared" si="11"/>
        <v>0</v>
      </c>
      <c r="AD49" s="169">
        <f>(INDEX(Models!$BJ49:$BT49,,AH49)*(1-AF49)+INDEX(Models!$BJ49:$BT49,,AH49+1)*AF49-ERP_i)*AE49*Ramure*Pc/MaxiM</f>
        <v>8.3128383987659304E-8</v>
      </c>
      <c r="AE49" s="305">
        <f t="shared" si="12"/>
        <v>0.5</v>
      </c>
      <c r="AF49" s="177">
        <f t="shared" si="13"/>
        <v>0.99950154132135705</v>
      </c>
      <c r="AG49" s="811">
        <f t="shared" si="23"/>
        <v>-3</v>
      </c>
      <c r="AH49" s="176">
        <f t="shared" si="14"/>
        <v>3</v>
      </c>
      <c r="AI49" s="225">
        <f t="shared" si="15"/>
        <v>-2.000498458678643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7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7">
        <f t="shared" si="2"/>
        <v>0</v>
      </c>
      <c r="M50" s="856"/>
      <c r="N50" s="856"/>
      <c r="O50" s="324">
        <f t="shared" si="3"/>
        <v>0</v>
      </c>
      <c r="P50" s="169">
        <f>(INDEX(Models!$BJ50:$BT50,,T50)*(1-R50)+INDEX(Models!$BJ50:$BT50,,T50+1)*R50-ERP_i)*Q50*Ramure*Pc/MaxiM</f>
        <v>8.6360802672192917E-8</v>
      </c>
      <c r="Q50" s="305">
        <f t="shared" si="19"/>
        <v>0.5</v>
      </c>
      <c r="R50" s="177">
        <f t="shared" si="4"/>
        <v>0.99961867236213786</v>
      </c>
      <c r="S50" s="811">
        <f t="shared" si="20"/>
        <v>-3</v>
      </c>
      <c r="T50" s="176">
        <f t="shared" si="21"/>
        <v>3</v>
      </c>
      <c r="U50" s="251">
        <f t="shared" si="22"/>
        <v>-2.0003813276378621</v>
      </c>
      <c r="V50" s="383">
        <f t="shared" si="5"/>
        <v>35.548396929935649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6">
        <f t="shared" si="11"/>
        <v>0</v>
      </c>
      <c r="AD50" s="169">
        <f>(INDEX(Models!$BJ50:$BT50,,AH50)*(1-AF50)+INDEX(Models!$BJ50:$BT50,,AH50+1)*AF50-ERP_i)*AE50*Ramure*Pc/MaxiM</f>
        <v>8.6360802672192917E-8</v>
      </c>
      <c r="AE50" s="305">
        <f t="shared" si="12"/>
        <v>0.5</v>
      </c>
      <c r="AF50" s="177">
        <f t="shared" si="13"/>
        <v>0.99961867236213786</v>
      </c>
      <c r="AG50" s="811">
        <f t="shared" si="23"/>
        <v>-3</v>
      </c>
      <c r="AH50" s="176">
        <f t="shared" si="14"/>
        <v>3</v>
      </c>
      <c r="AI50" s="225">
        <f t="shared" si="15"/>
        <v>-2.0003813276378621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7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7">
        <f t="shared" si="2"/>
        <v>0</v>
      </c>
      <c r="M51" s="856"/>
      <c r="N51" s="856"/>
      <c r="O51" s="324">
        <f t="shared" si="3"/>
        <v>0</v>
      </c>
      <c r="P51" s="169">
        <f>(INDEX(Models!$BJ51:$BT51,,T51)*(1-R51)+INDEX(Models!$BJ51:$BT51,,T51+1)*R51-ERP_i)*Q51*Ramure*Pc/MaxiM</f>
        <v>8.9956304102824763E-8</v>
      </c>
      <c r="Q51" s="305">
        <f t="shared" si="19"/>
        <v>0.5</v>
      </c>
      <c r="R51" s="177">
        <f t="shared" si="4"/>
        <v>0.99974065869173234</v>
      </c>
      <c r="S51" s="811">
        <f t="shared" si="20"/>
        <v>-3</v>
      </c>
      <c r="T51" s="176">
        <f t="shared" si="21"/>
        <v>3</v>
      </c>
      <c r="U51" s="251">
        <f t="shared" si="22"/>
        <v>-2.0002593413082677</v>
      </c>
      <c r="V51" s="383">
        <f t="shared" si="5"/>
        <v>35.888374905724554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6">
        <f t="shared" si="11"/>
        <v>0</v>
      </c>
      <c r="AD51" s="169">
        <f>(INDEX(Models!$BJ51:$BT51,,AH51)*(1-AF51)+INDEX(Models!$BJ51:$BT51,,AH51+1)*AF51-ERP_i)*AE51*Ramure*Pc/MaxiM</f>
        <v>8.9956304102824763E-8</v>
      </c>
      <c r="AE51" s="305">
        <f t="shared" si="12"/>
        <v>0.5</v>
      </c>
      <c r="AF51" s="177">
        <f t="shared" si="13"/>
        <v>0.99974065869173234</v>
      </c>
      <c r="AG51" s="811">
        <f t="shared" si="23"/>
        <v>-3</v>
      </c>
      <c r="AH51" s="176">
        <f t="shared" si="14"/>
        <v>3</v>
      </c>
      <c r="AI51" s="225">
        <f t="shared" si="15"/>
        <v>-2.0002593413082677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7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7">
        <f t="shared" si="2"/>
        <v>0</v>
      </c>
      <c r="M52" s="856"/>
      <c r="N52" s="856"/>
      <c r="O52" s="324">
        <f t="shared" si="3"/>
        <v>0</v>
      </c>
      <c r="P52" s="169">
        <f>(INDEX(Models!$BJ52:$BT52,,T52)*(1-R52)+INDEX(Models!$BJ52:$BT52,,T52+1)*R52-ERP_i)*Q52*Ramure*Pc/MaxiM</f>
        <v>9.4334156621193528E-8</v>
      </c>
      <c r="Q52" s="305">
        <f t="shared" si="19"/>
        <v>0.5</v>
      </c>
      <c r="R52" s="177">
        <f t="shared" si="4"/>
        <v>0.99986769902663353</v>
      </c>
      <c r="S52" s="811">
        <f t="shared" si="20"/>
        <v>-3</v>
      </c>
      <c r="T52" s="176">
        <f t="shared" si="21"/>
        <v>3</v>
      </c>
      <c r="U52" s="251">
        <f t="shared" si="22"/>
        <v>-2.0001323009733665</v>
      </c>
      <c r="V52" s="383">
        <f t="shared" si="5"/>
        <v>36.228066553318783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6">
        <f t="shared" si="11"/>
        <v>0</v>
      </c>
      <c r="AD52" s="169">
        <f>(INDEX(Models!$BJ52:$BT52,,AH52)*(1-AF52)+INDEX(Models!$BJ52:$BT52,,AH52+1)*AF52-ERP_i)*AE52*Ramure*Pc/MaxiM</f>
        <v>9.4334156621193528E-8</v>
      </c>
      <c r="AE52" s="305">
        <f t="shared" si="12"/>
        <v>0.5</v>
      </c>
      <c r="AF52" s="177">
        <f t="shared" si="13"/>
        <v>0.99986769902663353</v>
      </c>
      <c r="AG52" s="811">
        <f t="shared" si="23"/>
        <v>-3</v>
      </c>
      <c r="AH52" s="176">
        <f t="shared" si="14"/>
        <v>3</v>
      </c>
      <c r="AI52" s="225">
        <f t="shared" si="15"/>
        <v>-2.0001323009733665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7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7">
        <f t="shared" si="2"/>
        <v>0</v>
      </c>
      <c r="M53" s="856"/>
      <c r="N53" s="856"/>
      <c r="O53" s="324">
        <f t="shared" si="3"/>
        <v>0</v>
      </c>
      <c r="P53" s="169">
        <f>(INDEX(Models!$BJ53:$BT53,,T53)*(1-R53)+INDEX(Models!$BJ53:$BT53,,T53+1)*R53-ERP_i)*Q53*Ramure*Pc/MaxiM</f>
        <v>9.9535822731655653E-8</v>
      </c>
      <c r="Q53" s="305">
        <f t="shared" si="19"/>
        <v>0.5</v>
      </c>
      <c r="R53" s="177">
        <f t="shared" si="4"/>
        <v>0</v>
      </c>
      <c r="S53" s="811">
        <f t="shared" si="20"/>
        <v>-2</v>
      </c>
      <c r="T53" s="176">
        <f t="shared" si="21"/>
        <v>4</v>
      </c>
      <c r="U53" s="251">
        <f t="shared" si="22"/>
        <v>-2</v>
      </c>
      <c r="V53" s="383">
        <f t="shared" si="5"/>
        <v>36.567686593452486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6">
        <f t="shared" si="11"/>
        <v>0</v>
      </c>
      <c r="AD53" s="169">
        <f>(INDEX(Models!$BJ53:$BT53,,AH53)*(1-AF53)+INDEX(Models!$BJ53:$BT53,,AH53+1)*AF53-ERP_i)*AE53*Ramure*Pc/MaxiM</f>
        <v>9.9535822731655653E-8</v>
      </c>
      <c r="AE53" s="305">
        <f t="shared" si="12"/>
        <v>0.5</v>
      </c>
      <c r="AF53" s="177">
        <f t="shared" si="13"/>
        <v>0</v>
      </c>
      <c r="AG53" s="811">
        <f t="shared" si="23"/>
        <v>-2</v>
      </c>
      <c r="AH53" s="176">
        <f t="shared" si="14"/>
        <v>4</v>
      </c>
      <c r="AI53" s="225">
        <f t="shared" si="15"/>
        <v>-2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7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7">
        <f t="shared" si="2"/>
        <v>0</v>
      </c>
      <c r="M54" s="856"/>
      <c r="N54" s="856"/>
      <c r="O54" s="324">
        <f t="shared" si="3"/>
        <v>0</v>
      </c>
      <c r="P54" s="169">
        <f>(INDEX(Models!$BJ54:$BT54,,T54)*(1-R54)+INDEX(Models!$BJ54:$BT54,,T54+1)*R54-ERP_i)*Q54*Ramure*Pc/MaxiM</f>
        <v>1.065261835364838E-7</v>
      </c>
      <c r="Q54" s="305">
        <f t="shared" si="19"/>
        <v>0.5</v>
      </c>
      <c r="R54" s="177">
        <f t="shared" si="4"/>
        <v>1.3777645859103238E-4</v>
      </c>
      <c r="S54" s="811">
        <f t="shared" si="20"/>
        <v>-2</v>
      </c>
      <c r="T54" s="176">
        <f t="shared" si="21"/>
        <v>4</v>
      </c>
      <c r="U54" s="251">
        <f t="shared" si="22"/>
        <v>-1.999862223541409</v>
      </c>
      <c r="V54" s="383">
        <f t="shared" si="5"/>
        <v>36.90744971275862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6">
        <f t="shared" si="11"/>
        <v>0</v>
      </c>
      <c r="AD54" s="169">
        <f>(INDEX(Models!$BJ54:$BT54,,AH54)*(1-AF54)+INDEX(Models!$BJ54:$BT54,,AH54+1)*AF54-ERP_i)*AE54*Ramure*Pc/MaxiM</f>
        <v>1.065261835364838E-7</v>
      </c>
      <c r="AE54" s="305">
        <f t="shared" si="12"/>
        <v>0.5</v>
      </c>
      <c r="AF54" s="177">
        <f t="shared" si="13"/>
        <v>1.3777645859103238E-4</v>
      </c>
      <c r="AG54" s="811">
        <f t="shared" si="23"/>
        <v>-2</v>
      </c>
      <c r="AH54" s="176">
        <f t="shared" si="14"/>
        <v>4</v>
      </c>
      <c r="AI54" s="225">
        <f t="shared" si="15"/>
        <v>-1.999862223541409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7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7">
        <f t="shared" si="2"/>
        <v>0</v>
      </c>
      <c r="M55" s="856"/>
      <c r="N55" s="856"/>
      <c r="O55" s="324">
        <f t="shared" si="3"/>
        <v>0</v>
      </c>
      <c r="P55" s="169">
        <f>(INDEX(Models!$BJ55:$BT55,,T55)*(1-R55)+INDEX(Models!$BJ55:$BT55,,T55+1)*R55-ERP_i)*Q55*Ramure*Pc/MaxiM</f>
        <v>1.1453503901285794E-7</v>
      </c>
      <c r="Q55" s="305">
        <f t="shared" si="19"/>
        <v>0.5</v>
      </c>
      <c r="R55" s="177">
        <f t="shared" si="4"/>
        <v>2.8125176925364315E-4</v>
      </c>
      <c r="S55" s="811">
        <f t="shared" si="20"/>
        <v>-2</v>
      </c>
      <c r="T55" s="176">
        <f t="shared" si="21"/>
        <v>4</v>
      </c>
      <c r="U55" s="251">
        <f t="shared" si="22"/>
        <v>-1.9997187482307464</v>
      </c>
      <c r="V55" s="383">
        <f t="shared" si="5"/>
        <v>37.247570660933306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6">
        <f t="shared" si="11"/>
        <v>0</v>
      </c>
      <c r="AD55" s="169">
        <f>(INDEX(Models!$BJ55:$BT55,,AH55)*(1-AF55)+INDEX(Models!$BJ55:$BT55,,AH55+1)*AF55-ERP_i)*AE55*Ramure*Pc/MaxiM</f>
        <v>1.1453503901285794E-7</v>
      </c>
      <c r="AE55" s="305">
        <f t="shared" si="12"/>
        <v>0.5</v>
      </c>
      <c r="AF55" s="177">
        <f t="shared" si="13"/>
        <v>2.8125176925364315E-4</v>
      </c>
      <c r="AG55" s="811">
        <f t="shared" si="23"/>
        <v>-2</v>
      </c>
      <c r="AH55" s="176">
        <f t="shared" si="14"/>
        <v>4</v>
      </c>
      <c r="AI55" s="225">
        <f t="shared" si="15"/>
        <v>-1.9997187482307464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7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7">
        <f t="shared" si="2"/>
        <v>0</v>
      </c>
      <c r="M56" s="856"/>
      <c r="N56" s="856"/>
      <c r="O56" s="324">
        <f t="shared" si="3"/>
        <v>0</v>
      </c>
      <c r="P56" s="169">
        <f>(INDEX(Models!$BJ56:$BT56,,T56)*(1-R56)+INDEX(Models!$BJ56:$BT56,,T56+1)*R56-ERP_i)*Q56*Ramure*Pc/MaxiM</f>
        <v>1.2368201098904545E-7</v>
      </c>
      <c r="Q56" s="305">
        <f t="shared" si="19"/>
        <v>0.5</v>
      </c>
      <c r="R56" s="177">
        <f t="shared" si="4"/>
        <v>4.306581351147809E-4</v>
      </c>
      <c r="S56" s="811">
        <f t="shared" si="20"/>
        <v>-2</v>
      </c>
      <c r="T56" s="176">
        <f t="shared" si="21"/>
        <v>4</v>
      </c>
      <c r="U56" s="251">
        <f t="shared" si="22"/>
        <v>-1.9995693418648852</v>
      </c>
      <c r="V56" s="383">
        <f t="shared" si="5"/>
        <v>37.588264155637333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6">
        <f t="shared" si="11"/>
        <v>0</v>
      </c>
      <c r="AD56" s="169">
        <f>(INDEX(Models!$BJ56:$BT56,,AH56)*(1-AF56)+INDEX(Models!$BJ56:$BT56,,AH56+1)*AF56-ERP_i)*AE56*Ramure*Pc/MaxiM</f>
        <v>1.2368201098904545E-7</v>
      </c>
      <c r="AE56" s="305">
        <f t="shared" si="12"/>
        <v>0.5</v>
      </c>
      <c r="AF56" s="177">
        <f t="shared" si="13"/>
        <v>4.306581351147809E-4</v>
      </c>
      <c r="AG56" s="811">
        <f t="shared" si="23"/>
        <v>-2</v>
      </c>
      <c r="AH56" s="176">
        <f t="shared" si="14"/>
        <v>4</v>
      </c>
      <c r="AI56" s="225">
        <f t="shared" si="15"/>
        <v>-1.9995693418648852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7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7">
        <f t="shared" si="2"/>
        <v>0</v>
      </c>
      <c r="M57" s="856"/>
      <c r="N57" s="856"/>
      <c r="O57" s="324">
        <f t="shared" si="3"/>
        <v>0</v>
      </c>
      <c r="P57" s="169">
        <f>(INDEX(Models!$BJ57:$BT57,,T57)*(1-R57)+INDEX(Models!$BJ57:$BT57,,T57+1)*R57-ERP_i)*Q57*Ramure*Pc/MaxiM</f>
        <v>1.3409362298612226E-7</v>
      </c>
      <c r="Q57" s="305">
        <f t="shared" si="19"/>
        <v>0.5</v>
      </c>
      <c r="R57" s="177">
        <f t="shared" si="4"/>
        <v>5.8623692163761731E-4</v>
      </c>
      <c r="S57" s="811">
        <f t="shared" si="20"/>
        <v>-2</v>
      </c>
      <c r="T57" s="176">
        <f t="shared" si="21"/>
        <v>4</v>
      </c>
      <c r="U57" s="251">
        <f t="shared" si="22"/>
        <v>-1.9994137630783624</v>
      </c>
      <c r="V57" s="383">
        <f t="shared" si="5"/>
        <v>37.929744913756231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6">
        <f t="shared" si="11"/>
        <v>0</v>
      </c>
      <c r="AD57" s="169">
        <f>(INDEX(Models!$BJ57:$BT57,,AH57)*(1-AF57)+INDEX(Models!$BJ57:$BT57,,AH57+1)*AF57-ERP_i)*AE57*Ramure*Pc/MaxiM</f>
        <v>1.3409362298612226E-7</v>
      </c>
      <c r="AE57" s="305">
        <f t="shared" si="12"/>
        <v>0.5</v>
      </c>
      <c r="AF57" s="177">
        <f t="shared" si="13"/>
        <v>5.8623692163761731E-4</v>
      </c>
      <c r="AG57" s="811">
        <f t="shared" si="23"/>
        <v>-2</v>
      </c>
      <c r="AH57" s="176">
        <f t="shared" si="14"/>
        <v>4</v>
      </c>
      <c r="AI57" s="225">
        <f t="shared" si="15"/>
        <v>-1.9994137630783624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7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7">
        <f t="shared" si="2"/>
        <v>0</v>
      </c>
      <c r="M58" s="856"/>
      <c r="N58" s="856"/>
      <c r="O58" s="324">
        <f t="shared" si="3"/>
        <v>0</v>
      </c>
      <c r="P58" s="169">
        <f>(INDEX(Models!$BJ58:$BT58,,T58)*(1-R58)+INDEX(Models!$BJ58:$BT58,,T58+1)*R58-ERP_i)*Q58*Ramure*Pc/MaxiM</f>
        <v>1.4523049923609854E-7</v>
      </c>
      <c r="Q58" s="305">
        <f t="shared" si="19"/>
        <v>0.5</v>
      </c>
      <c r="R58" s="177">
        <f t="shared" si="4"/>
        <v>7.4823899267673077E-4</v>
      </c>
      <c r="S58" s="811">
        <f t="shared" si="20"/>
        <v>-2</v>
      </c>
      <c r="T58" s="176">
        <f t="shared" si="21"/>
        <v>4</v>
      </c>
      <c r="U58" s="251">
        <f t="shared" si="22"/>
        <v>-1.9992517610073233</v>
      </c>
      <c r="V58" s="383">
        <f t="shared" si="5"/>
        <v>38.272227677766665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6">
        <f t="shared" si="11"/>
        <v>0</v>
      </c>
      <c r="AD58" s="169">
        <f>(INDEX(Models!$BJ58:$BT58,,AH58)*(1-AF58)+INDEX(Models!$BJ58:$BT58,,AH58+1)*AF58-ERP_i)*AE58*Ramure*Pc/MaxiM</f>
        <v>1.4523049923609854E-7</v>
      </c>
      <c r="AE58" s="305">
        <f t="shared" si="12"/>
        <v>0.5</v>
      </c>
      <c r="AF58" s="177">
        <f t="shared" si="13"/>
        <v>7.4823899267673077E-4</v>
      </c>
      <c r="AG58" s="811">
        <f t="shared" si="23"/>
        <v>-2</v>
      </c>
      <c r="AH58" s="176">
        <f t="shared" si="14"/>
        <v>4</v>
      </c>
      <c r="AI58" s="225">
        <f t="shared" si="15"/>
        <v>-1.9992517610073233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7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7">
        <f t="shared" si="2"/>
        <v>0</v>
      </c>
      <c r="M59" s="856"/>
      <c r="N59" s="856"/>
      <c r="O59" s="324">
        <f t="shared" si="3"/>
        <v>0</v>
      </c>
      <c r="P59" s="169">
        <f>(INDEX(Models!$BJ59:$BT59,,T59)*(1-R59)+INDEX(Models!$BJ59:$BT59,,T59+1)*R59-ERP_i)*Q59*Ramure*Pc/MaxiM</f>
        <v>1.5679239978302694E-7</v>
      </c>
      <c r="Q59" s="305">
        <f t="shared" si="19"/>
        <v>0.5</v>
      </c>
      <c r="R59" s="177">
        <f t="shared" si="4"/>
        <v>9.1692505665852408E-4</v>
      </c>
      <c r="S59" s="811">
        <f t="shared" si="20"/>
        <v>-2</v>
      </c>
      <c r="T59" s="176">
        <f t="shared" si="21"/>
        <v>4</v>
      </c>
      <c r="U59" s="251">
        <f t="shared" si="22"/>
        <v>-1.9990830749433415</v>
      </c>
      <c r="V59" s="383">
        <f t="shared" si="5"/>
        <v>38.615927181468955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6">
        <f t="shared" si="11"/>
        <v>0</v>
      </c>
      <c r="AD59" s="169">
        <f>(INDEX(Models!$BJ59:$BT59,,AH59)*(1-AF59)+INDEX(Models!$BJ59:$BT59,,AH59+1)*AF59-ERP_i)*AE59*Ramure*Pc/MaxiM</f>
        <v>1.5679239978302694E-7</v>
      </c>
      <c r="AE59" s="305">
        <f t="shared" si="12"/>
        <v>0.5</v>
      </c>
      <c r="AF59" s="177">
        <f t="shared" si="13"/>
        <v>9.1692505665852408E-4</v>
      </c>
      <c r="AG59" s="811">
        <f t="shared" si="23"/>
        <v>-2</v>
      </c>
      <c r="AH59" s="176">
        <f t="shared" si="14"/>
        <v>4</v>
      </c>
      <c r="AI59" s="225">
        <f t="shared" si="15"/>
        <v>-1.9990830749433415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7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7">
        <f t="shared" si="2"/>
        <v>0</v>
      </c>
      <c r="M60" s="856"/>
      <c r="N60" s="856"/>
      <c r="O60" s="324">
        <f t="shared" si="3"/>
        <v>0</v>
      </c>
      <c r="P60" s="169">
        <f>(INDEX(Models!$BJ60:$BT60,,T60)*(1-R60)+INDEX(Models!$BJ60:$BT60,,T60+1)*R60-ERP_i)*Q60*Ramure*Pc/MaxiM</f>
        <v>1.6878591957190173E-7</v>
      </c>
      <c r="Q60" s="305">
        <f t="shared" si="19"/>
        <v>0.5</v>
      </c>
      <c r="R60" s="177">
        <f t="shared" si="4"/>
        <v>1.0925660229890166E-3</v>
      </c>
      <c r="S60" s="811">
        <f t="shared" si="20"/>
        <v>-2</v>
      </c>
      <c r="T60" s="176">
        <f t="shared" si="21"/>
        <v>4</v>
      </c>
      <c r="U60" s="251">
        <f t="shared" si="22"/>
        <v>-1.998907433977011</v>
      </c>
      <c r="V60" s="383">
        <f t="shared" si="5"/>
        <v>38.961058147134736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6">
        <f t="shared" si="11"/>
        <v>0</v>
      </c>
      <c r="AD60" s="169">
        <f>(INDEX(Models!$BJ60:$BT60,,AH60)*(1-AF60)+INDEX(Models!$BJ60:$BT60,,AH60+1)*AF60-ERP_i)*AE60*Ramure*Pc/MaxiM</f>
        <v>1.6878591957190173E-7</v>
      </c>
      <c r="AE60" s="305">
        <f t="shared" si="12"/>
        <v>0.5</v>
      </c>
      <c r="AF60" s="177">
        <f t="shared" si="13"/>
        <v>1.0925660229890166E-3</v>
      </c>
      <c r="AG60" s="811">
        <f t="shared" si="23"/>
        <v>-2</v>
      </c>
      <c r="AH60" s="176">
        <f t="shared" si="14"/>
        <v>4</v>
      </c>
      <c r="AI60" s="225">
        <f t="shared" si="15"/>
        <v>-1.998907433977011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7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7">
        <f t="shared" si="2"/>
        <v>0</v>
      </c>
      <c r="M61" s="856"/>
      <c r="N61" s="856"/>
      <c r="O61" s="324">
        <f t="shared" si="3"/>
        <v>0</v>
      </c>
      <c r="P61" s="169">
        <f>(INDEX(Models!$BJ61:$BT61,,T61)*(1-R61)+INDEX(Models!$BJ61:$BT61,,T61+1)*R61-ERP_i)*Q61*Ramure*Pc/MaxiM</f>
        <v>1.81217314779985E-7</v>
      </c>
      <c r="Q61" s="305">
        <f t="shared" si="19"/>
        <v>0.5</v>
      </c>
      <c r="R61" s="177">
        <f t="shared" si="4"/>
        <v>1.2754433687769406E-3</v>
      </c>
      <c r="S61" s="811">
        <f t="shared" si="20"/>
        <v>-2</v>
      </c>
      <c r="T61" s="176">
        <f t="shared" si="21"/>
        <v>4</v>
      </c>
      <c r="U61" s="251">
        <f t="shared" si="22"/>
        <v>-1.9987245566312231</v>
      </c>
      <c r="V61" s="383">
        <f t="shared" si="5"/>
        <v>39.307835296567035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6">
        <f t="shared" si="11"/>
        <v>0</v>
      </c>
      <c r="AD61" s="169">
        <f>(INDEX(Models!$BJ61:$BT61,,AH61)*(1-AF61)+INDEX(Models!$BJ61:$BT61,,AH61+1)*AF61-ERP_i)*AE61*Ramure*Pc/MaxiM</f>
        <v>1.81217314779985E-7</v>
      </c>
      <c r="AE61" s="305">
        <f t="shared" si="12"/>
        <v>0.5</v>
      </c>
      <c r="AF61" s="177">
        <f t="shared" si="13"/>
        <v>1.2754433687769406E-3</v>
      </c>
      <c r="AG61" s="811">
        <f t="shared" si="23"/>
        <v>-2</v>
      </c>
      <c r="AH61" s="176">
        <f t="shared" si="14"/>
        <v>4</v>
      </c>
      <c r="AI61" s="225">
        <f t="shared" si="15"/>
        <v>-1.9987245566312231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7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7">
        <f t="shared" si="2"/>
        <v>0</v>
      </c>
      <c r="M62" s="856"/>
      <c r="N62" s="856"/>
      <c r="O62" s="324">
        <f t="shared" si="3"/>
        <v>0</v>
      </c>
      <c r="P62" s="169">
        <f>(INDEX(Models!$BJ62:$BT62,,T62)*(1-R62)+INDEX(Models!$BJ62:$BT62,,T62+1)*R62-ERP_i)*Q62*Ramure*Pc/MaxiM</f>
        <v>1.9409246932435451E-7</v>
      </c>
      <c r="Q62" s="305">
        <f t="shared" si="19"/>
        <v>0.5</v>
      </c>
      <c r="R62" s="177">
        <f t="shared" si="4"/>
        <v>1.4658495159334262E-3</v>
      </c>
      <c r="S62" s="811">
        <f t="shared" si="20"/>
        <v>-2</v>
      </c>
      <c r="T62" s="176">
        <f t="shared" si="21"/>
        <v>4</v>
      </c>
      <c r="U62" s="251">
        <f t="shared" si="22"/>
        <v>-1.9985341504840666</v>
      </c>
      <c r="V62" s="383">
        <f t="shared" si="5"/>
        <v>39.656473352544729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6">
        <f t="shared" si="11"/>
        <v>0</v>
      </c>
      <c r="AD62" s="169">
        <f>(INDEX(Models!$BJ62:$BT62,,AH62)*(1-AF62)+INDEX(Models!$BJ62:$BT62,,AH62+1)*AF62-ERP_i)*AE62*Ramure*Pc/MaxiM</f>
        <v>1.9409246932435451E-7</v>
      </c>
      <c r="AE62" s="305">
        <f t="shared" si="12"/>
        <v>0.5</v>
      </c>
      <c r="AF62" s="177">
        <f t="shared" si="13"/>
        <v>1.4658495159334262E-3</v>
      </c>
      <c r="AG62" s="811">
        <f t="shared" si="23"/>
        <v>-2</v>
      </c>
      <c r="AH62" s="176">
        <f t="shared" si="14"/>
        <v>4</v>
      </c>
      <c r="AI62" s="225">
        <f t="shared" si="15"/>
        <v>-1.9985341504840666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7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7">
        <f t="shared" si="2"/>
        <v>0</v>
      </c>
      <c r="M63" s="856"/>
      <c r="N63" s="856"/>
      <c r="O63" s="324">
        <f t="shared" si="3"/>
        <v>0</v>
      </c>
      <c r="P63" s="169">
        <f>(INDEX(Models!$BJ63:$BT63,,T63)*(1-R63)+INDEX(Models!$BJ63:$BT63,,T63+1)*R63-ERP_i)*Q63*Ramure*Pc/MaxiM</f>
        <v>2.0741686153298334E-7</v>
      </c>
      <c r="Q63" s="305">
        <f t="shared" si="19"/>
        <v>0.5</v>
      </c>
      <c r="R63" s="177">
        <f t="shared" si="4"/>
        <v>1.6640882186815809E-3</v>
      </c>
      <c r="S63" s="811">
        <f t="shared" si="20"/>
        <v>-2</v>
      </c>
      <c r="T63" s="176">
        <f t="shared" si="21"/>
        <v>4</v>
      </c>
      <c r="U63" s="251">
        <f t="shared" si="22"/>
        <v>-1.9983359117813184</v>
      </c>
      <c r="V63" s="383">
        <f t="shared" si="5"/>
        <v>40.007187037240179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6">
        <f t="shared" si="11"/>
        <v>0</v>
      </c>
      <c r="AD63" s="169">
        <f>(INDEX(Models!$BJ63:$BT63,,AH63)*(1-AF63)+INDEX(Models!$BJ63:$BT63,,AH63+1)*AF63-ERP_i)*AE63*Ramure*Pc/MaxiM</f>
        <v>2.0741686153298334E-7</v>
      </c>
      <c r="AE63" s="305">
        <f t="shared" si="12"/>
        <v>0.5</v>
      </c>
      <c r="AF63" s="177">
        <f t="shared" si="13"/>
        <v>1.6640882186815809E-3</v>
      </c>
      <c r="AG63" s="811">
        <f t="shared" si="23"/>
        <v>-2</v>
      </c>
      <c r="AH63" s="176">
        <f t="shared" si="14"/>
        <v>4</v>
      </c>
      <c r="AI63" s="225">
        <f t="shared" si="15"/>
        <v>-1.9983359117813184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7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7">
        <f t="shared" si="2"/>
        <v>0</v>
      </c>
      <c r="M64" s="856"/>
      <c r="N64" s="856"/>
      <c r="O64" s="324">
        <f t="shared" si="3"/>
        <v>0</v>
      </c>
      <c r="P64" s="169">
        <f>(INDEX(Models!$BJ64:$BT64,,T64)*(1-R64)+INDEX(Models!$BJ64:$BT64,,T64+1)*R64-ERP_i)*Q64*Ramure*Pc/MaxiM</f>
        <v>2.211955310529207E-7</v>
      </c>
      <c r="Q64" s="305">
        <f t="shared" si="19"/>
        <v>0.5</v>
      </c>
      <c r="R64" s="177">
        <f t="shared" si="4"/>
        <v>1.8704749614906202E-3</v>
      </c>
      <c r="S64" s="811">
        <f t="shared" si="20"/>
        <v>-2</v>
      </c>
      <c r="T64" s="176">
        <f t="shared" si="21"/>
        <v>4</v>
      </c>
      <c r="U64" s="251">
        <f t="shared" si="22"/>
        <v>-1.9981295250385094</v>
      </c>
      <c r="V64" s="383">
        <f t="shared" si="5"/>
        <v>40.36019107249966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6">
        <f t="shared" si="11"/>
        <v>0</v>
      </c>
      <c r="AD64" s="169">
        <f>(INDEX(Models!$BJ64:$BT64,,AH64)*(1-AF64)+INDEX(Models!$BJ64:$BT64,,AH64+1)*AF64-ERP_i)*AE64*Ramure*Pc/MaxiM</f>
        <v>2.211955310529207E-7</v>
      </c>
      <c r="AE64" s="305">
        <f t="shared" si="12"/>
        <v>0.5</v>
      </c>
      <c r="AF64" s="177">
        <f t="shared" si="13"/>
        <v>1.8704749614906202E-3</v>
      </c>
      <c r="AG64" s="811">
        <f t="shared" si="23"/>
        <v>-2</v>
      </c>
      <c r="AH64" s="176">
        <f t="shared" si="14"/>
        <v>4</v>
      </c>
      <c r="AI64" s="225">
        <f t="shared" si="15"/>
        <v>-1.9981295250385094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7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7">
        <f t="shared" si="2"/>
        <v>0</v>
      </c>
      <c r="M65" s="856"/>
      <c r="N65" s="856"/>
      <c r="O65" s="324">
        <f t="shared" si="3"/>
        <v>0</v>
      </c>
      <c r="P65" s="169">
        <f>(INDEX(Models!$BJ65:$BT65,,T65)*(1-R65)+INDEX(Models!$BJ65:$BT65,,T65+1)*R65-ERP_i)*Q65*Ramure*Pc/MaxiM</f>
        <v>2.3543211486669674E-7</v>
      </c>
      <c r="Q65" s="305">
        <f t="shared" si="19"/>
        <v>0.5</v>
      </c>
      <c r="R65" s="177">
        <f t="shared" si="4"/>
        <v>2.0853373674007969E-3</v>
      </c>
      <c r="S65" s="811">
        <f t="shared" si="20"/>
        <v>-2</v>
      </c>
      <c r="T65" s="176">
        <f t="shared" si="21"/>
        <v>4</v>
      </c>
      <c r="U65" s="251">
        <f t="shared" si="22"/>
        <v>-1.9979146626325992</v>
      </c>
      <c r="V65" s="383">
        <f t="shared" si="5"/>
        <v>40.715861222981431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6">
        <f t="shared" si="11"/>
        <v>0</v>
      </c>
      <c r="AD65" s="169">
        <f>(INDEX(Models!$BJ65:$BT65,,AH65)*(1-AF65)+INDEX(Models!$BJ65:$BT65,,AH65+1)*AF65-ERP_i)*AE65*Ramure*Pc/MaxiM</f>
        <v>2.3543211486669674E-7</v>
      </c>
      <c r="AE65" s="305">
        <f t="shared" si="12"/>
        <v>0.5</v>
      </c>
      <c r="AF65" s="177">
        <f t="shared" si="13"/>
        <v>2.0853373674007969E-3</v>
      </c>
      <c r="AG65" s="811">
        <f t="shared" si="23"/>
        <v>-2</v>
      </c>
      <c r="AH65" s="176">
        <f t="shared" si="14"/>
        <v>4</v>
      </c>
      <c r="AI65" s="225">
        <f t="shared" si="15"/>
        <v>-1.9979146626325992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7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7">
        <f t="shared" si="2"/>
        <v>0</v>
      </c>
      <c r="M66" s="856"/>
      <c r="N66" s="856"/>
      <c r="O66" s="324">
        <f t="shared" si="3"/>
        <v>0</v>
      </c>
      <c r="P66" s="169">
        <f>(INDEX(Models!$BJ66:$BT66,,T66)*(1-R66)+INDEX(Models!$BJ66:$BT66,,T66+1)*R66-ERP_i)*Q66*Ramure*Pc/MaxiM</f>
        <v>2.4861328547796704E-7</v>
      </c>
      <c r="Q66" s="305">
        <f t="shared" si="19"/>
        <v>0.5</v>
      </c>
      <c r="R66" s="177">
        <f t="shared" si="4"/>
        <v>2.3090156166876152E-3</v>
      </c>
      <c r="S66" s="811">
        <f t="shared" si="20"/>
        <v>-2</v>
      </c>
      <c r="T66" s="176">
        <f t="shared" si="21"/>
        <v>4</v>
      </c>
      <c r="U66" s="251">
        <f t="shared" si="22"/>
        <v>-1.9976909843833124</v>
      </c>
      <c r="V66" s="383">
        <f t="shared" si="5"/>
        <v>41.074215444350791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6">
        <f t="shared" si="11"/>
        <v>0</v>
      </c>
      <c r="AD66" s="169">
        <f>(INDEX(Models!$BJ66:$BT66,,AH66)*(1-AF66)+INDEX(Models!$BJ66:$BT66,,AH66+1)*AF66-ERP_i)*AE66*Ramure*Pc/MaxiM</f>
        <v>2.4861328547796704E-7</v>
      </c>
      <c r="AE66" s="305">
        <f t="shared" si="12"/>
        <v>0.5</v>
      </c>
      <c r="AF66" s="177">
        <f t="shared" si="13"/>
        <v>2.3090156166876152E-3</v>
      </c>
      <c r="AG66" s="811">
        <f t="shared" si="23"/>
        <v>-2</v>
      </c>
      <c r="AH66" s="176">
        <f t="shared" si="14"/>
        <v>4</v>
      </c>
      <c r="AI66" s="225">
        <f t="shared" si="15"/>
        <v>-1.9976909843833124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7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7">
        <f t="shared" si="2"/>
        <v>0</v>
      </c>
      <c r="M67" s="856"/>
      <c r="N67" s="856"/>
      <c r="O67" s="324">
        <f t="shared" si="3"/>
        <v>0</v>
      </c>
      <c r="P67" s="169">
        <f>(INDEX(Models!$BJ67:$BT67,,T67)*(1-R67)+INDEX(Models!$BJ67:$BT67,,T67+1)*R67-ERP_i)*Q67*Ramure*Pc/MaxiM</f>
        <v>2.5981965349891968E-7</v>
      </c>
      <c r="Q67" s="305">
        <f t="shared" si="19"/>
        <v>0.5</v>
      </c>
      <c r="R67" s="177">
        <f t="shared" si="4"/>
        <v>2.5418628757567507E-3</v>
      </c>
      <c r="S67" s="811">
        <f t="shared" si="20"/>
        <v>-2</v>
      </c>
      <c r="T67" s="176">
        <f t="shared" si="21"/>
        <v>4</v>
      </c>
      <c r="U67" s="251">
        <f t="shared" si="22"/>
        <v>-1.9974581371242432</v>
      </c>
      <c r="V67" s="383">
        <f t="shared" si="5"/>
        <v>41.434931690728263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6">
        <f t="shared" si="11"/>
        <v>0</v>
      </c>
      <c r="AD67" s="169">
        <f>(INDEX(Models!$BJ67:$BT67,,AH67)*(1-AF67)+INDEX(Models!$BJ67:$BT67,,AH67+1)*AF67-ERP_i)*AE67*Ramure*Pc/MaxiM</f>
        <v>2.5981965349891968E-7</v>
      </c>
      <c r="AE67" s="305">
        <f t="shared" si="12"/>
        <v>0.5</v>
      </c>
      <c r="AF67" s="177">
        <f t="shared" si="13"/>
        <v>2.5418628757567507E-3</v>
      </c>
      <c r="AG67" s="811">
        <f t="shared" si="23"/>
        <v>-2</v>
      </c>
      <c r="AH67" s="176">
        <f t="shared" si="14"/>
        <v>4</v>
      </c>
      <c r="AI67" s="225">
        <f t="shared" si="15"/>
        <v>-1.9974581371242432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7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7">
        <f t="shared" si="2"/>
        <v>0</v>
      </c>
      <c r="M68" s="856"/>
      <c r="N68" s="856"/>
      <c r="O68" s="324">
        <f t="shared" si="3"/>
        <v>0</v>
      </c>
      <c r="P68" s="169">
        <f>(INDEX(Models!$BJ68:$BT68,,T68)*(1-R68)+INDEX(Models!$BJ68:$BT68,,T68+1)*R68-ERP_i)*Q68*Ramure*Pc/MaxiM</f>
        <v>2.687673289078419E-7</v>
      </c>
      <c r="Q68" s="305">
        <f t="shared" si="19"/>
        <v>0.5</v>
      </c>
      <c r="R68" s="177">
        <f t="shared" si="4"/>
        <v>2.7842457361346717E-3</v>
      </c>
      <c r="S68" s="811">
        <f t="shared" si="20"/>
        <v>-2</v>
      </c>
      <c r="T68" s="176">
        <f t="shared" si="21"/>
        <v>4</v>
      </c>
      <c r="U68" s="251">
        <f t="shared" si="22"/>
        <v>-1.9972157542638653</v>
      </c>
      <c r="V68" s="383">
        <f t="shared" si="5"/>
        <v>41.797687891596084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6">
        <f t="shared" si="11"/>
        <v>0</v>
      </c>
      <c r="AD68" s="169">
        <f>(INDEX(Models!$BJ68:$BT68,,AH68)*(1-AF68)+INDEX(Models!$BJ68:$BT68,,AH68+1)*AF68-ERP_i)*AE68*Ramure*Pc/MaxiM</f>
        <v>2.687673289078419E-7</v>
      </c>
      <c r="AE68" s="305">
        <f t="shared" si="12"/>
        <v>0.5</v>
      </c>
      <c r="AF68" s="177">
        <f t="shared" si="13"/>
        <v>2.7842457361346717E-3</v>
      </c>
      <c r="AG68" s="811">
        <f t="shared" si="23"/>
        <v>-2</v>
      </c>
      <c r="AH68" s="176">
        <f t="shared" si="14"/>
        <v>4</v>
      </c>
      <c r="AI68" s="225">
        <f t="shared" si="15"/>
        <v>-1.9972157542638653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7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7">
        <f t="shared" si="2"/>
        <v>0</v>
      </c>
      <c r="M69" s="856"/>
      <c r="N69" s="856"/>
      <c r="O69" s="324">
        <f t="shared" si="3"/>
        <v>0</v>
      </c>
      <c r="P69" s="169">
        <f>(INDEX(Models!$BJ69:$BT69,,T69)*(1-R69)+INDEX(Models!$BJ69:$BT69,,T69+1)*R69-ERP_i)*Q69*Ramure*Pc/MaxiM</f>
        <v>2.7515563523637082E-7</v>
      </c>
      <c r="Q69" s="305">
        <f t="shared" si="19"/>
        <v>0.5</v>
      </c>
      <c r="R69" s="177">
        <f t="shared" si="4"/>
        <v>3.0365446633529025E-3</v>
      </c>
      <c r="S69" s="811">
        <f t="shared" si="20"/>
        <v>-2</v>
      </c>
      <c r="T69" s="176">
        <f t="shared" si="21"/>
        <v>4</v>
      </c>
      <c r="U69" s="251">
        <f t="shared" si="22"/>
        <v>-1.9969634553366471</v>
      </c>
      <c r="V69" s="383">
        <f t="shared" si="5"/>
        <v>42.162161977476771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6">
        <f t="shared" si="11"/>
        <v>0</v>
      </c>
      <c r="AD69" s="169">
        <f>(INDEX(Models!$BJ69:$BT69,,AH69)*(1-AF69)+INDEX(Models!$BJ69:$BT69,,AH69+1)*AF69-ERP_i)*AE69*Ramure*Pc/MaxiM</f>
        <v>2.7515563523637082E-7</v>
      </c>
      <c r="AE69" s="305">
        <f t="shared" si="12"/>
        <v>0.5</v>
      </c>
      <c r="AF69" s="177">
        <f t="shared" si="13"/>
        <v>3.0365446633529025E-3</v>
      </c>
      <c r="AG69" s="811">
        <f t="shared" si="23"/>
        <v>-2</v>
      </c>
      <c r="AH69" s="176">
        <f t="shared" si="14"/>
        <v>4</v>
      </c>
      <c r="AI69" s="225">
        <f t="shared" si="15"/>
        <v>-1.9969634553366471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7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7">
        <f t="shared" si="2"/>
        <v>0</v>
      </c>
      <c r="M70" s="856"/>
      <c r="N70" s="856"/>
      <c r="O70" s="324">
        <f t="shared" si="3"/>
        <v>0</v>
      </c>
      <c r="P70" s="169">
        <f>(INDEX(Models!$BJ70:$BT70,,T70)*(1-R70)+INDEX(Models!$BJ70:$BT70,,T70+1)*R70-ERP_i)*Q70*Ramure*Pc/MaxiM</f>
        <v>2.7866475106386217E-7</v>
      </c>
      <c r="Q70" s="305">
        <f t="shared" si="19"/>
        <v>0.5</v>
      </c>
      <c r="R70" s="177">
        <f t="shared" si="4"/>
        <v>3.2991544554890062E-3</v>
      </c>
      <c r="S70" s="811">
        <f t="shared" si="20"/>
        <v>-2</v>
      </c>
      <c r="T70" s="176">
        <f t="shared" si="21"/>
        <v>4</v>
      </c>
      <c r="U70" s="251">
        <f t="shared" si="22"/>
        <v>-1.996700845544511</v>
      </c>
      <c r="V70" s="383">
        <f t="shared" si="5"/>
        <v>42.528031880762917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6">
        <f t="shared" si="11"/>
        <v>0</v>
      </c>
      <c r="AD70" s="169">
        <f>(INDEX(Models!$BJ70:$BT70,,AH70)*(1-AF70)+INDEX(Models!$BJ70:$BT70,,AH70+1)*AF70-ERP_i)*AE70*Ramure*Pc/MaxiM</f>
        <v>2.7866475106386217E-7</v>
      </c>
      <c r="AE70" s="305">
        <f t="shared" si="12"/>
        <v>0.5</v>
      </c>
      <c r="AF70" s="177">
        <f t="shared" si="13"/>
        <v>3.2991544554890062E-3</v>
      </c>
      <c r="AG70" s="811">
        <f t="shared" si="23"/>
        <v>-2</v>
      </c>
      <c r="AH70" s="176">
        <f t="shared" si="14"/>
        <v>4</v>
      </c>
      <c r="AI70" s="225">
        <f t="shared" si="15"/>
        <v>-1.996700845544511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7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7">
        <f t="shared" si="2"/>
        <v>0</v>
      </c>
      <c r="M71" s="856"/>
      <c r="N71" s="856"/>
      <c r="O71" s="324">
        <f t="shared" si="3"/>
        <v>0</v>
      </c>
      <c r="P71" s="169">
        <f>(INDEX(Models!$BJ71:$BT71,,T71)*(1-R71)+INDEX(Models!$BJ71:$BT71,,T71+1)*R71-ERP_i)*Q71*Ramure*Pc/MaxiM</f>
        <v>2.7895442976024179E-7</v>
      </c>
      <c r="Q71" s="305">
        <f t="shared" si="19"/>
        <v>0.5</v>
      </c>
      <c r="R71" s="177">
        <f t="shared" si="4"/>
        <v>3.5724847110543134E-3</v>
      </c>
      <c r="S71" s="811">
        <f t="shared" si="20"/>
        <v>-2</v>
      </c>
      <c r="T71" s="176">
        <f t="shared" si="21"/>
        <v>4</v>
      </c>
      <c r="U71" s="251">
        <f t="shared" si="22"/>
        <v>-1.9964275152889457</v>
      </c>
      <c r="V71" s="383">
        <f t="shared" si="5"/>
        <v>42.894975534358565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6">
        <f t="shared" si="11"/>
        <v>0</v>
      </c>
      <c r="AD71" s="169">
        <f>(INDEX(Models!$BJ71:$BT71,,AH71)*(1-AF71)+INDEX(Models!$BJ71:$BT71,,AH71+1)*AF71-ERP_i)*AE71*Ramure*Pc/MaxiM</f>
        <v>2.7895442976024179E-7</v>
      </c>
      <c r="AE71" s="305">
        <f t="shared" si="12"/>
        <v>0.5</v>
      </c>
      <c r="AF71" s="177">
        <f t="shared" si="13"/>
        <v>3.5724847110543134E-3</v>
      </c>
      <c r="AG71" s="811">
        <f t="shared" si="23"/>
        <v>-2</v>
      </c>
      <c r="AH71" s="176">
        <f t="shared" si="14"/>
        <v>4</v>
      </c>
      <c r="AI71" s="225">
        <f t="shared" si="15"/>
        <v>-1.9964275152889457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7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7">
        <f t="shared" si="2"/>
        <v>0</v>
      </c>
      <c r="M72" s="856"/>
      <c r="N72" s="856"/>
      <c r="O72" s="324">
        <f t="shared" si="3"/>
        <v>0</v>
      </c>
      <c r="P72" s="169">
        <f>(INDEX(Models!$BJ72:$BT72,,T72)*(1-R72)+INDEX(Models!$BJ72:$BT72,,T72+1)*R72-ERP_i)*Q72*Ramure*Pc/MaxiM</f>
        <v>2.7645288723687743E-7</v>
      </c>
      <c r="Q72" s="305">
        <f t="shared" si="19"/>
        <v>0.5</v>
      </c>
      <c r="R72" s="177">
        <f t="shared" si="4"/>
        <v>3.8569603058644653E-3</v>
      </c>
      <c r="S72" s="811">
        <f t="shared" si="20"/>
        <v>-2</v>
      </c>
      <c r="T72" s="176">
        <f t="shared" si="21"/>
        <v>4</v>
      </c>
      <c r="U72" s="251">
        <f t="shared" si="22"/>
        <v>-1.9961430396941355</v>
      </c>
      <c r="V72" s="383">
        <f t="shared" si="5"/>
        <v>43.26267083860251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6">
        <f t="shared" si="11"/>
        <v>0</v>
      </c>
      <c r="AD72" s="169">
        <f>(INDEX(Models!$BJ72:$BT72,,AH72)*(1-AF72)+INDEX(Models!$BJ72:$BT72,,AH72+1)*AF72-ERP_i)*AE72*Ramure*Pc/MaxiM</f>
        <v>2.7645288723687743E-7</v>
      </c>
      <c r="AE72" s="305">
        <f t="shared" si="12"/>
        <v>0.5</v>
      </c>
      <c r="AF72" s="177">
        <f t="shared" si="13"/>
        <v>3.8569603058644653E-3</v>
      </c>
      <c r="AG72" s="811">
        <f t="shared" si="23"/>
        <v>-2</v>
      </c>
      <c r="AH72" s="176">
        <f t="shared" si="14"/>
        <v>4</v>
      </c>
      <c r="AI72" s="225">
        <f t="shared" si="15"/>
        <v>-1.9961430396941355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7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7">
        <f t="shared" si="2"/>
        <v>0</v>
      </c>
      <c r="M73" s="856"/>
      <c r="N73" s="856"/>
      <c r="O73" s="324">
        <f t="shared" si="3"/>
        <v>0</v>
      </c>
      <c r="P73" s="169">
        <f>(INDEX(Models!$BJ73:$BT73,,T73)*(1-R73)+INDEX(Models!$BJ73:$BT73,,T73+1)*R73-ERP_i)*Q73*Ramure*Pc/MaxiM</f>
        <v>2.7208040654061552E-7</v>
      </c>
      <c r="Q73" s="305">
        <f t="shared" si="19"/>
        <v>0.5</v>
      </c>
      <c r="R73" s="177">
        <f t="shared" si="4"/>
        <v>4.1530218784520123E-3</v>
      </c>
      <c r="S73" s="811">
        <f t="shared" si="20"/>
        <v>-2</v>
      </c>
      <c r="T73" s="176">
        <f t="shared" si="21"/>
        <v>4</v>
      </c>
      <c r="U73" s="251">
        <f t="shared" si="22"/>
        <v>-1.995846978121548</v>
      </c>
      <c r="V73" s="383">
        <f t="shared" si="5"/>
        <v>43.630795672573271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6">
        <f t="shared" si="11"/>
        <v>0</v>
      </c>
      <c r="AD73" s="169">
        <f>(INDEX(Models!$BJ73:$BT73,,AH73)*(1-AF73)+INDEX(Models!$BJ73:$BT73,,AH73+1)*AF73-ERP_i)*AE73*Ramure*Pc/MaxiM</f>
        <v>2.7208040654061552E-7</v>
      </c>
      <c r="AE73" s="305">
        <f t="shared" si="12"/>
        <v>0.5</v>
      </c>
      <c r="AF73" s="177">
        <f t="shared" si="13"/>
        <v>4.1530218784520123E-3</v>
      </c>
      <c r="AG73" s="811">
        <f t="shared" si="23"/>
        <v>-2</v>
      </c>
      <c r="AH73" s="176">
        <f t="shared" si="14"/>
        <v>4</v>
      </c>
      <c r="AI73" s="225">
        <f t="shared" si="15"/>
        <v>-1.995846978121548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7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7">
        <f t="shared" si="2"/>
        <v>0</v>
      </c>
      <c r="M74" s="856"/>
      <c r="N74" s="856"/>
      <c r="O74" s="324">
        <f t="shared" si="3"/>
        <v>0</v>
      </c>
      <c r="P74" s="169">
        <f>(INDEX(Models!$BJ74:$BT74,,T74)*(1-R74)+INDEX(Models!$BJ74:$BT74,,T74+1)*R74-ERP_i)*Q74*Ramure*Pc/MaxiM</f>
        <v>2.656619445720577E-7</v>
      </c>
      <c r="Q74" s="305">
        <f t="shared" si="19"/>
        <v>0.5</v>
      </c>
      <c r="R74" s="177">
        <f t="shared" si="4"/>
        <v>4.4611263235108112E-3</v>
      </c>
      <c r="S74" s="811">
        <f t="shared" si="20"/>
        <v>-2</v>
      </c>
      <c r="T74" s="176">
        <f t="shared" si="21"/>
        <v>4</v>
      </c>
      <c r="U74" s="251">
        <f t="shared" si="22"/>
        <v>-1.9955388736764892</v>
      </c>
      <c r="V74" s="383">
        <f t="shared" si="5"/>
        <v>43.999027961281286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6">
        <f t="shared" si="11"/>
        <v>0</v>
      </c>
      <c r="AD74" s="169">
        <f>(INDEX(Models!$BJ74:$BT74,,AH74)*(1-AF74)+INDEX(Models!$BJ74:$BT74,,AH74+1)*AF74-ERP_i)*AE74*Ramure*Pc/MaxiM</f>
        <v>2.656619445720577E-7</v>
      </c>
      <c r="AE74" s="305">
        <f t="shared" si="12"/>
        <v>0.5</v>
      </c>
      <c r="AF74" s="177">
        <f t="shared" si="13"/>
        <v>4.4611263235108112E-3</v>
      </c>
      <c r="AG74" s="811">
        <f t="shared" si="23"/>
        <v>-2</v>
      </c>
      <c r="AH74" s="176">
        <f t="shared" si="14"/>
        <v>4</v>
      </c>
      <c r="AI74" s="225">
        <f t="shared" si="15"/>
        <v>-1.9955388736764892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7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7">
        <f t="shared" si="2"/>
        <v>0</v>
      </c>
      <c r="M75" s="856"/>
      <c r="N75" s="856"/>
      <c r="O75" s="324">
        <f t="shared" si="3"/>
        <v>0</v>
      </c>
      <c r="P75" s="169">
        <f>(INDEX(Models!$BJ75:$BT75,,T75)*(1-R75)+INDEX(Models!$BJ75:$BT75,,T75+1)*R75-ERP_i)*Q75*Ramure*Pc/MaxiM</f>
        <v>2.5701132721340359E-7</v>
      </c>
      <c r="Q75" s="305">
        <f t="shared" si="19"/>
        <v>0.5</v>
      </c>
      <c r="R75" s="177">
        <f t="shared" si="4"/>
        <v>4.7817472927724758E-3</v>
      </c>
      <c r="S75" s="811">
        <f t="shared" si="20"/>
        <v>-2</v>
      </c>
      <c r="T75" s="176">
        <f t="shared" si="21"/>
        <v>4</v>
      </c>
      <c r="U75" s="251">
        <f t="shared" si="22"/>
        <v>-1.9952182527072275</v>
      </c>
      <c r="V75" s="383">
        <f t="shared" si="5"/>
        <v>44.367045630721535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6">
        <f t="shared" si="11"/>
        <v>0</v>
      </c>
      <c r="AD75" s="169">
        <f>(INDEX(Models!$BJ75:$BT75,,AH75)*(1-AF75)+INDEX(Models!$BJ75:$BT75,,AH75+1)*AF75-ERP_i)*AE75*Ramure*Pc/MaxiM</f>
        <v>2.5701132721340359E-7</v>
      </c>
      <c r="AE75" s="305">
        <f t="shared" si="12"/>
        <v>0.5</v>
      </c>
      <c r="AF75" s="177">
        <f t="shared" si="13"/>
        <v>4.7817472927724758E-3</v>
      </c>
      <c r="AG75" s="811">
        <f t="shared" si="23"/>
        <v>-2</v>
      </c>
      <c r="AH75" s="176">
        <f t="shared" si="14"/>
        <v>4</v>
      </c>
      <c r="AI75" s="225">
        <f t="shared" si="15"/>
        <v>-1.9952182527072275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7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7">
        <f t="shared" si="2"/>
        <v>0</v>
      </c>
      <c r="M76" s="856"/>
      <c r="N76" s="856"/>
      <c r="O76" s="324">
        <f t="shared" si="3"/>
        <v>0</v>
      </c>
      <c r="P76" s="169">
        <f>(INDEX(Models!$BJ76:$BT76,,T76)*(1-R76)+INDEX(Models!$BJ76:$BT76,,T76+1)*R76-ERP_i)*Q76*Ramure*Pc/MaxiM</f>
        <v>2.4593047950627829E-7</v>
      </c>
      <c r="Q76" s="305">
        <f t="shared" si="19"/>
        <v>0.5</v>
      </c>
      <c r="R76" s="177">
        <f t="shared" si="4"/>
        <v>5.1153757026303204E-3</v>
      </c>
      <c r="S76" s="811">
        <f t="shared" si="20"/>
        <v>-2</v>
      </c>
      <c r="T76" s="176">
        <f t="shared" si="21"/>
        <v>4</v>
      </c>
      <c r="U76" s="251">
        <f t="shared" si="22"/>
        <v>-1.9948846242973697</v>
      </c>
      <c r="V76" s="383">
        <f t="shared" si="5"/>
        <v>44.73452660771359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6">
        <f t="shared" si="11"/>
        <v>0</v>
      </c>
      <c r="AD76" s="169">
        <f>(INDEX(Models!$BJ76:$BT76,,AH76)*(1-AF76)+INDEX(Models!$BJ76:$BT76,,AH76+1)*AF76-ERP_i)*AE76*Ramure*Pc/MaxiM</f>
        <v>2.4593047950627829E-7</v>
      </c>
      <c r="AE76" s="305">
        <f t="shared" si="12"/>
        <v>0.5</v>
      </c>
      <c r="AF76" s="177">
        <f t="shared" si="13"/>
        <v>5.1153757026303204E-3</v>
      </c>
      <c r="AG76" s="811">
        <f t="shared" si="23"/>
        <v>-2</v>
      </c>
      <c r="AH76" s="176">
        <f t="shared" si="14"/>
        <v>4</v>
      </c>
      <c r="AI76" s="225">
        <f t="shared" si="15"/>
        <v>-1.9948846242973697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7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7">
        <f t="shared" si="2"/>
        <v>0</v>
      </c>
      <c r="M77" s="856"/>
      <c r="N77" s="856"/>
      <c r="O77" s="324">
        <f t="shared" si="3"/>
        <v>0</v>
      </c>
      <c r="P77" s="169">
        <f>(INDEX(Models!$BJ77:$BT77,,T77)*(1-R77)+INDEX(Models!$BJ77:$BT77,,T77+1)*R77-ERP_i)*Q77*Ramure*Pc/MaxiM</f>
        <v>2.3220859612360524E-7</v>
      </c>
      <c r="Q77" s="305">
        <f t="shared" si="19"/>
        <v>0.5</v>
      </c>
      <c r="R77" s="177">
        <f t="shared" si="4"/>
        <v>5.4625202477285306E-3</v>
      </c>
      <c r="S77" s="811">
        <f t="shared" si="20"/>
        <v>-2</v>
      </c>
      <c r="T77" s="176">
        <f t="shared" si="21"/>
        <v>4</v>
      </c>
      <c r="U77" s="251">
        <f t="shared" si="22"/>
        <v>-1.9945374797522715</v>
      </c>
      <c r="V77" s="383">
        <f t="shared" si="5"/>
        <v>45.101148820119576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6">
        <f t="shared" si="11"/>
        <v>0</v>
      </c>
      <c r="AD77" s="169">
        <f>(INDEX(Models!$BJ77:$BT77,,AH77)*(1-AF77)+INDEX(Models!$BJ77:$BT77,,AH77+1)*AF77-ERP_i)*AE77*Ramure*Pc/MaxiM</f>
        <v>2.3220859612360524E-7</v>
      </c>
      <c r="AE77" s="305">
        <f t="shared" si="12"/>
        <v>0.5</v>
      </c>
      <c r="AF77" s="177">
        <f t="shared" si="13"/>
        <v>5.4625202477285306E-3</v>
      </c>
      <c r="AG77" s="811">
        <f t="shared" si="23"/>
        <v>-2</v>
      </c>
      <c r="AH77" s="176">
        <f t="shared" si="14"/>
        <v>4</v>
      </c>
      <c r="AI77" s="225">
        <f t="shared" si="15"/>
        <v>-1.9945374797522715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7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7">
        <f t="shared" si="2"/>
        <v>0</v>
      </c>
      <c r="M78" s="856"/>
      <c r="N78" s="856"/>
      <c r="O78" s="324">
        <f t="shared" si="3"/>
        <v>0</v>
      </c>
      <c r="P78" s="169">
        <f>(INDEX(Models!$BJ78:$BT78,,T78)*(1-R78)+INDEX(Models!$BJ78:$BT78,,T78+1)*R78-ERP_i)*Q78*Ramure*Pc/MaxiM</f>
        <v>2.1562124724044263E-7</v>
      </c>
      <c r="Q78" s="305">
        <f t="shared" si="19"/>
        <v>0.5</v>
      </c>
      <c r="R78" s="177">
        <f t="shared" si="4"/>
        <v>5.8237079196241659E-3</v>
      </c>
      <c r="S78" s="811">
        <f t="shared" si="20"/>
        <v>-2</v>
      </c>
      <c r="T78" s="176">
        <f t="shared" si="21"/>
        <v>4</v>
      </c>
      <c r="U78" s="251">
        <f t="shared" si="22"/>
        <v>-1.9941762920803758</v>
      </c>
      <c r="V78" s="383">
        <f t="shared" si="5"/>
        <v>45.466590196437657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6">
        <f t="shared" si="11"/>
        <v>0</v>
      </c>
      <c r="AD78" s="169">
        <f>(INDEX(Models!$BJ78:$BT78,,AH78)*(1-AF78)+INDEX(Models!$BJ78:$BT78,,AH78+1)*AF78-ERP_i)*AE78*Ramure*Pc/MaxiM</f>
        <v>2.1562124724044263E-7</v>
      </c>
      <c r="AE78" s="305">
        <f t="shared" si="12"/>
        <v>0.5</v>
      </c>
      <c r="AF78" s="177">
        <f t="shared" si="13"/>
        <v>5.8237079196241659E-3</v>
      </c>
      <c r="AG78" s="811">
        <f t="shared" si="23"/>
        <v>-2</v>
      </c>
      <c r="AH78" s="176">
        <f t="shared" si="14"/>
        <v>4</v>
      </c>
      <c r="AI78" s="225">
        <f t="shared" si="15"/>
        <v>-1.9941762920803758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7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7">
        <f t="shared" ref="L79:L142" si="26">IF(t&lt;T0,0,IF(t&lt;Tvie,1-EXP((T0-t)*PertePVj),1-EXP((T0-t)*PertePVj)+Pspv))</f>
        <v>0</v>
      </c>
      <c r="M79" s="856"/>
      <c r="N79" s="856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1.959239834422819E-7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6.1994845295223477E-3</v>
      </c>
      <c r="S79" s="811">
        <f t="shared" si="20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-1.9938005154704777</v>
      </c>
      <c r="V79" s="383">
        <f t="shared" ref="V79:V142" si="32">MaxiM*(1-Ppv)*(1-Pvg)*(1-Psa)</f>
        <v>45.831799110832513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6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1.959239834422819E-7</v>
      </c>
      <c r="AE79" s="305">
        <f t="shared" ref="AE79:AE142" si="39">Dd+PousD*Croivg</f>
        <v>0.5</v>
      </c>
      <c r="AF79" s="177">
        <f t="shared" ref="AF79:AF142" si="40">(Hp_vg_s-AG79)/(INDEX(Echel_vg,AH79+1)-AG79)</f>
        <v>6.1994845295223477E-3</v>
      </c>
      <c r="AG79" s="811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-1.9938005154704777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7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7">
        <f t="shared" si="26"/>
        <v>0</v>
      </c>
      <c r="M80" s="856"/>
      <c r="N80" s="856"/>
      <c r="O80" s="324">
        <f t="shared" si="27"/>
        <v>0</v>
      </c>
      <c r="P80" s="169">
        <f>(INDEX(Models!$BJ80:$BT80,,T80)*(1-R80)+INDEX(Models!$BJ80:$BT80,,T80+1)*R80-ERP_i)*Q80*Ramure*Pc/MaxiM</f>
        <v>1.7444694279939666E-7</v>
      </c>
      <c r="Q80" s="305">
        <f t="shared" si="28"/>
        <v>0.5</v>
      </c>
      <c r="R80" s="177">
        <f t="shared" si="29"/>
        <v>6.5904152339579802E-3</v>
      </c>
      <c r="S80" s="811">
        <f t="shared" ref="S80:S143" si="47">INDEX(Echel_vg,T80)</f>
        <v>-2</v>
      </c>
      <c r="T80" s="176">
        <f t="shared" si="30"/>
        <v>4</v>
      </c>
      <c r="U80" s="251">
        <f t="shared" si="31"/>
        <v>-1.993409584766042</v>
      </c>
      <c r="V80" s="383">
        <f t="shared" si="32"/>
        <v>46.197795439487862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6">
        <f t="shared" si="38"/>
        <v>0</v>
      </c>
      <c r="AD80" s="169">
        <f>(INDEX(Models!$BJ80:$BT80,,AH80)*(1-AF80)+INDEX(Models!$BJ80:$BT80,,AH80+1)*AF80-ERP_i)*AE80*Ramure*Pc/MaxiM</f>
        <v>1.7444694279939666E-7</v>
      </c>
      <c r="AE80" s="305">
        <f t="shared" si="39"/>
        <v>0.5</v>
      </c>
      <c r="AF80" s="177">
        <f t="shared" si="40"/>
        <v>6.5904152339579802E-3</v>
      </c>
      <c r="AG80" s="811">
        <f t="shared" si="41"/>
        <v>-2</v>
      </c>
      <c r="AH80" s="176">
        <f t="shared" si="42"/>
        <v>4</v>
      </c>
      <c r="AI80" s="225">
        <f t="shared" si="43"/>
        <v>-1.993409584766042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7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7">
        <f t="shared" si="26"/>
        <v>0</v>
      </c>
      <c r="M81" s="856"/>
      <c r="N81" s="856"/>
      <c r="O81" s="324">
        <f t="shared" si="27"/>
        <v>0</v>
      </c>
      <c r="P81" s="169">
        <f>(INDEX(Models!$BJ81:$BT81,,T81)*(1-R81)+INDEX(Models!$BJ81:$BT81,,T81+1)*R81-ERP_i)*Q81*Ramure*Pc/MaxiM</f>
        <v>1.5379742793377542E-7</v>
      </c>
      <c r="Q81" s="305">
        <f t="shared" si="28"/>
        <v>0.5</v>
      </c>
      <c r="R81" s="177">
        <f t="shared" si="29"/>
        <v>6.997085062168118E-3</v>
      </c>
      <c r="S81" s="811">
        <f t="shared" si="47"/>
        <v>-2</v>
      </c>
      <c r="T81" s="176">
        <f t="shared" si="30"/>
        <v>4</v>
      </c>
      <c r="U81" s="251">
        <f t="shared" si="31"/>
        <v>-1.9930029149378319</v>
      </c>
      <c r="V81" s="383">
        <f t="shared" si="32"/>
        <v>46.564364339948476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6">
        <f t="shared" si="38"/>
        <v>0</v>
      </c>
      <c r="AD81" s="169">
        <f>(INDEX(Models!$BJ81:$BT81,,AH81)*(1-AF81)+INDEX(Models!$BJ81:$BT81,,AH81+1)*AF81-ERP_i)*AE81*Ramure*Pc/MaxiM</f>
        <v>1.5379742793377542E-7</v>
      </c>
      <c r="AE81" s="305">
        <f t="shared" si="39"/>
        <v>0.5</v>
      </c>
      <c r="AF81" s="177">
        <f t="shared" si="40"/>
        <v>6.997085062168118E-3</v>
      </c>
      <c r="AG81" s="811">
        <f t="shared" si="41"/>
        <v>-2</v>
      </c>
      <c r="AH81" s="176">
        <f t="shared" si="42"/>
        <v>4</v>
      </c>
      <c r="AI81" s="225">
        <f t="shared" si="43"/>
        <v>-1.9930029149378319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7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7">
        <f t="shared" si="26"/>
        <v>0</v>
      </c>
      <c r="M82" s="856"/>
      <c r="N82" s="856"/>
      <c r="O82" s="324">
        <f t="shared" si="27"/>
        <v>0</v>
      </c>
      <c r="P82" s="169">
        <f>(INDEX(Models!$BJ82:$BT82,,T82)*(1-R82)+INDEX(Models!$BJ82:$BT82,,T82+1)*R82-ERP_i)*Q82*Ramure*Pc/MaxiM</f>
        <v>1.3418346670458099E-7</v>
      </c>
      <c r="Q82" s="305">
        <f t="shared" si="28"/>
        <v>0.5</v>
      </c>
      <c r="R82" s="177">
        <f t="shared" si="29"/>
        <v>7.4200994437549905E-3</v>
      </c>
      <c r="S82" s="811">
        <f t="shared" si="47"/>
        <v>-2</v>
      </c>
      <c r="T82" s="176">
        <f t="shared" si="30"/>
        <v>4</v>
      </c>
      <c r="U82" s="251">
        <f t="shared" si="31"/>
        <v>-1.992579900556245</v>
      </c>
      <c r="V82" s="383">
        <f t="shared" si="32"/>
        <v>46.931291078682072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6">
        <f t="shared" si="38"/>
        <v>0</v>
      </c>
      <c r="AD82" s="169">
        <f>(INDEX(Models!$BJ82:$BT82,,AH82)*(1-AF82)+INDEX(Models!$BJ82:$BT82,,AH82+1)*AF82-ERP_i)*AE82*Ramure*Pc/MaxiM</f>
        <v>1.3418346670458099E-7</v>
      </c>
      <c r="AE82" s="305">
        <f t="shared" si="39"/>
        <v>0.5</v>
      </c>
      <c r="AF82" s="177">
        <f t="shared" si="40"/>
        <v>7.4200994437549905E-3</v>
      </c>
      <c r="AG82" s="811">
        <f t="shared" si="41"/>
        <v>-2</v>
      </c>
      <c r="AH82" s="176">
        <f t="shared" si="42"/>
        <v>4</v>
      </c>
      <c r="AI82" s="225">
        <f t="shared" si="43"/>
        <v>-1.992579900556245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7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7">
        <f t="shared" si="26"/>
        <v>0</v>
      </c>
      <c r="M83" s="856"/>
      <c r="N83" s="856"/>
      <c r="O83" s="324">
        <f t="shared" si="27"/>
        <v>0</v>
      </c>
      <c r="P83" s="169">
        <f>(INDEX(Models!$BJ83:$BT83,,T83)*(1-R83)+INDEX(Models!$BJ83:$BT83,,T83+1)*R83-ERP_i)*Q83*Ramure*Pc/MaxiM</f>
        <v>1.1582819885022864E-7</v>
      </c>
      <c r="Q83" s="305">
        <f t="shared" si="28"/>
        <v>0.5</v>
      </c>
      <c r="R83" s="177">
        <f t="shared" si="29"/>
        <v>7.8600847350918102E-3</v>
      </c>
      <c r="S83" s="811">
        <f t="shared" si="47"/>
        <v>-2</v>
      </c>
      <c r="T83" s="176">
        <f t="shared" si="30"/>
        <v>4</v>
      </c>
      <c r="U83" s="251">
        <f t="shared" si="31"/>
        <v>-1.9921399152649082</v>
      </c>
      <c r="V83" s="383">
        <f t="shared" si="32"/>
        <v>47.29836092093764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6">
        <f t="shared" si="38"/>
        <v>0</v>
      </c>
      <c r="AD83" s="169">
        <f>(INDEX(Models!$BJ83:$BT83,,AH83)*(1-AF83)+INDEX(Models!$BJ83:$BT83,,AH83+1)*AF83-ERP_i)*AE83*Ramure*Pc/MaxiM</f>
        <v>1.1582819885022864E-7</v>
      </c>
      <c r="AE83" s="305">
        <f t="shared" si="39"/>
        <v>0.5</v>
      </c>
      <c r="AF83" s="177">
        <f t="shared" si="40"/>
        <v>7.8600847350918102E-3</v>
      </c>
      <c r="AG83" s="811">
        <f t="shared" si="41"/>
        <v>-2</v>
      </c>
      <c r="AH83" s="176">
        <f t="shared" si="42"/>
        <v>4</v>
      </c>
      <c r="AI83" s="225">
        <f t="shared" si="43"/>
        <v>-1.9921399152649082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7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7">
        <f t="shared" si="26"/>
        <v>0</v>
      </c>
      <c r="M84" s="856"/>
      <c r="N84" s="856"/>
      <c r="O84" s="324">
        <f t="shared" si="27"/>
        <v>0</v>
      </c>
      <c r="P84" s="169">
        <f>(INDEX(Models!$BJ84:$BT84,,T84)*(1-R84)+INDEX(Models!$BJ84:$BT84,,T84+1)*R84-ERP_i)*Q84*Ramure*Pc/MaxiM</f>
        <v>9.8970926949630253E-8</v>
      </c>
      <c r="Q84" s="305">
        <f t="shared" si="28"/>
        <v>0.5</v>
      </c>
      <c r="R84" s="177">
        <f t="shared" si="29"/>
        <v>8.3176887427565127E-3</v>
      </c>
      <c r="S84" s="811">
        <f t="shared" si="47"/>
        <v>-2</v>
      </c>
      <c r="T84" s="176">
        <f t="shared" si="30"/>
        <v>4</v>
      </c>
      <c r="U84" s="251">
        <f t="shared" si="31"/>
        <v>-1.9916823112572435</v>
      </c>
      <c r="V84" s="383">
        <f t="shared" si="32"/>
        <v>47.665359130908747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6">
        <f t="shared" si="38"/>
        <v>0</v>
      </c>
      <c r="AD84" s="169">
        <f>(INDEX(Models!$BJ84:$BT84,,AH84)*(1-AF84)+INDEX(Models!$BJ84:$BT84,,AH84+1)*AF84-ERP_i)*AE84*Ramure*Pc/MaxiM</f>
        <v>9.8970926949630253E-8</v>
      </c>
      <c r="AE84" s="305">
        <f t="shared" si="39"/>
        <v>0.5</v>
      </c>
      <c r="AF84" s="177">
        <f t="shared" si="40"/>
        <v>8.3176887427565127E-3</v>
      </c>
      <c r="AG84" s="811">
        <f t="shared" si="41"/>
        <v>-2</v>
      </c>
      <c r="AH84" s="176">
        <f t="shared" si="42"/>
        <v>4</v>
      </c>
      <c r="AI84" s="225">
        <f t="shared" si="43"/>
        <v>-1.9916823112572435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7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7">
        <f t="shared" si="26"/>
        <v>0</v>
      </c>
      <c r="M85" s="856"/>
      <c r="N85" s="856"/>
      <c r="O85" s="324">
        <f t="shared" si="27"/>
        <v>0</v>
      </c>
      <c r="P85" s="169">
        <f>(INDEX(Models!$BJ85:$BT85,,T85)*(1-R85)+INDEX(Models!$BJ85:$BT85,,T85+1)*R85-ERP_i)*Q85*Ramure*Pc/MaxiM</f>
        <v>8.3868250469578721E-8</v>
      </c>
      <c r="Q85" s="305">
        <f t="shared" si="28"/>
        <v>0.5</v>
      </c>
      <c r="R85" s="177">
        <f t="shared" si="29"/>
        <v>8.7935812421118253E-3</v>
      </c>
      <c r="S85" s="811">
        <f t="shared" si="47"/>
        <v>-2</v>
      </c>
      <c r="T85" s="176">
        <f t="shared" si="30"/>
        <v>4</v>
      </c>
      <c r="U85" s="251">
        <f t="shared" si="31"/>
        <v>-1.9912064187578882</v>
      </c>
      <c r="V85" s="383">
        <f t="shared" si="32"/>
        <v>48.032070971683275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6">
        <f t="shared" si="38"/>
        <v>0</v>
      </c>
      <c r="AD85" s="169">
        <f>(INDEX(Models!$BJ85:$BT85,,AH85)*(1-AF85)+INDEX(Models!$BJ85:$BT85,,AH85+1)*AF85-ERP_i)*AE85*Ramure*Pc/MaxiM</f>
        <v>8.3868250469578721E-8</v>
      </c>
      <c r="AE85" s="305">
        <f t="shared" si="39"/>
        <v>0.5</v>
      </c>
      <c r="AF85" s="177">
        <f t="shared" si="40"/>
        <v>8.7935812421118253E-3</v>
      </c>
      <c r="AG85" s="811">
        <f t="shared" si="41"/>
        <v>-2</v>
      </c>
      <c r="AH85" s="176">
        <f t="shared" si="42"/>
        <v>4</v>
      </c>
      <c r="AI85" s="225">
        <f t="shared" si="43"/>
        <v>-1.9912064187578882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7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7">
        <f t="shared" si="26"/>
        <v>0</v>
      </c>
      <c r="M86" s="856"/>
      <c r="N86" s="856"/>
      <c r="O86" s="324">
        <f t="shared" si="27"/>
        <v>0</v>
      </c>
      <c r="P86" s="169">
        <f>(INDEX(Models!$BJ86:$BT86,,T86)*(1-R86)+INDEX(Models!$BJ86:$BT86,,T86+1)*R86-ERP_i)*Q86*Ramure*Pc/MaxiM</f>
        <v>7.0759510619007882E-8</v>
      </c>
      <c r="Q86" s="305">
        <f t="shared" si="28"/>
        <v>0.5</v>
      </c>
      <c r="R86" s="177">
        <f t="shared" si="29"/>
        <v>9.2884544889575427E-3</v>
      </c>
      <c r="S86" s="811">
        <f t="shared" si="47"/>
        <v>-2</v>
      </c>
      <c r="T86" s="176">
        <f t="shared" si="30"/>
        <v>4</v>
      </c>
      <c r="U86" s="251">
        <f t="shared" si="31"/>
        <v>-1.9907115455110425</v>
      </c>
      <c r="V86" s="383">
        <f t="shared" si="32"/>
        <v>48.398281706637633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6">
        <f t="shared" si="38"/>
        <v>0</v>
      </c>
      <c r="AD86" s="169">
        <f>(INDEX(Models!$BJ86:$BT86,,AH86)*(1-AF86)+INDEX(Models!$BJ86:$BT86,,AH86+1)*AF86-ERP_i)*AE86*Ramure*Pc/MaxiM</f>
        <v>7.0759510619007882E-8</v>
      </c>
      <c r="AE86" s="305">
        <f t="shared" si="39"/>
        <v>0.5</v>
      </c>
      <c r="AF86" s="177">
        <f t="shared" si="40"/>
        <v>9.2884544889575427E-3</v>
      </c>
      <c r="AG86" s="811">
        <f t="shared" si="41"/>
        <v>-2</v>
      </c>
      <c r="AH86" s="176">
        <f t="shared" si="42"/>
        <v>4</v>
      </c>
      <c r="AI86" s="225">
        <f t="shared" si="43"/>
        <v>-1.9907115455110425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7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7">
        <f t="shared" si="26"/>
        <v>0</v>
      </c>
      <c r="M87" s="856"/>
      <c r="N87" s="856"/>
      <c r="O87" s="324">
        <f t="shared" si="27"/>
        <v>0</v>
      </c>
      <c r="P87" s="169">
        <f>(INDEX(Models!$BJ87:$BT87,,T87)*(1-R87)+INDEX(Models!$BJ87:$BT87,,T87+1)*R87-ERP_i)*Q87*Ramure*Pc/MaxiM</f>
        <v>5.8563557410872821E-8</v>
      </c>
      <c r="Q87" s="305">
        <f t="shared" si="28"/>
        <v>0.5</v>
      </c>
      <c r="R87" s="177">
        <f t="shared" si="29"/>
        <v>9.8030237219952632E-3</v>
      </c>
      <c r="S87" s="811">
        <f t="shared" si="47"/>
        <v>-2</v>
      </c>
      <c r="T87" s="176">
        <f t="shared" si="30"/>
        <v>4</v>
      </c>
      <c r="U87" s="251">
        <f t="shared" si="31"/>
        <v>-1.9901969762780047</v>
      </c>
      <c r="V87" s="383">
        <f t="shared" si="32"/>
        <v>48.763776663131296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6">
        <f t="shared" si="38"/>
        <v>0</v>
      </c>
      <c r="AD87" s="169">
        <f>(INDEX(Models!$BJ87:$BT87,,AH87)*(1-AF87)+INDEX(Models!$BJ87:$BT87,,AH87+1)*AF87-ERP_i)*AE87*Ramure*Pc/MaxiM</f>
        <v>5.8563557410872821E-8</v>
      </c>
      <c r="AE87" s="305">
        <f t="shared" si="39"/>
        <v>0.5</v>
      </c>
      <c r="AF87" s="177">
        <f t="shared" si="40"/>
        <v>9.8030237219952632E-3</v>
      </c>
      <c r="AG87" s="811">
        <f t="shared" si="41"/>
        <v>-2</v>
      </c>
      <c r="AH87" s="176">
        <f t="shared" si="42"/>
        <v>4</v>
      </c>
      <c r="AI87" s="225">
        <f t="shared" si="43"/>
        <v>-1.9901969762780047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7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7">
        <f t="shared" si="26"/>
        <v>0</v>
      </c>
      <c r="M88" s="856"/>
      <c r="N88" s="856"/>
      <c r="O88" s="324">
        <f t="shared" si="27"/>
        <v>0</v>
      </c>
      <c r="P88" s="169">
        <f>(INDEX(Models!$BJ88:$BT88,,T88)*(1-R88)+INDEX(Models!$BJ88:$BT88,,T88+1)*R88-ERP_i)*Q88*Ramure*Pc/MaxiM</f>
        <v>4.744141382850744E-8</v>
      </c>
      <c r="Q88" s="305">
        <f t="shared" si="28"/>
        <v>0.5</v>
      </c>
      <c r="R88" s="177">
        <f t="shared" si="29"/>
        <v>1.0338027653626902E-2</v>
      </c>
      <c r="S88" s="811">
        <f t="shared" si="47"/>
        <v>-2</v>
      </c>
      <c r="T88" s="176">
        <f t="shared" si="30"/>
        <v>4</v>
      </c>
      <c r="U88" s="251">
        <f t="shared" si="31"/>
        <v>-1.9896619723463731</v>
      </c>
      <c r="V88" s="383">
        <f t="shared" si="32"/>
        <v>49.12834110941521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6">
        <f t="shared" si="38"/>
        <v>0</v>
      </c>
      <c r="AD88" s="169">
        <f>(INDEX(Models!$BJ88:$BT88,,AH88)*(1-AF88)+INDEX(Models!$BJ88:$BT88,,AH88+1)*AF88-ERP_i)*AE88*Ramure*Pc/MaxiM</f>
        <v>4.744141382850744E-8</v>
      </c>
      <c r="AE88" s="305">
        <f t="shared" si="39"/>
        <v>0.5</v>
      </c>
      <c r="AF88" s="177">
        <f t="shared" si="40"/>
        <v>1.0338027653626902E-2</v>
      </c>
      <c r="AG88" s="811">
        <f t="shared" si="41"/>
        <v>-2</v>
      </c>
      <c r="AH88" s="176">
        <f t="shared" si="42"/>
        <v>4</v>
      </c>
      <c r="AI88" s="225">
        <f t="shared" si="43"/>
        <v>-1.9896619723463731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7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7">
        <f t="shared" si="26"/>
        <v>0</v>
      </c>
      <c r="M89" s="856"/>
      <c r="N89" s="856"/>
      <c r="O89" s="324">
        <f t="shared" si="27"/>
        <v>0</v>
      </c>
      <c r="P89" s="169">
        <f>(INDEX(Models!$BJ89:$BT89,,T89)*(1-R89)+INDEX(Models!$BJ89:$BT89,,T89+1)*R89-ERP_i)*Q89*Ramure*Pc/MaxiM</f>
        <v>3.7566086589559238E-8</v>
      </c>
      <c r="Q89" s="305">
        <f t="shared" si="28"/>
        <v>0.5</v>
      </c>
      <c r="R89" s="177">
        <f t="shared" si="29"/>
        <v>1.0894228946398687E-2</v>
      </c>
      <c r="S89" s="811">
        <f t="shared" si="47"/>
        <v>-2</v>
      </c>
      <c r="T89" s="176">
        <f t="shared" si="30"/>
        <v>4</v>
      </c>
      <c r="U89" s="251">
        <f t="shared" si="31"/>
        <v>-1.9891057710536013</v>
      </c>
      <c r="V89" s="383">
        <f t="shared" si="32"/>
        <v>49.491760312871762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6">
        <f t="shared" si="38"/>
        <v>0</v>
      </c>
      <c r="AD89" s="169">
        <f>(INDEX(Models!$BJ89:$BT89,,AH89)*(1-AF89)+INDEX(Models!$BJ89:$BT89,,AH89+1)*AF89-ERP_i)*AE89*Ramure*Pc/MaxiM</f>
        <v>3.7566086589559238E-8</v>
      </c>
      <c r="AE89" s="305">
        <f t="shared" si="39"/>
        <v>0.5</v>
      </c>
      <c r="AF89" s="177">
        <f t="shared" si="40"/>
        <v>1.0894228946398687E-2</v>
      </c>
      <c r="AG89" s="811">
        <f t="shared" si="41"/>
        <v>-2</v>
      </c>
      <c r="AH89" s="176">
        <f t="shared" si="42"/>
        <v>4</v>
      </c>
      <c r="AI89" s="225">
        <f t="shared" si="43"/>
        <v>-1.9891057710536013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7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7">
        <f t="shared" si="26"/>
        <v>0</v>
      </c>
      <c r="M90" s="856"/>
      <c r="N90" s="856"/>
      <c r="O90" s="324">
        <f t="shared" si="27"/>
        <v>0</v>
      </c>
      <c r="P90" s="169">
        <f>(INDEX(Models!$BJ90:$BT90,,T90)*(1-R90)+INDEX(Models!$BJ90:$BT90,,T90+1)*R90-ERP_i)*Q90*Ramure*Pc/MaxiM</f>
        <v>2.9123447703036386E-8</v>
      </c>
      <c r="Q90" s="305">
        <f t="shared" si="28"/>
        <v>0.5</v>
      </c>
      <c r="R90" s="177">
        <f t="shared" si="29"/>
        <v>1.1472414672162978E-2</v>
      </c>
      <c r="S90" s="811">
        <f t="shared" si="47"/>
        <v>-2</v>
      </c>
      <c r="T90" s="176">
        <f t="shared" si="30"/>
        <v>4</v>
      </c>
      <c r="U90" s="251">
        <f t="shared" si="31"/>
        <v>-1.988527585327837</v>
      </c>
      <c r="V90" s="383">
        <f t="shared" si="32"/>
        <v>49.853819539403062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6">
        <f t="shared" si="38"/>
        <v>0</v>
      </c>
      <c r="AD90" s="169">
        <f>(INDEX(Models!$BJ90:$BT90,,AH90)*(1-AF90)+INDEX(Models!$BJ90:$BT90,,AH90+1)*AF90-ERP_i)*AE90*Ramure*Pc/MaxiM</f>
        <v>2.9123447703036386E-8</v>
      </c>
      <c r="AE90" s="305">
        <f t="shared" si="39"/>
        <v>0.5</v>
      </c>
      <c r="AF90" s="177">
        <f t="shared" si="40"/>
        <v>1.1472414672162978E-2</v>
      </c>
      <c r="AG90" s="811">
        <f t="shared" si="41"/>
        <v>-2</v>
      </c>
      <c r="AH90" s="176">
        <f t="shared" si="42"/>
        <v>4</v>
      </c>
      <c r="AI90" s="225">
        <f t="shared" si="43"/>
        <v>-1.988527585327837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7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7">
        <f t="shared" si="26"/>
        <v>0</v>
      </c>
      <c r="M91" s="856"/>
      <c r="N91" s="856"/>
      <c r="O91" s="324">
        <f t="shared" si="27"/>
        <v>0</v>
      </c>
      <c r="P91" s="169">
        <f>(INDEX(Models!$BJ91:$BT91,,T91)*(1-R91)+INDEX(Models!$BJ91:$BT91,,T91+1)*R91-ERP_i)*Q91*Ramure*Pc/MaxiM</f>
        <v>2.2313185590197343E-8</v>
      </c>
      <c r="Q91" s="305">
        <f t="shared" si="28"/>
        <v>0.5</v>
      </c>
      <c r="R91" s="177">
        <f t="shared" si="29"/>
        <v>1.2073396750788445E-2</v>
      </c>
      <c r="S91" s="811">
        <f t="shared" si="47"/>
        <v>-2</v>
      </c>
      <c r="T91" s="176">
        <f t="shared" si="30"/>
        <v>4</v>
      </c>
      <c r="U91" s="251">
        <f t="shared" si="31"/>
        <v>-1.9879266032492116</v>
      </c>
      <c r="V91" s="383">
        <f t="shared" si="32"/>
        <v>50.214304054656971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6">
        <f t="shared" si="38"/>
        <v>0</v>
      </c>
      <c r="AD91" s="169">
        <f>(INDEX(Models!$BJ91:$BT91,,AH91)*(1-AF91)+INDEX(Models!$BJ91:$BT91,,AH91+1)*AF91-ERP_i)*AE91*Ramure*Pc/MaxiM</f>
        <v>2.2313185590197343E-8</v>
      </c>
      <c r="AE91" s="305">
        <f t="shared" si="39"/>
        <v>0.5</v>
      </c>
      <c r="AF91" s="177">
        <f t="shared" si="40"/>
        <v>1.2073396750788445E-2</v>
      </c>
      <c r="AG91" s="811">
        <f t="shared" si="41"/>
        <v>-2</v>
      </c>
      <c r="AH91" s="176">
        <f t="shared" si="42"/>
        <v>4</v>
      </c>
      <c r="AI91" s="225">
        <f t="shared" si="43"/>
        <v>-1.9879266032492116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7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7">
        <f t="shared" si="26"/>
        <v>0</v>
      </c>
      <c r="M92" s="856"/>
      <c r="N92" s="856"/>
      <c r="O92" s="324">
        <f t="shared" si="27"/>
        <v>0</v>
      </c>
      <c r="P92" s="169">
        <f>(INDEX(Models!$BJ92:$BT92,,T92)*(1-R92)+INDEX(Models!$BJ92:$BT92,,T92+1)*R92-ERP_i)*Q92*Ramure*Pc/MaxiM</f>
        <v>1.7349830638845946E-8</v>
      </c>
      <c r="Q92" s="305">
        <f t="shared" si="28"/>
        <v>0.5</v>
      </c>
      <c r="R92" s="177">
        <f t="shared" si="29"/>
        <v>1.2698012364994904E-2</v>
      </c>
      <c r="S92" s="811">
        <f t="shared" si="47"/>
        <v>-2</v>
      </c>
      <c r="T92" s="176">
        <f t="shared" si="30"/>
        <v>4</v>
      </c>
      <c r="U92" s="251">
        <f t="shared" si="31"/>
        <v>-1.9873019876350051</v>
      </c>
      <c r="V92" s="383">
        <f t="shared" si="32"/>
        <v>50.572999122239189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6">
        <f t="shared" si="38"/>
        <v>0</v>
      </c>
      <c r="AD92" s="169">
        <f>(INDEX(Models!$BJ92:$BT92,,AH92)*(1-AF92)+INDEX(Models!$BJ92:$BT92,,AH92+1)*AF92-ERP_i)*AE92*Ramure*Pc/MaxiM</f>
        <v>1.7349830638845946E-8</v>
      </c>
      <c r="AE92" s="305">
        <f t="shared" si="39"/>
        <v>0.5</v>
      </c>
      <c r="AF92" s="177">
        <f t="shared" si="40"/>
        <v>1.2698012364994904E-2</v>
      </c>
      <c r="AG92" s="811">
        <f t="shared" si="41"/>
        <v>-2</v>
      </c>
      <c r="AH92" s="176">
        <f t="shared" si="42"/>
        <v>4</v>
      </c>
      <c r="AI92" s="225">
        <f t="shared" si="43"/>
        <v>-1.9873019876350051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7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7">
        <f t="shared" si="26"/>
        <v>0</v>
      </c>
      <c r="M93" s="856"/>
      <c r="N93" s="856"/>
      <c r="O93" s="324">
        <f t="shared" si="27"/>
        <v>0</v>
      </c>
      <c r="P93" s="169">
        <f>(INDEX(Models!$BJ93:$BT93,,T93)*(1-R93)+INDEX(Models!$BJ93:$BT93,,T93+1)*R93-ERP_i)*Q93*Ramure*Pc/MaxiM</f>
        <v>1.4463047712914037E-8</v>
      </c>
      <c r="Q93" s="305">
        <f t="shared" si="28"/>
        <v>0.5</v>
      </c>
      <c r="R93" s="177">
        <f t="shared" si="29"/>
        <v>1.3347124347616424E-2</v>
      </c>
      <c r="S93" s="811">
        <f t="shared" si="47"/>
        <v>-2</v>
      </c>
      <c r="T93" s="176">
        <f t="shared" si="30"/>
        <v>4</v>
      </c>
      <c r="U93" s="251">
        <f t="shared" si="31"/>
        <v>-1.9866528756523836</v>
      </c>
      <c r="V93" s="383">
        <f t="shared" si="32"/>
        <v>50.932552980481525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6">
        <f t="shared" si="38"/>
        <v>0</v>
      </c>
      <c r="AD93" s="169">
        <f>(INDEX(Models!$BJ93:$BT93,,AH93)*(1-AF93)+INDEX(Models!$BJ93:$BT93,,AH93+1)*AF93-ERP_i)*AE93*Ramure*Pc/MaxiM</f>
        <v>1.4463047712914037E-8</v>
      </c>
      <c r="AE93" s="305">
        <f t="shared" si="39"/>
        <v>0.5</v>
      </c>
      <c r="AF93" s="177">
        <f t="shared" si="40"/>
        <v>1.3347124347616424E-2</v>
      </c>
      <c r="AG93" s="811">
        <f t="shared" si="41"/>
        <v>-2</v>
      </c>
      <c r="AH93" s="176">
        <f t="shared" si="42"/>
        <v>4</v>
      </c>
      <c r="AI93" s="225">
        <f t="shared" si="43"/>
        <v>-1.9866528756523836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7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7">
        <f t="shared" si="26"/>
        <v>0</v>
      </c>
      <c r="M94" s="856"/>
      <c r="N94" s="856"/>
      <c r="O94" s="324">
        <f t="shared" si="27"/>
        <v>0</v>
      </c>
      <c r="P94" s="169">
        <f>(INDEX(Models!$BJ94:$BT94,,T94)*(1-R94)+INDEX(Models!$BJ94:$BT94,,T94+1)*R94-ERP_i)*Q94*Ramure*Pc/MaxiM</f>
        <v>1.3959517007245869E-8</v>
      </c>
      <c r="Q94" s="305">
        <f t="shared" si="28"/>
        <v>0.5</v>
      </c>
      <c r="R94" s="177">
        <f t="shared" si="29"/>
        <v>1.4021621537316786E-2</v>
      </c>
      <c r="S94" s="811">
        <f t="shared" si="47"/>
        <v>-2</v>
      </c>
      <c r="T94" s="176">
        <f t="shared" si="30"/>
        <v>4</v>
      </c>
      <c r="U94" s="251">
        <f t="shared" si="31"/>
        <v>-1.9859783784626832</v>
      </c>
      <c r="V94" s="383">
        <f t="shared" si="32"/>
        <v>51.295041266562691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6">
        <f t="shared" si="38"/>
        <v>0</v>
      </c>
      <c r="AD94" s="169">
        <f>(INDEX(Models!$BJ94:$BT94,,AH94)*(1-AF94)+INDEX(Models!$BJ94:$BT94,,AH94+1)*AF94-ERP_i)*AE94*Ramure*Pc/MaxiM</f>
        <v>1.3959517007245869E-8</v>
      </c>
      <c r="AE94" s="305">
        <f t="shared" si="39"/>
        <v>0.5</v>
      </c>
      <c r="AF94" s="177">
        <f t="shared" si="40"/>
        <v>1.4021621537316786E-2</v>
      </c>
      <c r="AG94" s="811">
        <f t="shared" si="41"/>
        <v>-2</v>
      </c>
      <c r="AH94" s="176">
        <f t="shared" si="42"/>
        <v>4</v>
      </c>
      <c r="AI94" s="225">
        <f t="shared" si="43"/>
        <v>-1.9859783784626832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7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7">
        <f t="shared" si="26"/>
        <v>0</v>
      </c>
      <c r="M95" s="856"/>
      <c r="N95" s="856"/>
      <c r="O95" s="324">
        <f t="shared" si="27"/>
        <v>0</v>
      </c>
      <c r="P95" s="169">
        <f>(INDEX(Models!$BJ95:$BT95,,T95)*(1-R95)+INDEX(Models!$BJ95:$BT95,,T95+1)*R95-ERP_i)*Q95*Ramure*Pc/MaxiM</f>
        <v>1.3390949514054627E-8</v>
      </c>
      <c r="Q95" s="305">
        <f t="shared" si="28"/>
        <v>0.5</v>
      </c>
      <c r="R95" s="177">
        <f t="shared" si="29"/>
        <v>1.4722419098491368E-2</v>
      </c>
      <c r="S95" s="811">
        <f t="shared" si="47"/>
        <v>-2</v>
      </c>
      <c r="T95" s="176">
        <f t="shared" si="30"/>
        <v>4</v>
      </c>
      <c r="U95" s="251">
        <f t="shared" si="31"/>
        <v>-1.9852775809015086</v>
      </c>
      <c r="V95" s="383">
        <f t="shared" si="32"/>
        <v>51.659390489482469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6">
        <f t="shared" si="38"/>
        <v>0</v>
      </c>
      <c r="AD95" s="169">
        <f>(INDEX(Models!$BJ95:$BT95,,AH95)*(1-AF95)+INDEX(Models!$BJ95:$BT95,,AH95+1)*AF95-ERP_i)*AE95*Ramure*Pc/MaxiM</f>
        <v>1.3390949514054627E-8</v>
      </c>
      <c r="AE95" s="305">
        <f t="shared" si="39"/>
        <v>0.5</v>
      </c>
      <c r="AF95" s="177">
        <f t="shared" si="40"/>
        <v>1.4722419098491368E-2</v>
      </c>
      <c r="AG95" s="811">
        <f t="shared" si="41"/>
        <v>-2</v>
      </c>
      <c r="AH95" s="176">
        <f t="shared" si="42"/>
        <v>4</v>
      </c>
      <c r="AI95" s="225">
        <f t="shared" si="43"/>
        <v>-1.9852775809015086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7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7">
        <f t="shared" si="26"/>
        <v>0</v>
      </c>
      <c r="M96" s="856"/>
      <c r="N96" s="856"/>
      <c r="O96" s="324">
        <f t="shared" si="27"/>
        <v>0</v>
      </c>
      <c r="P96" s="169">
        <f>(INDEX(Models!$BJ96:$BT96,,T96)*(1-R96)+INDEX(Models!$BJ96:$BT96,,T96+1)*R96-ERP_i)*Q96*Ramure*Pc/MaxiM</f>
        <v>1.2754845009811668E-8</v>
      </c>
      <c r="Q96" s="305">
        <f t="shared" si="28"/>
        <v>0.5</v>
      </c>
      <c r="R96" s="177">
        <f t="shared" si="29"/>
        <v>1.5450458800785993E-2</v>
      </c>
      <c r="S96" s="811">
        <f t="shared" si="47"/>
        <v>-2</v>
      </c>
      <c r="T96" s="176">
        <f t="shared" si="30"/>
        <v>4</v>
      </c>
      <c r="U96" s="251">
        <f t="shared" si="31"/>
        <v>-1.984549541199214</v>
      </c>
      <c r="V96" s="383">
        <f t="shared" si="32"/>
        <v>52.024527033700366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6">
        <f t="shared" si="38"/>
        <v>0</v>
      </c>
      <c r="AD96" s="169">
        <f>(INDEX(Models!$BJ96:$BT96,,AH96)*(1-AF96)+INDEX(Models!$BJ96:$BT96,,AH96+1)*AF96-ERP_i)*AE96*Ramure*Pc/MaxiM</f>
        <v>1.2754845009811668E-8</v>
      </c>
      <c r="AE96" s="305">
        <f t="shared" si="39"/>
        <v>0.5</v>
      </c>
      <c r="AF96" s="177">
        <f t="shared" si="40"/>
        <v>1.5450458800785993E-2</v>
      </c>
      <c r="AG96" s="811">
        <f t="shared" si="41"/>
        <v>-2</v>
      </c>
      <c r="AH96" s="176">
        <f t="shared" si="42"/>
        <v>4</v>
      </c>
      <c r="AI96" s="225">
        <f t="shared" si="43"/>
        <v>-1.984549541199214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7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7">
        <f t="shared" si="26"/>
        <v>0</v>
      </c>
      <c r="M97" s="856"/>
      <c r="N97" s="856"/>
      <c r="O97" s="324">
        <f t="shared" si="27"/>
        <v>0</v>
      </c>
      <c r="P97" s="169">
        <f>(INDEX(Models!$BJ97:$BT97,,T97)*(1-R97)+INDEX(Models!$BJ97:$BT97,,T97+1)*R97-ERP_i)*Q97*Ramure*Pc/MaxiM</f>
        <v>1.2048507430346505E-8</v>
      </c>
      <c r="Q97" s="305">
        <f t="shared" si="28"/>
        <v>0.5</v>
      </c>
      <c r="R97" s="177">
        <f t="shared" si="29"/>
        <v>1.6206709253345775E-2</v>
      </c>
      <c r="S97" s="811">
        <f t="shared" si="47"/>
        <v>-2</v>
      </c>
      <c r="T97" s="176">
        <f t="shared" si="30"/>
        <v>4</v>
      </c>
      <c r="U97" s="251">
        <f t="shared" si="31"/>
        <v>-1.9837932907466542</v>
      </c>
      <c r="V97" s="383">
        <f t="shared" si="32"/>
        <v>52.389377285084464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6">
        <f t="shared" si="38"/>
        <v>0</v>
      </c>
      <c r="AD97" s="169">
        <f>(INDEX(Models!$BJ97:$BT97,,AH97)*(1-AF97)+INDEX(Models!$BJ97:$BT97,,AH97+1)*AF97-ERP_i)*AE97*Ramure*Pc/MaxiM</f>
        <v>1.2048507430346505E-8</v>
      </c>
      <c r="AE97" s="305">
        <f t="shared" si="39"/>
        <v>0.5</v>
      </c>
      <c r="AF97" s="177">
        <f t="shared" si="40"/>
        <v>1.6206709253345775E-2</v>
      </c>
      <c r="AG97" s="811">
        <f t="shared" si="41"/>
        <v>-2</v>
      </c>
      <c r="AH97" s="176">
        <f t="shared" si="42"/>
        <v>4</v>
      </c>
      <c r="AI97" s="225">
        <f t="shared" si="43"/>
        <v>-1.9837932907466542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7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7">
        <f t="shared" si="26"/>
        <v>0</v>
      </c>
      <c r="M98" s="856"/>
      <c r="N98" s="856"/>
      <c r="O98" s="324">
        <f t="shared" si="27"/>
        <v>0</v>
      </c>
      <c r="P98" s="169">
        <f>(INDEX(Models!$BJ98:$BT98,,T98)*(1-R98)+INDEX(Models!$BJ98:$BT98,,T98+1)*R98-ERP_i)*Q98*Ramure*Pc/MaxiM</f>
        <v>1.1269025926029549E-8</v>
      </c>
      <c r="Q98" s="305">
        <f t="shared" si="28"/>
        <v>0.5</v>
      </c>
      <c r="R98" s="177">
        <f t="shared" si="29"/>
        <v>1.6992166088592997E-2</v>
      </c>
      <c r="S98" s="811">
        <f t="shared" si="47"/>
        <v>-2</v>
      </c>
      <c r="T98" s="176">
        <f t="shared" si="30"/>
        <v>4</v>
      </c>
      <c r="U98" s="251">
        <f t="shared" si="31"/>
        <v>-1.983007833911407</v>
      </c>
      <c r="V98" s="383">
        <f t="shared" si="32"/>
        <v>52.75286762797181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6">
        <f t="shared" si="38"/>
        <v>0</v>
      </c>
      <c r="AD98" s="169">
        <f>(INDEX(Models!$BJ98:$BT98,,AH98)*(1-AF98)+INDEX(Models!$BJ98:$BT98,,AH98+1)*AF98-ERP_i)*AE98*Ramure*Pc/MaxiM</f>
        <v>1.1269025926029549E-8</v>
      </c>
      <c r="AE98" s="305">
        <f t="shared" si="39"/>
        <v>0.5</v>
      </c>
      <c r="AF98" s="177">
        <f t="shared" si="40"/>
        <v>1.6992166088592997E-2</v>
      </c>
      <c r="AG98" s="811">
        <f t="shared" si="41"/>
        <v>-2</v>
      </c>
      <c r="AH98" s="176">
        <f t="shared" si="42"/>
        <v>4</v>
      </c>
      <c r="AI98" s="225">
        <f t="shared" si="43"/>
        <v>-1.983007833911407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7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7">
        <f t="shared" si="26"/>
        <v>0</v>
      </c>
      <c r="M99" s="856"/>
      <c r="N99" s="856"/>
      <c r="O99" s="324">
        <f t="shared" si="27"/>
        <v>0</v>
      </c>
      <c r="P99" s="169">
        <f>(INDEX(Models!$BJ99:$BT99,,T99)*(1-R99)+INDEX(Models!$BJ99:$BT99,,T99+1)*R99-ERP_i)*Q99*Ramure*Pc/MaxiM</f>
        <v>1.0413255106117048E-8</v>
      </c>
      <c r="Q99" s="305">
        <f t="shared" si="28"/>
        <v>0.5</v>
      </c>
      <c r="R99" s="177">
        <f t="shared" si="29"/>
        <v>1.780785208999669E-2</v>
      </c>
      <c r="S99" s="811">
        <f t="shared" si="47"/>
        <v>-2</v>
      </c>
      <c r="T99" s="176">
        <f t="shared" si="30"/>
        <v>4</v>
      </c>
      <c r="U99" s="251">
        <f t="shared" si="31"/>
        <v>-1.9821921479100033</v>
      </c>
      <c r="V99" s="383">
        <f t="shared" si="32"/>
        <v>53.113924447563818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6">
        <f t="shared" si="38"/>
        <v>0</v>
      </c>
      <c r="AD99" s="169">
        <f>(INDEX(Models!$BJ99:$BT99,,AH99)*(1-AF99)+INDEX(Models!$BJ99:$BT99,,AH99+1)*AF99-ERP_i)*AE99*Ramure*Pc/MaxiM</f>
        <v>1.0413255106117048E-8</v>
      </c>
      <c r="AE99" s="305">
        <f t="shared" si="39"/>
        <v>0.5</v>
      </c>
      <c r="AF99" s="177">
        <f t="shared" si="40"/>
        <v>1.780785208999669E-2</v>
      </c>
      <c r="AG99" s="811">
        <f t="shared" si="41"/>
        <v>-2</v>
      </c>
      <c r="AH99" s="176">
        <f t="shared" si="42"/>
        <v>4</v>
      </c>
      <c r="AI99" s="225">
        <f t="shared" si="43"/>
        <v>-1.9821921479100033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7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7">
        <f t="shared" si="26"/>
        <v>0</v>
      </c>
      <c r="M100" s="856"/>
      <c r="N100" s="856"/>
      <c r="O100" s="324">
        <f t="shared" si="27"/>
        <v>0</v>
      </c>
      <c r="P100" s="169">
        <f>(INDEX(Models!$BJ100:$BT100,,T100)*(1-R100)+INDEX(Models!$BJ100:$BT100,,T100+1)*R100-ERP_i)*Q100*Ramure*Pc/MaxiM</f>
        <v>9.5942597357184428E-9</v>
      </c>
      <c r="Q100" s="305">
        <f t="shared" si="28"/>
        <v>0.5</v>
      </c>
      <c r="R100" s="177">
        <f t="shared" si="29"/>
        <v>1.8654817257961254E-2</v>
      </c>
      <c r="S100" s="811">
        <f t="shared" si="47"/>
        <v>-2</v>
      </c>
      <c r="T100" s="176">
        <f t="shared" si="30"/>
        <v>4</v>
      </c>
      <c r="U100" s="251">
        <f t="shared" si="31"/>
        <v>-1.9813451827420387</v>
      </c>
      <c r="V100" s="383">
        <f t="shared" si="32"/>
        <v>53.471474123353502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6">
        <f t="shared" si="38"/>
        <v>0</v>
      </c>
      <c r="AD100" s="169">
        <f>(INDEX(Models!$BJ100:$BT100,,AH100)*(1-AF100)+INDEX(Models!$BJ100:$BT100,,AH100+1)*AF100-ERP_i)*AE100*Ramure*Pc/MaxiM</f>
        <v>9.5942597357184428E-9</v>
      </c>
      <c r="AE100" s="305">
        <f t="shared" si="39"/>
        <v>0.5</v>
      </c>
      <c r="AF100" s="177">
        <f t="shared" si="40"/>
        <v>1.8654817257961254E-2</v>
      </c>
      <c r="AG100" s="811">
        <f t="shared" si="41"/>
        <v>-2</v>
      </c>
      <c r="AH100" s="176">
        <f t="shared" si="42"/>
        <v>4</v>
      </c>
      <c r="AI100" s="225">
        <f t="shared" si="43"/>
        <v>-1.9813451827420387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7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7">
        <f t="shared" si="26"/>
        <v>0</v>
      </c>
      <c r="M101" s="856"/>
      <c r="N101" s="856"/>
      <c r="O101" s="324">
        <f t="shared" si="27"/>
        <v>0</v>
      </c>
      <c r="P101" s="169">
        <f>(INDEX(Models!$BJ101:$BT101,,T101)*(1-R101)+INDEX(Models!$BJ101:$BT101,,T101+1)*R101-ERP_i)*Q101*Ramure*Pc/MaxiM</f>
        <v>8.888581927523545E-9</v>
      </c>
      <c r="Q101" s="305">
        <f t="shared" si="28"/>
        <v>0.5</v>
      </c>
      <c r="R101" s="177">
        <f t="shared" si="29"/>
        <v>1.9534138807625556E-2</v>
      </c>
      <c r="S101" s="811">
        <f t="shared" si="47"/>
        <v>-2</v>
      </c>
      <c r="T101" s="176">
        <f t="shared" si="30"/>
        <v>4</v>
      </c>
      <c r="U101" s="251">
        <f t="shared" si="31"/>
        <v>-1.9804658611923744</v>
      </c>
      <c r="V101" s="383">
        <f t="shared" si="32"/>
        <v>53.824443035490368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6">
        <f t="shared" si="38"/>
        <v>0</v>
      </c>
      <c r="AD101" s="169">
        <f>(INDEX(Models!$BJ101:$BT101,,AH101)*(1-AF101)+INDEX(Models!$BJ101:$BT101,,AH101+1)*AF101-ERP_i)*AE101*Ramure*Pc/MaxiM</f>
        <v>8.888581927523545E-9</v>
      </c>
      <c r="AE101" s="305">
        <f t="shared" si="39"/>
        <v>0.5</v>
      </c>
      <c r="AF101" s="177">
        <f t="shared" si="40"/>
        <v>1.9534138807625556E-2</v>
      </c>
      <c r="AG101" s="811">
        <f t="shared" si="41"/>
        <v>-2</v>
      </c>
      <c r="AH101" s="176">
        <f t="shared" si="42"/>
        <v>4</v>
      </c>
      <c r="AI101" s="225">
        <f t="shared" si="43"/>
        <v>-1.9804658611923744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7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7">
        <f t="shared" si="26"/>
        <v>0</v>
      </c>
      <c r="M102" s="856"/>
      <c r="N102" s="856"/>
      <c r="O102" s="324">
        <f t="shared" si="27"/>
        <v>0</v>
      </c>
      <c r="P102" s="169">
        <f>(INDEX(Models!$BJ102:$BT102,,T102)*(1-R102)+INDEX(Models!$BJ102:$BT102,,T102+1)*R102-ERP_i)*Q102*Ramure*Pc/MaxiM</f>
        <v>8.3146310375956982E-9</v>
      </c>
      <c r="Q102" s="305">
        <f t="shared" si="28"/>
        <v>0.5</v>
      </c>
      <c r="R102" s="177">
        <f t="shared" si="29"/>
        <v>2.044692109201196E-2</v>
      </c>
      <c r="S102" s="811">
        <f t="shared" si="47"/>
        <v>-2</v>
      </c>
      <c r="T102" s="176">
        <f t="shared" si="30"/>
        <v>4</v>
      </c>
      <c r="U102" s="251">
        <f t="shared" si="31"/>
        <v>-1.979553078907988</v>
      </c>
      <c r="V102" s="383">
        <f t="shared" si="32"/>
        <v>54.171757567590127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6">
        <f t="shared" si="38"/>
        <v>0</v>
      </c>
      <c r="AD102" s="169">
        <f>(INDEX(Models!$BJ102:$BT102,,AH102)*(1-AF102)+INDEX(Models!$BJ102:$BT102,,AH102+1)*AF102-ERP_i)*AE102*Ramure*Pc/MaxiM</f>
        <v>8.3146310375956982E-9</v>
      </c>
      <c r="AE102" s="305">
        <f t="shared" si="39"/>
        <v>0.5</v>
      </c>
      <c r="AF102" s="177">
        <f t="shared" si="40"/>
        <v>2.044692109201196E-2</v>
      </c>
      <c r="AG102" s="811">
        <f t="shared" si="41"/>
        <v>-2</v>
      </c>
      <c r="AH102" s="176">
        <f t="shared" si="42"/>
        <v>4</v>
      </c>
      <c r="AI102" s="225">
        <f t="shared" si="43"/>
        <v>-1.979553078907988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7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7">
        <f t="shared" si="26"/>
        <v>0</v>
      </c>
      <c r="M103" s="856"/>
      <c r="N103" s="856"/>
      <c r="O103" s="324">
        <f t="shared" si="27"/>
        <v>0</v>
      </c>
      <c r="P103" s="169">
        <f>(INDEX(Models!$BJ103:$BT103,,T103)*(1-R103)+INDEX(Models!$BJ103:$BT103,,T103+1)*R103-ERP_i)*Q103*Ramure*Pc/MaxiM</f>
        <v>7.892254596466768E-9</v>
      </c>
      <c r="Q103" s="305">
        <f t="shared" si="28"/>
        <v>0.5</v>
      </c>
      <c r="R103" s="177">
        <f t="shared" si="29"/>
        <v>2.139429544363014E-2</v>
      </c>
      <c r="S103" s="811">
        <f t="shared" si="47"/>
        <v>-2</v>
      </c>
      <c r="T103" s="176">
        <f t="shared" si="30"/>
        <v>4</v>
      </c>
      <c r="U103" s="251">
        <f t="shared" si="31"/>
        <v>-1.9786057045563699</v>
      </c>
      <c r="V103" s="383">
        <f t="shared" si="32"/>
        <v>54.512344104882288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6">
        <f t="shared" si="38"/>
        <v>0</v>
      </c>
      <c r="AD103" s="169">
        <f>(INDEX(Models!$BJ103:$BT103,,AH103)*(1-AF103)+INDEX(Models!$BJ103:$BT103,,AH103+1)*AF103-ERP_i)*AE103*Ramure*Pc/MaxiM</f>
        <v>7.892254596466768E-9</v>
      </c>
      <c r="AE103" s="305">
        <f t="shared" si="39"/>
        <v>0.5</v>
      </c>
      <c r="AF103" s="177">
        <f t="shared" si="40"/>
        <v>2.139429544363014E-2</v>
      </c>
      <c r="AG103" s="811">
        <f t="shared" si="41"/>
        <v>-2</v>
      </c>
      <c r="AH103" s="176">
        <f t="shared" si="42"/>
        <v>4</v>
      </c>
      <c r="AI103" s="225">
        <f t="shared" si="43"/>
        <v>-1.9786057045563699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7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7">
        <f t="shared" si="26"/>
        <v>0</v>
      </c>
      <c r="M104" s="856"/>
      <c r="N104" s="856"/>
      <c r="O104" s="324">
        <f t="shared" si="27"/>
        <v>0</v>
      </c>
      <c r="P104" s="169">
        <f>(INDEX(Models!$BJ104:$BT104,,T104)*(1-R104)+INDEX(Models!$BJ104:$BT104,,T104+1)*R104-ERP_i)*Q104*Ramure*Pc/MaxiM</f>
        <v>7.6428853296955449E-9</v>
      </c>
      <c r="Q104" s="305">
        <f t="shared" si="28"/>
        <v>0.5</v>
      </c>
      <c r="R104" s="177">
        <f t="shared" si="29"/>
        <v>2.2377419927294584E-2</v>
      </c>
      <c r="S104" s="811">
        <f t="shared" si="47"/>
        <v>-2</v>
      </c>
      <c r="T104" s="176">
        <f t="shared" si="30"/>
        <v>4</v>
      </c>
      <c r="U104" s="251">
        <f t="shared" si="31"/>
        <v>-1.9776225800727054</v>
      </c>
      <c r="V104" s="383">
        <f t="shared" si="32"/>
        <v>54.845129029319708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6">
        <f t="shared" si="38"/>
        <v>0</v>
      </c>
      <c r="AD104" s="169">
        <f>(INDEX(Models!$BJ104:$BT104,,AH104)*(1-AF104)+INDEX(Models!$BJ104:$BT104,,AH104+1)*AF104-ERP_i)*AE104*Ramure*Pc/MaxiM</f>
        <v>7.6428853296955449E-9</v>
      </c>
      <c r="AE104" s="305">
        <f t="shared" si="39"/>
        <v>0.5</v>
      </c>
      <c r="AF104" s="177">
        <f t="shared" si="40"/>
        <v>2.2377419927294584E-2</v>
      </c>
      <c r="AG104" s="811">
        <f t="shared" si="41"/>
        <v>-2</v>
      </c>
      <c r="AH104" s="176">
        <f t="shared" si="42"/>
        <v>4</v>
      </c>
      <c r="AI104" s="225">
        <f t="shared" si="43"/>
        <v>-1.9776225800727054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7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7">
        <f t="shared" si="26"/>
        <v>0</v>
      </c>
      <c r="M105" s="856"/>
      <c r="N105" s="856"/>
      <c r="O105" s="324">
        <f t="shared" si="27"/>
        <v>0</v>
      </c>
      <c r="P105" s="169">
        <f>(INDEX(Models!$BJ105:$BT105,,T105)*(1-R105)+INDEX(Models!$BJ105:$BT105,,T105+1)*R105-ERP_i)*Q105*Ramure*Pc/MaxiM</f>
        <v>7.5897031240188717E-9</v>
      </c>
      <c r="Q105" s="305">
        <f t="shared" si="28"/>
        <v>0.5</v>
      </c>
      <c r="R105" s="177">
        <f t="shared" si="29"/>
        <v>2.3397478996579846E-2</v>
      </c>
      <c r="S105" s="811">
        <f t="shared" si="47"/>
        <v>-2</v>
      </c>
      <c r="T105" s="176">
        <f t="shared" si="30"/>
        <v>4</v>
      </c>
      <c r="U105" s="251">
        <f t="shared" si="31"/>
        <v>-1.9766025210034202</v>
      </c>
      <c r="V105" s="383">
        <f t="shared" si="32"/>
        <v>55.169038722976133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6">
        <f t="shared" si="38"/>
        <v>0</v>
      </c>
      <c r="AD105" s="169">
        <f>(INDEX(Models!$BJ105:$BT105,,AH105)*(1-AF105)+INDEX(Models!$BJ105:$BT105,,AH105+1)*AF105-ERP_i)*AE105*Ramure*Pc/MaxiM</f>
        <v>7.5897031240188717E-9</v>
      </c>
      <c r="AE105" s="305">
        <f t="shared" si="39"/>
        <v>0.5</v>
      </c>
      <c r="AF105" s="177">
        <f t="shared" si="40"/>
        <v>2.3397478996579846E-2</v>
      </c>
      <c r="AG105" s="811">
        <f t="shared" si="41"/>
        <v>-2</v>
      </c>
      <c r="AH105" s="176">
        <f t="shared" si="42"/>
        <v>4</v>
      </c>
      <c r="AI105" s="225">
        <f t="shared" si="43"/>
        <v>-1.9766025210034202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7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7">
        <f t="shared" si="26"/>
        <v>0</v>
      </c>
      <c r="M106" s="856"/>
      <c r="N106" s="856"/>
      <c r="O106" s="324">
        <f t="shared" si="27"/>
        <v>0</v>
      </c>
      <c r="P106" s="169">
        <f>(INDEX(Models!$BJ106:$BT106,,T106)*(1-R106)+INDEX(Models!$BJ106:$BT106,,T106+1)*R106-ERP_i)*Q106*Ramure*Pc/MaxiM</f>
        <v>7.7578132882321141E-9</v>
      </c>
      <c r="Q106" s="305">
        <f t="shared" si="28"/>
        <v>0.5</v>
      </c>
      <c r="R106" s="177">
        <f t="shared" si="29"/>
        <v>2.4455683046019194E-2</v>
      </c>
      <c r="S106" s="811">
        <f t="shared" si="47"/>
        <v>-2</v>
      </c>
      <c r="T106" s="176">
        <f t="shared" si="30"/>
        <v>4</v>
      </c>
      <c r="U106" s="251">
        <f t="shared" si="31"/>
        <v>-1.9755443169539808</v>
      </c>
      <c r="V106" s="383">
        <f t="shared" si="32"/>
        <v>55.482999571629605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6">
        <f t="shared" si="38"/>
        <v>0</v>
      </c>
      <c r="AD106" s="169">
        <f>(INDEX(Models!$BJ106:$BT106,,AH106)*(1-AF106)+INDEX(Models!$BJ106:$BT106,,AH106+1)*AF106-ERP_i)*AE106*Ramure*Pc/MaxiM</f>
        <v>7.7578132882321141E-9</v>
      </c>
      <c r="AE106" s="305">
        <f t="shared" si="39"/>
        <v>0.5</v>
      </c>
      <c r="AF106" s="177">
        <f t="shared" si="40"/>
        <v>2.4455683046019194E-2</v>
      </c>
      <c r="AG106" s="811">
        <f t="shared" si="41"/>
        <v>-2</v>
      </c>
      <c r="AH106" s="176">
        <f t="shared" si="42"/>
        <v>4</v>
      </c>
      <c r="AI106" s="225">
        <f t="shared" si="43"/>
        <v>-1.9755443169539808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7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7">
        <f t="shared" si="26"/>
        <v>0</v>
      </c>
      <c r="M107" s="856"/>
      <c r="N107" s="856"/>
      <c r="O107" s="324">
        <f t="shared" si="27"/>
        <v>0</v>
      </c>
      <c r="P107" s="169">
        <f>(INDEX(Models!$BJ107:$BT107,,T107)*(1-R107)+INDEX(Models!$BJ107:$BT107,,T107+1)*R107-ERP_i)*Q107*Ramure*Pc/MaxiM</f>
        <v>8.1740152656363391E-9</v>
      </c>
      <c r="Q107" s="305">
        <f t="shared" si="28"/>
        <v>0.5</v>
      </c>
      <c r="R107" s="177">
        <f t="shared" si="29"/>
        <v>2.5553267850832562E-2</v>
      </c>
      <c r="S107" s="811">
        <f t="shared" si="47"/>
        <v>-2</v>
      </c>
      <c r="T107" s="176">
        <f t="shared" si="30"/>
        <v>4</v>
      </c>
      <c r="U107" s="251">
        <f t="shared" si="31"/>
        <v>-1.9744467321491674</v>
      </c>
      <c r="V107" s="383">
        <f t="shared" si="32"/>
        <v>55.788854611195845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6">
        <f t="shared" si="38"/>
        <v>0</v>
      </c>
      <c r="AD107" s="169">
        <f>(INDEX(Models!$BJ107:$BT107,,AH107)*(1-AF107)+INDEX(Models!$BJ107:$BT107,,AH107+1)*AF107-ERP_i)*AE107*Ramure*Pc/MaxiM</f>
        <v>8.1740152656363391E-9</v>
      </c>
      <c r="AE107" s="305">
        <f t="shared" si="39"/>
        <v>0.5</v>
      </c>
      <c r="AF107" s="177">
        <f t="shared" si="40"/>
        <v>2.5553267850832562E-2</v>
      </c>
      <c r="AG107" s="811">
        <f t="shared" si="41"/>
        <v>-2</v>
      </c>
      <c r="AH107" s="176">
        <f t="shared" si="42"/>
        <v>4</v>
      </c>
      <c r="AI107" s="225">
        <f t="shared" si="43"/>
        <v>-1.9744467321491674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7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7">
        <f t="shared" si="26"/>
        <v>0</v>
      </c>
      <c r="M108" s="856"/>
      <c r="N108" s="856"/>
      <c r="O108" s="324">
        <f t="shared" si="27"/>
        <v>0</v>
      </c>
      <c r="P108" s="169">
        <f>(INDEX(Models!$BJ108:$BT108,,T108)*(1-R108)+INDEX(Models!$BJ108:$BT108,,T108+1)*R108-ERP_i)*Q108*Ramure*Pc/MaxiM</f>
        <v>9.185875115036448E-9</v>
      </c>
      <c r="Q108" s="305">
        <f t="shared" si="28"/>
        <v>0.5</v>
      </c>
      <c r="R108" s="177">
        <f t="shared" si="29"/>
        <v>2.6691493885685258E-2</v>
      </c>
      <c r="S108" s="811">
        <f t="shared" si="47"/>
        <v>-2</v>
      </c>
      <c r="T108" s="176">
        <f t="shared" si="30"/>
        <v>4</v>
      </c>
      <c r="U108" s="251">
        <f t="shared" si="31"/>
        <v>-1.9733085061143147</v>
      </c>
      <c r="V108" s="383">
        <f t="shared" si="32"/>
        <v>56.089091030754638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6">
        <f t="shared" si="38"/>
        <v>0</v>
      </c>
      <c r="AD108" s="169">
        <f>(INDEX(Models!$BJ108:$BT108,,AH108)*(1-AF108)+INDEX(Models!$BJ108:$BT108,,AH108+1)*AF108-ERP_i)*AE108*Ramure*Pc/MaxiM</f>
        <v>9.185875115036448E-9</v>
      </c>
      <c r="AE108" s="305">
        <f t="shared" si="39"/>
        <v>0.5</v>
      </c>
      <c r="AF108" s="177">
        <f t="shared" si="40"/>
        <v>2.6691493885685258E-2</v>
      </c>
      <c r="AG108" s="811">
        <f t="shared" si="41"/>
        <v>-2</v>
      </c>
      <c r="AH108" s="176">
        <f t="shared" si="42"/>
        <v>4</v>
      </c>
      <c r="AI108" s="225">
        <f t="shared" si="43"/>
        <v>-1.9733085061143147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7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7">
        <f t="shared" si="26"/>
        <v>0</v>
      </c>
      <c r="M109" s="856"/>
      <c r="N109" s="856"/>
      <c r="O109" s="324">
        <f t="shared" si="27"/>
        <v>0</v>
      </c>
      <c r="P109" s="169">
        <f>(INDEX(Models!$BJ109:$BT109,,T109)*(1-R109)+INDEX(Models!$BJ109:$BT109,,T109+1)*R109-ERP_i)*Q109*Ramure*Pc/MaxiM</f>
        <v>1.0751368965695591E-8</v>
      </c>
      <c r="Q109" s="305">
        <f t="shared" si="28"/>
        <v>0.5</v>
      </c>
      <c r="R109" s="177">
        <f t="shared" si="29"/>
        <v>2.7871645513704024E-2</v>
      </c>
      <c r="S109" s="811">
        <f t="shared" si="47"/>
        <v>-2</v>
      </c>
      <c r="T109" s="176">
        <f t="shared" si="30"/>
        <v>4</v>
      </c>
      <c r="U109" s="251">
        <f t="shared" si="31"/>
        <v>-1.972128354486296</v>
      </c>
      <c r="V109" s="383">
        <f t="shared" si="32"/>
        <v>56.383601471579112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6">
        <f t="shared" si="38"/>
        <v>0</v>
      </c>
      <c r="AD109" s="169">
        <f>(INDEX(Models!$BJ109:$BT109,,AH109)*(1-AF109)+INDEX(Models!$BJ109:$BT109,,AH109+1)*AF109-ERP_i)*AE109*Ramure*Pc/MaxiM</f>
        <v>1.0751368965695591E-8</v>
      </c>
      <c r="AE109" s="305">
        <f t="shared" si="39"/>
        <v>0.5</v>
      </c>
      <c r="AF109" s="177">
        <f t="shared" si="40"/>
        <v>2.7871645513704024E-2</v>
      </c>
      <c r="AG109" s="811">
        <f t="shared" si="41"/>
        <v>-2</v>
      </c>
      <c r="AH109" s="176">
        <f t="shared" si="42"/>
        <v>4</v>
      </c>
      <c r="AI109" s="225">
        <f t="shared" si="43"/>
        <v>-1.972128354486296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7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7">
        <f t="shared" si="26"/>
        <v>0</v>
      </c>
      <c r="M110" s="856"/>
      <c r="N110" s="856"/>
      <c r="O110" s="324">
        <f t="shared" si="27"/>
        <v>0</v>
      </c>
      <c r="P110" s="169">
        <f>(INDEX(Models!$BJ110:$BT110,,T110)*(1-R110)+INDEX(Models!$BJ110:$BT110,,T110+1)*R110-ERP_i)*Q110*Ramure*Pc/MaxiM</f>
        <v>1.2929138791811407E-8</v>
      </c>
      <c r="Q110" s="305">
        <f t="shared" si="28"/>
        <v>0.5</v>
      </c>
      <c r="R110" s="177">
        <f t="shared" si="29"/>
        <v>2.9095030036744296E-2</v>
      </c>
      <c r="S110" s="811">
        <f t="shared" si="47"/>
        <v>-2</v>
      </c>
      <c r="T110" s="176">
        <f t="shared" si="30"/>
        <v>4</v>
      </c>
      <c r="U110" s="251">
        <f t="shared" si="31"/>
        <v>-1.9709049699632557</v>
      </c>
      <c r="V110" s="383">
        <f t="shared" si="32"/>
        <v>56.672278568668418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6">
        <f t="shared" si="38"/>
        <v>0</v>
      </c>
      <c r="AD110" s="169">
        <f>(INDEX(Models!$BJ110:$BT110,,AH110)*(1-AF110)+INDEX(Models!$BJ110:$BT110,,AH110+1)*AF110-ERP_i)*AE110*Ramure*Pc/MaxiM</f>
        <v>1.2929138791811407E-8</v>
      </c>
      <c r="AE110" s="305">
        <f t="shared" si="39"/>
        <v>0.5</v>
      </c>
      <c r="AF110" s="177">
        <f t="shared" si="40"/>
        <v>2.9095030036744296E-2</v>
      </c>
      <c r="AG110" s="811">
        <f t="shared" si="41"/>
        <v>-2</v>
      </c>
      <c r="AH110" s="176">
        <f t="shared" si="42"/>
        <v>4</v>
      </c>
      <c r="AI110" s="225">
        <f t="shared" si="43"/>
        <v>-1.9709049699632557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7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7">
        <f t="shared" si="26"/>
        <v>0</v>
      </c>
      <c r="M111" s="856"/>
      <c r="N111" s="856"/>
      <c r="O111" s="324">
        <f t="shared" si="27"/>
        <v>0</v>
      </c>
      <c r="P111" s="169">
        <f>(INDEX(Models!$BJ111:$BT111,,T111)*(1-R111)+INDEX(Models!$BJ111:$BT111,,T111+1)*R111-ERP_i)*Q111*Ramure*Pc/MaxiM</f>
        <v>1.5782525070707651E-8</v>
      </c>
      <c r="Q111" s="305">
        <f t="shared" si="28"/>
        <v>0.5</v>
      </c>
      <c r="R111" s="177">
        <f t="shared" si="29"/>
        <v>3.0362976597693381E-2</v>
      </c>
      <c r="S111" s="811">
        <f t="shared" si="47"/>
        <v>-2</v>
      </c>
      <c r="T111" s="176">
        <f t="shared" si="30"/>
        <v>4</v>
      </c>
      <c r="U111" s="251">
        <f t="shared" si="31"/>
        <v>-1.9696370234023066</v>
      </c>
      <c r="V111" s="383">
        <f t="shared" si="32"/>
        <v>56.955014954419504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6">
        <f t="shared" si="38"/>
        <v>0</v>
      </c>
      <c r="AD111" s="169">
        <f>(INDEX(Models!$BJ111:$BT111,,AH111)*(1-AF111)+INDEX(Models!$BJ111:$BT111,,AH111+1)*AF111-ERP_i)*AE111*Ramure*Pc/MaxiM</f>
        <v>1.5782525070707651E-8</v>
      </c>
      <c r="AE111" s="305">
        <f t="shared" si="39"/>
        <v>0.5</v>
      </c>
      <c r="AF111" s="177">
        <f t="shared" si="40"/>
        <v>3.0362976597693381E-2</v>
      </c>
      <c r="AG111" s="811">
        <f t="shared" si="41"/>
        <v>-2</v>
      </c>
      <c r="AH111" s="176">
        <f t="shared" si="42"/>
        <v>4</v>
      </c>
      <c r="AI111" s="225">
        <f t="shared" si="43"/>
        <v>-1.9696370234023066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7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7">
        <f t="shared" si="26"/>
        <v>0</v>
      </c>
      <c r="M112" s="856"/>
      <c r="N112" s="856"/>
      <c r="O112" s="324">
        <f t="shared" si="27"/>
        <v>0</v>
      </c>
      <c r="P112" s="169">
        <f>(INDEX(Models!$BJ112:$BT112,,T112)*(1-R112)+INDEX(Models!$BJ112:$BT112,,T112+1)*R112-ERP_i)*Q112*Ramure*Pc/MaxiM</f>
        <v>1.9379906819416674E-8</v>
      </c>
      <c r="Q112" s="305">
        <f t="shared" si="28"/>
        <v>0.5</v>
      </c>
      <c r="R112" s="177">
        <f t="shared" si="29"/>
        <v>3.1676834925436825E-2</v>
      </c>
      <c r="S112" s="811">
        <f t="shared" si="47"/>
        <v>-2</v>
      </c>
      <c r="T112" s="176">
        <f t="shared" si="30"/>
        <v>4</v>
      </c>
      <c r="U112" s="251">
        <f t="shared" si="31"/>
        <v>-1.9683231650745632</v>
      </c>
      <c r="V112" s="383">
        <f t="shared" si="32"/>
        <v>57.231703265151232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6">
        <f t="shared" si="38"/>
        <v>0</v>
      </c>
      <c r="AD112" s="169">
        <f>(INDEX(Models!$BJ112:$BT112,,AH112)*(1-AF112)+INDEX(Models!$BJ112:$BT112,,AH112+1)*AF112-ERP_i)*AE112*Ramure*Pc/MaxiM</f>
        <v>1.9379906819416674E-8</v>
      </c>
      <c r="AE112" s="305">
        <f t="shared" si="39"/>
        <v>0.5</v>
      </c>
      <c r="AF112" s="177">
        <f t="shared" si="40"/>
        <v>3.1676834925436825E-2</v>
      </c>
      <c r="AG112" s="811">
        <f t="shared" si="41"/>
        <v>-2</v>
      </c>
      <c r="AH112" s="176">
        <f t="shared" si="42"/>
        <v>4</v>
      </c>
      <c r="AI112" s="225">
        <f t="shared" si="43"/>
        <v>-1.9683231650745632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7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7">
        <f t="shared" si="26"/>
        <v>0</v>
      </c>
      <c r="M113" s="856"/>
      <c r="N113" s="856"/>
      <c r="O113" s="324">
        <f t="shared" si="27"/>
        <v>0</v>
      </c>
      <c r="P113" s="169">
        <f>(INDEX(Models!$BJ113:$BT113,,T113)*(1-R113)+INDEX(Models!$BJ113:$BT113,,T113+1)*R113-ERP_i)*Q113*Ramure*Pc/MaxiM</f>
        <v>2.37950618369659E-8</v>
      </c>
      <c r="Q113" s="305">
        <f t="shared" si="28"/>
        <v>0.5</v>
      </c>
      <c r="R113" s="177">
        <f t="shared" si="29"/>
        <v>3.3037973913002894E-2</v>
      </c>
      <c r="S113" s="811">
        <f t="shared" si="47"/>
        <v>-2</v>
      </c>
      <c r="T113" s="176">
        <f t="shared" si="30"/>
        <v>4</v>
      </c>
      <c r="U113" s="251">
        <f t="shared" si="31"/>
        <v>-1.9669620260869971</v>
      </c>
      <c r="V113" s="383">
        <f t="shared" si="32"/>
        <v>57.502236131981043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6">
        <f t="shared" si="38"/>
        <v>0</v>
      </c>
      <c r="AD113" s="169">
        <f>(INDEX(Models!$BJ113:$BT113,,AH113)*(1-AF113)+INDEX(Models!$BJ113:$BT113,,AH113+1)*AF113-ERP_i)*AE113*Ramure*Pc/MaxiM</f>
        <v>2.37950618369659E-8</v>
      </c>
      <c r="AE113" s="305">
        <f t="shared" si="39"/>
        <v>0.5</v>
      </c>
      <c r="AF113" s="177">
        <f t="shared" si="40"/>
        <v>3.3037973913002894E-2</v>
      </c>
      <c r="AG113" s="811">
        <f t="shared" si="41"/>
        <v>-2</v>
      </c>
      <c r="AH113" s="176">
        <f t="shared" si="42"/>
        <v>4</v>
      </c>
      <c r="AI113" s="225">
        <f t="shared" si="43"/>
        <v>-1.9669620260869971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7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7">
        <f t="shared" si="26"/>
        <v>0</v>
      </c>
      <c r="M114" s="856"/>
      <c r="N114" s="856"/>
      <c r="O114" s="324">
        <f t="shared" si="27"/>
        <v>0</v>
      </c>
      <c r="P114" s="169">
        <f>(INDEX(Models!$BJ114:$BT114,,T114)*(1-R114)+INDEX(Models!$BJ114:$BT114,,T114+1)*R114-ERP_i)*Q114*Ramure*Pc/MaxiM</f>
        <v>3.036624960089836E-8</v>
      </c>
      <c r="Q114" s="305">
        <f t="shared" si="28"/>
        <v>0.5</v>
      </c>
      <c r="R114" s="177">
        <f t="shared" si="29"/>
        <v>3.4447780019345453E-2</v>
      </c>
      <c r="S114" s="811">
        <f t="shared" si="47"/>
        <v>-2</v>
      </c>
      <c r="T114" s="176">
        <f t="shared" si="30"/>
        <v>4</v>
      </c>
      <c r="U114" s="251">
        <f t="shared" si="31"/>
        <v>-1.9655522199806545</v>
      </c>
      <c r="V114" s="383">
        <f t="shared" si="32"/>
        <v>57.766506117828975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6">
        <f t="shared" si="38"/>
        <v>0</v>
      </c>
      <c r="AD114" s="169">
        <f>(INDEX(Models!$BJ114:$BT114,,AH114)*(1-AF114)+INDEX(Models!$BJ114:$BT114,,AH114+1)*AF114-ERP_i)*AE114*Ramure*Pc/MaxiM</f>
        <v>3.036624960089836E-8</v>
      </c>
      <c r="AE114" s="305">
        <f t="shared" si="39"/>
        <v>0.5</v>
      </c>
      <c r="AF114" s="177">
        <f t="shared" si="40"/>
        <v>3.4447780019345453E-2</v>
      </c>
      <c r="AG114" s="811">
        <f t="shared" si="41"/>
        <v>-2</v>
      </c>
      <c r="AH114" s="176">
        <f t="shared" si="42"/>
        <v>4</v>
      </c>
      <c r="AI114" s="225">
        <f t="shared" si="43"/>
        <v>-1.9655522199806545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7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7">
        <f t="shared" si="26"/>
        <v>0</v>
      </c>
      <c r="M115" s="856"/>
      <c r="N115" s="856"/>
      <c r="O115" s="324">
        <f t="shared" si="27"/>
        <v>0</v>
      </c>
      <c r="P115" s="169">
        <f>(INDEX(Models!$BJ115:$BT115,,T115)*(1-R115)+INDEX(Models!$BJ115:$BT115,,T115+1)*R115-ERP_i)*Q115*Ramure*Pc/MaxiM</f>
        <v>3.9114225241371704E-8</v>
      </c>
      <c r="Q115" s="305">
        <f t="shared" si="28"/>
        <v>0.5</v>
      </c>
      <c r="R115" s="177">
        <f t="shared" si="29"/>
        <v>3.590765548524244E-2</v>
      </c>
      <c r="S115" s="811">
        <f t="shared" si="47"/>
        <v>-2</v>
      </c>
      <c r="T115" s="176">
        <f t="shared" si="30"/>
        <v>4</v>
      </c>
      <c r="U115" s="251">
        <f t="shared" si="31"/>
        <v>-1.9640923445147576</v>
      </c>
      <c r="V115" s="383">
        <f t="shared" si="32"/>
        <v>58.024405857255537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6">
        <f t="shared" si="38"/>
        <v>0</v>
      </c>
      <c r="AD115" s="169">
        <f>(INDEX(Models!$BJ115:$BT115,,AH115)*(1-AF115)+INDEX(Models!$BJ115:$BT115,,AH115+1)*AF115-ERP_i)*AE115*Ramure*Pc/MaxiM</f>
        <v>3.9114225241371704E-8</v>
      </c>
      <c r="AE115" s="305">
        <f t="shared" si="39"/>
        <v>0.5</v>
      </c>
      <c r="AF115" s="177">
        <f t="shared" si="40"/>
        <v>3.590765548524244E-2</v>
      </c>
      <c r="AG115" s="811">
        <f t="shared" si="41"/>
        <v>-2</v>
      </c>
      <c r="AH115" s="176">
        <f t="shared" si="42"/>
        <v>4</v>
      </c>
      <c r="AI115" s="225">
        <f t="shared" si="43"/>
        <v>-1.9640923445147576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7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7">
        <f t="shared" si="26"/>
        <v>0</v>
      </c>
      <c r="M116" s="856"/>
      <c r="N116" s="856"/>
      <c r="O116" s="324">
        <f t="shared" si="27"/>
        <v>0</v>
      </c>
      <c r="P116" s="169">
        <f>(INDEX(Models!$BJ116:$BT116,,T116)*(1-R116)+INDEX(Models!$BJ116:$BT116,,T116+1)*R116-ERP_i)*Q116*Ramure*Pc/MaxiM</f>
        <v>5.0258856610785156E-8</v>
      </c>
      <c r="Q116" s="305">
        <f t="shared" si="28"/>
        <v>0.5</v>
      </c>
      <c r="R116" s="177">
        <f t="shared" si="29"/>
        <v>3.7419016353870793E-2</v>
      </c>
      <c r="S116" s="811">
        <f t="shared" si="47"/>
        <v>-2</v>
      </c>
      <c r="T116" s="176">
        <f t="shared" si="30"/>
        <v>4</v>
      </c>
      <c r="U116" s="251">
        <f t="shared" si="31"/>
        <v>-1.9625809836461292</v>
      </c>
      <c r="V116" s="383">
        <f t="shared" si="32"/>
        <v>58.275827974985575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6">
        <f t="shared" si="38"/>
        <v>0</v>
      </c>
      <c r="AD116" s="169">
        <f>(INDEX(Models!$BJ116:$BT116,,AH116)*(1-AF116)+INDEX(Models!$BJ116:$BT116,,AH116+1)*AF116-ERP_i)*AE116*Ramure*Pc/MaxiM</f>
        <v>5.0258856610785156E-8</v>
      </c>
      <c r="AE116" s="305">
        <f t="shared" si="39"/>
        <v>0.5</v>
      </c>
      <c r="AF116" s="177">
        <f t="shared" si="40"/>
        <v>3.7419016353870793E-2</v>
      </c>
      <c r="AG116" s="811">
        <f t="shared" si="41"/>
        <v>-2</v>
      </c>
      <c r="AH116" s="176">
        <f t="shared" si="42"/>
        <v>4</v>
      </c>
      <c r="AI116" s="225">
        <f t="shared" si="43"/>
        <v>-1.9625809836461292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7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7">
        <f t="shared" si="26"/>
        <v>0</v>
      </c>
      <c r="M117" s="856"/>
      <c r="N117" s="856"/>
      <c r="O117" s="324">
        <f t="shared" si="27"/>
        <v>0</v>
      </c>
      <c r="P117" s="169">
        <f>(INDEX(Models!$BJ117:$BT117,,T117)*(1-R117)+INDEX(Models!$BJ117:$BT117,,T117+1)*R117-ERP_i)*Q117*Ramure*Pc/MaxiM</f>
        <v>6.4037545302240121E-8</v>
      </c>
      <c r="Q117" s="305">
        <f t="shared" si="28"/>
        <v>0.5</v>
      </c>
      <c r="R117" s="177">
        <f t="shared" si="29"/>
        <v>3.8983290286792371E-2</v>
      </c>
      <c r="S117" s="811">
        <f t="shared" si="47"/>
        <v>-2</v>
      </c>
      <c r="T117" s="176">
        <f t="shared" si="30"/>
        <v>4</v>
      </c>
      <c r="U117" s="251">
        <f t="shared" si="31"/>
        <v>-1.9610167097132076</v>
      </c>
      <c r="V117" s="383">
        <f t="shared" si="32"/>
        <v>58.520665093793049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6">
        <f t="shared" si="38"/>
        <v>0</v>
      </c>
      <c r="AD117" s="169">
        <f>(INDEX(Models!$BJ117:$BT117,,AH117)*(1-AF117)+INDEX(Models!$BJ117:$BT117,,AH117+1)*AF117-ERP_i)*AE117*Ramure*Pc/MaxiM</f>
        <v>6.4037545302240121E-8</v>
      </c>
      <c r="AE117" s="305">
        <f t="shared" si="39"/>
        <v>0.5</v>
      </c>
      <c r="AF117" s="177">
        <f t="shared" si="40"/>
        <v>3.8983290286792371E-2</v>
      </c>
      <c r="AG117" s="811">
        <f t="shared" si="41"/>
        <v>-2</v>
      </c>
      <c r="AH117" s="176">
        <f t="shared" si="42"/>
        <v>4</v>
      </c>
      <c r="AI117" s="225">
        <f t="shared" si="43"/>
        <v>-1.9610167097132076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7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7">
        <f t="shared" si="26"/>
        <v>0</v>
      </c>
      <c r="M118" s="856"/>
      <c r="N118" s="856"/>
      <c r="O118" s="324">
        <f t="shared" si="27"/>
        <v>0</v>
      </c>
      <c r="P118" s="169">
        <f>(INDEX(Models!$BJ118:$BT118,,T118)*(1-R118)+INDEX(Models!$BJ118:$BT118,,T118+1)*R118-ERP_i)*Q118*Ramure*Pc/MaxiM</f>
        <v>8.0706431120662394E-8</v>
      </c>
      <c r="Q118" s="305">
        <f t="shared" si="28"/>
        <v>0.5</v>
      </c>
      <c r="R118" s="177">
        <f t="shared" si="29"/>
        <v>4.0601914166356057E-2</v>
      </c>
      <c r="S118" s="811">
        <f t="shared" si="47"/>
        <v>-2</v>
      </c>
      <c r="T118" s="176">
        <f t="shared" si="30"/>
        <v>4</v>
      </c>
      <c r="U118" s="251">
        <f t="shared" si="31"/>
        <v>-1.9593980858336439</v>
      </c>
      <c r="V118" s="383">
        <f t="shared" si="32"/>
        <v>58.758809834799031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6">
        <f t="shared" si="38"/>
        <v>0</v>
      </c>
      <c r="AD118" s="169">
        <f>(INDEX(Models!$BJ118:$BT118,,AH118)*(1-AF118)+INDEX(Models!$BJ118:$BT118,,AH118+1)*AF118-ERP_i)*AE118*Ramure*Pc/MaxiM</f>
        <v>8.0706431120662394E-8</v>
      </c>
      <c r="AE118" s="305">
        <f t="shared" si="39"/>
        <v>0.5</v>
      </c>
      <c r="AF118" s="177">
        <f t="shared" si="40"/>
        <v>4.0601914166356057E-2</v>
      </c>
      <c r="AG118" s="811">
        <f t="shared" si="41"/>
        <v>-2</v>
      </c>
      <c r="AH118" s="176">
        <f t="shared" si="42"/>
        <v>4</v>
      </c>
      <c r="AI118" s="225">
        <f t="shared" si="43"/>
        <v>-1.9593980858336439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7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7">
        <f t="shared" si="26"/>
        <v>0</v>
      </c>
      <c r="M119" s="856"/>
      <c r="N119" s="856"/>
      <c r="O119" s="324">
        <f t="shared" si="27"/>
        <v>0</v>
      </c>
      <c r="P119" s="169">
        <f>(INDEX(Models!$BJ119:$BT119,,T119)*(1-R119)+INDEX(Models!$BJ119:$BT119,,T119+1)*R119-ERP_i)*Q119*Ramure*Pc/MaxiM</f>
        <v>1.005416582370877E-7</v>
      </c>
      <c r="Q119" s="305">
        <f t="shared" si="28"/>
        <v>0.5</v>
      </c>
      <c r="R119" s="177">
        <f t="shared" si="29"/>
        <v>4.2276331475887385E-2</v>
      </c>
      <c r="S119" s="811">
        <f t="shared" si="47"/>
        <v>-2</v>
      </c>
      <c r="T119" s="176">
        <f t="shared" si="30"/>
        <v>4</v>
      </c>
      <c r="U119" s="251">
        <f t="shared" si="31"/>
        <v>-1.9577236685241126</v>
      </c>
      <c r="V119" s="383">
        <f t="shared" si="32"/>
        <v>58.990154818617981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6">
        <f t="shared" si="38"/>
        <v>0</v>
      </c>
      <c r="AD119" s="169">
        <f>(INDEX(Models!$BJ119:$BT119,,AH119)*(1-AF119)+INDEX(Models!$BJ119:$BT119,,AH119+1)*AF119-ERP_i)*AE119*Ramure*Pc/MaxiM</f>
        <v>1.005416582370877E-7</v>
      </c>
      <c r="AE119" s="305">
        <f t="shared" si="39"/>
        <v>0.5</v>
      </c>
      <c r="AF119" s="177">
        <f t="shared" si="40"/>
        <v>4.2276331475887385E-2</v>
      </c>
      <c r="AG119" s="811">
        <f t="shared" si="41"/>
        <v>-2</v>
      </c>
      <c r="AH119" s="176">
        <f t="shared" si="42"/>
        <v>4</v>
      </c>
      <c r="AI119" s="225">
        <f t="shared" si="43"/>
        <v>-1.9577236685241126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7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7">
        <f t="shared" si="26"/>
        <v>0</v>
      </c>
      <c r="M120" s="856"/>
      <c r="N120" s="856"/>
      <c r="O120" s="324">
        <f t="shared" si="27"/>
        <v>0</v>
      </c>
      <c r="P120" s="169">
        <f>(INDEX(Models!$BJ120:$BT120,,T120)*(1-R120)+INDEX(Models!$BJ120:$BT120,,T120+1)*R120-ERP_i)*Q120*Ramure*Pc/MaxiM</f>
        <v>1.238407035693078E-7</v>
      </c>
      <c r="Q120" s="305">
        <f t="shared" si="28"/>
        <v>0.5</v>
      </c>
      <c r="R120" s="177">
        <f t="shared" si="29"/>
        <v>4.4007989449529772E-2</v>
      </c>
      <c r="S120" s="811">
        <f t="shared" si="47"/>
        <v>-2</v>
      </c>
      <c r="T120" s="176">
        <f t="shared" si="30"/>
        <v>4</v>
      </c>
      <c r="U120" s="251">
        <f t="shared" si="31"/>
        <v>-1.9559920105504702</v>
      </c>
      <c r="V120" s="383">
        <f t="shared" si="32"/>
        <v>59.214592665117578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6">
        <f t="shared" si="38"/>
        <v>0</v>
      </c>
      <c r="AD120" s="169">
        <f>(INDEX(Models!$BJ120:$BT120,,AH120)*(1-AF120)+INDEX(Models!$BJ120:$BT120,,AH120+1)*AF120-ERP_i)*AE120*Ramure*Pc/MaxiM</f>
        <v>1.238407035693078E-7</v>
      </c>
      <c r="AE120" s="305">
        <f t="shared" si="39"/>
        <v>0.5</v>
      </c>
      <c r="AF120" s="177">
        <f t="shared" si="40"/>
        <v>4.4007989449529772E-2</v>
      </c>
      <c r="AG120" s="811">
        <f t="shared" si="41"/>
        <v>-2</v>
      </c>
      <c r="AH120" s="176">
        <f t="shared" si="42"/>
        <v>4</v>
      </c>
      <c r="AI120" s="225">
        <f t="shared" si="43"/>
        <v>-1.9559920105504702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7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7">
        <f t="shared" si="26"/>
        <v>0</v>
      </c>
      <c r="M121" s="856"/>
      <c r="N121" s="856"/>
      <c r="O121" s="324">
        <f t="shared" si="27"/>
        <v>0</v>
      </c>
      <c r="P121" s="169">
        <f>(INDEX(Models!$BJ121:$BT121,,T121)*(1-R121)+INDEX(Models!$BJ121:$BT121,,T121+1)*R121-ERP_i)*Q121*Ramure*Pc/MaxiM</f>
        <v>1.5092485811749143E-7</v>
      </c>
      <c r="Q121" s="305">
        <f t="shared" si="28"/>
        <v>0.5</v>
      </c>
      <c r="R121" s="177">
        <f t="shared" si="29"/>
        <v>4.5798335984206684E-2</v>
      </c>
      <c r="S121" s="811">
        <f t="shared" si="47"/>
        <v>-2</v>
      </c>
      <c r="T121" s="176">
        <f t="shared" si="30"/>
        <v>4</v>
      </c>
      <c r="U121" s="251">
        <f t="shared" si="31"/>
        <v>-1.9542016640157933</v>
      </c>
      <c r="V121" s="383">
        <f t="shared" si="32"/>
        <v>59.431586546393277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6">
        <f t="shared" si="38"/>
        <v>0</v>
      </c>
      <c r="AD121" s="169">
        <f>(INDEX(Models!$BJ121:$BT121,,AH121)*(1-AF121)+INDEX(Models!$BJ121:$BT121,,AH121+1)*AF121-ERP_i)*AE121*Ramure*Pc/MaxiM</f>
        <v>1.5092485811749143E-7</v>
      </c>
      <c r="AE121" s="305">
        <f t="shared" si="39"/>
        <v>0.5</v>
      </c>
      <c r="AF121" s="177">
        <f t="shared" si="40"/>
        <v>4.5798335984206684E-2</v>
      </c>
      <c r="AG121" s="811">
        <f t="shared" si="41"/>
        <v>-2</v>
      </c>
      <c r="AH121" s="176">
        <f t="shared" si="42"/>
        <v>4</v>
      </c>
      <c r="AI121" s="225">
        <f t="shared" si="43"/>
        <v>-1.9542016640157933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7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3">
        <f t="shared" si="26"/>
        <v>0</v>
      </c>
      <c r="M122" s="856"/>
      <c r="N122" s="856"/>
      <c r="O122" s="324">
        <f t="shared" si="27"/>
        <v>0</v>
      </c>
      <c r="P122" s="169">
        <f>(INDEX(Models!$BJ122:$BT122,,T122)*(1-R122)+INDEX(Models!$BJ122:$BT122,,T122+1)*R122-ERP_i)*Q122*Ramure*Pc/MaxiM</f>
        <v>1.8487583794429955E-7</v>
      </c>
      <c r="Q122" s="305">
        <f t="shared" si="28"/>
        <v>0.5</v>
      </c>
      <c r="R122" s="177">
        <f t="shared" si="29"/>
        <v>4.764881630692952E-2</v>
      </c>
      <c r="S122" s="811">
        <f t="shared" si="47"/>
        <v>-2</v>
      </c>
      <c r="T122" s="176">
        <f t="shared" si="30"/>
        <v>4</v>
      </c>
      <c r="U122" s="251">
        <f t="shared" si="31"/>
        <v>-1.9523511836930705</v>
      </c>
      <c r="V122" s="383">
        <f t="shared" si="32"/>
        <v>59.640885765804001</v>
      </c>
      <c r="W122" s="435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2">
        <f t="shared" si="38"/>
        <v>0</v>
      </c>
      <c r="AD122" s="169">
        <f>(INDEX(Models!$BJ122:$BT122,,AH122)*(1-AF122)+INDEX(Models!$BJ122:$BT122,,AH122+1)*AF122-ERP_i)*AE122*Ramure*Pc/MaxiM</f>
        <v>1.8487583794429955E-7</v>
      </c>
      <c r="AE122" s="305">
        <f t="shared" si="39"/>
        <v>0.5</v>
      </c>
      <c r="AF122" s="177">
        <f t="shared" si="40"/>
        <v>4.764881630692952E-2</v>
      </c>
      <c r="AG122" s="811">
        <f t="shared" si="41"/>
        <v>-2</v>
      </c>
      <c r="AH122" s="176">
        <f t="shared" si="42"/>
        <v>4</v>
      </c>
      <c r="AI122" s="225">
        <f t="shared" si="43"/>
        <v>-1.9523511836930705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7"/>
      <c r="C123" s="390"/>
      <c r="D123" s="393"/>
      <c r="E123" s="385"/>
      <c r="F123" s="385"/>
      <c r="G123" s="110"/>
      <c r="H123" s="436"/>
      <c r="I123" s="380">
        <f t="shared" si="24"/>
        <v>0</v>
      </c>
      <c r="J123" s="85">
        <v>2018</v>
      </c>
      <c r="K123" s="197">
        <f t="shared" si="25"/>
        <v>43209</v>
      </c>
      <c r="L123" s="437">
        <f t="shared" si="26"/>
        <v>0</v>
      </c>
      <c r="M123" s="856"/>
      <c r="N123" s="856"/>
      <c r="O123" s="324">
        <f t="shared" si="27"/>
        <v>0</v>
      </c>
      <c r="P123" s="169">
        <f>(INDEX(Models!$BJ123:$BT123,,T123)*(1-R123)+INDEX(Models!$BJ123:$BT123,,T123+1)*R123-ERP_i)*Q123*Ramure*Pc/MaxiM</f>
        <v>2.2583307433398833E-7</v>
      </c>
      <c r="Q123" s="305">
        <f t="shared" si="28"/>
        <v>0.5</v>
      </c>
      <c r="R123" s="177">
        <f t="shared" si="29"/>
        <v>4.9560869391566342E-2</v>
      </c>
      <c r="S123" s="811">
        <f t="shared" si="47"/>
        <v>-2</v>
      </c>
      <c r="T123" s="176">
        <f t="shared" si="30"/>
        <v>4</v>
      </c>
      <c r="U123" s="251">
        <f t="shared" si="31"/>
        <v>-1.9504391306084337</v>
      </c>
      <c r="V123" s="383">
        <f t="shared" si="32"/>
        <v>59.842812396119335</v>
      </c>
      <c r="W123" s="435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8">
        <f t="shared" si="38"/>
        <v>0</v>
      </c>
      <c r="AD123" s="169">
        <f>(INDEX(Models!$BJ123:$BT123,,AH123)*(1-AF123)+INDEX(Models!$BJ123:$BT123,,AH123+1)*AF123-ERP_i)*AE123*Ramure*Pc/MaxiM</f>
        <v>2.2583307433398833E-7</v>
      </c>
      <c r="AE123" s="305">
        <f t="shared" si="39"/>
        <v>0.5</v>
      </c>
      <c r="AF123" s="177">
        <f t="shared" si="40"/>
        <v>4.9560869391566342E-2</v>
      </c>
      <c r="AG123" s="811">
        <f t="shared" si="41"/>
        <v>-2</v>
      </c>
      <c r="AH123" s="176">
        <f t="shared" si="42"/>
        <v>4</v>
      </c>
      <c r="AI123" s="225">
        <f t="shared" si="43"/>
        <v>-1.9504391306084337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7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7">
        <f t="shared" si="26"/>
        <v>0</v>
      </c>
      <c r="M124" s="856"/>
      <c r="N124" s="856"/>
      <c r="O124" s="324">
        <f t="shared" si="27"/>
        <v>0</v>
      </c>
      <c r="P124" s="169">
        <f>(INDEX(Models!$BJ124:$BT124,,T124)*(1-R124)+INDEX(Models!$BJ124:$BT124,,T124+1)*R124-ERP_i)*Q124*Ramure*Pc/MaxiM</f>
        <v>2.7447847770092817E-7</v>
      </c>
      <c r="Q124" s="305">
        <f t="shared" si="28"/>
        <v>0.5</v>
      </c>
      <c r="R124" s="177">
        <f t="shared" si="29"/>
        <v>5.1535924120235554E-2</v>
      </c>
      <c r="S124" s="811">
        <f t="shared" si="47"/>
        <v>-2</v>
      </c>
      <c r="T124" s="176">
        <f t="shared" si="30"/>
        <v>4</v>
      </c>
      <c r="U124" s="251">
        <f t="shared" si="31"/>
        <v>-1.9484640758797644</v>
      </c>
      <c r="V124" s="383">
        <f t="shared" si="32"/>
        <v>60.037688476835037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6">
        <f t="shared" si="38"/>
        <v>0</v>
      </c>
      <c r="AD124" s="169">
        <f>(INDEX(Models!$BJ124:$BT124,,AH124)*(1-AF124)+INDEX(Models!$BJ124:$BT124,,AH124+1)*AF124-ERP_i)*AE124*Ramure*Pc/MaxiM</f>
        <v>2.7447847770092817E-7</v>
      </c>
      <c r="AE124" s="305">
        <f t="shared" si="39"/>
        <v>0.5</v>
      </c>
      <c r="AF124" s="177">
        <f t="shared" si="40"/>
        <v>5.1535924120235554E-2</v>
      </c>
      <c r="AG124" s="811">
        <f t="shared" si="41"/>
        <v>-2</v>
      </c>
      <c r="AH124" s="176">
        <f t="shared" si="42"/>
        <v>4</v>
      </c>
      <c r="AI124" s="225">
        <f t="shared" si="43"/>
        <v>-1.9484640758797644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7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7">
        <f t="shared" si="26"/>
        <v>0</v>
      </c>
      <c r="M125" s="856"/>
      <c r="N125" s="856"/>
      <c r="O125" s="324">
        <f t="shared" si="27"/>
        <v>0</v>
      </c>
      <c r="P125" s="169">
        <f>(INDEX(Models!$BJ125:$BT125,,T125)*(1-R125)+INDEX(Models!$BJ125:$BT125,,T125+1)*R125-ERP_i)*Q125*Ramure*Pc/MaxiM</f>
        <v>3.3154560674687249E-7</v>
      </c>
      <c r="Q125" s="305">
        <f t="shared" si="28"/>
        <v>0.5</v>
      </c>
      <c r="R125" s="177">
        <f t="shared" si="29"/>
        <v>5.3575395185708752E-2</v>
      </c>
      <c r="S125" s="811">
        <f t="shared" si="47"/>
        <v>-2</v>
      </c>
      <c r="T125" s="176">
        <f t="shared" si="30"/>
        <v>4</v>
      </c>
      <c r="U125" s="251">
        <f t="shared" si="31"/>
        <v>-1.9464246048142912</v>
      </c>
      <c r="V125" s="383">
        <f t="shared" si="32"/>
        <v>60.225836044700834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6">
        <f t="shared" si="38"/>
        <v>0</v>
      </c>
      <c r="AD125" s="169">
        <f>(INDEX(Models!$BJ125:$BT125,,AH125)*(1-AF125)+INDEX(Models!$BJ125:$BT125,,AH125+1)*AF125-ERP_i)*AE125*Ramure*Pc/MaxiM</f>
        <v>3.3154560674687249E-7</v>
      </c>
      <c r="AE125" s="305">
        <f t="shared" si="39"/>
        <v>0.5</v>
      </c>
      <c r="AF125" s="177">
        <f t="shared" si="40"/>
        <v>5.3575395185708752E-2</v>
      </c>
      <c r="AG125" s="811">
        <f t="shared" si="41"/>
        <v>-2</v>
      </c>
      <c r="AH125" s="176">
        <f t="shared" si="42"/>
        <v>4</v>
      </c>
      <c r="AI125" s="225">
        <f t="shared" si="43"/>
        <v>-1.9464246048142912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7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7">
        <f t="shared" si="26"/>
        <v>0</v>
      </c>
      <c r="M126" s="856"/>
      <c r="N126" s="856"/>
      <c r="O126" s="324">
        <f t="shared" si="27"/>
        <v>0</v>
      </c>
      <c r="P126" s="169">
        <f>(INDEX(Models!$BJ126:$BT126,,T126)*(1-R126)+INDEX(Models!$BJ126:$BT126,,T126+1)*R126-ERP_i)*Q126*Ramure*Pc/MaxiM</f>
        <v>3.978221083036679E-7</v>
      </c>
      <c r="Q126" s="305">
        <f t="shared" si="28"/>
        <v>0.5</v>
      </c>
      <c r="R126" s="177">
        <f t="shared" si="29"/>
        <v>5.5680678732591193E-2</v>
      </c>
      <c r="S126" s="811">
        <f t="shared" si="47"/>
        <v>-2</v>
      </c>
      <c r="T126" s="176">
        <f t="shared" si="30"/>
        <v>4</v>
      </c>
      <c r="U126" s="251">
        <f t="shared" si="31"/>
        <v>-1.9443193212674088</v>
      </c>
      <c r="V126" s="383">
        <f t="shared" si="32"/>
        <v>60.40757713461155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6">
        <f t="shared" si="38"/>
        <v>0</v>
      </c>
      <c r="AD126" s="169">
        <f>(INDEX(Models!$BJ126:$BT126,,AH126)*(1-AF126)+INDEX(Models!$BJ126:$BT126,,AH126+1)*AF126-ERP_i)*AE126*Ramure*Pc/MaxiM</f>
        <v>3.978221083036679E-7</v>
      </c>
      <c r="AE126" s="305">
        <f t="shared" si="39"/>
        <v>0.5</v>
      </c>
      <c r="AF126" s="177">
        <f t="shared" si="40"/>
        <v>5.5680678732591193E-2</v>
      </c>
      <c r="AG126" s="811">
        <f t="shared" si="41"/>
        <v>-2</v>
      </c>
      <c r="AH126" s="176">
        <f t="shared" si="42"/>
        <v>4</v>
      </c>
      <c r="AI126" s="225">
        <f t="shared" si="43"/>
        <v>-1.9443193212674088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7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7">
        <f t="shared" si="26"/>
        <v>0</v>
      </c>
      <c r="M127" s="856"/>
      <c r="N127" s="856"/>
      <c r="O127" s="324">
        <f t="shared" si="27"/>
        <v>0</v>
      </c>
      <c r="P127" s="169">
        <f>(INDEX(Models!$BJ127:$BT127,,T127)*(1-R127)+INDEX(Models!$BJ127:$BT127,,T127+1)*R127-ERP_i)*Q127*Ramure*Pc/MaxiM</f>
        <v>4.7415126736851432E-7</v>
      </c>
      <c r="Q127" s="305">
        <f t="shared" si="28"/>
        <v>0.5</v>
      </c>
      <c r="R127" s="177">
        <f t="shared" si="29"/>
        <v>5.7853147736624644E-2</v>
      </c>
      <c r="S127" s="811">
        <f t="shared" si="47"/>
        <v>-2</v>
      </c>
      <c r="T127" s="176">
        <f t="shared" si="30"/>
        <v>4</v>
      </c>
      <c r="U127" s="251">
        <f t="shared" si="31"/>
        <v>-1.9421468522633754</v>
      </c>
      <c r="V127" s="383">
        <f t="shared" si="32"/>
        <v>60.583233773791143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6">
        <f t="shared" si="38"/>
        <v>0</v>
      </c>
      <c r="AD127" s="169">
        <f>(INDEX(Models!$BJ127:$BT127,,AH127)*(1-AF127)+INDEX(Models!$BJ127:$BT127,,AH127+1)*AF127-ERP_i)*AE127*Ramure*Pc/MaxiM</f>
        <v>4.7415126736851432E-7</v>
      </c>
      <c r="AE127" s="305">
        <f t="shared" si="39"/>
        <v>0.5</v>
      </c>
      <c r="AF127" s="177">
        <f t="shared" si="40"/>
        <v>5.7853147736624644E-2</v>
      </c>
      <c r="AG127" s="811">
        <f t="shared" si="41"/>
        <v>-2</v>
      </c>
      <c r="AH127" s="176">
        <f t="shared" si="42"/>
        <v>4</v>
      </c>
      <c r="AI127" s="225">
        <f t="shared" si="43"/>
        <v>-1.9421468522633754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7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7">
        <f t="shared" si="26"/>
        <v>0</v>
      </c>
      <c r="M128" s="856"/>
      <c r="N128" s="856"/>
      <c r="O128" s="324">
        <f t="shared" si="27"/>
        <v>0</v>
      </c>
      <c r="P128" s="169">
        <f>(INDEX(Models!$BJ128:$BT128,,T128)*(1-R128)+INDEX(Models!$BJ128:$BT128,,T128+1)*R128-ERP_i)*Q128*Ramure*Pc/MaxiM</f>
        <v>5.6670162996712156E-7</v>
      </c>
      <c r="Q128" s="305">
        <f t="shared" si="28"/>
        <v>0.5</v>
      </c>
      <c r="R128" s="177">
        <f t="shared" si="29"/>
        <v>6.0094147123206154E-2</v>
      </c>
      <c r="S128" s="811">
        <f t="shared" si="47"/>
        <v>-2</v>
      </c>
      <c r="T128" s="176">
        <f t="shared" si="30"/>
        <v>4</v>
      </c>
      <c r="U128" s="251">
        <f t="shared" si="31"/>
        <v>-1.9399058528767938</v>
      </c>
      <c r="V128" s="383">
        <f t="shared" si="32"/>
        <v>60.75312767061147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6">
        <f t="shared" si="38"/>
        <v>0</v>
      </c>
      <c r="AD128" s="169">
        <f>(INDEX(Models!$BJ128:$BT128,,AH128)*(1-AF128)+INDEX(Models!$BJ128:$BT128,,AH128+1)*AF128-ERP_i)*AE128*Ramure*Pc/MaxiM</f>
        <v>5.6670162996712156E-7</v>
      </c>
      <c r="AE128" s="305">
        <f t="shared" si="39"/>
        <v>0.5</v>
      </c>
      <c r="AF128" s="177">
        <f t="shared" si="40"/>
        <v>6.0094147123206154E-2</v>
      </c>
      <c r="AG128" s="811">
        <f t="shared" si="41"/>
        <v>-2</v>
      </c>
      <c r="AH128" s="176">
        <f t="shared" si="42"/>
        <v>4</v>
      </c>
      <c r="AI128" s="225">
        <f t="shared" si="43"/>
        <v>-1.9399058528767938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7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7">
        <f t="shared" si="26"/>
        <v>0</v>
      </c>
      <c r="M129" s="856"/>
      <c r="N129" s="856"/>
      <c r="O129" s="324">
        <f t="shared" si="27"/>
        <v>0</v>
      </c>
      <c r="P129" s="169">
        <f>(INDEX(Models!$BJ129:$BT129,,T129)*(1-R129)+INDEX(Models!$BJ129:$BT129,,T129+1)*R129-ERP_i)*Q129*Ramure*Pc/MaxiM</f>
        <v>6.7486447131476905E-7</v>
      </c>
      <c r="Q129" s="305">
        <f t="shared" si="28"/>
        <v>0.5</v>
      </c>
      <c r="R129" s="177">
        <f t="shared" si="29"/>
        <v>6.2404988628171898E-2</v>
      </c>
      <c r="S129" s="811">
        <f t="shared" si="47"/>
        <v>-2</v>
      </c>
      <c r="T129" s="176">
        <f t="shared" si="30"/>
        <v>4</v>
      </c>
      <c r="U129" s="251">
        <f t="shared" si="31"/>
        <v>-1.9375950113718281</v>
      </c>
      <c r="V129" s="383">
        <f t="shared" si="32"/>
        <v>60.917580937268994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6">
        <f t="shared" si="38"/>
        <v>0</v>
      </c>
      <c r="AD129" s="169">
        <f>(INDEX(Models!$BJ129:$BT129,,AH129)*(1-AF129)+INDEX(Models!$BJ129:$BT129,,AH129+1)*AF129-ERP_i)*AE129*Ramure*Pc/MaxiM</f>
        <v>6.7486447131476905E-7</v>
      </c>
      <c r="AE129" s="305">
        <f t="shared" si="39"/>
        <v>0.5</v>
      </c>
      <c r="AF129" s="177">
        <f t="shared" si="40"/>
        <v>6.2404988628171898E-2</v>
      </c>
      <c r="AG129" s="811">
        <f t="shared" si="41"/>
        <v>-2</v>
      </c>
      <c r="AH129" s="176">
        <f t="shared" si="42"/>
        <v>4</v>
      </c>
      <c r="AI129" s="225">
        <f t="shared" si="43"/>
        <v>-1.9375950113718281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7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7">
        <f t="shared" si="26"/>
        <v>0</v>
      </c>
      <c r="M130" s="856"/>
      <c r="N130" s="856"/>
      <c r="O130" s="324">
        <f t="shared" si="27"/>
        <v>0</v>
      </c>
      <c r="P130" s="169">
        <f>(INDEX(Models!$BJ130:$BT130,,T130)*(1-R130)+INDEX(Models!$BJ130:$BT130,,T130+1)*R130-ERP_i)*Q130*Ramure*Pc/MaxiM</f>
        <v>8.0009199029008563E-7</v>
      </c>
      <c r="Q130" s="305">
        <f t="shared" si="28"/>
        <v>0.5</v>
      </c>
      <c r="R130" s="177">
        <f t="shared" si="29"/>
        <v>6.4786945406030805E-2</v>
      </c>
      <c r="S130" s="811">
        <f t="shared" si="47"/>
        <v>-2</v>
      </c>
      <c r="T130" s="176">
        <f t="shared" si="30"/>
        <v>4</v>
      </c>
      <c r="U130" s="251">
        <f t="shared" si="31"/>
        <v>-1.9352130545939692</v>
      </c>
      <c r="V130" s="383">
        <f t="shared" si="32"/>
        <v>61.076915564491763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6">
        <f t="shared" si="38"/>
        <v>0</v>
      </c>
      <c r="AD130" s="169">
        <f>(INDEX(Models!$BJ130:$BT130,,AH130)*(1-AF130)+INDEX(Models!$BJ130:$BT130,,AH130+1)*AF130-ERP_i)*AE130*Ramure*Pc/MaxiM</f>
        <v>8.0009199029008563E-7</v>
      </c>
      <c r="AE130" s="305">
        <f t="shared" si="39"/>
        <v>0.5</v>
      </c>
      <c r="AF130" s="177">
        <f t="shared" si="40"/>
        <v>6.4786945406030805E-2</v>
      </c>
      <c r="AG130" s="811">
        <f t="shared" si="41"/>
        <v>-2</v>
      </c>
      <c r="AH130" s="176">
        <f t="shared" si="42"/>
        <v>4</v>
      </c>
      <c r="AI130" s="225">
        <f t="shared" si="43"/>
        <v>-1.9352130545939692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7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7">
        <f t="shared" si="26"/>
        <v>0</v>
      </c>
      <c r="M131" s="856"/>
      <c r="N131" s="856"/>
      <c r="O131" s="324">
        <f t="shared" si="27"/>
        <v>0</v>
      </c>
      <c r="P131" s="169">
        <f>(INDEX(Models!$BJ131:$BT131,,T131)*(1-R131)+INDEX(Models!$BJ131:$BT131,,T131+1)*R131-ERP_i)*Q131*Ramure*Pc/MaxiM</f>
        <v>9.4393531086635943E-7</v>
      </c>
      <c r="Q131" s="305">
        <f t="shared" si="28"/>
        <v>0.5</v>
      </c>
      <c r="R131" s="177">
        <f t="shared" si="29"/>
        <v>6.7241246393165754E-2</v>
      </c>
      <c r="S131" s="811">
        <f t="shared" si="47"/>
        <v>-2</v>
      </c>
      <c r="T131" s="176">
        <f t="shared" si="30"/>
        <v>4</v>
      </c>
      <c r="U131" s="251">
        <f t="shared" si="31"/>
        <v>-1.9327587536068342</v>
      </c>
      <c r="V131" s="383">
        <f t="shared" si="32"/>
        <v>61.231453534999098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6">
        <f t="shared" si="38"/>
        <v>0</v>
      </c>
      <c r="AD131" s="169">
        <f>(INDEX(Models!$BJ131:$BT131,,AH131)*(1-AF131)+INDEX(Models!$BJ131:$BT131,,AH131+1)*AF131-ERP_i)*AE131*Ramure*Pc/MaxiM</f>
        <v>9.4393531086635943E-7</v>
      </c>
      <c r="AE131" s="305">
        <f t="shared" si="39"/>
        <v>0.5</v>
      </c>
      <c r="AF131" s="177">
        <f t="shared" si="40"/>
        <v>6.7241246393165754E-2</v>
      </c>
      <c r="AG131" s="811">
        <f t="shared" si="41"/>
        <v>-2</v>
      </c>
      <c r="AH131" s="176">
        <f t="shared" si="42"/>
        <v>4</v>
      </c>
      <c r="AI131" s="225">
        <f t="shared" si="43"/>
        <v>-1.9327587536068342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7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7">
        <f t="shared" si="26"/>
        <v>0</v>
      </c>
      <c r="M132" s="856"/>
      <c r="N132" s="856"/>
      <c r="O132" s="324">
        <f t="shared" si="27"/>
        <v>0</v>
      </c>
      <c r="P132" s="169">
        <f>(INDEX(Models!$BJ132:$BT132,,T132)*(1-R132)+INDEX(Models!$BJ132:$BT132,,T132+1)*R132-ERP_i)*Q132*Ramure*Pc/MaxiM</f>
        <v>1.1080483422388593E-6</v>
      </c>
      <c r="Q132" s="305">
        <f t="shared" si="28"/>
        <v>0.5</v>
      </c>
      <c r="R132" s="177">
        <f t="shared" si="29"/>
        <v>6.976907043604319E-2</v>
      </c>
      <c r="S132" s="811">
        <f t="shared" si="47"/>
        <v>-2</v>
      </c>
      <c r="T132" s="176">
        <f t="shared" si="30"/>
        <v>4</v>
      </c>
      <c r="U132" s="251">
        <f t="shared" si="31"/>
        <v>-1.9302309295639568</v>
      </c>
      <c r="V132" s="383">
        <f t="shared" si="32"/>
        <v>61.381516825227337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6">
        <f t="shared" si="38"/>
        <v>0</v>
      </c>
      <c r="AD132" s="169">
        <f>(INDEX(Models!$BJ132:$BT132,,AH132)*(1-AF132)+INDEX(Models!$BJ132:$BT132,,AH132+1)*AF132-ERP_i)*AE132*Ramure*Pc/MaxiM</f>
        <v>1.1080483422388593E-6</v>
      </c>
      <c r="AE132" s="305">
        <f t="shared" si="39"/>
        <v>0.5</v>
      </c>
      <c r="AF132" s="177">
        <f t="shared" si="40"/>
        <v>6.976907043604319E-2</v>
      </c>
      <c r="AG132" s="811">
        <f t="shared" si="41"/>
        <v>-2</v>
      </c>
      <c r="AH132" s="176">
        <f t="shared" si="42"/>
        <v>4</v>
      </c>
      <c r="AI132" s="225">
        <f t="shared" si="43"/>
        <v>-1.9302309295639568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7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7">
        <f t="shared" si="26"/>
        <v>0</v>
      </c>
      <c r="M133" s="856"/>
      <c r="N133" s="856"/>
      <c r="O133" s="324">
        <f t="shared" si="27"/>
        <v>0</v>
      </c>
      <c r="P133" s="169">
        <f>(INDEX(Models!$BJ133:$BT133,,T133)*(1-R133)+INDEX(Models!$BJ133:$BT133,,T133+1)*R133-ERP_i)*Q133*Ramure*Pc/MaxiM</f>
        <v>1.2941914463115427E-6</v>
      </c>
      <c r="Q133" s="305">
        <f t="shared" si="28"/>
        <v>0.5</v>
      </c>
      <c r="R133" s="177">
        <f t="shared" si="29"/>
        <v>7.2371540197175177E-2</v>
      </c>
      <c r="S133" s="811">
        <f t="shared" si="47"/>
        <v>-2</v>
      </c>
      <c r="T133" s="176">
        <f t="shared" si="30"/>
        <v>4</v>
      </c>
      <c r="U133" s="251">
        <f t="shared" si="31"/>
        <v>-1.9276284598028248</v>
      </c>
      <c r="V133" s="383">
        <f t="shared" si="32"/>
        <v>61.527427404932183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6">
        <f t="shared" si="38"/>
        <v>0</v>
      </c>
      <c r="AD133" s="169">
        <f>(INDEX(Models!$BJ133:$BT133,,AH133)*(1-AF133)+INDEX(Models!$BJ133:$BT133,,AH133+1)*AF133-ERP_i)*AE133*Ramure*Pc/MaxiM</f>
        <v>1.2941914463115427E-6</v>
      </c>
      <c r="AE133" s="305">
        <f t="shared" si="39"/>
        <v>0.5</v>
      </c>
      <c r="AF133" s="177">
        <f t="shared" si="40"/>
        <v>7.2371540197175177E-2</v>
      </c>
      <c r="AG133" s="811">
        <f t="shared" si="41"/>
        <v>-2</v>
      </c>
      <c r="AH133" s="176">
        <f t="shared" si="42"/>
        <v>4</v>
      </c>
      <c r="AI133" s="225">
        <f t="shared" si="43"/>
        <v>-1.9276284598028248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7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7">
        <f t="shared" si="26"/>
        <v>0</v>
      </c>
      <c r="M134" s="856"/>
      <c r="N134" s="856"/>
      <c r="O134" s="324">
        <f t="shared" si="27"/>
        <v>0</v>
      </c>
      <c r="P134" s="169">
        <f>(INDEX(Models!$BJ134:$BT134,,T134)*(1-R134)+INDEX(Models!$BJ134:$BT134,,T134+1)*R134-ERP_i)*Q134*Ramure*Pc/MaxiM</f>
        <v>1.504234857006496E-6</v>
      </c>
      <c r="Q134" s="305">
        <f t="shared" si="28"/>
        <v>0.5</v>
      </c>
      <c r="R134" s="177">
        <f t="shared" si="29"/>
        <v>7.5049715854454302E-2</v>
      </c>
      <c r="S134" s="811">
        <f t="shared" si="47"/>
        <v>-2</v>
      </c>
      <c r="T134" s="176">
        <f t="shared" si="30"/>
        <v>4</v>
      </c>
      <c r="U134" s="251">
        <f t="shared" si="31"/>
        <v>-1.9249502841455457</v>
      </c>
      <c r="V134" s="383">
        <f t="shared" si="32"/>
        <v>61.66950723541558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6">
        <f t="shared" si="38"/>
        <v>0</v>
      </c>
      <c r="AD134" s="169">
        <f>(INDEX(Models!$BJ134:$BT134,,AH134)*(1-AF134)+INDEX(Models!$BJ134:$BT134,,AH134+1)*AF134-ERP_i)*AE134*Ramure*Pc/MaxiM</f>
        <v>1.504234857006496E-6</v>
      </c>
      <c r="AE134" s="305">
        <f t="shared" si="39"/>
        <v>0.5</v>
      </c>
      <c r="AF134" s="177">
        <f t="shared" si="40"/>
        <v>7.5049715854454302E-2</v>
      </c>
      <c r="AG134" s="811">
        <f t="shared" si="41"/>
        <v>-2</v>
      </c>
      <c r="AH134" s="176">
        <f t="shared" si="42"/>
        <v>4</v>
      </c>
      <c r="AI134" s="225">
        <f t="shared" si="43"/>
        <v>-1.9249502841455457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7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7">
        <f t="shared" si="26"/>
        <v>0</v>
      </c>
      <c r="M135" s="856"/>
      <c r="N135" s="856"/>
      <c r="O135" s="324">
        <f t="shared" si="27"/>
        <v>0</v>
      </c>
      <c r="P135" s="169">
        <f>(INDEX(Models!$BJ135:$BT135,,T135)*(1-R135)+INDEX(Models!$BJ135:$BT135,,T135+1)*R135-ERP_i)*Q135*Ramure*Pc/MaxiM</f>
        <v>1.7401910106520272E-6</v>
      </c>
      <c r="Q135" s="305">
        <f t="shared" si="28"/>
        <v>0.5</v>
      </c>
      <c r="R135" s="177">
        <f t="shared" si="29"/>
        <v>7.7804588612514269E-2</v>
      </c>
      <c r="S135" s="811">
        <f t="shared" si="47"/>
        <v>-2</v>
      </c>
      <c r="T135" s="176">
        <f t="shared" si="30"/>
        <v>4</v>
      </c>
      <c r="U135" s="251">
        <f t="shared" si="31"/>
        <v>-1.9221954113874857</v>
      </c>
      <c r="V135" s="383">
        <f t="shared" si="32"/>
        <v>61.807040439990701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6">
        <f t="shared" si="38"/>
        <v>0</v>
      </c>
      <c r="AD135" s="169">
        <f>(INDEX(Models!$BJ135:$BT135,,AH135)*(1-AF135)+INDEX(Models!$BJ135:$BT135,,AH135+1)*AF135-ERP_i)*AE135*Ramure*Pc/MaxiM</f>
        <v>1.7401910106520272E-6</v>
      </c>
      <c r="AE135" s="305">
        <f t="shared" si="39"/>
        <v>0.5</v>
      </c>
      <c r="AF135" s="177">
        <f t="shared" si="40"/>
        <v>7.7804588612514269E-2</v>
      </c>
      <c r="AG135" s="811">
        <f t="shared" si="41"/>
        <v>-2</v>
      </c>
      <c r="AH135" s="176">
        <f t="shared" si="42"/>
        <v>4</v>
      </c>
      <c r="AI135" s="225">
        <f t="shared" si="43"/>
        <v>-1.9221954113874857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7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7">
        <f t="shared" si="26"/>
        <v>0</v>
      </c>
      <c r="M136" s="856"/>
      <c r="N136" s="856"/>
      <c r="O136" s="324">
        <f t="shared" si="27"/>
        <v>0</v>
      </c>
      <c r="P136" s="169">
        <f>(INDEX(Models!$BJ136:$BT136,,T136)*(1-R136)+INDEX(Models!$BJ136:$BT136,,T136+1)*R136-ERP_i)*Q136*Ramure*Pc/MaxiM</f>
        <v>2.0106042760765181E-6</v>
      </c>
      <c r="Q136" s="305">
        <f t="shared" si="28"/>
        <v>0.5</v>
      </c>
      <c r="R136" s="177">
        <f t="shared" si="29"/>
        <v>8.0637074047949397E-2</v>
      </c>
      <c r="S136" s="811">
        <f t="shared" si="47"/>
        <v>-2</v>
      </c>
      <c r="T136" s="176">
        <f t="shared" si="30"/>
        <v>4</v>
      </c>
      <c r="U136" s="251">
        <f t="shared" si="31"/>
        <v>-1.9193629259520506</v>
      </c>
      <c r="V136" s="383">
        <f t="shared" si="32"/>
        <v>61.939167593297817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6">
        <f t="shared" si="38"/>
        <v>0</v>
      </c>
      <c r="AD136" s="169">
        <f>(INDEX(Models!$BJ136:$BT136,,AH136)*(1-AF136)+INDEX(Models!$BJ136:$BT136,,AH136+1)*AF136-ERP_i)*AE136*Ramure*Pc/MaxiM</f>
        <v>2.0106042760765181E-6</v>
      </c>
      <c r="AE136" s="305">
        <f t="shared" si="39"/>
        <v>0.5</v>
      </c>
      <c r="AF136" s="177">
        <f t="shared" si="40"/>
        <v>8.0637074047949397E-2</v>
      </c>
      <c r="AG136" s="811">
        <f t="shared" si="41"/>
        <v>-2</v>
      </c>
      <c r="AH136" s="176">
        <f t="shared" si="42"/>
        <v>4</v>
      </c>
      <c r="AI136" s="225">
        <f t="shared" si="43"/>
        <v>-1.9193629259520506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7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7">
        <f t="shared" si="26"/>
        <v>0</v>
      </c>
      <c r="M137" s="856"/>
      <c r="N137" s="856"/>
      <c r="O137" s="324">
        <f t="shared" si="27"/>
        <v>0</v>
      </c>
      <c r="P137" s="169">
        <f>(INDEX(Models!$BJ137:$BT137,,T137)*(1-R137)+INDEX(Models!$BJ137:$BT137,,T137+1)*R137-ERP_i)*Q137*Ramure*Pc/MaxiM</f>
        <v>2.3136235596615376E-6</v>
      </c>
      <c r="Q137" s="305">
        <f t="shared" si="28"/>
        <v>0.5</v>
      </c>
      <c r="R137" s="177">
        <f t="shared" si="29"/>
        <v>8.3548005313513141E-2</v>
      </c>
      <c r="S137" s="811">
        <f t="shared" si="47"/>
        <v>-2</v>
      </c>
      <c r="T137" s="176">
        <f t="shared" si="30"/>
        <v>4</v>
      </c>
      <c r="U137" s="251">
        <f t="shared" si="31"/>
        <v>-1.9164519946864869</v>
      </c>
      <c r="V137" s="383">
        <f t="shared" si="32"/>
        <v>62.065996162025513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6">
        <f t="shared" si="38"/>
        <v>0</v>
      </c>
      <c r="AD137" s="169">
        <f>(INDEX(Models!$BJ137:$BT137,,AH137)*(1-AF137)+INDEX(Models!$BJ137:$BT137,,AH137+1)*AF137-ERP_i)*AE137*Ramure*Pc/MaxiM</f>
        <v>2.3136235596615376E-6</v>
      </c>
      <c r="AE137" s="305">
        <f t="shared" si="39"/>
        <v>0.5</v>
      </c>
      <c r="AF137" s="177">
        <f t="shared" si="40"/>
        <v>8.3548005313513141E-2</v>
      </c>
      <c r="AG137" s="811">
        <f t="shared" si="41"/>
        <v>-2</v>
      </c>
      <c r="AH137" s="176">
        <f t="shared" si="42"/>
        <v>4</v>
      </c>
      <c r="AI137" s="225">
        <f t="shared" si="43"/>
        <v>-1.9164519946864869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7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7">
        <f t="shared" si="26"/>
        <v>0</v>
      </c>
      <c r="M138" s="856"/>
      <c r="N138" s="856"/>
      <c r="O138" s="324">
        <f t="shared" si="27"/>
        <v>0</v>
      </c>
      <c r="P138" s="169">
        <f>(INDEX(Models!$BJ138:$BT138,,T138)*(1-R138)+INDEX(Models!$BJ138:$BT138,,T138+1)*R138-ERP_i)*Q138*Ramure*Pc/MaxiM</f>
        <v>2.6519059800945527E-6</v>
      </c>
      <c r="Q138" s="305">
        <f t="shared" si="28"/>
        <v>0.5</v>
      </c>
      <c r="R138" s="177">
        <f t="shared" si="29"/>
        <v>8.6538126229803503E-2</v>
      </c>
      <c r="S138" s="811">
        <f t="shared" si="47"/>
        <v>-2</v>
      </c>
      <c r="T138" s="176">
        <f t="shared" si="30"/>
        <v>4</v>
      </c>
      <c r="U138" s="251">
        <f t="shared" si="31"/>
        <v>-1.9134618737701965</v>
      </c>
      <c r="V138" s="383">
        <f t="shared" si="32"/>
        <v>62.187633334591823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6">
        <f t="shared" si="38"/>
        <v>0</v>
      </c>
      <c r="AD138" s="169">
        <f>(INDEX(Models!$BJ138:$BT138,,AH138)*(1-AF138)+INDEX(Models!$BJ138:$BT138,,AH138+1)*AF138-ERP_i)*AE138*Ramure*Pc/MaxiM</f>
        <v>2.6519059800945527E-6</v>
      </c>
      <c r="AE138" s="305">
        <f t="shared" si="39"/>
        <v>0.5</v>
      </c>
      <c r="AF138" s="177">
        <f t="shared" si="40"/>
        <v>8.6538126229803503E-2</v>
      </c>
      <c r="AG138" s="811">
        <f t="shared" si="41"/>
        <v>-2</v>
      </c>
      <c r="AH138" s="176">
        <f t="shared" si="42"/>
        <v>4</v>
      </c>
      <c r="AI138" s="225">
        <f t="shared" si="43"/>
        <v>-1.9134618737701965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7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7">
        <f t="shared" si="26"/>
        <v>0</v>
      </c>
      <c r="M139" s="856"/>
      <c r="N139" s="856"/>
      <c r="O139" s="324">
        <f t="shared" si="27"/>
        <v>0</v>
      </c>
      <c r="P139" s="169">
        <f>(INDEX(Models!$BJ139:$BT139,,T139)*(1-R139)+INDEX(Models!$BJ139:$BT139,,T139+1)*R139-ERP_i)*Q139*Ramure*Pc/MaxiM</f>
        <v>3.0282615015386734E-6</v>
      </c>
      <c r="Q139" s="305">
        <f t="shared" si="28"/>
        <v>0.5</v>
      </c>
      <c r="R139" s="177">
        <f t="shared" si="29"/>
        <v>8.9608084296380008E-2</v>
      </c>
      <c r="S139" s="811">
        <f t="shared" si="47"/>
        <v>-2</v>
      </c>
      <c r="T139" s="176">
        <f t="shared" si="30"/>
        <v>4</v>
      </c>
      <c r="U139" s="251">
        <f t="shared" si="31"/>
        <v>-1.91039191570362</v>
      </c>
      <c r="V139" s="383">
        <f t="shared" si="32"/>
        <v>62.304186289264699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6">
        <f t="shared" si="38"/>
        <v>0</v>
      </c>
      <c r="AD139" s="169">
        <f>(INDEX(Models!$BJ139:$BT139,,AH139)*(1-AF139)+INDEX(Models!$BJ139:$BT139,,AH139+1)*AF139-ERP_i)*AE139*Ramure*Pc/MaxiM</f>
        <v>3.0282615015386734E-6</v>
      </c>
      <c r="AE139" s="305">
        <f t="shared" si="39"/>
        <v>0.5</v>
      </c>
      <c r="AF139" s="177">
        <f t="shared" si="40"/>
        <v>8.9608084296380008E-2</v>
      </c>
      <c r="AG139" s="811">
        <f t="shared" si="41"/>
        <v>-2</v>
      </c>
      <c r="AH139" s="176">
        <f t="shared" si="42"/>
        <v>4</v>
      </c>
      <c r="AI139" s="225">
        <f t="shared" si="43"/>
        <v>-1.91039191570362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7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7">
        <f t="shared" si="26"/>
        <v>0</v>
      </c>
      <c r="M140" s="856"/>
      <c r="N140" s="856"/>
      <c r="O140" s="324">
        <f t="shared" si="27"/>
        <v>0</v>
      </c>
      <c r="P140" s="169">
        <f>(INDEX(Models!$BJ140:$BT140,,T140)*(1-R140)+INDEX(Models!$BJ140:$BT140,,T140+1)*R140-ERP_i)*Q140*Ramure*Pc/MaxiM</f>
        <v>3.4456563626553144E-6</v>
      </c>
      <c r="Q140" s="305">
        <f t="shared" si="28"/>
        <v>0.5</v>
      </c>
      <c r="R140" s="177">
        <f t="shared" si="29"/>
        <v>9.2758423657721245E-2</v>
      </c>
      <c r="S140" s="811">
        <f t="shared" si="47"/>
        <v>-2</v>
      </c>
      <c r="T140" s="176">
        <f t="shared" si="30"/>
        <v>4</v>
      </c>
      <c r="U140" s="251">
        <f t="shared" si="31"/>
        <v>-1.9072415763422788</v>
      </c>
      <c r="V140" s="383">
        <f t="shared" si="32"/>
        <v>62.415762195822587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6">
        <f t="shared" si="38"/>
        <v>0</v>
      </c>
      <c r="AD140" s="169">
        <f>(INDEX(Models!$BJ140:$BT140,,AH140)*(1-AF140)+INDEX(Models!$BJ140:$BT140,,AH140+1)*AF140-ERP_i)*AE140*Ramure*Pc/MaxiM</f>
        <v>3.4456563626553144E-6</v>
      </c>
      <c r="AE140" s="305">
        <f t="shared" si="39"/>
        <v>0.5</v>
      </c>
      <c r="AF140" s="177">
        <f t="shared" si="40"/>
        <v>9.2758423657721245E-2</v>
      </c>
      <c r="AG140" s="811">
        <f t="shared" si="41"/>
        <v>-2</v>
      </c>
      <c r="AH140" s="176">
        <f t="shared" si="42"/>
        <v>4</v>
      </c>
      <c r="AI140" s="225">
        <f t="shared" si="43"/>
        <v>-1.9072415763422788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7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7">
        <f t="shared" si="26"/>
        <v>0</v>
      </c>
      <c r="M141" s="856"/>
      <c r="N141" s="856"/>
      <c r="O141" s="324">
        <f t="shared" si="27"/>
        <v>0</v>
      </c>
      <c r="P141" s="169">
        <f>(INDEX(Models!$BJ141:$BT141,,T141)*(1-R141)+INDEX(Models!$BJ141:$BT141,,T141+1)*R141-ERP_i)*Q141*Ramure*Pc/MaxiM</f>
        <v>3.9072159454113168E-6</v>
      </c>
      <c r="Q141" s="305">
        <f t="shared" si="28"/>
        <v>0.5</v>
      </c>
      <c r="R141" s="177">
        <f t="shared" si="29"/>
        <v>9.5989578062873671E-2</v>
      </c>
      <c r="S141" s="811">
        <f t="shared" si="47"/>
        <v>-2</v>
      </c>
      <c r="T141" s="176">
        <f t="shared" si="30"/>
        <v>4</v>
      </c>
      <c r="U141" s="251">
        <f t="shared" si="31"/>
        <v>-1.9040104219371263</v>
      </c>
      <c r="V141" s="383">
        <f t="shared" si="32"/>
        <v>62.522468211026684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6">
        <f t="shared" si="38"/>
        <v>0</v>
      </c>
      <c r="AD141" s="169">
        <f>(INDEX(Models!$BJ141:$BT141,,AH141)*(1-AF141)+INDEX(Models!$BJ141:$BT141,,AH141+1)*AF141-ERP_i)*AE141*Ramure*Pc/MaxiM</f>
        <v>3.9072159454113168E-6</v>
      </c>
      <c r="AE141" s="305">
        <f t="shared" si="39"/>
        <v>0.5</v>
      </c>
      <c r="AF141" s="177">
        <f t="shared" si="40"/>
        <v>9.5989578062873671E-2</v>
      </c>
      <c r="AG141" s="811">
        <f t="shared" si="41"/>
        <v>-2</v>
      </c>
      <c r="AH141" s="176">
        <f t="shared" si="42"/>
        <v>4</v>
      </c>
      <c r="AI141" s="225">
        <f t="shared" si="43"/>
        <v>-1.9040104219371263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7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7">
        <f t="shared" si="26"/>
        <v>0</v>
      </c>
      <c r="M142" s="856"/>
      <c r="N142" s="856"/>
      <c r="O142" s="324">
        <f t="shared" si="27"/>
        <v>0</v>
      </c>
      <c r="P142" s="169">
        <f>(INDEX(Models!$BJ142:$BT142,,T142)*(1-R142)+INDEX(Models!$BJ142:$BT142,,T142+1)*R142-ERP_i)*Q142*Ramure*Pc/MaxiM</f>
        <v>4.3907910729356184E-6</v>
      </c>
      <c r="Q142" s="305">
        <f t="shared" si="28"/>
        <v>0.5</v>
      </c>
      <c r="R142" s="177">
        <f t="shared" si="29"/>
        <v>9.930186386100659E-2</v>
      </c>
      <c r="S142" s="811">
        <f t="shared" si="47"/>
        <v>-2</v>
      </c>
      <c r="T142" s="176">
        <f t="shared" si="30"/>
        <v>4</v>
      </c>
      <c r="U142" s="251">
        <f t="shared" si="31"/>
        <v>-1.9006981361389934</v>
      </c>
      <c r="V142" s="383">
        <f t="shared" si="32"/>
        <v>62.624413074823657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6">
        <f t="shared" si="38"/>
        <v>0</v>
      </c>
      <c r="AD142" s="169">
        <f>(INDEX(Models!$BJ142:$BT142,,AH142)*(1-AF142)+INDEX(Models!$BJ142:$BT142,,AH142+1)*AF142-ERP_i)*AE142*Ramure*Pc/MaxiM</f>
        <v>4.3907910729356184E-6</v>
      </c>
      <c r="AE142" s="305">
        <f t="shared" si="39"/>
        <v>0.5</v>
      </c>
      <c r="AF142" s="177">
        <f t="shared" si="40"/>
        <v>9.930186386100659E-2</v>
      </c>
      <c r="AG142" s="811">
        <f t="shared" si="41"/>
        <v>-2</v>
      </c>
      <c r="AH142" s="176">
        <f t="shared" si="42"/>
        <v>4</v>
      </c>
      <c r="AI142" s="225">
        <f t="shared" si="43"/>
        <v>-1.9006981361389934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7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7">
        <f t="shared" ref="L143:L206" si="50">IF(t&lt;T0,0,IF(t&lt;Tvie,1-EXP((T0-t)*PertePVj),1-EXP((T0-t)*PertePVj)+Pspv))</f>
        <v>0</v>
      </c>
      <c r="M143" s="856"/>
      <c r="N143" s="856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4.8874716227919995E-6</v>
      </c>
      <c r="Q143" s="305">
        <f t="shared" ref="Q143:Q206" si="52">IF(OR(t&lt;Ttai,Notai),Dd+PousD*Croivg,Dens+PousD*(Croivg-Croi_tai))</f>
        <v>0.5</v>
      </c>
      <c r="R143" s="177">
        <f t="shared" ref="R143:R206" si="53">(Hp_vg-S143)/(INDEX(Echel_vg,T143+1)-S143)</f>
        <v>0.10269547307835203</v>
      </c>
      <c r="S143" s="811">
        <f t="shared" si="47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-1.897304526921648</v>
      </c>
      <c r="V143" s="383">
        <f t="shared" ref="V143:V206" si="56">MaxiM*(1-Ppv)*(1-Pvg)*(1-Psa)</f>
        <v>62.721704708265619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6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4.8874716227919995E-6</v>
      </c>
      <c r="AE143" s="305">
        <f t="shared" ref="AE143:AE206" si="63">Dd+PousD*Croivg</f>
        <v>0.5</v>
      </c>
      <c r="AF143" s="177">
        <f t="shared" ref="AF143:AF206" si="64">(Hp_vg_s-AG143)/(INDEX(Echel_vg,AH143+1)-AG143)</f>
        <v>0.10269547307835203</v>
      </c>
      <c r="AG143" s="811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-1.897304526921648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7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7">
        <f t="shared" si="50"/>
        <v>0</v>
      </c>
      <c r="M144" s="856"/>
      <c r="N144" s="856"/>
      <c r="O144" s="324">
        <f t="shared" si="51"/>
        <v>0</v>
      </c>
      <c r="P144" s="169">
        <f>(INDEX(Models!$BJ144:$BT144,,T144)*(1-R144)+INDEX(Models!$BJ144:$BT144,,T144+1)*R144-ERP_i)*Q144*Ramure*Pc/MaxiM</f>
        <v>5.3966384827004274E-6</v>
      </c>
      <c r="Q144" s="305">
        <f t="shared" si="52"/>
        <v>0.5</v>
      </c>
      <c r="R144" s="177">
        <f t="shared" si="53"/>
        <v>0.10617046662507024</v>
      </c>
      <c r="S144" s="811">
        <f t="shared" ref="S144:S207" si="71">INDEX(Echel_vg,T144)</f>
        <v>-2</v>
      </c>
      <c r="T144" s="176">
        <f t="shared" si="54"/>
        <v>4</v>
      </c>
      <c r="U144" s="251">
        <f t="shared" si="55"/>
        <v>-1.8938295333749298</v>
      </c>
      <c r="V144" s="383">
        <f t="shared" si="56"/>
        <v>62.814450516060397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6">
        <f t="shared" si="62"/>
        <v>0</v>
      </c>
      <c r="AD144" s="169">
        <f>(INDEX(Models!$BJ144:$BT144,,AH144)*(1-AF144)+INDEX(Models!$BJ144:$BT144,,AH144+1)*AF144-ERP_i)*AE144*Ramure*Pc/MaxiM</f>
        <v>5.3966384827004274E-6</v>
      </c>
      <c r="AE144" s="305">
        <f t="shared" si="63"/>
        <v>0.5</v>
      </c>
      <c r="AF144" s="177">
        <f t="shared" si="64"/>
        <v>0.10617046662507024</v>
      </c>
      <c r="AG144" s="811">
        <f t="shared" si="65"/>
        <v>-2</v>
      </c>
      <c r="AH144" s="176">
        <f t="shared" si="66"/>
        <v>4</v>
      </c>
      <c r="AI144" s="225">
        <f t="shared" si="67"/>
        <v>-1.8938295333749298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7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7">
        <f t="shared" si="50"/>
        <v>0</v>
      </c>
      <c r="M145" s="856"/>
      <c r="N145" s="856"/>
      <c r="O145" s="324">
        <f t="shared" si="51"/>
        <v>0</v>
      </c>
      <c r="P145" s="169">
        <f>(INDEX(Models!$BJ145:$BT145,,T145)*(1-R145)+INDEX(Models!$BJ145:$BT145,,T145+1)*R145-ERP_i)*Q145*Ramure*Pc/MaxiM</f>
        <v>5.9175564751570963E-6</v>
      </c>
      <c r="Q145" s="305">
        <f t="shared" si="52"/>
        <v>0.5</v>
      </c>
      <c r="R145" s="177">
        <f t="shared" si="53"/>
        <v>0.10972676768343459</v>
      </c>
      <c r="S145" s="811">
        <f t="shared" si="71"/>
        <v>-2</v>
      </c>
      <c r="T145" s="176">
        <f t="shared" si="54"/>
        <v>4</v>
      </c>
      <c r="U145" s="251">
        <f t="shared" si="55"/>
        <v>-1.8902732323165654</v>
      </c>
      <c r="V145" s="383">
        <f t="shared" si="56"/>
        <v>62.902757905254973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6">
        <f t="shared" si="62"/>
        <v>0</v>
      </c>
      <c r="AD145" s="169">
        <f>(INDEX(Models!$BJ145:$BT145,,AH145)*(1-AF145)+INDEX(Models!$BJ145:$BT145,,AH145+1)*AF145-ERP_i)*AE145*Ramure*Pc/MaxiM</f>
        <v>5.9175564751570963E-6</v>
      </c>
      <c r="AE145" s="305">
        <f t="shared" si="63"/>
        <v>0.5</v>
      </c>
      <c r="AF145" s="177">
        <f t="shared" si="64"/>
        <v>0.10972676768343459</v>
      </c>
      <c r="AG145" s="811">
        <f t="shared" si="65"/>
        <v>-2</v>
      </c>
      <c r="AH145" s="176">
        <f t="shared" si="66"/>
        <v>4</v>
      </c>
      <c r="AI145" s="225">
        <f t="shared" si="67"/>
        <v>-1.8902732323165654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7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7">
        <f t="shared" si="50"/>
        <v>0</v>
      </c>
      <c r="M146" s="856"/>
      <c r="N146" s="856"/>
      <c r="O146" s="324">
        <f t="shared" si="51"/>
        <v>0</v>
      </c>
      <c r="P146" s="169">
        <f>(INDEX(Models!$BJ146:$BT146,,T146)*(1-R146)+INDEX(Models!$BJ146:$BT146,,T146+1)*R146-ERP_i)*Q146*Ramure*Pc/MaxiM</f>
        <v>6.4493669718607729E-6</v>
      </c>
      <c r="Q146" s="305">
        <f t="shared" si="52"/>
        <v>0.5</v>
      </c>
      <c r="R146" s="177">
        <f t="shared" si="53"/>
        <v>0.11336415533126321</v>
      </c>
      <c r="S146" s="811">
        <f t="shared" si="71"/>
        <v>-2</v>
      </c>
      <c r="T146" s="176">
        <f t="shared" si="54"/>
        <v>4</v>
      </c>
      <c r="U146" s="251">
        <f t="shared" si="55"/>
        <v>-1.8866358446687368</v>
      </c>
      <c r="V146" s="383">
        <f t="shared" si="56"/>
        <v>62.986734297522929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6">
        <f t="shared" si="62"/>
        <v>0</v>
      </c>
      <c r="AD146" s="169">
        <f>(INDEX(Models!$BJ146:$BT146,,AH146)*(1-AF146)+INDEX(Models!$BJ146:$BT146,,AH146+1)*AF146-ERP_i)*AE146*Ramure*Pc/MaxiM</f>
        <v>6.4493669718607729E-6</v>
      </c>
      <c r="AE146" s="305">
        <f t="shared" si="63"/>
        <v>0.5</v>
      </c>
      <c r="AF146" s="177">
        <f t="shared" si="64"/>
        <v>0.11336415533126321</v>
      </c>
      <c r="AG146" s="811">
        <f t="shared" si="65"/>
        <v>-2</v>
      </c>
      <c r="AH146" s="176">
        <f t="shared" si="66"/>
        <v>4</v>
      </c>
      <c r="AI146" s="225">
        <f t="shared" si="67"/>
        <v>-1.8866358446687368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7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7">
        <f t="shared" si="50"/>
        <v>0</v>
      </c>
      <c r="M147" s="856"/>
      <c r="N147" s="856"/>
      <c r="O147" s="324">
        <f t="shared" si="51"/>
        <v>0</v>
      </c>
      <c r="P147" s="169">
        <f>(INDEX(Models!$BJ147:$BT147,,T147)*(1-R147)+INDEX(Models!$BJ147:$BT147,,T147+1)*R147-ERP_i)*Q147*Ramure*Pc/MaxiM</f>
        <v>6.9910806326308921E-6</v>
      </c>
      <c r="Q147" s="305">
        <f t="shared" si="52"/>
        <v>0.5</v>
      </c>
      <c r="R147" s="177">
        <f t="shared" si="53"/>
        <v>0.11708225845671527</v>
      </c>
      <c r="S147" s="811">
        <f t="shared" si="71"/>
        <v>-2</v>
      </c>
      <c r="T147" s="176">
        <f t="shared" si="54"/>
        <v>4</v>
      </c>
      <c r="U147" s="251">
        <f t="shared" si="55"/>
        <v>-1.8829177415432847</v>
      </c>
      <c r="V147" s="383">
        <f t="shared" si="56"/>
        <v>63.066487118504511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6">
        <f t="shared" si="62"/>
        <v>0</v>
      </c>
      <c r="AD147" s="169">
        <f>(INDEX(Models!$BJ147:$BT147,,AH147)*(1-AF147)+INDEX(Models!$BJ147:$BT147,,AH147+1)*AF147-ERP_i)*AE147*Ramure*Pc/MaxiM</f>
        <v>6.9910806326308921E-6</v>
      </c>
      <c r="AE147" s="305">
        <f t="shared" si="63"/>
        <v>0.5</v>
      </c>
      <c r="AF147" s="177">
        <f t="shared" si="64"/>
        <v>0.11708225845671527</v>
      </c>
      <c r="AG147" s="811">
        <f t="shared" si="65"/>
        <v>-2</v>
      </c>
      <c r="AH147" s="176">
        <f t="shared" si="66"/>
        <v>4</v>
      </c>
      <c r="AI147" s="225">
        <f t="shared" si="67"/>
        <v>-1.8829177415432847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7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7">
        <f t="shared" si="50"/>
        <v>0</v>
      </c>
      <c r="M148" s="856"/>
      <c r="N148" s="856"/>
      <c r="O148" s="324">
        <f t="shared" si="51"/>
        <v>0</v>
      </c>
      <c r="P148" s="169">
        <f>(INDEX(Models!$BJ148:$BT148,,T148)*(1-R148)+INDEX(Models!$BJ148:$BT148,,T148+1)*R148-ERP_i)*Q148*Ramure*Pc/MaxiM</f>
        <v>7.5415703416652332E-6</v>
      </c>
      <c r="Q148" s="305">
        <f t="shared" si="52"/>
        <v>0.5</v>
      </c>
      <c r="R148" s="177">
        <f t="shared" si="53"/>
        <v>0.12088055002231779</v>
      </c>
      <c r="S148" s="811">
        <f t="shared" si="71"/>
        <v>-2</v>
      </c>
      <c r="T148" s="176">
        <f t="shared" si="54"/>
        <v>4</v>
      </c>
      <c r="U148" s="251">
        <f t="shared" si="55"/>
        <v>-1.8791194499776822</v>
      </c>
      <c r="V148" s="383">
        <f t="shared" si="56"/>
        <v>63.142123806290236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6">
        <f t="shared" si="62"/>
        <v>0</v>
      </c>
      <c r="AD148" s="169">
        <f>(INDEX(Models!$BJ148:$BT148,,AH148)*(1-AF148)+INDEX(Models!$BJ148:$BT148,,AH148+1)*AF148-ERP_i)*AE148*Ramure*Pc/MaxiM</f>
        <v>7.5415703416652332E-6</v>
      </c>
      <c r="AE148" s="305">
        <f t="shared" si="63"/>
        <v>0.5</v>
      </c>
      <c r="AF148" s="177">
        <f t="shared" si="64"/>
        <v>0.12088055002231779</v>
      </c>
      <c r="AG148" s="811">
        <f t="shared" si="65"/>
        <v>-2</v>
      </c>
      <c r="AH148" s="176">
        <f t="shared" si="66"/>
        <v>4</v>
      </c>
      <c r="AI148" s="225">
        <f t="shared" si="67"/>
        <v>-1.8791194499776822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7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7">
        <f t="shared" si="50"/>
        <v>0</v>
      </c>
      <c r="M149" s="856"/>
      <c r="N149" s="856"/>
      <c r="O149" s="324">
        <f t="shared" si="51"/>
        <v>0</v>
      </c>
      <c r="P149" s="169">
        <f>(INDEX(Models!$BJ149:$BT149,,T149)*(1-R149)+INDEX(Models!$BJ149:$BT149,,T149+1)*R149-ERP_i)*Q149*Ramure*Pc/MaxiM</f>
        <v>8.0996584275652909E-6</v>
      </c>
      <c r="Q149" s="305">
        <f t="shared" si="52"/>
        <v>0.5</v>
      </c>
      <c r="R149" s="177">
        <f t="shared" si="53"/>
        <v>0.12475834173735745</v>
      </c>
      <c r="S149" s="811">
        <f t="shared" si="71"/>
        <v>-2</v>
      </c>
      <c r="T149" s="176">
        <f t="shared" si="54"/>
        <v>4</v>
      </c>
      <c r="U149" s="251">
        <f t="shared" si="55"/>
        <v>-1.8752416582626426</v>
      </c>
      <c r="V149" s="383">
        <f t="shared" si="56"/>
        <v>63.213018166347695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6">
        <f t="shared" si="62"/>
        <v>0</v>
      </c>
      <c r="AD149" s="169">
        <f>(INDEX(Models!$BJ149:$BT149,,AH149)*(1-AF149)+INDEX(Models!$BJ149:$BT149,,AH149+1)*AF149-ERP_i)*AE149*Ramure*Pc/MaxiM</f>
        <v>8.0996584275652909E-6</v>
      </c>
      <c r="AE149" s="305">
        <f t="shared" si="63"/>
        <v>0.5</v>
      </c>
      <c r="AF149" s="177">
        <f t="shared" si="64"/>
        <v>0.12475834173735745</v>
      </c>
      <c r="AG149" s="811">
        <f t="shared" si="65"/>
        <v>-2</v>
      </c>
      <c r="AH149" s="176">
        <f t="shared" si="66"/>
        <v>4</v>
      </c>
      <c r="AI149" s="225">
        <f t="shared" si="67"/>
        <v>-1.8752416582626426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7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7">
        <f t="shared" si="50"/>
        <v>0</v>
      </c>
      <c r="M150" s="856"/>
      <c r="N150" s="856"/>
      <c r="O150" s="324">
        <f t="shared" si="51"/>
        <v>0</v>
      </c>
      <c r="P150" s="169">
        <f>(INDEX(Models!$BJ150:$BT150,,T150)*(1-R150)+INDEX(Models!$BJ150:$BT150,,T150+1)*R150-ERP_i)*Q150*Ramure*Pc/MaxiM</f>
        <v>8.6186631034596279E-6</v>
      </c>
      <c r="Q150" s="305">
        <f t="shared" si="52"/>
        <v>0.5</v>
      </c>
      <c r="R150" s="177">
        <f t="shared" si="53"/>
        <v>0.12871477919848351</v>
      </c>
      <c r="S150" s="811">
        <f t="shared" si="71"/>
        <v>-2</v>
      </c>
      <c r="T150" s="176">
        <f t="shared" si="54"/>
        <v>4</v>
      </c>
      <c r="U150" s="251">
        <f t="shared" si="55"/>
        <v>-1.8712852208015165</v>
      </c>
      <c r="V150" s="383">
        <f t="shared" si="56"/>
        <v>63.27861846628187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6">
        <f t="shared" si="62"/>
        <v>0</v>
      </c>
      <c r="AD150" s="169">
        <f>(INDEX(Models!$BJ150:$BT150,,AH150)*(1-AF150)+INDEX(Models!$BJ150:$BT150,,AH150+1)*AF150-ERP_i)*AE150*Ramure*Pc/MaxiM</f>
        <v>8.6186631034596279E-6</v>
      </c>
      <c r="AE150" s="305">
        <f t="shared" si="63"/>
        <v>0.5</v>
      </c>
      <c r="AF150" s="177">
        <f t="shared" si="64"/>
        <v>0.12871477919848351</v>
      </c>
      <c r="AG150" s="811">
        <f t="shared" si="65"/>
        <v>-2</v>
      </c>
      <c r="AH150" s="176">
        <f t="shared" si="66"/>
        <v>4</v>
      </c>
      <c r="AI150" s="225">
        <f t="shared" si="67"/>
        <v>-1.8712852208015165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7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7">
        <f t="shared" si="50"/>
        <v>0</v>
      </c>
      <c r="M151" s="856"/>
      <c r="N151" s="856"/>
      <c r="O151" s="324">
        <f t="shared" si="51"/>
        <v>0</v>
      </c>
      <c r="P151" s="169">
        <f>(INDEX(Models!$BJ151:$BT151,,T151)*(1-R151)+INDEX(Models!$BJ151:$BT151,,T151+1)*R151-ERP_i)*Q151*Ramure*Pc/MaxiM</f>
        <v>9.0804948011882893E-6</v>
      </c>
      <c r="Q151" s="305">
        <f t="shared" si="52"/>
        <v>0.5</v>
      </c>
      <c r="R151" s="177">
        <f t="shared" si="53"/>
        <v>0.13274883755845734</v>
      </c>
      <c r="S151" s="811">
        <f t="shared" si="71"/>
        <v>-2</v>
      </c>
      <c r="T151" s="176">
        <f t="shared" si="54"/>
        <v>4</v>
      </c>
      <c r="U151" s="251">
        <f t="shared" si="55"/>
        <v>-1.8672511624415427</v>
      </c>
      <c r="V151" s="383">
        <f t="shared" si="56"/>
        <v>63.339140587850416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6">
        <f t="shared" si="62"/>
        <v>0</v>
      </c>
      <c r="AD151" s="169">
        <f>(INDEX(Models!$BJ151:$BT151,,AH151)*(1-AF151)+INDEX(Models!$BJ151:$BT151,,AH151+1)*AF151-ERP_i)*AE151*Ramure*Pc/MaxiM</f>
        <v>9.0804948011882893E-6</v>
      </c>
      <c r="AE151" s="305">
        <f t="shared" si="63"/>
        <v>0.5</v>
      </c>
      <c r="AF151" s="177">
        <f t="shared" si="64"/>
        <v>0.13274883755845734</v>
      </c>
      <c r="AG151" s="811">
        <f t="shared" si="65"/>
        <v>-2</v>
      </c>
      <c r="AH151" s="176">
        <f t="shared" si="66"/>
        <v>4</v>
      </c>
      <c r="AI151" s="225">
        <f t="shared" si="67"/>
        <v>-1.8672511624415427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7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7">
        <f t="shared" si="50"/>
        <v>0</v>
      </c>
      <c r="M152" s="856"/>
      <c r="N152" s="856"/>
      <c r="O152" s="324">
        <f t="shared" si="51"/>
        <v>0</v>
      </c>
      <c r="P152" s="169">
        <f>(INDEX(Models!$BJ152:$BT152,,T152)*(1-R152)+INDEX(Models!$BJ152:$BT152,,T152+1)*R152-ERP_i)*Q152*Ramure*Pc/MaxiM</f>
        <v>9.4767626211978088E-6</v>
      </c>
      <c r="Q152" s="305">
        <f t="shared" si="52"/>
        <v>0.5</v>
      </c>
      <c r="R152" s="177">
        <f t="shared" si="53"/>
        <v>0.13685931778241445</v>
      </c>
      <c r="S152" s="811">
        <f t="shared" si="71"/>
        <v>-2</v>
      </c>
      <c r="T152" s="176">
        <f t="shared" si="54"/>
        <v>4</v>
      </c>
      <c r="U152" s="251">
        <f t="shared" si="55"/>
        <v>-1.8631406822175856</v>
      </c>
      <c r="V152" s="383">
        <f t="shared" si="56"/>
        <v>63.394799799729959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6">
        <f t="shared" si="62"/>
        <v>0</v>
      </c>
      <c r="AD152" s="169">
        <f>(INDEX(Models!$BJ152:$BT152,,AH152)*(1-AF152)+INDEX(Models!$BJ152:$BT152,,AH152+1)*AF152-ERP_i)*AE152*Ramure*Pc/MaxiM</f>
        <v>9.4767626211978088E-6</v>
      </c>
      <c r="AE152" s="305">
        <f t="shared" si="63"/>
        <v>0.5</v>
      </c>
      <c r="AF152" s="177">
        <f t="shared" si="64"/>
        <v>0.13685931778241445</v>
      </c>
      <c r="AG152" s="811">
        <f t="shared" si="65"/>
        <v>-2</v>
      </c>
      <c r="AH152" s="176">
        <f t="shared" si="66"/>
        <v>4</v>
      </c>
      <c r="AI152" s="225">
        <f t="shared" si="67"/>
        <v>-1.8631406822175856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7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7">
        <f t="shared" si="50"/>
        <v>0</v>
      </c>
      <c r="M153" s="856"/>
      <c r="N153" s="856"/>
      <c r="O153" s="324">
        <f t="shared" si="51"/>
        <v>0</v>
      </c>
      <c r="P153" s="169">
        <f>(INDEX(Models!$BJ153:$BT153,,T153)*(1-R153)+INDEX(Models!$BJ153:$BT153,,T153+1)*R153-ERP_i)*Q153*Ramure*Pc/MaxiM</f>
        <v>9.7985354315470831E-6</v>
      </c>
      <c r="Q153" s="305">
        <f t="shared" si="52"/>
        <v>0.5</v>
      </c>
      <c r="R153" s="177">
        <f t="shared" si="53"/>
        <v>0.14104484354971092</v>
      </c>
      <c r="S153" s="811">
        <f t="shared" si="71"/>
        <v>-2</v>
      </c>
      <c r="T153" s="176">
        <f t="shared" si="54"/>
        <v>4</v>
      </c>
      <c r="U153" s="251">
        <f t="shared" si="55"/>
        <v>-1.8589551564502891</v>
      </c>
      <c r="V153" s="383">
        <f t="shared" si="56"/>
        <v>63.445811408482193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6">
        <f t="shared" si="62"/>
        <v>0</v>
      </c>
      <c r="AD153" s="169">
        <f>(INDEX(Models!$BJ153:$BT153,,AH153)*(1-AF153)+INDEX(Models!$BJ153:$BT153,,AH153+1)*AF153-ERP_i)*AE153*Ramure*Pc/MaxiM</f>
        <v>9.7985354315470831E-6</v>
      </c>
      <c r="AE153" s="305">
        <f t="shared" si="63"/>
        <v>0.5</v>
      </c>
      <c r="AF153" s="177">
        <f t="shared" si="64"/>
        <v>0.14104484354971092</v>
      </c>
      <c r="AG153" s="811">
        <f t="shared" si="65"/>
        <v>-2</v>
      </c>
      <c r="AH153" s="176">
        <f t="shared" si="66"/>
        <v>4</v>
      </c>
      <c r="AI153" s="225">
        <f t="shared" si="67"/>
        <v>-1.8589551564502891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7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7">
        <f t="shared" si="50"/>
        <v>0</v>
      </c>
      <c r="M154" s="856"/>
      <c r="N154" s="856"/>
      <c r="O154" s="324">
        <f t="shared" si="51"/>
        <v>0</v>
      </c>
      <c r="P154" s="169">
        <f>(INDEX(Models!$BJ154:$BT154,,T154)*(1-R154)+INDEX(Models!$BJ154:$BT154,,T154+1)*R154-ERP_i)*Q154*Ramure*Pc/MaxiM</f>
        <v>1.0036340156188641E-5</v>
      </c>
      <c r="Q154" s="305">
        <f t="shared" si="52"/>
        <v>0.5</v>
      </c>
      <c r="R154" s="177">
        <f t="shared" si="53"/>
        <v>0.14530385885737163</v>
      </c>
      <c r="S154" s="811">
        <f t="shared" si="71"/>
        <v>-2</v>
      </c>
      <c r="T154" s="176">
        <f t="shared" si="54"/>
        <v>4</v>
      </c>
      <c r="U154" s="251">
        <f t="shared" si="55"/>
        <v>-1.8546961411426284</v>
      </c>
      <c r="V154" s="383">
        <f t="shared" si="56"/>
        <v>63.492390750769076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6">
        <f t="shared" si="62"/>
        <v>0</v>
      </c>
      <c r="AD154" s="169">
        <f>(INDEX(Models!$BJ154:$BT154,,AH154)*(1-AF154)+INDEX(Models!$BJ154:$BT154,,AH154+1)*AF154-ERP_i)*AE154*Ramure*Pc/MaxiM</f>
        <v>1.0036340156188641E-5</v>
      </c>
      <c r="AE154" s="305">
        <f t="shared" si="63"/>
        <v>0.5</v>
      </c>
      <c r="AF154" s="177">
        <f t="shared" si="64"/>
        <v>0.14530385885737163</v>
      </c>
      <c r="AG154" s="811">
        <f t="shared" si="65"/>
        <v>-2</v>
      </c>
      <c r="AH154" s="176">
        <f t="shared" si="66"/>
        <v>4</v>
      </c>
      <c r="AI154" s="225">
        <f t="shared" si="67"/>
        <v>-1.8546961411426284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7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7">
        <f t="shared" si="50"/>
        <v>0</v>
      </c>
      <c r="M155" s="856"/>
      <c r="N155" s="856"/>
      <c r="O155" s="324">
        <f t="shared" si="51"/>
        <v>0</v>
      </c>
      <c r="P155" s="169">
        <f>(INDEX(Models!$BJ155:$BT155,,T155)*(1-R155)+INDEX(Models!$BJ155:$BT155,,T155+1)*R155-ERP_i)*Q155*Ramure*Pc/MaxiM</f>
        <v>1.0180163614289867E-5</v>
      </c>
      <c r="Q155" s="305">
        <f t="shared" si="52"/>
        <v>0.5</v>
      </c>
      <c r="R155" s="177">
        <f t="shared" si="53"/>
        <v>0.14963462637831437</v>
      </c>
      <c r="S155" s="811">
        <f t="shared" si="71"/>
        <v>-2</v>
      </c>
      <c r="T155" s="176">
        <f t="shared" si="54"/>
        <v>4</v>
      </c>
      <c r="U155" s="251">
        <f t="shared" si="55"/>
        <v>-1.8503653736216856</v>
      </c>
      <c r="V155" s="383">
        <f t="shared" si="56"/>
        <v>63.534753199261012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6">
        <f t="shared" si="62"/>
        <v>0</v>
      </c>
      <c r="AD155" s="169">
        <f>(INDEX(Models!$BJ155:$BT155,,AH155)*(1-AF155)+INDEX(Models!$BJ155:$BT155,,AH155+1)*AF155-ERP_i)*AE155*Ramure*Pc/MaxiM</f>
        <v>1.0180163614289867E-5</v>
      </c>
      <c r="AE155" s="305">
        <f t="shared" si="63"/>
        <v>0.5</v>
      </c>
      <c r="AF155" s="177">
        <f t="shared" si="64"/>
        <v>0.14963462637831437</v>
      </c>
      <c r="AG155" s="811">
        <f t="shared" si="65"/>
        <v>-2</v>
      </c>
      <c r="AH155" s="176">
        <f t="shared" si="66"/>
        <v>4</v>
      </c>
      <c r="AI155" s="225">
        <f t="shared" si="67"/>
        <v>-1.8503653736216856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7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7">
        <f t="shared" si="50"/>
        <v>0</v>
      </c>
      <c r="M156" s="856"/>
      <c r="N156" s="856"/>
      <c r="O156" s="324">
        <f t="shared" si="51"/>
        <v>0</v>
      </c>
      <c r="P156" s="169">
        <f>(INDEX(Models!$BJ156:$BT156,,T156)*(1-R156)+INDEX(Models!$BJ156:$BT156,,T156+1)*R156-ERP_i)*Q156*Ramure*Pc/MaxiM</f>
        <v>1.0237795718187613E-5</v>
      </c>
      <c r="Q156" s="305">
        <f t="shared" si="52"/>
        <v>0.5</v>
      </c>
      <c r="R156" s="177">
        <f t="shared" si="53"/>
        <v>0.15403522662387004</v>
      </c>
      <c r="S156" s="811">
        <f t="shared" si="71"/>
        <v>-2</v>
      </c>
      <c r="T156" s="176">
        <f t="shared" si="54"/>
        <v>4</v>
      </c>
      <c r="U156" s="251">
        <f t="shared" si="55"/>
        <v>-1.84596477337613</v>
      </c>
      <c r="V156" s="383">
        <f t="shared" si="56"/>
        <v>63.57311299331456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6">
        <f t="shared" si="62"/>
        <v>0</v>
      </c>
      <c r="AD156" s="169">
        <f>(INDEX(Models!$BJ156:$BT156,,AH156)*(1-AF156)+INDEX(Models!$BJ156:$BT156,,AH156+1)*AF156-ERP_i)*AE156*Ramure*Pc/MaxiM</f>
        <v>1.0237795718187613E-5</v>
      </c>
      <c r="AE156" s="305">
        <f t="shared" si="63"/>
        <v>0.5</v>
      </c>
      <c r="AF156" s="177">
        <f t="shared" si="64"/>
        <v>0.15403522662387004</v>
      </c>
      <c r="AG156" s="811">
        <f t="shared" si="65"/>
        <v>-2</v>
      </c>
      <c r="AH156" s="176">
        <f t="shared" si="66"/>
        <v>4</v>
      </c>
      <c r="AI156" s="225">
        <f t="shared" si="67"/>
        <v>-1.84596477337613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7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7">
        <f t="shared" si="50"/>
        <v>0</v>
      </c>
      <c r="M157" s="856"/>
      <c r="N157" s="856"/>
      <c r="O157" s="324">
        <f t="shared" si="51"/>
        <v>0</v>
      </c>
      <c r="P157" s="169">
        <f>(INDEX(Models!$BJ157:$BT157,,T157)*(1-R157)+INDEX(Models!$BJ157:$BT157,,T157+1)*R157-ERP_i)*Q157*Ramure*Pc/MaxiM</f>
        <v>1.02438544885819E-5</v>
      </c>
      <c r="Q157" s="305">
        <f t="shared" si="52"/>
        <v>0.5</v>
      </c>
      <c r="R157" s="177">
        <f t="shared" si="53"/>
        <v>0.15850355795564242</v>
      </c>
      <c r="S157" s="811">
        <f t="shared" si="71"/>
        <v>-2</v>
      </c>
      <c r="T157" s="176">
        <f t="shared" si="54"/>
        <v>4</v>
      </c>
      <c r="U157" s="251">
        <f t="shared" si="55"/>
        <v>-1.8414964420443576</v>
      </c>
      <c r="V157" s="383">
        <f t="shared" si="56"/>
        <v>63.607682662108409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6">
        <f t="shared" si="62"/>
        <v>0</v>
      </c>
      <c r="AD157" s="169">
        <f>(INDEX(Models!$BJ157:$BT157,,AH157)*(1-AF157)+INDEX(Models!$BJ157:$BT157,,AH157+1)*AF157-ERP_i)*AE157*Ramure*Pc/MaxiM</f>
        <v>1.02438544885819E-5</v>
      </c>
      <c r="AE157" s="305">
        <f t="shared" si="63"/>
        <v>0.5</v>
      </c>
      <c r="AF157" s="177">
        <f t="shared" si="64"/>
        <v>0.15850355795564242</v>
      </c>
      <c r="AG157" s="811">
        <f t="shared" si="65"/>
        <v>-2</v>
      </c>
      <c r="AH157" s="176">
        <f t="shared" si="66"/>
        <v>4</v>
      </c>
      <c r="AI157" s="225">
        <f t="shared" si="67"/>
        <v>-1.8414964420443576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7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7">
        <f t="shared" si="50"/>
        <v>0</v>
      </c>
      <c r="M158" s="856"/>
      <c r="N158" s="856"/>
      <c r="O158" s="324">
        <f t="shared" si="51"/>
        <v>0</v>
      </c>
      <c r="P158" s="169">
        <f>(INDEX(Models!$BJ158:$BT158,,T158)*(1-R158)+INDEX(Models!$BJ158:$BT158,,T158+1)*R158-ERP_i)*Q158*Ramure*Pc/MaxiM</f>
        <v>1.019325839084607E-5</v>
      </c>
      <c r="Q158" s="305">
        <f t="shared" si="52"/>
        <v>0.5</v>
      </c>
      <c r="R158" s="177">
        <f t="shared" si="53"/>
        <v>0.16303733748647176</v>
      </c>
      <c r="S158" s="811">
        <f t="shared" si="71"/>
        <v>-2</v>
      </c>
      <c r="T158" s="176">
        <f t="shared" si="54"/>
        <v>4</v>
      </c>
      <c r="U158" s="251">
        <f t="shared" si="55"/>
        <v>-1.8369626625135282</v>
      </c>
      <c r="V158" s="383">
        <f t="shared" si="56"/>
        <v>63.638677255859925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6">
        <f t="shared" si="62"/>
        <v>0</v>
      </c>
      <c r="AD158" s="169">
        <f>(INDEX(Models!$BJ158:$BT158,,AH158)*(1-AF158)+INDEX(Models!$BJ158:$BT158,,AH158+1)*AF158-ERP_i)*AE158*Ramure*Pc/MaxiM</f>
        <v>1.019325839084607E-5</v>
      </c>
      <c r="AE158" s="305">
        <f t="shared" si="63"/>
        <v>0.5</v>
      </c>
      <c r="AF158" s="177">
        <f t="shared" si="64"/>
        <v>0.16303733748647176</v>
      </c>
      <c r="AG158" s="811">
        <f t="shared" si="65"/>
        <v>-2</v>
      </c>
      <c r="AH158" s="176">
        <f t="shared" si="66"/>
        <v>4</v>
      </c>
      <c r="AI158" s="225">
        <f t="shared" si="67"/>
        <v>-1.8369626625135282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7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7">
        <f t="shared" si="50"/>
        <v>0</v>
      </c>
      <c r="M159" s="856"/>
      <c r="N159" s="856"/>
      <c r="O159" s="324">
        <f t="shared" si="51"/>
        <v>0</v>
      </c>
      <c r="P159" s="169">
        <f>(INDEX(Models!$BJ159:$BT159,,T159)*(1-R159)+INDEX(Models!$BJ159:$BT159,,T159+1)*R159-ERP_i)*Q159*Ramure*Pc/MaxiM</f>
        <v>1.0080791784787741E-5</v>
      </c>
      <c r="Q159" s="305">
        <f t="shared" si="52"/>
        <v>0.5</v>
      </c>
      <c r="R159" s="177">
        <f t="shared" si="53"/>
        <v>0.16763410290418901</v>
      </c>
      <c r="S159" s="811">
        <f t="shared" si="71"/>
        <v>-2</v>
      </c>
      <c r="T159" s="176">
        <f t="shared" si="54"/>
        <v>4</v>
      </c>
      <c r="U159" s="251">
        <f t="shared" si="55"/>
        <v>-1.832365897095811</v>
      </c>
      <c r="V159" s="383">
        <f t="shared" si="56"/>
        <v>63.666311831305556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6">
        <f t="shared" si="62"/>
        <v>0</v>
      </c>
      <c r="AD159" s="169">
        <f>(INDEX(Models!$BJ159:$BT159,,AH159)*(1-AF159)+INDEX(Models!$BJ159:$BT159,,AH159+1)*AF159-ERP_i)*AE159*Ramure*Pc/MaxiM</f>
        <v>1.0080791784787741E-5</v>
      </c>
      <c r="AE159" s="305">
        <f t="shared" si="63"/>
        <v>0.5</v>
      </c>
      <c r="AF159" s="177">
        <f t="shared" si="64"/>
        <v>0.16763410290418901</v>
      </c>
      <c r="AG159" s="811">
        <f t="shared" si="65"/>
        <v>-2</v>
      </c>
      <c r="AH159" s="176">
        <f t="shared" si="66"/>
        <v>4</v>
      </c>
      <c r="AI159" s="225">
        <f t="shared" si="67"/>
        <v>-1.832365897095811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7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7">
        <f t="shared" si="50"/>
        <v>0</v>
      </c>
      <c r="M160" s="856"/>
      <c r="N160" s="856"/>
      <c r="O160" s="324">
        <f t="shared" si="51"/>
        <v>0</v>
      </c>
      <c r="P160" s="169">
        <f>(INDEX(Models!$BJ160:$BT160,,T160)*(1-R160)+INDEX(Models!$BJ160:$BT160,,T160+1)*R160-ERP_i)*Q160*Ramure*Pc/MaxiM</f>
        <v>9.9010543969798478E-6</v>
      </c>
      <c r="Q160" s="305">
        <f t="shared" si="52"/>
        <v>0.5</v>
      </c>
      <c r="R160" s="177">
        <f t="shared" si="53"/>
        <v>0.17229121524502133</v>
      </c>
      <c r="S160" s="811">
        <f t="shared" si="71"/>
        <v>-2</v>
      </c>
      <c r="T160" s="176">
        <f t="shared" si="54"/>
        <v>4</v>
      </c>
      <c r="U160" s="251">
        <f t="shared" si="55"/>
        <v>-1.8277087847549787</v>
      </c>
      <c r="V160" s="383">
        <f t="shared" si="56"/>
        <v>63.690801457866371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6">
        <f t="shared" si="62"/>
        <v>0</v>
      </c>
      <c r="AD160" s="169">
        <f>(INDEX(Models!$BJ160:$BT160,,AH160)*(1-AF160)+INDEX(Models!$BJ160:$BT160,,AH160+1)*AF160-ERP_i)*AE160*Ramure*Pc/MaxiM</f>
        <v>9.9010543969798478E-6</v>
      </c>
      <c r="AE160" s="305">
        <f t="shared" si="63"/>
        <v>0.5</v>
      </c>
      <c r="AF160" s="177">
        <f t="shared" si="64"/>
        <v>0.17229121524502133</v>
      </c>
      <c r="AG160" s="811">
        <f t="shared" si="65"/>
        <v>-2</v>
      </c>
      <c r="AH160" s="176">
        <f t="shared" si="66"/>
        <v>4</v>
      </c>
      <c r="AI160" s="225">
        <f t="shared" si="67"/>
        <v>-1.8277087847549787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7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7">
        <f t="shared" si="50"/>
        <v>0</v>
      </c>
      <c r="M161" s="856"/>
      <c r="N161" s="856"/>
      <c r="O161" s="324">
        <f t="shared" si="51"/>
        <v>0</v>
      </c>
      <c r="P161" s="169">
        <f>(INDEX(Models!$BJ161:$BT161,,T161)*(1-R161)+INDEX(Models!$BJ161:$BT161,,T161+1)*R161-ERP_i)*Q161*Ramure*Pc/MaxiM</f>
        <v>9.6484739821432814E-6</v>
      </c>
      <c r="Q161" s="305">
        <f t="shared" si="52"/>
        <v>0.5</v>
      </c>
      <c r="R161" s="177">
        <f t="shared" si="53"/>
        <v>0.17700586263599716</v>
      </c>
      <c r="S161" s="811">
        <f t="shared" si="71"/>
        <v>-2</v>
      </c>
      <c r="T161" s="176">
        <f t="shared" si="54"/>
        <v>4</v>
      </c>
      <c r="U161" s="251">
        <f t="shared" si="55"/>
        <v>-1.8229941373640028</v>
      </c>
      <c r="V161" s="383">
        <f t="shared" si="56"/>
        <v>63.712361214887437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6">
        <f t="shared" si="62"/>
        <v>0</v>
      </c>
      <c r="AD161" s="169">
        <f>(INDEX(Models!$BJ161:$BT161,,AH161)*(1-AF161)+INDEX(Models!$BJ161:$BT161,,AH161+1)*AF161-ERP_i)*AE161*Ramure*Pc/MaxiM</f>
        <v>9.6484739821432814E-6</v>
      </c>
      <c r="AE161" s="305">
        <f t="shared" si="63"/>
        <v>0.5</v>
      </c>
      <c r="AF161" s="177">
        <f t="shared" si="64"/>
        <v>0.17700586263599716</v>
      </c>
      <c r="AG161" s="811">
        <f t="shared" si="65"/>
        <v>-2</v>
      </c>
      <c r="AH161" s="176">
        <f t="shared" si="66"/>
        <v>4</v>
      </c>
      <c r="AI161" s="225">
        <f t="shared" si="67"/>
        <v>-1.8229941373640028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7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7">
        <f t="shared" si="50"/>
        <v>0</v>
      </c>
      <c r="M162" s="856"/>
      <c r="N162" s="856"/>
      <c r="O162" s="324">
        <f t="shared" si="51"/>
        <v>0</v>
      </c>
      <c r="P162" s="169">
        <f>(INDEX(Models!$BJ162:$BT162,,T162)*(1-R162)+INDEX(Models!$BJ162:$BT162,,T162+1)*R162-ERP_i)*Q162*Ramure*Pc/MaxiM</f>
        <v>9.3173208793032367E-6</v>
      </c>
      <c r="Q162" s="305">
        <f t="shared" si="52"/>
        <v>0.5</v>
      </c>
      <c r="R162" s="177">
        <f t="shared" si="53"/>
        <v>0.18177506501753937</v>
      </c>
      <c r="S162" s="811">
        <f t="shared" si="71"/>
        <v>-2</v>
      </c>
      <c r="T162" s="176">
        <f t="shared" si="54"/>
        <v>4</v>
      </c>
      <c r="U162" s="251">
        <f t="shared" si="55"/>
        <v>-1.8182249349824606</v>
      </c>
      <c r="V162" s="383">
        <f t="shared" si="56"/>
        <v>63.731206190366208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6">
        <f t="shared" si="62"/>
        <v>0</v>
      </c>
      <c r="AD162" s="169">
        <f>(INDEX(Models!$BJ162:$BT162,,AH162)*(1-AF162)+INDEX(Models!$BJ162:$BT162,,AH162+1)*AF162-ERP_i)*AE162*Ramure*Pc/MaxiM</f>
        <v>9.3173208793032367E-6</v>
      </c>
      <c r="AE162" s="305">
        <f t="shared" si="63"/>
        <v>0.5</v>
      </c>
      <c r="AF162" s="177">
        <f t="shared" si="64"/>
        <v>0.18177506501753937</v>
      </c>
      <c r="AG162" s="811">
        <f t="shared" si="65"/>
        <v>-2</v>
      </c>
      <c r="AH162" s="176">
        <f t="shared" si="66"/>
        <v>4</v>
      </c>
      <c r="AI162" s="225">
        <f t="shared" si="67"/>
        <v>-1.8182249349824606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7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7">
        <f t="shared" si="50"/>
        <v>0</v>
      </c>
      <c r="M163" s="856"/>
      <c r="N163" s="856"/>
      <c r="O163" s="324">
        <f t="shared" si="51"/>
        <v>0</v>
      </c>
      <c r="P163" s="169">
        <f>(INDEX(Models!$BJ163:$BT163,,T163)*(1-R163)+INDEX(Models!$BJ163:$BT163,,T163+1)*R163-ERP_i)*Q163*Ramure*Pc/MaxiM</f>
        <v>8.9017669199616035E-6</v>
      </c>
      <c r="Q163" s="305">
        <f t="shared" si="52"/>
        <v>0.5</v>
      </c>
      <c r="R163" s="177">
        <f t="shared" si="53"/>
        <v>0.18659567984876135</v>
      </c>
      <c r="S163" s="811">
        <f t="shared" si="71"/>
        <v>-2</v>
      </c>
      <c r="T163" s="176">
        <f t="shared" si="54"/>
        <v>4</v>
      </c>
      <c r="U163" s="251">
        <f t="shared" si="55"/>
        <v>-1.8134043201512386</v>
      </c>
      <c r="V163" s="383">
        <f t="shared" si="56"/>
        <v>63.747247291317009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6">
        <f t="shared" si="62"/>
        <v>0</v>
      </c>
      <c r="AD163" s="169">
        <f>(INDEX(Models!$BJ163:$BT163,,AH163)*(1-AF163)+INDEX(Models!$BJ163:$BT163,,AH163+1)*AF163-ERP_i)*AE163*Ramure*Pc/MaxiM</f>
        <v>8.9017669199616035E-6</v>
      </c>
      <c r="AE163" s="305">
        <f t="shared" si="63"/>
        <v>0.5</v>
      </c>
      <c r="AF163" s="177">
        <f t="shared" si="64"/>
        <v>0.18659567984876135</v>
      </c>
      <c r="AG163" s="811">
        <f t="shared" si="65"/>
        <v>-2</v>
      </c>
      <c r="AH163" s="176">
        <f t="shared" si="66"/>
        <v>4</v>
      </c>
      <c r="AI163" s="225">
        <f t="shared" si="67"/>
        <v>-1.8134043201512386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7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7">
        <f t="shared" si="50"/>
        <v>0</v>
      </c>
      <c r="M164" s="856"/>
      <c r="N164" s="856"/>
      <c r="O164" s="324">
        <f t="shared" si="51"/>
        <v>0</v>
      </c>
      <c r="P164" s="169">
        <f>(INDEX(Models!$BJ164:$BT164,,T164)*(1-R164)+INDEX(Models!$BJ164:$BT164,,T164+1)*R164-ERP_i)*Q164*Ramure*Pc/MaxiM</f>
        <v>8.4355512116930715E-6</v>
      </c>
      <c r="Q164" s="305">
        <f t="shared" si="52"/>
        <v>0.5</v>
      </c>
      <c r="R164" s="177">
        <f t="shared" si="53"/>
        <v>0.19146440878884907</v>
      </c>
      <c r="S164" s="811">
        <f t="shared" si="71"/>
        <v>-2</v>
      </c>
      <c r="T164" s="176">
        <f t="shared" si="54"/>
        <v>4</v>
      </c>
      <c r="U164" s="251">
        <f t="shared" si="55"/>
        <v>-1.8085355912111509</v>
      </c>
      <c r="V164" s="383">
        <f t="shared" si="56"/>
        <v>63.760178178325205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6">
        <f t="shared" si="62"/>
        <v>0</v>
      </c>
      <c r="AD164" s="169">
        <f>(INDEX(Models!$BJ164:$BT164,,AH164)*(1-AF164)+INDEX(Models!$BJ164:$BT164,,AH164+1)*AF164-ERP_i)*AE164*Ramure*Pc/MaxiM</f>
        <v>8.4355512116930715E-6</v>
      </c>
      <c r="AE164" s="305">
        <f t="shared" si="63"/>
        <v>0.5</v>
      </c>
      <c r="AF164" s="177">
        <f t="shared" si="64"/>
        <v>0.19146440878884907</v>
      </c>
      <c r="AG164" s="811">
        <f t="shared" si="65"/>
        <v>-2</v>
      </c>
      <c r="AH164" s="176">
        <f t="shared" si="66"/>
        <v>4</v>
      </c>
      <c r="AI164" s="225">
        <f t="shared" si="67"/>
        <v>-1.8085355912111509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7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7">
        <f t="shared" si="50"/>
        <v>0</v>
      </c>
      <c r="M165" s="856"/>
      <c r="N165" s="856"/>
      <c r="O165" s="324">
        <f t="shared" si="51"/>
        <v>0</v>
      </c>
      <c r="P165" s="169">
        <f>(INDEX(Models!$BJ165:$BT165,,T165)*(1-R165)+INDEX(Models!$BJ165:$BT165,,T165+1)*R165-ERP_i)*Q165*Ramure*Pc/MaxiM</f>
        <v>7.9920945011587132E-6</v>
      </c>
      <c r="Q165" s="305">
        <f t="shared" si="52"/>
        <v>0.5</v>
      </c>
      <c r="R165" s="177">
        <f t="shared" si="53"/>
        <v>0.19637780533847571</v>
      </c>
      <c r="S165" s="811">
        <f t="shared" si="71"/>
        <v>-2</v>
      </c>
      <c r="T165" s="176">
        <f t="shared" si="54"/>
        <v>4</v>
      </c>
      <c r="U165" s="251">
        <f t="shared" si="55"/>
        <v>-1.8036221946615243</v>
      </c>
      <c r="V165" s="383">
        <f t="shared" si="56"/>
        <v>63.769886806187834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6">
        <f t="shared" si="62"/>
        <v>0</v>
      </c>
      <c r="AD165" s="169">
        <f>(INDEX(Models!$BJ165:$BT165,,AH165)*(1-AF165)+INDEX(Models!$BJ165:$BT165,,AH165+1)*AF165-ERP_i)*AE165*Ramure*Pc/MaxiM</f>
        <v>7.9920945011587132E-6</v>
      </c>
      <c r="AE165" s="305">
        <f t="shared" si="63"/>
        <v>0.5</v>
      </c>
      <c r="AF165" s="177">
        <f t="shared" si="64"/>
        <v>0.19637780533847571</v>
      </c>
      <c r="AG165" s="811">
        <f t="shared" si="65"/>
        <v>-2</v>
      </c>
      <c r="AH165" s="176">
        <f t="shared" si="66"/>
        <v>4</v>
      </c>
      <c r="AI165" s="225">
        <f t="shared" si="67"/>
        <v>-1.8036221946615243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7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7">
        <f t="shared" si="50"/>
        <v>0</v>
      </c>
      <c r="M166" s="856"/>
      <c r="N166" s="856"/>
      <c r="O166" s="324">
        <f t="shared" si="51"/>
        <v>0</v>
      </c>
      <c r="P166" s="169">
        <f>(INDEX(Models!$BJ166:$BT166,,T166)*(1-R166)+INDEX(Models!$BJ166:$BT166,,T166+1)*R166-ERP_i)*Q166*Ramure*Pc/MaxiM</f>
        <v>7.5761915470099386E-6</v>
      </c>
      <c r="Q166" s="305">
        <f t="shared" si="52"/>
        <v>0.5</v>
      </c>
      <c r="R166" s="177">
        <f t="shared" si="53"/>
        <v>0.20133228341555798</v>
      </c>
      <c r="S166" s="811">
        <f t="shared" si="71"/>
        <v>-2</v>
      </c>
      <c r="T166" s="176">
        <f t="shared" si="54"/>
        <v>4</v>
      </c>
      <c r="U166" s="251">
        <f t="shared" si="55"/>
        <v>-1.798667716584442</v>
      </c>
      <c r="V166" s="383">
        <f t="shared" si="56"/>
        <v>63.776265503335381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6">
        <f t="shared" si="62"/>
        <v>0</v>
      </c>
      <c r="AD166" s="169">
        <f>(INDEX(Models!$BJ166:$BT166,,AH166)*(1-AF166)+INDEX(Models!$BJ166:$BT166,,AH166+1)*AF166-ERP_i)*AE166*Ramure*Pc/MaxiM</f>
        <v>7.5761915470099386E-6</v>
      </c>
      <c r="AE166" s="305">
        <f t="shared" si="63"/>
        <v>0.5</v>
      </c>
      <c r="AF166" s="177">
        <f t="shared" si="64"/>
        <v>0.20133228341555798</v>
      </c>
      <c r="AG166" s="811">
        <f t="shared" si="65"/>
        <v>-2</v>
      </c>
      <c r="AH166" s="176">
        <f t="shared" si="66"/>
        <v>4</v>
      </c>
      <c r="AI166" s="225">
        <f t="shared" si="67"/>
        <v>-1.798667716584442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7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7">
        <f t="shared" si="50"/>
        <v>0</v>
      </c>
      <c r="M167" s="856"/>
      <c r="N167" s="856"/>
      <c r="O167" s="324">
        <f t="shared" si="51"/>
        <v>0</v>
      </c>
      <c r="P167" s="169">
        <f>(INDEX(Models!$BJ167:$BT167,,T167)*(1-R167)+INDEX(Models!$BJ167:$BT167,,T167+1)*R167-ERP_i)*Q167*Ramure*Pc/MaxiM</f>
        <v>7.1928709745367336E-6</v>
      </c>
      <c r="Q167" s="305">
        <f t="shared" si="52"/>
        <v>0.5</v>
      </c>
      <c r="R167" s="177">
        <f t="shared" si="53"/>
        <v>0.20632412682997048</v>
      </c>
      <c r="S167" s="811">
        <f t="shared" si="71"/>
        <v>-2</v>
      </c>
      <c r="T167" s="176">
        <f t="shared" si="54"/>
        <v>4</v>
      </c>
      <c r="U167" s="251">
        <f t="shared" si="55"/>
        <v>-1.7936758731700295</v>
      </c>
      <c r="V167" s="383">
        <f t="shared" si="56"/>
        <v>63.779206583947804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6">
        <f t="shared" si="62"/>
        <v>0</v>
      </c>
      <c r="AD167" s="169">
        <f>(INDEX(Models!$BJ167:$BT167,,AH167)*(1-AF167)+INDEX(Models!$BJ167:$BT167,,AH167+1)*AF167-ERP_i)*AE167*Ramure*Pc/MaxiM</f>
        <v>7.1928709745367336E-6</v>
      </c>
      <c r="AE167" s="305">
        <f t="shared" si="63"/>
        <v>0.5</v>
      </c>
      <c r="AF167" s="177">
        <f t="shared" si="64"/>
        <v>0.20632412682997048</v>
      </c>
      <c r="AG167" s="811">
        <f t="shared" si="65"/>
        <v>-2</v>
      </c>
      <c r="AH167" s="176">
        <f t="shared" si="66"/>
        <v>4</v>
      </c>
      <c r="AI167" s="225">
        <f t="shared" si="67"/>
        <v>-1.7936758731700295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7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7">
        <f t="shared" si="50"/>
        <v>0</v>
      </c>
      <c r="M168" s="856"/>
      <c r="N168" s="856"/>
      <c r="O168" s="324">
        <f t="shared" si="51"/>
        <v>0</v>
      </c>
      <c r="P168" s="169">
        <f>(INDEX(Models!$BJ168:$BT168,,T168)*(1-R168)+INDEX(Models!$BJ168:$BT168,,T168+1)*R168-ERP_i)*Q168*Ramure*Pc/MaxiM</f>
        <v>6.8473862671690349E-6</v>
      </c>
      <c r="Q168" s="305">
        <f t="shared" si="52"/>
        <v>0.5</v>
      </c>
      <c r="R168" s="177">
        <f t="shared" si="53"/>
        <v>0.21134949961224248</v>
      </c>
      <c r="S168" s="811">
        <f t="shared" si="71"/>
        <v>-2</v>
      </c>
      <c r="T168" s="176">
        <f t="shared" si="54"/>
        <v>4</v>
      </c>
      <c r="U168" s="251">
        <f t="shared" si="55"/>
        <v>-1.7886505003877575</v>
      </c>
      <c r="V168" s="383">
        <f t="shared" si="56"/>
        <v>63.778602347313715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6">
        <f t="shared" si="62"/>
        <v>0</v>
      </c>
      <c r="AD168" s="169">
        <f>(INDEX(Models!$BJ168:$BT168,,AH168)*(1-AF168)+INDEX(Models!$BJ168:$BT168,,AH168+1)*AF168-ERP_i)*AE168*Ramure*Pc/MaxiM</f>
        <v>6.8473862671690349E-6</v>
      </c>
      <c r="AE168" s="305">
        <f t="shared" si="63"/>
        <v>0.5</v>
      </c>
      <c r="AF168" s="177">
        <f t="shared" si="64"/>
        <v>0.21134949961224248</v>
      </c>
      <c r="AG168" s="811">
        <f t="shared" si="65"/>
        <v>-2</v>
      </c>
      <c r="AH168" s="176">
        <f t="shared" si="66"/>
        <v>4</v>
      </c>
      <c r="AI168" s="225">
        <f t="shared" si="67"/>
        <v>-1.7886505003877575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7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7">
        <f t="shared" si="50"/>
        <v>0</v>
      </c>
      <c r="M169" s="856"/>
      <c r="N169" s="856"/>
      <c r="O169" s="324">
        <f t="shared" si="51"/>
        <v>0</v>
      </c>
      <c r="P169" s="169">
        <f>(INDEX(Models!$BJ169:$BT169,,T169)*(1-R169)+INDEX(Models!$BJ169:$BT169,,T169+1)*R169-ERP_i)*Q169*Ramure*Pc/MaxiM</f>
        <v>6.5452052608212362E-6</v>
      </c>
      <c r="Q169" s="305">
        <f t="shared" si="52"/>
        <v>0.5</v>
      </c>
      <c r="R169" s="177">
        <f t="shared" si="53"/>
        <v>0.21640445714190237</v>
      </c>
      <c r="S169" s="811">
        <f t="shared" si="71"/>
        <v>-2</v>
      </c>
      <c r="T169" s="176">
        <f t="shared" si="54"/>
        <v>4</v>
      </c>
      <c r="U169" s="251">
        <f t="shared" si="55"/>
        <v>-1.7835955428580976</v>
      </c>
      <c r="V169" s="383">
        <f t="shared" si="56"/>
        <v>63.774345081538996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6">
        <f t="shared" si="62"/>
        <v>0</v>
      </c>
      <c r="AD169" s="169">
        <f>(INDEX(Models!$BJ169:$BT169,,AH169)*(1-AF169)+INDEX(Models!$BJ169:$BT169,,AH169+1)*AF169-ERP_i)*AE169*Ramure*Pc/MaxiM</f>
        <v>6.5452052608212362E-6</v>
      </c>
      <c r="AE169" s="305">
        <f t="shared" si="63"/>
        <v>0.5</v>
      </c>
      <c r="AF169" s="177">
        <f t="shared" si="64"/>
        <v>0.21640445714190237</v>
      </c>
      <c r="AG169" s="811">
        <f t="shared" si="65"/>
        <v>-2</v>
      </c>
      <c r="AH169" s="176">
        <f t="shared" si="66"/>
        <v>4</v>
      </c>
      <c r="AI169" s="225">
        <f t="shared" si="67"/>
        <v>-1.7835955428580976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7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7">
        <f t="shared" si="50"/>
        <v>0</v>
      </c>
      <c r="M170" s="856"/>
      <c r="N170" s="856"/>
      <c r="O170" s="324">
        <f t="shared" si="51"/>
        <v>0</v>
      </c>
      <c r="P170" s="169">
        <f>(INDEX(Models!$BJ170:$BT170,,T170)*(1-R170)+INDEX(Models!$BJ170:$BT170,,T170+1)*R170-ERP_i)*Q170*Ramure*Pc/MaxiM</f>
        <v>6.2973728645414928E-6</v>
      </c>
      <c r="Q170" s="305">
        <f t="shared" si="52"/>
        <v>0.5</v>
      </c>
      <c r="R170" s="177">
        <f t="shared" si="53"/>
        <v>0.22148495801217427</v>
      </c>
      <c r="S170" s="811">
        <f t="shared" si="71"/>
        <v>-2</v>
      </c>
      <c r="T170" s="176">
        <f t="shared" si="54"/>
        <v>4</v>
      </c>
      <c r="U170" s="251">
        <f t="shared" si="55"/>
        <v>-1.7785150419878257</v>
      </c>
      <c r="V170" s="383">
        <f t="shared" si="56"/>
        <v>63.766326717780004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6">
        <f t="shared" si="62"/>
        <v>0</v>
      </c>
      <c r="AD170" s="169">
        <f>(INDEX(Models!$BJ170:$BT170,,AH170)*(1-AF170)+INDEX(Models!$BJ170:$BT170,,AH170+1)*AF170-ERP_i)*AE170*Ramure*Pc/MaxiM</f>
        <v>6.2973728645414928E-6</v>
      </c>
      <c r="AE170" s="305">
        <f t="shared" si="63"/>
        <v>0.5</v>
      </c>
      <c r="AF170" s="177">
        <f t="shared" si="64"/>
        <v>0.22148495801217427</v>
      </c>
      <c r="AG170" s="811">
        <f t="shared" si="65"/>
        <v>-2</v>
      </c>
      <c r="AH170" s="176">
        <f t="shared" si="66"/>
        <v>4</v>
      </c>
      <c r="AI170" s="225">
        <f t="shared" si="67"/>
        <v>-1.7785150419878257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7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7">
        <f t="shared" si="50"/>
        <v>0</v>
      </c>
      <c r="M171" s="856"/>
      <c r="N171" s="856"/>
      <c r="O171" s="324">
        <f t="shared" si="51"/>
        <v>0</v>
      </c>
      <c r="P171" s="169">
        <f>(INDEX(Models!$BJ171:$BT171,,T171)*(1-R171)+INDEX(Models!$BJ171:$BT171,,T171+1)*R171-ERP_i)*Q171*Ramure*Pc/MaxiM</f>
        <v>6.0809217191260014E-6</v>
      </c>
      <c r="Q171" s="305">
        <f t="shared" si="52"/>
        <v>0.5</v>
      </c>
      <c r="R171" s="177">
        <f t="shared" si="53"/>
        <v>0.2265868765593142</v>
      </c>
      <c r="S171" s="811">
        <f t="shared" si="71"/>
        <v>-2</v>
      </c>
      <c r="T171" s="176">
        <f t="shared" si="54"/>
        <v>4</v>
      </c>
      <c r="U171" s="251">
        <f t="shared" si="55"/>
        <v>-1.7734131234406858</v>
      </c>
      <c r="V171" s="383">
        <f t="shared" si="56"/>
        <v>63.754441357553176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6">
        <f t="shared" si="62"/>
        <v>0</v>
      </c>
      <c r="AD171" s="169">
        <f>(INDEX(Models!$BJ171:$BT171,,AH171)*(1-AF171)+INDEX(Models!$BJ171:$BT171,,AH171+1)*AF171-ERP_i)*AE171*Ramure*Pc/MaxiM</f>
        <v>6.0809217191260014E-6</v>
      </c>
      <c r="AE171" s="305">
        <f t="shared" si="63"/>
        <v>0.5</v>
      </c>
      <c r="AF171" s="177">
        <f t="shared" si="64"/>
        <v>0.2265868765593142</v>
      </c>
      <c r="AG171" s="811">
        <f t="shared" si="65"/>
        <v>-2</v>
      </c>
      <c r="AH171" s="176">
        <f t="shared" si="66"/>
        <v>4</v>
      </c>
      <c r="AI171" s="225">
        <f t="shared" si="67"/>
        <v>-1.7734131234406858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7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7">
        <f t="shared" si="50"/>
        <v>0</v>
      </c>
      <c r="M172" s="856"/>
      <c r="N172" s="856"/>
      <c r="O172" s="324">
        <f t="shared" si="51"/>
        <v>0</v>
      </c>
      <c r="P172" s="169">
        <f>(INDEX(Models!$BJ172:$BT172,,T172)*(1-R172)+INDEX(Models!$BJ172:$BT172,,T172+1)*R172-ERP_i)*Q172*Ramure*Pc/MaxiM</f>
        <v>5.8999085944957647E-6</v>
      </c>
      <c r="Q172" s="305">
        <f t="shared" si="52"/>
        <v>0.5</v>
      </c>
      <c r="R172" s="177">
        <f t="shared" si="53"/>
        <v>0.23170601597714024</v>
      </c>
      <c r="S172" s="811">
        <f t="shared" si="71"/>
        <v>-2</v>
      </c>
      <c r="T172" s="176">
        <f t="shared" si="54"/>
        <v>4</v>
      </c>
      <c r="U172" s="251">
        <f t="shared" si="55"/>
        <v>-1.7682939840228598</v>
      </c>
      <c r="V172" s="383">
        <f t="shared" si="56"/>
        <v>63.738581380763449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6">
        <f t="shared" si="62"/>
        <v>0</v>
      </c>
      <c r="AD172" s="169">
        <f>(INDEX(Models!$BJ172:$BT172,,AH172)*(1-AF172)+INDEX(Models!$BJ172:$BT172,,AH172+1)*AF172-ERP_i)*AE172*Ramure*Pc/MaxiM</f>
        <v>5.8999085944957647E-6</v>
      </c>
      <c r="AE172" s="305">
        <f t="shared" si="63"/>
        <v>0.5</v>
      </c>
      <c r="AF172" s="177">
        <f t="shared" si="64"/>
        <v>0.23170601597714024</v>
      </c>
      <c r="AG172" s="811">
        <f t="shared" si="65"/>
        <v>-2</v>
      </c>
      <c r="AH172" s="176">
        <f t="shared" si="66"/>
        <v>4</v>
      </c>
      <c r="AI172" s="225">
        <f t="shared" si="67"/>
        <v>-1.7682939840228598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7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7">
        <f t="shared" si="50"/>
        <v>0</v>
      </c>
      <c r="M173" s="856"/>
      <c r="N173" s="856"/>
      <c r="O173" s="324">
        <f t="shared" si="51"/>
        <v>0</v>
      </c>
      <c r="P173" s="169">
        <f>(INDEX(Models!$BJ173:$BT173,,T173)*(1-R173)+INDEX(Models!$BJ173:$BT173,,T173+1)*R173-ERP_i)*Q173*Ramure*Pc/MaxiM</f>
        <v>5.7585125791566435E-6</v>
      </c>
      <c r="Q173" s="305">
        <f t="shared" si="52"/>
        <v>0.5</v>
      </c>
      <c r="R173" s="177">
        <f t="shared" si="53"/>
        <v>0.23683812193040676</v>
      </c>
      <c r="S173" s="811">
        <f t="shared" si="71"/>
        <v>-2</v>
      </c>
      <c r="T173" s="176">
        <f t="shared" si="54"/>
        <v>4</v>
      </c>
      <c r="U173" s="251">
        <f t="shared" si="55"/>
        <v>-1.7631618780695932</v>
      </c>
      <c r="V173" s="383">
        <f t="shared" si="56"/>
        <v>63.718639160108019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6">
        <f t="shared" si="62"/>
        <v>0</v>
      </c>
      <c r="AD173" s="169">
        <f>(INDEX(Models!$BJ173:$BT173,,AH173)*(1-AF173)+INDEX(Models!$BJ173:$BT173,,AH173+1)*AF173-ERP_i)*AE173*Ramure*Pc/MaxiM</f>
        <v>5.7585125791566435E-6</v>
      </c>
      <c r="AE173" s="305">
        <f t="shared" si="63"/>
        <v>0.5</v>
      </c>
      <c r="AF173" s="177">
        <f t="shared" si="64"/>
        <v>0.23683812193040676</v>
      </c>
      <c r="AG173" s="811">
        <f t="shared" si="65"/>
        <v>-2</v>
      </c>
      <c r="AH173" s="176">
        <f t="shared" si="66"/>
        <v>4</v>
      </c>
      <c r="AI173" s="225">
        <f t="shared" si="67"/>
        <v>-1.7631618780695932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7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7">
        <f t="shared" si="50"/>
        <v>2.1902566432308035E-5</v>
      </c>
      <c r="M174" s="856"/>
      <c r="N174" s="856"/>
      <c r="O174" s="324">
        <f t="shared" si="51"/>
        <v>6.62907971666148E-5</v>
      </c>
      <c r="P174" s="169">
        <f>(INDEX(Models!$BJ174:$BT174,,T174)*(1-R174)+INDEX(Models!$BJ174:$BT174,,T174+1)*R174-ERP_i)*Q174*Ramure*Pc/MaxiM</f>
        <v>5.6610241946786995E-6</v>
      </c>
      <c r="Q174" s="305">
        <f t="shared" si="52"/>
        <v>0.5</v>
      </c>
      <c r="R174" s="177">
        <f t="shared" si="53"/>
        <v>0.2419788965747125</v>
      </c>
      <c r="S174" s="811">
        <f t="shared" si="71"/>
        <v>-2</v>
      </c>
      <c r="T174" s="176">
        <f t="shared" si="54"/>
        <v>4</v>
      </c>
      <c r="U174" s="251">
        <f t="shared" si="55"/>
        <v>-1.7580211034252875</v>
      </c>
      <c r="V174" s="383">
        <f t="shared" si="56"/>
        <v>63.688889721036141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6">
        <f t="shared" si="62"/>
        <v>6.62907971666148E-5</v>
      </c>
      <c r="AD174" s="169">
        <f>(INDEX(Models!$BJ174:$BT174,,AH174)*(1-AF174)+INDEX(Models!$BJ174:$BT174,,AH174+1)*AF174-ERP_i)*AE174*Ramure*Pc/MaxiM</f>
        <v>5.6610241946786995E-6</v>
      </c>
      <c r="AE174" s="305">
        <f t="shared" si="63"/>
        <v>0.5</v>
      </c>
      <c r="AF174" s="177">
        <f t="shared" si="64"/>
        <v>0.2419788965747125</v>
      </c>
      <c r="AG174" s="811">
        <f t="shared" si="65"/>
        <v>-2</v>
      </c>
      <c r="AH174" s="176">
        <f t="shared" si="66"/>
        <v>4</v>
      </c>
      <c r="AI174" s="225">
        <f t="shared" si="67"/>
        <v>-1.7580211034252875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7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7">
        <f t="shared" si="50"/>
        <v>4.3804653142243133E-5</v>
      </c>
      <c r="M175" s="856"/>
      <c r="N175" s="856"/>
      <c r="O175" s="324">
        <f t="shared" si="51"/>
        <v>1.3259922725903167E-4</v>
      </c>
      <c r="P175" s="169">
        <f>(INDEX(Models!$BJ175:$BT175,,T175)*(1-R175)+INDEX(Models!$BJ175:$BT175,,T175+1)*R175-ERP_i)*Q175*Ramure*Pc/MaxiM</f>
        <v>5.6118339226161557E-6</v>
      </c>
      <c r="Q175" s="305">
        <f t="shared" si="52"/>
        <v>0.5</v>
      </c>
      <c r="R175" s="177">
        <f t="shared" si="53"/>
        <v>0.24712401288572416</v>
      </c>
      <c r="S175" s="811">
        <f t="shared" si="71"/>
        <v>-2</v>
      </c>
      <c r="T175" s="176">
        <f t="shared" si="54"/>
        <v>4</v>
      </c>
      <c r="U175" s="251">
        <f t="shared" si="55"/>
        <v>-1.7528759871142758</v>
      </c>
      <c r="V175" s="383">
        <f t="shared" si="56"/>
        <v>63.654846871343167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6">
        <f t="shared" si="62"/>
        <v>1.3259922725903167E-4</v>
      </c>
      <c r="AD175" s="169">
        <f>(INDEX(Models!$BJ175:$BT175,,AH175)*(1-AF175)+INDEX(Models!$BJ175:$BT175,,AH175+1)*AF175-ERP_i)*AE175*Ramure*Pc/MaxiM</f>
        <v>5.6118339226161557E-6</v>
      </c>
      <c r="AE175" s="305">
        <f t="shared" si="63"/>
        <v>0.5</v>
      </c>
      <c r="AF175" s="177">
        <f t="shared" si="64"/>
        <v>0.24712401288572416</v>
      </c>
      <c r="AG175" s="811">
        <f t="shared" si="65"/>
        <v>-2</v>
      </c>
      <c r="AH175" s="176">
        <f t="shared" si="66"/>
        <v>4</v>
      </c>
      <c r="AI175" s="225">
        <f t="shared" si="67"/>
        <v>-1.7528759871142758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7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7">
        <f t="shared" si="50"/>
        <v>6.570626014024139E-5</v>
      </c>
      <c r="M176" s="856"/>
      <c r="N176" s="856"/>
      <c r="O176" s="324">
        <f t="shared" si="51"/>
        <v>1.9892269897931305E-4</v>
      </c>
      <c r="P176" s="169">
        <f>(INDEX(Models!$BJ176:$BT176,,T176)*(1-R176)+INDEX(Models!$BJ176:$BT176,,T176+1)*R176-ERP_i)*Q176*Ramure*Pc/MaxiM</f>
        <v>5.6154202730195459E-6</v>
      </c>
      <c r="Q176" s="305">
        <f t="shared" si="52"/>
        <v>0.5</v>
      </c>
      <c r="R176" s="177">
        <f t="shared" si="53"/>
        <v>0.25226912919673561</v>
      </c>
      <c r="S176" s="811">
        <f t="shared" si="71"/>
        <v>-2</v>
      </c>
      <c r="T176" s="176">
        <f t="shared" si="54"/>
        <v>4</v>
      </c>
      <c r="U176" s="251">
        <f t="shared" si="55"/>
        <v>-1.7477308708032644</v>
      </c>
      <c r="V176" s="383">
        <f t="shared" si="56"/>
        <v>63.616404303827352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6">
        <f t="shared" si="62"/>
        <v>1.9892269897931305E-4</v>
      </c>
      <c r="AD176" s="169">
        <f>(INDEX(Models!$BJ176:$BT176,,AH176)*(1-AF176)+INDEX(Models!$BJ176:$BT176,,AH176+1)*AF176-ERP_i)*AE176*Ramure*Pc/MaxiM</f>
        <v>5.6154202730195459E-6</v>
      </c>
      <c r="AE176" s="305">
        <f t="shared" si="63"/>
        <v>0.5</v>
      </c>
      <c r="AF176" s="177">
        <f t="shared" si="64"/>
        <v>0.25226912919673561</v>
      </c>
      <c r="AG176" s="811">
        <f t="shared" si="65"/>
        <v>-2</v>
      </c>
      <c r="AH176" s="176">
        <f t="shared" si="66"/>
        <v>4</v>
      </c>
      <c r="AI176" s="225">
        <f t="shared" si="67"/>
        <v>-1.7477308708032644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7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7">
        <f t="shared" si="50"/>
        <v>8.7607387436960948E-5</v>
      </c>
      <c r="M177" s="856"/>
      <c r="N177" s="856"/>
      <c r="O177" s="324">
        <f t="shared" si="51"/>
        <v>2.6525847144756457E-4</v>
      </c>
      <c r="P177" s="169">
        <f>(INDEX(Models!$BJ177:$BT177,,T177)*(1-R177)+INDEX(Models!$BJ177:$BT177,,T177+1)*R177-ERP_i)*Q177*Ramure*Pc/MaxiM</f>
        <v>5.6763966298284989E-6</v>
      </c>
      <c r="Q177" s="305">
        <f t="shared" si="52"/>
        <v>0.5</v>
      </c>
      <c r="R177" s="177">
        <f t="shared" si="53"/>
        <v>0.25740990384104157</v>
      </c>
      <c r="S177" s="811">
        <f t="shared" si="71"/>
        <v>-2</v>
      </c>
      <c r="T177" s="176">
        <f t="shared" si="54"/>
        <v>4</v>
      </c>
      <c r="U177" s="251">
        <f t="shared" si="55"/>
        <v>-1.7425900961589584</v>
      </c>
      <c r="V177" s="383">
        <f t="shared" si="56"/>
        <v>63.572793921411112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6">
        <f t="shared" si="62"/>
        <v>2.6525847144756457E-4</v>
      </c>
      <c r="AD177" s="169">
        <f>(INDEX(Models!$BJ177:$BT177,,AH177)*(1-AF177)+INDEX(Models!$BJ177:$BT177,,AH177+1)*AF177-ERP_i)*AE177*Ramure*Pc/MaxiM</f>
        <v>5.6763966298284989E-6</v>
      </c>
      <c r="AE177" s="305">
        <f t="shared" si="63"/>
        <v>0.5</v>
      </c>
      <c r="AF177" s="177">
        <f t="shared" si="64"/>
        <v>0.25740990384104157</v>
      </c>
      <c r="AG177" s="811">
        <f t="shared" si="65"/>
        <v>-2</v>
      </c>
      <c r="AH177" s="176">
        <f t="shared" si="66"/>
        <v>4</v>
      </c>
      <c r="AI177" s="225">
        <f t="shared" si="67"/>
        <v>-1.7425900961589584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7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7">
        <f t="shared" si="50"/>
        <v>1.0950803504261586E-4</v>
      </c>
      <c r="M178" s="856"/>
      <c r="N178" s="856"/>
      <c r="O178" s="324">
        <f t="shared" si="51"/>
        <v>3.31603667693792E-4</v>
      </c>
      <c r="P178" s="169">
        <f>(INDEX(Models!$BJ178:$BT178,,T178)*(1-R178)+INDEX(Models!$BJ178:$BT178,,T178+1)*R178-ERP_i)*Q178*Ramure*Pc/MaxiM</f>
        <v>5.7979915788186531E-6</v>
      </c>
      <c r="Q178" s="305">
        <f t="shared" si="52"/>
        <v>0.5</v>
      </c>
      <c r="R178" s="177">
        <f t="shared" si="53"/>
        <v>0.26254200979430808</v>
      </c>
      <c r="S178" s="811">
        <f t="shared" si="71"/>
        <v>-2</v>
      </c>
      <c r="T178" s="176">
        <f t="shared" si="54"/>
        <v>4</v>
      </c>
      <c r="U178" s="251">
        <f t="shared" si="55"/>
        <v>-1.7374579902056919</v>
      </c>
      <c r="V178" s="383">
        <f t="shared" si="56"/>
        <v>63.523605710839014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6">
        <f t="shared" si="62"/>
        <v>3.31603667693792E-4</v>
      </c>
      <c r="AD178" s="169">
        <f>(INDEX(Models!$BJ178:$BT178,,AH178)*(1-AF178)+INDEX(Models!$BJ178:$BT178,,AH178+1)*AF178-ERP_i)*AE178*Ramure*Pc/MaxiM</f>
        <v>5.7979915788186531E-6</v>
      </c>
      <c r="AE178" s="305">
        <f t="shared" si="63"/>
        <v>0.5</v>
      </c>
      <c r="AF178" s="177">
        <f t="shared" si="64"/>
        <v>0.26254200979430808</v>
      </c>
      <c r="AG178" s="811">
        <f t="shared" si="65"/>
        <v>-2</v>
      </c>
      <c r="AH178" s="176">
        <f t="shared" si="66"/>
        <v>4</v>
      </c>
      <c r="AI178" s="225">
        <f t="shared" si="67"/>
        <v>-1.7374579902056919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7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7">
        <f t="shared" si="50"/>
        <v>1.3140820296797528E-4</v>
      </c>
      <c r="M179" s="856"/>
      <c r="N179" s="856"/>
      <c r="O179" s="324">
        <f t="shared" si="51"/>
        <v>3.9795528891446312E-4</v>
      </c>
      <c r="P179" s="169">
        <f>(INDEX(Models!$BJ179:$BT179,,T179)*(1-R179)+INDEX(Models!$BJ179:$BT179,,T179+1)*R179-ERP_i)*Q179*Ramure*Pc/MaxiM</f>
        <v>5.9245768417484961E-6</v>
      </c>
      <c r="Q179" s="305">
        <f t="shared" si="52"/>
        <v>0.5</v>
      </c>
      <c r="R179" s="177">
        <f t="shared" si="53"/>
        <v>0.26766114921213391</v>
      </c>
      <c r="S179" s="811">
        <f t="shared" si="71"/>
        <v>-2</v>
      </c>
      <c r="T179" s="176">
        <f t="shared" si="54"/>
        <v>4</v>
      </c>
      <c r="U179" s="251">
        <f t="shared" si="55"/>
        <v>-1.7323388507878661</v>
      </c>
      <c r="V179" s="383">
        <f t="shared" si="56"/>
        <v>63.46927410082094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6">
        <f t="shared" si="62"/>
        <v>3.9795528891446312E-4</v>
      </c>
      <c r="AD179" s="169">
        <f>(INDEX(Models!$BJ179:$BT179,,AH179)*(1-AF179)+INDEX(Models!$BJ179:$BT179,,AH179+1)*AF179-ERP_i)*AE179*Ramure*Pc/MaxiM</f>
        <v>5.9245768417484961E-6</v>
      </c>
      <c r="AE179" s="305">
        <f t="shared" si="63"/>
        <v>0.5</v>
      </c>
      <c r="AF179" s="177">
        <f t="shared" si="64"/>
        <v>0.26766114921213391</v>
      </c>
      <c r="AG179" s="811">
        <f t="shared" si="65"/>
        <v>-2</v>
      </c>
      <c r="AH179" s="176">
        <f t="shared" si="66"/>
        <v>4</v>
      </c>
      <c r="AI179" s="225">
        <f t="shared" si="67"/>
        <v>-1.7323388507878661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7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7">
        <f t="shared" si="50"/>
        <v>1.5330789122347532E-4</v>
      </c>
      <c r="M180" s="856"/>
      <c r="N180" s="856"/>
      <c r="O180" s="324">
        <f t="shared" si="51"/>
        <v>4.6431022939271712E-4</v>
      </c>
      <c r="P180" s="169">
        <f>(INDEX(Models!$BJ180:$BT180,,T180)*(1-R180)+INDEX(Models!$BJ180:$BT180,,T180+1)*R180-ERP_i)*Q180*Ramure*Pc/MaxiM</f>
        <v>6.0563716986585196E-6</v>
      </c>
      <c r="Q180" s="305">
        <f t="shared" si="52"/>
        <v>0.5</v>
      </c>
      <c r="R180" s="177">
        <f t="shared" si="53"/>
        <v>0.27276306775927406</v>
      </c>
      <c r="S180" s="811">
        <f t="shared" si="71"/>
        <v>-2</v>
      </c>
      <c r="T180" s="176">
        <f t="shared" si="54"/>
        <v>4</v>
      </c>
      <c r="U180" s="251">
        <f t="shared" si="55"/>
        <v>-1.7272369322407259</v>
      </c>
      <c r="V180" s="383">
        <f t="shared" si="56"/>
        <v>63.410229818974315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6">
        <f t="shared" si="62"/>
        <v>4.6431022939271712E-4</v>
      </c>
      <c r="AD180" s="169">
        <f>(INDEX(Models!$BJ180:$BT180,,AH180)*(1-AF180)+INDEX(Models!$BJ180:$BT180,,AH180+1)*AF180-ERP_i)*AE180*Ramure*Pc/MaxiM</f>
        <v>6.0563716986585196E-6</v>
      </c>
      <c r="AE180" s="305">
        <f t="shared" si="63"/>
        <v>0.5</v>
      </c>
      <c r="AF180" s="177">
        <f t="shared" si="64"/>
        <v>0.27276306775927406</v>
      </c>
      <c r="AG180" s="811">
        <f t="shared" si="65"/>
        <v>-2</v>
      </c>
      <c r="AH180" s="176">
        <f t="shared" si="66"/>
        <v>4</v>
      </c>
      <c r="AI180" s="225">
        <f t="shared" si="67"/>
        <v>-1.7272369322407259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7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7">
        <f t="shared" si="50"/>
        <v>1.7520709981955207E-4</v>
      </c>
      <c r="M181" s="856"/>
      <c r="N181" s="856"/>
      <c r="O181" s="324">
        <f t="shared" si="51"/>
        <v>5.3066529197402746E-4</v>
      </c>
      <c r="P181" s="169">
        <f>(INDEX(Models!$BJ181:$BT181,,T181)*(1-R181)+INDEX(Models!$BJ181:$BT181,,T181+1)*R181-ERP_i)*Q181*Ramure*Pc/MaxiM</f>
        <v>6.1935966472201046E-6</v>
      </c>
      <c r="Q181" s="305">
        <f t="shared" si="52"/>
        <v>0.5</v>
      </c>
      <c r="R181" s="177">
        <f t="shared" si="53"/>
        <v>0.27784356862954596</v>
      </c>
      <c r="S181" s="811">
        <f t="shared" si="71"/>
        <v>-2</v>
      </c>
      <c r="T181" s="176">
        <f t="shared" si="54"/>
        <v>4</v>
      </c>
      <c r="U181" s="251">
        <f t="shared" si="55"/>
        <v>-1.722156431370454</v>
      </c>
      <c r="V181" s="383">
        <f t="shared" si="56"/>
        <v>63.346903447293158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6">
        <f t="shared" si="62"/>
        <v>5.3066529197402746E-4</v>
      </c>
      <c r="AD181" s="169">
        <f>(INDEX(Models!$BJ181:$BT181,,AH181)*(1-AF181)+INDEX(Models!$BJ181:$BT181,,AH181+1)*AF181-ERP_i)*AE181*Ramure*Pc/MaxiM</f>
        <v>6.1935966472201046E-6</v>
      </c>
      <c r="AE181" s="305">
        <f t="shared" si="63"/>
        <v>0.5</v>
      </c>
      <c r="AF181" s="177">
        <f t="shared" si="64"/>
        <v>0.27784356862954596</v>
      </c>
      <c r="AG181" s="811">
        <f t="shared" si="65"/>
        <v>-2</v>
      </c>
      <c r="AH181" s="176">
        <f t="shared" si="66"/>
        <v>4</v>
      </c>
      <c r="AI181" s="225">
        <f t="shared" si="67"/>
        <v>-1.722156431370454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7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7">
        <f t="shared" si="50"/>
        <v>1.9710582876675264E-4</v>
      </c>
      <c r="M182" s="856"/>
      <c r="N182" s="856"/>
      <c r="O182" s="324">
        <f t="shared" si="51"/>
        <v>5.9701720398370702E-4</v>
      </c>
      <c r="P182" s="169">
        <f>(INDEX(Models!$BJ182:$BT182,,T182)*(1-R182)+INDEX(Models!$BJ182:$BT182,,T182+1)*R182-ERP_i)*Q182*Ramure*Pc/MaxiM</f>
        <v>6.3364725484592835E-6</v>
      </c>
      <c r="Q182" s="305">
        <f t="shared" si="52"/>
        <v>0.5</v>
      </c>
      <c r="R182" s="177">
        <f t="shared" si="53"/>
        <v>0.28289852615920563</v>
      </c>
      <c r="S182" s="811">
        <f t="shared" si="71"/>
        <v>-2</v>
      </c>
      <c r="T182" s="176">
        <f t="shared" si="54"/>
        <v>4</v>
      </c>
      <c r="U182" s="251">
        <f t="shared" si="55"/>
        <v>-1.7171014738407944</v>
      </c>
      <c r="V182" s="383">
        <f t="shared" si="56"/>
        <v>63.279725420168653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6">
        <f t="shared" si="62"/>
        <v>5.9701720398370702E-4</v>
      </c>
      <c r="AD182" s="169">
        <f>(INDEX(Models!$BJ182:$BT182,,AH182)*(1-AF182)+INDEX(Models!$BJ182:$BT182,,AH182+1)*AF182-ERP_i)*AE182*Ramure*Pc/MaxiM</f>
        <v>6.3364725484592835E-6</v>
      </c>
      <c r="AE182" s="305">
        <f t="shared" si="63"/>
        <v>0.5</v>
      </c>
      <c r="AF182" s="177">
        <f t="shared" si="64"/>
        <v>0.28289852615920563</v>
      </c>
      <c r="AG182" s="811">
        <f t="shared" si="65"/>
        <v>-2</v>
      </c>
      <c r="AH182" s="176">
        <f t="shared" si="66"/>
        <v>4</v>
      </c>
      <c r="AI182" s="225">
        <f t="shared" si="67"/>
        <v>-1.7171014738407944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7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7">
        <f t="shared" si="50"/>
        <v>2.1900407807551314E-4</v>
      </c>
      <c r="M183" s="856"/>
      <c r="N183" s="856"/>
      <c r="O183" s="324">
        <f t="shared" si="51"/>
        <v>6.6336263346727248E-4</v>
      </c>
      <c r="P183" s="169">
        <f>(INDEX(Models!$BJ183:$BT183,,T183)*(1-R183)+INDEX(Models!$BJ183:$BT183,,T183+1)*R183-ERP_i)*Q183*Ramure*Pc/MaxiM</f>
        <v>6.4852197494351731E-6</v>
      </c>
      <c r="Q183" s="305">
        <f t="shared" si="52"/>
        <v>0.5</v>
      </c>
      <c r="R183" s="177">
        <f t="shared" si="53"/>
        <v>0.28792389894147763</v>
      </c>
      <c r="S183" s="811">
        <f t="shared" si="71"/>
        <v>-2</v>
      </c>
      <c r="T183" s="176">
        <f t="shared" si="54"/>
        <v>4</v>
      </c>
      <c r="U183" s="251">
        <f t="shared" si="55"/>
        <v>-1.7120761010585224</v>
      </c>
      <c r="V183" s="383">
        <f t="shared" si="56"/>
        <v>63.209126024570978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6">
        <f t="shared" si="62"/>
        <v>6.6336263346727248E-4</v>
      </c>
      <c r="AD183" s="169">
        <f>(INDEX(Models!$BJ183:$BT183,,AH183)*(1-AF183)+INDEX(Models!$BJ183:$BT183,,AH183+1)*AF183-ERP_i)*AE183*Ramure*Pc/MaxiM</f>
        <v>6.4852197494351731E-6</v>
      </c>
      <c r="AE183" s="305">
        <f t="shared" si="63"/>
        <v>0.5</v>
      </c>
      <c r="AF183" s="177">
        <f t="shared" si="64"/>
        <v>0.28792389894147763</v>
      </c>
      <c r="AG183" s="811">
        <f t="shared" si="65"/>
        <v>-2</v>
      </c>
      <c r="AH183" s="176">
        <f t="shared" si="66"/>
        <v>4</v>
      </c>
      <c r="AI183" s="225">
        <f t="shared" si="67"/>
        <v>-1.7120761010585224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7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7">
        <f t="shared" si="50"/>
        <v>2.409018477564917E-4</v>
      </c>
      <c r="M184" s="856"/>
      <c r="N184" s="856"/>
      <c r="O184" s="324">
        <f t="shared" si="51"/>
        <v>7.296982056316342E-4</v>
      </c>
      <c r="P184" s="169">
        <f>(INDEX(Models!$BJ184:$BT184,,T184)*(1-R184)+INDEX(Models!$BJ184:$BT184,,T184+1)*R184-ERP_i)*Q184*Ramure*Pc/MaxiM</f>
        <v>6.6384228815509959E-6</v>
      </c>
      <c r="Q184" s="305">
        <f t="shared" si="52"/>
        <v>0.5</v>
      </c>
      <c r="R184" s="177">
        <f t="shared" si="53"/>
        <v>0.29291574235589013</v>
      </c>
      <c r="S184" s="811">
        <f t="shared" si="71"/>
        <v>-2</v>
      </c>
      <c r="T184" s="176">
        <f t="shared" si="54"/>
        <v>4</v>
      </c>
      <c r="U184" s="251">
        <f t="shared" si="55"/>
        <v>-1.7070842576441099</v>
      </c>
      <c r="V184" s="383">
        <f t="shared" si="56"/>
        <v>63.135535499177358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6">
        <f t="shared" si="62"/>
        <v>7.296982056316342E-4</v>
      </c>
      <c r="AD184" s="169">
        <f>(INDEX(Models!$BJ184:$BT184,,AH184)*(1-AF184)+INDEX(Models!$BJ184:$BT184,,AH184+1)*AF184-ERP_i)*AE184*Ramure*Pc/MaxiM</f>
        <v>6.6384228815509959E-6</v>
      </c>
      <c r="AE184" s="305">
        <f t="shared" si="63"/>
        <v>0.5</v>
      </c>
      <c r="AF184" s="177">
        <f t="shared" si="64"/>
        <v>0.29291574235589013</v>
      </c>
      <c r="AG184" s="811">
        <f t="shared" si="65"/>
        <v>-2</v>
      </c>
      <c r="AH184" s="176">
        <f t="shared" si="66"/>
        <v>4</v>
      </c>
      <c r="AI184" s="225">
        <f t="shared" si="67"/>
        <v>-1.7070842576441099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7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7">
        <f t="shared" si="50"/>
        <v>2.6279913782012443E-4</v>
      </c>
      <c r="M185" s="856"/>
      <c r="N185" s="856"/>
      <c r="O185" s="324">
        <f t="shared" si="51"/>
        <v>7.9602051936207671E-4</v>
      </c>
      <c r="P185" s="169">
        <f>(INDEX(Models!$BJ185:$BT185,,T185)*(1-R185)+INDEX(Models!$BJ185:$BT185,,T185+1)*R185-ERP_i)*Q185*Ramure*Pc/MaxiM</f>
        <v>6.7883959591362981E-6</v>
      </c>
      <c r="Q185" s="305">
        <f t="shared" si="52"/>
        <v>0.5</v>
      </c>
      <c r="R185" s="177">
        <f t="shared" si="53"/>
        <v>0.2978702204329724</v>
      </c>
      <c r="S185" s="811">
        <f t="shared" si="71"/>
        <v>-2</v>
      </c>
      <c r="T185" s="176">
        <f t="shared" si="54"/>
        <v>4</v>
      </c>
      <c r="U185" s="251">
        <f t="shared" si="55"/>
        <v>-1.7021297795670276</v>
      </c>
      <c r="V185" s="383">
        <f t="shared" si="56"/>
        <v>63.059384325769393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6">
        <f t="shared" si="62"/>
        <v>7.9602051936207671E-4</v>
      </c>
      <c r="AD185" s="169">
        <f>(INDEX(Models!$BJ185:$BT185,,AH185)*(1-AF185)+INDEX(Models!$BJ185:$BT185,,AH185+1)*AF185-ERP_i)*AE185*Ramure*Pc/MaxiM</f>
        <v>6.7883959591362981E-6</v>
      </c>
      <c r="AE185" s="305">
        <f t="shared" si="63"/>
        <v>0.5</v>
      </c>
      <c r="AF185" s="177">
        <f t="shared" si="64"/>
        <v>0.2978702204329724</v>
      </c>
      <c r="AG185" s="811">
        <f t="shared" si="65"/>
        <v>-2</v>
      </c>
      <c r="AH185" s="176">
        <f t="shared" si="66"/>
        <v>4</v>
      </c>
      <c r="AI185" s="225">
        <f t="shared" si="67"/>
        <v>-1.7021297795670276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7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7">
        <f t="shared" si="50"/>
        <v>2.8469594827695843E-4</v>
      </c>
      <c r="M186" s="856"/>
      <c r="N186" s="856"/>
      <c r="O186" s="324">
        <f t="shared" si="51"/>
        <v>8.6232616368908232E-4</v>
      </c>
      <c r="P186" s="169">
        <f>(INDEX(Models!$BJ186:$BT186,,T186)*(1-R186)+INDEX(Models!$BJ186:$BT186,,T186+1)*R186-ERP_i)*Q186*Ramure*Pc/MaxiM</f>
        <v>6.9347572853886687E-6</v>
      </c>
      <c r="Q186" s="305">
        <f t="shared" si="52"/>
        <v>0.5</v>
      </c>
      <c r="R186" s="177">
        <f t="shared" si="53"/>
        <v>0.30278361698259904</v>
      </c>
      <c r="S186" s="811">
        <f t="shared" si="71"/>
        <v>-2</v>
      </c>
      <c r="T186" s="176">
        <f t="shared" si="54"/>
        <v>4</v>
      </c>
      <c r="U186" s="251">
        <f t="shared" si="55"/>
        <v>-1.697216383017401</v>
      </c>
      <c r="V186" s="383">
        <f t="shared" si="56"/>
        <v>62.981102373574757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6">
        <f t="shared" si="62"/>
        <v>8.6232616368908232E-4</v>
      </c>
      <c r="AD186" s="169">
        <f>(INDEX(Models!$BJ186:$BT186,,AH186)*(1-AF186)+INDEX(Models!$BJ186:$BT186,,AH186+1)*AF186-ERP_i)*AE186*Ramure*Pc/MaxiM</f>
        <v>6.9347572853886687E-6</v>
      </c>
      <c r="AE186" s="305">
        <f t="shared" si="63"/>
        <v>0.5</v>
      </c>
      <c r="AF186" s="177">
        <f t="shared" si="64"/>
        <v>0.30278361698259904</v>
      </c>
      <c r="AG186" s="811">
        <f t="shared" si="65"/>
        <v>-2</v>
      </c>
      <c r="AH186" s="176">
        <f t="shared" si="66"/>
        <v>4</v>
      </c>
      <c r="AI186" s="225">
        <f t="shared" si="67"/>
        <v>-1.697216383017401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7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7">
        <f t="shared" si="50"/>
        <v>3.0659227913731879E-4</v>
      </c>
      <c r="M187" s="856"/>
      <c r="N187" s="856"/>
      <c r="O187" s="324">
        <f t="shared" si="51"/>
        <v>9.2861173407892989E-4</v>
      </c>
      <c r="P187" s="169">
        <f>(INDEX(Models!$BJ187:$BT187,,T187)*(1-R187)+INDEX(Models!$BJ187:$BT187,,T187+1)*R187-ERP_i)*Q187*Ramure*Pc/MaxiM</f>
        <v>7.0771272453216201E-6</v>
      </c>
      <c r="Q187" s="305">
        <f t="shared" si="52"/>
        <v>0.5</v>
      </c>
      <c r="R187" s="177">
        <f t="shared" si="53"/>
        <v>0.30765234592268675</v>
      </c>
      <c r="S187" s="811">
        <f t="shared" si="71"/>
        <v>-2</v>
      </c>
      <c r="T187" s="176">
        <f t="shared" si="54"/>
        <v>4</v>
      </c>
      <c r="U187" s="251">
        <f t="shared" si="55"/>
        <v>-1.6923476540773132</v>
      </c>
      <c r="V187" s="383">
        <f t="shared" si="56"/>
        <v>62.901119357615926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6">
        <f t="shared" si="62"/>
        <v>9.2861173407892989E-4</v>
      </c>
      <c r="AD187" s="169">
        <f>(INDEX(Models!$BJ187:$BT187,,AH187)*(1-AF187)+INDEX(Models!$BJ187:$BT187,,AH187+1)*AF187-ERP_i)*AE187*Ramure*Pc/MaxiM</f>
        <v>7.0771272453216201E-6</v>
      </c>
      <c r="AE187" s="305">
        <f t="shared" si="63"/>
        <v>0.5</v>
      </c>
      <c r="AF187" s="177">
        <f t="shared" si="64"/>
        <v>0.30765234592268675</v>
      </c>
      <c r="AG187" s="811">
        <f t="shared" si="65"/>
        <v>-2</v>
      </c>
      <c r="AH187" s="176">
        <f t="shared" si="66"/>
        <v>4</v>
      </c>
      <c r="AI187" s="225">
        <f t="shared" si="67"/>
        <v>-1.6923476540773132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7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7">
        <f t="shared" si="50"/>
        <v>3.2848813041197467E-4</v>
      </c>
      <c r="M188" s="856"/>
      <c r="N188" s="856"/>
      <c r="O188" s="324">
        <f t="shared" si="51"/>
        <v>9.9487384842316751E-4</v>
      </c>
      <c r="P188" s="169">
        <f>(INDEX(Models!$BJ188:$BT188,,T188)*(1-R188)+INDEX(Models!$BJ188:$BT188,,T188+1)*R188-ERP_i)*Q188*Ramure*Pc/MaxiM</f>
        <v>7.2150559310527287E-6</v>
      </c>
      <c r="Q188" s="305">
        <f t="shared" si="52"/>
        <v>0.5</v>
      </c>
      <c r="R188" s="177">
        <f t="shared" si="53"/>
        <v>0.31247296075390874</v>
      </c>
      <c r="S188" s="811">
        <f t="shared" si="71"/>
        <v>-2</v>
      </c>
      <c r="T188" s="176">
        <f t="shared" si="54"/>
        <v>4</v>
      </c>
      <c r="U188" s="251">
        <f t="shared" si="55"/>
        <v>-1.6875270392460913</v>
      </c>
      <c r="V188" s="383">
        <f t="shared" si="56"/>
        <v>62.819864840697207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6">
        <f t="shared" si="62"/>
        <v>9.9487384842316751E-4</v>
      </c>
      <c r="AD188" s="169">
        <f>(INDEX(Models!$BJ188:$BT188,,AH188)*(1-AF188)+INDEX(Models!$BJ188:$BT188,,AH188+1)*AF188-ERP_i)*AE188*Ramure*Pc/MaxiM</f>
        <v>7.2150559310527287E-6</v>
      </c>
      <c r="AE188" s="305">
        <f t="shared" si="63"/>
        <v>0.5</v>
      </c>
      <c r="AF188" s="177">
        <f t="shared" si="64"/>
        <v>0.31247296075390874</v>
      </c>
      <c r="AG188" s="811">
        <f t="shared" si="65"/>
        <v>-2</v>
      </c>
      <c r="AH188" s="176">
        <f t="shared" si="66"/>
        <v>4</v>
      </c>
      <c r="AI188" s="225">
        <f t="shared" si="67"/>
        <v>-1.6875270392460913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7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7">
        <f t="shared" si="50"/>
        <v>3.5038350211114011E-4</v>
      </c>
      <c r="M189" s="856"/>
      <c r="N189" s="856"/>
      <c r="O189" s="324">
        <f t="shared" si="51"/>
        <v>1.0611091626047174E-3</v>
      </c>
      <c r="P189" s="169">
        <f>(INDEX(Models!$BJ189:$BT189,,T189)*(1-R189)+INDEX(Models!$BJ189:$BT189,,T189+1)*R189-ERP_i)*Q189*Ramure*Pc/MaxiM</f>
        <v>7.3480888682665442E-6</v>
      </c>
      <c r="Q189" s="305">
        <f t="shared" si="52"/>
        <v>0.5</v>
      </c>
      <c r="R189" s="177">
        <f t="shared" si="53"/>
        <v>0.31724216313545117</v>
      </c>
      <c r="S189" s="811">
        <f t="shared" si="71"/>
        <v>-2</v>
      </c>
      <c r="T189" s="176">
        <f t="shared" si="54"/>
        <v>4</v>
      </c>
      <c r="U189" s="251">
        <f t="shared" si="55"/>
        <v>-1.6827578368645488</v>
      </c>
      <c r="V189" s="383">
        <f t="shared" si="56"/>
        <v>62.737768232870998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6">
        <f t="shared" si="62"/>
        <v>1.0611091626047174E-3</v>
      </c>
      <c r="AD189" s="169">
        <f>(INDEX(Models!$BJ189:$BT189,,AH189)*(1-AF189)+INDEX(Models!$BJ189:$BT189,,AH189+1)*AF189-ERP_i)*AE189*Ramure*Pc/MaxiM</f>
        <v>7.3480888682665442E-6</v>
      </c>
      <c r="AE189" s="305">
        <f t="shared" si="63"/>
        <v>0.5</v>
      </c>
      <c r="AF189" s="177">
        <f t="shared" si="64"/>
        <v>0.31724216313545117</v>
      </c>
      <c r="AG189" s="811">
        <f t="shared" si="65"/>
        <v>-2</v>
      </c>
      <c r="AH189" s="176">
        <f t="shared" si="66"/>
        <v>4</v>
      </c>
      <c r="AI189" s="225">
        <f t="shared" si="67"/>
        <v>-1.6827578368645488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7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7">
        <f t="shared" si="50"/>
        <v>3.7227839424558429E-4</v>
      </c>
      <c r="M190" s="856"/>
      <c r="N190" s="856"/>
      <c r="O190" s="324">
        <f t="shared" si="51"/>
        <v>1.1273143855219593E-3</v>
      </c>
      <c r="P190" s="169">
        <f>(INDEX(Models!$BJ190:$BT190,,T190)*(1-R190)+INDEX(Models!$BJ190:$BT190,,T190+1)*R190-ERP_i)*Q190*Ramure*Pc/MaxiM</f>
        <v>7.475847004799934E-6</v>
      </c>
      <c r="Q190" s="305">
        <f t="shared" si="52"/>
        <v>0.5</v>
      </c>
      <c r="R190" s="177">
        <f t="shared" si="53"/>
        <v>0.321956810526427</v>
      </c>
      <c r="S190" s="811">
        <f t="shared" si="71"/>
        <v>-2</v>
      </c>
      <c r="T190" s="176">
        <f t="shared" si="54"/>
        <v>4</v>
      </c>
      <c r="U190" s="251">
        <f t="shared" si="55"/>
        <v>-1.678043189473573</v>
      </c>
      <c r="V190" s="383">
        <f t="shared" si="56"/>
        <v>62.655258782462106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6">
        <f t="shared" si="62"/>
        <v>1.1273143855219593E-3</v>
      </c>
      <c r="AD190" s="169">
        <f>(INDEX(Models!$BJ190:$BT190,,AH190)*(1-AF190)+INDEX(Models!$BJ190:$BT190,,AH190+1)*AF190-ERP_i)*AE190*Ramure*Pc/MaxiM</f>
        <v>7.475847004799934E-6</v>
      </c>
      <c r="AE190" s="305">
        <f t="shared" si="63"/>
        <v>0.5</v>
      </c>
      <c r="AF190" s="177">
        <f t="shared" si="64"/>
        <v>0.321956810526427</v>
      </c>
      <c r="AG190" s="811">
        <f t="shared" si="65"/>
        <v>-2</v>
      </c>
      <c r="AH190" s="176">
        <f t="shared" si="66"/>
        <v>4</v>
      </c>
      <c r="AI190" s="225">
        <f t="shared" si="67"/>
        <v>-1.678043189473573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7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7">
        <f t="shared" si="50"/>
        <v>3.9417280682563227E-4</v>
      </c>
      <c r="M191" s="856"/>
      <c r="N191" s="856"/>
      <c r="O191" s="324">
        <f t="shared" si="51"/>
        <v>1.193486293457243E-3</v>
      </c>
      <c r="P191" s="169">
        <f>(INDEX(Models!$BJ191:$BT191,,T191)*(1-R191)+INDEX(Models!$BJ191:$BT191,,T191+1)*R191-ERP_i)*Q191*Ramure*Pc/MaxiM</f>
        <v>7.598089227593118E-6</v>
      </c>
      <c r="Q191" s="305">
        <f t="shared" si="52"/>
        <v>0.5</v>
      </c>
      <c r="R191" s="177">
        <f t="shared" si="53"/>
        <v>0.3266139228672591</v>
      </c>
      <c r="S191" s="811">
        <f t="shared" si="71"/>
        <v>-2</v>
      </c>
      <c r="T191" s="176">
        <f t="shared" si="54"/>
        <v>4</v>
      </c>
      <c r="U191" s="251">
        <f t="shared" si="55"/>
        <v>-1.6733860771327409</v>
      </c>
      <c r="V191" s="383">
        <f t="shared" si="56"/>
        <v>62.571693669798606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6">
        <f t="shared" si="62"/>
        <v>1.193486293457243E-3</v>
      </c>
      <c r="AD191" s="169">
        <f>(INDEX(Models!$BJ191:$BT191,,AH191)*(1-AF191)+INDEX(Models!$BJ191:$BT191,,AH191+1)*AF191-ERP_i)*AE191*Ramure*Pc/MaxiM</f>
        <v>7.598089227593118E-6</v>
      </c>
      <c r="AE191" s="305">
        <f t="shared" si="63"/>
        <v>0.5</v>
      </c>
      <c r="AF191" s="177">
        <f t="shared" si="64"/>
        <v>0.3266139228672591</v>
      </c>
      <c r="AG191" s="811">
        <f t="shared" si="65"/>
        <v>-2</v>
      </c>
      <c r="AH191" s="176">
        <f t="shared" si="66"/>
        <v>4</v>
      </c>
      <c r="AI191" s="225">
        <f t="shared" si="67"/>
        <v>-1.6733860771327409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7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7">
        <f t="shared" si="50"/>
        <v>4.160667398619422E-4</v>
      </c>
      <c r="M192" s="856"/>
      <c r="N192" s="856"/>
      <c r="O192" s="324">
        <f t="shared" si="51"/>
        <v>1.2596217436821175E-3</v>
      </c>
      <c r="P192" s="169">
        <f>(INDEX(Models!$BJ192:$BT192,,T192)*(1-R192)+INDEX(Models!$BJ192:$BT192,,T192+1)*R192-ERP_i)*Q192*Ramure*Pc/MaxiM</f>
        <v>7.7235398415397064E-6</v>
      </c>
      <c r="Q192" s="305">
        <f t="shared" si="52"/>
        <v>0.5</v>
      </c>
      <c r="R192" s="177">
        <f t="shared" si="53"/>
        <v>0.33121068828497635</v>
      </c>
      <c r="S192" s="811">
        <f t="shared" si="71"/>
        <v>-2</v>
      </c>
      <c r="T192" s="176">
        <f t="shared" si="54"/>
        <v>4</v>
      </c>
      <c r="U192" s="251">
        <f t="shared" si="55"/>
        <v>-1.6687893117150236</v>
      </c>
      <c r="V192" s="383">
        <f t="shared" si="56"/>
        <v>62.486143917931912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6">
        <f t="shared" si="62"/>
        <v>1.2596217436821175E-3</v>
      </c>
      <c r="AD192" s="169">
        <f>(INDEX(Models!$BJ192:$BT192,,AH192)*(1-AF192)+INDEX(Models!$BJ192:$BT192,,AH192+1)*AF192-ERP_i)*AE192*Ramure*Pc/MaxiM</f>
        <v>7.7235398415397064E-6</v>
      </c>
      <c r="AE192" s="305">
        <f t="shared" si="63"/>
        <v>0.5</v>
      </c>
      <c r="AF192" s="177">
        <f t="shared" si="64"/>
        <v>0.33121068828497635</v>
      </c>
      <c r="AG192" s="811">
        <f t="shared" si="65"/>
        <v>-2</v>
      </c>
      <c r="AH192" s="176">
        <f t="shared" si="66"/>
        <v>4</v>
      </c>
      <c r="AI192" s="225">
        <f t="shared" si="67"/>
        <v>-1.6687893117150236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7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7">
        <f t="shared" si="50"/>
        <v>4.3796019336483916E-4</v>
      </c>
      <c r="M193" s="856"/>
      <c r="N193" s="856"/>
      <c r="O193" s="324">
        <f t="shared" si="51"/>
        <v>1.3257176871990595E-3</v>
      </c>
      <c r="P193" s="169">
        <f>(INDEX(Models!$BJ193:$BT193,,T193)*(1-R193)+INDEX(Models!$BJ193:$BT193,,T193+1)*R193-ERP_i)*Q193*Ramure*Pc/MaxiM</f>
        <v>7.8543192822904897E-6</v>
      </c>
      <c r="Q193" s="305">
        <f t="shared" si="52"/>
        <v>0.5</v>
      </c>
      <c r="R193" s="177">
        <f t="shared" si="53"/>
        <v>0.33574446781580591</v>
      </c>
      <c r="S193" s="811">
        <f t="shared" si="71"/>
        <v>-2</v>
      </c>
      <c r="T193" s="176">
        <f t="shared" si="54"/>
        <v>4</v>
      </c>
      <c r="U193" s="251">
        <f t="shared" si="55"/>
        <v>-1.6642555321841941</v>
      </c>
      <c r="V193" s="383">
        <f t="shared" si="56"/>
        <v>62.398610107679545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6">
        <f t="shared" si="62"/>
        <v>1.3257176871990595E-3</v>
      </c>
      <c r="AD193" s="169">
        <f>(INDEX(Models!$BJ193:$BT193,,AH193)*(1-AF193)+INDEX(Models!$BJ193:$BT193,,AH193+1)*AF193-ERP_i)*AE193*Ramure*Pc/MaxiM</f>
        <v>7.8543192822904897E-6</v>
      </c>
      <c r="AE193" s="305">
        <f t="shared" si="63"/>
        <v>0.5</v>
      </c>
      <c r="AF193" s="177">
        <f t="shared" si="64"/>
        <v>0.33574446781580591</v>
      </c>
      <c r="AG193" s="811">
        <f t="shared" si="65"/>
        <v>-2</v>
      </c>
      <c r="AH193" s="176">
        <f t="shared" si="66"/>
        <v>4</v>
      </c>
      <c r="AI193" s="225">
        <f t="shared" si="67"/>
        <v>-1.6642555321841941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7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7">
        <f t="shared" si="50"/>
        <v>4.5985316734498127E-4</v>
      </c>
      <c r="M194" s="856"/>
      <c r="N194" s="856"/>
      <c r="O194" s="324">
        <f t="shared" si="51"/>
        <v>1.3917711805274198E-3</v>
      </c>
      <c r="P194" s="169">
        <f>(INDEX(Models!$BJ194:$BT194,,T194)*(1-R194)+INDEX(Models!$BJ194:$BT194,,T194+1)*R194-ERP_i)*Q194*Ramure*Pc/MaxiM</f>
        <v>7.9907036818664212E-6</v>
      </c>
      <c r="Q194" s="305">
        <f t="shared" si="52"/>
        <v>0.5</v>
      </c>
      <c r="R194" s="177">
        <f t="shared" si="53"/>
        <v>0.34021279914757807</v>
      </c>
      <c r="S194" s="811">
        <f t="shared" si="71"/>
        <v>-2</v>
      </c>
      <c r="T194" s="176">
        <f t="shared" si="54"/>
        <v>4</v>
      </c>
      <c r="U194" s="251">
        <f t="shared" si="55"/>
        <v>-1.6597872008524219</v>
      </c>
      <c r="V194" s="383">
        <f t="shared" si="56"/>
        <v>62.309092924175218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6">
        <f t="shared" si="62"/>
        <v>1.3917711805274198E-3</v>
      </c>
      <c r="AD194" s="169">
        <f>(INDEX(Models!$BJ194:$BT194,,AH194)*(1-AF194)+INDEX(Models!$BJ194:$BT194,,AH194+1)*AF194-ERP_i)*AE194*Ramure*Pc/MaxiM</f>
        <v>7.9907036818664212E-6</v>
      </c>
      <c r="AE194" s="305">
        <f t="shared" si="63"/>
        <v>0.5</v>
      </c>
      <c r="AF194" s="177">
        <f t="shared" si="64"/>
        <v>0.34021279914757807</v>
      </c>
      <c r="AG194" s="811">
        <f t="shared" si="65"/>
        <v>-2</v>
      </c>
      <c r="AH194" s="176">
        <f t="shared" si="66"/>
        <v>4</v>
      </c>
      <c r="AI194" s="225">
        <f t="shared" si="67"/>
        <v>-1.6597872008524219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7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7">
        <f t="shared" si="50"/>
        <v>4.8174566181280465E-4</v>
      </c>
      <c r="M195" s="856"/>
      <c r="N195" s="856"/>
      <c r="O195" s="324">
        <f t="shared" si="51"/>
        <v>1.4577793964506373E-3</v>
      </c>
      <c r="P195" s="169">
        <f>(INDEX(Models!$BJ195:$BT195,,T195)*(1-R195)+INDEX(Models!$BJ195:$BT195,,T195+1)*R195-ERP_i)*Q195*Ramure*Pc/MaxiM</f>
        <v>8.1329685713587823E-6</v>
      </c>
      <c r="Q195" s="305">
        <f t="shared" si="52"/>
        <v>0.5</v>
      </c>
      <c r="R195" s="177">
        <f t="shared" si="53"/>
        <v>0.34461339939313373</v>
      </c>
      <c r="S195" s="811">
        <f t="shared" si="71"/>
        <v>-2</v>
      </c>
      <c r="T195" s="176">
        <f t="shared" si="54"/>
        <v>4</v>
      </c>
      <c r="U195" s="251">
        <f t="shared" si="55"/>
        <v>-1.6553866006068663</v>
      </c>
      <c r="V195" s="383">
        <f t="shared" si="56"/>
        <v>62.217593045240498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6">
        <f t="shared" si="62"/>
        <v>1.4577793964506373E-3</v>
      </c>
      <c r="AD195" s="169">
        <f>(INDEX(Models!$BJ195:$BT195,,AH195)*(1-AF195)+INDEX(Models!$BJ195:$BT195,,AH195+1)*AF195-ERP_i)*AE195*Ramure*Pc/MaxiM</f>
        <v>8.1329685713587823E-6</v>
      </c>
      <c r="AE195" s="305">
        <f t="shared" si="63"/>
        <v>0.5</v>
      </c>
      <c r="AF195" s="177">
        <f t="shared" si="64"/>
        <v>0.34461339939313373</v>
      </c>
      <c r="AG195" s="811">
        <f t="shared" si="65"/>
        <v>-2</v>
      </c>
      <c r="AH195" s="176">
        <f t="shared" si="66"/>
        <v>4</v>
      </c>
      <c r="AI195" s="225">
        <f t="shared" si="67"/>
        <v>-1.6553866006068663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7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7">
        <f t="shared" si="50"/>
        <v>5.0363767677874538E-4</v>
      </c>
      <c r="M196" s="856"/>
      <c r="N196" s="856"/>
      <c r="O196" s="324">
        <f t="shared" si="51"/>
        <v>1.5237396336515766E-3</v>
      </c>
      <c r="P196" s="169">
        <f>(INDEX(Models!$BJ196:$BT196,,T196)*(1-R196)+INDEX(Models!$BJ196:$BT196,,T196+1)*R196-ERP_i)*Q196*Ramure*Pc/MaxiM</f>
        <v>8.2813883705813195E-6</v>
      </c>
      <c r="Q196" s="305">
        <f t="shared" si="52"/>
        <v>0.5</v>
      </c>
      <c r="R196" s="177">
        <f t="shared" si="53"/>
        <v>0.3489441669140767</v>
      </c>
      <c r="S196" s="811">
        <f t="shared" si="71"/>
        <v>-2</v>
      </c>
      <c r="T196" s="176">
        <f t="shared" si="54"/>
        <v>4</v>
      </c>
      <c r="U196" s="251">
        <f t="shared" si="55"/>
        <v>-1.6510558330859233</v>
      </c>
      <c r="V196" s="383">
        <f t="shared" si="56"/>
        <v>62.124111141027186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6">
        <f t="shared" si="62"/>
        <v>1.5237396336515766E-3</v>
      </c>
      <c r="AD196" s="169">
        <f>(INDEX(Models!$BJ196:$BT196,,AH196)*(1-AF196)+INDEX(Models!$BJ196:$BT196,,AH196+1)*AF196-ERP_i)*AE196*Ramure*Pc/MaxiM</f>
        <v>8.2813883705813195E-6</v>
      </c>
      <c r="AE196" s="305">
        <f t="shared" si="63"/>
        <v>0.5</v>
      </c>
      <c r="AF196" s="177">
        <f t="shared" si="64"/>
        <v>0.3489441669140767</v>
      </c>
      <c r="AG196" s="811">
        <f t="shared" si="65"/>
        <v>-2</v>
      </c>
      <c r="AH196" s="176">
        <f t="shared" si="66"/>
        <v>4</v>
      </c>
      <c r="AI196" s="225">
        <f t="shared" si="67"/>
        <v>-1.6510558330859233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7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7">
        <f t="shared" si="50"/>
        <v>5.2552921225346161E-4</v>
      </c>
      <c r="M197" s="856"/>
      <c r="N197" s="856"/>
      <c r="O197" s="324">
        <f t="shared" si="51"/>
        <v>1.5896493251737016E-3</v>
      </c>
      <c r="P197" s="169">
        <f>(INDEX(Models!$BJ197:$BT197,,T197)*(1-R197)+INDEX(Models!$BJ197:$BT197,,T197+1)*R197-ERP_i)*Q197*Ramure*Pc/MaxiM</f>
        <v>8.4362359309723569E-6</v>
      </c>
      <c r="Q197" s="305">
        <f t="shared" si="52"/>
        <v>0.5</v>
      </c>
      <c r="R197" s="177">
        <f t="shared" si="53"/>
        <v>0.35320318222173741</v>
      </c>
      <c r="S197" s="811">
        <f t="shared" si="71"/>
        <v>-2</v>
      </c>
      <c r="T197" s="176">
        <f t="shared" si="54"/>
        <v>4</v>
      </c>
      <c r="U197" s="251">
        <f t="shared" si="55"/>
        <v>-1.6467968177782626</v>
      </c>
      <c r="V197" s="383">
        <f t="shared" si="56"/>
        <v>62.028647869755005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6">
        <f t="shared" si="62"/>
        <v>1.5896493251737016E-3</v>
      </c>
      <c r="AD197" s="169">
        <f>(INDEX(Models!$BJ197:$BT197,,AH197)*(1-AF197)+INDEX(Models!$BJ197:$BT197,,AH197+1)*AF197-ERP_i)*AE197*Ramure*Pc/MaxiM</f>
        <v>8.4362359309723569E-6</v>
      </c>
      <c r="AE197" s="305">
        <f t="shared" si="63"/>
        <v>0.5</v>
      </c>
      <c r="AF197" s="177">
        <f t="shared" si="64"/>
        <v>0.35320318222173741</v>
      </c>
      <c r="AG197" s="811">
        <f t="shared" si="65"/>
        <v>-2</v>
      </c>
      <c r="AH197" s="176">
        <f t="shared" si="66"/>
        <v>4</v>
      </c>
      <c r="AI197" s="225">
        <f t="shared" si="67"/>
        <v>-1.6467968177782626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7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7">
        <f t="shared" si="50"/>
        <v>5.4742026824727841E-4</v>
      </c>
      <c r="M198" s="856"/>
      <c r="N198" s="856"/>
      <c r="O198" s="324">
        <f t="shared" si="51"/>
        <v>1.6555060456569918E-3</v>
      </c>
      <c r="P198" s="169">
        <f>(INDEX(Models!$BJ198:$BT198,,T198)*(1-R198)+INDEX(Models!$BJ198:$BT198,,T198+1)*R198-ERP_i)*Q198*Ramure*Pc/MaxiM</f>
        <v>8.6843071641118661E-6</v>
      </c>
      <c r="Q198" s="305">
        <f t="shared" si="52"/>
        <v>0.5</v>
      </c>
      <c r="R198" s="177">
        <f t="shared" si="53"/>
        <v>0.35738870798903388</v>
      </c>
      <c r="S198" s="811">
        <f t="shared" si="71"/>
        <v>-2</v>
      </c>
      <c r="T198" s="176">
        <f t="shared" si="54"/>
        <v>4</v>
      </c>
      <c r="U198" s="251">
        <f t="shared" si="55"/>
        <v>-1.6426112920109661</v>
      </c>
      <c r="V198" s="383">
        <f t="shared" si="56"/>
        <v>61.931198522001985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6">
        <f t="shared" si="62"/>
        <v>1.6555060456569918E-3</v>
      </c>
      <c r="AD198" s="169">
        <f>(INDEX(Models!$BJ198:$BT198,,AH198)*(1-AF198)+INDEX(Models!$BJ198:$BT198,,AH198+1)*AF198-ERP_i)*AE198*Ramure*Pc/MaxiM</f>
        <v>8.6843071641118661E-6</v>
      </c>
      <c r="AE198" s="305">
        <f t="shared" si="63"/>
        <v>0.5</v>
      </c>
      <c r="AF198" s="177">
        <f t="shared" si="64"/>
        <v>0.35738870798903388</v>
      </c>
      <c r="AG198" s="811">
        <f t="shared" si="65"/>
        <v>-2</v>
      </c>
      <c r="AH198" s="176">
        <f t="shared" si="66"/>
        <v>4</v>
      </c>
      <c r="AI198" s="225">
        <f t="shared" si="67"/>
        <v>-1.6426112920109661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7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7">
        <f t="shared" si="50"/>
        <v>5.6931084477085392E-4</v>
      </c>
      <c r="M199" s="856"/>
      <c r="N199" s="856"/>
      <c r="O199" s="324">
        <f t="shared" si="51"/>
        <v>1.7213075173093781E-3</v>
      </c>
      <c r="P199" s="169">
        <f>(INDEX(Models!$BJ199:$BT199,,T199)*(1-R199)+INDEX(Models!$BJ199:$BT199,,T199+1)*R199-ERP_i)*Q199*Ramure*Pc/MaxiM</f>
        <v>9.0317369918237551E-6</v>
      </c>
      <c r="Q199" s="305">
        <f t="shared" si="52"/>
        <v>0.5</v>
      </c>
      <c r="R199" s="177">
        <f t="shared" si="53"/>
        <v>0.36149918821299076</v>
      </c>
      <c r="S199" s="811">
        <f t="shared" si="71"/>
        <v>-2</v>
      </c>
      <c r="T199" s="176">
        <f t="shared" si="54"/>
        <v>4</v>
      </c>
      <c r="U199" s="251">
        <f t="shared" si="55"/>
        <v>-1.6385008117870092</v>
      </c>
      <c r="V199" s="383">
        <f t="shared" si="56"/>
        <v>61.83176339968027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6">
        <f t="shared" si="62"/>
        <v>1.7213075173093781E-3</v>
      </c>
      <c r="AD199" s="169">
        <f>(INDEX(Models!$BJ199:$BT199,,AH199)*(1-AF199)+INDEX(Models!$BJ199:$BT199,,AH199+1)*AF199-ERP_i)*AE199*Ramure*Pc/MaxiM</f>
        <v>9.0317369918237551E-6</v>
      </c>
      <c r="AE199" s="305">
        <f t="shared" si="63"/>
        <v>0.5</v>
      </c>
      <c r="AF199" s="177">
        <f t="shared" si="64"/>
        <v>0.36149918821299076</v>
      </c>
      <c r="AG199" s="811">
        <f t="shared" si="65"/>
        <v>-2</v>
      </c>
      <c r="AH199" s="176">
        <f t="shared" si="66"/>
        <v>4</v>
      </c>
      <c r="AI199" s="225">
        <f t="shared" si="67"/>
        <v>-1.6385008117870092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7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7">
        <f t="shared" si="50"/>
        <v>5.9120094183462424E-4</v>
      </c>
      <c r="M200" s="856"/>
      <c r="N200" s="856"/>
      <c r="O200" s="324">
        <f t="shared" si="51"/>
        <v>1.7870516145866145E-3</v>
      </c>
      <c r="P200" s="169">
        <f>(INDEX(Models!$BJ200:$BT200,,T200)*(1-R200)+INDEX(Models!$BJ200:$BT200,,T200+1)*R200-ERP_i)*Q200*Ramure*Pc/MaxiM</f>
        <v>9.4824949844131427E-6</v>
      </c>
      <c r="Q200" s="305">
        <f t="shared" si="52"/>
        <v>0.5</v>
      </c>
      <c r="R200" s="177">
        <f t="shared" si="53"/>
        <v>0.36553324657296482</v>
      </c>
      <c r="S200" s="811">
        <f t="shared" si="71"/>
        <v>-2</v>
      </c>
      <c r="T200" s="176">
        <f t="shared" si="54"/>
        <v>4</v>
      </c>
      <c r="U200" s="251">
        <f t="shared" si="55"/>
        <v>-1.6344667534270352</v>
      </c>
      <c r="V200" s="383">
        <f t="shared" si="56"/>
        <v>61.730342930933659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6">
        <f t="shared" si="62"/>
        <v>1.7870516145866145E-3</v>
      </c>
      <c r="AD200" s="169">
        <f>(INDEX(Models!$BJ200:$BT200,,AH200)*(1-AF200)+INDEX(Models!$BJ200:$BT200,,AH200+1)*AF200-ERP_i)*AE200*Ramure*Pc/MaxiM</f>
        <v>9.4824949844131427E-6</v>
      </c>
      <c r="AE200" s="305">
        <f t="shared" si="63"/>
        <v>0.5</v>
      </c>
      <c r="AF200" s="177">
        <f t="shared" si="64"/>
        <v>0.36553324657296482</v>
      </c>
      <c r="AG200" s="811">
        <f t="shared" si="65"/>
        <v>-2</v>
      </c>
      <c r="AH200" s="176">
        <f t="shared" si="66"/>
        <v>4</v>
      </c>
      <c r="AI200" s="225">
        <f t="shared" si="67"/>
        <v>-1.6344667534270352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7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7">
        <f t="shared" si="50"/>
        <v>6.1309055944902546E-4</v>
      </c>
      <c r="M201" s="856"/>
      <c r="N201" s="856"/>
      <c r="O201" s="324">
        <f t="shared" si="51"/>
        <v>1.8527363675658378E-3</v>
      </c>
      <c r="P201" s="169">
        <f>(INDEX(Models!$BJ201:$BT201,,T201)*(1-R201)+INDEX(Models!$BJ201:$BT201,,T201+1)*R201-ERP_i)*Q201*Ramure*Pc/MaxiM</f>
        <v>1.0040424574391466E-5</v>
      </c>
      <c r="Q201" s="305">
        <f t="shared" si="52"/>
        <v>0.5</v>
      </c>
      <c r="R201" s="177">
        <f t="shared" si="53"/>
        <v>0.36948968403409088</v>
      </c>
      <c r="S201" s="811">
        <f t="shared" si="71"/>
        <v>-2</v>
      </c>
      <c r="T201" s="176">
        <f t="shared" si="54"/>
        <v>4</v>
      </c>
      <c r="U201" s="251">
        <f t="shared" si="55"/>
        <v>-1.6305103159659091</v>
      </c>
      <c r="V201" s="383">
        <f t="shared" si="56"/>
        <v>61.626937543740709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6">
        <f t="shared" si="62"/>
        <v>1.8527363675658378E-3</v>
      </c>
      <c r="AD201" s="169">
        <f>(INDEX(Models!$BJ201:$BT201,,AH201)*(1-AF201)+INDEX(Models!$BJ201:$BT201,,AH201+1)*AF201-ERP_i)*AE201*Ramure*Pc/MaxiM</f>
        <v>1.0040424574391466E-5</v>
      </c>
      <c r="AE201" s="305">
        <f t="shared" si="63"/>
        <v>0.5</v>
      </c>
      <c r="AF201" s="177">
        <f t="shared" si="64"/>
        <v>0.36948968403409088</v>
      </c>
      <c r="AG201" s="811">
        <f t="shared" si="65"/>
        <v>-2</v>
      </c>
      <c r="AH201" s="176">
        <f t="shared" si="66"/>
        <v>4</v>
      </c>
      <c r="AI201" s="225">
        <f t="shared" si="67"/>
        <v>-1.6305103159659091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7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7">
        <f t="shared" si="50"/>
        <v>6.3497969762471573E-4</v>
      </c>
      <c r="M202" s="856"/>
      <c r="N202" s="856"/>
      <c r="O202" s="324">
        <f t="shared" si="51"/>
        <v>1.9183599640106561E-3</v>
      </c>
      <c r="P202" s="169">
        <f>(INDEX(Models!$BJ202:$BT202,,T202)*(1-R202)+INDEX(Models!$BJ202:$BT202,,T202+1)*R202-ERP_i)*Q202*Ramure*Pc/MaxiM</f>
        <v>1.0709241287813652E-5</v>
      </c>
      <c r="Q202" s="305">
        <f t="shared" si="52"/>
        <v>0.5</v>
      </c>
      <c r="R202" s="177">
        <f t="shared" si="53"/>
        <v>0.37336747574913032</v>
      </c>
      <c r="S202" s="811">
        <f t="shared" si="71"/>
        <v>-2</v>
      </c>
      <c r="T202" s="176">
        <f t="shared" si="54"/>
        <v>4</v>
      </c>
      <c r="U202" s="251">
        <f t="shared" si="55"/>
        <v>-1.6266325242508697</v>
      </c>
      <c r="V202" s="383">
        <f t="shared" si="56"/>
        <v>61.521547663794365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6">
        <f t="shared" si="62"/>
        <v>1.9183599640106561E-3</v>
      </c>
      <c r="AD202" s="169">
        <f>(INDEX(Models!$BJ202:$BT202,,AH202)*(1-AF202)+INDEX(Models!$BJ202:$BT202,,AH202+1)*AF202-ERP_i)*AE202*Ramure*Pc/MaxiM</f>
        <v>1.0709241287813652E-5</v>
      </c>
      <c r="AE202" s="305">
        <f t="shared" si="63"/>
        <v>0.5</v>
      </c>
      <c r="AF202" s="177">
        <f t="shared" si="64"/>
        <v>0.37336747574913032</v>
      </c>
      <c r="AG202" s="811">
        <f t="shared" si="65"/>
        <v>-2</v>
      </c>
      <c r="AH202" s="176">
        <f t="shared" si="66"/>
        <v>4</v>
      </c>
      <c r="AI202" s="225">
        <f t="shared" si="67"/>
        <v>-1.6266325242508697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7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7">
        <f t="shared" si="50"/>
        <v>6.5686835637202012E-4</v>
      </c>
      <c r="M203" s="856"/>
      <c r="N203" s="856"/>
      <c r="O203" s="324">
        <f t="shared" si="51"/>
        <v>1.9839207501378036E-3</v>
      </c>
      <c r="P203" s="169">
        <f>(INDEX(Models!$BJ203:$BT203,,T203)*(1-R203)+INDEX(Models!$BJ203:$BT203,,T203+1)*R203-ERP_i)*Q203*Ramure*Pc/MaxiM</f>
        <v>1.1492532231280943E-5</v>
      </c>
      <c r="Q203" s="305">
        <f t="shared" si="52"/>
        <v>0.5</v>
      </c>
      <c r="R203" s="177">
        <f t="shared" si="53"/>
        <v>0.37716576731473284</v>
      </c>
      <c r="S203" s="811">
        <f t="shared" si="71"/>
        <v>-2</v>
      </c>
      <c r="T203" s="176">
        <f t="shared" si="54"/>
        <v>4</v>
      </c>
      <c r="U203" s="251">
        <f t="shared" si="55"/>
        <v>-1.6228342326852672</v>
      </c>
      <c r="V203" s="383">
        <f t="shared" si="56"/>
        <v>61.414173719180276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6">
        <f t="shared" si="62"/>
        <v>1.9839207501378036E-3</v>
      </c>
      <c r="AD203" s="169">
        <f>(INDEX(Models!$BJ203:$BT203,,AH203)*(1-AF203)+INDEX(Models!$BJ203:$BT203,,AH203+1)*AF203-ERP_i)*AE203*Ramure*Pc/MaxiM</f>
        <v>1.1492532231280943E-5</v>
      </c>
      <c r="AE203" s="305">
        <f t="shared" si="63"/>
        <v>0.5</v>
      </c>
      <c r="AF203" s="177">
        <f t="shared" si="64"/>
        <v>0.37716576731473284</v>
      </c>
      <c r="AG203" s="811">
        <f t="shared" si="65"/>
        <v>-2</v>
      </c>
      <c r="AH203" s="176">
        <f t="shared" si="66"/>
        <v>4</v>
      </c>
      <c r="AI203" s="225">
        <f t="shared" si="67"/>
        <v>-1.6228342326852672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7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7">
        <f t="shared" si="50"/>
        <v>6.7875653570159677E-4</v>
      </c>
      <c r="M204" s="856"/>
      <c r="N204" s="856"/>
      <c r="O204" s="324">
        <f t="shared" si="51"/>
        <v>2.0494172301078382E-3</v>
      </c>
      <c r="P204" s="169">
        <f>(INDEX(Models!$BJ204:$BT204,,T204)*(1-R204)+INDEX(Models!$BJ204:$BT204,,T204+1)*R204-ERP_i)*Q204*Ramure*Pc/MaxiM</f>
        <v>1.2393756772797236E-5</v>
      </c>
      <c r="Q204" s="305">
        <f t="shared" si="52"/>
        <v>0.5</v>
      </c>
      <c r="R204" s="177">
        <f t="shared" si="53"/>
        <v>0.3808838704401849</v>
      </c>
      <c r="S204" s="811">
        <f t="shared" si="71"/>
        <v>-2</v>
      </c>
      <c r="T204" s="176">
        <f t="shared" si="54"/>
        <v>4</v>
      </c>
      <c r="U204" s="251">
        <f t="shared" si="55"/>
        <v>-1.6191161295598151</v>
      </c>
      <c r="V204" s="383">
        <f t="shared" si="56"/>
        <v>61.304816134391466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6">
        <f t="shared" si="62"/>
        <v>2.0494172301078382E-3</v>
      </c>
      <c r="AD204" s="169">
        <f>(INDEX(Models!$BJ204:$BT204,,AH204)*(1-AF204)+INDEX(Models!$BJ204:$BT204,,AH204+1)*AF204-ERP_i)*AE204*Ramure*Pc/MaxiM</f>
        <v>1.2393756772797236E-5</v>
      </c>
      <c r="AE204" s="305">
        <f t="shared" si="63"/>
        <v>0.5</v>
      </c>
      <c r="AF204" s="177">
        <f t="shared" si="64"/>
        <v>0.3808838704401849</v>
      </c>
      <c r="AG204" s="811">
        <f t="shared" si="65"/>
        <v>-2</v>
      </c>
      <c r="AH204" s="176">
        <f t="shared" si="66"/>
        <v>4</v>
      </c>
      <c r="AI204" s="225">
        <f t="shared" si="67"/>
        <v>-1.6191161295598151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7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7">
        <f t="shared" si="50"/>
        <v>7.0064423562377076E-4</v>
      </c>
      <c r="M205" s="856"/>
      <c r="N205" s="856"/>
      <c r="O205" s="324">
        <f t="shared" si="51"/>
        <v>2.1148480642740981E-3</v>
      </c>
      <c r="P205" s="169">
        <f>(INDEX(Models!$BJ205:$BT205,,T205)*(1-R205)+INDEX(Models!$BJ205:$BT205,,T205+1)*R205-ERP_i)*Q205*Ramure*Pc/MaxiM</f>
        <v>1.3416299193208914E-5</v>
      </c>
      <c r="Q205" s="305">
        <f t="shared" si="52"/>
        <v>0.5</v>
      </c>
      <c r="R205" s="177">
        <f t="shared" si="53"/>
        <v>0.38452125808801352</v>
      </c>
      <c r="S205" s="811">
        <f t="shared" si="71"/>
        <v>-2</v>
      </c>
      <c r="T205" s="176">
        <f t="shared" si="54"/>
        <v>4</v>
      </c>
      <c r="U205" s="251">
        <f t="shared" si="55"/>
        <v>-1.6154787419119865</v>
      </c>
      <c r="V205" s="383">
        <f t="shared" si="56"/>
        <v>61.193243374334948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6">
        <f t="shared" si="62"/>
        <v>2.1148480642740981E-3</v>
      </c>
      <c r="AD205" s="169">
        <f>(INDEX(Models!$BJ205:$BT205,,AH205)*(1-AF205)+INDEX(Models!$BJ205:$BT205,,AH205+1)*AF205-ERP_i)*AE205*Ramure*Pc/MaxiM</f>
        <v>1.3416299193208914E-5</v>
      </c>
      <c r="AE205" s="305">
        <f t="shared" si="63"/>
        <v>0.5</v>
      </c>
      <c r="AF205" s="177">
        <f t="shared" si="64"/>
        <v>0.38452125808801352</v>
      </c>
      <c r="AG205" s="811">
        <f t="shared" si="65"/>
        <v>-2</v>
      </c>
      <c r="AH205" s="176">
        <f t="shared" si="66"/>
        <v>4</v>
      </c>
      <c r="AI205" s="225">
        <f t="shared" si="67"/>
        <v>-1.6154787419119865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7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7">
        <f t="shared" si="50"/>
        <v>7.2253145614920022E-4</v>
      </c>
      <c r="M206" s="856"/>
      <c r="N206" s="856"/>
      <c r="O206" s="324">
        <f t="shared" si="51"/>
        <v>2.1802120662356098E-3</v>
      </c>
      <c r="P206" s="169">
        <f>(INDEX(Models!$BJ206:$BT206,,T206)*(1-R206)+INDEX(Models!$BJ206:$BT206,,T206+1)*R206-ERP_i)*Q206*Ramure*Pc/MaxiM</f>
        <v>1.4620644471560134E-5</v>
      </c>
      <c r="Q206" s="305">
        <f t="shared" si="52"/>
        <v>0.5</v>
      </c>
      <c r="R206" s="177">
        <f t="shared" si="53"/>
        <v>0.38807755914637787</v>
      </c>
      <c r="S206" s="811">
        <f t="shared" si="71"/>
        <v>-2</v>
      </c>
      <c r="T206" s="176">
        <f t="shared" si="54"/>
        <v>4</v>
      </c>
      <c r="U206" s="251">
        <f t="shared" si="55"/>
        <v>-1.6119224408536221</v>
      </c>
      <c r="V206" s="383">
        <f t="shared" si="56"/>
        <v>61.079291853832252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6">
        <f t="shared" si="62"/>
        <v>2.1802120662356098E-3</v>
      </c>
      <c r="AD206" s="169">
        <f>(INDEX(Models!$BJ206:$BT206,,AH206)*(1-AF206)+INDEX(Models!$BJ206:$BT206,,AH206+1)*AF206-ERP_i)*AE206*Ramure*Pc/MaxiM</f>
        <v>1.4620644471560134E-5</v>
      </c>
      <c r="AE206" s="305">
        <f t="shared" si="63"/>
        <v>0.5</v>
      </c>
      <c r="AF206" s="177">
        <f t="shared" si="64"/>
        <v>0.38807755914637787</v>
      </c>
      <c r="AG206" s="811">
        <f t="shared" si="65"/>
        <v>-2</v>
      </c>
      <c r="AH206" s="176">
        <f t="shared" si="66"/>
        <v>4</v>
      </c>
      <c r="AI206" s="225">
        <f t="shared" si="67"/>
        <v>-1.6119224408536221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7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7">
        <f t="shared" ref="L207:L270" si="75">IF(t&lt;T0,0,IF(t&lt;Tvie,1-EXP((T0-t)*PertePVj),1-EXP((T0-t)*PertePVj)+Pspv))</f>
        <v>7.4441819728832126E-4</v>
      </c>
      <c r="M207" s="856"/>
      <c r="N207" s="856"/>
      <c r="O207" s="324">
        <f t="shared" ref="O207:O270" si="76">IF(t&lt;T0,0,IF(t&lt;Tnet,Salim_i*(1-EXP((T0-t)/Tau_ij)),Resal+(Salim-Resal)*(1-EXP((Tnet-t)/(Tau_j)))))*Salcycl</f>
        <v>2.2455081987503415E-3</v>
      </c>
      <c r="P207" s="169">
        <f>(INDEX(Models!$BJ207:$BT207,,T207)*(1-R207)+INDEX(Models!$BJ207:$BT207,,T207+1)*R207-ERP_i)*Q207*Ramure*Pc/MaxiM</f>
        <v>1.6000822173725635E-5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0.39155255269309608</v>
      </c>
      <c r="S207" s="811">
        <f t="shared" si="71"/>
        <v>-2</v>
      </c>
      <c r="T207" s="176">
        <f t="shared" ref="T207:T270" si="79">MIN(MATCH(Hp_vg,Echel_vg),10)</f>
        <v>4</v>
      </c>
      <c r="U207" s="251">
        <f t="shared" ref="U207:U270" si="80">IF(OR(t&lt;Ttai,Notai),Hdd+PousH*Croivg,Hdtf+PousH*(Croivg-Croi_tai))</f>
        <v>-1.6084474473069039</v>
      </c>
      <c r="V207" s="383">
        <f t="shared" ref="V207:V270" si="81">MaxiM*(1-Ppv)*(1-Pvg)*(1-Psa)</f>
        <v>60.963069714649009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6">
        <f t="shared" ref="AC207:AC270" si="87">IF(t&lt;T0,0,IF(OR(t&lt;Tnet,NoTnet),Salim_i*(1-EXP((T0-t)/Tau_ij)),Resal_s+(Salim-Resal_s)*(1-EXP((Tnet_s-t)/Tau_j))))*Salcycl</f>
        <v>2.2455081987503415E-3</v>
      </c>
      <c r="AD207" s="169">
        <f>(INDEX(Models!$BJ207:$BT207,,AH207)*(1-AF207)+INDEX(Models!$BJ207:$BT207,,AH207+1)*AF207-ERP_i)*AE207*Ramure*Pc/MaxiM</f>
        <v>1.6000822173725635E-5</v>
      </c>
      <c r="AE207" s="305">
        <f t="shared" ref="AE207:AE270" si="88">Dd+PousD*Croivg</f>
        <v>0.5</v>
      </c>
      <c r="AF207" s="177">
        <f t="shared" ref="AF207:AF270" si="89">(Hp_vg_s-AG207)/(INDEX(Echel_vg,AH207+1)-AG207)</f>
        <v>0.39155255269309608</v>
      </c>
      <c r="AG207" s="811">
        <f t="shared" ref="AG207:AG270" si="90">INDEX(Echel_vg,AH207)</f>
        <v>-2</v>
      </c>
      <c r="AH207" s="176">
        <f t="shared" ref="AH207:AH270" si="91">MIN(MATCH(Hp_vg_s,Echel_vg),10)</f>
        <v>4</v>
      </c>
      <c r="AI207" s="225">
        <f t="shared" ref="AI207:AI270" si="92">Hdd+PousH*Croivg</f>
        <v>-1.6084474473069039</v>
      </c>
      <c r="AJ207" s="265" t="b">
        <f t="shared" ref="AJ207:AJ270" si="93">t&lt;Tnet</f>
        <v>0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7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7">
        <f t="shared" si="75"/>
        <v>7.6630445905168099E-4</v>
      </c>
      <c r="M208" s="856"/>
      <c r="N208" s="856"/>
      <c r="O208" s="324">
        <f t="shared" si="76"/>
        <v>2.3107355685755395E-3</v>
      </c>
      <c r="P208" s="169">
        <f>(INDEX(Models!$BJ208:$BT208,,T208)*(1-R208)+INDEX(Models!$BJ208:$BT208,,T208+1)*R208-ERP_i)*Q208*Ramure*Pc/MaxiM</f>
        <v>1.7561302025635838E-5</v>
      </c>
      <c r="Q208" s="305">
        <f t="shared" si="77"/>
        <v>0.5</v>
      </c>
      <c r="R208" s="177">
        <f t="shared" si="78"/>
        <v>0.39494616191044152</v>
      </c>
      <c r="S208" s="811">
        <f t="shared" ref="S208:S271" si="96">INDEX(Echel_vg,T208)</f>
        <v>-2</v>
      </c>
      <c r="T208" s="176">
        <f t="shared" si="79"/>
        <v>4</v>
      </c>
      <c r="U208" s="251">
        <f t="shared" si="80"/>
        <v>-1.6050538380895585</v>
      </c>
      <c r="V208" s="383">
        <f t="shared" si="81"/>
        <v>60.844684413381273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6">
        <f t="shared" si="87"/>
        <v>2.3107355685755395E-3</v>
      </c>
      <c r="AD208" s="169">
        <f>(INDEX(Models!$BJ208:$BT208,,AH208)*(1-AF208)+INDEX(Models!$BJ208:$BT208,,AH208+1)*AF208-ERP_i)*AE208*Ramure*Pc/MaxiM</f>
        <v>1.7561302025635838E-5</v>
      </c>
      <c r="AE208" s="305">
        <f t="shared" si="88"/>
        <v>0.5</v>
      </c>
      <c r="AF208" s="177">
        <f t="shared" si="89"/>
        <v>0.39494616191044152</v>
      </c>
      <c r="AG208" s="811">
        <f t="shared" si="90"/>
        <v>-2</v>
      </c>
      <c r="AH208" s="176">
        <f t="shared" si="91"/>
        <v>4</v>
      </c>
      <c r="AI208" s="225">
        <f t="shared" si="92"/>
        <v>-1.6050538380895585</v>
      </c>
      <c r="AJ208" s="265" t="b">
        <f t="shared" si="93"/>
        <v>0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7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7">
        <f t="shared" si="75"/>
        <v>7.881902414497155E-4</v>
      </c>
      <c r="M209" s="856"/>
      <c r="N209" s="856"/>
      <c r="O209" s="324">
        <f t="shared" si="76"/>
        <v>2.3758934203108946E-3</v>
      </c>
      <c r="P209" s="169">
        <f>(INDEX(Models!$BJ209:$BT209,,T209)*(1-R209)+INDEX(Models!$BJ209:$BT209,,T209+1)*R209-ERP_i)*Q209*Ramure*Pc/MaxiM</f>
        <v>1.9306382316326049E-5</v>
      </c>
      <c r="Q209" s="305">
        <f t="shared" si="77"/>
        <v>0.5</v>
      </c>
      <c r="R209" s="177">
        <f t="shared" si="78"/>
        <v>0.39825844770857444</v>
      </c>
      <c r="S209" s="811">
        <f t="shared" si="96"/>
        <v>-2</v>
      </c>
      <c r="T209" s="176">
        <f t="shared" si="79"/>
        <v>4</v>
      </c>
      <c r="U209" s="251">
        <f t="shared" si="80"/>
        <v>-1.6017415522914256</v>
      </c>
      <c r="V209" s="383">
        <f t="shared" si="81"/>
        <v>60.724243373268472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6">
        <f t="shared" si="87"/>
        <v>2.3758934203108946E-3</v>
      </c>
      <c r="AD209" s="169">
        <f>(INDEX(Models!$BJ209:$BT209,,AH209)*(1-AF209)+INDEX(Models!$BJ209:$BT209,,AH209+1)*AF209-ERP_i)*AE209*Ramure*Pc/MaxiM</f>
        <v>1.9306382316326049E-5</v>
      </c>
      <c r="AE209" s="305">
        <f t="shared" si="88"/>
        <v>0.5</v>
      </c>
      <c r="AF209" s="177">
        <f t="shared" si="89"/>
        <v>0.39825844770857444</v>
      </c>
      <c r="AG209" s="811">
        <f t="shared" si="90"/>
        <v>-2</v>
      </c>
      <c r="AH209" s="176">
        <f t="shared" si="91"/>
        <v>4</v>
      </c>
      <c r="AI209" s="225">
        <f t="shared" si="92"/>
        <v>-1.6017415522914256</v>
      </c>
      <c r="AJ209" s="265" t="b">
        <f t="shared" si="93"/>
        <v>0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7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7">
        <f t="shared" si="75"/>
        <v>8.100755444928609E-4</v>
      </c>
      <c r="M210" s="856"/>
      <c r="N210" s="856"/>
      <c r="O210" s="324">
        <f t="shared" si="76"/>
        <v>2.4409811293287236E-3</v>
      </c>
      <c r="P210" s="169">
        <f>(INDEX(Models!$BJ210:$BT210,,T210)*(1-R210)+INDEX(Models!$BJ210:$BT210,,T210+1)*R210-ERP_i)*Q210*Ramure*Pc/MaxiM</f>
        <v>2.1240194479950102E-5</v>
      </c>
      <c r="Q210" s="305">
        <f t="shared" si="77"/>
        <v>0.5</v>
      </c>
      <c r="R210" s="177">
        <f t="shared" si="78"/>
        <v>0.40148960211372686</v>
      </c>
      <c r="S210" s="811">
        <f t="shared" si="96"/>
        <v>-2</v>
      </c>
      <c r="T210" s="176">
        <f t="shared" si="79"/>
        <v>4</v>
      </c>
      <c r="U210" s="251">
        <f t="shared" si="80"/>
        <v>-1.5985103978862731</v>
      </c>
      <c r="V210" s="383">
        <f t="shared" si="81"/>
        <v>60.601853986467091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6">
        <f t="shared" si="87"/>
        <v>2.4409811293287236E-3</v>
      </c>
      <c r="AD210" s="169">
        <f>(INDEX(Models!$BJ210:$BT210,,AH210)*(1-AF210)+INDEX(Models!$BJ210:$BT210,,AH210+1)*AF210-ERP_i)*AE210*Ramure*Pc/MaxiM</f>
        <v>2.1240194479950102E-5</v>
      </c>
      <c r="AE210" s="305">
        <f t="shared" si="88"/>
        <v>0.5</v>
      </c>
      <c r="AF210" s="177">
        <f t="shared" si="89"/>
        <v>0.40148960211372686</v>
      </c>
      <c r="AG210" s="811">
        <f t="shared" si="90"/>
        <v>-2</v>
      </c>
      <c r="AH210" s="176">
        <f t="shared" si="91"/>
        <v>4</v>
      </c>
      <c r="AI210" s="225">
        <f t="shared" si="92"/>
        <v>-1.5985103978862731</v>
      </c>
      <c r="AJ210" s="265" t="b">
        <f t="shared" si="93"/>
        <v>0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7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7">
        <f t="shared" si="75"/>
        <v>8.3196036819188635E-4</v>
      </c>
      <c r="M211" s="856"/>
      <c r="N211" s="856"/>
      <c r="O211" s="324">
        <f t="shared" si="76"/>
        <v>2.50599819388271E-3</v>
      </c>
      <c r="P211" s="169">
        <f>(INDEX(Models!$BJ211:$BT211,,T211)*(1-R211)+INDEX(Models!$BJ211:$BT211,,T211+1)*R211-ERP_i)*Q211*Ramure*Pc/MaxiM</f>
        <v>2.3366708345642744E-5</v>
      </c>
      <c r="Q211" s="305">
        <f t="shared" si="77"/>
        <v>0.5</v>
      </c>
      <c r="R211" s="177">
        <f t="shared" si="78"/>
        <v>0.40463994147506832</v>
      </c>
      <c r="S211" s="811">
        <f t="shared" si="96"/>
        <v>-2</v>
      </c>
      <c r="T211" s="176">
        <f t="shared" si="79"/>
        <v>4</v>
      </c>
      <c r="U211" s="251">
        <f t="shared" si="80"/>
        <v>-1.5953600585249317</v>
      </c>
      <c r="V211" s="383">
        <f t="shared" si="81"/>
        <v>60.477623610978696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6">
        <f t="shared" si="87"/>
        <v>2.50599819388271E-3</v>
      </c>
      <c r="AD211" s="169">
        <f>(INDEX(Models!$BJ211:$BT211,,AH211)*(1-AF211)+INDEX(Models!$BJ211:$BT211,,AH211+1)*AF211-ERP_i)*AE211*Ramure*Pc/MaxiM</f>
        <v>2.3366708345642744E-5</v>
      </c>
      <c r="AE211" s="305">
        <f t="shared" si="88"/>
        <v>0.5</v>
      </c>
      <c r="AF211" s="177">
        <f t="shared" si="89"/>
        <v>0.40463994147506832</v>
      </c>
      <c r="AG211" s="811">
        <f t="shared" si="90"/>
        <v>-2</v>
      </c>
      <c r="AH211" s="176">
        <f t="shared" si="91"/>
        <v>4</v>
      </c>
      <c r="AI211" s="225">
        <f t="shared" si="92"/>
        <v>-1.5953600585249317</v>
      </c>
      <c r="AJ211" s="265" t="b">
        <f t="shared" si="93"/>
        <v>0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7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7">
        <f t="shared" si="75"/>
        <v>8.5384471255689487E-4</v>
      </c>
      <c r="M212" s="856"/>
      <c r="N212" s="856"/>
      <c r="O212" s="324">
        <f t="shared" si="76"/>
        <v>2.5709442264929406E-3</v>
      </c>
      <c r="P212" s="169">
        <f>(INDEX(Models!$BJ212:$BT212,,T212)*(1-R212)+INDEX(Models!$BJ212:$BT212,,T212+1)*R212-ERP_i)*Q212*Ramure*Pc/MaxiM</f>
        <v>2.5500695980729571E-5</v>
      </c>
      <c r="Q212" s="305">
        <f t="shared" si="77"/>
        <v>0.5</v>
      </c>
      <c r="R212" s="177">
        <f t="shared" si="78"/>
        <v>0.4077098995416446</v>
      </c>
      <c r="S212" s="811">
        <f t="shared" si="96"/>
        <v>-2</v>
      </c>
      <c r="T212" s="176">
        <f t="shared" si="79"/>
        <v>4</v>
      </c>
      <c r="U212" s="251">
        <f t="shared" si="80"/>
        <v>-1.5922901004583554</v>
      </c>
      <c r="V212" s="383">
        <f t="shared" si="81"/>
        <v>60.351670982172514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6">
        <f t="shared" si="87"/>
        <v>2.5709442264929406E-3</v>
      </c>
      <c r="AD212" s="169">
        <f>(INDEX(Models!$BJ212:$BT212,,AH212)*(1-AF212)+INDEX(Models!$BJ212:$BT212,,AH212+1)*AF212-ERP_i)*AE212*Ramure*Pc/MaxiM</f>
        <v>2.5500695980729571E-5</v>
      </c>
      <c r="AE212" s="305">
        <f t="shared" si="88"/>
        <v>0.5</v>
      </c>
      <c r="AF212" s="177">
        <f t="shared" si="89"/>
        <v>0.4077098995416446</v>
      </c>
      <c r="AG212" s="811">
        <f t="shared" si="90"/>
        <v>-2</v>
      </c>
      <c r="AH212" s="176">
        <f t="shared" si="91"/>
        <v>4</v>
      </c>
      <c r="AI212" s="225">
        <f t="shared" si="92"/>
        <v>-1.5922901004583554</v>
      </c>
      <c r="AJ212" s="265" t="b">
        <f t="shared" si="93"/>
        <v>0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7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7">
        <f t="shared" si="75"/>
        <v>8.7572857759876666E-4</v>
      </c>
      <c r="M213" s="856"/>
      <c r="N213" s="856"/>
      <c r="O213" s="324">
        <f t="shared" si="76"/>
        <v>2.6358189447098362E-3</v>
      </c>
      <c r="P213" s="169">
        <f>(INDEX(Models!$BJ213:$BT213,,T213)*(1-R213)+INDEX(Models!$BJ213:$BT213,,T213+1)*R213-ERP_i)*Q213*Ramure*Pc/MaxiM</f>
        <v>2.7537316101672375E-5</v>
      </c>
      <c r="Q213" s="305">
        <f t="shared" si="77"/>
        <v>0.5</v>
      </c>
      <c r="R213" s="177">
        <f t="shared" si="78"/>
        <v>0.41070002045793497</v>
      </c>
      <c r="S213" s="811">
        <f t="shared" si="96"/>
        <v>-2</v>
      </c>
      <c r="T213" s="176">
        <f t="shared" si="79"/>
        <v>4</v>
      </c>
      <c r="U213" s="251">
        <f t="shared" si="80"/>
        <v>-1.589299979542065</v>
      </c>
      <c r="V213" s="383">
        <f t="shared" si="81"/>
        <v>60.224109855639476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6">
        <f t="shared" si="87"/>
        <v>2.6358189447098362E-3</v>
      </c>
      <c r="AD213" s="169">
        <f>(INDEX(Models!$BJ213:$BT213,,AH213)*(1-AF213)+INDEX(Models!$BJ213:$BT213,,AH213+1)*AF213-ERP_i)*AE213*Ramure*Pc/MaxiM</f>
        <v>2.7537316101672375E-5</v>
      </c>
      <c r="AE213" s="305">
        <f t="shared" si="88"/>
        <v>0.5</v>
      </c>
      <c r="AF213" s="177">
        <f t="shared" si="89"/>
        <v>0.41070002045793497</v>
      </c>
      <c r="AG213" s="811">
        <f t="shared" si="90"/>
        <v>-2</v>
      </c>
      <c r="AH213" s="176">
        <f t="shared" si="91"/>
        <v>4</v>
      </c>
      <c r="AI213" s="225">
        <f t="shared" si="92"/>
        <v>-1.589299979542065</v>
      </c>
      <c r="AJ213" s="265" t="b">
        <f t="shared" si="93"/>
        <v>0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7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7">
        <f t="shared" si="75"/>
        <v>8.9761196332771576E-4</v>
      </c>
      <c r="M214" s="856"/>
      <c r="N214" s="856"/>
      <c r="O214" s="324">
        <f t="shared" si="76"/>
        <v>2.700622161363533E-3</v>
      </c>
      <c r="P214" s="169">
        <f>(INDEX(Models!$BJ214:$BT214,,T214)*(1-R214)+INDEX(Models!$BJ214:$BT214,,T214+1)*R214-ERP_i)*Q214*Ramure*Pc/MaxiM</f>
        <v>2.9472034303319356E-5</v>
      </c>
      <c r="Q214" s="305">
        <f t="shared" si="77"/>
        <v>0.5</v>
      </c>
      <c r="R214" s="177">
        <f t="shared" si="78"/>
        <v>0.41361095172349871</v>
      </c>
      <c r="S214" s="811">
        <f t="shared" si="96"/>
        <v>-2</v>
      </c>
      <c r="T214" s="176">
        <f t="shared" si="79"/>
        <v>4</v>
      </c>
      <c r="U214" s="251">
        <f t="shared" si="80"/>
        <v>-1.5863890482765013</v>
      </c>
      <c r="V214" s="383">
        <f t="shared" si="81"/>
        <v>60.09504786042902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6">
        <f t="shared" si="87"/>
        <v>2.700622161363533E-3</v>
      </c>
      <c r="AD214" s="169">
        <f>(INDEX(Models!$BJ214:$BT214,,AH214)*(1-AF214)+INDEX(Models!$BJ214:$BT214,,AH214+1)*AF214-ERP_i)*AE214*Ramure*Pc/MaxiM</f>
        <v>2.9472034303319356E-5</v>
      </c>
      <c r="AE214" s="305">
        <f t="shared" si="88"/>
        <v>0.5</v>
      </c>
      <c r="AF214" s="177">
        <f t="shared" si="89"/>
        <v>0.41361095172349871</v>
      </c>
      <c r="AG214" s="811">
        <f t="shared" si="90"/>
        <v>-2</v>
      </c>
      <c r="AH214" s="176">
        <f t="shared" si="91"/>
        <v>4</v>
      </c>
      <c r="AI214" s="225">
        <f t="shared" si="92"/>
        <v>-1.5863890482765013</v>
      </c>
      <c r="AJ214" s="265" t="b">
        <f t="shared" si="93"/>
        <v>0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7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7">
        <f t="shared" si="75"/>
        <v>9.1949486975440031E-4</v>
      </c>
      <c r="M215" s="856"/>
      <c r="N215" s="856"/>
      <c r="O215" s="324">
        <f t="shared" si="76"/>
        <v>2.7653537744078346E-3</v>
      </c>
      <c r="P215" s="169">
        <f>(INDEX(Models!$BJ215:$BT215,,T215)*(1-R215)+INDEX(Models!$BJ215:$BT215,,T215+1)*R215-ERP_i)*Q215*Ramure*Pc/MaxiM</f>
        <v>3.1300479594933532E-5</v>
      </c>
      <c r="Q215" s="305">
        <f t="shared" si="77"/>
        <v>0.5</v>
      </c>
      <c r="R215" s="177">
        <f t="shared" si="78"/>
        <v>0.41644343715893384</v>
      </c>
      <c r="S215" s="811">
        <f t="shared" si="96"/>
        <v>-2</v>
      </c>
      <c r="T215" s="176">
        <f t="shared" si="79"/>
        <v>4</v>
      </c>
      <c r="U215" s="251">
        <f t="shared" si="80"/>
        <v>-1.5835565628410662</v>
      </c>
      <c r="V215" s="383">
        <f t="shared" si="81"/>
        <v>59.964592568653295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6">
        <f t="shared" si="87"/>
        <v>2.7653537744078346E-3</v>
      </c>
      <c r="AD215" s="169">
        <f>(INDEX(Models!$BJ215:$BT215,,AH215)*(1-AF215)+INDEX(Models!$BJ215:$BT215,,AH215+1)*AF215-ERP_i)*AE215*Ramure*Pc/MaxiM</f>
        <v>3.1300479594933532E-5</v>
      </c>
      <c r="AE215" s="305">
        <f t="shared" si="88"/>
        <v>0.5</v>
      </c>
      <c r="AF215" s="177">
        <f t="shared" si="89"/>
        <v>0.41644343715893384</v>
      </c>
      <c r="AG215" s="811">
        <f t="shared" si="90"/>
        <v>-2</v>
      </c>
      <c r="AH215" s="176">
        <f t="shared" si="91"/>
        <v>4</v>
      </c>
      <c r="AI215" s="225">
        <f t="shared" si="92"/>
        <v>-1.5835565628410662</v>
      </c>
      <c r="AJ215" s="265" t="b">
        <f t="shared" si="93"/>
        <v>0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7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7">
        <f t="shared" si="75"/>
        <v>9.4137729688936744E-4</v>
      </c>
      <c r="M216" s="856"/>
      <c r="N216" s="856"/>
      <c r="O216" s="324">
        <f t="shared" si="76"/>
        <v>2.8300137564688734E-3</v>
      </c>
      <c r="P216" s="169">
        <f>(INDEX(Models!$BJ216:$BT216,,T216)*(1-R216)+INDEX(Models!$BJ216:$BT216,,T216+1)*R216-ERP_i)*Q216*Ramure*Pc/MaxiM</f>
        <v>3.3018440787486726E-5</v>
      </c>
      <c r="Q216" s="305">
        <f t="shared" si="77"/>
        <v>0.5</v>
      </c>
      <c r="R216" s="177">
        <f t="shared" si="78"/>
        <v>0.41919830991699381</v>
      </c>
      <c r="S216" s="811">
        <f t="shared" si="96"/>
        <v>-2</v>
      </c>
      <c r="T216" s="176">
        <f t="shared" si="79"/>
        <v>4</v>
      </c>
      <c r="U216" s="251">
        <f t="shared" si="80"/>
        <v>-1.5808016900830062</v>
      </c>
      <c r="V216" s="383">
        <f t="shared" si="81"/>
        <v>59.832851496139313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6">
        <f t="shared" si="87"/>
        <v>2.8300137564688734E-3</v>
      </c>
      <c r="AD216" s="169">
        <f>(INDEX(Models!$BJ216:$BT216,,AH216)*(1-AF216)+INDEX(Models!$BJ216:$BT216,,AH216+1)*AF216-ERP_i)*AE216*Ramure*Pc/MaxiM</f>
        <v>3.3018440787486726E-5</v>
      </c>
      <c r="AE216" s="305">
        <f t="shared" si="88"/>
        <v>0.5</v>
      </c>
      <c r="AF216" s="177">
        <f t="shared" si="89"/>
        <v>0.41919830991699381</v>
      </c>
      <c r="AG216" s="811">
        <f t="shared" si="90"/>
        <v>-2</v>
      </c>
      <c r="AH216" s="176">
        <f t="shared" si="91"/>
        <v>4</v>
      </c>
      <c r="AI216" s="225">
        <f t="shared" si="92"/>
        <v>-1.5808016900830062</v>
      </c>
      <c r="AJ216" s="265" t="b">
        <f t="shared" si="93"/>
        <v>0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7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7">
        <f t="shared" si="75"/>
        <v>9.632592447428312E-4</v>
      </c>
      <c r="M217" s="856"/>
      <c r="N217" s="856"/>
      <c r="O217" s="324">
        <f t="shared" si="76"/>
        <v>2.8946021442087127E-3</v>
      </c>
      <c r="P217" s="169">
        <f>(INDEX(Models!$BJ217:$BT217,,T217)*(1-R217)+INDEX(Models!$BJ217:$BT217,,T217+1)*R217-ERP_i)*Q217*Ramure*Pc/MaxiM</f>
        <v>3.4621862168237193E-5</v>
      </c>
      <c r="Q217" s="305">
        <f t="shared" si="77"/>
        <v>0.5</v>
      </c>
      <c r="R217" s="177">
        <f t="shared" si="78"/>
        <v>0.42187648557427293</v>
      </c>
      <c r="S217" s="811">
        <f t="shared" si="96"/>
        <v>-2</v>
      </c>
      <c r="T217" s="176">
        <f t="shared" si="79"/>
        <v>4</v>
      </c>
      <c r="U217" s="251">
        <f t="shared" si="80"/>
        <v>-1.5781235144257271</v>
      </c>
      <c r="V217" s="383">
        <f t="shared" si="81"/>
        <v>59.699932104013307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6">
        <f t="shared" si="87"/>
        <v>2.8946021442087127E-3</v>
      </c>
      <c r="AD217" s="169">
        <f>(INDEX(Models!$BJ217:$BT217,,AH217)*(1-AF217)+INDEX(Models!$BJ217:$BT217,,AH217+1)*AF217-ERP_i)*AE217*Ramure*Pc/MaxiM</f>
        <v>3.4621862168237193E-5</v>
      </c>
      <c r="AE217" s="305">
        <f t="shared" si="88"/>
        <v>0.5</v>
      </c>
      <c r="AF217" s="177">
        <f t="shared" si="89"/>
        <v>0.42187648557427293</v>
      </c>
      <c r="AG217" s="811">
        <f t="shared" si="90"/>
        <v>-2</v>
      </c>
      <c r="AH217" s="176">
        <f t="shared" si="91"/>
        <v>4</v>
      </c>
      <c r="AI217" s="225">
        <f t="shared" si="92"/>
        <v>-1.5781235144257271</v>
      </c>
      <c r="AJ217" s="265" t="b">
        <f t="shared" si="93"/>
        <v>0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7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7">
        <f t="shared" si="75"/>
        <v>9.8514071332567177E-4</v>
      </c>
      <c r="M218" s="856"/>
      <c r="N218" s="856"/>
      <c r="O218" s="324">
        <f t="shared" si="76"/>
        <v>2.9591190276127446E-3</v>
      </c>
      <c r="P218" s="169">
        <f>(INDEX(Models!$BJ218:$BT218,,T218)*(1-R218)+INDEX(Models!$BJ218:$BT218,,T218+1)*R218-ERP_i)*Q218*Ramure*Pc/MaxiM</f>
        <v>3.6106838594876269E-5</v>
      </c>
      <c r="Q218" s="305">
        <f t="shared" si="77"/>
        <v>0.5</v>
      </c>
      <c r="R218" s="177">
        <f t="shared" si="78"/>
        <v>0.42447895533540514</v>
      </c>
      <c r="S218" s="811">
        <f t="shared" si="96"/>
        <v>-2</v>
      </c>
      <c r="T218" s="176">
        <f t="shared" si="79"/>
        <v>4</v>
      </c>
      <c r="U218" s="251">
        <f t="shared" si="80"/>
        <v>-1.5755210446645949</v>
      </c>
      <c r="V218" s="383">
        <f t="shared" si="81"/>
        <v>59.56594180064328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6">
        <f t="shared" si="87"/>
        <v>2.9591190276127446E-3</v>
      </c>
      <c r="AD218" s="169">
        <f>(INDEX(Models!$BJ218:$BT218,,AH218)*(1-AF218)+INDEX(Models!$BJ218:$BT218,,AH218+1)*AF218-ERP_i)*AE218*Ramure*Pc/MaxiM</f>
        <v>3.6106838594876269E-5</v>
      </c>
      <c r="AE218" s="305">
        <f t="shared" si="88"/>
        <v>0.5</v>
      </c>
      <c r="AF218" s="177">
        <f t="shared" si="89"/>
        <v>0.42447895533540514</v>
      </c>
      <c r="AG218" s="811">
        <f t="shared" si="90"/>
        <v>-2</v>
      </c>
      <c r="AH218" s="176">
        <f t="shared" si="91"/>
        <v>4</v>
      </c>
      <c r="AI218" s="225">
        <f t="shared" si="92"/>
        <v>-1.5755210446645949</v>
      </c>
      <c r="AJ218" s="265" t="b">
        <f t="shared" si="93"/>
        <v>0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7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7">
        <f t="shared" si="75"/>
        <v>1.0070217026481032E-3</v>
      </c>
      <c r="M219" s="856"/>
      <c r="N219" s="856"/>
      <c r="O219" s="324">
        <f t="shared" si="76"/>
        <v>3.0235645393070485E-3</v>
      </c>
      <c r="P219" s="169">
        <f>(INDEX(Models!$BJ219:$BT219,,T219)*(1-R219)+INDEX(Models!$BJ219:$BT219,,T219+1)*R219-ERP_i)*Q219*Ramure*Pc/MaxiM</f>
        <v>3.7469718164163205E-5</v>
      </c>
      <c r="Q219" s="305">
        <f t="shared" si="77"/>
        <v>0.5</v>
      </c>
      <c r="R219" s="177">
        <f t="shared" si="78"/>
        <v>0.42700677937828235</v>
      </c>
      <c r="S219" s="811">
        <f t="shared" si="96"/>
        <v>-2</v>
      </c>
      <c r="T219" s="176">
        <f t="shared" si="79"/>
        <v>4</v>
      </c>
      <c r="U219" s="251">
        <f t="shared" si="80"/>
        <v>-1.5729932206217176</v>
      </c>
      <c r="V219" s="383">
        <f t="shared" si="81"/>
        <v>59.430720622515274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6">
        <f t="shared" si="87"/>
        <v>3.0235645393070485E-3</v>
      </c>
      <c r="AD219" s="169">
        <f>(INDEX(Models!$BJ219:$BT219,,AH219)*(1-AF219)+INDEX(Models!$BJ219:$BT219,,AH219+1)*AF219-ERP_i)*AE219*Ramure*Pc/MaxiM</f>
        <v>3.7469718164163205E-5</v>
      </c>
      <c r="AE219" s="305">
        <f t="shared" si="88"/>
        <v>0.5</v>
      </c>
      <c r="AF219" s="177">
        <f t="shared" si="89"/>
        <v>0.42700677937828235</v>
      </c>
      <c r="AG219" s="811">
        <f t="shared" si="90"/>
        <v>-2</v>
      </c>
      <c r="AH219" s="176">
        <f t="shared" si="91"/>
        <v>4</v>
      </c>
      <c r="AI219" s="225">
        <f t="shared" si="92"/>
        <v>-1.5729932206217176</v>
      </c>
      <c r="AJ219" s="265" t="b">
        <f t="shared" si="93"/>
        <v>0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7">
        <v>22.574000000000002</v>
      </c>
      <c r="C220" s="390"/>
      <c r="D220" s="393">
        <f t="shared" ref="D220:D270" si="97">Wh/(1-Ppv)</f>
        <v>22.597250360897732</v>
      </c>
      <c r="E220" s="385">
        <f t="shared" ref="E220:E232" si="98">Wh_pvt/(1-Psa)</f>
        <v>22.667245428543193</v>
      </c>
      <c r="F220" s="385">
        <f t="shared" ref="F220:F228" si="99">Wh_sa/(1-Pvg*MEDIAN((-Sdif+Wh/Env_an)/Csdif,0,1))</f>
        <v>22.667346199571174</v>
      </c>
      <c r="G220" s="110">
        <f t="shared" ref="G220:G232" si="100">+Wh_hp/MaxiM</f>
        <v>0.38069977322522336</v>
      </c>
      <c r="I220" s="380">
        <f t="shared" si="73"/>
        <v>22.667346199571174</v>
      </c>
      <c r="J220" s="85">
        <v>2018</v>
      </c>
      <c r="K220" s="197">
        <f t="shared" si="74"/>
        <v>43306</v>
      </c>
      <c r="L220" s="437">
        <f t="shared" si="75"/>
        <v>1.0289022127206726E-3</v>
      </c>
      <c r="M220" s="856"/>
      <c r="N220" s="856"/>
      <c r="O220" s="324">
        <f t="shared" si="76"/>
        <v>3.0879388440080749E-3</v>
      </c>
      <c r="P220" s="169">
        <f>(INDEX(Models!$BJ220:$BT220,,T220)*(1-R220)+INDEX(Models!$BJ220:$BT220,,T220+1)*R220-ERP_i)*Q220*Ramure*Pc/MaxiM</f>
        <v>3.8555900919134263E-5</v>
      </c>
      <c r="Q220" s="305">
        <f t="shared" si="77"/>
        <v>0.5</v>
      </c>
      <c r="R220" s="177">
        <f t="shared" si="78"/>
        <v>0.4294610803654173</v>
      </c>
      <c r="S220" s="811">
        <f t="shared" si="96"/>
        <v>-2</v>
      </c>
      <c r="T220" s="176">
        <f t="shared" si="79"/>
        <v>4</v>
      </c>
      <c r="U220" s="251">
        <f t="shared" si="80"/>
        <v>-1.5705389196345827</v>
      </c>
      <c r="V220" s="383">
        <f t="shared" si="81"/>
        <v>59.294046330725699</v>
      </c>
      <c r="W220" s="58"/>
      <c r="X220" s="157">
        <f t="shared" si="82"/>
        <v>43306</v>
      </c>
      <c r="Y220" s="385">
        <f t="shared" si="83"/>
        <v>22.574000000000002</v>
      </c>
      <c r="Z220" s="385">
        <f t="shared" si="84"/>
        <v>22.597250360897732</v>
      </c>
      <c r="AA220" s="386">
        <f t="shared" si="85"/>
        <v>22.667245428543193</v>
      </c>
      <c r="AB220" s="197">
        <f t="shared" si="86"/>
        <v>43306</v>
      </c>
      <c r="AC220" s="426">
        <f t="shared" si="87"/>
        <v>3.0879388440080749E-3</v>
      </c>
      <c r="AD220" s="169">
        <f>(INDEX(Models!$BJ220:$BT220,,AH220)*(1-AF220)+INDEX(Models!$BJ220:$BT220,,AH220+1)*AF220-ERP_i)*AE220*Ramure*Pc/MaxiM</f>
        <v>3.8555900919134263E-5</v>
      </c>
      <c r="AE220" s="305">
        <f t="shared" si="88"/>
        <v>0.5</v>
      </c>
      <c r="AF220" s="177">
        <f t="shared" si="89"/>
        <v>0.4294610803654173</v>
      </c>
      <c r="AG220" s="811">
        <f t="shared" si="90"/>
        <v>-2</v>
      </c>
      <c r="AH220" s="176">
        <f t="shared" si="91"/>
        <v>4</v>
      </c>
      <c r="AI220" s="225">
        <f t="shared" si="92"/>
        <v>-1.5705389196345827</v>
      </c>
      <c r="AJ220" s="265" t="b">
        <f t="shared" si="93"/>
        <v>0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7">
        <v>56.448</v>
      </c>
      <c r="C221" s="390"/>
      <c r="D221" s="393">
        <f t="shared" si="97"/>
        <v>56.507376948327114</v>
      </c>
      <c r="E221" s="385">
        <f t="shared" si="98"/>
        <v>56.686065150978031</v>
      </c>
      <c r="F221" s="385">
        <f t="shared" si="99"/>
        <v>56.688146923000261</v>
      </c>
      <c r="G221" s="110">
        <f t="shared" si="100"/>
        <v>0.95422151574674041</v>
      </c>
      <c r="I221" s="380">
        <f t="shared" si="73"/>
        <v>56.688146923000261</v>
      </c>
      <c r="J221" s="85">
        <v>2018</v>
      </c>
      <c r="K221" s="197">
        <f t="shared" si="74"/>
        <v>43307</v>
      </c>
      <c r="L221" s="437">
        <f t="shared" si="75"/>
        <v>1.0507822435539271E-3</v>
      </c>
      <c r="M221" s="856"/>
      <c r="N221" s="856"/>
      <c r="O221" s="324">
        <f t="shared" si="76"/>
        <v>3.1522421282019594E-3</v>
      </c>
      <c r="P221" s="169">
        <f>(INDEX(Models!$BJ221:$BT221,,T221)*(1-R221)+INDEX(Models!$BJ221:$BT221,,T221+1)*R221-ERP_i)*Q221*Ramure*Pc/MaxiM</f>
        <v>3.9292756454864415E-5</v>
      </c>
      <c r="Q221" s="305">
        <f t="shared" si="77"/>
        <v>0.5</v>
      </c>
      <c r="R221" s="177">
        <f t="shared" si="78"/>
        <v>0.43184303714327621</v>
      </c>
      <c r="S221" s="811">
        <f t="shared" si="96"/>
        <v>-2</v>
      </c>
      <c r="T221" s="176">
        <f t="shared" si="79"/>
        <v>4</v>
      </c>
      <c r="U221" s="251">
        <f t="shared" si="80"/>
        <v>-1.5681569628567238</v>
      </c>
      <c r="V221" s="383">
        <f t="shared" si="81"/>
        <v>59.155923460847212</v>
      </c>
      <c r="W221" s="58"/>
      <c r="X221" s="157">
        <f t="shared" si="82"/>
        <v>43307</v>
      </c>
      <c r="Y221" s="385">
        <f t="shared" si="83"/>
        <v>56.448</v>
      </c>
      <c r="Z221" s="385">
        <f t="shared" si="84"/>
        <v>56.507376948327114</v>
      </c>
      <c r="AA221" s="386">
        <f t="shared" si="85"/>
        <v>56.686065150978031</v>
      </c>
      <c r="AB221" s="197">
        <f t="shared" si="86"/>
        <v>43307</v>
      </c>
      <c r="AC221" s="426">
        <f t="shared" si="87"/>
        <v>3.1522421282019594E-3</v>
      </c>
      <c r="AD221" s="169">
        <f>(INDEX(Models!$BJ221:$BT221,,AH221)*(1-AF221)+INDEX(Models!$BJ221:$BT221,,AH221+1)*AF221-ERP_i)*AE221*Ramure*Pc/MaxiM</f>
        <v>3.9292756454864415E-5</v>
      </c>
      <c r="AE221" s="305">
        <f t="shared" si="88"/>
        <v>0.5</v>
      </c>
      <c r="AF221" s="177">
        <f t="shared" si="89"/>
        <v>0.43184303714327621</v>
      </c>
      <c r="AG221" s="811">
        <f t="shared" si="90"/>
        <v>-2</v>
      </c>
      <c r="AH221" s="176">
        <f t="shared" si="91"/>
        <v>4</v>
      </c>
      <c r="AI221" s="225">
        <f t="shared" si="92"/>
        <v>-1.5681569628567238</v>
      </c>
      <c r="AJ221" s="265" t="b">
        <f t="shared" si="93"/>
        <v>0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7">
        <v>50.113</v>
      </c>
      <c r="C222" s="390"/>
      <c r="D222" s="393">
        <f t="shared" si="97"/>
        <v>50.166812022641579</v>
      </c>
      <c r="E222" s="385">
        <f t="shared" si="98"/>
        <v>50.328692984782322</v>
      </c>
      <c r="F222" s="385">
        <f t="shared" si="99"/>
        <v>50.330259368541505</v>
      </c>
      <c r="G222" s="110">
        <f t="shared" si="100"/>
        <v>0.84913027029679478</v>
      </c>
      <c r="I222" s="380">
        <f t="shared" si="73"/>
        <v>50.330259368541505</v>
      </c>
      <c r="J222" s="85">
        <v>2018</v>
      </c>
      <c r="K222" s="197">
        <f t="shared" si="74"/>
        <v>43308</v>
      </c>
      <c r="L222" s="437">
        <f t="shared" si="75"/>
        <v>1.0726617951584139E-3</v>
      </c>
      <c r="M222" s="856"/>
      <c r="N222" s="856"/>
      <c r="O222" s="324">
        <f t="shared" si="76"/>
        <v>3.2164745901445929E-3</v>
      </c>
      <c r="P222" s="169">
        <f>(INDEX(Models!$BJ222:$BT222,,T222)*(1-R222)+INDEX(Models!$BJ222:$BT222,,T222+1)*R222-ERP_i)*Q222*Ramure*Pc/MaxiM</f>
        <v>3.9672166375775626E-5</v>
      </c>
      <c r="Q222" s="305">
        <f t="shared" si="77"/>
        <v>0.5</v>
      </c>
      <c r="R222" s="177">
        <f t="shared" si="78"/>
        <v>0.43415387864824218</v>
      </c>
      <c r="S222" s="811">
        <f t="shared" si="96"/>
        <v>-2</v>
      </c>
      <c r="T222" s="176">
        <f t="shared" si="79"/>
        <v>4</v>
      </c>
      <c r="U222" s="251">
        <f t="shared" si="80"/>
        <v>-1.5658461213517578</v>
      </c>
      <c r="V222" s="383">
        <f t="shared" si="81"/>
        <v>59.016352697054444</v>
      </c>
      <c r="W222" s="58"/>
      <c r="X222" s="157">
        <f t="shared" si="82"/>
        <v>43308</v>
      </c>
      <c r="Y222" s="385">
        <f t="shared" si="83"/>
        <v>50.113</v>
      </c>
      <c r="Z222" s="385">
        <f t="shared" si="84"/>
        <v>50.166812022641579</v>
      </c>
      <c r="AA222" s="386">
        <f t="shared" si="85"/>
        <v>50.328692984782322</v>
      </c>
      <c r="AB222" s="197">
        <f t="shared" si="86"/>
        <v>43308</v>
      </c>
      <c r="AC222" s="426">
        <f t="shared" si="87"/>
        <v>3.2164745901445929E-3</v>
      </c>
      <c r="AD222" s="169">
        <f>(INDEX(Models!$BJ222:$BT222,,AH222)*(1-AF222)+INDEX(Models!$BJ222:$BT222,,AH222+1)*AF222-ERP_i)*AE222*Ramure*Pc/MaxiM</f>
        <v>3.9672166375775626E-5</v>
      </c>
      <c r="AE222" s="305">
        <f t="shared" si="88"/>
        <v>0.5</v>
      </c>
      <c r="AF222" s="177">
        <f t="shared" si="89"/>
        <v>0.43415387864824218</v>
      </c>
      <c r="AG222" s="811">
        <f t="shared" si="90"/>
        <v>-2</v>
      </c>
      <c r="AH222" s="176">
        <f t="shared" si="91"/>
        <v>4</v>
      </c>
      <c r="AI222" s="225">
        <f t="shared" si="92"/>
        <v>-1.5658461213517578</v>
      </c>
      <c r="AJ222" s="265" t="b">
        <f t="shared" si="93"/>
        <v>0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7">
        <v>26.641999999999999</v>
      </c>
      <c r="C223" s="390"/>
      <c r="D223" s="393">
        <f t="shared" si="97"/>
        <v>26.671192710407695</v>
      </c>
      <c r="E223" s="385">
        <f t="shared" si="98"/>
        <v>26.75897919238297</v>
      </c>
      <c r="F223" s="385">
        <f t="shared" si="99"/>
        <v>26.759210574434082</v>
      </c>
      <c r="G223" s="110">
        <f t="shared" si="100"/>
        <v>0.45250142824443479</v>
      </c>
      <c r="I223" s="380">
        <f t="shared" si="73"/>
        <v>26.759210574434082</v>
      </c>
      <c r="J223" s="85">
        <v>2018</v>
      </c>
      <c r="K223" s="197">
        <f t="shared" si="74"/>
        <v>43309</v>
      </c>
      <c r="L223" s="437">
        <f t="shared" si="75"/>
        <v>1.0945408675444579E-3</v>
      </c>
      <c r="M223" s="856"/>
      <c r="N223" s="856"/>
      <c r="O223" s="324">
        <f t="shared" si="76"/>
        <v>3.2806364302665259E-3</v>
      </c>
      <c r="P223" s="169">
        <f>(INDEX(Models!$BJ223:$BT223,,T223)*(1-R223)+INDEX(Models!$BJ223:$BT223,,T223+1)*R223-ERP_i)*Q223*Ramure*Pc/MaxiM</f>
        <v>3.9686289863499799E-5</v>
      </c>
      <c r="Q223" s="305">
        <f t="shared" si="77"/>
        <v>0.5</v>
      </c>
      <c r="R223" s="177">
        <f t="shared" si="78"/>
        <v>0.43639487803482369</v>
      </c>
      <c r="S223" s="811">
        <f t="shared" si="96"/>
        <v>-2</v>
      </c>
      <c r="T223" s="176">
        <f t="shared" si="79"/>
        <v>4</v>
      </c>
      <c r="U223" s="251">
        <f t="shared" si="80"/>
        <v>-1.5636051219651763</v>
      </c>
      <c r="V223" s="383">
        <f t="shared" si="81"/>
        <v>58.875334698117648</v>
      </c>
      <c r="W223" s="58"/>
      <c r="X223" s="157">
        <f t="shared" si="82"/>
        <v>43309</v>
      </c>
      <c r="Y223" s="385">
        <f t="shared" si="83"/>
        <v>26.641999999999999</v>
      </c>
      <c r="Z223" s="385">
        <f t="shared" si="84"/>
        <v>26.671192710407695</v>
      </c>
      <c r="AA223" s="386">
        <f t="shared" si="85"/>
        <v>26.75897919238297</v>
      </c>
      <c r="AB223" s="197">
        <f t="shared" si="86"/>
        <v>43309</v>
      </c>
      <c r="AC223" s="426">
        <f t="shared" si="87"/>
        <v>3.2806364302665259E-3</v>
      </c>
      <c r="AD223" s="169">
        <f>(INDEX(Models!$BJ223:$BT223,,AH223)*(1-AF223)+INDEX(Models!$BJ223:$BT223,,AH223+1)*AF223-ERP_i)*AE223*Ramure*Pc/MaxiM</f>
        <v>3.9686289863499799E-5</v>
      </c>
      <c r="AE223" s="305">
        <f t="shared" si="88"/>
        <v>0.5</v>
      </c>
      <c r="AF223" s="177">
        <f t="shared" si="89"/>
        <v>0.43639487803482369</v>
      </c>
      <c r="AG223" s="811">
        <f t="shared" si="90"/>
        <v>-2</v>
      </c>
      <c r="AH223" s="176">
        <f t="shared" si="91"/>
        <v>4</v>
      </c>
      <c r="AI223" s="225">
        <f t="shared" si="92"/>
        <v>-1.5636051219651763</v>
      </c>
      <c r="AJ223" s="265" t="b">
        <f t="shared" si="93"/>
        <v>0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7">
        <v>54.991</v>
      </c>
      <c r="C224" s="390"/>
      <c r="D224" s="393">
        <f t="shared" si="97"/>
        <v>55.052461639535075</v>
      </c>
      <c r="E224" s="385">
        <f t="shared" si="98"/>
        <v>55.237215090766945</v>
      </c>
      <c r="F224" s="385">
        <f t="shared" si="99"/>
        <v>55.239189791207465</v>
      </c>
      <c r="G224" s="110">
        <f t="shared" si="100"/>
        <v>0.93628666649438574</v>
      </c>
      <c r="I224" s="380">
        <f t="shared" si="73"/>
        <v>55.239189791207465</v>
      </c>
      <c r="J224" s="85">
        <v>2018</v>
      </c>
      <c r="K224" s="197">
        <f t="shared" si="74"/>
        <v>43310</v>
      </c>
      <c r="L224" s="437">
        <f t="shared" si="75"/>
        <v>1.1164194607228284E-3</v>
      </c>
      <c r="M224" s="856"/>
      <c r="N224" s="856"/>
      <c r="O224" s="324">
        <f t="shared" si="76"/>
        <v>3.3447278420585856E-3</v>
      </c>
      <c r="P224" s="169">
        <f>(INDEX(Models!$BJ224:$BT224,,T224)*(1-R224)+INDEX(Models!$BJ224:$BT224,,T224+1)*R224-ERP_i)*Q224*Ramure*Pc/MaxiM</f>
        <v>3.9327546471573862E-5</v>
      </c>
      <c r="Q224" s="305">
        <f t="shared" si="77"/>
        <v>0.5</v>
      </c>
      <c r="R224" s="177">
        <f t="shared" si="78"/>
        <v>0.43856734703885714</v>
      </c>
      <c r="S224" s="811">
        <f t="shared" si="96"/>
        <v>-2</v>
      </c>
      <c r="T224" s="176">
        <f t="shared" si="79"/>
        <v>4</v>
      </c>
      <c r="U224" s="251">
        <f t="shared" si="80"/>
        <v>-1.5614326529611429</v>
      </c>
      <c r="V224" s="383">
        <f t="shared" si="81"/>
        <v>58.732870100412249</v>
      </c>
      <c r="W224" s="58"/>
      <c r="X224" s="157">
        <f t="shared" si="82"/>
        <v>43310</v>
      </c>
      <c r="Y224" s="385">
        <f t="shared" si="83"/>
        <v>54.991</v>
      </c>
      <c r="Z224" s="385">
        <f t="shared" si="84"/>
        <v>55.052461639535075</v>
      </c>
      <c r="AA224" s="386">
        <f t="shared" si="85"/>
        <v>55.237215090766945</v>
      </c>
      <c r="AB224" s="197">
        <f t="shared" si="86"/>
        <v>43310</v>
      </c>
      <c r="AC224" s="426">
        <f t="shared" si="87"/>
        <v>3.3447278420585856E-3</v>
      </c>
      <c r="AD224" s="169">
        <f>(INDEX(Models!$BJ224:$BT224,,AH224)*(1-AF224)+INDEX(Models!$BJ224:$BT224,,AH224+1)*AF224-ERP_i)*AE224*Ramure*Pc/MaxiM</f>
        <v>3.9327546471573862E-5</v>
      </c>
      <c r="AE224" s="305">
        <f t="shared" si="88"/>
        <v>0.5</v>
      </c>
      <c r="AF224" s="177">
        <f t="shared" si="89"/>
        <v>0.43856734703885714</v>
      </c>
      <c r="AG224" s="811">
        <f t="shared" si="90"/>
        <v>-2</v>
      </c>
      <c r="AH224" s="176">
        <f t="shared" si="91"/>
        <v>4</v>
      </c>
      <c r="AI224" s="225">
        <f t="shared" si="92"/>
        <v>-1.5614326529611429</v>
      </c>
      <c r="AJ224" s="265" t="b">
        <f t="shared" si="93"/>
        <v>0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7">
        <v>55.738</v>
      </c>
      <c r="C225" s="390"/>
      <c r="D225" s="393">
        <f t="shared" si="97"/>
        <v>55.80151873343906</v>
      </c>
      <c r="E225" s="385">
        <f t="shared" si="98"/>
        <v>55.992382712213207</v>
      </c>
      <c r="F225" s="385">
        <f t="shared" si="99"/>
        <v>55.994393253662331</v>
      </c>
      <c r="G225" s="110">
        <f t="shared" si="100"/>
        <v>0.95133709382215237</v>
      </c>
      <c r="I225" s="380">
        <f t="shared" si="73"/>
        <v>55.994393253662331</v>
      </c>
      <c r="J225" s="85">
        <v>2018</v>
      </c>
      <c r="K225" s="197">
        <f t="shared" si="74"/>
        <v>43311</v>
      </c>
      <c r="L225" s="437">
        <f t="shared" si="75"/>
        <v>1.1382975747037394E-3</v>
      </c>
      <c r="M225" s="856"/>
      <c r="N225" s="856"/>
      <c r="O225" s="324">
        <f t="shared" si="76"/>
        <v>3.4087490035052434E-3</v>
      </c>
      <c r="P225" s="169">
        <f>(INDEX(Models!$BJ225:$BT225,,T225)*(1-R225)+INDEX(Models!$BJ225:$BT225,,T225+1)*R225-ERP_i)*Q225*Ramure*Pc/MaxiM</f>
        <v>3.858859925101144E-5</v>
      </c>
      <c r="Q225" s="305">
        <f t="shared" si="77"/>
        <v>0.5</v>
      </c>
      <c r="R225" s="177">
        <f t="shared" si="78"/>
        <v>0.44067263058573936</v>
      </c>
      <c r="S225" s="811">
        <f t="shared" si="96"/>
        <v>-2</v>
      </c>
      <c r="T225" s="176">
        <f t="shared" si="79"/>
        <v>4</v>
      </c>
      <c r="U225" s="251">
        <f t="shared" si="80"/>
        <v>-1.5593273694142606</v>
      </c>
      <c r="V225" s="383">
        <f t="shared" si="81"/>
        <v>58.588959518767702</v>
      </c>
      <c r="W225" s="58"/>
      <c r="X225" s="157">
        <f t="shared" si="82"/>
        <v>43311</v>
      </c>
      <c r="Y225" s="385">
        <f t="shared" si="83"/>
        <v>55.738</v>
      </c>
      <c r="Z225" s="385">
        <f t="shared" si="84"/>
        <v>55.80151873343906</v>
      </c>
      <c r="AA225" s="386">
        <f t="shared" si="85"/>
        <v>55.992382712213207</v>
      </c>
      <c r="AB225" s="197">
        <f t="shared" si="86"/>
        <v>43311</v>
      </c>
      <c r="AC225" s="426">
        <f t="shared" si="87"/>
        <v>3.4087490035052434E-3</v>
      </c>
      <c r="AD225" s="169">
        <f>(INDEX(Models!$BJ225:$BT225,,AH225)*(1-AF225)+INDEX(Models!$BJ225:$BT225,,AH225+1)*AF225-ERP_i)*AE225*Ramure*Pc/MaxiM</f>
        <v>3.858859925101144E-5</v>
      </c>
      <c r="AE225" s="305">
        <f t="shared" si="88"/>
        <v>0.5</v>
      </c>
      <c r="AF225" s="177">
        <f t="shared" si="89"/>
        <v>0.44067263058573936</v>
      </c>
      <c r="AG225" s="811">
        <f t="shared" si="90"/>
        <v>-2</v>
      </c>
      <c r="AH225" s="176">
        <f t="shared" si="91"/>
        <v>4</v>
      </c>
      <c r="AI225" s="225">
        <f t="shared" si="92"/>
        <v>-1.5593273694142606</v>
      </c>
      <c r="AJ225" s="265" t="b">
        <f t="shared" si="93"/>
        <v>0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7">
        <v>50.475000000000001</v>
      </c>
      <c r="C226" s="390"/>
      <c r="D226" s="393">
        <f t="shared" si="97"/>
        <v>50.533627862291823</v>
      </c>
      <c r="E226" s="385">
        <f t="shared" si="98"/>
        <v>50.709727536613435</v>
      </c>
      <c r="F226" s="385">
        <f t="shared" si="99"/>
        <v>50.711259384595515</v>
      </c>
      <c r="G226" s="110">
        <f t="shared" si="100"/>
        <v>0.86364684455593976</v>
      </c>
      <c r="I226" s="380">
        <f t="shared" si="73"/>
        <v>50.711259384595515</v>
      </c>
      <c r="J226" s="85">
        <v>2018</v>
      </c>
      <c r="K226" s="197">
        <f t="shared" si="74"/>
        <v>43312</v>
      </c>
      <c r="L226" s="437">
        <f t="shared" si="75"/>
        <v>1.160175209497849E-3</v>
      </c>
      <c r="M226" s="856"/>
      <c r="N226" s="856"/>
      <c r="O226" s="324">
        <f t="shared" si="76"/>
        <v>3.4727000691231989E-3</v>
      </c>
      <c r="P226" s="169">
        <f>(INDEX(Models!$BJ226:$BT226,,T226)*(1-R226)+INDEX(Models!$BJ226:$BT226,,T226+1)*R226-ERP_i)*Q226*Ramure*Pc/MaxiM</f>
        <v>3.751434516663811E-5</v>
      </c>
      <c r="Q226" s="305">
        <f t="shared" si="77"/>
        <v>0.5</v>
      </c>
      <c r="R226" s="177">
        <f t="shared" si="78"/>
        <v>0.44271210165121255</v>
      </c>
      <c r="S226" s="811">
        <f t="shared" si="96"/>
        <v>-2</v>
      </c>
      <c r="T226" s="176">
        <f t="shared" si="79"/>
        <v>4</v>
      </c>
      <c r="U226" s="251">
        <f t="shared" si="80"/>
        <v>-1.5572878983487874</v>
      </c>
      <c r="V226" s="383">
        <f t="shared" si="81"/>
        <v>58.443600508345611</v>
      </c>
      <c r="W226" s="58"/>
      <c r="X226" s="157">
        <f t="shared" si="82"/>
        <v>43312</v>
      </c>
      <c r="Y226" s="385">
        <f t="shared" si="83"/>
        <v>50.475000000000001</v>
      </c>
      <c r="Z226" s="385">
        <f t="shared" si="84"/>
        <v>50.533627862291823</v>
      </c>
      <c r="AA226" s="386">
        <f t="shared" si="85"/>
        <v>50.709727536613435</v>
      </c>
      <c r="AB226" s="197">
        <f t="shared" si="86"/>
        <v>43312</v>
      </c>
      <c r="AC226" s="426">
        <f t="shared" si="87"/>
        <v>3.4727000691231989E-3</v>
      </c>
      <c r="AD226" s="169">
        <f>(INDEX(Models!$BJ226:$BT226,,AH226)*(1-AF226)+INDEX(Models!$BJ226:$BT226,,AH226+1)*AF226-ERP_i)*AE226*Ramure*Pc/MaxiM</f>
        <v>3.751434516663811E-5</v>
      </c>
      <c r="AE226" s="305">
        <f t="shared" si="88"/>
        <v>0.5</v>
      </c>
      <c r="AF226" s="177">
        <f t="shared" si="89"/>
        <v>0.44271210165121255</v>
      </c>
      <c r="AG226" s="811">
        <f t="shared" si="90"/>
        <v>-2</v>
      </c>
      <c r="AH226" s="176">
        <f t="shared" si="91"/>
        <v>4</v>
      </c>
      <c r="AI226" s="225">
        <f t="shared" si="92"/>
        <v>-1.5572878983487874</v>
      </c>
      <c r="AJ226" s="265" t="b">
        <f t="shared" si="93"/>
        <v>0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7">
        <v>54.503</v>
      </c>
      <c r="C227" s="390"/>
      <c r="D227" s="393">
        <f t="shared" si="97"/>
        <v>54.567501644377188</v>
      </c>
      <c r="E227" s="385">
        <f t="shared" si="98"/>
        <v>54.76116896297647</v>
      </c>
      <c r="F227" s="385">
        <f t="shared" si="99"/>
        <v>54.762972636889117</v>
      </c>
      <c r="G227" s="110">
        <f t="shared" si="100"/>
        <v>0.93491981691902348</v>
      </c>
      <c r="I227" s="380">
        <f t="shared" si="73"/>
        <v>54.762972636889117</v>
      </c>
      <c r="J227" s="85">
        <v>2018</v>
      </c>
      <c r="K227" s="197">
        <f t="shared" si="74"/>
        <v>43313</v>
      </c>
      <c r="L227" s="437">
        <f t="shared" si="75"/>
        <v>1.1820523651155934E-3</v>
      </c>
      <c r="M227" s="856"/>
      <c r="N227" s="856"/>
      <c r="O227" s="324">
        <f t="shared" si="76"/>
        <v>3.536581162652346E-3</v>
      </c>
      <c r="P227" s="169">
        <f>(INDEX(Models!$BJ227:$BT227,,T227)*(1-R227)+INDEX(Models!$BJ227:$BT227,,T227+1)*R227-ERP_i)*Q227*Ramure*Pc/MaxiM</f>
        <v>3.6311819277419179E-5</v>
      </c>
      <c r="Q227" s="305">
        <f t="shared" si="77"/>
        <v>0.5</v>
      </c>
      <c r="R227" s="177">
        <f t="shared" si="78"/>
        <v>0.44468715637988177</v>
      </c>
      <c r="S227" s="811">
        <f t="shared" si="96"/>
        <v>-2</v>
      </c>
      <c r="T227" s="176">
        <f t="shared" si="79"/>
        <v>4</v>
      </c>
      <c r="U227" s="251">
        <f t="shared" si="80"/>
        <v>-1.5553128436201182</v>
      </c>
      <c r="V227" s="383">
        <f t="shared" si="81"/>
        <v>58.296781195542088</v>
      </c>
      <c r="W227" s="58"/>
      <c r="X227" s="157">
        <f t="shared" si="82"/>
        <v>43313</v>
      </c>
      <c r="Y227" s="385">
        <f t="shared" si="83"/>
        <v>54.503</v>
      </c>
      <c r="Z227" s="385">
        <f t="shared" si="84"/>
        <v>54.567501644377188</v>
      </c>
      <c r="AA227" s="386">
        <f t="shared" si="85"/>
        <v>54.76116896297647</v>
      </c>
      <c r="AB227" s="197">
        <f t="shared" si="86"/>
        <v>43313</v>
      </c>
      <c r="AC227" s="426">
        <f t="shared" si="87"/>
        <v>3.536581162652346E-3</v>
      </c>
      <c r="AD227" s="169">
        <f>(INDEX(Models!$BJ227:$BT227,,AH227)*(1-AF227)+INDEX(Models!$BJ227:$BT227,,AH227+1)*AF227-ERP_i)*AE227*Ramure*Pc/MaxiM</f>
        <v>3.6311819277419179E-5</v>
      </c>
      <c r="AE227" s="305">
        <f t="shared" si="88"/>
        <v>0.5</v>
      </c>
      <c r="AF227" s="177">
        <f t="shared" si="89"/>
        <v>0.44468715637988177</v>
      </c>
      <c r="AG227" s="811">
        <f t="shared" si="90"/>
        <v>-2</v>
      </c>
      <c r="AH227" s="176">
        <f t="shared" si="91"/>
        <v>4</v>
      </c>
      <c r="AI227" s="225">
        <f t="shared" si="92"/>
        <v>-1.5553128436201182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7">
        <v>54.073999999999998</v>
      </c>
      <c r="C228" s="390"/>
      <c r="D228" s="393">
        <f t="shared" si="97"/>
        <v>54.139179730764511</v>
      </c>
      <c r="E228" s="385">
        <f t="shared" si="98"/>
        <v>54.334806353006989</v>
      </c>
      <c r="F228" s="385">
        <f t="shared" si="99"/>
        <v>54.336516759019119</v>
      </c>
      <c r="G228" s="110">
        <f t="shared" si="100"/>
        <v>0.92992611736140196</v>
      </c>
      <c r="I228" s="380">
        <f t="shared" si="73"/>
        <v>54.336516759019119</v>
      </c>
      <c r="J228" s="85">
        <v>2018</v>
      </c>
      <c r="K228" s="197">
        <f t="shared" si="74"/>
        <v>43314</v>
      </c>
      <c r="L228" s="437">
        <f t="shared" si="75"/>
        <v>1.2039290415675197E-3</v>
      </c>
      <c r="M228" s="856"/>
      <c r="N228" s="856"/>
      <c r="O228" s="324">
        <f t="shared" si="76"/>
        <v>3.6003923704358578E-3</v>
      </c>
      <c r="P228" s="169">
        <f>(INDEX(Models!$BJ228:$BT228,,T228)*(1-R228)+INDEX(Models!$BJ228:$BT228,,T228+1)*R228-ERP_i)*Q228*Ramure*Pc/MaxiM</f>
        <v>3.4979500208848665E-5</v>
      </c>
      <c r="Q228" s="305">
        <f t="shared" si="77"/>
        <v>0.5</v>
      </c>
      <c r="R228" s="177">
        <f t="shared" si="78"/>
        <v>0.44659920946451859</v>
      </c>
      <c r="S228" s="811">
        <f t="shared" si="96"/>
        <v>-2</v>
      </c>
      <c r="T228" s="176">
        <f t="shared" si="79"/>
        <v>4</v>
      </c>
      <c r="U228" s="251">
        <f t="shared" si="80"/>
        <v>-1.5534007905354814</v>
      </c>
      <c r="V228" s="383">
        <f t="shared" si="81"/>
        <v>58.148501956779235</v>
      </c>
      <c r="W228" s="58"/>
      <c r="X228" s="157">
        <f t="shared" si="82"/>
        <v>43314</v>
      </c>
      <c r="Y228" s="385">
        <f t="shared" si="83"/>
        <v>54.073999999999998</v>
      </c>
      <c r="Z228" s="385">
        <f t="shared" si="84"/>
        <v>54.139179730764511</v>
      </c>
      <c r="AA228" s="386">
        <f t="shared" si="85"/>
        <v>54.334806353006989</v>
      </c>
      <c r="AB228" s="197">
        <f t="shared" si="86"/>
        <v>43314</v>
      </c>
      <c r="AC228" s="426">
        <f t="shared" si="87"/>
        <v>3.6003923704358578E-3</v>
      </c>
      <c r="AD228" s="169">
        <f>(INDEX(Models!$BJ228:$BT228,,AH228)*(1-AF228)+INDEX(Models!$BJ228:$BT228,,AH228+1)*AF228-ERP_i)*AE228*Ramure*Pc/MaxiM</f>
        <v>3.4979500208848665E-5</v>
      </c>
      <c r="AE228" s="305">
        <f t="shared" si="88"/>
        <v>0.5</v>
      </c>
      <c r="AF228" s="177">
        <f t="shared" si="89"/>
        <v>0.44659920946451859</v>
      </c>
      <c r="AG228" s="811">
        <f t="shared" si="90"/>
        <v>-2</v>
      </c>
      <c r="AH228" s="176">
        <f t="shared" si="91"/>
        <v>4</v>
      </c>
      <c r="AI228" s="225">
        <f t="shared" si="92"/>
        <v>-1.5534007905354814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7">
        <v>55.127000000000002</v>
      </c>
      <c r="C229" s="390"/>
      <c r="D229" s="393">
        <f t="shared" si="97"/>
        <v>55.194657900812125</v>
      </c>
      <c r="E229" s="385">
        <f t="shared" si="98"/>
        <v>55.397642270724283</v>
      </c>
      <c r="F229" s="385">
        <f t="shared" ref="F229:F260" si="101">Wh_sa/(1-Pvg*MEDIAN((-Sdif+Wh/Env_an)/Csdif,0,1))</f>
        <v>55.399367693262619</v>
      </c>
      <c r="G229" s="110">
        <f t="shared" si="100"/>
        <v>0.95048353267231123</v>
      </c>
      <c r="I229" s="380">
        <f t="shared" si="73"/>
        <v>55.399367693262619</v>
      </c>
      <c r="J229" s="85">
        <v>2018</v>
      </c>
      <c r="K229" s="197">
        <f t="shared" si="74"/>
        <v>43315</v>
      </c>
      <c r="L229" s="437">
        <f t="shared" si="75"/>
        <v>1.2258052388639529E-3</v>
      </c>
      <c r="M229" s="856"/>
      <c r="N229" s="856"/>
      <c r="O229" s="324">
        <f t="shared" si="76"/>
        <v>3.6641337355150525E-3</v>
      </c>
      <c r="P229" s="169">
        <f>(INDEX(Models!$BJ229:$BT229,,T229)*(1-R229)+INDEX(Models!$BJ229:$BT229,,T229+1)*R229-ERP_i)*Q229*Ramure*Pc/MaxiM</f>
        <v>3.3515900134034055E-5</v>
      </c>
      <c r="Q229" s="305">
        <f t="shared" si="77"/>
        <v>0.5</v>
      </c>
      <c r="R229" s="177">
        <f t="shared" si="78"/>
        <v>0.44844968978724165</v>
      </c>
      <c r="S229" s="811">
        <f t="shared" si="96"/>
        <v>-2</v>
      </c>
      <c r="T229" s="176">
        <f t="shared" si="79"/>
        <v>4</v>
      </c>
      <c r="U229" s="251">
        <f t="shared" si="80"/>
        <v>-1.5515503102127584</v>
      </c>
      <c r="V229" s="383">
        <f t="shared" si="81"/>
        <v>57.99876316585221</v>
      </c>
      <c r="W229" s="58"/>
      <c r="X229" s="157">
        <f t="shared" si="82"/>
        <v>43315</v>
      </c>
      <c r="Y229" s="385">
        <f t="shared" si="83"/>
        <v>55.127000000000002</v>
      </c>
      <c r="Z229" s="385">
        <f t="shared" si="84"/>
        <v>55.194657900812125</v>
      </c>
      <c r="AA229" s="386">
        <f t="shared" si="85"/>
        <v>55.397642270724283</v>
      </c>
      <c r="AB229" s="197">
        <f t="shared" si="86"/>
        <v>43315</v>
      </c>
      <c r="AC229" s="426">
        <f t="shared" si="87"/>
        <v>3.6641337355150525E-3</v>
      </c>
      <c r="AD229" s="169">
        <f>(INDEX(Models!$BJ229:$BT229,,AH229)*(1-AF229)+INDEX(Models!$BJ229:$BT229,,AH229+1)*AF229-ERP_i)*AE229*Ramure*Pc/MaxiM</f>
        <v>3.3515900134034055E-5</v>
      </c>
      <c r="AE229" s="305">
        <f t="shared" si="88"/>
        <v>0.5</v>
      </c>
      <c r="AF229" s="177">
        <f t="shared" si="89"/>
        <v>0.44844968978724165</v>
      </c>
      <c r="AG229" s="811">
        <f t="shared" si="90"/>
        <v>-2</v>
      </c>
      <c r="AH229" s="176">
        <f t="shared" si="91"/>
        <v>4</v>
      </c>
      <c r="AI229" s="225">
        <f t="shared" si="92"/>
        <v>-1.5515503102127584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7">
        <v>53.386000000000003</v>
      </c>
      <c r="C230" s="390"/>
      <c r="D230" s="393">
        <f t="shared" si="97"/>
        <v>53.452691905792086</v>
      </c>
      <c r="E230" s="385">
        <f t="shared" si="98"/>
        <v>53.652698717880924</v>
      </c>
      <c r="F230" s="385">
        <f t="shared" si="101"/>
        <v>53.654222640154664</v>
      </c>
      <c r="G230" s="110">
        <f t="shared" si="100"/>
        <v>0.92287051426785371</v>
      </c>
      <c r="I230" s="380">
        <f t="shared" si="73"/>
        <v>53.654222640154664</v>
      </c>
      <c r="J230" s="85">
        <v>2018</v>
      </c>
      <c r="K230" s="197">
        <f t="shared" si="74"/>
        <v>43316</v>
      </c>
      <c r="L230" s="437">
        <f t="shared" si="75"/>
        <v>1.2476809570156622E-3</v>
      </c>
      <c r="M230" s="856"/>
      <c r="N230" s="856"/>
      <c r="O230" s="324">
        <f t="shared" si="76"/>
        <v>3.7278052524537817E-3</v>
      </c>
      <c r="P230" s="169">
        <f>(INDEX(Models!$BJ230:$BT230,,T230)*(1-R230)+INDEX(Models!$BJ230:$BT230,,T230+1)*R230-ERP_i)*Q230*Ramure*Pc/MaxiM</f>
        <v>3.1919561323261097E-5</v>
      </c>
      <c r="Q230" s="305">
        <f t="shared" si="77"/>
        <v>0.5</v>
      </c>
      <c r="R230" s="177">
        <f t="shared" si="78"/>
        <v>0.45024003632191834</v>
      </c>
      <c r="S230" s="811">
        <f t="shared" si="96"/>
        <v>-2</v>
      </c>
      <c r="T230" s="176">
        <f t="shared" si="79"/>
        <v>4</v>
      </c>
      <c r="U230" s="251">
        <f t="shared" si="80"/>
        <v>-1.5497599636780817</v>
      </c>
      <c r="V230" s="383">
        <f t="shared" si="81"/>
        <v>57.847565195382103</v>
      </c>
      <c r="W230" s="58"/>
      <c r="X230" s="157">
        <f t="shared" si="82"/>
        <v>43316</v>
      </c>
      <c r="Y230" s="385">
        <f t="shared" si="83"/>
        <v>53.386000000000003</v>
      </c>
      <c r="Z230" s="385">
        <f t="shared" si="84"/>
        <v>53.452691905792086</v>
      </c>
      <c r="AA230" s="386">
        <f t="shared" si="85"/>
        <v>53.652698717880924</v>
      </c>
      <c r="AB230" s="197">
        <f t="shared" si="86"/>
        <v>43316</v>
      </c>
      <c r="AC230" s="426">
        <f t="shared" si="87"/>
        <v>3.7278052524537817E-3</v>
      </c>
      <c r="AD230" s="169">
        <f>(INDEX(Models!$BJ230:$BT230,,AH230)*(1-AF230)+INDEX(Models!$BJ230:$BT230,,AH230+1)*AF230-ERP_i)*AE230*Ramure*Pc/MaxiM</f>
        <v>3.1919561323261097E-5</v>
      </c>
      <c r="AE230" s="305">
        <f t="shared" si="88"/>
        <v>0.5</v>
      </c>
      <c r="AF230" s="177">
        <f t="shared" si="89"/>
        <v>0.45024003632191834</v>
      </c>
      <c r="AG230" s="811">
        <f t="shared" si="90"/>
        <v>-2</v>
      </c>
      <c r="AH230" s="176">
        <f t="shared" si="91"/>
        <v>4</v>
      </c>
      <c r="AI230" s="225">
        <f t="shared" si="92"/>
        <v>-1.5497599636780817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7">
        <v>52.420999999999999</v>
      </c>
      <c r="C231" s="390"/>
      <c r="D231" s="393">
        <f t="shared" si="97"/>
        <v>52.487636003503368</v>
      </c>
      <c r="E231" s="385">
        <f t="shared" si="98"/>
        <v>52.687395355843627</v>
      </c>
      <c r="F231" s="385">
        <f t="shared" si="101"/>
        <v>52.688778266689816</v>
      </c>
      <c r="G231" s="110">
        <f t="shared" si="100"/>
        <v>0.90858612615189316</v>
      </c>
      <c r="I231" s="380">
        <f t="shared" si="73"/>
        <v>52.688778266689816</v>
      </c>
      <c r="J231" s="85">
        <v>2018</v>
      </c>
      <c r="K231" s="197">
        <f t="shared" si="74"/>
        <v>43317</v>
      </c>
      <c r="L231" s="437">
        <f t="shared" si="75"/>
        <v>1.2695561960329727E-3</v>
      </c>
      <c r="M231" s="856"/>
      <c r="N231" s="856"/>
      <c r="O231" s="324">
        <f t="shared" si="76"/>
        <v>3.7914068628959359E-3</v>
      </c>
      <c r="P231" s="169">
        <f>(INDEX(Models!$BJ231:$BT231,,T231)*(1-R231)+INDEX(Models!$BJ231:$BT231,,T231+1)*R231-ERP_i)*Q231*Ramure*Pc/MaxiM</f>
        <v>3.0189053058782338E-5</v>
      </c>
      <c r="Q231" s="305">
        <f t="shared" si="77"/>
        <v>0.5</v>
      </c>
      <c r="R231" s="177">
        <f t="shared" si="78"/>
        <v>0.45197169429556072</v>
      </c>
      <c r="S231" s="811">
        <f t="shared" si="96"/>
        <v>-2</v>
      </c>
      <c r="T231" s="176">
        <f t="shared" si="79"/>
        <v>4</v>
      </c>
      <c r="U231" s="251">
        <f t="shared" si="80"/>
        <v>-1.5480283057044393</v>
      </c>
      <c r="V231" s="383">
        <f t="shared" si="81"/>
        <v>57.694908416409667</v>
      </c>
      <c r="W231" s="58"/>
      <c r="X231" s="157">
        <f t="shared" si="82"/>
        <v>43317</v>
      </c>
      <c r="Y231" s="385">
        <f t="shared" si="83"/>
        <v>52.420999999999999</v>
      </c>
      <c r="Z231" s="385">
        <f t="shared" si="84"/>
        <v>52.487636003503368</v>
      </c>
      <c r="AA231" s="386">
        <f t="shared" si="85"/>
        <v>52.687395355843627</v>
      </c>
      <c r="AB231" s="197">
        <f t="shared" si="86"/>
        <v>43317</v>
      </c>
      <c r="AC231" s="426">
        <f t="shared" si="87"/>
        <v>3.7914068628959359E-3</v>
      </c>
      <c r="AD231" s="169">
        <f>(INDEX(Models!$BJ231:$BT231,,AH231)*(1-AF231)+INDEX(Models!$BJ231:$BT231,,AH231+1)*AF231-ERP_i)*AE231*Ramure*Pc/MaxiM</f>
        <v>3.0189053058782338E-5</v>
      </c>
      <c r="AE231" s="305">
        <f t="shared" si="88"/>
        <v>0.5</v>
      </c>
      <c r="AF231" s="177">
        <f t="shared" si="89"/>
        <v>0.45197169429556072</v>
      </c>
      <c r="AG231" s="811">
        <f t="shared" si="90"/>
        <v>-2</v>
      </c>
      <c r="AH231" s="176">
        <f t="shared" si="91"/>
        <v>4</v>
      </c>
      <c r="AI231" s="225">
        <f t="shared" si="92"/>
        <v>-1.5480283057044393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7">
        <v>53.904000000000003</v>
      </c>
      <c r="C232" s="390"/>
      <c r="D232" s="393">
        <f t="shared" si="97"/>
        <v>53.973703311262156</v>
      </c>
      <c r="E232" s="385">
        <f t="shared" si="98"/>
        <v>54.182573798417806</v>
      </c>
      <c r="F232" s="385">
        <f t="shared" si="101"/>
        <v>54.183969884065412</v>
      </c>
      <c r="G232" s="110">
        <f t="shared" si="100"/>
        <v>0.93679386657736063</v>
      </c>
      <c r="I232" s="380">
        <f t="shared" si="73"/>
        <v>54.183969884065412</v>
      </c>
      <c r="J232" s="85">
        <v>2018</v>
      </c>
      <c r="K232" s="197">
        <f t="shared" si="74"/>
        <v>43318</v>
      </c>
      <c r="L232" s="437">
        <f t="shared" si="75"/>
        <v>1.2914309559264314E-3</v>
      </c>
      <c r="M232" s="856"/>
      <c r="N232" s="856"/>
      <c r="O232" s="324">
        <f t="shared" si="76"/>
        <v>3.8549384518486878E-3</v>
      </c>
      <c r="P232" s="169">
        <f>(INDEX(Models!$BJ232:$BT232,,T232)*(1-R232)+INDEX(Models!$BJ232:$BT232,,T232+1)*R232-ERP_i)*Q232*Ramure*Pc/MaxiM</f>
        <v>2.8322968903457385E-5</v>
      </c>
      <c r="Q232" s="305">
        <f t="shared" si="77"/>
        <v>0.5</v>
      </c>
      <c r="R232" s="177">
        <f t="shared" si="78"/>
        <v>0.45364611160509227</v>
      </c>
      <c r="S232" s="811">
        <f t="shared" si="96"/>
        <v>-2</v>
      </c>
      <c r="T232" s="176">
        <f t="shared" si="79"/>
        <v>4</v>
      </c>
      <c r="U232" s="251">
        <f t="shared" si="80"/>
        <v>-1.5463538883949077</v>
      </c>
      <c r="V232" s="383">
        <f t="shared" si="81"/>
        <v>57.540793199375891</v>
      </c>
      <c r="W232" s="58"/>
      <c r="X232" s="157">
        <f t="shared" si="82"/>
        <v>43318</v>
      </c>
      <c r="Y232" s="385">
        <f t="shared" si="83"/>
        <v>53.904000000000003</v>
      </c>
      <c r="Z232" s="385">
        <f t="shared" si="84"/>
        <v>53.973703311262156</v>
      </c>
      <c r="AA232" s="386">
        <f t="shared" si="85"/>
        <v>54.182573798417806</v>
      </c>
      <c r="AB232" s="197">
        <f t="shared" si="86"/>
        <v>43318</v>
      </c>
      <c r="AC232" s="426">
        <f t="shared" si="87"/>
        <v>3.8549384518486878E-3</v>
      </c>
      <c r="AD232" s="169">
        <f>(INDEX(Models!$BJ232:$BT232,,AH232)*(1-AF232)+INDEX(Models!$BJ232:$BT232,,AH232+1)*AF232-ERP_i)*AE232*Ramure*Pc/MaxiM</f>
        <v>2.8322968903457385E-5</v>
      </c>
      <c r="AE232" s="305">
        <f t="shared" si="88"/>
        <v>0.5</v>
      </c>
      <c r="AF232" s="177">
        <f t="shared" si="89"/>
        <v>0.45364611160509227</v>
      </c>
      <c r="AG232" s="811">
        <f t="shared" si="90"/>
        <v>-2</v>
      </c>
      <c r="AH232" s="176">
        <f t="shared" si="91"/>
        <v>4</v>
      </c>
      <c r="AI232" s="225">
        <f t="shared" si="92"/>
        <v>-1.5463538883949077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7">
        <v>35.893999999999998</v>
      </c>
      <c r="C233" s="390"/>
      <c r="D233" s="393">
        <f t="shared" si="97"/>
        <v>35.941201768496086</v>
      </c>
      <c r="E233" s="385">
        <f t="shared" ref="E233:E296" si="102">Wh_pvt/(1-Psa)</f>
        <v>36.082587774828404</v>
      </c>
      <c r="F233" s="385">
        <f t="shared" si="101"/>
        <v>36.08302937057713</v>
      </c>
      <c r="G233" s="110">
        <f t="shared" ref="G233:G296" si="103">+Wh_hp/MaxiM</f>
        <v>0.62548073998555376</v>
      </c>
      <c r="I233" s="380">
        <f t="shared" si="73"/>
        <v>36.08302937057713</v>
      </c>
      <c r="J233" s="85">
        <v>2018</v>
      </c>
      <c r="K233" s="197">
        <f t="shared" si="74"/>
        <v>43319</v>
      </c>
      <c r="L233" s="437">
        <f t="shared" si="75"/>
        <v>1.3133052367064746E-3</v>
      </c>
      <c r="M233" s="856"/>
      <c r="N233" s="856"/>
      <c r="O233" s="324">
        <f t="shared" si="76"/>
        <v>3.9183998446737749E-3</v>
      </c>
      <c r="P233" s="169">
        <f>(INDEX(Models!$BJ233:$BT233,,T233)*(1-R233)+INDEX(Models!$BJ233:$BT233,,T233+1)*R233-ERP_i)*Q233*Ramure*Pc/MaxiM</f>
        <v>2.631981818097148E-5</v>
      </c>
      <c r="Q233" s="305">
        <f t="shared" si="77"/>
        <v>0.5</v>
      </c>
      <c r="R233" s="177">
        <f t="shared" si="78"/>
        <v>0.45526473548465574</v>
      </c>
      <c r="S233" s="811">
        <f t="shared" si="96"/>
        <v>-2</v>
      </c>
      <c r="T233" s="176">
        <f t="shared" si="79"/>
        <v>4</v>
      </c>
      <c r="U233" s="251">
        <f t="shared" si="80"/>
        <v>-1.5447352645153443</v>
      </c>
      <c r="V233" s="383">
        <f t="shared" si="81"/>
        <v>57.385451314513247</v>
      </c>
      <c r="W233" s="58"/>
      <c r="X233" s="157">
        <f t="shared" si="82"/>
        <v>43319</v>
      </c>
      <c r="Y233" s="385">
        <f t="shared" si="83"/>
        <v>35.893999999999998</v>
      </c>
      <c r="Z233" s="385">
        <f t="shared" si="84"/>
        <v>35.941201768496086</v>
      </c>
      <c r="AA233" s="386">
        <f t="shared" si="85"/>
        <v>36.082587774828404</v>
      </c>
      <c r="AB233" s="197">
        <f t="shared" si="86"/>
        <v>43319</v>
      </c>
      <c r="AC233" s="426">
        <f t="shared" si="87"/>
        <v>3.9183998446737749E-3</v>
      </c>
      <c r="AD233" s="169">
        <f>(INDEX(Models!$BJ233:$BT233,,AH233)*(1-AF233)+INDEX(Models!$BJ233:$BT233,,AH233+1)*AF233-ERP_i)*AE233*Ramure*Pc/MaxiM</f>
        <v>2.631981818097148E-5</v>
      </c>
      <c r="AE233" s="305">
        <f t="shared" si="88"/>
        <v>0.5</v>
      </c>
      <c r="AF233" s="177">
        <f t="shared" si="89"/>
        <v>0.45526473548465574</v>
      </c>
      <c r="AG233" s="811">
        <f t="shared" si="90"/>
        <v>-2</v>
      </c>
      <c r="AH233" s="176">
        <f t="shared" si="91"/>
        <v>4</v>
      </c>
      <c r="AI233" s="225">
        <f t="shared" si="92"/>
        <v>-1.5447352645153443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7">
        <v>47.079000000000001</v>
      </c>
      <c r="C234" s="390"/>
      <c r="D234" s="393">
        <f t="shared" si="97"/>
        <v>47.141942934034198</v>
      </c>
      <c r="E234" s="385">
        <f t="shared" si="102"/>
        <v>47.33040269627574</v>
      </c>
      <c r="F234" s="385">
        <f t="shared" si="101"/>
        <v>47.331259231893632</v>
      </c>
      <c r="G234" s="110">
        <f t="shared" si="103"/>
        <v>0.82263674175524837</v>
      </c>
      <c r="I234" s="380">
        <f t="shared" si="73"/>
        <v>47.331259231893632</v>
      </c>
      <c r="J234" s="85">
        <v>2018</v>
      </c>
      <c r="K234" s="197">
        <f t="shared" si="74"/>
        <v>43320</v>
      </c>
      <c r="L234" s="437">
        <f t="shared" si="75"/>
        <v>1.3351790383835382E-3</v>
      </c>
      <c r="M234" s="856"/>
      <c r="N234" s="856"/>
      <c r="O234" s="324">
        <f t="shared" si="76"/>
        <v>3.9817908047583839E-3</v>
      </c>
      <c r="P234" s="169">
        <f>(INDEX(Models!$BJ234:$BT234,,T234)*(1-R234)+INDEX(Models!$BJ234:$BT234,,T234+1)*R234-ERP_i)*Q234*Ramure*Pc/MaxiM</f>
        <v>2.423769257307381E-5</v>
      </c>
      <c r="Q234" s="305">
        <f t="shared" si="77"/>
        <v>0.5</v>
      </c>
      <c r="R234" s="177">
        <f t="shared" si="78"/>
        <v>0.45682900941757731</v>
      </c>
      <c r="S234" s="811">
        <f t="shared" si="96"/>
        <v>-2</v>
      </c>
      <c r="T234" s="176">
        <f t="shared" si="79"/>
        <v>4</v>
      </c>
      <c r="U234" s="251">
        <f t="shared" si="80"/>
        <v>-1.5431709905824227</v>
      </c>
      <c r="V234" s="383">
        <f t="shared" si="81"/>
        <v>57.229039853687475</v>
      </c>
      <c r="W234" s="58"/>
      <c r="X234" s="157">
        <f t="shared" si="82"/>
        <v>43320</v>
      </c>
      <c r="Y234" s="385">
        <f t="shared" si="83"/>
        <v>47.079000000000001</v>
      </c>
      <c r="Z234" s="385">
        <f t="shared" si="84"/>
        <v>47.141942934034198</v>
      </c>
      <c r="AA234" s="386">
        <f t="shared" si="85"/>
        <v>47.33040269627574</v>
      </c>
      <c r="AB234" s="197">
        <f t="shared" si="86"/>
        <v>43320</v>
      </c>
      <c r="AC234" s="426">
        <f t="shared" si="87"/>
        <v>3.9817908047583839E-3</v>
      </c>
      <c r="AD234" s="169">
        <f>(INDEX(Models!$BJ234:$BT234,,AH234)*(1-AF234)+INDEX(Models!$BJ234:$BT234,,AH234+1)*AF234-ERP_i)*AE234*Ramure*Pc/MaxiM</f>
        <v>2.423769257307381E-5</v>
      </c>
      <c r="AE234" s="305">
        <f t="shared" si="88"/>
        <v>0.5</v>
      </c>
      <c r="AF234" s="177">
        <f t="shared" si="89"/>
        <v>0.45682900941757731</v>
      </c>
      <c r="AG234" s="811">
        <f t="shared" si="90"/>
        <v>-2</v>
      </c>
      <c r="AH234" s="176">
        <f t="shared" si="91"/>
        <v>4</v>
      </c>
      <c r="AI234" s="225">
        <f t="shared" si="92"/>
        <v>-1.5431709905824227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7">
        <v>13.209</v>
      </c>
      <c r="C235" s="390"/>
      <c r="D235" s="393">
        <f t="shared" si="97"/>
        <v>13.226949663268948</v>
      </c>
      <c r="E235" s="385">
        <f t="shared" si="102"/>
        <v>13.280671453877114</v>
      </c>
      <c r="F235" s="385">
        <f t="shared" si="101"/>
        <v>13.280671453877114</v>
      </c>
      <c r="G235" s="110">
        <f t="shared" si="103"/>
        <v>0.23144160288924956</v>
      </c>
      <c r="I235" s="380">
        <f t="shared" si="73"/>
        <v>13.280671453877114</v>
      </c>
      <c r="J235" s="85">
        <v>2018</v>
      </c>
      <c r="K235" s="197">
        <f t="shared" si="74"/>
        <v>43321</v>
      </c>
      <c r="L235" s="437">
        <f t="shared" si="75"/>
        <v>1.3570523609683915E-3</v>
      </c>
      <c r="M235" s="856"/>
      <c r="N235" s="856"/>
      <c r="O235" s="324">
        <f t="shared" si="76"/>
        <v>4.0451110318282394E-3</v>
      </c>
      <c r="P235" s="169">
        <f>(INDEX(Models!$BJ235:$BT235,,T235)*(1-R235)+INDEX(Models!$BJ235:$BT235,,T235+1)*R235-ERP_i)*Q235*Ramure*Pc/MaxiM</f>
        <v>2.2243052169718758E-5</v>
      </c>
      <c r="Q235" s="305">
        <f t="shared" si="77"/>
        <v>0.5</v>
      </c>
      <c r="R235" s="177">
        <f t="shared" si="78"/>
        <v>0.45834037028620567</v>
      </c>
      <c r="S235" s="811">
        <f t="shared" si="96"/>
        <v>-2</v>
      </c>
      <c r="T235" s="176">
        <f t="shared" si="79"/>
        <v>4</v>
      </c>
      <c r="U235" s="251">
        <f t="shared" si="80"/>
        <v>-1.5416596297137943</v>
      </c>
      <c r="V235" s="383">
        <f t="shared" si="81"/>
        <v>57.071442759772872</v>
      </c>
      <c r="W235" s="58"/>
      <c r="X235" s="157">
        <f t="shared" si="82"/>
        <v>43321</v>
      </c>
      <c r="Y235" s="385">
        <f t="shared" si="83"/>
        <v>13.209</v>
      </c>
      <c r="Z235" s="385">
        <f t="shared" si="84"/>
        <v>13.226949663268948</v>
      </c>
      <c r="AA235" s="386">
        <f t="shared" si="85"/>
        <v>13.280671453877114</v>
      </c>
      <c r="AB235" s="197">
        <f t="shared" si="86"/>
        <v>43321</v>
      </c>
      <c r="AC235" s="426">
        <f t="shared" si="87"/>
        <v>4.0451110318282394E-3</v>
      </c>
      <c r="AD235" s="169">
        <f>(INDEX(Models!$BJ235:$BT235,,AH235)*(1-AF235)+INDEX(Models!$BJ235:$BT235,,AH235+1)*AF235-ERP_i)*AE235*Ramure*Pc/MaxiM</f>
        <v>2.2243052169718758E-5</v>
      </c>
      <c r="AE235" s="305">
        <f t="shared" si="88"/>
        <v>0.5</v>
      </c>
      <c r="AF235" s="177">
        <f t="shared" si="89"/>
        <v>0.45834037028620567</v>
      </c>
      <c r="AG235" s="811">
        <f t="shared" si="90"/>
        <v>-2</v>
      </c>
      <c r="AH235" s="176">
        <f t="shared" si="91"/>
        <v>4</v>
      </c>
      <c r="AI235" s="225">
        <f t="shared" si="92"/>
        <v>-1.5416596297137943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7">
        <v>51.738</v>
      </c>
      <c r="C236" s="390"/>
      <c r="D236" s="393">
        <f t="shared" si="97"/>
        <v>51.809441344499504</v>
      </c>
      <c r="E236" s="385">
        <f t="shared" si="102"/>
        <v>52.023171268781553</v>
      </c>
      <c r="F236" s="385">
        <f t="shared" si="101"/>
        <v>52.024091924029669</v>
      </c>
      <c r="G236" s="110">
        <f t="shared" si="103"/>
        <v>0.90907647233229449</v>
      </c>
      <c r="I236" s="380">
        <f t="shared" si="73"/>
        <v>52.024091924029669</v>
      </c>
      <c r="J236" s="85">
        <v>2018</v>
      </c>
      <c r="K236" s="197">
        <f t="shared" si="74"/>
        <v>43322</v>
      </c>
      <c r="L236" s="437">
        <f t="shared" si="75"/>
        <v>1.3789252044712486E-3</v>
      </c>
      <c r="M236" s="856"/>
      <c r="N236" s="856"/>
      <c r="O236" s="324">
        <f t="shared" si="76"/>
        <v>4.1083601608559494E-3</v>
      </c>
      <c r="P236" s="169">
        <f>(INDEX(Models!$BJ236:$BT236,,T236)*(1-R236)+INDEX(Models!$BJ236:$BT236,,T236+1)*R236-ERP_i)*Q236*Ramure*Pc/MaxiM</f>
        <v>2.0338411437802299E-5</v>
      </c>
      <c r="Q236" s="305">
        <f t="shared" si="77"/>
        <v>0.5</v>
      </c>
      <c r="R236" s="177">
        <f t="shared" si="78"/>
        <v>0.45980024575210265</v>
      </c>
      <c r="S236" s="811">
        <f t="shared" si="96"/>
        <v>-2</v>
      </c>
      <c r="T236" s="176">
        <f t="shared" si="79"/>
        <v>4</v>
      </c>
      <c r="U236" s="251">
        <f t="shared" si="80"/>
        <v>-1.5401997542478973</v>
      </c>
      <c r="V236" s="383">
        <f t="shared" si="81"/>
        <v>56.912553449409863</v>
      </c>
      <c r="W236" s="58"/>
      <c r="X236" s="157">
        <f t="shared" si="82"/>
        <v>43322</v>
      </c>
      <c r="Y236" s="385">
        <f t="shared" si="83"/>
        <v>51.738</v>
      </c>
      <c r="Z236" s="385">
        <f t="shared" si="84"/>
        <v>51.809441344499504</v>
      </c>
      <c r="AA236" s="386">
        <f t="shared" si="85"/>
        <v>52.023171268781553</v>
      </c>
      <c r="AB236" s="197">
        <f t="shared" si="86"/>
        <v>43322</v>
      </c>
      <c r="AC236" s="426">
        <f t="shared" si="87"/>
        <v>4.1083601608559494E-3</v>
      </c>
      <c r="AD236" s="169">
        <f>(INDEX(Models!$BJ236:$BT236,,AH236)*(1-AF236)+INDEX(Models!$BJ236:$BT236,,AH236+1)*AF236-ERP_i)*AE236*Ramure*Pc/MaxiM</f>
        <v>2.0338411437802299E-5</v>
      </c>
      <c r="AE236" s="305">
        <f t="shared" si="88"/>
        <v>0.5</v>
      </c>
      <c r="AF236" s="177">
        <f t="shared" si="89"/>
        <v>0.45980024575210265</v>
      </c>
      <c r="AG236" s="811">
        <f t="shared" si="90"/>
        <v>-2</v>
      </c>
      <c r="AH236" s="176">
        <f t="shared" si="91"/>
        <v>4</v>
      </c>
      <c r="AI236" s="225">
        <f t="shared" si="92"/>
        <v>-1.5401997542478973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7">
        <v>54.628</v>
      </c>
      <c r="C237" s="390"/>
      <c r="D237" s="393">
        <f t="shared" si="97"/>
        <v>54.704630112869829</v>
      </c>
      <c r="E237" s="385">
        <f t="shared" si="102"/>
        <v>54.93378848592166</v>
      </c>
      <c r="F237" s="385">
        <f t="shared" si="101"/>
        <v>54.934751797677123</v>
      </c>
      <c r="G237" s="110">
        <f t="shared" si="103"/>
        <v>0.96256855141876208</v>
      </c>
      <c r="I237" s="380">
        <f t="shared" si="73"/>
        <v>54.934751797677123</v>
      </c>
      <c r="J237" s="85">
        <v>2018</v>
      </c>
      <c r="K237" s="197">
        <f t="shared" si="74"/>
        <v>43323</v>
      </c>
      <c r="L237" s="437">
        <f t="shared" si="75"/>
        <v>1.4007975689026564E-3</v>
      </c>
      <c r="M237" s="856"/>
      <c r="N237" s="856"/>
      <c r="O237" s="324">
        <f t="shared" si="76"/>
        <v>4.1715377615100871E-3</v>
      </c>
      <c r="P237" s="169">
        <f>(INDEX(Models!$BJ237:$BT237,,T237)*(1-R237)+INDEX(Models!$BJ237:$BT237,,T237+1)*R237-ERP_i)*Q237*Ramure*Pc/MaxiM</f>
        <v>1.8526197518510847E-5</v>
      </c>
      <c r="Q237" s="305">
        <f t="shared" si="77"/>
        <v>0.5</v>
      </c>
      <c r="R237" s="177">
        <f t="shared" si="78"/>
        <v>0.46121005185844521</v>
      </c>
      <c r="S237" s="811">
        <f t="shared" si="96"/>
        <v>-2</v>
      </c>
      <c r="T237" s="176">
        <f t="shared" si="79"/>
        <v>4</v>
      </c>
      <c r="U237" s="251">
        <f t="shared" si="80"/>
        <v>-1.5387899481415548</v>
      </c>
      <c r="V237" s="383">
        <f t="shared" si="81"/>
        <v>56.752265386299257</v>
      </c>
      <c r="W237" s="58"/>
      <c r="X237" s="157">
        <f t="shared" si="82"/>
        <v>43323</v>
      </c>
      <c r="Y237" s="385">
        <f t="shared" si="83"/>
        <v>54.628</v>
      </c>
      <c r="Z237" s="385">
        <f t="shared" si="84"/>
        <v>54.704630112869829</v>
      </c>
      <c r="AA237" s="386">
        <f t="shared" si="85"/>
        <v>54.93378848592166</v>
      </c>
      <c r="AB237" s="197">
        <f t="shared" si="86"/>
        <v>43323</v>
      </c>
      <c r="AC237" s="426">
        <f t="shared" si="87"/>
        <v>4.1715377615100871E-3</v>
      </c>
      <c r="AD237" s="169">
        <f>(INDEX(Models!$BJ237:$BT237,,AH237)*(1-AF237)+INDEX(Models!$BJ237:$BT237,,AH237+1)*AF237-ERP_i)*AE237*Ramure*Pc/MaxiM</f>
        <v>1.8526197518510847E-5</v>
      </c>
      <c r="AE237" s="305">
        <f t="shared" si="88"/>
        <v>0.5</v>
      </c>
      <c r="AF237" s="177">
        <f t="shared" si="89"/>
        <v>0.46121005185844521</v>
      </c>
      <c r="AG237" s="811">
        <f t="shared" si="90"/>
        <v>-2</v>
      </c>
      <c r="AH237" s="176">
        <f t="shared" si="91"/>
        <v>4</v>
      </c>
      <c r="AI237" s="225">
        <f t="shared" si="92"/>
        <v>-1.5387899481415548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7">
        <v>51.902999999999999</v>
      </c>
      <c r="C238" s="390"/>
      <c r="D238" s="393">
        <f t="shared" si="97"/>
        <v>51.976946013419699</v>
      </c>
      <c r="E238" s="385">
        <f t="shared" si="102"/>
        <v>52.197985866530757</v>
      </c>
      <c r="F238" s="385">
        <f t="shared" si="101"/>
        <v>52.198759439863373</v>
      </c>
      <c r="G238" s="110">
        <f t="shared" si="103"/>
        <v>0.91716670416995161</v>
      </c>
      <c r="I238" s="380">
        <f t="shared" si="73"/>
        <v>52.198759439863373</v>
      </c>
      <c r="J238" s="85">
        <v>2018</v>
      </c>
      <c r="K238" s="197">
        <f t="shared" si="74"/>
        <v>43324</v>
      </c>
      <c r="L238" s="437">
        <f t="shared" si="75"/>
        <v>1.4226694542731622E-3</v>
      </c>
      <c r="M238" s="856"/>
      <c r="N238" s="856"/>
      <c r="O238" s="324">
        <f t="shared" si="76"/>
        <v>4.2346433380830491E-3</v>
      </c>
      <c r="P238" s="169">
        <f>(INDEX(Models!$BJ238:$BT238,,T238)*(1-R238)+INDEX(Models!$BJ238:$BT238,,T238+1)*R238-ERP_i)*Q238*Ramure*Pc/MaxiM</f>
        <v>1.6808756138927471E-5</v>
      </c>
      <c r="Q238" s="305">
        <f t="shared" si="77"/>
        <v>0.5</v>
      </c>
      <c r="R238" s="177">
        <f t="shared" si="78"/>
        <v>0.46257119084601128</v>
      </c>
      <c r="S238" s="811">
        <f t="shared" si="96"/>
        <v>-2</v>
      </c>
      <c r="T238" s="176">
        <f t="shared" si="79"/>
        <v>4</v>
      </c>
      <c r="U238" s="251">
        <f t="shared" si="80"/>
        <v>-1.5374288091539887</v>
      </c>
      <c r="V238" s="383">
        <f t="shared" si="81"/>
        <v>56.590472078704948</v>
      </c>
      <c r="W238" s="58"/>
      <c r="X238" s="157">
        <f t="shared" si="82"/>
        <v>43324</v>
      </c>
      <c r="Y238" s="385">
        <f t="shared" si="83"/>
        <v>51.902999999999999</v>
      </c>
      <c r="Z238" s="385">
        <f t="shared" si="84"/>
        <v>51.976946013419699</v>
      </c>
      <c r="AA238" s="386">
        <f t="shared" si="85"/>
        <v>52.197985866530757</v>
      </c>
      <c r="AB238" s="197">
        <f t="shared" si="86"/>
        <v>43324</v>
      </c>
      <c r="AC238" s="426">
        <f t="shared" si="87"/>
        <v>4.2346433380830491E-3</v>
      </c>
      <c r="AD238" s="169">
        <f>(INDEX(Models!$BJ238:$BT238,,AH238)*(1-AF238)+INDEX(Models!$BJ238:$BT238,,AH238+1)*AF238-ERP_i)*AE238*Ramure*Pc/MaxiM</f>
        <v>1.6808756138927471E-5</v>
      </c>
      <c r="AE238" s="305">
        <f t="shared" si="88"/>
        <v>0.5</v>
      </c>
      <c r="AF238" s="177">
        <f t="shared" si="89"/>
        <v>0.46257119084601128</v>
      </c>
      <c r="AG238" s="811">
        <f t="shared" si="90"/>
        <v>-2</v>
      </c>
      <c r="AH238" s="176">
        <f t="shared" si="91"/>
        <v>4</v>
      </c>
      <c r="AI238" s="225">
        <f t="shared" si="92"/>
        <v>-1.5374288091539887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7">
        <v>32.011000000000003</v>
      </c>
      <c r="C239" s="390"/>
      <c r="D239" s="393">
        <f t="shared" si="97"/>
        <v>32.057308091418683</v>
      </c>
      <c r="E239" s="385">
        <f t="shared" si="102"/>
        <v>32.1956746804156</v>
      </c>
      <c r="F239" s="385">
        <f t="shared" si="101"/>
        <v>32.195861408486827</v>
      </c>
      <c r="G239" s="110">
        <f t="shared" si="103"/>
        <v>0.56729334194312209</v>
      </c>
      <c r="I239" s="380">
        <f t="shared" si="73"/>
        <v>32.195861408486827</v>
      </c>
      <c r="J239" s="85">
        <v>2018</v>
      </c>
      <c r="K239" s="197">
        <f t="shared" si="74"/>
        <v>43325</v>
      </c>
      <c r="L239" s="437">
        <f t="shared" si="75"/>
        <v>1.444540860593313E-3</v>
      </c>
      <c r="M239" s="856"/>
      <c r="N239" s="856"/>
      <c r="O239" s="324">
        <f t="shared" si="76"/>
        <v>4.2976763298297176E-3</v>
      </c>
      <c r="P239" s="169">
        <f>(INDEX(Models!$BJ239:$BT239,,T239)*(1-R239)+INDEX(Models!$BJ239:$BT239,,T239+1)*R239-ERP_i)*Q239*Ramure*Pc/MaxiM</f>
        <v>1.5188357372478374E-5</v>
      </c>
      <c r="Q239" s="305">
        <f t="shared" si="77"/>
        <v>0.5</v>
      </c>
      <c r="R239" s="177">
        <f t="shared" si="78"/>
        <v>0.46388504917375495</v>
      </c>
      <c r="S239" s="811">
        <f t="shared" si="96"/>
        <v>-2</v>
      </c>
      <c r="T239" s="176">
        <f t="shared" si="79"/>
        <v>4</v>
      </c>
      <c r="U239" s="251">
        <f t="shared" si="80"/>
        <v>-1.5361149508262451</v>
      </c>
      <c r="V239" s="383">
        <f t="shared" si="81"/>
        <v>56.427067079661072</v>
      </c>
      <c r="W239" s="58"/>
      <c r="X239" s="157">
        <f t="shared" si="82"/>
        <v>43325</v>
      </c>
      <c r="Y239" s="385">
        <f t="shared" si="83"/>
        <v>32.011000000000003</v>
      </c>
      <c r="Z239" s="385">
        <f t="shared" si="84"/>
        <v>32.057308091418683</v>
      </c>
      <c r="AA239" s="386">
        <f t="shared" si="85"/>
        <v>32.1956746804156</v>
      </c>
      <c r="AB239" s="197">
        <f t="shared" si="86"/>
        <v>43325</v>
      </c>
      <c r="AC239" s="426">
        <f t="shared" si="87"/>
        <v>4.2976763298297176E-3</v>
      </c>
      <c r="AD239" s="169">
        <f>(INDEX(Models!$BJ239:$BT239,,AH239)*(1-AF239)+INDEX(Models!$BJ239:$BT239,,AH239+1)*AF239-ERP_i)*AE239*Ramure*Pc/MaxiM</f>
        <v>1.5188357372478374E-5</v>
      </c>
      <c r="AE239" s="305">
        <f t="shared" si="88"/>
        <v>0.5</v>
      </c>
      <c r="AF239" s="177">
        <f t="shared" si="89"/>
        <v>0.46388504917375495</v>
      </c>
      <c r="AG239" s="811">
        <f t="shared" si="90"/>
        <v>-2</v>
      </c>
      <c r="AH239" s="176">
        <f t="shared" si="91"/>
        <v>4</v>
      </c>
      <c r="AI239" s="225">
        <f t="shared" si="92"/>
        <v>-1.5361149508262451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7">
        <v>34.433</v>
      </c>
      <c r="C240" s="390"/>
      <c r="D240" s="393">
        <f t="shared" si="97"/>
        <v>34.483567109296999</v>
      </c>
      <c r="E240" s="385">
        <f t="shared" si="102"/>
        <v>34.634595979236252</v>
      </c>
      <c r="F240" s="385">
        <f t="shared" si="101"/>
        <v>34.634807589521465</v>
      </c>
      <c r="G240" s="110">
        <f t="shared" si="103"/>
        <v>0.61200764374897887</v>
      </c>
      <c r="I240" s="380">
        <f t="shared" si="73"/>
        <v>34.634807589521465</v>
      </c>
      <c r="J240" s="85">
        <v>2018</v>
      </c>
      <c r="K240" s="197">
        <f t="shared" si="74"/>
        <v>43326</v>
      </c>
      <c r="L240" s="437">
        <f t="shared" si="75"/>
        <v>1.466411787873434E-3</v>
      </c>
      <c r="M240" s="856"/>
      <c r="N240" s="856"/>
      <c r="O240" s="324">
        <f t="shared" si="76"/>
        <v>4.360636111643966E-3</v>
      </c>
      <c r="P240" s="169">
        <f>(INDEX(Models!$BJ240:$BT240,,T240)*(1-R240)+INDEX(Models!$BJ240:$BT240,,T240+1)*R240-ERP_i)*Q240*Ramure*Pc/MaxiM</f>
        <v>1.3707249798417095E-5</v>
      </c>
      <c r="Q240" s="305">
        <f t="shared" si="77"/>
        <v>0.5</v>
      </c>
      <c r="R240" s="177">
        <f t="shared" si="78"/>
        <v>0.46515299573470381</v>
      </c>
      <c r="S240" s="811">
        <f t="shared" si="96"/>
        <v>-2</v>
      </c>
      <c r="T240" s="176">
        <f t="shared" si="79"/>
        <v>4</v>
      </c>
      <c r="U240" s="251">
        <f t="shared" si="80"/>
        <v>-1.5348470042652962</v>
      </c>
      <c r="V240" s="383">
        <f t="shared" si="81"/>
        <v>56.2619417349663</v>
      </c>
      <c r="W240" s="58"/>
      <c r="X240" s="157">
        <f t="shared" si="82"/>
        <v>43326</v>
      </c>
      <c r="Y240" s="385">
        <f t="shared" si="83"/>
        <v>34.433</v>
      </c>
      <c r="Z240" s="385">
        <f t="shared" si="84"/>
        <v>34.483567109296999</v>
      </c>
      <c r="AA240" s="386">
        <f t="shared" si="85"/>
        <v>34.634595979236252</v>
      </c>
      <c r="AB240" s="197">
        <f t="shared" si="86"/>
        <v>43326</v>
      </c>
      <c r="AC240" s="426">
        <f t="shared" si="87"/>
        <v>4.360636111643966E-3</v>
      </c>
      <c r="AD240" s="169">
        <f>(INDEX(Models!$BJ240:$BT240,,AH240)*(1-AF240)+INDEX(Models!$BJ240:$BT240,,AH240+1)*AF240-ERP_i)*AE240*Ramure*Pc/MaxiM</f>
        <v>1.3707249798417095E-5</v>
      </c>
      <c r="AE240" s="305">
        <f t="shared" si="88"/>
        <v>0.5</v>
      </c>
      <c r="AF240" s="177">
        <f t="shared" si="89"/>
        <v>0.46515299573470381</v>
      </c>
      <c r="AG240" s="811">
        <f t="shared" si="90"/>
        <v>-2</v>
      </c>
      <c r="AH240" s="176">
        <f t="shared" si="91"/>
        <v>4</v>
      </c>
      <c r="AI240" s="225">
        <f t="shared" si="92"/>
        <v>-1.5348470042652962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7">
        <v>55.966999999999999</v>
      </c>
      <c r="C241" s="390"/>
      <c r="D241" s="393">
        <f t="shared" si="97"/>
        <v>56.050418842690895</v>
      </c>
      <c r="E241" s="385">
        <f t="shared" si="102"/>
        <v>56.299460745605515</v>
      </c>
      <c r="F241" s="385">
        <f t="shared" si="101"/>
        <v>56.300151621417385</v>
      </c>
      <c r="G241" s="110">
        <f t="shared" si="103"/>
        <v>0.99771824373255835</v>
      </c>
      <c r="I241" s="380">
        <f t="shared" si="73"/>
        <v>56.300151621417385</v>
      </c>
      <c r="J241" s="85">
        <v>2018</v>
      </c>
      <c r="K241" s="197">
        <f t="shared" si="74"/>
        <v>43327</v>
      </c>
      <c r="L241" s="437">
        <f t="shared" si="75"/>
        <v>1.4882822361241832E-3</v>
      </c>
      <c r="M241" s="856"/>
      <c r="N241" s="856"/>
      <c r="O241" s="324">
        <f t="shared" si="76"/>
        <v>4.4235219949964192E-3</v>
      </c>
      <c r="P241" s="169">
        <f>(INDEX(Models!$BJ241:$BT241,,T241)*(1-R241)+INDEX(Models!$BJ241:$BT241,,T241+1)*R241-ERP_i)*Q241*Ramure*Pc/MaxiM</f>
        <v>1.2311426017769877E-5</v>
      </c>
      <c r="Q241" s="305">
        <f t="shared" si="77"/>
        <v>0.5</v>
      </c>
      <c r="R241" s="177">
        <f t="shared" si="78"/>
        <v>0.46637638025774408</v>
      </c>
      <c r="S241" s="811">
        <f t="shared" si="96"/>
        <v>-2</v>
      </c>
      <c r="T241" s="176">
        <f t="shared" si="79"/>
        <v>4</v>
      </c>
      <c r="U241" s="251">
        <f t="shared" si="80"/>
        <v>-1.5336236197422559</v>
      </c>
      <c r="V241" s="383">
        <f t="shared" si="81"/>
        <v>56.09499285552247</v>
      </c>
      <c r="W241" s="58"/>
      <c r="X241" s="157">
        <f t="shared" si="82"/>
        <v>43327</v>
      </c>
      <c r="Y241" s="385">
        <f t="shared" si="83"/>
        <v>55.966999999999999</v>
      </c>
      <c r="Z241" s="385">
        <f t="shared" si="84"/>
        <v>56.050418842690895</v>
      </c>
      <c r="AA241" s="386">
        <f t="shared" si="85"/>
        <v>56.299460745605515</v>
      </c>
      <c r="AB241" s="197">
        <f t="shared" si="86"/>
        <v>43327</v>
      </c>
      <c r="AC241" s="426">
        <f t="shared" si="87"/>
        <v>4.4235219949964192E-3</v>
      </c>
      <c r="AD241" s="169">
        <f>(INDEX(Models!$BJ241:$BT241,,AH241)*(1-AF241)+INDEX(Models!$BJ241:$BT241,,AH241+1)*AF241-ERP_i)*AE241*Ramure*Pc/MaxiM</f>
        <v>1.2311426017769877E-5</v>
      </c>
      <c r="AE241" s="305">
        <f t="shared" si="88"/>
        <v>0.5</v>
      </c>
      <c r="AF241" s="177">
        <f t="shared" si="89"/>
        <v>0.46637638025774408</v>
      </c>
      <c r="AG241" s="811">
        <f t="shared" si="90"/>
        <v>-2</v>
      </c>
      <c r="AH241" s="176">
        <f t="shared" si="91"/>
        <v>4</v>
      </c>
      <c r="AI241" s="225">
        <f t="shared" si="92"/>
        <v>-1.5336236197422559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7">
        <v>51.036999999999999</v>
      </c>
      <c r="C242" s="390"/>
      <c r="D242" s="393">
        <f t="shared" si="97"/>
        <v>51.114190207066187</v>
      </c>
      <c r="E242" s="385">
        <f t="shared" si="102"/>
        <v>51.344538918145126</v>
      </c>
      <c r="F242" s="385">
        <f t="shared" si="101"/>
        <v>51.345033299303957</v>
      </c>
      <c r="G242" s="110">
        <f t="shared" si="103"/>
        <v>0.91257779410736095</v>
      </c>
      <c r="I242" s="380">
        <f t="shared" si="73"/>
        <v>51.345033299303957</v>
      </c>
      <c r="J242" s="85">
        <v>2018</v>
      </c>
      <c r="K242" s="197">
        <f t="shared" si="74"/>
        <v>43328</v>
      </c>
      <c r="L242" s="437">
        <f t="shared" si="75"/>
        <v>1.5101522053559968E-3</v>
      </c>
      <c r="M242" s="856"/>
      <c r="N242" s="856"/>
      <c r="O242" s="324">
        <f t="shared" si="76"/>
        <v>4.4863332290541605E-3</v>
      </c>
      <c r="P242" s="169">
        <f>(INDEX(Models!$BJ242:$BT242,,T242)*(1-R242)+INDEX(Models!$BJ242:$BT242,,T242+1)*R242-ERP_i)*Q242*Ramure*Pc/MaxiM</f>
        <v>1.100270256021137E-5</v>
      </c>
      <c r="Q242" s="305">
        <f t="shared" si="77"/>
        <v>0.5</v>
      </c>
      <c r="R242" s="177">
        <f t="shared" si="78"/>
        <v>0.46755653188576285</v>
      </c>
      <c r="S242" s="811">
        <f t="shared" si="96"/>
        <v>-2</v>
      </c>
      <c r="T242" s="176">
        <f t="shared" si="79"/>
        <v>4</v>
      </c>
      <c r="U242" s="251">
        <f t="shared" si="80"/>
        <v>-1.5324434681142372</v>
      </c>
      <c r="V242" s="383">
        <f t="shared" si="81"/>
        <v>55.92611413424013</v>
      </c>
      <c r="W242" s="58"/>
      <c r="X242" s="157">
        <f t="shared" si="82"/>
        <v>43328</v>
      </c>
      <c r="Y242" s="385">
        <f t="shared" si="83"/>
        <v>51.036999999999999</v>
      </c>
      <c r="Z242" s="385">
        <f t="shared" si="84"/>
        <v>51.114190207066187</v>
      </c>
      <c r="AA242" s="386">
        <f t="shared" si="85"/>
        <v>51.344538918145126</v>
      </c>
      <c r="AB242" s="197">
        <f t="shared" si="86"/>
        <v>43328</v>
      </c>
      <c r="AC242" s="426">
        <f t="shared" si="87"/>
        <v>4.4863332290541605E-3</v>
      </c>
      <c r="AD242" s="169">
        <f>(INDEX(Models!$BJ242:$BT242,,AH242)*(1-AF242)+INDEX(Models!$BJ242:$BT242,,AH242+1)*AF242-ERP_i)*AE242*Ramure*Pc/MaxiM</f>
        <v>1.100270256021137E-5</v>
      </c>
      <c r="AE242" s="305">
        <f t="shared" si="88"/>
        <v>0.5</v>
      </c>
      <c r="AF242" s="177">
        <f t="shared" si="89"/>
        <v>0.46755653188576285</v>
      </c>
      <c r="AG242" s="811">
        <f t="shared" si="90"/>
        <v>-2</v>
      </c>
      <c r="AH242" s="176">
        <f t="shared" si="91"/>
        <v>4</v>
      </c>
      <c r="AI242" s="225">
        <f t="shared" si="92"/>
        <v>-1.5324434681142372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7">
        <v>33.29</v>
      </c>
      <c r="C243" s="390"/>
      <c r="D243" s="393">
        <f t="shared" si="97"/>
        <v>33.341079256775409</v>
      </c>
      <c r="E243" s="385">
        <f t="shared" si="102"/>
        <v>33.493443241190874</v>
      </c>
      <c r="F243" s="385">
        <f t="shared" si="101"/>
        <v>33.493582298548738</v>
      </c>
      <c r="G243" s="110">
        <f t="shared" si="103"/>
        <v>0.59707099884502213</v>
      </c>
      <c r="I243" s="380">
        <f t="shared" si="73"/>
        <v>33.493582298548738</v>
      </c>
      <c r="J243" s="85">
        <v>2018</v>
      </c>
      <c r="K243" s="197">
        <f t="shared" si="74"/>
        <v>43329</v>
      </c>
      <c r="L243" s="437">
        <f t="shared" si="75"/>
        <v>1.5320216955794219E-3</v>
      </c>
      <c r="M243" s="856"/>
      <c r="N243" s="856"/>
      <c r="O243" s="324">
        <f t="shared" si="76"/>
        <v>4.5490690019020751E-3</v>
      </c>
      <c r="P243" s="169">
        <f>(INDEX(Models!$BJ243:$BT243,,T243)*(1-R243)+INDEX(Models!$BJ243:$BT243,,T243+1)*R243-ERP_i)*Q243*Ramure*Pc/MaxiM</f>
        <v>9.7828465594455103E-6</v>
      </c>
      <c r="Q243" s="305">
        <f t="shared" si="77"/>
        <v>0.5</v>
      </c>
      <c r="R243" s="177">
        <f t="shared" si="78"/>
        <v>0.46869475792061555</v>
      </c>
      <c r="S243" s="811">
        <f t="shared" si="96"/>
        <v>-2</v>
      </c>
      <c r="T243" s="176">
        <f t="shared" si="79"/>
        <v>4</v>
      </c>
      <c r="U243" s="251">
        <f t="shared" si="80"/>
        <v>-1.5313052420793845</v>
      </c>
      <c r="V243" s="383">
        <f t="shared" si="81"/>
        <v>55.755199305925977</v>
      </c>
      <c r="W243" s="58"/>
      <c r="X243" s="157">
        <f t="shared" si="82"/>
        <v>43329</v>
      </c>
      <c r="Y243" s="385">
        <f t="shared" si="83"/>
        <v>33.29</v>
      </c>
      <c r="Z243" s="385">
        <f t="shared" si="84"/>
        <v>33.341079256775409</v>
      </c>
      <c r="AA243" s="386">
        <f t="shared" si="85"/>
        <v>33.493443241190874</v>
      </c>
      <c r="AB243" s="197">
        <f t="shared" si="86"/>
        <v>43329</v>
      </c>
      <c r="AC243" s="426">
        <f t="shared" si="87"/>
        <v>4.5490690019020751E-3</v>
      </c>
      <c r="AD243" s="169">
        <f>(INDEX(Models!$BJ243:$BT243,,AH243)*(1-AF243)+INDEX(Models!$BJ243:$BT243,,AH243+1)*AF243-ERP_i)*AE243*Ramure*Pc/MaxiM</f>
        <v>9.7828465594455103E-6</v>
      </c>
      <c r="AE243" s="305">
        <f t="shared" si="88"/>
        <v>0.5</v>
      </c>
      <c r="AF243" s="177">
        <f t="shared" si="89"/>
        <v>0.46869475792061555</v>
      </c>
      <c r="AG243" s="811">
        <f t="shared" si="90"/>
        <v>-2</v>
      </c>
      <c r="AH243" s="176">
        <f t="shared" si="91"/>
        <v>4</v>
      </c>
      <c r="AI243" s="225">
        <f t="shared" si="92"/>
        <v>-1.5313052420793845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7">
        <v>30.518999999999998</v>
      </c>
      <c r="C244" s="390"/>
      <c r="D244" s="393">
        <f t="shared" si="97"/>
        <v>30.566496995621069</v>
      </c>
      <c r="E244" s="385">
        <f t="shared" si="102"/>
        <v>30.708114480564699</v>
      </c>
      <c r="F244" s="385">
        <f t="shared" si="101"/>
        <v>30.708209036715964</v>
      </c>
      <c r="G244" s="110">
        <f t="shared" si="103"/>
        <v>0.54907617257616514</v>
      </c>
      <c r="I244" s="380">
        <f t="shared" si="73"/>
        <v>30.708209036715964</v>
      </c>
      <c r="J244" s="85">
        <v>2018</v>
      </c>
      <c r="K244" s="197">
        <f t="shared" si="74"/>
        <v>43330</v>
      </c>
      <c r="L244" s="437">
        <f t="shared" si="75"/>
        <v>1.5538907068047836E-3</v>
      </c>
      <c r="M244" s="856"/>
      <c r="N244" s="856"/>
      <c r="O244" s="324">
        <f t="shared" si="76"/>
        <v>4.6117284417857389E-3</v>
      </c>
      <c r="P244" s="169">
        <f>(INDEX(Models!$BJ244:$BT244,,T244)*(1-R244)+INDEX(Models!$BJ244:$BT244,,T244+1)*R244-ERP_i)*Q244*Ramure*Pc/MaxiM</f>
        <v>8.6535801025284E-6</v>
      </c>
      <c r="Q244" s="305">
        <f t="shared" si="77"/>
        <v>0.5</v>
      </c>
      <c r="R244" s="177">
        <f t="shared" si="78"/>
        <v>0.46979234272542914</v>
      </c>
      <c r="S244" s="811">
        <f t="shared" si="96"/>
        <v>-2</v>
      </c>
      <c r="T244" s="176">
        <f t="shared" si="79"/>
        <v>4</v>
      </c>
      <c r="U244" s="251">
        <f t="shared" si="80"/>
        <v>-1.5302076572745709</v>
      </c>
      <c r="V244" s="383">
        <f t="shared" si="81"/>
        <v>55.5821421483626</v>
      </c>
      <c r="W244" s="58"/>
      <c r="X244" s="157">
        <f t="shared" si="82"/>
        <v>43330</v>
      </c>
      <c r="Y244" s="385">
        <f t="shared" si="83"/>
        <v>30.518999999999998</v>
      </c>
      <c r="Z244" s="385">
        <f t="shared" si="84"/>
        <v>30.566496995621069</v>
      </c>
      <c r="AA244" s="386">
        <f t="shared" si="85"/>
        <v>30.708114480564699</v>
      </c>
      <c r="AB244" s="197">
        <f t="shared" si="86"/>
        <v>43330</v>
      </c>
      <c r="AC244" s="426">
        <f t="shared" si="87"/>
        <v>4.6117284417857389E-3</v>
      </c>
      <c r="AD244" s="169">
        <f>(INDEX(Models!$BJ244:$BT244,,AH244)*(1-AF244)+INDEX(Models!$BJ244:$BT244,,AH244+1)*AF244-ERP_i)*AE244*Ramure*Pc/MaxiM</f>
        <v>8.6535801025284E-6</v>
      </c>
      <c r="AE244" s="305">
        <f t="shared" si="88"/>
        <v>0.5</v>
      </c>
      <c r="AF244" s="177">
        <f t="shared" si="89"/>
        <v>0.46979234272542914</v>
      </c>
      <c r="AG244" s="811">
        <f t="shared" si="90"/>
        <v>-2</v>
      </c>
      <c r="AH244" s="176">
        <f t="shared" si="91"/>
        <v>4</v>
      </c>
      <c r="AI244" s="225">
        <f t="shared" si="92"/>
        <v>-1.5302076572745709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7">
        <v>52.744999999999997</v>
      </c>
      <c r="C245" s="390"/>
      <c r="D245" s="393">
        <f t="shared" si="97"/>
        <v>52.828244594502188</v>
      </c>
      <c r="E245" s="385">
        <f t="shared" si="102"/>
        <v>53.0763398936474</v>
      </c>
      <c r="F245" s="385">
        <f t="shared" si="101"/>
        <v>53.076716411968974</v>
      </c>
      <c r="G245" s="110">
        <f t="shared" si="103"/>
        <v>0.95195784089258861</v>
      </c>
      <c r="I245" s="380">
        <f t="shared" si="73"/>
        <v>53.076716411968974</v>
      </c>
      <c r="J245" s="85">
        <v>2018</v>
      </c>
      <c r="K245" s="197">
        <f t="shared" si="74"/>
        <v>43331</v>
      </c>
      <c r="L245" s="437">
        <f t="shared" si="75"/>
        <v>1.5757592390426289E-3</v>
      </c>
      <c r="M245" s="856"/>
      <c r="N245" s="856"/>
      <c r="O245" s="324">
        <f t="shared" si="76"/>
        <v>4.6743106182969762E-3</v>
      </c>
      <c r="P245" s="169">
        <f>(INDEX(Models!$BJ245:$BT245,,T245)*(1-R245)+INDEX(Models!$BJ245:$BT245,,T245+1)*R245-ERP_i)*Q245*Ramure*Pc/MaxiM</f>
        <v>7.6165844601065551E-6</v>
      </c>
      <c r="Q245" s="305">
        <f t="shared" si="77"/>
        <v>0.5</v>
      </c>
      <c r="R245" s="177">
        <f t="shared" si="78"/>
        <v>0.47085054677486848</v>
      </c>
      <c r="S245" s="811">
        <f t="shared" si="96"/>
        <v>-2</v>
      </c>
      <c r="T245" s="176">
        <f t="shared" si="79"/>
        <v>4</v>
      </c>
      <c r="U245" s="251">
        <f t="shared" si="80"/>
        <v>-1.5291494532251315</v>
      </c>
      <c r="V245" s="383">
        <f t="shared" si="81"/>
        <v>55.406836482145359</v>
      </c>
      <c r="W245" s="58"/>
      <c r="X245" s="157">
        <f t="shared" si="82"/>
        <v>43331</v>
      </c>
      <c r="Y245" s="385">
        <f t="shared" si="83"/>
        <v>52.744999999999997</v>
      </c>
      <c r="Z245" s="385">
        <f t="shared" si="84"/>
        <v>52.828244594502188</v>
      </c>
      <c r="AA245" s="386">
        <f t="shared" si="85"/>
        <v>53.0763398936474</v>
      </c>
      <c r="AB245" s="197">
        <f t="shared" si="86"/>
        <v>43331</v>
      </c>
      <c r="AC245" s="426">
        <f t="shared" si="87"/>
        <v>4.6743106182969762E-3</v>
      </c>
      <c r="AD245" s="169">
        <f>(INDEX(Models!$BJ245:$BT245,,AH245)*(1-AF245)+INDEX(Models!$BJ245:$BT245,,AH245+1)*AF245-ERP_i)*AE245*Ramure*Pc/MaxiM</f>
        <v>7.6165844601065551E-6</v>
      </c>
      <c r="AE245" s="305">
        <f t="shared" si="88"/>
        <v>0.5</v>
      </c>
      <c r="AF245" s="177">
        <f t="shared" si="89"/>
        <v>0.47085054677486848</v>
      </c>
      <c r="AG245" s="811">
        <f t="shared" si="90"/>
        <v>-2</v>
      </c>
      <c r="AH245" s="176">
        <f t="shared" si="91"/>
        <v>4</v>
      </c>
      <c r="AI245" s="225">
        <f t="shared" si="92"/>
        <v>-1.5291494532251315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7">
        <v>53.317</v>
      </c>
      <c r="C246" s="390"/>
      <c r="D246" s="393">
        <f t="shared" si="97"/>
        <v>53.402316999110027</v>
      </c>
      <c r="E246" s="385">
        <f t="shared" si="102"/>
        <v>53.65647778342359</v>
      </c>
      <c r="F246" s="385">
        <f t="shared" si="101"/>
        <v>53.656818151544883</v>
      </c>
      <c r="G246" s="110">
        <f t="shared" si="103"/>
        <v>0.96537710864974258</v>
      </c>
      <c r="I246" s="380">
        <f t="shared" si="73"/>
        <v>53.656818151544883</v>
      </c>
      <c r="J246" s="85">
        <v>2018</v>
      </c>
      <c r="K246" s="197">
        <f t="shared" si="74"/>
        <v>43332</v>
      </c>
      <c r="L246" s="437">
        <f t="shared" si="75"/>
        <v>1.5976272923036161E-3</v>
      </c>
      <c r="M246" s="856"/>
      <c r="N246" s="856"/>
      <c r="O246" s="324">
        <f t="shared" si="76"/>
        <v>4.736814543426439E-3</v>
      </c>
      <c r="P246" s="169">
        <f>(INDEX(Models!$BJ246:$BT246,,T246)*(1-R246)+INDEX(Models!$BJ246:$BT246,,T246+1)*R246-ERP_i)*Q246*Ramure*Pc/MaxiM</f>
        <v>6.6735042071405552E-6</v>
      </c>
      <c r="Q246" s="305">
        <f t="shared" si="77"/>
        <v>0.5</v>
      </c>
      <c r="R246" s="177">
        <f t="shared" si="78"/>
        <v>0.47187060584415375</v>
      </c>
      <c r="S246" s="811">
        <f t="shared" si="96"/>
        <v>-2</v>
      </c>
      <c r="T246" s="176">
        <f t="shared" si="79"/>
        <v>4</v>
      </c>
      <c r="U246" s="251">
        <f t="shared" si="80"/>
        <v>-1.5281293941558463</v>
      </c>
      <c r="V246" s="383">
        <f t="shared" si="81"/>
        <v>55.229176166967271</v>
      </c>
      <c r="W246" s="58"/>
      <c r="X246" s="157">
        <f t="shared" si="82"/>
        <v>43332</v>
      </c>
      <c r="Y246" s="385">
        <f t="shared" si="83"/>
        <v>53.317</v>
      </c>
      <c r="Z246" s="385">
        <f t="shared" si="84"/>
        <v>53.402316999110027</v>
      </c>
      <c r="AA246" s="386">
        <f t="shared" si="85"/>
        <v>53.65647778342359</v>
      </c>
      <c r="AB246" s="197">
        <f t="shared" si="86"/>
        <v>43332</v>
      </c>
      <c r="AC246" s="426">
        <f t="shared" si="87"/>
        <v>4.736814543426439E-3</v>
      </c>
      <c r="AD246" s="169">
        <f>(INDEX(Models!$BJ246:$BT246,,AH246)*(1-AF246)+INDEX(Models!$BJ246:$BT246,,AH246+1)*AF246-ERP_i)*AE246*Ramure*Pc/MaxiM</f>
        <v>6.6735042071405552E-6</v>
      </c>
      <c r="AE246" s="305">
        <f t="shared" si="88"/>
        <v>0.5</v>
      </c>
      <c r="AF246" s="177">
        <f t="shared" si="89"/>
        <v>0.47187060584415375</v>
      </c>
      <c r="AG246" s="811">
        <f t="shared" si="90"/>
        <v>-2</v>
      </c>
      <c r="AH246" s="176">
        <f t="shared" si="91"/>
        <v>4</v>
      </c>
      <c r="AI246" s="225">
        <f t="shared" si="92"/>
        <v>-1.5281293941558463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7">
        <v>52.478999999999999</v>
      </c>
      <c r="C247" s="390"/>
      <c r="D247" s="393">
        <f t="shared" si="97"/>
        <v>52.56412733438524</v>
      </c>
      <c r="E247" s="385">
        <f t="shared" si="102"/>
        <v>52.817611685378928</v>
      </c>
      <c r="F247" s="385">
        <f t="shared" si="101"/>
        <v>52.817898849662711</v>
      </c>
      <c r="G247" s="110">
        <f t="shared" si="103"/>
        <v>0.95327635794074916</v>
      </c>
      <c r="I247" s="380">
        <f t="shared" si="73"/>
        <v>52.817898849662711</v>
      </c>
      <c r="J247" s="85">
        <v>2018</v>
      </c>
      <c r="K247" s="197">
        <f t="shared" si="74"/>
        <v>43333</v>
      </c>
      <c r="L247" s="437">
        <f t="shared" si="75"/>
        <v>1.6194948665980702E-3</v>
      </c>
      <c r="M247" s="856"/>
      <c r="N247" s="856"/>
      <c r="O247" s="324">
        <f t="shared" si="76"/>
        <v>4.7992391724114413E-3</v>
      </c>
      <c r="P247" s="169">
        <f>(INDEX(Models!$BJ247:$BT247,,T247)*(1-R247)+INDEX(Models!$BJ247:$BT247,,T247+1)*R247-ERP_i)*Q247*Ramure*Pc/MaxiM</f>
        <v>5.8257273453579201E-6</v>
      </c>
      <c r="Q247" s="305">
        <f t="shared" si="77"/>
        <v>0.5</v>
      </c>
      <c r="R247" s="177">
        <f t="shared" si="78"/>
        <v>0.47285373032781797</v>
      </c>
      <c r="S247" s="811">
        <f t="shared" si="96"/>
        <v>-2</v>
      </c>
      <c r="T247" s="176">
        <f t="shared" si="79"/>
        <v>4</v>
      </c>
      <c r="U247" s="251">
        <f t="shared" si="80"/>
        <v>-1.527146269672182</v>
      </c>
      <c r="V247" s="383">
        <f t="shared" si="81"/>
        <v>55.051170792320029</v>
      </c>
      <c r="W247" s="58"/>
      <c r="X247" s="157">
        <f t="shared" si="82"/>
        <v>43333</v>
      </c>
      <c r="Y247" s="385">
        <f t="shared" si="83"/>
        <v>52.478999999999999</v>
      </c>
      <c r="Z247" s="385">
        <f t="shared" si="84"/>
        <v>52.56412733438524</v>
      </c>
      <c r="AA247" s="386">
        <f t="shared" si="85"/>
        <v>52.817611685378928</v>
      </c>
      <c r="AB247" s="197">
        <f t="shared" si="86"/>
        <v>43333</v>
      </c>
      <c r="AC247" s="426">
        <f t="shared" si="87"/>
        <v>4.7992391724114413E-3</v>
      </c>
      <c r="AD247" s="169">
        <f>(INDEX(Models!$BJ247:$BT247,,AH247)*(1-AF247)+INDEX(Models!$BJ247:$BT247,,AH247+1)*AF247-ERP_i)*AE247*Ramure*Pc/MaxiM</f>
        <v>5.8257273453579201E-6</v>
      </c>
      <c r="AE247" s="305">
        <f t="shared" si="88"/>
        <v>0.5</v>
      </c>
      <c r="AF247" s="177">
        <f t="shared" si="89"/>
        <v>0.47285373032781797</v>
      </c>
      <c r="AG247" s="811">
        <f t="shared" si="90"/>
        <v>-2</v>
      </c>
      <c r="AH247" s="176">
        <f t="shared" si="91"/>
        <v>4</v>
      </c>
      <c r="AI247" s="225">
        <f t="shared" si="92"/>
        <v>-1.527146269672182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7">
        <v>51.447000000000003</v>
      </c>
      <c r="C248" s="390"/>
      <c r="D248" s="393">
        <f t="shared" si="97"/>
        <v>51.531581978497925</v>
      </c>
      <c r="E248" s="385">
        <f t="shared" si="102"/>
        <v>51.78333096091756</v>
      </c>
      <c r="F248" s="385">
        <f t="shared" si="101"/>
        <v>51.783571484946684</v>
      </c>
      <c r="G248" s="110">
        <f t="shared" si="103"/>
        <v>0.93754176986274862</v>
      </c>
      <c r="I248" s="380">
        <f t="shared" si="73"/>
        <v>51.783571484946684</v>
      </c>
      <c r="J248" s="85">
        <v>2018</v>
      </c>
      <c r="K248" s="197">
        <f t="shared" si="74"/>
        <v>43334</v>
      </c>
      <c r="L248" s="437">
        <f t="shared" si="75"/>
        <v>1.6413619619365383E-3</v>
      </c>
      <c r="M248" s="856"/>
      <c r="N248" s="856"/>
      <c r="O248" s="324">
        <f t="shared" si="76"/>
        <v>4.8615834043128723E-3</v>
      </c>
      <c r="P248" s="169">
        <f>(INDEX(Models!$BJ248:$BT248,,T248)*(1-R248)+INDEX(Models!$BJ248:$BT248,,T248+1)*R248-ERP_i)*Q248*Ramure*Pc/MaxiM</f>
        <v>5.0998285485009273E-6</v>
      </c>
      <c r="Q248" s="305">
        <f t="shared" si="77"/>
        <v>0.5</v>
      </c>
      <c r="R248" s="177">
        <f t="shared" si="78"/>
        <v>0.47380110467943637</v>
      </c>
      <c r="S248" s="811">
        <f t="shared" si="96"/>
        <v>-2</v>
      </c>
      <c r="T248" s="176">
        <f t="shared" si="79"/>
        <v>4</v>
      </c>
      <c r="U248" s="251">
        <f t="shared" si="80"/>
        <v>-1.5261988953205636</v>
      </c>
      <c r="V248" s="383">
        <f t="shared" si="81"/>
        <v>54.874330129597716</v>
      </c>
      <c r="W248" s="58"/>
      <c r="X248" s="157">
        <f t="shared" si="82"/>
        <v>43334</v>
      </c>
      <c r="Y248" s="385">
        <f t="shared" si="83"/>
        <v>51.447000000000003</v>
      </c>
      <c r="Z248" s="385">
        <f t="shared" si="84"/>
        <v>51.531581978497925</v>
      </c>
      <c r="AA248" s="386">
        <f t="shared" si="85"/>
        <v>51.78333096091756</v>
      </c>
      <c r="AB248" s="197">
        <f t="shared" si="86"/>
        <v>43334</v>
      </c>
      <c r="AC248" s="426">
        <f t="shared" si="87"/>
        <v>4.8615834043128723E-3</v>
      </c>
      <c r="AD248" s="169">
        <f>(INDEX(Models!$BJ248:$BT248,,AH248)*(1-AF248)+INDEX(Models!$BJ248:$BT248,,AH248+1)*AF248-ERP_i)*AE248*Ramure*Pc/MaxiM</f>
        <v>5.0998285485009273E-6</v>
      </c>
      <c r="AE248" s="305">
        <f t="shared" si="88"/>
        <v>0.5</v>
      </c>
      <c r="AF248" s="177">
        <f t="shared" si="89"/>
        <v>0.47380110467943637</v>
      </c>
      <c r="AG248" s="811">
        <f t="shared" si="90"/>
        <v>-2</v>
      </c>
      <c r="AH248" s="176">
        <f t="shared" si="91"/>
        <v>4</v>
      </c>
      <c r="AI248" s="225">
        <f t="shared" si="92"/>
        <v>-1.5261988953205636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7">
        <v>45.555</v>
      </c>
      <c r="C249" s="390"/>
      <c r="D249" s="393">
        <f t="shared" si="97"/>
        <v>45.630894607966709</v>
      </c>
      <c r="E249" s="385">
        <f t="shared" si="102"/>
        <v>45.856685871038323</v>
      </c>
      <c r="F249" s="385">
        <f t="shared" si="101"/>
        <v>45.856840636518925</v>
      </c>
      <c r="G249" s="110">
        <f t="shared" si="103"/>
        <v>0.83284790838918432</v>
      </c>
      <c r="I249" s="380">
        <f t="shared" si="73"/>
        <v>45.856840636518925</v>
      </c>
      <c r="J249" s="85">
        <v>2018</v>
      </c>
      <c r="K249" s="197">
        <f t="shared" si="74"/>
        <v>43335</v>
      </c>
      <c r="L249" s="437">
        <f t="shared" si="75"/>
        <v>1.6632285783294565E-3</v>
      </c>
      <c r="M249" s="856"/>
      <c r="N249" s="856"/>
      <c r="O249" s="324">
        <f t="shared" si="76"/>
        <v>4.9238460822615716E-3</v>
      </c>
      <c r="P249" s="169">
        <f>(INDEX(Models!$BJ249:$BT249,,T249)*(1-R249)+INDEX(Models!$BJ249:$BT249,,T249+1)*R249-ERP_i)*Q249*Ramure*Pc/MaxiM</f>
        <v>4.4336767507484529E-6</v>
      </c>
      <c r="Q249" s="305">
        <f t="shared" si="77"/>
        <v>0.5</v>
      </c>
      <c r="R249" s="177">
        <f t="shared" si="78"/>
        <v>0.47471388696382255</v>
      </c>
      <c r="S249" s="811">
        <f t="shared" si="96"/>
        <v>-2</v>
      </c>
      <c r="T249" s="176">
        <f t="shared" si="79"/>
        <v>4</v>
      </c>
      <c r="U249" s="251">
        <f t="shared" si="80"/>
        <v>-1.5252861130361774</v>
      </c>
      <c r="V249" s="383">
        <f t="shared" si="81"/>
        <v>54.697804138787255</v>
      </c>
      <c r="W249" s="58"/>
      <c r="X249" s="157">
        <f t="shared" si="82"/>
        <v>43335</v>
      </c>
      <c r="Y249" s="385">
        <f t="shared" si="83"/>
        <v>45.555</v>
      </c>
      <c r="Z249" s="385">
        <f t="shared" si="84"/>
        <v>45.630894607966709</v>
      </c>
      <c r="AA249" s="386">
        <f t="shared" si="85"/>
        <v>45.856685871038323</v>
      </c>
      <c r="AB249" s="197">
        <f t="shared" si="86"/>
        <v>43335</v>
      </c>
      <c r="AC249" s="426">
        <f t="shared" si="87"/>
        <v>4.9238460822615716E-3</v>
      </c>
      <c r="AD249" s="169">
        <f>(INDEX(Models!$BJ249:$BT249,,AH249)*(1-AF249)+INDEX(Models!$BJ249:$BT249,,AH249+1)*AF249-ERP_i)*AE249*Ramure*Pc/MaxiM</f>
        <v>4.4336767507484529E-6</v>
      </c>
      <c r="AE249" s="305">
        <f t="shared" si="88"/>
        <v>0.5</v>
      </c>
      <c r="AF249" s="177">
        <f t="shared" si="89"/>
        <v>0.47471388696382255</v>
      </c>
      <c r="AG249" s="811">
        <f t="shared" si="90"/>
        <v>-2</v>
      </c>
      <c r="AH249" s="176">
        <f t="shared" si="91"/>
        <v>4</v>
      </c>
      <c r="AI249" s="225">
        <f t="shared" si="92"/>
        <v>-1.5252861130361774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7">
        <v>36.588000000000001</v>
      </c>
      <c r="C250" s="390"/>
      <c r="D250" s="393">
        <f t="shared" si="97"/>
        <v>36.649758314069928</v>
      </c>
      <c r="E250" s="385">
        <f t="shared" si="102"/>
        <v>36.833410657028594</v>
      </c>
      <c r="F250" s="385">
        <f t="shared" si="101"/>
        <v>36.833485410924524</v>
      </c>
      <c r="G250" s="110">
        <f t="shared" si="103"/>
        <v>0.67108286622719782</v>
      </c>
      <c r="I250" s="380">
        <f t="shared" si="73"/>
        <v>36.833485410924524</v>
      </c>
      <c r="J250" s="85">
        <v>2018</v>
      </c>
      <c r="K250" s="197">
        <f t="shared" si="74"/>
        <v>43336</v>
      </c>
      <c r="L250" s="437">
        <f t="shared" si="75"/>
        <v>1.6850947157873719E-3</v>
      </c>
      <c r="M250" s="856"/>
      <c r="N250" s="856"/>
      <c r="O250" s="324">
        <f t="shared" si="76"/>
        <v>4.9860259933224294E-3</v>
      </c>
      <c r="P250" s="169">
        <f>(INDEX(Models!$BJ250:$BT250,,T250)*(1-R250)+INDEX(Models!$BJ250:$BT250,,T250+1)*R250-ERP_i)*Q250*Ramure*Pc/MaxiM</f>
        <v>3.828394996480264E-6</v>
      </c>
      <c r="Q250" s="305">
        <f t="shared" si="77"/>
        <v>0.5</v>
      </c>
      <c r="R250" s="177">
        <f t="shared" si="78"/>
        <v>0.47559320851348685</v>
      </c>
      <c r="S250" s="811">
        <f t="shared" si="96"/>
        <v>-2</v>
      </c>
      <c r="T250" s="176">
        <f t="shared" si="79"/>
        <v>4</v>
      </c>
      <c r="U250" s="251">
        <f t="shared" si="80"/>
        <v>-1.5244067914865131</v>
      </c>
      <c r="V250" s="383">
        <f t="shared" si="81"/>
        <v>54.520739574126374</v>
      </c>
      <c r="W250" s="58"/>
      <c r="X250" s="157">
        <f t="shared" si="82"/>
        <v>43336</v>
      </c>
      <c r="Y250" s="385">
        <f t="shared" si="83"/>
        <v>36.588000000000001</v>
      </c>
      <c r="Z250" s="385">
        <f t="shared" si="84"/>
        <v>36.649758314069928</v>
      </c>
      <c r="AA250" s="386">
        <f t="shared" si="85"/>
        <v>36.833410657028594</v>
      </c>
      <c r="AB250" s="197">
        <f t="shared" si="86"/>
        <v>43336</v>
      </c>
      <c r="AC250" s="426">
        <f t="shared" si="87"/>
        <v>4.9860259933224294E-3</v>
      </c>
      <c r="AD250" s="169">
        <f>(INDEX(Models!$BJ250:$BT250,,AH250)*(1-AF250)+INDEX(Models!$BJ250:$BT250,,AH250+1)*AF250-ERP_i)*AE250*Ramure*Pc/MaxiM</f>
        <v>3.828394996480264E-6</v>
      </c>
      <c r="AE250" s="305">
        <f t="shared" si="88"/>
        <v>0.5</v>
      </c>
      <c r="AF250" s="177">
        <f t="shared" si="89"/>
        <v>0.47559320851348685</v>
      </c>
      <c r="AG250" s="811">
        <f t="shared" si="90"/>
        <v>-2</v>
      </c>
      <c r="AH250" s="176">
        <f t="shared" si="91"/>
        <v>4</v>
      </c>
      <c r="AI250" s="225">
        <f t="shared" si="92"/>
        <v>-1.5244067914865131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7">
        <v>24.291</v>
      </c>
      <c r="C251" s="390"/>
      <c r="D251" s="393">
        <f t="shared" si="97"/>
        <v>24.332534672492731</v>
      </c>
      <c r="E251" s="385">
        <f t="shared" si="102"/>
        <v>24.455991497975649</v>
      </c>
      <c r="F251" s="385">
        <f t="shared" si="101"/>
        <v>24.456008369167709</v>
      </c>
      <c r="G251" s="110">
        <f t="shared" si="103"/>
        <v>0.44699882675565072</v>
      </c>
      <c r="I251" s="380">
        <f t="shared" si="73"/>
        <v>24.456008369167709</v>
      </c>
      <c r="J251" s="85">
        <v>2018</v>
      </c>
      <c r="K251" s="197">
        <f t="shared" si="74"/>
        <v>43337</v>
      </c>
      <c r="L251" s="437">
        <f t="shared" si="75"/>
        <v>1.7069603743207207E-3</v>
      </c>
      <c r="M251" s="856"/>
      <c r="N251" s="856"/>
      <c r="O251" s="324">
        <f t="shared" si="76"/>
        <v>5.0481218679331369E-3</v>
      </c>
      <c r="P251" s="169">
        <f>(INDEX(Models!$BJ251:$BT251,,T251)*(1-R251)+INDEX(Models!$BJ251:$BT251,,T251+1)*R251-ERP_i)*Q251*Ramure*Pc/MaxiM</f>
        <v>3.2850420968264019E-6</v>
      </c>
      <c r="Q251" s="305">
        <f t="shared" si="77"/>
        <v>0.5</v>
      </c>
      <c r="R251" s="177">
        <f t="shared" si="78"/>
        <v>0.47644017368145142</v>
      </c>
      <c r="S251" s="811">
        <f t="shared" si="96"/>
        <v>-2</v>
      </c>
      <c r="T251" s="176">
        <f t="shared" si="79"/>
        <v>4</v>
      </c>
      <c r="U251" s="251">
        <f t="shared" si="80"/>
        <v>-1.5235598263185486</v>
      </c>
      <c r="V251" s="383">
        <f t="shared" si="81"/>
        <v>54.342283483524724</v>
      </c>
      <c r="W251" s="58"/>
      <c r="X251" s="157">
        <f t="shared" si="82"/>
        <v>43337</v>
      </c>
      <c r="Y251" s="385">
        <f t="shared" si="83"/>
        <v>24.291</v>
      </c>
      <c r="Z251" s="385">
        <f t="shared" si="84"/>
        <v>24.332534672492731</v>
      </c>
      <c r="AA251" s="386">
        <f t="shared" si="85"/>
        <v>24.455991497975649</v>
      </c>
      <c r="AB251" s="197">
        <f t="shared" si="86"/>
        <v>43337</v>
      </c>
      <c r="AC251" s="426">
        <f t="shared" si="87"/>
        <v>5.0481218679331369E-3</v>
      </c>
      <c r="AD251" s="169">
        <f>(INDEX(Models!$BJ251:$BT251,,AH251)*(1-AF251)+INDEX(Models!$BJ251:$BT251,,AH251+1)*AF251-ERP_i)*AE251*Ramure*Pc/MaxiM</f>
        <v>3.2850420968264019E-6</v>
      </c>
      <c r="AE251" s="305">
        <f t="shared" si="88"/>
        <v>0.5</v>
      </c>
      <c r="AF251" s="177">
        <f t="shared" si="89"/>
        <v>0.47644017368145142</v>
      </c>
      <c r="AG251" s="811">
        <f t="shared" si="90"/>
        <v>-2</v>
      </c>
      <c r="AH251" s="176">
        <f t="shared" si="91"/>
        <v>4</v>
      </c>
      <c r="AI251" s="225">
        <f t="shared" si="92"/>
        <v>-1.5235598263185486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7">
        <v>54.216000000000001</v>
      </c>
      <c r="C252" s="390"/>
      <c r="D252" s="393">
        <f t="shared" si="97"/>
        <v>54.309892329691301</v>
      </c>
      <c r="E252" s="385">
        <f t="shared" si="102"/>
        <v>54.588848572306659</v>
      </c>
      <c r="F252" s="385">
        <f t="shared" si="101"/>
        <v>54.589001673677714</v>
      </c>
      <c r="G252" s="110">
        <f t="shared" si="103"/>
        <v>1.0010047120290759</v>
      </c>
      <c r="I252" s="380">
        <f t="shared" si="73"/>
        <v>54.589001673677714</v>
      </c>
      <c r="J252" s="85">
        <v>2018</v>
      </c>
      <c r="K252" s="197">
        <f t="shared" si="74"/>
        <v>43338</v>
      </c>
      <c r="L252" s="437">
        <f t="shared" si="75"/>
        <v>1.7288255539400499E-3</v>
      </c>
      <c r="M252" s="856"/>
      <c r="N252" s="856"/>
      <c r="O252" s="324">
        <f t="shared" si="76"/>
        <v>5.1101323788844038E-3</v>
      </c>
      <c r="P252" s="169">
        <f>(INDEX(Models!$BJ252:$BT252,,T252)*(1-R252)+INDEX(Models!$BJ252:$BT252,,T252+1)*R252-ERP_i)*Q252*Ramure*Pc/MaxiM</f>
        <v>2.8046193621932607E-6</v>
      </c>
      <c r="Q252" s="305">
        <f t="shared" si="77"/>
        <v>0.5</v>
      </c>
      <c r="R252" s="177">
        <f t="shared" si="78"/>
        <v>0.47725585968285511</v>
      </c>
      <c r="S252" s="811">
        <f t="shared" si="96"/>
        <v>-2</v>
      </c>
      <c r="T252" s="176">
        <f t="shared" si="79"/>
        <v>4</v>
      </c>
      <c r="U252" s="251">
        <f t="shared" si="80"/>
        <v>-1.5227441403171449</v>
      </c>
      <c r="V252" s="383">
        <f t="shared" si="81"/>
        <v>54.161583205839293</v>
      </c>
      <c r="W252" s="58"/>
      <c r="X252" s="157">
        <f t="shared" si="82"/>
        <v>43338</v>
      </c>
      <c r="Y252" s="385">
        <f t="shared" si="83"/>
        <v>54.216000000000001</v>
      </c>
      <c r="Z252" s="385">
        <f t="shared" si="84"/>
        <v>54.309892329691301</v>
      </c>
      <c r="AA252" s="386">
        <f t="shared" si="85"/>
        <v>54.588848572306659</v>
      </c>
      <c r="AB252" s="197">
        <f t="shared" si="86"/>
        <v>43338</v>
      </c>
      <c r="AC252" s="426">
        <f t="shared" si="87"/>
        <v>5.1101323788844038E-3</v>
      </c>
      <c r="AD252" s="169">
        <f>(INDEX(Models!$BJ252:$BT252,,AH252)*(1-AF252)+INDEX(Models!$BJ252:$BT252,,AH252+1)*AF252-ERP_i)*AE252*Ramure*Pc/MaxiM</f>
        <v>2.8046193621932607E-6</v>
      </c>
      <c r="AE252" s="305">
        <f t="shared" si="88"/>
        <v>0.5</v>
      </c>
      <c r="AF252" s="177">
        <f t="shared" si="89"/>
        <v>0.47725585968285511</v>
      </c>
      <c r="AG252" s="811">
        <f t="shared" si="90"/>
        <v>-2</v>
      </c>
      <c r="AH252" s="176">
        <f t="shared" si="91"/>
        <v>4</v>
      </c>
      <c r="AI252" s="225">
        <f t="shared" si="92"/>
        <v>-1.5227441403171449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7">
        <v>51.69</v>
      </c>
      <c r="C253" s="390"/>
      <c r="D253" s="393">
        <f t="shared" si="97"/>
        <v>51.78065188263065</v>
      </c>
      <c r="E253" s="385">
        <f t="shared" si="102"/>
        <v>52.049856663363094</v>
      </c>
      <c r="F253" s="385">
        <f t="shared" si="101"/>
        <v>52.049973436944512</v>
      </c>
      <c r="G253" s="110">
        <f t="shared" si="103"/>
        <v>0.95761601208722447</v>
      </c>
      <c r="I253" s="380">
        <f t="shared" si="73"/>
        <v>52.049973436944512</v>
      </c>
      <c r="J253" s="85">
        <v>2018</v>
      </c>
      <c r="K253" s="197">
        <f t="shared" si="74"/>
        <v>43339</v>
      </c>
      <c r="L253" s="437">
        <f t="shared" si="75"/>
        <v>1.7506902546559067E-3</v>
      </c>
      <c r="M253" s="856"/>
      <c r="N253" s="856"/>
      <c r="O253" s="324">
        <f t="shared" si="76"/>
        <v>5.1720561398189997E-3</v>
      </c>
      <c r="P253" s="169">
        <f>(INDEX(Models!$BJ253:$BT253,,T253)*(1-R253)+INDEX(Models!$BJ253:$BT253,,T253+1)*R253-ERP_i)*Q253*Ramure*Pc/MaxiM</f>
        <v>2.3880843213202371E-6</v>
      </c>
      <c r="Q253" s="305">
        <f t="shared" si="77"/>
        <v>0.5</v>
      </c>
      <c r="R253" s="177">
        <f t="shared" si="78"/>
        <v>0.47804131651810233</v>
      </c>
      <c r="S253" s="811">
        <f t="shared" si="96"/>
        <v>-2</v>
      </c>
      <c r="T253" s="176">
        <f t="shared" si="79"/>
        <v>4</v>
      </c>
      <c r="U253" s="251">
        <f t="shared" si="80"/>
        <v>-1.5219586834818977</v>
      </c>
      <c r="V253" s="383">
        <f t="shared" si="81"/>
        <v>53.977786370996043</v>
      </c>
      <c r="W253" s="58"/>
      <c r="X253" s="157">
        <f t="shared" si="82"/>
        <v>43339</v>
      </c>
      <c r="Y253" s="385">
        <f t="shared" si="83"/>
        <v>51.69</v>
      </c>
      <c r="Z253" s="385">
        <f t="shared" si="84"/>
        <v>51.78065188263065</v>
      </c>
      <c r="AA253" s="386">
        <f t="shared" si="85"/>
        <v>52.049856663363094</v>
      </c>
      <c r="AB253" s="197">
        <f t="shared" si="86"/>
        <v>43339</v>
      </c>
      <c r="AC253" s="426">
        <f t="shared" si="87"/>
        <v>5.1720561398189997E-3</v>
      </c>
      <c r="AD253" s="169">
        <f>(INDEX(Models!$BJ253:$BT253,,AH253)*(1-AF253)+INDEX(Models!$BJ253:$BT253,,AH253+1)*AF253-ERP_i)*AE253*Ramure*Pc/MaxiM</f>
        <v>2.3880843213202371E-6</v>
      </c>
      <c r="AE253" s="305">
        <f t="shared" si="88"/>
        <v>0.5</v>
      </c>
      <c r="AF253" s="177">
        <f t="shared" si="89"/>
        <v>0.47804131651810233</v>
      </c>
      <c r="AG253" s="811">
        <f t="shared" si="90"/>
        <v>-2</v>
      </c>
      <c r="AH253" s="176">
        <f t="shared" si="91"/>
        <v>4</v>
      </c>
      <c r="AI253" s="225">
        <f t="shared" si="92"/>
        <v>-1.5219586834818977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7">
        <v>42.238</v>
      </c>
      <c r="C254" s="390"/>
      <c r="D254" s="393">
        <f t="shared" si="97"/>
        <v>42.313002101287886</v>
      </c>
      <c r="E254" s="385">
        <f t="shared" si="102"/>
        <v>42.535628976882002</v>
      </c>
      <c r="F254" s="385">
        <f t="shared" si="101"/>
        <v>42.53568926066756</v>
      </c>
      <c r="G254" s="110">
        <f t="shared" si="103"/>
        <v>0.78523780878732108</v>
      </c>
      <c r="I254" s="380">
        <f t="shared" si="73"/>
        <v>42.53568926066756</v>
      </c>
      <c r="J254" s="85">
        <v>2018</v>
      </c>
      <c r="K254" s="197">
        <f t="shared" si="74"/>
        <v>43340</v>
      </c>
      <c r="L254" s="437">
        <f t="shared" si="75"/>
        <v>1.7725544764786161E-3</v>
      </c>
      <c r="M254" s="856"/>
      <c r="N254" s="856"/>
      <c r="O254" s="324">
        <f t="shared" si="76"/>
        <v>5.2338917032381032E-3</v>
      </c>
      <c r="P254" s="169">
        <f>(INDEX(Models!$BJ254:$BT254,,T254)*(1-R254)+INDEX(Models!$BJ254:$BT254,,T254+1)*R254-ERP_i)*Q254*Ramure*Pc/MaxiM</f>
        <v>2.0445136195137281E-6</v>
      </c>
      <c r="Q254" s="305">
        <f t="shared" si="77"/>
        <v>0.5</v>
      </c>
      <c r="R254" s="177">
        <f t="shared" si="78"/>
        <v>0.47879756697066211</v>
      </c>
      <c r="S254" s="811">
        <f t="shared" si="96"/>
        <v>-2</v>
      </c>
      <c r="T254" s="176">
        <f t="shared" si="79"/>
        <v>4</v>
      </c>
      <c r="U254" s="251">
        <f t="shared" si="80"/>
        <v>-1.5212024330293379</v>
      </c>
      <c r="V254" s="383">
        <f t="shared" si="81"/>
        <v>53.790040460368473</v>
      </c>
      <c r="W254" s="58"/>
      <c r="X254" s="157">
        <f t="shared" si="82"/>
        <v>43340</v>
      </c>
      <c r="Y254" s="385">
        <f t="shared" si="83"/>
        <v>42.238</v>
      </c>
      <c r="Z254" s="385">
        <f t="shared" si="84"/>
        <v>42.313002101287886</v>
      </c>
      <c r="AA254" s="386">
        <f t="shared" si="85"/>
        <v>42.535628976882002</v>
      </c>
      <c r="AB254" s="197">
        <f t="shared" si="86"/>
        <v>43340</v>
      </c>
      <c r="AC254" s="426">
        <f t="shared" si="87"/>
        <v>5.2338917032381032E-3</v>
      </c>
      <c r="AD254" s="169">
        <f>(INDEX(Models!$BJ254:$BT254,,AH254)*(1-AF254)+INDEX(Models!$BJ254:$BT254,,AH254+1)*AF254-ERP_i)*AE254*Ramure*Pc/MaxiM</f>
        <v>2.0445136195137281E-6</v>
      </c>
      <c r="AE254" s="305">
        <f t="shared" si="88"/>
        <v>0.5</v>
      </c>
      <c r="AF254" s="177">
        <f t="shared" si="89"/>
        <v>0.47879756697066211</v>
      </c>
      <c r="AG254" s="811">
        <f t="shared" si="90"/>
        <v>-2</v>
      </c>
      <c r="AH254" s="176">
        <f t="shared" si="91"/>
        <v>4</v>
      </c>
      <c r="AI254" s="225">
        <f t="shared" si="92"/>
        <v>-1.5212024330293379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7">
        <v>36.993000000000002</v>
      </c>
      <c r="C255" s="390"/>
      <c r="D255" s="393">
        <f t="shared" si="97"/>
        <v>37.059500242437586</v>
      </c>
      <c r="E255" s="385">
        <f t="shared" si="102"/>
        <v>37.256798745163891</v>
      </c>
      <c r="F255" s="385">
        <f t="shared" si="101"/>
        <v>37.256834714777483</v>
      </c>
      <c r="G255" s="110">
        <f t="shared" si="103"/>
        <v>0.6901996252786069</v>
      </c>
      <c r="I255" s="380">
        <f t="shared" si="73"/>
        <v>37.256834714777483</v>
      </c>
      <c r="J255" s="85">
        <v>2018</v>
      </c>
      <c r="K255" s="197">
        <f t="shared" si="74"/>
        <v>43341</v>
      </c>
      <c r="L255" s="437">
        <f t="shared" si="75"/>
        <v>1.7944182194188363E-3</v>
      </c>
      <c r="M255" s="856"/>
      <c r="N255" s="856"/>
      <c r="O255" s="324">
        <f t="shared" si="76"/>
        <v>5.2956375580152232E-3</v>
      </c>
      <c r="P255" s="169">
        <f>(INDEX(Models!$BJ255:$BT255,,T255)*(1-R255)+INDEX(Models!$BJ255:$BT255,,T255+1)*R255-ERP_i)*Q255*Ramure*Pc/MaxiM</f>
        <v>1.7319702202972993E-6</v>
      </c>
      <c r="Q255" s="305">
        <f t="shared" si="77"/>
        <v>0.5</v>
      </c>
      <c r="R255" s="177">
        <f t="shared" si="78"/>
        <v>0.47952560667295674</v>
      </c>
      <c r="S255" s="811">
        <f t="shared" si="96"/>
        <v>-2</v>
      </c>
      <c r="T255" s="176">
        <f t="shared" si="79"/>
        <v>4</v>
      </c>
      <c r="U255" s="251">
        <f t="shared" si="80"/>
        <v>-1.5204743933270433</v>
      </c>
      <c r="V255" s="383">
        <f t="shared" si="81"/>
        <v>53.597495984092987</v>
      </c>
      <c r="W255" s="58"/>
      <c r="X255" s="157">
        <f t="shared" si="82"/>
        <v>43341</v>
      </c>
      <c r="Y255" s="385">
        <f t="shared" si="83"/>
        <v>36.993000000000002</v>
      </c>
      <c r="Z255" s="385">
        <f t="shared" si="84"/>
        <v>37.059500242437586</v>
      </c>
      <c r="AA255" s="386">
        <f t="shared" si="85"/>
        <v>37.256798745163891</v>
      </c>
      <c r="AB255" s="197">
        <f t="shared" si="86"/>
        <v>43341</v>
      </c>
      <c r="AC255" s="426">
        <f t="shared" si="87"/>
        <v>5.2956375580152232E-3</v>
      </c>
      <c r="AD255" s="169">
        <f>(INDEX(Models!$BJ255:$BT255,,AH255)*(1-AF255)+INDEX(Models!$BJ255:$BT255,,AH255+1)*AF255-ERP_i)*AE255*Ramure*Pc/MaxiM</f>
        <v>1.7319702202972993E-6</v>
      </c>
      <c r="AE255" s="305">
        <f t="shared" si="88"/>
        <v>0.5</v>
      </c>
      <c r="AF255" s="177">
        <f t="shared" si="89"/>
        <v>0.47952560667295674</v>
      </c>
      <c r="AG255" s="811">
        <f t="shared" si="90"/>
        <v>-2</v>
      </c>
      <c r="AH255" s="176">
        <f t="shared" si="91"/>
        <v>4</v>
      </c>
      <c r="AI255" s="225">
        <f t="shared" si="92"/>
        <v>-1.5204743933270433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7">
        <v>44.899000000000001</v>
      </c>
      <c r="C256" s="390"/>
      <c r="D256" s="393">
        <f t="shared" si="97"/>
        <v>44.980697608180058</v>
      </c>
      <c r="E256" s="385">
        <f t="shared" si="102"/>
        <v>45.222970270745314</v>
      </c>
      <c r="F256" s="385">
        <f t="shared" si="101"/>
        <v>45.223020963545331</v>
      </c>
      <c r="G256" s="110">
        <f t="shared" si="103"/>
        <v>0.84081596523988489</v>
      </c>
      <c r="I256" s="380">
        <f t="shared" si="73"/>
        <v>45.223020963545331</v>
      </c>
      <c r="J256" s="85">
        <v>2018</v>
      </c>
      <c r="K256" s="197">
        <f t="shared" si="74"/>
        <v>43342</v>
      </c>
      <c r="L256" s="437">
        <f t="shared" si="75"/>
        <v>1.8162814834868923E-3</v>
      </c>
      <c r="M256" s="856"/>
      <c r="N256" s="856"/>
      <c r="O256" s="324">
        <f t="shared" si="76"/>
        <v>5.3572921264303016E-3</v>
      </c>
      <c r="P256" s="169">
        <f>(INDEX(Models!$BJ256:$BT256,,T256)*(1-R256)+INDEX(Models!$BJ256:$BT256,,T256+1)*R256-ERP_i)*Q256*Ramure*Pc/MaxiM</f>
        <v>1.4508917896442439E-6</v>
      </c>
      <c r="Q256" s="305">
        <f t="shared" si="77"/>
        <v>0.5</v>
      </c>
      <c r="R256" s="177">
        <f t="shared" si="78"/>
        <v>0.48022640423413154</v>
      </c>
      <c r="S256" s="811">
        <f t="shared" si="96"/>
        <v>-2</v>
      </c>
      <c r="T256" s="176">
        <f t="shared" si="79"/>
        <v>4</v>
      </c>
      <c r="U256" s="251">
        <f t="shared" si="80"/>
        <v>-1.5197735957658685</v>
      </c>
      <c r="V256" s="383">
        <f t="shared" si="81"/>
        <v>53.399301443059031</v>
      </c>
      <c r="W256" s="58"/>
      <c r="X256" s="157">
        <f t="shared" si="82"/>
        <v>43342</v>
      </c>
      <c r="Y256" s="385">
        <f t="shared" si="83"/>
        <v>44.899000000000001</v>
      </c>
      <c r="Z256" s="385">
        <f t="shared" si="84"/>
        <v>44.980697608180058</v>
      </c>
      <c r="AA256" s="386">
        <f t="shared" si="85"/>
        <v>45.222970270745314</v>
      </c>
      <c r="AB256" s="197">
        <f t="shared" si="86"/>
        <v>43342</v>
      </c>
      <c r="AC256" s="426">
        <f t="shared" si="87"/>
        <v>5.3572921264303016E-3</v>
      </c>
      <c r="AD256" s="169">
        <f>(INDEX(Models!$BJ256:$BT256,,AH256)*(1-AF256)+INDEX(Models!$BJ256:$BT256,,AH256+1)*AF256-ERP_i)*AE256*Ramure*Pc/MaxiM</f>
        <v>1.4508917896442439E-6</v>
      </c>
      <c r="AE256" s="305">
        <f t="shared" si="88"/>
        <v>0.5</v>
      </c>
      <c r="AF256" s="177">
        <f t="shared" si="89"/>
        <v>0.48022640423413154</v>
      </c>
      <c r="AG256" s="811">
        <f t="shared" si="90"/>
        <v>-2</v>
      </c>
      <c r="AH256" s="176">
        <f t="shared" si="91"/>
        <v>4</v>
      </c>
      <c r="AI256" s="225">
        <f t="shared" si="92"/>
        <v>-1.5197735957658685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7">
        <v>46.54</v>
      </c>
      <c r="C257" s="390"/>
      <c r="D257" s="393">
        <f t="shared" si="97"/>
        <v>46.625704772000439</v>
      </c>
      <c r="E257" s="385">
        <f t="shared" si="102"/>
        <v>46.879739223192949</v>
      </c>
      <c r="F257" s="385">
        <f t="shared" si="101"/>
        <v>46.879785490908496</v>
      </c>
      <c r="G257" s="110">
        <f t="shared" si="103"/>
        <v>0.87490055536974121</v>
      </c>
      <c r="I257" s="380">
        <f t="shared" si="73"/>
        <v>46.879785490908496</v>
      </c>
      <c r="J257" s="85">
        <v>2018</v>
      </c>
      <c r="K257" s="197">
        <f t="shared" si="74"/>
        <v>43343</v>
      </c>
      <c r="L257" s="437">
        <f t="shared" si="75"/>
        <v>1.8381442686933314E-3</v>
      </c>
      <c r="M257" s="856"/>
      <c r="N257" s="856"/>
      <c r="O257" s="324">
        <f t="shared" si="76"/>
        <v>5.4188537607485661E-3</v>
      </c>
      <c r="P257" s="169">
        <f>(INDEX(Models!$BJ257:$BT257,,T257)*(1-R257)+INDEX(Models!$BJ257:$BT257,,T257+1)*R257-ERP_i)*Q257*Ramure*Pc/MaxiM</f>
        <v>1.2017042882940906E-6</v>
      </c>
      <c r="Q257" s="305">
        <f t="shared" si="77"/>
        <v>0.5</v>
      </c>
      <c r="R257" s="177">
        <f t="shared" si="78"/>
        <v>0.48090090142383168</v>
      </c>
      <c r="S257" s="811">
        <f t="shared" si="96"/>
        <v>-2</v>
      </c>
      <c r="T257" s="176">
        <f t="shared" si="79"/>
        <v>4</v>
      </c>
      <c r="U257" s="251">
        <f t="shared" si="80"/>
        <v>-1.5190990985761683</v>
      </c>
      <c r="V257" s="383">
        <f t="shared" si="81"/>
        <v>53.194605626202474</v>
      </c>
      <c r="W257" s="58"/>
      <c r="X257" s="157">
        <f t="shared" si="82"/>
        <v>43343</v>
      </c>
      <c r="Y257" s="385">
        <f t="shared" si="83"/>
        <v>46.54</v>
      </c>
      <c r="Z257" s="385">
        <f t="shared" si="84"/>
        <v>46.625704772000439</v>
      </c>
      <c r="AA257" s="386">
        <f t="shared" si="85"/>
        <v>46.879739223192949</v>
      </c>
      <c r="AB257" s="197">
        <f t="shared" si="86"/>
        <v>43343</v>
      </c>
      <c r="AC257" s="426">
        <f t="shared" si="87"/>
        <v>5.4188537607485661E-3</v>
      </c>
      <c r="AD257" s="169">
        <f>(INDEX(Models!$BJ257:$BT257,,AH257)*(1-AF257)+INDEX(Models!$BJ257:$BT257,,AH257+1)*AF257-ERP_i)*AE257*Ramure*Pc/MaxiM</f>
        <v>1.2017042882940906E-6</v>
      </c>
      <c r="AE257" s="305">
        <f t="shared" si="88"/>
        <v>0.5</v>
      </c>
      <c r="AF257" s="177">
        <f t="shared" si="89"/>
        <v>0.48090090142383168</v>
      </c>
      <c r="AG257" s="811">
        <f t="shared" si="90"/>
        <v>-2</v>
      </c>
      <c r="AH257" s="176">
        <f t="shared" si="91"/>
        <v>4</v>
      </c>
      <c r="AI257" s="225">
        <f t="shared" si="92"/>
        <v>-1.5190990985761683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7">
        <v>53.082999999999998</v>
      </c>
      <c r="C258" s="390"/>
      <c r="D258" s="393">
        <f t="shared" si="97"/>
        <v>53.181918718490103</v>
      </c>
      <c r="E258" s="385">
        <f t="shared" si="102"/>
        <v>53.474978753591387</v>
      </c>
      <c r="F258" s="385">
        <f t="shared" si="101"/>
        <v>53.475031417285187</v>
      </c>
      <c r="G258" s="110">
        <f t="shared" si="103"/>
        <v>1.0018957634004628</v>
      </c>
      <c r="I258" s="380">
        <f t="shared" si="73"/>
        <v>53.475031417285187</v>
      </c>
      <c r="J258" s="85">
        <v>2018</v>
      </c>
      <c r="K258" s="197">
        <f t="shared" si="74"/>
        <v>43344</v>
      </c>
      <c r="L258" s="437">
        <f t="shared" si="75"/>
        <v>1.8600065750488115E-3</v>
      </c>
      <c r="M258" s="856"/>
      <c r="N258" s="856"/>
      <c r="O258" s="324">
        <f t="shared" si="76"/>
        <v>5.4803207393813698E-3</v>
      </c>
      <c r="P258" s="169">
        <f>(INDEX(Models!$BJ258:$BT258,,T258)*(1-R258)+INDEX(Models!$BJ258:$BT258,,T258+1)*R258-ERP_i)*Q258*Ramure*Pc/MaxiM</f>
        <v>9.8482772993118269E-7</v>
      </c>
      <c r="Q258" s="305">
        <f t="shared" si="77"/>
        <v>0.5</v>
      </c>
      <c r="R258" s="177">
        <f t="shared" si="78"/>
        <v>0.4815500134064532</v>
      </c>
      <c r="S258" s="811">
        <f t="shared" si="96"/>
        <v>-2</v>
      </c>
      <c r="T258" s="176">
        <f t="shared" si="79"/>
        <v>4</v>
      </c>
      <c r="U258" s="251">
        <f t="shared" si="80"/>
        <v>-1.5184499865935468</v>
      </c>
      <c r="V258" s="383">
        <f t="shared" si="81"/>
        <v>52.982557606426823</v>
      </c>
      <c r="W258" s="58"/>
      <c r="X258" s="157">
        <f t="shared" si="82"/>
        <v>43344</v>
      </c>
      <c r="Y258" s="385">
        <f t="shared" si="83"/>
        <v>53.082999999999998</v>
      </c>
      <c r="Z258" s="385">
        <f t="shared" si="84"/>
        <v>53.181918718490103</v>
      </c>
      <c r="AA258" s="386">
        <f t="shared" si="85"/>
        <v>53.474978753591387</v>
      </c>
      <c r="AB258" s="197">
        <f t="shared" si="86"/>
        <v>43344</v>
      </c>
      <c r="AC258" s="426">
        <f t="shared" si="87"/>
        <v>5.4803207393813698E-3</v>
      </c>
      <c r="AD258" s="169">
        <f>(INDEX(Models!$BJ258:$BT258,,AH258)*(1-AF258)+INDEX(Models!$BJ258:$BT258,,AH258+1)*AF258-ERP_i)*AE258*Ramure*Pc/MaxiM</f>
        <v>9.8482772993118269E-7</v>
      </c>
      <c r="AE258" s="305">
        <f t="shared" si="88"/>
        <v>0.5</v>
      </c>
      <c r="AF258" s="177">
        <f t="shared" si="89"/>
        <v>0.4815500134064532</v>
      </c>
      <c r="AG258" s="811">
        <f t="shared" si="90"/>
        <v>-2</v>
      </c>
      <c r="AH258" s="176">
        <f t="shared" si="91"/>
        <v>4</v>
      </c>
      <c r="AI258" s="225">
        <f t="shared" si="92"/>
        <v>-1.5184499865935468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7">
        <v>50.27</v>
      </c>
      <c r="C259" s="390"/>
      <c r="D259" s="393">
        <f t="shared" si="97"/>
        <v>50.364779887873063</v>
      </c>
      <c r="E259" s="385">
        <f t="shared" si="102"/>
        <v>50.645441287349662</v>
      </c>
      <c r="F259" s="385">
        <f t="shared" si="101"/>
        <v>50.645479101874479</v>
      </c>
      <c r="G259" s="110">
        <f t="shared" si="103"/>
        <v>0.95276344773702315</v>
      </c>
      <c r="I259" s="380">
        <f t="shared" si="73"/>
        <v>50.645479101874479</v>
      </c>
      <c r="J259" s="85">
        <v>2018</v>
      </c>
      <c r="K259" s="197">
        <f t="shared" si="74"/>
        <v>43345</v>
      </c>
      <c r="L259" s="437">
        <f t="shared" si="75"/>
        <v>1.8818684025635468E-3</v>
      </c>
      <c r="M259" s="856"/>
      <c r="N259" s="856"/>
      <c r="O259" s="324">
        <f t="shared" si="76"/>
        <v>5.5416912626784793E-3</v>
      </c>
      <c r="P259" s="169">
        <f>(INDEX(Models!$BJ259:$BT259,,T259)*(1-R259)+INDEX(Models!$BJ259:$BT259,,T259+1)*R259-ERP_i)*Q259*Ramure*Pc/MaxiM</f>
        <v>8.0068214073209759E-7</v>
      </c>
      <c r="Q259" s="305">
        <f t="shared" si="77"/>
        <v>0.5</v>
      </c>
      <c r="R259" s="177">
        <f t="shared" si="78"/>
        <v>0.48217462902065966</v>
      </c>
      <c r="S259" s="811">
        <f t="shared" si="96"/>
        <v>-2</v>
      </c>
      <c r="T259" s="176">
        <f t="shared" si="79"/>
        <v>4</v>
      </c>
      <c r="U259" s="251">
        <f t="shared" si="80"/>
        <v>-1.5178253709793403</v>
      </c>
      <c r="V259" s="383">
        <f t="shared" si="81"/>
        <v>52.762306743903132</v>
      </c>
      <c r="W259" s="58"/>
      <c r="X259" s="157">
        <f t="shared" si="82"/>
        <v>43345</v>
      </c>
      <c r="Y259" s="385">
        <f t="shared" si="83"/>
        <v>50.27</v>
      </c>
      <c r="Z259" s="385">
        <f t="shared" si="84"/>
        <v>50.364779887873063</v>
      </c>
      <c r="AA259" s="386">
        <f t="shared" si="85"/>
        <v>50.645441287349662</v>
      </c>
      <c r="AB259" s="197">
        <f t="shared" si="86"/>
        <v>43345</v>
      </c>
      <c r="AC259" s="426">
        <f t="shared" si="87"/>
        <v>5.5416912626784793E-3</v>
      </c>
      <c r="AD259" s="169">
        <f>(INDEX(Models!$BJ259:$BT259,,AH259)*(1-AF259)+INDEX(Models!$BJ259:$BT259,,AH259+1)*AF259-ERP_i)*AE259*Ramure*Pc/MaxiM</f>
        <v>8.0068214073209759E-7</v>
      </c>
      <c r="AE259" s="305">
        <f t="shared" si="88"/>
        <v>0.5</v>
      </c>
      <c r="AF259" s="177">
        <f t="shared" si="89"/>
        <v>0.48217462902065966</v>
      </c>
      <c r="AG259" s="811">
        <f t="shared" si="90"/>
        <v>-2</v>
      </c>
      <c r="AH259" s="176">
        <f t="shared" si="91"/>
        <v>4</v>
      </c>
      <c r="AI259" s="225">
        <f t="shared" si="92"/>
        <v>-1.5178253709793403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7">
        <v>50.969000000000001</v>
      </c>
      <c r="C260" s="390"/>
      <c r="D260" s="393">
        <f t="shared" si="97"/>
        <v>51.066216275206784</v>
      </c>
      <c r="E260" s="385">
        <f t="shared" si="102"/>
        <v>51.353950583256378</v>
      </c>
      <c r="F260" s="385">
        <f t="shared" si="101"/>
        <v>51.35398252859234</v>
      </c>
      <c r="G260" s="110">
        <f t="shared" si="103"/>
        <v>0.97022816122163658</v>
      </c>
      <c r="I260" s="380">
        <f t="shared" si="73"/>
        <v>51.35398252859234</v>
      </c>
      <c r="J260" s="85">
        <v>2018</v>
      </c>
      <c r="K260" s="197">
        <f t="shared" si="74"/>
        <v>43346</v>
      </c>
      <c r="L260" s="437">
        <f t="shared" si="75"/>
        <v>1.9037297512481954E-3</v>
      </c>
      <c r="M260" s="856"/>
      <c r="N260" s="856"/>
      <c r="O260" s="324">
        <f t="shared" si="76"/>
        <v>5.6029634484130141E-3</v>
      </c>
      <c r="P260" s="169">
        <f>(INDEX(Models!$BJ260:$BT260,,T260)*(1-R260)+INDEX(Models!$BJ260:$BT260,,T260+1)*R260-ERP_i)*Q260*Ramure*Pc/MaxiM</f>
        <v>6.4969373914490431E-7</v>
      </c>
      <c r="Q260" s="305">
        <f t="shared" si="77"/>
        <v>0.5</v>
      </c>
      <c r="R260" s="177">
        <f t="shared" si="78"/>
        <v>0.48277561109928513</v>
      </c>
      <c r="S260" s="811">
        <f t="shared" si="96"/>
        <v>-2</v>
      </c>
      <c r="T260" s="176">
        <f t="shared" si="79"/>
        <v>4</v>
      </c>
      <c r="U260" s="251">
        <f t="shared" si="80"/>
        <v>-1.5172243889007149</v>
      </c>
      <c r="V260" s="383">
        <f t="shared" si="81"/>
        <v>52.533002677881292</v>
      </c>
      <c r="W260" s="58"/>
      <c r="X260" s="157">
        <f t="shared" si="82"/>
        <v>43346</v>
      </c>
      <c r="Y260" s="385">
        <f t="shared" si="83"/>
        <v>50.969000000000001</v>
      </c>
      <c r="Z260" s="385">
        <f t="shared" si="84"/>
        <v>51.066216275206784</v>
      </c>
      <c r="AA260" s="386">
        <f t="shared" si="85"/>
        <v>51.353950583256378</v>
      </c>
      <c r="AB260" s="197">
        <f t="shared" si="86"/>
        <v>43346</v>
      </c>
      <c r="AC260" s="426">
        <f t="shared" si="87"/>
        <v>5.6029634484130141E-3</v>
      </c>
      <c r="AD260" s="169">
        <f>(INDEX(Models!$BJ260:$BT260,,AH260)*(1-AF260)+INDEX(Models!$BJ260:$BT260,,AH260+1)*AF260-ERP_i)*AE260*Ramure*Pc/MaxiM</f>
        <v>6.4969373914490431E-7</v>
      </c>
      <c r="AE260" s="305">
        <f t="shared" si="88"/>
        <v>0.5</v>
      </c>
      <c r="AF260" s="177">
        <f t="shared" si="89"/>
        <v>0.48277561109928513</v>
      </c>
      <c r="AG260" s="811">
        <f t="shared" si="90"/>
        <v>-2</v>
      </c>
      <c r="AH260" s="176">
        <f t="shared" si="91"/>
        <v>4</v>
      </c>
      <c r="AI260" s="225">
        <f t="shared" si="92"/>
        <v>-1.5172243889007149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7">
        <v>46.838999999999999</v>
      </c>
      <c r="C261" s="390"/>
      <c r="D261" s="393">
        <f t="shared" si="97"/>
        <v>46.929366748465625</v>
      </c>
      <c r="E261" s="385">
        <f t="shared" si="102"/>
        <v>47.196695217164333</v>
      </c>
      <c r="F261" s="385">
        <f t="shared" ref="F261:F292" si="104">Wh_sa/(1-Pvg*MEDIAN((-Sdif+Wh/Env_an)/Csdif,0,1))</f>
        <v>47.196716595117081</v>
      </c>
      <c r="G261" s="110">
        <f t="shared" si="103"/>
        <v>0.89566868157624735</v>
      </c>
      <c r="I261" s="380">
        <f t="shared" si="73"/>
        <v>47.196716595117081</v>
      </c>
      <c r="J261" s="85">
        <v>2018</v>
      </c>
      <c r="K261" s="197">
        <f t="shared" si="74"/>
        <v>43347</v>
      </c>
      <c r="L261" s="437">
        <f t="shared" si="75"/>
        <v>1.9255906211131935E-3</v>
      </c>
      <c r="M261" s="856"/>
      <c r="N261" s="856"/>
      <c r="O261" s="324">
        <f t="shared" si="76"/>
        <v>5.6641353270319873E-3</v>
      </c>
      <c r="P261" s="169">
        <f>(INDEX(Models!$BJ261:$BT261,,T261)*(1-R261)+INDEX(Models!$BJ261:$BT261,,T261+1)*R261-ERP_i)*Q261*Ramure*Pc/MaxiM</f>
        <v>5.3228906906194883E-7</v>
      </c>
      <c r="Q261" s="305">
        <f t="shared" si="77"/>
        <v>0.5</v>
      </c>
      <c r="R261" s="177">
        <f t="shared" si="78"/>
        <v>0.48335379682504942</v>
      </c>
      <c r="S261" s="811">
        <f t="shared" si="96"/>
        <v>-2</v>
      </c>
      <c r="T261" s="176">
        <f t="shared" si="79"/>
        <v>4</v>
      </c>
      <c r="U261" s="251">
        <f t="shared" si="80"/>
        <v>-1.5166462031749506</v>
      </c>
      <c r="V261" s="383">
        <f t="shared" si="81"/>
        <v>52.295002881650682</v>
      </c>
      <c r="W261" s="58"/>
      <c r="X261" s="157">
        <f t="shared" si="82"/>
        <v>43347</v>
      </c>
      <c r="Y261" s="385">
        <f t="shared" si="83"/>
        <v>46.838999999999999</v>
      </c>
      <c r="Z261" s="385">
        <f t="shared" si="84"/>
        <v>46.929366748465625</v>
      </c>
      <c r="AA261" s="386">
        <f t="shared" si="85"/>
        <v>47.196695217164333</v>
      </c>
      <c r="AB261" s="197">
        <f t="shared" si="86"/>
        <v>43347</v>
      </c>
      <c r="AC261" s="426">
        <f t="shared" si="87"/>
        <v>5.6641353270319873E-3</v>
      </c>
      <c r="AD261" s="169">
        <f>(INDEX(Models!$BJ261:$BT261,,AH261)*(1-AF261)+INDEX(Models!$BJ261:$BT261,,AH261+1)*AF261-ERP_i)*AE261*Ramure*Pc/MaxiM</f>
        <v>5.3228906906194883E-7</v>
      </c>
      <c r="AE261" s="305">
        <f t="shared" si="88"/>
        <v>0.5</v>
      </c>
      <c r="AF261" s="177">
        <f t="shared" si="89"/>
        <v>0.48335379682504942</v>
      </c>
      <c r="AG261" s="811">
        <f t="shared" si="90"/>
        <v>-2</v>
      </c>
      <c r="AH261" s="176">
        <f t="shared" si="91"/>
        <v>4</v>
      </c>
      <c r="AI261" s="225">
        <f t="shared" si="92"/>
        <v>-1.5166462031749506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7">
        <v>42.975000000000001</v>
      </c>
      <c r="C262" s="390"/>
      <c r="D262" s="393">
        <f t="shared" si="97"/>
        <v>43.05885501077357</v>
      </c>
      <c r="E262" s="385">
        <f t="shared" si="102"/>
        <v>43.306795284601378</v>
      </c>
      <c r="F262" s="385">
        <f t="shared" si="104"/>
        <v>43.306810025682772</v>
      </c>
      <c r="G262" s="110">
        <f t="shared" si="103"/>
        <v>0.82565598692124764</v>
      </c>
      <c r="I262" s="380">
        <f t="shared" si="73"/>
        <v>43.306810025682772</v>
      </c>
      <c r="J262" s="85">
        <v>2018</v>
      </c>
      <c r="K262" s="197">
        <f t="shared" si="74"/>
        <v>43348</v>
      </c>
      <c r="L262" s="437">
        <f t="shared" si="75"/>
        <v>1.947451012168977E-3</v>
      </c>
      <c r="M262" s="856"/>
      <c r="N262" s="856"/>
      <c r="O262" s="324">
        <f t="shared" si="76"/>
        <v>5.7252048367560614E-3</v>
      </c>
      <c r="P262" s="169">
        <f>(INDEX(Models!$BJ262:$BT262,,T262)*(1-R262)+INDEX(Models!$BJ262:$BT262,,T262+1)*R262-ERP_i)*Q262*Ramure*Pc/MaxiM</f>
        <v>4.5328306866306777E-7</v>
      </c>
      <c r="Q262" s="305">
        <f t="shared" si="77"/>
        <v>0.5</v>
      </c>
      <c r="R262" s="177">
        <f t="shared" si="78"/>
        <v>0.48390999811782143</v>
      </c>
      <c r="S262" s="811">
        <f t="shared" si="96"/>
        <v>-2</v>
      </c>
      <c r="T262" s="176">
        <f t="shared" si="79"/>
        <v>4</v>
      </c>
      <c r="U262" s="251">
        <f t="shared" si="80"/>
        <v>-1.5160900018821786</v>
      </c>
      <c r="V262" s="383">
        <f t="shared" si="81"/>
        <v>52.049516783065528</v>
      </c>
      <c r="W262" s="58"/>
      <c r="X262" s="157">
        <f t="shared" si="82"/>
        <v>43348</v>
      </c>
      <c r="Y262" s="385">
        <f t="shared" si="83"/>
        <v>42.975000000000001</v>
      </c>
      <c r="Z262" s="385">
        <f t="shared" si="84"/>
        <v>43.05885501077357</v>
      </c>
      <c r="AA262" s="386">
        <f t="shared" si="85"/>
        <v>43.306795284601378</v>
      </c>
      <c r="AB262" s="197">
        <f t="shared" si="86"/>
        <v>43348</v>
      </c>
      <c r="AC262" s="426">
        <f t="shared" si="87"/>
        <v>5.7252048367560614E-3</v>
      </c>
      <c r="AD262" s="169">
        <f>(INDEX(Models!$BJ262:$BT262,,AH262)*(1-AF262)+INDEX(Models!$BJ262:$BT262,,AH262+1)*AF262-ERP_i)*AE262*Ramure*Pc/MaxiM</f>
        <v>4.5328306866306777E-7</v>
      </c>
      <c r="AE262" s="305">
        <f t="shared" si="88"/>
        <v>0.5</v>
      </c>
      <c r="AF262" s="177">
        <f t="shared" si="89"/>
        <v>0.48390999811782143</v>
      </c>
      <c r="AG262" s="811">
        <f t="shared" si="90"/>
        <v>-2</v>
      </c>
      <c r="AH262" s="176">
        <f t="shared" si="91"/>
        <v>4</v>
      </c>
      <c r="AI262" s="225">
        <f t="shared" si="92"/>
        <v>-1.5160900018821786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7">
        <v>30.102</v>
      </c>
      <c r="C263" s="390"/>
      <c r="D263" s="393">
        <f t="shared" si="97"/>
        <v>30.161397168940752</v>
      </c>
      <c r="E263" s="385">
        <f t="shared" si="102"/>
        <v>30.336931808158713</v>
      </c>
      <c r="F263" s="385">
        <f t="shared" si="104"/>
        <v>30.336936516489502</v>
      </c>
      <c r="G263" s="110">
        <f t="shared" si="103"/>
        <v>0.58115350811967337</v>
      </c>
      <c r="I263" s="380">
        <f t="shared" si="73"/>
        <v>30.336936516489502</v>
      </c>
      <c r="J263" s="85">
        <v>2018</v>
      </c>
      <c r="K263" s="197">
        <f t="shared" si="74"/>
        <v>43349</v>
      </c>
      <c r="L263" s="437">
        <f t="shared" si="75"/>
        <v>1.9693109244262041E-3</v>
      </c>
      <c r="M263" s="856"/>
      <c r="N263" s="856"/>
      <c r="O263" s="324">
        <f t="shared" si="76"/>
        <v>5.7861698186220277E-3</v>
      </c>
      <c r="P263" s="169">
        <f>(INDEX(Models!$BJ263:$BT263,,T263)*(1-R263)+INDEX(Models!$BJ263:$BT263,,T263+1)*R263-ERP_i)*Q263*Ramure*Pc/MaxiM</f>
        <v>3.8641107892240789E-7</v>
      </c>
      <c r="Q263" s="305">
        <f t="shared" si="77"/>
        <v>0.5</v>
      </c>
      <c r="R263" s="177">
        <f t="shared" si="78"/>
        <v>0.48444500204945307</v>
      </c>
      <c r="S263" s="811">
        <f t="shared" si="96"/>
        <v>-2</v>
      </c>
      <c r="T263" s="176">
        <f t="shared" si="79"/>
        <v>4</v>
      </c>
      <c r="U263" s="251">
        <f t="shared" si="80"/>
        <v>-1.5155549979505469</v>
      </c>
      <c r="V263" s="383">
        <f t="shared" si="81"/>
        <v>51.796973810785715</v>
      </c>
      <c r="W263" s="58"/>
      <c r="X263" s="157">
        <f t="shared" si="82"/>
        <v>43349</v>
      </c>
      <c r="Y263" s="385">
        <f t="shared" si="83"/>
        <v>30.102</v>
      </c>
      <c r="Z263" s="385">
        <f t="shared" si="84"/>
        <v>30.161397168940752</v>
      </c>
      <c r="AA263" s="386">
        <f t="shared" si="85"/>
        <v>30.336931808158713</v>
      </c>
      <c r="AB263" s="197">
        <f t="shared" si="86"/>
        <v>43349</v>
      </c>
      <c r="AC263" s="426">
        <f t="shared" si="87"/>
        <v>5.7861698186220277E-3</v>
      </c>
      <c r="AD263" s="169">
        <f>(INDEX(Models!$BJ263:$BT263,,AH263)*(1-AF263)+INDEX(Models!$BJ263:$BT263,,AH263+1)*AF263-ERP_i)*AE263*Ramure*Pc/MaxiM</f>
        <v>3.8641107892240789E-7</v>
      </c>
      <c r="AE263" s="305">
        <f t="shared" si="88"/>
        <v>0.5</v>
      </c>
      <c r="AF263" s="177">
        <f t="shared" si="89"/>
        <v>0.48444500204945307</v>
      </c>
      <c r="AG263" s="811">
        <f t="shared" si="90"/>
        <v>-2</v>
      </c>
      <c r="AH263" s="176">
        <f t="shared" si="91"/>
        <v>4</v>
      </c>
      <c r="AI263" s="225">
        <f t="shared" si="92"/>
        <v>-1.5155549979505469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7">
        <v>35.034999999999997</v>
      </c>
      <c r="C264" s="390"/>
      <c r="D264" s="393">
        <f t="shared" si="97"/>
        <v>35.104899835970258</v>
      </c>
      <c r="E264" s="385">
        <f t="shared" si="102"/>
        <v>35.311366384346378</v>
      </c>
      <c r="F264" s="385">
        <f t="shared" si="104"/>
        <v>35.31137274194122</v>
      </c>
      <c r="G264" s="110">
        <f t="shared" si="103"/>
        <v>0.67979218011921161</v>
      </c>
      <c r="I264" s="380">
        <f t="shared" si="73"/>
        <v>35.31137274194122</v>
      </c>
      <c r="J264" s="85">
        <v>2018</v>
      </c>
      <c r="K264" s="197">
        <f t="shared" si="74"/>
        <v>43350</v>
      </c>
      <c r="L264" s="437">
        <f t="shared" si="75"/>
        <v>1.9911703578952E-3</v>
      </c>
      <c r="M264" s="856"/>
      <c r="N264" s="856"/>
      <c r="O264" s="324">
        <f t="shared" si="76"/>
        <v>5.8470280115710043E-3</v>
      </c>
      <c r="P264" s="169">
        <f>(INDEX(Models!$BJ264:$BT264,,T264)*(1-R264)+INDEX(Models!$BJ264:$BT264,,T264+1)*R264-ERP_i)*Q264*Ramure*Pc/MaxiM</f>
        <v>3.3184108133422294E-7</v>
      </c>
      <c r="Q264" s="305">
        <f t="shared" si="77"/>
        <v>0.5</v>
      </c>
      <c r="R264" s="177">
        <f t="shared" si="78"/>
        <v>0.48495957128249056</v>
      </c>
      <c r="S264" s="811">
        <f t="shared" si="96"/>
        <v>-2</v>
      </c>
      <c r="T264" s="176">
        <f t="shared" si="79"/>
        <v>4</v>
      </c>
      <c r="U264" s="251">
        <f t="shared" si="80"/>
        <v>-1.5150404287175094</v>
      </c>
      <c r="V264" s="383">
        <f t="shared" si="81"/>
        <v>51.537801855323615</v>
      </c>
      <c r="W264" s="58"/>
      <c r="X264" s="157">
        <f t="shared" si="82"/>
        <v>43350</v>
      </c>
      <c r="Y264" s="385">
        <f t="shared" si="83"/>
        <v>35.034999999999997</v>
      </c>
      <c r="Z264" s="385">
        <f t="shared" si="84"/>
        <v>35.104899835970258</v>
      </c>
      <c r="AA264" s="386">
        <f t="shared" si="85"/>
        <v>35.311366384346378</v>
      </c>
      <c r="AB264" s="197">
        <f t="shared" si="86"/>
        <v>43350</v>
      </c>
      <c r="AC264" s="426">
        <f t="shared" si="87"/>
        <v>5.8470280115710043E-3</v>
      </c>
      <c r="AD264" s="169">
        <f>(INDEX(Models!$BJ264:$BT264,,AH264)*(1-AF264)+INDEX(Models!$BJ264:$BT264,,AH264+1)*AF264-ERP_i)*AE264*Ramure*Pc/MaxiM</f>
        <v>3.3184108133422294E-7</v>
      </c>
      <c r="AE264" s="305">
        <f t="shared" si="88"/>
        <v>0.5</v>
      </c>
      <c r="AF264" s="177">
        <f t="shared" si="89"/>
        <v>0.48495957128249056</v>
      </c>
      <c r="AG264" s="811">
        <f t="shared" si="90"/>
        <v>-2</v>
      </c>
      <c r="AH264" s="176">
        <f t="shared" si="91"/>
        <v>4</v>
      </c>
      <c r="AI264" s="225">
        <f t="shared" si="92"/>
        <v>-1.5150404287175094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7">
        <v>48.805999999999997</v>
      </c>
      <c r="C265" s="390"/>
      <c r="D265" s="393">
        <f t="shared" si="97"/>
        <v>48.904446083481851</v>
      </c>
      <c r="E265" s="385">
        <f t="shared" si="102"/>
        <v>49.19507964587315</v>
      </c>
      <c r="F265" s="385">
        <f t="shared" si="104"/>
        <v>49.195092920557293</v>
      </c>
      <c r="G265" s="110">
        <f t="shared" si="103"/>
        <v>0.95189559563600046</v>
      </c>
      <c r="I265" s="380">
        <f t="shared" si="73"/>
        <v>49.195092920557293</v>
      </c>
      <c r="J265" s="85">
        <v>2018</v>
      </c>
      <c r="K265" s="197">
        <f t="shared" si="74"/>
        <v>43351</v>
      </c>
      <c r="L265" s="437">
        <f t="shared" si="75"/>
        <v>2.0130293125865117E-3</v>
      </c>
      <c r="M265" s="856"/>
      <c r="N265" s="856"/>
      <c r="O265" s="324">
        <f t="shared" si="76"/>
        <v>5.9077770476926219E-3</v>
      </c>
      <c r="P265" s="169">
        <f>(INDEX(Models!$BJ265:$BT265,,T265)*(1-R265)+INDEX(Models!$BJ265:$BT265,,T265+1)*R265-ERP_i)*Q265*Ramure*Pc/MaxiM</f>
        <v>2.8974929740596653E-7</v>
      </c>
      <c r="Q265" s="305">
        <f t="shared" si="77"/>
        <v>0.5</v>
      </c>
      <c r="R265" s="177">
        <f t="shared" si="78"/>
        <v>0.4854544445293365</v>
      </c>
      <c r="S265" s="811">
        <f t="shared" si="96"/>
        <v>-2</v>
      </c>
      <c r="T265" s="176">
        <f t="shared" si="79"/>
        <v>4</v>
      </c>
      <c r="U265" s="251">
        <f t="shared" si="80"/>
        <v>-1.5145455554706635</v>
      </c>
      <c r="V265" s="383">
        <f t="shared" si="81"/>
        <v>51.272428669636284</v>
      </c>
      <c r="W265" s="58"/>
      <c r="X265" s="157">
        <f t="shared" si="82"/>
        <v>43351</v>
      </c>
      <c r="Y265" s="385">
        <f t="shared" si="83"/>
        <v>48.805999999999997</v>
      </c>
      <c r="Z265" s="385">
        <f t="shared" si="84"/>
        <v>48.904446083481851</v>
      </c>
      <c r="AA265" s="386">
        <f t="shared" si="85"/>
        <v>49.19507964587315</v>
      </c>
      <c r="AB265" s="197">
        <f t="shared" si="86"/>
        <v>43351</v>
      </c>
      <c r="AC265" s="426">
        <f t="shared" si="87"/>
        <v>5.9077770476926219E-3</v>
      </c>
      <c r="AD265" s="169">
        <f>(INDEX(Models!$BJ265:$BT265,,AH265)*(1-AF265)+INDEX(Models!$BJ265:$BT265,,AH265+1)*AF265-ERP_i)*AE265*Ramure*Pc/MaxiM</f>
        <v>2.8974929740596653E-7</v>
      </c>
      <c r="AE265" s="305">
        <f t="shared" si="88"/>
        <v>0.5</v>
      </c>
      <c r="AF265" s="177">
        <f t="shared" si="89"/>
        <v>0.4854544445293365</v>
      </c>
      <c r="AG265" s="811">
        <f t="shared" si="90"/>
        <v>-2</v>
      </c>
      <c r="AH265" s="176">
        <f t="shared" si="91"/>
        <v>4</v>
      </c>
      <c r="AI265" s="225">
        <f t="shared" si="92"/>
        <v>-1.5145455554706635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7">
        <v>34.878999999999998</v>
      </c>
      <c r="C266" s="390"/>
      <c r="D266" s="393">
        <f t="shared" si="97"/>
        <v>34.950119571523075</v>
      </c>
      <c r="E266" s="385">
        <f t="shared" si="102"/>
        <v>35.159968837515088</v>
      </c>
      <c r="F266" s="385">
        <f t="shared" si="104"/>
        <v>35.159973856989183</v>
      </c>
      <c r="G266" s="110">
        <f t="shared" si="103"/>
        <v>0.68388469127881668</v>
      </c>
      <c r="I266" s="380">
        <f t="shared" si="73"/>
        <v>35.159973856989183</v>
      </c>
      <c r="J266" s="85">
        <v>2018</v>
      </c>
      <c r="K266" s="197">
        <f t="shared" si="74"/>
        <v>43352</v>
      </c>
      <c r="L266" s="437">
        <f t="shared" si="75"/>
        <v>2.0348877885105754E-3</v>
      </c>
      <c r="M266" s="856"/>
      <c r="N266" s="856"/>
      <c r="O266" s="324">
        <f t="shared" si="76"/>
        <v>5.9684144477427587E-3</v>
      </c>
      <c r="P266" s="169">
        <f>(INDEX(Models!$BJ266:$BT266,,T266)*(1-R266)+INDEX(Models!$BJ266:$BT266,,T266+1)*R266-ERP_i)*Q266*Ramure*Pc/MaxiM</f>
        <v>2.603195766006805E-7</v>
      </c>
      <c r="Q266" s="305">
        <f t="shared" si="77"/>
        <v>0.5</v>
      </c>
      <c r="R266" s="177">
        <f t="shared" si="78"/>
        <v>0.48593033702869159</v>
      </c>
      <c r="S266" s="811">
        <f t="shared" si="96"/>
        <v>-2</v>
      </c>
      <c r="T266" s="176">
        <f t="shared" si="79"/>
        <v>4</v>
      </c>
      <c r="U266" s="251">
        <f t="shared" si="80"/>
        <v>-1.5140696629713084</v>
      </c>
      <c r="V266" s="383">
        <f t="shared" si="81"/>
        <v>51.001281860036364</v>
      </c>
      <c r="W266" s="58"/>
      <c r="X266" s="157">
        <f t="shared" si="82"/>
        <v>43352</v>
      </c>
      <c r="Y266" s="385">
        <f t="shared" si="83"/>
        <v>34.878999999999998</v>
      </c>
      <c r="Z266" s="385">
        <f t="shared" si="84"/>
        <v>34.950119571523075</v>
      </c>
      <c r="AA266" s="386">
        <f t="shared" si="85"/>
        <v>35.159968837515088</v>
      </c>
      <c r="AB266" s="197">
        <f t="shared" si="86"/>
        <v>43352</v>
      </c>
      <c r="AC266" s="426">
        <f t="shared" si="87"/>
        <v>5.9684144477427587E-3</v>
      </c>
      <c r="AD266" s="169">
        <f>(INDEX(Models!$BJ266:$BT266,,AH266)*(1-AF266)+INDEX(Models!$BJ266:$BT266,,AH266+1)*AF266-ERP_i)*AE266*Ramure*Pc/MaxiM</f>
        <v>2.603195766006805E-7</v>
      </c>
      <c r="AE266" s="305">
        <f t="shared" si="88"/>
        <v>0.5</v>
      </c>
      <c r="AF266" s="177">
        <f t="shared" si="89"/>
        <v>0.48593033702869159</v>
      </c>
      <c r="AG266" s="811">
        <f t="shared" si="90"/>
        <v>-2</v>
      </c>
      <c r="AH266" s="176">
        <f t="shared" si="91"/>
        <v>4</v>
      </c>
      <c r="AI266" s="225">
        <f t="shared" si="92"/>
        <v>-1.5140696629713084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7">
        <v>39.625</v>
      </c>
      <c r="C267" s="390"/>
      <c r="D267" s="393">
        <f t="shared" si="97"/>
        <v>39.706666519026328</v>
      </c>
      <c r="E267" s="385">
        <f t="shared" si="102"/>
        <v>39.947507550002214</v>
      </c>
      <c r="F267" s="385">
        <f t="shared" si="104"/>
        <v>39.947514243105942</v>
      </c>
      <c r="G267" s="110">
        <f t="shared" si="103"/>
        <v>0.78117618315050574</v>
      </c>
      <c r="I267" s="380">
        <f t="shared" si="73"/>
        <v>39.947514243105942</v>
      </c>
      <c r="J267" s="85">
        <v>2018</v>
      </c>
      <c r="K267" s="197">
        <f t="shared" si="74"/>
        <v>43353</v>
      </c>
      <c r="L267" s="437">
        <f t="shared" si="75"/>
        <v>2.0567457856779381E-3</v>
      </c>
      <c r="M267" s="856"/>
      <c r="N267" s="856"/>
      <c r="O267" s="324">
        <f t="shared" si="76"/>
        <v>6.028937617057281E-3</v>
      </c>
      <c r="P267" s="169">
        <f>(INDEX(Models!$BJ267:$BT267,,T267)*(1-R267)+INDEX(Models!$BJ267:$BT267,,T267+1)*R267-ERP_i)*Q267*Ramure*Pc/MaxiM</f>
        <v>2.4374272293431949E-7</v>
      </c>
      <c r="Q267" s="305">
        <f t="shared" si="77"/>
        <v>0.5</v>
      </c>
      <c r="R267" s="177">
        <f t="shared" si="78"/>
        <v>0.48638794103635652</v>
      </c>
      <c r="S267" s="811">
        <f t="shared" si="96"/>
        <v>-2</v>
      </c>
      <c r="T267" s="176">
        <f t="shared" si="79"/>
        <v>4</v>
      </c>
      <c r="U267" s="251">
        <f t="shared" si="80"/>
        <v>-1.5136120589636435</v>
      </c>
      <c r="V267" s="383">
        <f t="shared" si="81"/>
        <v>50.724788895832255</v>
      </c>
      <c r="W267" s="58"/>
      <c r="X267" s="157">
        <f t="shared" si="82"/>
        <v>43353</v>
      </c>
      <c r="Y267" s="385">
        <f t="shared" si="83"/>
        <v>39.625</v>
      </c>
      <c r="Z267" s="385">
        <f t="shared" si="84"/>
        <v>39.706666519026328</v>
      </c>
      <c r="AA267" s="386">
        <f t="shared" si="85"/>
        <v>39.947507550002214</v>
      </c>
      <c r="AB267" s="197">
        <f t="shared" si="86"/>
        <v>43353</v>
      </c>
      <c r="AC267" s="426">
        <f t="shared" si="87"/>
        <v>6.028937617057281E-3</v>
      </c>
      <c r="AD267" s="169">
        <f>(INDEX(Models!$BJ267:$BT267,,AH267)*(1-AF267)+INDEX(Models!$BJ267:$BT267,,AH267+1)*AF267-ERP_i)*AE267*Ramure*Pc/MaxiM</f>
        <v>2.4374272293431949E-7</v>
      </c>
      <c r="AE267" s="305">
        <f t="shared" si="88"/>
        <v>0.5</v>
      </c>
      <c r="AF267" s="177">
        <f t="shared" si="89"/>
        <v>0.48638794103635652</v>
      </c>
      <c r="AG267" s="811">
        <f t="shared" si="90"/>
        <v>-2</v>
      </c>
      <c r="AH267" s="176">
        <f t="shared" si="91"/>
        <v>4</v>
      </c>
      <c r="AI267" s="225">
        <f t="shared" si="92"/>
        <v>-1.5136120589636435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7">
        <v>46.273000000000003</v>
      </c>
      <c r="C268" s="390"/>
      <c r="D268" s="393">
        <f t="shared" si="97"/>
        <v>46.369383553864104</v>
      </c>
      <c r="E268" s="385">
        <f t="shared" si="102"/>
        <v>46.65347258988669</v>
      </c>
      <c r="F268" s="385">
        <f t="shared" si="104"/>
        <v>46.653482601520295</v>
      </c>
      <c r="G268" s="110">
        <f t="shared" si="103"/>
        <v>0.91732555342959032</v>
      </c>
      <c r="I268" s="380">
        <f t="shared" si="73"/>
        <v>46.653482601520295</v>
      </c>
      <c r="J268" s="85">
        <v>2018</v>
      </c>
      <c r="K268" s="197">
        <f t="shared" si="74"/>
        <v>43354</v>
      </c>
      <c r="L268" s="437">
        <f t="shared" si="75"/>
        <v>2.078603304099147E-3</v>
      </c>
      <c r="M268" s="856"/>
      <c r="N268" s="856"/>
      <c r="O268" s="324">
        <f t="shared" si="76"/>
        <v>6.0893438419881126E-3</v>
      </c>
      <c r="P268" s="169">
        <f>(INDEX(Models!$BJ268:$BT268,,T268)*(1-R268)+INDEX(Models!$BJ268:$BT268,,T268+1)*R268-ERP_i)*Q268*Ramure*Pc/MaxiM</f>
        <v>2.4333503692414619E-7</v>
      </c>
      <c r="Q268" s="305">
        <f t="shared" si="77"/>
        <v>0.5</v>
      </c>
      <c r="R268" s="177">
        <f t="shared" si="78"/>
        <v>0.48682792632769312</v>
      </c>
      <c r="S268" s="811">
        <f t="shared" si="96"/>
        <v>-2</v>
      </c>
      <c r="T268" s="176">
        <f t="shared" si="79"/>
        <v>4</v>
      </c>
      <c r="U268" s="251">
        <f t="shared" si="80"/>
        <v>-1.5131720736723069</v>
      </c>
      <c r="V268" s="383">
        <f t="shared" si="81"/>
        <v>50.443376941960388</v>
      </c>
      <c r="W268" s="58"/>
      <c r="X268" s="157">
        <f t="shared" si="82"/>
        <v>43354</v>
      </c>
      <c r="Y268" s="385">
        <f t="shared" si="83"/>
        <v>46.273000000000003</v>
      </c>
      <c r="Z268" s="385">
        <f t="shared" si="84"/>
        <v>46.369383553864104</v>
      </c>
      <c r="AA268" s="386">
        <f t="shared" si="85"/>
        <v>46.65347258988669</v>
      </c>
      <c r="AB268" s="197">
        <f t="shared" si="86"/>
        <v>43354</v>
      </c>
      <c r="AC268" s="426">
        <f t="shared" si="87"/>
        <v>6.0893438419881126E-3</v>
      </c>
      <c r="AD268" s="169">
        <f>(INDEX(Models!$BJ268:$BT268,,AH268)*(1-AF268)+INDEX(Models!$BJ268:$BT268,,AH268+1)*AF268-ERP_i)*AE268*Ramure*Pc/MaxiM</f>
        <v>2.4333503692414619E-7</v>
      </c>
      <c r="AE268" s="305">
        <f t="shared" si="88"/>
        <v>0.5</v>
      </c>
      <c r="AF268" s="177">
        <f t="shared" si="89"/>
        <v>0.48682792632769312</v>
      </c>
      <c r="AG268" s="811">
        <f t="shared" si="90"/>
        <v>-2</v>
      </c>
      <c r="AH268" s="176">
        <f t="shared" si="91"/>
        <v>4</v>
      </c>
      <c r="AI268" s="225">
        <f t="shared" si="92"/>
        <v>-1.5131720736723069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7">
        <v>28.952999999999999</v>
      </c>
      <c r="C269" s="390"/>
      <c r="D269" s="393">
        <f t="shared" si="97"/>
        <v>29.013942635923595</v>
      </c>
      <c r="E269" s="385">
        <f t="shared" si="102"/>
        <v>29.193471693633157</v>
      </c>
      <c r="F269" s="385">
        <f t="shared" si="104"/>
        <v>29.193474591015473</v>
      </c>
      <c r="G269" s="110">
        <f t="shared" si="103"/>
        <v>0.57724190487199933</v>
      </c>
      <c r="I269" s="380">
        <f t="shared" si="73"/>
        <v>29.193474591015473</v>
      </c>
      <c r="J269" s="85">
        <v>2018</v>
      </c>
      <c r="K269" s="197">
        <f t="shared" si="74"/>
        <v>43355</v>
      </c>
      <c r="L269" s="437">
        <f t="shared" si="75"/>
        <v>2.1004603437845271E-3</v>
      </c>
      <c r="M269" s="856"/>
      <c r="N269" s="856"/>
      <c r="O269" s="324">
        <f t="shared" si="76"/>
        <v>6.1496302869902889E-3</v>
      </c>
      <c r="P269" s="169">
        <f>(INDEX(Models!$BJ269:$BT269,,T269)*(1-R269)+INDEX(Models!$BJ269:$BT269,,T269+1)*R269-ERP_i)*Q269*Ramure*Pc/MaxiM</f>
        <v>2.5058729399685364E-7</v>
      </c>
      <c r="Q269" s="305">
        <f t="shared" si="77"/>
        <v>0.5</v>
      </c>
      <c r="R269" s="177">
        <f t="shared" si="78"/>
        <v>0.48725094070928021</v>
      </c>
      <c r="S269" s="811">
        <f t="shared" si="96"/>
        <v>-2</v>
      </c>
      <c r="T269" s="176">
        <f t="shared" si="79"/>
        <v>4</v>
      </c>
      <c r="U269" s="251">
        <f t="shared" si="80"/>
        <v>-1.5127490592907198</v>
      </c>
      <c r="V269" s="383">
        <f t="shared" si="81"/>
        <v>50.157473623959476</v>
      </c>
      <c r="W269" s="58"/>
      <c r="X269" s="157">
        <f t="shared" si="82"/>
        <v>43355</v>
      </c>
      <c r="Y269" s="385">
        <f t="shared" si="83"/>
        <v>28.952999999999999</v>
      </c>
      <c r="Z269" s="385">
        <f t="shared" si="84"/>
        <v>29.013942635923595</v>
      </c>
      <c r="AA269" s="386">
        <f t="shared" si="85"/>
        <v>29.193471693633157</v>
      </c>
      <c r="AB269" s="197">
        <f t="shared" si="86"/>
        <v>43355</v>
      </c>
      <c r="AC269" s="426">
        <f t="shared" si="87"/>
        <v>6.1496302869902889E-3</v>
      </c>
      <c r="AD269" s="169">
        <f>(INDEX(Models!$BJ269:$BT269,,AH269)*(1-AF269)+INDEX(Models!$BJ269:$BT269,,AH269+1)*AF269-ERP_i)*AE269*Ramure*Pc/MaxiM</f>
        <v>2.5058729399685364E-7</v>
      </c>
      <c r="AE269" s="305">
        <f t="shared" si="88"/>
        <v>0.5</v>
      </c>
      <c r="AF269" s="177">
        <f t="shared" si="89"/>
        <v>0.48725094070928021</v>
      </c>
      <c r="AG269" s="811">
        <f t="shared" si="90"/>
        <v>-2</v>
      </c>
      <c r="AH269" s="176">
        <f t="shared" si="91"/>
        <v>4</v>
      </c>
      <c r="AI269" s="225">
        <f t="shared" si="92"/>
        <v>-1.5127490592907198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7">
        <v>24.33</v>
      </c>
      <c r="C270" s="390"/>
      <c r="D270" s="393">
        <f t="shared" si="97"/>
        <v>24.381745791259977</v>
      </c>
      <c r="E270" s="385">
        <f t="shared" si="102"/>
        <v>24.534097482417433</v>
      </c>
      <c r="F270" s="385">
        <f t="shared" si="104"/>
        <v>24.534099231620893</v>
      </c>
      <c r="G270" s="110">
        <f t="shared" si="103"/>
        <v>0.48789276286937777</v>
      </c>
      <c r="I270" s="380">
        <f t="shared" si="73"/>
        <v>24.534099231620893</v>
      </c>
      <c r="J270" s="85">
        <v>2018</v>
      </c>
      <c r="K270" s="197">
        <f t="shared" si="74"/>
        <v>43356</v>
      </c>
      <c r="L270" s="437">
        <f t="shared" si="75"/>
        <v>2.1223169047446255E-3</v>
      </c>
      <c r="M270" s="856"/>
      <c r="N270" s="856"/>
      <c r="O270" s="324">
        <f t="shared" si="76"/>
        <v>6.2097939924890084E-3</v>
      </c>
      <c r="P270" s="169">
        <f>(INDEX(Models!$BJ270:$BT270,,T270)*(1-R270)+INDEX(Models!$BJ270:$BT270,,T270+1)*R270-ERP_i)*Q270*Ramure*Pc/MaxiM</f>
        <v>2.6561829133763444E-7</v>
      </c>
      <c r="Q270" s="305">
        <f t="shared" si="77"/>
        <v>0.5</v>
      </c>
      <c r="R270" s="177">
        <f t="shared" si="78"/>
        <v>0.48765761053749035</v>
      </c>
      <c r="S270" s="811">
        <f t="shared" si="96"/>
        <v>-2</v>
      </c>
      <c r="T270" s="176">
        <f t="shared" si="79"/>
        <v>4</v>
      </c>
      <c r="U270" s="251">
        <f t="shared" si="80"/>
        <v>-1.5123423894625097</v>
      </c>
      <c r="V270" s="383">
        <f t="shared" si="81"/>
        <v>49.867505984449856</v>
      </c>
      <c r="W270" s="58"/>
      <c r="X270" s="157">
        <f t="shared" si="82"/>
        <v>43356</v>
      </c>
      <c r="Y270" s="385">
        <f t="shared" si="83"/>
        <v>24.33</v>
      </c>
      <c r="Z270" s="385">
        <f t="shared" si="84"/>
        <v>24.381745791259977</v>
      </c>
      <c r="AA270" s="386">
        <f t="shared" si="85"/>
        <v>24.534097482417433</v>
      </c>
      <c r="AB270" s="197">
        <f t="shared" si="86"/>
        <v>43356</v>
      </c>
      <c r="AC270" s="426">
        <f t="shared" si="87"/>
        <v>6.2097939924890084E-3</v>
      </c>
      <c r="AD270" s="169">
        <f>(INDEX(Models!$BJ270:$BT270,,AH270)*(1-AF270)+INDEX(Models!$BJ270:$BT270,,AH270+1)*AF270-ERP_i)*AE270*Ramure*Pc/MaxiM</f>
        <v>2.6561829133763444E-7</v>
      </c>
      <c r="AE270" s="305">
        <f t="shared" si="88"/>
        <v>0.5</v>
      </c>
      <c r="AF270" s="177">
        <f t="shared" si="89"/>
        <v>0.48765761053749035</v>
      </c>
      <c r="AG270" s="811">
        <f t="shared" si="90"/>
        <v>-2</v>
      </c>
      <c r="AH270" s="176">
        <f t="shared" si="91"/>
        <v>4</v>
      </c>
      <c r="AI270" s="225">
        <f t="shared" si="92"/>
        <v>-1.5123423894625097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7">
        <v>31.501999999999999</v>
      </c>
      <c r="C271" s="390"/>
      <c r="D271" s="393">
        <f t="shared" ref="D271:D334" si="105">Wh/(1-Ppv)</f>
        <v>31.569690878389064</v>
      </c>
      <c r="E271" s="385">
        <f t="shared" si="102"/>
        <v>31.768876392182968</v>
      </c>
      <c r="F271" s="385">
        <f t="shared" si="104"/>
        <v>31.768880785148667</v>
      </c>
      <c r="G271" s="110">
        <f t="shared" si="103"/>
        <v>0.63545524313626045</v>
      </c>
      <c r="I271" s="380">
        <f t="shared" ref="I271:I334" si="106">Wh_hp</f>
        <v>31.768880785148667</v>
      </c>
      <c r="J271" s="85">
        <v>2018</v>
      </c>
      <c r="K271" s="197">
        <f t="shared" ref="K271:K334" si="107">t</f>
        <v>43357</v>
      </c>
      <c r="L271" s="437">
        <f t="shared" ref="L271:L334" si="108">IF(t&lt;T0,0,IF(t&lt;Tvie,1-EXP((T0-t)*PertePVj),1-EXP((T0-t)*PertePVj)+Pspv))</f>
        <v>2.1441729869899895E-3</v>
      </c>
      <c r="M271" s="856"/>
      <c r="N271" s="856"/>
      <c r="O271" s="324">
        <f t="shared" ref="O271:O334" si="109">IF(t&lt;T0,0,IF(t&lt;Tnet,Salim_i*(1-EXP((T0-t)/Tau_ij)),Resal+(Salim-Resal)*(1-EXP((Tnet-t)/(Tau_j)))))*Salcycl</f>
        <v>6.2698318736546287E-3</v>
      </c>
      <c r="P271" s="169">
        <f>(INDEX(Models!$BJ271:$BT271,,T271)*(1-R271)+INDEX(Models!$BJ271:$BT271,,T271+1)*R271-ERP_i)*Q271*Ramure*Pc/MaxiM</f>
        <v>2.8854877140083125E-7</v>
      </c>
      <c r="Q271" s="305">
        <f t="shared" ref="Q271:Q334" si="110">IF(OR(t&lt;Ttai,Notai),Dd+PousD*Croivg,Dens+PousD*(Croivg-Croi_tai))</f>
        <v>0.5</v>
      </c>
      <c r="R271" s="177">
        <f t="shared" ref="R271:R334" si="111">(Hp_vg-S271)/(INDEX(Echel_vg,T271+1)-S271)</f>
        <v>0.48804854124192598</v>
      </c>
      <c r="S271" s="811">
        <f t="shared" si="96"/>
        <v>-2</v>
      </c>
      <c r="T271" s="176">
        <f t="shared" ref="T271:T334" si="112">MIN(MATCH(Hp_vg,Echel_vg),10)</f>
        <v>4</v>
      </c>
      <c r="U271" s="251">
        <f t="shared" ref="U271:U334" si="113">IF(OR(t&lt;Ttai,Notai),Hdd+PousH*Croivg,Hdtf+PousH*(Croivg-Croi_tai))</f>
        <v>-1.511951458758074</v>
      </c>
      <c r="V271" s="383">
        <f t="shared" ref="V271:V334" si="114">MaxiM*(1-Ppv)*(1-Pvg)*(1-Psa)</f>
        <v>49.573900926084114</v>
      </c>
      <c r="W271" s="58"/>
      <c r="X271" s="157">
        <f t="shared" ref="X271:X334" si="115">t</f>
        <v>43357</v>
      </c>
      <c r="Y271" s="385">
        <f t="shared" ref="Y271:Y334" si="116">Wh_pvt_s*(1-Ppv)</f>
        <v>31.501999999999999</v>
      </c>
      <c r="Z271" s="385">
        <f t="shared" ref="Z271:Z334" si="117">Wh_sa_s*(1-Psa_s)</f>
        <v>31.569690878389064</v>
      </c>
      <c r="AA271" s="386">
        <f t="shared" ref="AA271:AA334" si="118">Wh_hp*(1-Pvg_s*MEDIAN((-Sdif+Wh/Env_an)/Csdif,0,1))</f>
        <v>31.768876392182968</v>
      </c>
      <c r="AB271" s="197">
        <f t="shared" ref="AB271:AB334" si="119">t</f>
        <v>43357</v>
      </c>
      <c r="AC271" s="426">
        <f t="shared" ref="AC271:AC334" si="120">IF(t&lt;T0,0,IF(OR(t&lt;Tnet,NoTnet),Salim_i*(1-EXP((T0-t)/Tau_ij)),Resal_s+(Salim-Resal_s)*(1-EXP((Tnet_s-t)/Tau_j))))*Salcycl</f>
        <v>6.2698318736546287E-3</v>
      </c>
      <c r="AD271" s="169">
        <f>(INDEX(Models!$BJ271:$BT271,,AH271)*(1-AF271)+INDEX(Models!$BJ271:$BT271,,AH271+1)*AF271-ERP_i)*AE271*Ramure*Pc/MaxiM</f>
        <v>2.8854877140083125E-7</v>
      </c>
      <c r="AE271" s="305">
        <f t="shared" ref="AE271:AE334" si="121">Dd+PousD*Croivg</f>
        <v>0.5</v>
      </c>
      <c r="AF271" s="177">
        <f t="shared" ref="AF271:AF334" si="122">(Hp_vg_s-AG271)/(INDEX(Echel_vg,AH271+1)-AG271)</f>
        <v>0.48804854124192598</v>
      </c>
      <c r="AG271" s="811">
        <f t="shared" ref="AG271:AG334" si="123">INDEX(Echel_vg,AH271)</f>
        <v>-2</v>
      </c>
      <c r="AH271" s="176">
        <f t="shared" ref="AH271:AH334" si="124">MIN(MATCH(Hp_vg_s,Echel_vg),10)</f>
        <v>4</v>
      </c>
      <c r="AI271" s="225">
        <f t="shared" ref="AI271:AI334" si="125">Hdd+PousH*Croivg</f>
        <v>-1.511951458758074</v>
      </c>
      <c r="AJ271" s="265" t="b">
        <f t="shared" ref="AJ271:AJ334" si="126">t&lt;Tnet</f>
        <v>0</v>
      </c>
      <c r="AK271" s="265" t="b">
        <f t="shared" ref="AK271:AK334" si="12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8">A271+1</f>
        <v>43358</v>
      </c>
      <c r="B272" s="617">
        <v>38.780999999999999</v>
      </c>
      <c r="C272" s="390"/>
      <c r="D272" s="393">
        <f t="shared" si="105"/>
        <v>38.865183097765986</v>
      </c>
      <c r="E272" s="385">
        <f t="shared" si="102"/>
        <v>39.112756706571254</v>
      </c>
      <c r="F272" s="385">
        <f t="shared" si="104"/>
        <v>39.112765400582461</v>
      </c>
      <c r="G272" s="110">
        <f t="shared" si="103"/>
        <v>0.78699858288448288</v>
      </c>
      <c r="I272" s="380">
        <f t="shared" si="106"/>
        <v>39.112765400582461</v>
      </c>
      <c r="J272" s="85">
        <v>2018</v>
      </c>
      <c r="K272" s="197">
        <f t="shared" si="107"/>
        <v>43358</v>
      </c>
      <c r="L272" s="437">
        <f t="shared" si="108"/>
        <v>2.166028590531055E-3</v>
      </c>
      <c r="M272" s="856"/>
      <c r="N272" s="856"/>
      <c r="O272" s="324">
        <f t="shared" si="109"/>
        <v>6.3297407202105097E-3</v>
      </c>
      <c r="P272" s="169">
        <f>(INDEX(Models!$BJ272:$BT272,,T272)*(1-R272)+INDEX(Models!$BJ272:$BT272,,T272+1)*R272-ERP_i)*Q272*Ramure*Pc/MaxiM</f>
        <v>3.1950079776936114E-7</v>
      </c>
      <c r="Q272" s="305">
        <f t="shared" si="110"/>
        <v>0.5</v>
      </c>
      <c r="R272" s="177">
        <f t="shared" si="111"/>
        <v>0.48842431785182394</v>
      </c>
      <c r="S272" s="811">
        <f t="shared" ref="S272:S335" si="129">INDEX(Echel_vg,T272)</f>
        <v>-2</v>
      </c>
      <c r="T272" s="176">
        <f t="shared" si="112"/>
        <v>4</v>
      </c>
      <c r="U272" s="251">
        <f t="shared" si="113"/>
        <v>-1.5115756821481761</v>
      </c>
      <c r="V272" s="383">
        <f t="shared" si="114"/>
        <v>49.277085210961857</v>
      </c>
      <c r="W272" s="58"/>
      <c r="X272" s="157">
        <f t="shared" si="115"/>
        <v>43358</v>
      </c>
      <c r="Y272" s="385">
        <f t="shared" si="116"/>
        <v>38.780999999999999</v>
      </c>
      <c r="Z272" s="385">
        <f t="shared" si="117"/>
        <v>38.865183097765986</v>
      </c>
      <c r="AA272" s="386">
        <f t="shared" si="118"/>
        <v>39.112756706571254</v>
      </c>
      <c r="AB272" s="197">
        <f t="shared" si="119"/>
        <v>43358</v>
      </c>
      <c r="AC272" s="426">
        <f t="shared" si="120"/>
        <v>6.3297407202105097E-3</v>
      </c>
      <c r="AD272" s="169">
        <f>(INDEX(Models!$BJ272:$BT272,,AH272)*(1-AF272)+INDEX(Models!$BJ272:$BT272,,AH272+1)*AF272-ERP_i)*AE272*Ramure*Pc/MaxiM</f>
        <v>3.1950079776936114E-7</v>
      </c>
      <c r="AE272" s="305">
        <f t="shared" si="121"/>
        <v>0.5</v>
      </c>
      <c r="AF272" s="177">
        <f t="shared" si="122"/>
        <v>0.48842431785182394</v>
      </c>
      <c r="AG272" s="811">
        <f t="shared" si="123"/>
        <v>-2</v>
      </c>
      <c r="AH272" s="176">
        <f t="shared" si="124"/>
        <v>4</v>
      </c>
      <c r="AI272" s="225">
        <f t="shared" si="125"/>
        <v>-1.5115756821481761</v>
      </c>
      <c r="AJ272" s="265" t="b">
        <f t="shared" si="126"/>
        <v>0</v>
      </c>
      <c r="AK272" s="265" t="b">
        <f t="shared" si="127"/>
        <v>0</v>
      </c>
      <c r="AL272" s="265"/>
      <c r="AM272" s="265"/>
      <c r="AN272" s="75"/>
    </row>
    <row r="273" spans="1:40" s="6" customFormat="1" ht="11.25" x14ac:dyDescent="0.2">
      <c r="A273" s="56">
        <f t="shared" si="128"/>
        <v>43359</v>
      </c>
      <c r="B273" s="617">
        <v>45.83</v>
      </c>
      <c r="C273" s="390"/>
      <c r="D273" s="393">
        <f t="shared" si="105"/>
        <v>45.930490572362608</v>
      </c>
      <c r="E273" s="385">
        <f t="shared" si="102"/>
        <v>46.225851445135476</v>
      </c>
      <c r="F273" s="385">
        <f t="shared" si="104"/>
        <v>46.225866499783969</v>
      </c>
      <c r="G273" s="110">
        <f t="shared" si="103"/>
        <v>0.9357360440207102</v>
      </c>
      <c r="I273" s="380">
        <f t="shared" si="106"/>
        <v>46.225866499783969</v>
      </c>
      <c r="J273" s="85">
        <v>2018</v>
      </c>
      <c r="K273" s="197">
        <f t="shared" si="107"/>
        <v>43359</v>
      </c>
      <c r="L273" s="437">
        <f t="shared" si="108"/>
        <v>2.1878837153782582E-3</v>
      </c>
      <c r="M273" s="856"/>
      <c r="N273" s="856"/>
      <c r="O273" s="324">
        <f t="shared" si="109"/>
        <v>6.3895171973939353E-3</v>
      </c>
      <c r="P273" s="169">
        <f>(INDEX(Models!$BJ273:$BT273,,T273)*(1-R273)+INDEX(Models!$BJ273:$BT273,,T273+1)*R273-ERP_i)*Q273*Ramure*Pc/MaxiM</f>
        <v>3.5859707500122552E-7</v>
      </c>
      <c r="Q273" s="305">
        <f t="shared" si="110"/>
        <v>0.5</v>
      </c>
      <c r="R273" s="177">
        <f t="shared" si="111"/>
        <v>0.48878550552371958</v>
      </c>
      <c r="S273" s="811">
        <f t="shared" si="129"/>
        <v>-2</v>
      </c>
      <c r="T273" s="176">
        <f t="shared" si="112"/>
        <v>4</v>
      </c>
      <c r="U273" s="251">
        <f t="shared" si="113"/>
        <v>-1.5112144944762804</v>
      </c>
      <c r="V273" s="383">
        <f t="shared" si="114"/>
        <v>48.977485460852421</v>
      </c>
      <c r="W273" s="58"/>
      <c r="X273" s="157">
        <f t="shared" si="115"/>
        <v>43359</v>
      </c>
      <c r="Y273" s="385">
        <f t="shared" si="116"/>
        <v>45.83</v>
      </c>
      <c r="Z273" s="385">
        <f t="shared" si="117"/>
        <v>45.930490572362608</v>
      </c>
      <c r="AA273" s="386">
        <f t="shared" si="118"/>
        <v>46.225851445135476</v>
      </c>
      <c r="AB273" s="197">
        <f t="shared" si="119"/>
        <v>43359</v>
      </c>
      <c r="AC273" s="426">
        <f t="shared" si="120"/>
        <v>6.3895171973939353E-3</v>
      </c>
      <c r="AD273" s="169">
        <f>(INDEX(Models!$BJ273:$BT273,,AH273)*(1-AF273)+INDEX(Models!$BJ273:$BT273,,AH273+1)*AF273-ERP_i)*AE273*Ramure*Pc/MaxiM</f>
        <v>3.5859707500122552E-7</v>
      </c>
      <c r="AE273" s="305">
        <f t="shared" si="121"/>
        <v>0.5</v>
      </c>
      <c r="AF273" s="177">
        <f t="shared" si="122"/>
        <v>0.48878550552371958</v>
      </c>
      <c r="AG273" s="811">
        <f t="shared" si="123"/>
        <v>-2</v>
      </c>
      <c r="AH273" s="176">
        <f t="shared" si="124"/>
        <v>4</v>
      </c>
      <c r="AI273" s="225">
        <f t="shared" si="125"/>
        <v>-1.5112144944762804</v>
      </c>
      <c r="AJ273" s="265" t="b">
        <f t="shared" si="126"/>
        <v>0</v>
      </c>
      <c r="AK273" s="265" t="b">
        <f t="shared" si="12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8"/>
        <v>43360</v>
      </c>
      <c r="B274" s="617">
        <v>43.548999999999999</v>
      </c>
      <c r="C274" s="390"/>
      <c r="D274" s="393">
        <f t="shared" si="105"/>
        <v>43.645445014154362</v>
      </c>
      <c r="E274" s="385">
        <f t="shared" si="102"/>
        <v>43.928748446961976</v>
      </c>
      <c r="F274" s="385">
        <f t="shared" si="104"/>
        <v>43.928763597128906</v>
      </c>
      <c r="G274" s="110">
        <f t="shared" si="103"/>
        <v>0.89467950299651533</v>
      </c>
      <c r="I274" s="380">
        <f t="shared" si="106"/>
        <v>43.928763597128906</v>
      </c>
      <c r="J274" s="85">
        <v>2018</v>
      </c>
      <c r="K274" s="197">
        <f t="shared" si="107"/>
        <v>43360</v>
      </c>
      <c r="L274" s="437">
        <f t="shared" si="108"/>
        <v>2.2097383615422572E-3</v>
      </c>
      <c r="M274" s="856"/>
      <c r="N274" s="856"/>
      <c r="O274" s="324">
        <f t="shared" si="109"/>
        <v>6.4491578481838318E-3</v>
      </c>
      <c r="P274" s="169">
        <f>(INDEX(Models!$BJ274:$BT274,,T274)*(1-R274)+INDEX(Models!$BJ274:$BT274,,T274+1)*R274-ERP_i)*Q274*Ramure*Pc/MaxiM</f>
        <v>4.0596020996607716E-7</v>
      </c>
      <c r="Q274" s="305">
        <f t="shared" si="110"/>
        <v>0.5</v>
      </c>
      <c r="R274" s="177">
        <f t="shared" si="111"/>
        <v>0.48913265006881801</v>
      </c>
      <c r="S274" s="811">
        <f t="shared" si="129"/>
        <v>-2</v>
      </c>
      <c r="T274" s="176">
        <f t="shared" si="112"/>
        <v>4</v>
      </c>
      <c r="U274" s="251">
        <f t="shared" si="113"/>
        <v>-1.510867349931182</v>
      </c>
      <c r="V274" s="383">
        <f t="shared" si="114"/>
        <v>48.675528157485296</v>
      </c>
      <c r="W274" s="58"/>
      <c r="X274" s="157">
        <f t="shared" si="115"/>
        <v>43360</v>
      </c>
      <c r="Y274" s="385">
        <f t="shared" si="116"/>
        <v>43.548999999999999</v>
      </c>
      <c r="Z274" s="385">
        <f t="shared" si="117"/>
        <v>43.645445014154362</v>
      </c>
      <c r="AA274" s="386">
        <f t="shared" si="118"/>
        <v>43.928748446961976</v>
      </c>
      <c r="AB274" s="197">
        <f t="shared" si="119"/>
        <v>43360</v>
      </c>
      <c r="AC274" s="426">
        <f t="shared" si="120"/>
        <v>6.4491578481838318E-3</v>
      </c>
      <c r="AD274" s="169">
        <f>(INDEX(Models!$BJ274:$BT274,,AH274)*(1-AF274)+INDEX(Models!$BJ274:$BT274,,AH274+1)*AF274-ERP_i)*AE274*Ramure*Pc/MaxiM</f>
        <v>4.0596020996607716E-7</v>
      </c>
      <c r="AE274" s="305">
        <f t="shared" si="121"/>
        <v>0.5</v>
      </c>
      <c r="AF274" s="177">
        <f t="shared" si="122"/>
        <v>0.48913265006881801</v>
      </c>
      <c r="AG274" s="811">
        <f t="shared" si="123"/>
        <v>-2</v>
      </c>
      <c r="AH274" s="176">
        <f t="shared" si="124"/>
        <v>4</v>
      </c>
      <c r="AI274" s="225">
        <f t="shared" si="125"/>
        <v>-1.510867349931182</v>
      </c>
      <c r="AJ274" s="265" t="b">
        <f t="shared" si="126"/>
        <v>0</v>
      </c>
      <c r="AK274" s="265" t="b">
        <f t="shared" si="127"/>
        <v>0</v>
      </c>
      <c r="AL274" s="265"/>
      <c r="AM274" s="265"/>
      <c r="AN274" s="75"/>
    </row>
    <row r="275" spans="1:40" s="6" customFormat="1" ht="11.25" x14ac:dyDescent="0.2">
      <c r="A275" s="56">
        <f t="shared" si="128"/>
        <v>43361</v>
      </c>
      <c r="B275" s="617">
        <v>41.865000000000002</v>
      </c>
      <c r="C275" s="390"/>
      <c r="D275" s="393">
        <f t="shared" si="105"/>
        <v>41.958634575447007</v>
      </c>
      <c r="E275" s="385">
        <f t="shared" si="102"/>
        <v>42.23351814753206</v>
      </c>
      <c r="F275" s="385">
        <f t="shared" si="104"/>
        <v>42.23353390254551</v>
      </c>
      <c r="G275" s="110">
        <f t="shared" si="103"/>
        <v>0.86553845179039279</v>
      </c>
      <c r="I275" s="380">
        <f t="shared" si="106"/>
        <v>42.23353390254551</v>
      </c>
      <c r="J275" s="85">
        <v>2018</v>
      </c>
      <c r="K275" s="197">
        <f t="shared" si="107"/>
        <v>43361</v>
      </c>
      <c r="L275" s="437">
        <f t="shared" si="108"/>
        <v>2.2315925290332661E-3</v>
      </c>
      <c r="M275" s="856"/>
      <c r="N275" s="856"/>
      <c r="O275" s="324">
        <f t="shared" si="109"/>
        <v>6.5086590969005778E-3</v>
      </c>
      <c r="P275" s="169">
        <f>(INDEX(Models!$BJ275:$BT275,,T275)*(1-R275)+INDEX(Models!$BJ275:$BT275,,T275+1)*R275-ERP_i)*Q275*Ramure*Pc/MaxiM</f>
        <v>4.617396803714725E-7</v>
      </c>
      <c r="Q275" s="305">
        <f t="shared" si="110"/>
        <v>0.5</v>
      </c>
      <c r="R275" s="177">
        <f t="shared" si="111"/>
        <v>0.48946627847867585</v>
      </c>
      <c r="S275" s="811">
        <f t="shared" si="129"/>
        <v>-2</v>
      </c>
      <c r="T275" s="176">
        <f t="shared" si="112"/>
        <v>4</v>
      </c>
      <c r="U275" s="251">
        <f t="shared" si="113"/>
        <v>-1.5105337215213241</v>
      </c>
      <c r="V275" s="383">
        <f t="shared" si="114"/>
        <v>48.368730701913421</v>
      </c>
      <c r="W275" s="58"/>
      <c r="X275" s="157">
        <f t="shared" si="115"/>
        <v>43361</v>
      </c>
      <c r="Y275" s="385">
        <f t="shared" si="116"/>
        <v>41.865000000000002</v>
      </c>
      <c r="Z275" s="385">
        <f t="shared" si="117"/>
        <v>41.958634575447007</v>
      </c>
      <c r="AA275" s="386">
        <f t="shared" si="118"/>
        <v>42.23351814753206</v>
      </c>
      <c r="AB275" s="197">
        <f t="shared" si="119"/>
        <v>43361</v>
      </c>
      <c r="AC275" s="426">
        <f t="shared" si="120"/>
        <v>6.5086590969005778E-3</v>
      </c>
      <c r="AD275" s="169">
        <f>(INDEX(Models!$BJ275:$BT275,,AH275)*(1-AF275)+INDEX(Models!$BJ275:$BT275,,AH275+1)*AF275-ERP_i)*AE275*Ramure*Pc/MaxiM</f>
        <v>4.617396803714725E-7</v>
      </c>
      <c r="AE275" s="305">
        <f t="shared" si="121"/>
        <v>0.5</v>
      </c>
      <c r="AF275" s="177">
        <f t="shared" si="122"/>
        <v>0.48946627847867585</v>
      </c>
      <c r="AG275" s="811">
        <f t="shared" si="123"/>
        <v>-2</v>
      </c>
      <c r="AH275" s="176">
        <f t="shared" si="124"/>
        <v>4</v>
      </c>
      <c r="AI275" s="225">
        <f t="shared" si="125"/>
        <v>-1.5105337215213241</v>
      </c>
      <c r="AJ275" s="265" t="b">
        <f t="shared" si="126"/>
        <v>0</v>
      </c>
      <c r="AK275" s="265" t="b">
        <f t="shared" si="127"/>
        <v>0</v>
      </c>
      <c r="AL275" s="265"/>
      <c r="AM275" s="265"/>
      <c r="AN275" s="75"/>
    </row>
    <row r="276" spans="1:40" s="6" customFormat="1" ht="11.25" x14ac:dyDescent="0.2">
      <c r="A276" s="56">
        <f t="shared" si="128"/>
        <v>43362</v>
      </c>
      <c r="B276" s="617">
        <v>36.764000000000003</v>
      </c>
      <c r="C276" s="390"/>
      <c r="D276" s="393">
        <f t="shared" si="105"/>
        <v>36.847032806717742</v>
      </c>
      <c r="E276" s="385">
        <f t="shared" si="102"/>
        <v>37.09064480174775</v>
      </c>
      <c r="F276" s="385">
        <f t="shared" si="104"/>
        <v>37.090657697192313</v>
      </c>
      <c r="G276" s="110">
        <f t="shared" si="103"/>
        <v>0.76504159211664258</v>
      </c>
      <c r="I276" s="380">
        <f t="shared" si="106"/>
        <v>37.090657697192313</v>
      </c>
      <c r="J276" s="85">
        <v>2018</v>
      </c>
      <c r="K276" s="197">
        <f t="shared" si="107"/>
        <v>43362</v>
      </c>
      <c r="L276" s="437">
        <f t="shared" si="108"/>
        <v>2.253446217862054E-3</v>
      </c>
      <c r="M276" s="856"/>
      <c r="N276" s="856"/>
      <c r="O276" s="324">
        <f t="shared" si="109"/>
        <v>6.5680172542734944E-3</v>
      </c>
      <c r="P276" s="169">
        <f>(INDEX(Models!$BJ276:$BT276,,T276)*(1-R276)+INDEX(Models!$BJ276:$BT276,,T276+1)*R276-ERP_i)*Q276*Ramure*Pc/MaxiM</f>
        <v>5.2333273599616727E-7</v>
      </c>
      <c r="Q276" s="305">
        <f t="shared" si="110"/>
        <v>0.5</v>
      </c>
      <c r="R276" s="177">
        <f t="shared" si="111"/>
        <v>0.4897868994479373</v>
      </c>
      <c r="S276" s="811">
        <f t="shared" si="129"/>
        <v>-2</v>
      </c>
      <c r="T276" s="176">
        <f t="shared" si="112"/>
        <v>4</v>
      </c>
      <c r="U276" s="251">
        <f t="shared" si="113"/>
        <v>-1.5102131005520627</v>
      </c>
      <c r="V276" s="383">
        <f t="shared" si="114"/>
        <v>48.054895212105137</v>
      </c>
      <c r="W276" s="58"/>
      <c r="X276" s="157">
        <f t="shared" si="115"/>
        <v>43362</v>
      </c>
      <c r="Y276" s="385">
        <f t="shared" si="116"/>
        <v>36.764000000000003</v>
      </c>
      <c r="Z276" s="385">
        <f t="shared" si="117"/>
        <v>36.847032806717742</v>
      </c>
      <c r="AA276" s="386">
        <f t="shared" si="118"/>
        <v>37.09064480174775</v>
      </c>
      <c r="AB276" s="197">
        <f t="shared" si="119"/>
        <v>43362</v>
      </c>
      <c r="AC276" s="426">
        <f t="shared" si="120"/>
        <v>6.5680172542734944E-3</v>
      </c>
      <c r="AD276" s="169">
        <f>(INDEX(Models!$BJ276:$BT276,,AH276)*(1-AF276)+INDEX(Models!$BJ276:$BT276,,AH276+1)*AF276-ERP_i)*AE276*Ramure*Pc/MaxiM</f>
        <v>5.2333273599616727E-7</v>
      </c>
      <c r="AE276" s="305">
        <f t="shared" si="121"/>
        <v>0.5</v>
      </c>
      <c r="AF276" s="177">
        <f t="shared" si="122"/>
        <v>0.4897868994479373</v>
      </c>
      <c r="AG276" s="811">
        <f t="shared" si="123"/>
        <v>-2</v>
      </c>
      <c r="AH276" s="176">
        <f t="shared" si="124"/>
        <v>4</v>
      </c>
      <c r="AI276" s="225">
        <f t="shared" si="125"/>
        <v>-1.5102131005520627</v>
      </c>
      <c r="AJ276" s="265" t="b">
        <f t="shared" si="126"/>
        <v>0</v>
      </c>
      <c r="AK276" s="265" t="b">
        <f t="shared" si="12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8"/>
        <v>43363</v>
      </c>
      <c r="B277" s="617">
        <v>44.392000000000003</v>
      </c>
      <c r="C277" s="390"/>
      <c r="D277" s="393">
        <f t="shared" si="105"/>
        <v>44.493235433132604</v>
      </c>
      <c r="E277" s="385">
        <f t="shared" si="102"/>
        <v>44.790069459046208</v>
      </c>
      <c r="F277" s="385">
        <f t="shared" si="104"/>
        <v>44.790093084684514</v>
      </c>
      <c r="G277" s="110">
        <f t="shared" si="103"/>
        <v>0.9299699105760213</v>
      </c>
      <c r="I277" s="380">
        <f t="shared" si="106"/>
        <v>44.790093084684514</v>
      </c>
      <c r="J277" s="85">
        <v>2018</v>
      </c>
      <c r="K277" s="197">
        <f t="shared" si="107"/>
        <v>43363</v>
      </c>
      <c r="L277" s="437">
        <f t="shared" si="108"/>
        <v>2.275299428038835E-3</v>
      </c>
      <c r="M277" s="856"/>
      <c r="N277" s="856"/>
      <c r="O277" s="324">
        <f t="shared" si="109"/>
        <v>6.6272285240596739E-3</v>
      </c>
      <c r="P277" s="169">
        <f>(INDEX(Models!$BJ277:$BT277,,T277)*(1-R277)+INDEX(Models!$BJ277:$BT277,,T277+1)*R277-ERP_i)*Q277*Ramure*Pc/MaxiM</f>
        <v>5.8611087780420585E-7</v>
      </c>
      <c r="Q277" s="305">
        <f t="shared" si="110"/>
        <v>0.5</v>
      </c>
      <c r="R277" s="177">
        <f t="shared" si="111"/>
        <v>0.4900950038929961</v>
      </c>
      <c r="S277" s="811">
        <f t="shared" si="129"/>
        <v>-2</v>
      </c>
      <c r="T277" s="176">
        <f t="shared" si="112"/>
        <v>4</v>
      </c>
      <c r="U277" s="251">
        <f t="shared" si="113"/>
        <v>-1.5099049961070039</v>
      </c>
      <c r="V277" s="383">
        <f t="shared" si="114"/>
        <v>47.734874959043061</v>
      </c>
      <c r="W277" s="58"/>
      <c r="X277" s="157">
        <f t="shared" si="115"/>
        <v>43363</v>
      </c>
      <c r="Y277" s="385">
        <f t="shared" si="116"/>
        <v>44.392000000000003</v>
      </c>
      <c r="Z277" s="385">
        <f t="shared" si="117"/>
        <v>44.493235433132604</v>
      </c>
      <c r="AA277" s="386">
        <f t="shared" si="118"/>
        <v>44.790069459046208</v>
      </c>
      <c r="AB277" s="197">
        <f t="shared" si="119"/>
        <v>43363</v>
      </c>
      <c r="AC277" s="426">
        <f t="shared" si="120"/>
        <v>6.6272285240596739E-3</v>
      </c>
      <c r="AD277" s="169">
        <f>(INDEX(Models!$BJ277:$BT277,,AH277)*(1-AF277)+INDEX(Models!$BJ277:$BT277,,AH277+1)*AF277-ERP_i)*AE277*Ramure*Pc/MaxiM</f>
        <v>5.8611087780420585E-7</v>
      </c>
      <c r="AE277" s="305">
        <f t="shared" si="121"/>
        <v>0.5</v>
      </c>
      <c r="AF277" s="177">
        <f t="shared" si="122"/>
        <v>0.4900950038929961</v>
      </c>
      <c r="AG277" s="811">
        <f t="shared" si="123"/>
        <v>-2</v>
      </c>
      <c r="AH277" s="176">
        <f t="shared" si="124"/>
        <v>4</v>
      </c>
      <c r="AI277" s="225">
        <f t="shared" si="125"/>
        <v>-1.5099049961070039</v>
      </c>
      <c r="AJ277" s="265" t="b">
        <f t="shared" si="126"/>
        <v>0</v>
      </c>
      <c r="AK277" s="265" t="b">
        <f t="shared" si="127"/>
        <v>0</v>
      </c>
      <c r="AL277" s="265"/>
      <c r="AM277" s="265"/>
      <c r="AN277" s="75"/>
    </row>
    <row r="278" spans="1:40" s="6" customFormat="1" ht="11.25" x14ac:dyDescent="0.2">
      <c r="A278" s="56">
        <f t="shared" si="128"/>
        <v>43364</v>
      </c>
      <c r="B278" s="617">
        <v>33.619999999999997</v>
      </c>
      <c r="C278" s="390"/>
      <c r="D278" s="393">
        <f t="shared" si="105"/>
        <v>33.697408073728624</v>
      </c>
      <c r="E278" s="385">
        <f t="shared" si="102"/>
        <v>33.924235315535128</v>
      </c>
      <c r="F278" s="385">
        <f t="shared" si="104"/>
        <v>33.924248205674751</v>
      </c>
      <c r="G278" s="110">
        <f t="shared" si="103"/>
        <v>0.70914004199385272</v>
      </c>
      <c r="I278" s="380">
        <f t="shared" si="106"/>
        <v>33.924248205674751</v>
      </c>
      <c r="J278" s="85">
        <v>2018</v>
      </c>
      <c r="K278" s="197">
        <f t="shared" si="107"/>
        <v>43364</v>
      </c>
      <c r="L278" s="437">
        <f t="shared" si="108"/>
        <v>2.2971521595743782E-3</v>
      </c>
      <c r="M278" s="856"/>
      <c r="N278" s="856"/>
      <c r="O278" s="324">
        <f t="shared" si="109"/>
        <v>6.6862890112847941E-3</v>
      </c>
      <c r="P278" s="169">
        <f>(INDEX(Models!$BJ278:$BT278,,T278)*(1-R278)+INDEX(Models!$BJ278:$BT278,,T278+1)*R278-ERP_i)*Q278*Ramure*Pc/MaxiM</f>
        <v>6.500896334611203E-7</v>
      </c>
      <c r="Q278" s="305">
        <f t="shared" si="110"/>
        <v>0.5</v>
      </c>
      <c r="R278" s="177">
        <f t="shared" si="111"/>
        <v>0.49039106546558386</v>
      </c>
      <c r="S278" s="811">
        <f t="shared" si="129"/>
        <v>-2</v>
      </c>
      <c r="T278" s="176">
        <f t="shared" si="112"/>
        <v>4</v>
      </c>
      <c r="U278" s="251">
        <f t="shared" si="113"/>
        <v>-1.5096089345344161</v>
      </c>
      <c r="V278" s="383">
        <f t="shared" si="114"/>
        <v>47.409522700185441</v>
      </c>
      <c r="W278" s="58"/>
      <c r="X278" s="157">
        <f t="shared" si="115"/>
        <v>43364</v>
      </c>
      <c r="Y278" s="385">
        <f t="shared" si="116"/>
        <v>33.619999999999997</v>
      </c>
      <c r="Z278" s="385">
        <f t="shared" si="117"/>
        <v>33.697408073728624</v>
      </c>
      <c r="AA278" s="386">
        <f t="shared" si="118"/>
        <v>33.924235315535128</v>
      </c>
      <c r="AB278" s="197">
        <f t="shared" si="119"/>
        <v>43364</v>
      </c>
      <c r="AC278" s="426">
        <f t="shared" si="120"/>
        <v>6.6862890112847941E-3</v>
      </c>
      <c r="AD278" s="169">
        <f>(INDEX(Models!$BJ278:$BT278,,AH278)*(1-AF278)+INDEX(Models!$BJ278:$BT278,,AH278+1)*AF278-ERP_i)*AE278*Ramure*Pc/MaxiM</f>
        <v>6.500896334611203E-7</v>
      </c>
      <c r="AE278" s="305">
        <f t="shared" si="121"/>
        <v>0.5</v>
      </c>
      <c r="AF278" s="177">
        <f t="shared" si="122"/>
        <v>0.49039106546558386</v>
      </c>
      <c r="AG278" s="811">
        <f t="shared" si="123"/>
        <v>-2</v>
      </c>
      <c r="AH278" s="176">
        <f t="shared" si="124"/>
        <v>4</v>
      </c>
      <c r="AI278" s="225">
        <f t="shared" si="125"/>
        <v>-1.5096089345344161</v>
      </c>
      <c r="AJ278" s="265" t="b">
        <f t="shared" si="126"/>
        <v>0</v>
      </c>
      <c r="AK278" s="265" t="b">
        <f t="shared" si="127"/>
        <v>0</v>
      </c>
      <c r="AL278" s="265"/>
      <c r="AM278" s="265"/>
      <c r="AN278" s="75"/>
    </row>
    <row r="279" spans="1:40" s="6" customFormat="1" ht="11.25" x14ac:dyDescent="0.2">
      <c r="A279" s="56">
        <f t="shared" si="128"/>
        <v>43365</v>
      </c>
      <c r="B279" s="617">
        <v>43.548000000000002</v>
      </c>
      <c r="C279" s="390"/>
      <c r="D279" s="393">
        <f t="shared" si="105"/>
        <v>43.649222740135649</v>
      </c>
      <c r="E279" s="385">
        <f t="shared" si="102"/>
        <v>43.945644671072429</v>
      </c>
      <c r="F279" s="385">
        <f t="shared" si="104"/>
        <v>43.945672735997164</v>
      </c>
      <c r="G279" s="110">
        <f t="shared" si="103"/>
        <v>0.92498476131551222</v>
      </c>
      <c r="I279" s="380">
        <f t="shared" si="106"/>
        <v>43.945672735997164</v>
      </c>
      <c r="J279" s="85">
        <v>2018</v>
      </c>
      <c r="K279" s="197">
        <f t="shared" si="107"/>
        <v>43365</v>
      </c>
      <c r="L279" s="437">
        <f t="shared" si="108"/>
        <v>2.3190044124788978E-3</v>
      </c>
      <c r="M279" s="856"/>
      <c r="N279" s="856"/>
      <c r="O279" s="324">
        <f t="shared" si="109"/>
        <v>6.7451947321620536E-3</v>
      </c>
      <c r="P279" s="169">
        <f>(INDEX(Models!$BJ279:$BT279,,T279)*(1-R279)+INDEX(Models!$BJ279:$BT279,,T279+1)*R279-ERP_i)*Q279*Ramure*Pc/MaxiM</f>
        <v>7.1528040392509923E-7</v>
      </c>
      <c r="Q279" s="305">
        <f t="shared" si="110"/>
        <v>0.5</v>
      </c>
      <c r="R279" s="177">
        <f t="shared" si="111"/>
        <v>0.49067554106039379</v>
      </c>
      <c r="S279" s="811">
        <f t="shared" si="129"/>
        <v>-2</v>
      </c>
      <c r="T279" s="176">
        <f t="shared" si="112"/>
        <v>4</v>
      </c>
      <c r="U279" s="251">
        <f t="shared" si="113"/>
        <v>-1.5093244589396062</v>
      </c>
      <c r="V279" s="383">
        <f t="shared" si="114"/>
        <v>47.079690912953886</v>
      </c>
      <c r="W279" s="58"/>
      <c r="X279" s="157">
        <f t="shared" si="115"/>
        <v>43365</v>
      </c>
      <c r="Y279" s="385">
        <f t="shared" si="116"/>
        <v>43.548000000000002</v>
      </c>
      <c r="Z279" s="385">
        <f t="shared" si="117"/>
        <v>43.649222740135649</v>
      </c>
      <c r="AA279" s="386">
        <f t="shared" si="118"/>
        <v>43.945644671072429</v>
      </c>
      <c r="AB279" s="197">
        <f t="shared" si="119"/>
        <v>43365</v>
      </c>
      <c r="AC279" s="426">
        <f t="shared" si="120"/>
        <v>6.7451947321620536E-3</v>
      </c>
      <c r="AD279" s="169">
        <f>(INDEX(Models!$BJ279:$BT279,,AH279)*(1-AF279)+INDEX(Models!$BJ279:$BT279,,AH279+1)*AF279-ERP_i)*AE279*Ramure*Pc/MaxiM</f>
        <v>7.1528040392509923E-7</v>
      </c>
      <c r="AE279" s="305">
        <f t="shared" si="121"/>
        <v>0.5</v>
      </c>
      <c r="AF279" s="177">
        <f t="shared" si="122"/>
        <v>0.49067554106039379</v>
      </c>
      <c r="AG279" s="811">
        <f t="shared" si="123"/>
        <v>-2</v>
      </c>
      <c r="AH279" s="176">
        <f t="shared" si="124"/>
        <v>4</v>
      </c>
      <c r="AI279" s="225">
        <f t="shared" si="125"/>
        <v>-1.5093244589396062</v>
      </c>
      <c r="AJ279" s="265" t="b">
        <f t="shared" si="126"/>
        <v>0</v>
      </c>
      <c r="AK279" s="265" t="b">
        <f t="shared" si="127"/>
        <v>0</v>
      </c>
      <c r="AL279" s="265"/>
      <c r="AM279" s="265"/>
      <c r="AN279" s="75"/>
    </row>
    <row r="280" spans="1:40" s="6" customFormat="1" ht="11.25" x14ac:dyDescent="0.2">
      <c r="A280" s="56">
        <f t="shared" si="128"/>
        <v>43366</v>
      </c>
      <c r="B280" s="617">
        <v>43.899000000000001</v>
      </c>
      <c r="C280" s="390"/>
      <c r="D280" s="393">
        <f t="shared" si="105"/>
        <v>44.002002359453087</v>
      </c>
      <c r="E280" s="385">
        <f t="shared" si="102"/>
        <v>44.303440381628654</v>
      </c>
      <c r="F280" s="385">
        <f t="shared" si="104"/>
        <v>44.303472000025792</v>
      </c>
      <c r="G280" s="110">
        <f t="shared" si="103"/>
        <v>0.93909167290054796</v>
      </c>
      <c r="I280" s="380">
        <f t="shared" si="106"/>
        <v>44.303472000025792</v>
      </c>
      <c r="J280" s="85">
        <v>2018</v>
      </c>
      <c r="K280" s="197">
        <f t="shared" si="107"/>
        <v>43366</v>
      </c>
      <c r="L280" s="437">
        <f t="shared" si="108"/>
        <v>2.3408561867630517E-3</v>
      </c>
      <c r="M280" s="856"/>
      <c r="N280" s="856"/>
      <c r="O280" s="324">
        <f t="shared" si="109"/>
        <v>6.803941625728986E-3</v>
      </c>
      <c r="P280" s="169">
        <f>(INDEX(Models!$BJ280:$BT280,,T280)*(1-R280)+INDEX(Models!$BJ280:$BT280,,T280+1)*R280-ERP_i)*Q280*Ramure*Pc/MaxiM</f>
        <v>7.8169426397024682E-7</v>
      </c>
      <c r="Q280" s="305">
        <f t="shared" si="110"/>
        <v>0.5</v>
      </c>
      <c r="R280" s="177">
        <f t="shared" si="111"/>
        <v>0.4909488713159591</v>
      </c>
      <c r="S280" s="811">
        <f t="shared" si="129"/>
        <v>-2</v>
      </c>
      <c r="T280" s="176">
        <f t="shared" si="112"/>
        <v>4</v>
      </c>
      <c r="U280" s="251">
        <f t="shared" si="113"/>
        <v>-1.5090511286840409</v>
      </c>
      <c r="V280" s="383">
        <f t="shared" si="114"/>
        <v>46.746231790711342</v>
      </c>
      <c r="W280" s="58"/>
      <c r="X280" s="157">
        <f t="shared" si="115"/>
        <v>43366</v>
      </c>
      <c r="Y280" s="385">
        <f t="shared" si="116"/>
        <v>43.899000000000001</v>
      </c>
      <c r="Z280" s="385">
        <f t="shared" si="117"/>
        <v>44.002002359453087</v>
      </c>
      <c r="AA280" s="386">
        <f t="shared" si="118"/>
        <v>44.303440381628654</v>
      </c>
      <c r="AB280" s="197">
        <f t="shared" si="119"/>
        <v>43366</v>
      </c>
      <c r="AC280" s="426">
        <f t="shared" si="120"/>
        <v>6.803941625728986E-3</v>
      </c>
      <c r="AD280" s="169">
        <f>(INDEX(Models!$BJ280:$BT280,,AH280)*(1-AF280)+INDEX(Models!$BJ280:$BT280,,AH280+1)*AF280-ERP_i)*AE280*Ramure*Pc/MaxiM</f>
        <v>7.8169426397024682E-7</v>
      </c>
      <c r="AE280" s="305">
        <f t="shared" si="121"/>
        <v>0.5</v>
      </c>
      <c r="AF280" s="177">
        <f t="shared" si="122"/>
        <v>0.4909488713159591</v>
      </c>
      <c r="AG280" s="811">
        <f t="shared" si="123"/>
        <v>-2</v>
      </c>
      <c r="AH280" s="176">
        <f t="shared" si="124"/>
        <v>4</v>
      </c>
      <c r="AI280" s="225">
        <f t="shared" si="125"/>
        <v>-1.5090511286840409</v>
      </c>
      <c r="AJ280" s="265" t="b">
        <f t="shared" si="126"/>
        <v>0</v>
      </c>
      <c r="AK280" s="265" t="b">
        <f t="shared" si="127"/>
        <v>0</v>
      </c>
      <c r="AL280" s="265"/>
      <c r="AM280" s="265"/>
      <c r="AN280" s="75"/>
    </row>
    <row r="281" spans="1:40" s="6" customFormat="1" ht="11.25" x14ac:dyDescent="0.2">
      <c r="A281" s="56">
        <f t="shared" si="128"/>
        <v>43367</v>
      </c>
      <c r="B281" s="617">
        <v>39.715000000000003</v>
      </c>
      <c r="C281" s="390"/>
      <c r="D281" s="393">
        <f t="shared" si="105"/>
        <v>39.809057157214127</v>
      </c>
      <c r="E281" s="385">
        <f t="shared" si="102"/>
        <v>40.084135562350887</v>
      </c>
      <c r="F281" s="385">
        <f t="shared" si="104"/>
        <v>40.084162591234495</v>
      </c>
      <c r="G281" s="110">
        <f t="shared" si="103"/>
        <v>0.85574219795275785</v>
      </c>
      <c r="I281" s="380">
        <f t="shared" si="106"/>
        <v>40.084162591234495</v>
      </c>
      <c r="J281" s="85">
        <v>2018</v>
      </c>
      <c r="K281" s="197">
        <f t="shared" si="107"/>
        <v>43367</v>
      </c>
      <c r="L281" s="437">
        <f t="shared" si="108"/>
        <v>2.3627074824372762E-3</v>
      </c>
      <c r="M281" s="856"/>
      <c r="N281" s="856"/>
      <c r="O281" s="324">
        <f t="shared" si="109"/>
        <v>6.8625255672254389E-3</v>
      </c>
      <c r="P281" s="169">
        <f>(INDEX(Models!$BJ281:$BT281,,T281)*(1-R281)+INDEX(Models!$BJ281:$BT281,,T281+1)*R281-ERP_i)*Q281*Ramure*Pc/MaxiM</f>
        <v>8.493366046069193E-7</v>
      </c>
      <c r="Q281" s="305">
        <f t="shared" si="110"/>
        <v>0.5</v>
      </c>
      <c r="R281" s="177">
        <f t="shared" si="111"/>
        <v>0.4912114811080952</v>
      </c>
      <c r="S281" s="811">
        <f t="shared" si="129"/>
        <v>-2</v>
      </c>
      <c r="T281" s="176">
        <f t="shared" si="112"/>
        <v>4</v>
      </c>
      <c r="U281" s="251">
        <f t="shared" si="113"/>
        <v>-1.5087885188919048</v>
      </c>
      <c r="V281" s="383">
        <f t="shared" si="114"/>
        <v>46.409997243983774</v>
      </c>
      <c r="W281" s="58"/>
      <c r="X281" s="157">
        <f t="shared" si="115"/>
        <v>43367</v>
      </c>
      <c r="Y281" s="385">
        <f t="shared" si="116"/>
        <v>39.715000000000003</v>
      </c>
      <c r="Z281" s="385">
        <f t="shared" si="117"/>
        <v>39.809057157214127</v>
      </c>
      <c r="AA281" s="386">
        <f t="shared" si="118"/>
        <v>40.084135562350887</v>
      </c>
      <c r="AB281" s="197">
        <f t="shared" si="119"/>
        <v>43367</v>
      </c>
      <c r="AC281" s="426">
        <f t="shared" si="120"/>
        <v>6.8625255672254389E-3</v>
      </c>
      <c r="AD281" s="169">
        <f>(INDEX(Models!$BJ281:$BT281,,AH281)*(1-AF281)+INDEX(Models!$BJ281:$BT281,,AH281+1)*AF281-ERP_i)*AE281*Ramure*Pc/MaxiM</f>
        <v>8.493366046069193E-7</v>
      </c>
      <c r="AE281" s="305">
        <f t="shared" si="121"/>
        <v>0.5</v>
      </c>
      <c r="AF281" s="177">
        <f t="shared" si="122"/>
        <v>0.4912114811080952</v>
      </c>
      <c r="AG281" s="811">
        <f t="shared" si="123"/>
        <v>-2</v>
      </c>
      <c r="AH281" s="176">
        <f t="shared" si="124"/>
        <v>4</v>
      </c>
      <c r="AI281" s="225">
        <f t="shared" si="125"/>
        <v>-1.5087885188919048</v>
      </c>
      <c r="AJ281" s="265" t="b">
        <f t="shared" si="126"/>
        <v>0</v>
      </c>
      <c r="AK281" s="265" t="b">
        <f t="shared" si="127"/>
        <v>0</v>
      </c>
      <c r="AL281" s="265"/>
      <c r="AM281" s="265"/>
      <c r="AN281" s="75"/>
    </row>
    <row r="282" spans="1:40" s="6" customFormat="1" ht="11.25" x14ac:dyDescent="0.2">
      <c r="A282" s="56">
        <f t="shared" si="128"/>
        <v>43368</v>
      </c>
      <c r="B282" s="617">
        <v>46.082000000000001</v>
      </c>
      <c r="C282" s="390"/>
      <c r="D282" s="393">
        <f t="shared" si="105"/>
        <v>46.192147869574683</v>
      </c>
      <c r="E282" s="385">
        <f t="shared" si="102"/>
        <v>46.514069061558715</v>
      </c>
      <c r="F282" s="385">
        <f t="shared" si="104"/>
        <v>46.514117854235721</v>
      </c>
      <c r="G282" s="110">
        <f t="shared" si="103"/>
        <v>1.0002206797795916</v>
      </c>
      <c r="I282" s="380">
        <f t="shared" si="106"/>
        <v>46.514117854235721</v>
      </c>
      <c r="J282" s="85">
        <v>2018</v>
      </c>
      <c r="K282" s="197">
        <f t="shared" si="107"/>
        <v>43368</v>
      </c>
      <c r="L282" s="437">
        <f t="shared" si="108"/>
        <v>2.3845582995120074E-3</v>
      </c>
      <c r="M282" s="856"/>
      <c r="N282" s="856"/>
      <c r="O282" s="324">
        <f t="shared" si="109"/>
        <v>6.9209423832172143E-3</v>
      </c>
      <c r="P282" s="169">
        <f>(INDEX(Models!$BJ282:$BT282,,T282)*(1-R282)+INDEX(Models!$BJ282:$BT282,,T282+1)*R282-ERP_i)*Q282*Ramure*Pc/MaxiM</f>
        <v>1.0489863993315712E-6</v>
      </c>
      <c r="Q282" s="305">
        <f t="shared" si="110"/>
        <v>0.5</v>
      </c>
      <c r="R282" s="177">
        <f t="shared" si="111"/>
        <v>0.49146378003531344</v>
      </c>
      <c r="S282" s="811">
        <f t="shared" si="129"/>
        <v>-2</v>
      </c>
      <c r="T282" s="176">
        <f t="shared" si="112"/>
        <v>4</v>
      </c>
      <c r="U282" s="251">
        <f t="shared" si="113"/>
        <v>-1.5085362199646866</v>
      </c>
      <c r="V282" s="383">
        <f t="shared" si="114"/>
        <v>46.071832878075092</v>
      </c>
      <c r="W282" s="58"/>
      <c r="X282" s="157">
        <f t="shared" si="115"/>
        <v>43368</v>
      </c>
      <c r="Y282" s="385">
        <f t="shared" si="116"/>
        <v>46.082000000000001</v>
      </c>
      <c r="Z282" s="385">
        <f t="shared" si="117"/>
        <v>46.192147869574683</v>
      </c>
      <c r="AA282" s="386">
        <f t="shared" si="118"/>
        <v>46.514069061558715</v>
      </c>
      <c r="AB282" s="197">
        <f t="shared" si="119"/>
        <v>43368</v>
      </c>
      <c r="AC282" s="426">
        <f t="shared" si="120"/>
        <v>6.9209423832172143E-3</v>
      </c>
      <c r="AD282" s="169">
        <f>(INDEX(Models!$BJ282:$BT282,,AH282)*(1-AF282)+INDEX(Models!$BJ282:$BT282,,AH282+1)*AF282-ERP_i)*AE282*Ramure*Pc/MaxiM</f>
        <v>1.0489863993315712E-6</v>
      </c>
      <c r="AE282" s="305">
        <f t="shared" si="121"/>
        <v>0.5</v>
      </c>
      <c r="AF282" s="177">
        <f t="shared" si="122"/>
        <v>0.49146378003531344</v>
      </c>
      <c r="AG282" s="811">
        <f t="shared" si="123"/>
        <v>-2</v>
      </c>
      <c r="AH282" s="176">
        <f t="shared" si="124"/>
        <v>4</v>
      </c>
      <c r="AI282" s="225">
        <f t="shared" si="125"/>
        <v>-1.5085362199646866</v>
      </c>
      <c r="AJ282" s="265" t="b">
        <f t="shared" si="126"/>
        <v>0</v>
      </c>
      <c r="AK282" s="265" t="b">
        <f t="shared" si="127"/>
        <v>0</v>
      </c>
      <c r="AL282" s="265"/>
      <c r="AM282" s="265"/>
      <c r="AN282" s="75"/>
    </row>
    <row r="283" spans="1:40" s="6" customFormat="1" ht="11.25" x14ac:dyDescent="0.2">
      <c r="A283" s="56">
        <f t="shared" si="128"/>
        <v>43369</v>
      </c>
      <c r="B283" s="617">
        <v>46.04</v>
      </c>
      <c r="C283" s="390"/>
      <c r="D283" s="393">
        <f t="shared" si="105"/>
        <v>46.151058305358752</v>
      </c>
      <c r="E283" s="385">
        <f t="shared" si="102"/>
        <v>46.475418985725121</v>
      </c>
      <c r="F283" s="385">
        <f t="shared" si="104"/>
        <v>46.475483095151723</v>
      </c>
      <c r="G283" s="110">
        <f t="shared" si="103"/>
        <v>1.0067218972020169</v>
      </c>
      <c r="I283" s="380">
        <f t="shared" si="106"/>
        <v>46.475483095151723</v>
      </c>
      <c r="J283" s="85">
        <v>2018</v>
      </c>
      <c r="K283" s="197">
        <f t="shared" si="107"/>
        <v>43369</v>
      </c>
      <c r="L283" s="437">
        <f t="shared" si="108"/>
        <v>2.4064086379977923E-3</v>
      </c>
      <c r="M283" s="856"/>
      <c r="N283" s="856"/>
      <c r="O283" s="324">
        <f t="shared" si="109"/>
        <v>6.9791878684514639E-3</v>
      </c>
      <c r="P283" s="169">
        <f>(INDEX(Models!$BJ283:$BT283,,T283)*(1-R283)+INDEX(Models!$BJ283:$BT283,,T283+1)*R283-ERP_i)*Q283*Ramure*Pc/MaxiM</f>
        <v>1.3794246413464028E-6</v>
      </c>
      <c r="Q283" s="305">
        <f t="shared" si="110"/>
        <v>0.5</v>
      </c>
      <c r="R283" s="177">
        <f t="shared" si="111"/>
        <v>0.49170616289569136</v>
      </c>
      <c r="S283" s="811">
        <f t="shared" si="129"/>
        <v>-2</v>
      </c>
      <c r="T283" s="176">
        <f t="shared" si="112"/>
        <v>4</v>
      </c>
      <c r="U283" s="251">
        <f t="shared" si="113"/>
        <v>-1.5082938371043086</v>
      </c>
      <c r="V283" s="383">
        <f t="shared" si="114"/>
        <v>45.732590229694026</v>
      </c>
      <c r="W283" s="58"/>
      <c r="X283" s="157">
        <f t="shared" si="115"/>
        <v>43369</v>
      </c>
      <c r="Y283" s="385">
        <f t="shared" si="116"/>
        <v>46.04</v>
      </c>
      <c r="Z283" s="385">
        <f t="shared" si="117"/>
        <v>46.151058305358752</v>
      </c>
      <c r="AA283" s="386">
        <f t="shared" si="118"/>
        <v>46.475418985725121</v>
      </c>
      <c r="AB283" s="197">
        <f t="shared" si="119"/>
        <v>43369</v>
      </c>
      <c r="AC283" s="426">
        <f t="shared" si="120"/>
        <v>6.9791878684514639E-3</v>
      </c>
      <c r="AD283" s="169">
        <f>(INDEX(Models!$BJ283:$BT283,,AH283)*(1-AF283)+INDEX(Models!$BJ283:$BT283,,AH283+1)*AF283-ERP_i)*AE283*Ramure*Pc/MaxiM</f>
        <v>1.3794246413464028E-6</v>
      </c>
      <c r="AE283" s="305">
        <f t="shared" si="121"/>
        <v>0.5</v>
      </c>
      <c r="AF283" s="177">
        <f t="shared" si="122"/>
        <v>0.49170616289569136</v>
      </c>
      <c r="AG283" s="811">
        <f t="shared" si="123"/>
        <v>-2</v>
      </c>
      <c r="AH283" s="176">
        <f t="shared" si="124"/>
        <v>4</v>
      </c>
      <c r="AI283" s="225">
        <f t="shared" si="125"/>
        <v>-1.5082938371043086</v>
      </c>
      <c r="AJ283" s="265" t="b">
        <f t="shared" si="126"/>
        <v>0</v>
      </c>
      <c r="AK283" s="265" t="b">
        <f t="shared" si="127"/>
        <v>0</v>
      </c>
      <c r="AL283" s="265"/>
      <c r="AM283" s="265"/>
      <c r="AN283" s="75"/>
    </row>
    <row r="284" spans="1:40" s="6" customFormat="1" ht="11.25" x14ac:dyDescent="0.2">
      <c r="A284" s="56">
        <f t="shared" si="128"/>
        <v>43370</v>
      </c>
      <c r="B284" s="617">
        <v>44.694000000000003</v>
      </c>
      <c r="C284" s="390"/>
      <c r="D284" s="393">
        <f t="shared" si="105"/>
        <v>44.802792762254825</v>
      </c>
      <c r="E284" s="385">
        <f t="shared" si="102"/>
        <v>45.120316058575483</v>
      </c>
      <c r="F284" s="385">
        <f t="shared" si="104"/>
        <v>45.12039737403196</v>
      </c>
      <c r="G284" s="110">
        <f t="shared" si="103"/>
        <v>0.98459849841127378</v>
      </c>
      <c r="I284" s="380">
        <f t="shared" si="106"/>
        <v>45.12039737403196</v>
      </c>
      <c r="J284" s="85">
        <v>2018</v>
      </c>
      <c r="K284" s="197">
        <f t="shared" si="107"/>
        <v>43370</v>
      </c>
      <c r="L284" s="437">
        <f t="shared" si="108"/>
        <v>2.428258497905067E-3</v>
      </c>
      <c r="M284" s="856"/>
      <c r="N284" s="856"/>
      <c r="O284" s="324">
        <f t="shared" si="109"/>
        <v>7.0372578044100081E-3</v>
      </c>
      <c r="P284" s="169">
        <f>(INDEX(Models!$BJ284:$BT284,,T284)*(1-R284)+INDEX(Models!$BJ284:$BT284,,T284+1)*R284-ERP_i)*Q284*Ramure*Pc/MaxiM</f>
        <v>1.8427323535859354E-6</v>
      </c>
      <c r="Q284" s="305">
        <f t="shared" si="110"/>
        <v>0.5</v>
      </c>
      <c r="R284" s="177">
        <f t="shared" si="111"/>
        <v>0.49193901015476071</v>
      </c>
      <c r="S284" s="811">
        <f t="shared" si="129"/>
        <v>-2</v>
      </c>
      <c r="T284" s="176">
        <f t="shared" si="112"/>
        <v>4</v>
      </c>
      <c r="U284" s="251">
        <f t="shared" si="113"/>
        <v>-1.5080609898452393</v>
      </c>
      <c r="V284" s="383">
        <f t="shared" si="114"/>
        <v>45.393120403943584</v>
      </c>
      <c r="W284" s="58"/>
      <c r="X284" s="157">
        <f t="shared" si="115"/>
        <v>43370</v>
      </c>
      <c r="Y284" s="385">
        <f t="shared" si="116"/>
        <v>44.694000000000003</v>
      </c>
      <c r="Z284" s="385">
        <f t="shared" si="117"/>
        <v>44.802792762254825</v>
      </c>
      <c r="AA284" s="386">
        <f t="shared" si="118"/>
        <v>45.120316058575483</v>
      </c>
      <c r="AB284" s="197">
        <f t="shared" si="119"/>
        <v>43370</v>
      </c>
      <c r="AC284" s="426">
        <f t="shared" si="120"/>
        <v>7.0372578044100081E-3</v>
      </c>
      <c r="AD284" s="169">
        <f>(INDEX(Models!$BJ284:$BT284,,AH284)*(1-AF284)+INDEX(Models!$BJ284:$BT284,,AH284+1)*AF284-ERP_i)*AE284*Ramure*Pc/MaxiM</f>
        <v>1.8427323535859354E-6</v>
      </c>
      <c r="AE284" s="305">
        <f t="shared" si="121"/>
        <v>0.5</v>
      </c>
      <c r="AF284" s="177">
        <f t="shared" si="122"/>
        <v>0.49193901015476071</v>
      </c>
      <c r="AG284" s="811">
        <f t="shared" si="123"/>
        <v>-2</v>
      </c>
      <c r="AH284" s="176">
        <f t="shared" si="124"/>
        <v>4</v>
      </c>
      <c r="AI284" s="225">
        <f t="shared" si="125"/>
        <v>-1.5080609898452393</v>
      </c>
      <c r="AJ284" s="265" t="b">
        <f t="shared" si="126"/>
        <v>0</v>
      </c>
      <c r="AK284" s="265" t="b">
        <f t="shared" si="127"/>
        <v>0</v>
      </c>
      <c r="AL284" s="265"/>
      <c r="AM284" s="265"/>
      <c r="AN284" s="75"/>
    </row>
    <row r="285" spans="1:40" s="6" customFormat="1" ht="11.25" x14ac:dyDescent="0.2">
      <c r="A285" s="56">
        <f t="shared" si="128"/>
        <v>43371</v>
      </c>
      <c r="B285" s="617">
        <v>41.768000000000001</v>
      </c>
      <c r="C285" s="390"/>
      <c r="D285" s="393">
        <f t="shared" si="105"/>
        <v>41.870587456235114</v>
      </c>
      <c r="E285" s="385">
        <f t="shared" si="102"/>
        <v>42.169788344806001</v>
      </c>
      <c r="F285" s="385">
        <f t="shared" si="104"/>
        <v>42.169880552957594</v>
      </c>
      <c r="G285" s="110">
        <f t="shared" si="103"/>
        <v>0.92705942090586391</v>
      </c>
      <c r="I285" s="380">
        <f t="shared" si="106"/>
        <v>42.169880552957594</v>
      </c>
      <c r="J285" s="85">
        <v>2018</v>
      </c>
      <c r="K285" s="197">
        <f t="shared" si="107"/>
        <v>43371</v>
      </c>
      <c r="L285" s="437">
        <f t="shared" si="108"/>
        <v>2.4501078792443787E-3</v>
      </c>
      <c r="M285" s="856"/>
      <c r="N285" s="856"/>
      <c r="O285" s="324">
        <f t="shared" si="109"/>
        <v>7.0951479795068918E-3</v>
      </c>
      <c r="P285" s="169">
        <f>(INDEX(Models!$BJ285:$BT285,,T285)*(1-R285)+INDEX(Models!$BJ285:$BT285,,T285+1)*R285-ERP_i)*Q285*Ramure*Pc/MaxiM</f>
        <v>2.4409344959646351E-6</v>
      </c>
      <c r="Q285" s="305">
        <f t="shared" si="110"/>
        <v>0.5</v>
      </c>
      <c r="R285" s="177">
        <f t="shared" si="111"/>
        <v>0.49216268840404731</v>
      </c>
      <c r="S285" s="811">
        <f t="shared" si="129"/>
        <v>-2</v>
      </c>
      <c r="T285" s="176">
        <f t="shared" si="112"/>
        <v>4</v>
      </c>
      <c r="U285" s="251">
        <f t="shared" si="113"/>
        <v>-1.5078373115959527</v>
      </c>
      <c r="V285" s="383">
        <f t="shared" si="114"/>
        <v>45.054274229386643</v>
      </c>
      <c r="W285" s="58"/>
      <c r="X285" s="157">
        <f t="shared" si="115"/>
        <v>43371</v>
      </c>
      <c r="Y285" s="385">
        <f t="shared" si="116"/>
        <v>41.768000000000001</v>
      </c>
      <c r="Z285" s="385">
        <f t="shared" si="117"/>
        <v>41.870587456235114</v>
      </c>
      <c r="AA285" s="386">
        <f t="shared" si="118"/>
        <v>42.169788344806001</v>
      </c>
      <c r="AB285" s="197">
        <f t="shared" si="119"/>
        <v>43371</v>
      </c>
      <c r="AC285" s="426">
        <f t="shared" si="120"/>
        <v>7.0951479795068918E-3</v>
      </c>
      <c r="AD285" s="169">
        <f>(INDEX(Models!$BJ285:$BT285,,AH285)*(1-AF285)+INDEX(Models!$BJ285:$BT285,,AH285+1)*AF285-ERP_i)*AE285*Ramure*Pc/MaxiM</f>
        <v>2.4409344959646351E-6</v>
      </c>
      <c r="AE285" s="305">
        <f t="shared" si="121"/>
        <v>0.5</v>
      </c>
      <c r="AF285" s="177">
        <f t="shared" si="122"/>
        <v>0.49216268840404731</v>
      </c>
      <c r="AG285" s="811">
        <f t="shared" si="123"/>
        <v>-2</v>
      </c>
      <c r="AH285" s="176">
        <f t="shared" si="124"/>
        <v>4</v>
      </c>
      <c r="AI285" s="225">
        <f t="shared" si="125"/>
        <v>-1.5078373115959527</v>
      </c>
      <c r="AJ285" s="265" t="b">
        <f t="shared" si="126"/>
        <v>0</v>
      </c>
      <c r="AK285" s="265" t="b">
        <f t="shared" si="127"/>
        <v>0</v>
      </c>
      <c r="AL285" s="265"/>
      <c r="AM285" s="265"/>
      <c r="AN285" s="75"/>
    </row>
    <row r="286" spans="1:40" s="6" customFormat="1" ht="11.25" x14ac:dyDescent="0.2">
      <c r="A286" s="56">
        <f t="shared" si="128"/>
        <v>43372</v>
      </c>
      <c r="B286" s="617">
        <v>43.454999999999998</v>
      </c>
      <c r="C286" s="390"/>
      <c r="D286" s="393">
        <f t="shared" si="105"/>
        <v>43.562685074813956</v>
      </c>
      <c r="E286" s="385">
        <f t="shared" si="102"/>
        <v>43.876527479150951</v>
      </c>
      <c r="F286" s="385">
        <f t="shared" si="104"/>
        <v>43.876661212239874</v>
      </c>
      <c r="G286" s="110">
        <f t="shared" si="103"/>
        <v>0.97178007062855765</v>
      </c>
      <c r="I286" s="380">
        <f t="shared" si="106"/>
        <v>43.876661212239874</v>
      </c>
      <c r="J286" s="85">
        <v>2018</v>
      </c>
      <c r="K286" s="197">
        <f t="shared" si="107"/>
        <v>43372</v>
      </c>
      <c r="L286" s="437">
        <f t="shared" si="108"/>
        <v>2.4719567820261634E-3</v>
      </c>
      <c r="M286" s="856"/>
      <c r="N286" s="856"/>
      <c r="O286" s="324">
        <f t="shared" si="109"/>
        <v>7.1528542108561712E-3</v>
      </c>
      <c r="P286" s="169">
        <f>(INDEX(Models!$BJ286:$BT286,,T286)*(1-R286)+INDEX(Models!$BJ286:$BT286,,T286+1)*R286-ERP_i)*Q286*Ramure*Pc/MaxiM</f>
        <v>3.1759682137643718E-6</v>
      </c>
      <c r="Q286" s="305">
        <f t="shared" si="110"/>
        <v>0.5</v>
      </c>
      <c r="R286" s="177">
        <f t="shared" si="111"/>
        <v>0.49237755080995749</v>
      </c>
      <c r="S286" s="811">
        <f t="shared" si="129"/>
        <v>-2</v>
      </c>
      <c r="T286" s="176">
        <f t="shared" si="112"/>
        <v>4</v>
      </c>
      <c r="U286" s="251">
        <f t="shared" si="113"/>
        <v>-1.5076224491900425</v>
      </c>
      <c r="V286" s="383">
        <f t="shared" si="114"/>
        <v>44.716902259655626</v>
      </c>
      <c r="W286" s="58"/>
      <c r="X286" s="157">
        <f t="shared" si="115"/>
        <v>43372</v>
      </c>
      <c r="Y286" s="385">
        <f t="shared" si="116"/>
        <v>43.454999999999998</v>
      </c>
      <c r="Z286" s="385">
        <f t="shared" si="117"/>
        <v>43.562685074813956</v>
      </c>
      <c r="AA286" s="386">
        <f t="shared" si="118"/>
        <v>43.876527479150951</v>
      </c>
      <c r="AB286" s="197">
        <f t="shared" si="119"/>
        <v>43372</v>
      </c>
      <c r="AC286" s="426">
        <f t="shared" si="120"/>
        <v>7.1528542108561712E-3</v>
      </c>
      <c r="AD286" s="169">
        <f>(INDEX(Models!$BJ286:$BT286,,AH286)*(1-AF286)+INDEX(Models!$BJ286:$BT286,,AH286+1)*AF286-ERP_i)*AE286*Ramure*Pc/MaxiM</f>
        <v>3.1759682137643718E-6</v>
      </c>
      <c r="AE286" s="305">
        <f t="shared" si="121"/>
        <v>0.5</v>
      </c>
      <c r="AF286" s="177">
        <f t="shared" si="122"/>
        <v>0.49237755080995749</v>
      </c>
      <c r="AG286" s="811">
        <f t="shared" si="123"/>
        <v>-2</v>
      </c>
      <c r="AH286" s="176">
        <f t="shared" si="124"/>
        <v>4</v>
      </c>
      <c r="AI286" s="225">
        <f t="shared" si="125"/>
        <v>-1.5076224491900425</v>
      </c>
      <c r="AJ286" s="265" t="b">
        <f t="shared" si="126"/>
        <v>0</v>
      </c>
      <c r="AK286" s="265" t="b">
        <f t="shared" si="127"/>
        <v>0</v>
      </c>
      <c r="AL286" s="265"/>
      <c r="AM286" s="265"/>
      <c r="AN286" s="75"/>
    </row>
    <row r="287" spans="1:40" s="6" customFormat="1" ht="11.25" x14ac:dyDescent="0.2">
      <c r="A287" s="56">
        <f t="shared" si="128"/>
        <v>43373</v>
      </c>
      <c r="B287" s="617">
        <v>41.005000000000003</v>
      </c>
      <c r="C287" s="390"/>
      <c r="D287" s="393">
        <f t="shared" si="105"/>
        <v>41.10751413276072</v>
      </c>
      <c r="E287" s="385">
        <f t="shared" si="102"/>
        <v>41.406067296241041</v>
      </c>
      <c r="F287" s="385">
        <f t="shared" si="104"/>
        <v>41.406216750872005</v>
      </c>
      <c r="G287" s="110">
        <f t="shared" si="103"/>
        <v>0.92391321091399448</v>
      </c>
      <c r="I287" s="380">
        <f t="shared" si="106"/>
        <v>41.406216750872005</v>
      </c>
      <c r="J287" s="85">
        <v>2018</v>
      </c>
      <c r="K287" s="197">
        <f t="shared" si="107"/>
        <v>43373</v>
      </c>
      <c r="L287" s="437">
        <f t="shared" si="108"/>
        <v>2.4938052062608573E-3</v>
      </c>
      <c r="M287" s="856"/>
      <c r="N287" s="856"/>
      <c r="O287" s="324">
        <f t="shared" si="109"/>
        <v>7.2103723675158238E-3</v>
      </c>
      <c r="P287" s="169">
        <f>(INDEX(Models!$BJ287:$BT287,,T287)*(1-R287)+INDEX(Models!$BJ287:$BT287,,T287+1)*R287-ERP_i)*Q287*Ramure*Pc/MaxiM</f>
        <v>4.0496491669489056E-6</v>
      </c>
      <c r="Q287" s="305">
        <f t="shared" si="110"/>
        <v>0.5</v>
      </c>
      <c r="R287" s="177">
        <f t="shared" si="111"/>
        <v>0.49258393755276653</v>
      </c>
      <c r="S287" s="811">
        <f t="shared" si="129"/>
        <v>-2</v>
      </c>
      <c r="T287" s="176">
        <f t="shared" si="112"/>
        <v>4</v>
      </c>
      <c r="U287" s="251">
        <f t="shared" si="113"/>
        <v>-1.5074160624472335</v>
      </c>
      <c r="V287" s="383">
        <f t="shared" si="114"/>
        <v>44.381854773952021</v>
      </c>
      <c r="W287" s="58"/>
      <c r="X287" s="157">
        <f t="shared" si="115"/>
        <v>43373</v>
      </c>
      <c r="Y287" s="385">
        <f t="shared" si="116"/>
        <v>41.005000000000003</v>
      </c>
      <c r="Z287" s="385">
        <f t="shared" si="117"/>
        <v>41.10751413276072</v>
      </c>
      <c r="AA287" s="386">
        <f t="shared" si="118"/>
        <v>41.406067296241041</v>
      </c>
      <c r="AB287" s="197">
        <f t="shared" si="119"/>
        <v>43373</v>
      </c>
      <c r="AC287" s="426">
        <f t="shared" si="120"/>
        <v>7.2103723675158238E-3</v>
      </c>
      <c r="AD287" s="169">
        <f>(INDEX(Models!$BJ287:$BT287,,AH287)*(1-AF287)+INDEX(Models!$BJ287:$BT287,,AH287+1)*AF287-ERP_i)*AE287*Ramure*Pc/MaxiM</f>
        <v>4.0496491669489056E-6</v>
      </c>
      <c r="AE287" s="305">
        <f t="shared" si="121"/>
        <v>0.5</v>
      </c>
      <c r="AF287" s="177">
        <f t="shared" si="122"/>
        <v>0.49258393755276653</v>
      </c>
      <c r="AG287" s="811">
        <f t="shared" si="123"/>
        <v>-2</v>
      </c>
      <c r="AH287" s="176">
        <f t="shared" si="124"/>
        <v>4</v>
      </c>
      <c r="AI287" s="225">
        <f t="shared" si="125"/>
        <v>-1.5074160624472335</v>
      </c>
      <c r="AJ287" s="265" t="b">
        <f t="shared" si="126"/>
        <v>0</v>
      </c>
      <c r="AK287" s="265" t="b">
        <f t="shared" si="127"/>
        <v>0</v>
      </c>
      <c r="AL287" s="265"/>
      <c r="AM287" s="265"/>
      <c r="AN287" s="75"/>
    </row>
    <row r="288" spans="1:40" s="6" customFormat="1" ht="11.25" x14ac:dyDescent="0.2">
      <c r="A288" s="56">
        <f t="shared" si="128"/>
        <v>43374</v>
      </c>
      <c r="B288" s="617">
        <v>27.46</v>
      </c>
      <c r="C288" s="390"/>
      <c r="D288" s="393">
        <f t="shared" si="105"/>
        <v>27.529254054733872</v>
      </c>
      <c r="E288" s="385">
        <f t="shared" si="102"/>
        <v>27.730793095206575</v>
      </c>
      <c r="F288" s="385">
        <f t="shared" si="104"/>
        <v>27.730857965316282</v>
      </c>
      <c r="G288" s="110">
        <f t="shared" si="103"/>
        <v>0.62338107941437881</v>
      </c>
      <c r="I288" s="380">
        <f t="shared" si="106"/>
        <v>27.730857965316282</v>
      </c>
      <c r="J288" s="85">
        <v>2018</v>
      </c>
      <c r="K288" s="197">
        <f t="shared" si="107"/>
        <v>43374</v>
      </c>
      <c r="L288" s="437">
        <f t="shared" si="108"/>
        <v>2.5156531519590075E-3</v>
      </c>
      <c r="M288" s="856"/>
      <c r="N288" s="856"/>
      <c r="O288" s="324">
        <f t="shared" si="109"/>
        <v>7.267698395093493E-3</v>
      </c>
      <c r="P288" s="169">
        <f>(INDEX(Models!$BJ288:$BT288,,T288)*(1-R288)+INDEX(Models!$BJ288:$BT288,,T288+1)*R288-ERP_i)*Q288*Ramure*Pc/MaxiM</f>
        <v>5.0636360003085947E-6</v>
      </c>
      <c r="Q288" s="305">
        <f t="shared" si="110"/>
        <v>0.5</v>
      </c>
      <c r="R288" s="177">
        <f t="shared" si="111"/>
        <v>0.49278217625551468</v>
      </c>
      <c r="S288" s="811">
        <f t="shared" si="129"/>
        <v>-2</v>
      </c>
      <c r="T288" s="176">
        <f t="shared" si="112"/>
        <v>4</v>
      </c>
      <c r="U288" s="251">
        <f t="shared" si="113"/>
        <v>-1.5072178237444853</v>
      </c>
      <c r="V288" s="383">
        <f t="shared" si="114"/>
        <v>44.049981777880397</v>
      </c>
      <c r="W288" s="58"/>
      <c r="X288" s="157">
        <f t="shared" si="115"/>
        <v>43374</v>
      </c>
      <c r="Y288" s="385">
        <f t="shared" si="116"/>
        <v>27.46</v>
      </c>
      <c r="Z288" s="385">
        <f t="shared" si="117"/>
        <v>27.529254054733872</v>
      </c>
      <c r="AA288" s="386">
        <f t="shared" si="118"/>
        <v>27.730793095206575</v>
      </c>
      <c r="AB288" s="197">
        <f t="shared" si="119"/>
        <v>43374</v>
      </c>
      <c r="AC288" s="426">
        <f t="shared" si="120"/>
        <v>7.267698395093493E-3</v>
      </c>
      <c r="AD288" s="169">
        <f>(INDEX(Models!$BJ288:$BT288,,AH288)*(1-AF288)+INDEX(Models!$BJ288:$BT288,,AH288+1)*AF288-ERP_i)*AE288*Ramure*Pc/MaxiM</f>
        <v>5.0636360003085947E-6</v>
      </c>
      <c r="AE288" s="305">
        <f t="shared" si="121"/>
        <v>0.5</v>
      </c>
      <c r="AF288" s="177">
        <f t="shared" si="122"/>
        <v>0.49278217625551468</v>
      </c>
      <c r="AG288" s="811">
        <f t="shared" si="123"/>
        <v>-2</v>
      </c>
      <c r="AH288" s="176">
        <f t="shared" si="124"/>
        <v>4</v>
      </c>
      <c r="AI288" s="225">
        <f t="shared" si="125"/>
        <v>-1.5072178237444853</v>
      </c>
      <c r="AJ288" s="265" t="b">
        <f t="shared" si="126"/>
        <v>0</v>
      </c>
      <c r="AK288" s="265" t="b">
        <f t="shared" si="12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8"/>
        <v>43375</v>
      </c>
      <c r="B289" s="617">
        <v>44.112000000000002</v>
      </c>
      <c r="C289" s="390"/>
      <c r="D289" s="393">
        <f t="shared" si="105"/>
        <v>44.224218983050079</v>
      </c>
      <c r="E289" s="385">
        <f t="shared" si="102"/>
        <v>44.550544070893388</v>
      </c>
      <c r="F289" s="385">
        <f t="shared" si="104"/>
        <v>44.550821163435508</v>
      </c>
      <c r="G289" s="110">
        <f t="shared" si="103"/>
        <v>1.0089659887314031</v>
      </c>
      <c r="I289" s="380">
        <f t="shared" si="106"/>
        <v>44.550821163435508</v>
      </c>
      <c r="J289" s="85">
        <v>2018</v>
      </c>
      <c r="K289" s="197">
        <f t="shared" si="107"/>
        <v>43375</v>
      </c>
      <c r="L289" s="437">
        <f t="shared" si="108"/>
        <v>2.5375006191310501E-3</v>
      </c>
      <c r="M289" s="856"/>
      <c r="N289" s="856"/>
      <c r="O289" s="324">
        <f t="shared" si="109"/>
        <v>7.3248283415804421E-3</v>
      </c>
      <c r="P289" s="169">
        <f>(INDEX(Models!$BJ289:$BT289,,T289)*(1-R289)+INDEX(Models!$BJ289:$BT289,,T289+1)*R289-ERP_i)*Q289*Ramure*Pc/MaxiM</f>
        <v>6.2196955046867257E-6</v>
      </c>
      <c r="Q289" s="305">
        <f t="shared" si="110"/>
        <v>0.5</v>
      </c>
      <c r="R289" s="177">
        <f t="shared" si="111"/>
        <v>0.49297258240267117</v>
      </c>
      <c r="S289" s="811">
        <f t="shared" si="129"/>
        <v>-2</v>
      </c>
      <c r="T289" s="176">
        <f t="shared" si="112"/>
        <v>4</v>
      </c>
      <c r="U289" s="251">
        <f t="shared" si="113"/>
        <v>-1.5070274175973288</v>
      </c>
      <c r="V289" s="383">
        <f t="shared" si="114"/>
        <v>43.720006910701784</v>
      </c>
      <c r="W289" s="58"/>
      <c r="X289" s="157">
        <f t="shared" si="115"/>
        <v>43375</v>
      </c>
      <c r="Y289" s="385">
        <f t="shared" si="116"/>
        <v>44.112000000000002</v>
      </c>
      <c r="Z289" s="385">
        <f t="shared" si="117"/>
        <v>44.224218983050079</v>
      </c>
      <c r="AA289" s="386">
        <f t="shared" si="118"/>
        <v>44.550544070893388</v>
      </c>
      <c r="AB289" s="197">
        <f t="shared" si="119"/>
        <v>43375</v>
      </c>
      <c r="AC289" s="426">
        <f t="shared" si="120"/>
        <v>7.3248283415804421E-3</v>
      </c>
      <c r="AD289" s="169">
        <f>(INDEX(Models!$BJ289:$BT289,,AH289)*(1-AF289)+INDEX(Models!$BJ289:$BT289,,AH289+1)*AF289-ERP_i)*AE289*Ramure*Pc/MaxiM</f>
        <v>6.2196955046867257E-6</v>
      </c>
      <c r="AE289" s="305">
        <f t="shared" si="121"/>
        <v>0.5</v>
      </c>
      <c r="AF289" s="177">
        <f t="shared" si="122"/>
        <v>0.49297258240267117</v>
      </c>
      <c r="AG289" s="811">
        <f t="shared" si="123"/>
        <v>-2</v>
      </c>
      <c r="AH289" s="176">
        <f t="shared" si="124"/>
        <v>4</v>
      </c>
      <c r="AI289" s="225">
        <f t="shared" si="125"/>
        <v>-1.5070274175973288</v>
      </c>
      <c r="AJ289" s="265" t="b">
        <f t="shared" si="126"/>
        <v>0</v>
      </c>
      <c r="AK289" s="265" t="b">
        <f t="shared" si="127"/>
        <v>0</v>
      </c>
      <c r="AL289" s="265"/>
      <c r="AM289" s="265"/>
      <c r="AN289" s="75"/>
    </row>
    <row r="290" spans="1:40" s="6" customFormat="1" ht="11.25" x14ac:dyDescent="0.2">
      <c r="A290" s="56">
        <f t="shared" si="128"/>
        <v>43376</v>
      </c>
      <c r="B290" s="617">
        <v>42.094000000000001</v>
      </c>
      <c r="C290" s="390"/>
      <c r="D290" s="393">
        <f t="shared" si="105"/>
        <v>42.202009612345186</v>
      </c>
      <c r="E290" s="385">
        <f t="shared" si="102"/>
        <v>42.515851354545596</v>
      </c>
      <c r="F290" s="385">
        <f t="shared" si="104"/>
        <v>42.516161138689995</v>
      </c>
      <c r="G290" s="110">
        <f t="shared" si="103"/>
        <v>0.9701291882920472</v>
      </c>
      <c r="I290" s="380">
        <f t="shared" si="106"/>
        <v>42.516161138689995</v>
      </c>
      <c r="J290" s="85">
        <v>2018</v>
      </c>
      <c r="K290" s="197">
        <f t="shared" si="107"/>
        <v>43376</v>
      </c>
      <c r="L290" s="437">
        <f t="shared" si="108"/>
        <v>2.5593476077875321E-3</v>
      </c>
      <c r="M290" s="856"/>
      <c r="N290" s="856"/>
      <c r="O290" s="324">
        <f t="shared" si="109"/>
        <v>7.3817583842610513E-3</v>
      </c>
      <c r="P290" s="169">
        <f>(INDEX(Models!$BJ290:$BT290,,T290)*(1-R290)+INDEX(Models!$BJ290:$BT290,,T290+1)*R290-ERP_i)*Q290*Ramure*Pc/MaxiM</f>
        <v>7.6110476773686462E-6</v>
      </c>
      <c r="Q290" s="305">
        <f t="shared" si="110"/>
        <v>0.5</v>
      </c>
      <c r="R290" s="177">
        <f t="shared" si="111"/>
        <v>0.49315545974845931</v>
      </c>
      <c r="S290" s="811">
        <f t="shared" si="129"/>
        <v>-2</v>
      </c>
      <c r="T290" s="176">
        <f t="shared" si="112"/>
        <v>4</v>
      </c>
      <c r="U290" s="251">
        <f t="shared" si="113"/>
        <v>-1.5068445402515407</v>
      </c>
      <c r="V290" s="383">
        <f t="shared" si="114"/>
        <v>43.39008333800664</v>
      </c>
      <c r="W290" s="58"/>
      <c r="X290" s="157">
        <f t="shared" si="115"/>
        <v>43376</v>
      </c>
      <c r="Y290" s="385">
        <f t="shared" si="116"/>
        <v>42.094000000000001</v>
      </c>
      <c r="Z290" s="385">
        <f t="shared" si="117"/>
        <v>42.202009612345186</v>
      </c>
      <c r="AA290" s="386">
        <f t="shared" si="118"/>
        <v>42.515851354545596</v>
      </c>
      <c r="AB290" s="197">
        <f t="shared" si="119"/>
        <v>43376</v>
      </c>
      <c r="AC290" s="426">
        <f t="shared" si="120"/>
        <v>7.3817583842610513E-3</v>
      </c>
      <c r="AD290" s="169">
        <f>(INDEX(Models!$BJ290:$BT290,,AH290)*(1-AF290)+INDEX(Models!$BJ290:$BT290,,AH290+1)*AF290-ERP_i)*AE290*Ramure*Pc/MaxiM</f>
        <v>7.6110476773686462E-6</v>
      </c>
      <c r="AE290" s="305">
        <f t="shared" si="121"/>
        <v>0.5</v>
      </c>
      <c r="AF290" s="177">
        <f t="shared" si="122"/>
        <v>0.49315545974845931</v>
      </c>
      <c r="AG290" s="811">
        <f t="shared" si="123"/>
        <v>-2</v>
      </c>
      <c r="AH290" s="176">
        <f t="shared" si="124"/>
        <v>4</v>
      </c>
      <c r="AI290" s="225">
        <f t="shared" si="125"/>
        <v>-1.5068445402515407</v>
      </c>
      <c r="AJ290" s="265" t="b">
        <f t="shared" si="126"/>
        <v>0</v>
      </c>
      <c r="AK290" s="265" t="b">
        <f t="shared" si="12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8"/>
        <v>43377</v>
      </c>
      <c r="B291" s="617">
        <v>41.671999999999997</v>
      </c>
      <c r="C291" s="390"/>
      <c r="D291" s="393">
        <f t="shared" si="105"/>
        <v>41.779841882114525</v>
      </c>
      <c r="E291" s="385">
        <f t="shared" si="102"/>
        <v>42.092949650699921</v>
      </c>
      <c r="F291" s="385">
        <f t="shared" si="104"/>
        <v>42.093320826448114</v>
      </c>
      <c r="G291" s="110">
        <f t="shared" si="103"/>
        <v>0.96776075399819461</v>
      </c>
      <c r="I291" s="380">
        <f t="shared" si="106"/>
        <v>42.093320826448114</v>
      </c>
      <c r="J291" s="85">
        <v>2018</v>
      </c>
      <c r="K291" s="197">
        <f t="shared" si="107"/>
        <v>43377</v>
      </c>
      <c r="L291" s="437">
        <f t="shared" si="108"/>
        <v>2.5811941179388898E-3</v>
      </c>
      <c r="M291" s="856"/>
      <c r="N291" s="856"/>
      <c r="O291" s="324">
        <f t="shared" si="109"/>
        <v>7.4384848575273542E-3</v>
      </c>
      <c r="P291" s="169">
        <f>(INDEX(Models!$BJ291:$BT291,,T291)*(1-R291)+INDEX(Models!$BJ291:$BT291,,T291+1)*R291-ERP_i)*Q291*Ramure*Pc/MaxiM</f>
        <v>9.2436455576838451E-6</v>
      </c>
      <c r="Q291" s="305">
        <f t="shared" si="110"/>
        <v>0.5</v>
      </c>
      <c r="R291" s="177">
        <f t="shared" si="111"/>
        <v>0.49333110071478981</v>
      </c>
      <c r="S291" s="811">
        <f t="shared" si="129"/>
        <v>-2</v>
      </c>
      <c r="T291" s="176">
        <f t="shared" si="112"/>
        <v>4</v>
      </c>
      <c r="U291" s="251">
        <f t="shared" si="113"/>
        <v>-1.5066688992852102</v>
      </c>
      <c r="V291" s="383">
        <f t="shared" si="114"/>
        <v>43.060210994355266</v>
      </c>
      <c r="W291" s="58"/>
      <c r="X291" s="157">
        <f t="shared" si="115"/>
        <v>43377</v>
      </c>
      <c r="Y291" s="385">
        <f t="shared" si="116"/>
        <v>41.671999999999997</v>
      </c>
      <c r="Z291" s="385">
        <f t="shared" si="117"/>
        <v>41.779841882114525</v>
      </c>
      <c r="AA291" s="386">
        <f t="shared" si="118"/>
        <v>42.092949650699921</v>
      </c>
      <c r="AB291" s="197">
        <f t="shared" si="119"/>
        <v>43377</v>
      </c>
      <c r="AC291" s="426">
        <f t="shared" si="120"/>
        <v>7.4384848575273542E-3</v>
      </c>
      <c r="AD291" s="169">
        <f>(INDEX(Models!$BJ291:$BT291,,AH291)*(1-AF291)+INDEX(Models!$BJ291:$BT291,,AH291+1)*AF291-ERP_i)*AE291*Ramure*Pc/MaxiM</f>
        <v>9.2436455576838451E-6</v>
      </c>
      <c r="AE291" s="305">
        <f t="shared" si="121"/>
        <v>0.5</v>
      </c>
      <c r="AF291" s="177">
        <f t="shared" si="122"/>
        <v>0.49333110071478981</v>
      </c>
      <c r="AG291" s="811">
        <f t="shared" si="123"/>
        <v>-2</v>
      </c>
      <c r="AH291" s="176">
        <f t="shared" si="124"/>
        <v>4</v>
      </c>
      <c r="AI291" s="225">
        <f t="shared" si="125"/>
        <v>-1.5066688992852102</v>
      </c>
      <c r="AJ291" s="265" t="b">
        <f t="shared" si="126"/>
        <v>0</v>
      </c>
      <c r="AK291" s="265" t="b">
        <f t="shared" si="127"/>
        <v>0</v>
      </c>
      <c r="AL291" s="265"/>
      <c r="AM291" s="265"/>
      <c r="AN291" s="75"/>
    </row>
    <row r="292" spans="1:40" s="6" customFormat="1" ht="11.25" x14ac:dyDescent="0.2">
      <c r="A292" s="56">
        <f t="shared" si="128"/>
        <v>43378</v>
      </c>
      <c r="B292" s="617">
        <v>41.854999999999997</v>
      </c>
      <c r="C292" s="390"/>
      <c r="D292" s="393">
        <f t="shared" si="105"/>
        <v>41.964234587478252</v>
      </c>
      <c r="E292" s="385">
        <f t="shared" si="102"/>
        <v>42.281131851729889</v>
      </c>
      <c r="F292" s="385">
        <f t="shared" si="104"/>
        <v>42.281588278704412</v>
      </c>
      <c r="G292" s="110">
        <f t="shared" si="103"/>
        <v>0.97951332615927156</v>
      </c>
      <c r="I292" s="380">
        <f t="shared" si="106"/>
        <v>42.281588278704412</v>
      </c>
      <c r="J292" s="85">
        <v>2018</v>
      </c>
      <c r="K292" s="197">
        <f t="shared" si="107"/>
        <v>43378</v>
      </c>
      <c r="L292" s="437">
        <f t="shared" si="108"/>
        <v>2.6030401495955591E-3</v>
      </c>
      <c r="M292" s="856"/>
      <c r="N292" s="856"/>
      <c r="O292" s="324">
        <f t="shared" si="109"/>
        <v>7.4950042814114172E-3</v>
      </c>
      <c r="P292" s="169">
        <f>(INDEX(Models!$BJ292:$BT292,,T292)*(1-R292)+INDEX(Models!$BJ292:$BT292,,T292+1)*R292-ERP_i)*Q292*Ramure*Pc/MaxiM</f>
        <v>1.1120386148722834E-5</v>
      </c>
      <c r="Q292" s="305">
        <f t="shared" si="110"/>
        <v>0.5</v>
      </c>
      <c r="R292" s="177">
        <f t="shared" si="111"/>
        <v>0.49349978677877138</v>
      </c>
      <c r="S292" s="811">
        <f t="shared" si="129"/>
        <v>-2</v>
      </c>
      <c r="T292" s="176">
        <f t="shared" si="112"/>
        <v>4</v>
      </c>
      <c r="U292" s="251">
        <f t="shared" si="113"/>
        <v>-1.5065002132212286</v>
      </c>
      <c r="V292" s="383">
        <f t="shared" si="114"/>
        <v>42.730389939857716</v>
      </c>
      <c r="W292" s="58"/>
      <c r="X292" s="157">
        <f t="shared" si="115"/>
        <v>43378</v>
      </c>
      <c r="Y292" s="385">
        <f t="shared" si="116"/>
        <v>41.854999999999997</v>
      </c>
      <c r="Z292" s="385">
        <f t="shared" si="117"/>
        <v>41.964234587478252</v>
      </c>
      <c r="AA292" s="386">
        <f t="shared" si="118"/>
        <v>42.281131851729889</v>
      </c>
      <c r="AB292" s="197">
        <f t="shared" si="119"/>
        <v>43378</v>
      </c>
      <c r="AC292" s="426">
        <f t="shared" si="120"/>
        <v>7.4950042814114172E-3</v>
      </c>
      <c r="AD292" s="169">
        <f>(INDEX(Models!$BJ292:$BT292,,AH292)*(1-AF292)+INDEX(Models!$BJ292:$BT292,,AH292+1)*AF292-ERP_i)*AE292*Ramure*Pc/MaxiM</f>
        <v>1.1120386148722834E-5</v>
      </c>
      <c r="AE292" s="305">
        <f t="shared" si="121"/>
        <v>0.5</v>
      </c>
      <c r="AF292" s="177">
        <f t="shared" si="122"/>
        <v>0.49349978677877138</v>
      </c>
      <c r="AG292" s="811">
        <f t="shared" si="123"/>
        <v>-2</v>
      </c>
      <c r="AH292" s="176">
        <f t="shared" si="124"/>
        <v>4</v>
      </c>
      <c r="AI292" s="225">
        <f t="shared" si="125"/>
        <v>-1.5065002132212286</v>
      </c>
      <c r="AJ292" s="265" t="b">
        <f t="shared" si="126"/>
        <v>0</v>
      </c>
      <c r="AK292" s="265" t="b">
        <f t="shared" si="127"/>
        <v>0</v>
      </c>
      <c r="AL292" s="265"/>
      <c r="AM292" s="265"/>
      <c r="AN292" s="75"/>
    </row>
    <row r="293" spans="1:40" s="6" customFormat="1" ht="11.25" x14ac:dyDescent="0.2">
      <c r="A293" s="56">
        <f t="shared" si="128"/>
        <v>43379</v>
      </c>
      <c r="B293" s="617">
        <v>39.234999999999999</v>
      </c>
      <c r="C293" s="390"/>
      <c r="D293" s="393">
        <f t="shared" si="105"/>
        <v>39.338258432130296</v>
      </c>
      <c r="E293" s="385">
        <f t="shared" si="102"/>
        <v>39.63757417678363</v>
      </c>
      <c r="F293" s="385">
        <f t="shared" ref="F293:F324" si="130">Wh_sa/(1-Pvg*MEDIAN((-Sdif+Wh/Env_an)/Csdif,0,1))</f>
        <v>39.638043153684698</v>
      </c>
      <c r="G293" s="110">
        <f t="shared" si="103"/>
        <v>0.92533893053779204</v>
      </c>
      <c r="I293" s="380">
        <f t="shared" si="106"/>
        <v>39.638043153684698</v>
      </c>
      <c r="J293" s="85">
        <v>2018</v>
      </c>
      <c r="K293" s="197">
        <f t="shared" si="107"/>
        <v>43379</v>
      </c>
      <c r="L293" s="437">
        <f t="shared" si="108"/>
        <v>2.6248857027680872E-3</v>
      </c>
      <c r="M293" s="856"/>
      <c r="N293" s="856"/>
      <c r="O293" s="324">
        <f t="shared" si="109"/>
        <v>7.5513133906325147E-3</v>
      </c>
      <c r="P293" s="169">
        <f>(INDEX(Models!$BJ293:$BT293,,T293)*(1-R293)+INDEX(Models!$BJ293:$BT293,,T293+1)*R293-ERP_i)*Q293*Ramure*Pc/MaxiM</f>
        <v>1.3244053061792716E-5</v>
      </c>
      <c r="Q293" s="305">
        <f t="shared" si="110"/>
        <v>0.5</v>
      </c>
      <c r="R293" s="177">
        <f t="shared" si="111"/>
        <v>0.49366178884981049</v>
      </c>
      <c r="S293" s="811">
        <f t="shared" si="129"/>
        <v>-2</v>
      </c>
      <c r="T293" s="176">
        <f t="shared" si="112"/>
        <v>4</v>
      </c>
      <c r="U293" s="251">
        <f t="shared" si="113"/>
        <v>-1.5063382111501895</v>
      </c>
      <c r="V293" s="383">
        <f t="shared" si="114"/>
        <v>42.400620229413491</v>
      </c>
      <c r="W293" s="58"/>
      <c r="X293" s="157">
        <f t="shared" si="115"/>
        <v>43379</v>
      </c>
      <c r="Y293" s="385">
        <f t="shared" si="116"/>
        <v>39.234999999999999</v>
      </c>
      <c r="Z293" s="385">
        <f t="shared" si="117"/>
        <v>39.338258432130296</v>
      </c>
      <c r="AA293" s="386">
        <f t="shared" si="118"/>
        <v>39.63757417678363</v>
      </c>
      <c r="AB293" s="197">
        <f t="shared" si="119"/>
        <v>43379</v>
      </c>
      <c r="AC293" s="426">
        <f t="shared" si="120"/>
        <v>7.5513133906325147E-3</v>
      </c>
      <c r="AD293" s="169">
        <f>(INDEX(Models!$BJ293:$BT293,,AH293)*(1-AF293)+INDEX(Models!$BJ293:$BT293,,AH293+1)*AF293-ERP_i)*AE293*Ramure*Pc/MaxiM</f>
        <v>1.3244053061792716E-5</v>
      </c>
      <c r="AE293" s="305">
        <f t="shared" si="121"/>
        <v>0.5</v>
      </c>
      <c r="AF293" s="177">
        <f t="shared" si="122"/>
        <v>0.49366178884981049</v>
      </c>
      <c r="AG293" s="811">
        <f t="shared" si="123"/>
        <v>-2</v>
      </c>
      <c r="AH293" s="176">
        <f t="shared" si="124"/>
        <v>4</v>
      </c>
      <c r="AI293" s="225">
        <f t="shared" si="125"/>
        <v>-1.5063382111501895</v>
      </c>
      <c r="AJ293" s="265" t="b">
        <f t="shared" si="126"/>
        <v>0</v>
      </c>
      <c r="AK293" s="265" t="b">
        <f t="shared" si="12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8"/>
        <v>43380</v>
      </c>
      <c r="B294" s="617">
        <v>13.465</v>
      </c>
      <c r="C294" s="390"/>
      <c r="D294" s="393">
        <f t="shared" si="105"/>
        <v>13.500732805033438</v>
      </c>
      <c r="E294" s="385">
        <f t="shared" si="102"/>
        <v>13.604225716416853</v>
      </c>
      <c r="F294" s="385">
        <f t="shared" si="130"/>
        <v>13.60423180342115</v>
      </c>
      <c r="G294" s="110">
        <f t="shared" si="103"/>
        <v>0.32005008510935873</v>
      </c>
      <c r="I294" s="380">
        <f t="shared" si="106"/>
        <v>13.60423180342115</v>
      </c>
      <c r="J294" s="85">
        <v>2018</v>
      </c>
      <c r="K294" s="197">
        <f t="shared" si="107"/>
        <v>43380</v>
      </c>
      <c r="L294" s="437">
        <f t="shared" si="108"/>
        <v>2.6467307774669102E-3</v>
      </c>
      <c r="M294" s="856"/>
      <c r="N294" s="856"/>
      <c r="O294" s="324">
        <f t="shared" si="109"/>
        <v>7.6074091639426892E-3</v>
      </c>
      <c r="P294" s="169">
        <f>(INDEX(Models!$BJ294:$BT294,,T294)*(1-R294)+INDEX(Models!$BJ294:$BT294,,T294+1)*R294-ERP_i)*Q294*Ramure*Pc/MaxiM</f>
        <v>1.5617310735966668E-5</v>
      </c>
      <c r="Q294" s="305">
        <f t="shared" si="110"/>
        <v>0.5</v>
      </c>
      <c r="R294" s="177">
        <f t="shared" si="111"/>
        <v>0.49381736763633333</v>
      </c>
      <c r="S294" s="811">
        <f t="shared" si="129"/>
        <v>-2</v>
      </c>
      <c r="T294" s="176">
        <f t="shared" si="112"/>
        <v>4</v>
      </c>
      <c r="U294" s="251">
        <f t="shared" si="113"/>
        <v>-1.5061826323636667</v>
      </c>
      <c r="V294" s="383">
        <f t="shared" si="114"/>
        <v>42.070901911886367</v>
      </c>
      <c r="W294" s="58"/>
      <c r="X294" s="157">
        <f t="shared" si="115"/>
        <v>43380</v>
      </c>
      <c r="Y294" s="385">
        <f t="shared" si="116"/>
        <v>13.465</v>
      </c>
      <c r="Z294" s="385">
        <f t="shared" si="117"/>
        <v>13.500732805033438</v>
      </c>
      <c r="AA294" s="386">
        <f t="shared" si="118"/>
        <v>13.604225716416853</v>
      </c>
      <c r="AB294" s="197">
        <f t="shared" si="119"/>
        <v>43380</v>
      </c>
      <c r="AC294" s="426">
        <f t="shared" si="120"/>
        <v>7.6074091639426892E-3</v>
      </c>
      <c r="AD294" s="169">
        <f>(INDEX(Models!$BJ294:$BT294,,AH294)*(1-AF294)+INDEX(Models!$BJ294:$BT294,,AH294+1)*AF294-ERP_i)*AE294*Ramure*Pc/MaxiM</f>
        <v>1.5617310735966668E-5</v>
      </c>
      <c r="AE294" s="305">
        <f t="shared" si="121"/>
        <v>0.5</v>
      </c>
      <c r="AF294" s="177">
        <f t="shared" si="122"/>
        <v>0.49381736763633333</v>
      </c>
      <c r="AG294" s="811">
        <f t="shared" si="123"/>
        <v>-2</v>
      </c>
      <c r="AH294" s="176">
        <f t="shared" si="124"/>
        <v>4</v>
      </c>
      <c r="AI294" s="225">
        <f t="shared" si="125"/>
        <v>-1.5061826323636667</v>
      </c>
      <c r="AJ294" s="265" t="b">
        <f t="shared" si="126"/>
        <v>0</v>
      </c>
      <c r="AK294" s="265" t="b">
        <f t="shared" si="12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8"/>
        <v>43381</v>
      </c>
      <c r="B295" s="617">
        <v>13.224</v>
      </c>
      <c r="C295" s="390"/>
      <c r="D295" s="393">
        <f t="shared" si="105"/>
        <v>13.259383664718142</v>
      </c>
      <c r="E295" s="385">
        <f t="shared" si="102"/>
        <v>13.361778835531961</v>
      </c>
      <c r="F295" s="385">
        <f t="shared" si="130"/>
        <v>13.361784688795531</v>
      </c>
      <c r="G295" s="110">
        <f t="shared" si="103"/>
        <v>0.31680338499973976</v>
      </c>
      <c r="I295" s="380">
        <f t="shared" si="106"/>
        <v>13.361784688795531</v>
      </c>
      <c r="J295" s="85">
        <v>2018</v>
      </c>
      <c r="K295" s="197">
        <f t="shared" si="107"/>
        <v>43381</v>
      </c>
      <c r="L295" s="437">
        <f t="shared" si="108"/>
        <v>2.6685753737025752E-3</v>
      </c>
      <c r="M295" s="856"/>
      <c r="N295" s="856"/>
      <c r="O295" s="324">
        <f t="shared" si="109"/>
        <v>7.6632888535416079E-3</v>
      </c>
      <c r="P295" s="169">
        <f>(INDEX(Models!$BJ295:$BT295,,T295)*(1-R295)+INDEX(Models!$BJ295:$BT295,,T295+1)*R295-ERP_i)*Q295*Ramure*Pc/MaxiM</f>
        <v>1.8242699776045624E-5</v>
      </c>
      <c r="Q295" s="305">
        <f t="shared" si="110"/>
        <v>0.5</v>
      </c>
      <c r="R295" s="177">
        <f t="shared" si="111"/>
        <v>0.49396677400219469</v>
      </c>
      <c r="S295" s="811">
        <f t="shared" si="129"/>
        <v>-2</v>
      </c>
      <c r="T295" s="176">
        <f t="shared" si="112"/>
        <v>4</v>
      </c>
      <c r="U295" s="251">
        <f t="shared" si="113"/>
        <v>-1.5060332259978053</v>
      </c>
      <c r="V295" s="383">
        <f t="shared" si="114"/>
        <v>41.74123502926426</v>
      </c>
      <c r="W295" s="58"/>
      <c r="X295" s="157">
        <f t="shared" si="115"/>
        <v>43381</v>
      </c>
      <c r="Y295" s="385">
        <f t="shared" si="116"/>
        <v>13.224</v>
      </c>
      <c r="Z295" s="385">
        <f t="shared" si="117"/>
        <v>13.259383664718142</v>
      </c>
      <c r="AA295" s="386">
        <f t="shared" si="118"/>
        <v>13.361778835531961</v>
      </c>
      <c r="AB295" s="197">
        <f t="shared" si="119"/>
        <v>43381</v>
      </c>
      <c r="AC295" s="426">
        <f t="shared" si="120"/>
        <v>7.6632888535416079E-3</v>
      </c>
      <c r="AD295" s="169">
        <f>(INDEX(Models!$BJ295:$BT295,,AH295)*(1-AF295)+INDEX(Models!$BJ295:$BT295,,AH295+1)*AF295-ERP_i)*AE295*Ramure*Pc/MaxiM</f>
        <v>1.8242699776045624E-5</v>
      </c>
      <c r="AE295" s="305">
        <f t="shared" si="121"/>
        <v>0.5</v>
      </c>
      <c r="AF295" s="177">
        <f t="shared" si="122"/>
        <v>0.49396677400219469</v>
      </c>
      <c r="AG295" s="811">
        <f t="shared" si="123"/>
        <v>-2</v>
      </c>
      <c r="AH295" s="176">
        <f t="shared" si="124"/>
        <v>4</v>
      </c>
      <c r="AI295" s="225">
        <f t="shared" si="125"/>
        <v>-1.5060332259978053</v>
      </c>
      <c r="AJ295" s="265" t="b">
        <f t="shared" si="126"/>
        <v>0</v>
      </c>
      <c r="AK295" s="265" t="b">
        <f t="shared" si="12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8"/>
        <v>43382</v>
      </c>
      <c r="B296" s="617">
        <v>34.454999999999998</v>
      </c>
      <c r="C296" s="390"/>
      <c r="D296" s="393">
        <f t="shared" si="105"/>
        <v>34.547948473965192</v>
      </c>
      <c r="E296" s="385">
        <f t="shared" si="102"/>
        <v>34.81669681635443</v>
      </c>
      <c r="F296" s="385">
        <f t="shared" si="130"/>
        <v>34.817249653456408</v>
      </c>
      <c r="G296" s="110">
        <f t="shared" si="103"/>
        <v>0.83200849475678262</v>
      </c>
      <c r="I296" s="380">
        <f t="shared" si="106"/>
        <v>34.817249653456408</v>
      </c>
      <c r="J296" s="85">
        <v>2018</v>
      </c>
      <c r="K296" s="197">
        <f t="shared" si="107"/>
        <v>43382</v>
      </c>
      <c r="L296" s="437">
        <f t="shared" si="108"/>
        <v>2.6904194914855184E-3</v>
      </c>
      <c r="M296" s="856"/>
      <c r="N296" s="856"/>
      <c r="O296" s="324">
        <f t="shared" si="109"/>
        <v>7.7189500143217352E-3</v>
      </c>
      <c r="P296" s="169">
        <f>(INDEX(Models!$BJ296:$BT296,,T296)*(1-R296)+INDEX(Models!$BJ296:$BT296,,T296+1)*R296-ERP_i)*Q296*Ramure*Pc/MaxiM</f>
        <v>2.08919408676161E-5</v>
      </c>
      <c r="Q296" s="305">
        <f t="shared" si="110"/>
        <v>0.5</v>
      </c>
      <c r="R296" s="177">
        <f t="shared" si="111"/>
        <v>0.49411024931285707</v>
      </c>
      <c r="S296" s="811">
        <f t="shared" si="129"/>
        <v>-2</v>
      </c>
      <c r="T296" s="176">
        <f t="shared" si="112"/>
        <v>4</v>
      </c>
      <c r="U296" s="251">
        <f t="shared" si="113"/>
        <v>-1.5058897506871429</v>
      </c>
      <c r="V296" s="383">
        <f t="shared" si="114"/>
        <v>41.411629169383389</v>
      </c>
      <c r="W296" s="58"/>
      <c r="X296" s="157">
        <f t="shared" si="115"/>
        <v>43382</v>
      </c>
      <c r="Y296" s="385">
        <f t="shared" si="116"/>
        <v>34.454999999999998</v>
      </c>
      <c r="Z296" s="385">
        <f t="shared" si="117"/>
        <v>34.547948473965192</v>
      </c>
      <c r="AA296" s="386">
        <f t="shared" si="118"/>
        <v>34.81669681635443</v>
      </c>
      <c r="AB296" s="197">
        <f t="shared" si="119"/>
        <v>43382</v>
      </c>
      <c r="AC296" s="426">
        <f t="shared" si="120"/>
        <v>7.7189500143217352E-3</v>
      </c>
      <c r="AD296" s="169">
        <f>(INDEX(Models!$BJ296:$BT296,,AH296)*(1-AF296)+INDEX(Models!$BJ296:$BT296,,AH296+1)*AF296-ERP_i)*AE296*Ramure*Pc/MaxiM</f>
        <v>2.08919408676161E-5</v>
      </c>
      <c r="AE296" s="305">
        <f t="shared" si="121"/>
        <v>0.5</v>
      </c>
      <c r="AF296" s="177">
        <f t="shared" si="122"/>
        <v>0.49411024931285707</v>
      </c>
      <c r="AG296" s="811">
        <f t="shared" si="123"/>
        <v>-2</v>
      </c>
      <c r="AH296" s="176">
        <f t="shared" si="124"/>
        <v>4</v>
      </c>
      <c r="AI296" s="225">
        <f t="shared" si="125"/>
        <v>-1.5058897506871429</v>
      </c>
      <c r="AJ296" s="265" t="b">
        <f t="shared" si="126"/>
        <v>0</v>
      </c>
      <c r="AK296" s="265" t="b">
        <f t="shared" si="12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8"/>
        <v>43383</v>
      </c>
      <c r="B297" s="617">
        <v>19.116</v>
      </c>
      <c r="C297" s="390"/>
      <c r="D297" s="393">
        <f t="shared" si="105"/>
        <v>19.167988628850129</v>
      </c>
      <c r="E297" s="385">
        <f t="shared" ref="E297:E360" si="131">Wh_pvt/(1-Psa)</f>
        <v>19.318175670894902</v>
      </c>
      <c r="F297" s="385">
        <f t="shared" si="130"/>
        <v>19.318282535152555</v>
      </c>
      <c r="G297" s="110">
        <f t="shared" ref="G297:G360" si="132">+Wh_hp/MaxiM</f>
        <v>0.4653039307847856</v>
      </c>
      <c r="I297" s="380">
        <f t="shared" si="106"/>
        <v>19.318282535152555</v>
      </c>
      <c r="J297" s="85">
        <v>2018</v>
      </c>
      <c r="K297" s="197">
        <f t="shared" si="107"/>
        <v>43383</v>
      </c>
      <c r="L297" s="437">
        <f t="shared" si="108"/>
        <v>2.7122631308262868E-3</v>
      </c>
      <c r="M297" s="856"/>
      <c r="N297" s="856"/>
      <c r="O297" s="324">
        <f t="shared" si="109"/>
        <v>7.7743905326964199E-3</v>
      </c>
      <c r="P297" s="169">
        <f>(INDEX(Models!$BJ297:$BT297,,T297)*(1-R297)+INDEX(Models!$BJ297:$BT297,,T297+1)*R297-ERP_i)*Q297*Ramure*Pc/MaxiM</f>
        <v>2.3423778172380123E-5</v>
      </c>
      <c r="Q297" s="305">
        <f t="shared" si="110"/>
        <v>0.5</v>
      </c>
      <c r="R297" s="177">
        <f t="shared" si="111"/>
        <v>0.49424802577144833</v>
      </c>
      <c r="S297" s="811">
        <f t="shared" si="129"/>
        <v>-2</v>
      </c>
      <c r="T297" s="176">
        <f t="shared" si="112"/>
        <v>4</v>
      </c>
      <c r="U297" s="251">
        <f t="shared" si="113"/>
        <v>-1.5057519742285517</v>
      </c>
      <c r="V297" s="383">
        <f t="shared" si="114"/>
        <v>41.082090027052665</v>
      </c>
      <c r="W297" s="58"/>
      <c r="X297" s="157">
        <f t="shared" si="115"/>
        <v>43383</v>
      </c>
      <c r="Y297" s="385">
        <f t="shared" si="116"/>
        <v>19.116</v>
      </c>
      <c r="Z297" s="385">
        <f t="shared" si="117"/>
        <v>19.167988628850129</v>
      </c>
      <c r="AA297" s="386">
        <f t="shared" si="118"/>
        <v>19.318175670894902</v>
      </c>
      <c r="AB297" s="197">
        <f t="shared" si="119"/>
        <v>43383</v>
      </c>
      <c r="AC297" s="426">
        <f t="shared" si="120"/>
        <v>7.7743905326964199E-3</v>
      </c>
      <c r="AD297" s="169">
        <f>(INDEX(Models!$BJ297:$BT297,,AH297)*(1-AF297)+INDEX(Models!$BJ297:$BT297,,AH297+1)*AF297-ERP_i)*AE297*Ramure*Pc/MaxiM</f>
        <v>2.3423778172380123E-5</v>
      </c>
      <c r="AE297" s="305">
        <f t="shared" si="121"/>
        <v>0.5</v>
      </c>
      <c r="AF297" s="177">
        <f t="shared" si="122"/>
        <v>0.49424802577144833</v>
      </c>
      <c r="AG297" s="811">
        <f t="shared" si="123"/>
        <v>-2</v>
      </c>
      <c r="AH297" s="176">
        <f t="shared" si="124"/>
        <v>4</v>
      </c>
      <c r="AI297" s="225">
        <f t="shared" si="125"/>
        <v>-1.5057519742285517</v>
      </c>
      <c r="AJ297" s="265" t="b">
        <f t="shared" si="126"/>
        <v>0</v>
      </c>
      <c r="AK297" s="265" t="b">
        <f t="shared" si="12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8"/>
        <v>43384</v>
      </c>
      <c r="B298" s="617">
        <v>30.626999999999999</v>
      </c>
      <c r="C298" s="390"/>
      <c r="D298" s="393">
        <f t="shared" si="105"/>
        <v>30.710967048231844</v>
      </c>
      <c r="E298" s="385">
        <f t="shared" si="131"/>
        <v>30.953319425902365</v>
      </c>
      <c r="F298" s="385">
        <f t="shared" si="130"/>
        <v>30.95383528420837</v>
      </c>
      <c r="G298" s="110">
        <f t="shared" si="132"/>
        <v>0.75152765788784304</v>
      </c>
      <c r="I298" s="380">
        <f t="shared" si="106"/>
        <v>30.95383528420837</v>
      </c>
      <c r="J298" s="85">
        <v>2018</v>
      </c>
      <c r="K298" s="197">
        <f t="shared" si="107"/>
        <v>43384</v>
      </c>
      <c r="L298" s="437">
        <f t="shared" si="108"/>
        <v>2.7341062917352055E-3</v>
      </c>
      <c r="M298" s="856"/>
      <c r="N298" s="856"/>
      <c r="O298" s="324">
        <f t="shared" si="109"/>
        <v>7.8296086547576058E-3</v>
      </c>
      <c r="P298" s="169">
        <f>(INDEX(Models!$BJ298:$BT298,,T298)*(1-R298)+INDEX(Models!$BJ298:$BT298,,T298+1)*R298-ERP_i)*Q298*Ramure*Pc/MaxiM</f>
        <v>2.5835865427520851E-5</v>
      </c>
      <c r="Q298" s="305">
        <f t="shared" si="110"/>
        <v>0.5</v>
      </c>
      <c r="R298" s="177">
        <f t="shared" si="111"/>
        <v>0.49438032674481458</v>
      </c>
      <c r="S298" s="811">
        <f t="shared" si="129"/>
        <v>-2</v>
      </c>
      <c r="T298" s="176">
        <f t="shared" si="112"/>
        <v>4</v>
      </c>
      <c r="U298" s="251">
        <f t="shared" si="113"/>
        <v>-1.5056196732551854</v>
      </c>
      <c r="V298" s="383">
        <f t="shared" si="114"/>
        <v>40.75261743234735</v>
      </c>
      <c r="W298" s="58"/>
      <c r="X298" s="157">
        <f t="shared" si="115"/>
        <v>43384</v>
      </c>
      <c r="Y298" s="385">
        <f t="shared" si="116"/>
        <v>30.626999999999999</v>
      </c>
      <c r="Z298" s="385">
        <f t="shared" si="117"/>
        <v>30.710967048231844</v>
      </c>
      <c r="AA298" s="386">
        <f t="shared" si="118"/>
        <v>30.953319425902365</v>
      </c>
      <c r="AB298" s="197">
        <f t="shared" si="119"/>
        <v>43384</v>
      </c>
      <c r="AC298" s="426">
        <f t="shared" si="120"/>
        <v>7.8296086547576058E-3</v>
      </c>
      <c r="AD298" s="169">
        <f>(INDEX(Models!$BJ298:$BT298,,AH298)*(1-AF298)+INDEX(Models!$BJ298:$BT298,,AH298+1)*AF298-ERP_i)*AE298*Ramure*Pc/MaxiM</f>
        <v>2.5835865427520851E-5</v>
      </c>
      <c r="AE298" s="305">
        <f t="shared" si="121"/>
        <v>0.5</v>
      </c>
      <c r="AF298" s="177">
        <f t="shared" si="122"/>
        <v>0.49438032674481458</v>
      </c>
      <c r="AG298" s="811">
        <f t="shared" si="123"/>
        <v>-2</v>
      </c>
      <c r="AH298" s="176">
        <f t="shared" si="124"/>
        <v>4</v>
      </c>
      <c r="AI298" s="225">
        <f t="shared" si="125"/>
        <v>-1.5056196732551854</v>
      </c>
      <c r="AJ298" s="265" t="b">
        <f t="shared" si="126"/>
        <v>0</v>
      </c>
      <c r="AK298" s="265" t="b">
        <f t="shared" si="12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8"/>
        <v>43385</v>
      </c>
      <c r="B299" s="617">
        <v>34.795000000000002</v>
      </c>
      <c r="C299" s="390"/>
      <c r="D299" s="393">
        <f t="shared" si="105"/>
        <v>34.891158251793478</v>
      </c>
      <c r="E299" s="385">
        <f t="shared" si="131"/>
        <v>35.168447498923832</v>
      </c>
      <c r="F299" s="385">
        <f t="shared" si="130"/>
        <v>35.169239917574913</v>
      </c>
      <c r="G299" s="110">
        <f t="shared" si="132"/>
        <v>0.86076301993139481</v>
      </c>
      <c r="I299" s="380">
        <f t="shared" si="106"/>
        <v>35.169239917574913</v>
      </c>
      <c r="J299" s="85">
        <v>2018</v>
      </c>
      <c r="K299" s="197">
        <f t="shared" si="107"/>
        <v>43385</v>
      </c>
      <c r="L299" s="437">
        <f t="shared" si="108"/>
        <v>2.7559489742228216E-3</v>
      </c>
      <c r="M299" s="856"/>
      <c r="N299" s="856"/>
      <c r="O299" s="324">
        <f t="shared" si="109"/>
        <v>7.8846030135063215E-3</v>
      </c>
      <c r="P299" s="169">
        <f>(INDEX(Models!$BJ299:$BT299,,T299)*(1-R299)+INDEX(Models!$BJ299:$BT299,,T299+1)*R299-ERP_i)*Q299*Ramure*Pc/MaxiM</f>
        <v>2.8125914431875889E-5</v>
      </c>
      <c r="Q299" s="305">
        <f t="shared" si="110"/>
        <v>0.5</v>
      </c>
      <c r="R299" s="177">
        <f t="shared" si="111"/>
        <v>0.49450736707971599</v>
      </c>
      <c r="S299" s="811">
        <f t="shared" si="129"/>
        <v>-2</v>
      </c>
      <c r="T299" s="176">
        <f t="shared" si="112"/>
        <v>4</v>
      </c>
      <c r="U299" s="251">
        <f t="shared" si="113"/>
        <v>-1.505492632920284</v>
      </c>
      <c r="V299" s="383">
        <f t="shared" si="114"/>
        <v>40.423211191888669</v>
      </c>
      <c r="W299" s="58"/>
      <c r="X299" s="157">
        <f t="shared" si="115"/>
        <v>43385</v>
      </c>
      <c r="Y299" s="385">
        <f t="shared" si="116"/>
        <v>34.795000000000002</v>
      </c>
      <c r="Z299" s="385">
        <f t="shared" si="117"/>
        <v>34.891158251793478</v>
      </c>
      <c r="AA299" s="386">
        <f t="shared" si="118"/>
        <v>35.168447498923832</v>
      </c>
      <c r="AB299" s="197">
        <f t="shared" si="119"/>
        <v>43385</v>
      </c>
      <c r="AC299" s="426">
        <f t="shared" si="120"/>
        <v>7.8846030135063215E-3</v>
      </c>
      <c r="AD299" s="169">
        <f>(INDEX(Models!$BJ299:$BT299,,AH299)*(1-AF299)+INDEX(Models!$BJ299:$BT299,,AH299+1)*AF299-ERP_i)*AE299*Ramure*Pc/MaxiM</f>
        <v>2.8125914431875889E-5</v>
      </c>
      <c r="AE299" s="305">
        <f t="shared" si="121"/>
        <v>0.5</v>
      </c>
      <c r="AF299" s="177">
        <f t="shared" si="122"/>
        <v>0.49450736707971599</v>
      </c>
      <c r="AG299" s="811">
        <f t="shared" si="123"/>
        <v>-2</v>
      </c>
      <c r="AH299" s="176">
        <f t="shared" si="124"/>
        <v>4</v>
      </c>
      <c r="AI299" s="225">
        <f t="shared" si="125"/>
        <v>-1.505492632920284</v>
      </c>
      <c r="AJ299" s="265" t="b">
        <f t="shared" si="126"/>
        <v>0</v>
      </c>
      <c r="AK299" s="265" t="b">
        <f t="shared" si="12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8"/>
        <v>43386</v>
      </c>
      <c r="B300" s="617">
        <v>28.117000000000001</v>
      </c>
      <c r="C300" s="390"/>
      <c r="D300" s="393">
        <f t="shared" si="105"/>
        <v>28.195320713146309</v>
      </c>
      <c r="E300" s="385">
        <f t="shared" si="131"/>
        <v>28.420965348258065</v>
      </c>
      <c r="F300" s="385">
        <f t="shared" si="130"/>
        <v>28.421458884123194</v>
      </c>
      <c r="G300" s="110">
        <f t="shared" si="132"/>
        <v>0.70127018837821842</v>
      </c>
      <c r="I300" s="380">
        <f t="shared" si="106"/>
        <v>28.421458884123194</v>
      </c>
      <c r="J300" s="85">
        <v>2018</v>
      </c>
      <c r="K300" s="197">
        <f t="shared" si="107"/>
        <v>43386</v>
      </c>
      <c r="L300" s="437">
        <f t="shared" si="108"/>
        <v>2.7777911782996823E-3</v>
      </c>
      <c r="M300" s="856"/>
      <c r="N300" s="856"/>
      <c r="O300" s="324">
        <f t="shared" si="109"/>
        <v>7.9393726548977004E-3</v>
      </c>
      <c r="P300" s="169">
        <f>(INDEX(Models!$BJ300:$BT300,,T300)*(1-R300)+INDEX(Models!$BJ300:$BT300,,T300+1)*R300-ERP_i)*Q300*Ramure*Pc/MaxiM</f>
        <v>3.0291702599526714E-5</v>
      </c>
      <c r="Q300" s="305">
        <f t="shared" si="110"/>
        <v>0.5</v>
      </c>
      <c r="R300" s="177">
        <f t="shared" si="111"/>
        <v>0.49462935340931002</v>
      </c>
      <c r="S300" s="811">
        <f t="shared" si="129"/>
        <v>-2</v>
      </c>
      <c r="T300" s="176">
        <f t="shared" si="112"/>
        <v>4</v>
      </c>
      <c r="U300" s="251">
        <f t="shared" si="113"/>
        <v>-1.50537064659069</v>
      </c>
      <c r="V300" s="383">
        <f t="shared" si="114"/>
        <v>40.093871088226585</v>
      </c>
      <c r="W300" s="58"/>
      <c r="X300" s="157">
        <f t="shared" si="115"/>
        <v>43386</v>
      </c>
      <c r="Y300" s="385">
        <f t="shared" si="116"/>
        <v>28.117000000000001</v>
      </c>
      <c r="Z300" s="385">
        <f t="shared" si="117"/>
        <v>28.195320713146309</v>
      </c>
      <c r="AA300" s="386">
        <f t="shared" si="118"/>
        <v>28.420965348258065</v>
      </c>
      <c r="AB300" s="197">
        <f t="shared" si="119"/>
        <v>43386</v>
      </c>
      <c r="AC300" s="426">
        <f t="shared" si="120"/>
        <v>7.9393726548977004E-3</v>
      </c>
      <c r="AD300" s="169">
        <f>(INDEX(Models!$BJ300:$BT300,,AH300)*(1-AF300)+INDEX(Models!$BJ300:$BT300,,AH300+1)*AF300-ERP_i)*AE300*Ramure*Pc/MaxiM</f>
        <v>3.0291702599526714E-5</v>
      </c>
      <c r="AE300" s="305">
        <f t="shared" si="121"/>
        <v>0.5</v>
      </c>
      <c r="AF300" s="177">
        <f t="shared" si="122"/>
        <v>0.49462935340931002</v>
      </c>
      <c r="AG300" s="811">
        <f t="shared" si="123"/>
        <v>-2</v>
      </c>
      <c r="AH300" s="176">
        <f t="shared" si="124"/>
        <v>4</v>
      </c>
      <c r="AI300" s="225">
        <f t="shared" si="125"/>
        <v>-1.50537064659069</v>
      </c>
      <c r="AJ300" s="265" t="b">
        <f t="shared" si="126"/>
        <v>0</v>
      </c>
      <c r="AK300" s="265" t="b">
        <f t="shared" si="12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8"/>
        <v>43387</v>
      </c>
      <c r="B301" s="617">
        <v>35.329000000000001</v>
      </c>
      <c r="C301" s="390"/>
      <c r="D301" s="393">
        <f t="shared" si="105"/>
        <v>35.428185915015867</v>
      </c>
      <c r="E301" s="385">
        <f t="shared" si="131"/>
        <v>35.713678095707763</v>
      </c>
      <c r="F301" s="385">
        <f t="shared" si="130"/>
        <v>35.714648786243551</v>
      </c>
      <c r="G301" s="110">
        <f t="shared" si="132"/>
        <v>0.88844904140421466</v>
      </c>
      <c r="I301" s="380">
        <f t="shared" si="106"/>
        <v>35.714648786243551</v>
      </c>
      <c r="J301" s="85">
        <v>2018</v>
      </c>
      <c r="K301" s="197">
        <f t="shared" si="107"/>
        <v>43387</v>
      </c>
      <c r="L301" s="437">
        <f t="shared" si="108"/>
        <v>2.7996329039762236E-3</v>
      </c>
      <c r="M301" s="856"/>
      <c r="N301" s="856"/>
      <c r="O301" s="324">
        <f t="shared" si="109"/>
        <v>7.9939170624436645E-3</v>
      </c>
      <c r="P301" s="169">
        <f>(INDEX(Models!$BJ301:$BT301,,T301)*(1-R301)+INDEX(Models!$BJ301:$BT301,,T301+1)*R301-ERP_i)*Q301*Ramure*Pc/MaxiM</f>
        <v>3.2331080105280271E-5</v>
      </c>
      <c r="Q301" s="305">
        <f t="shared" si="110"/>
        <v>0.5</v>
      </c>
      <c r="R301" s="177">
        <f t="shared" si="111"/>
        <v>0.49474648445009084</v>
      </c>
      <c r="S301" s="811">
        <f t="shared" si="129"/>
        <v>-2</v>
      </c>
      <c r="T301" s="176">
        <f t="shared" si="112"/>
        <v>4</v>
      </c>
      <c r="U301" s="251">
        <f t="shared" si="113"/>
        <v>-1.5052535155499092</v>
      </c>
      <c r="V301" s="383">
        <f t="shared" si="114"/>
        <v>39.7645968793557</v>
      </c>
      <c r="W301" s="58"/>
      <c r="X301" s="157">
        <f t="shared" si="115"/>
        <v>43387</v>
      </c>
      <c r="Y301" s="385">
        <f t="shared" si="116"/>
        <v>35.329000000000001</v>
      </c>
      <c r="Z301" s="385">
        <f t="shared" si="117"/>
        <v>35.428185915015867</v>
      </c>
      <c r="AA301" s="386">
        <f t="shared" si="118"/>
        <v>35.713678095707763</v>
      </c>
      <c r="AB301" s="197">
        <f t="shared" si="119"/>
        <v>43387</v>
      </c>
      <c r="AC301" s="426">
        <f t="shared" si="120"/>
        <v>7.9939170624436645E-3</v>
      </c>
      <c r="AD301" s="169">
        <f>(INDEX(Models!$BJ301:$BT301,,AH301)*(1-AF301)+INDEX(Models!$BJ301:$BT301,,AH301+1)*AF301-ERP_i)*AE301*Ramure*Pc/MaxiM</f>
        <v>3.2331080105280271E-5</v>
      </c>
      <c r="AE301" s="305">
        <f t="shared" si="121"/>
        <v>0.5</v>
      </c>
      <c r="AF301" s="177">
        <f t="shared" si="122"/>
        <v>0.49474648445009084</v>
      </c>
      <c r="AG301" s="811">
        <f t="shared" si="123"/>
        <v>-2</v>
      </c>
      <c r="AH301" s="176">
        <f t="shared" si="124"/>
        <v>4</v>
      </c>
      <c r="AI301" s="225">
        <f t="shared" si="125"/>
        <v>-1.5052535155499092</v>
      </c>
      <c r="AJ301" s="265" t="b">
        <f t="shared" si="126"/>
        <v>0</v>
      </c>
      <c r="AK301" s="265" t="b">
        <f t="shared" si="12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8"/>
        <v>43388</v>
      </c>
      <c r="B302" s="617">
        <v>10.795999999999999</v>
      </c>
      <c r="C302" s="390"/>
      <c r="D302" s="393">
        <f t="shared" si="105"/>
        <v>10.826546822005726</v>
      </c>
      <c r="E302" s="385">
        <f t="shared" si="131"/>
        <v>10.914388397591104</v>
      </c>
      <c r="F302" s="385">
        <f t="shared" si="130"/>
        <v>10.914388397591104</v>
      </c>
      <c r="G302" s="110">
        <f t="shared" si="132"/>
        <v>0.27375488842494022</v>
      </c>
      <c r="I302" s="380">
        <f t="shared" si="106"/>
        <v>10.914388397591104</v>
      </c>
      <c r="J302" s="85">
        <v>2018</v>
      </c>
      <c r="K302" s="197">
        <f t="shared" si="107"/>
        <v>43388</v>
      </c>
      <c r="L302" s="437">
        <f t="shared" si="108"/>
        <v>2.8214741512629926E-3</v>
      </c>
      <c r="M302" s="856"/>
      <c r="N302" s="856"/>
      <c r="O302" s="324">
        <f t="shared" si="109"/>
        <v>8.0482361801202697E-3</v>
      </c>
      <c r="P302" s="169">
        <f>(INDEX(Models!$BJ302:$BT302,,T302)*(1-R302)+INDEX(Models!$BJ302:$BT302,,T302+1)*R302-ERP_i)*Q302*Ramure*Pc/MaxiM</f>
        <v>3.4241976507128217E-5</v>
      </c>
      <c r="Q302" s="305">
        <f t="shared" si="110"/>
        <v>0.5</v>
      </c>
      <c r="R302" s="177">
        <f t="shared" si="111"/>
        <v>0.49485895128945701</v>
      </c>
      <c r="S302" s="811">
        <f t="shared" si="129"/>
        <v>-2</v>
      </c>
      <c r="T302" s="176">
        <f t="shared" si="112"/>
        <v>4</v>
      </c>
      <c r="U302" s="251">
        <f t="shared" si="113"/>
        <v>-1.505141048710543</v>
      </c>
      <c r="V302" s="383">
        <f t="shared" si="114"/>
        <v>39.435388298396134</v>
      </c>
      <c r="W302" s="58"/>
      <c r="X302" s="157">
        <f t="shared" si="115"/>
        <v>43388</v>
      </c>
      <c r="Y302" s="385">
        <f t="shared" si="116"/>
        <v>10.795999999999999</v>
      </c>
      <c r="Z302" s="385">
        <f t="shared" si="117"/>
        <v>10.826546822005726</v>
      </c>
      <c r="AA302" s="386">
        <f t="shared" si="118"/>
        <v>10.914388397591104</v>
      </c>
      <c r="AB302" s="197">
        <f t="shared" si="119"/>
        <v>43388</v>
      </c>
      <c r="AC302" s="426">
        <f t="shared" si="120"/>
        <v>8.0482361801202697E-3</v>
      </c>
      <c r="AD302" s="169">
        <f>(INDEX(Models!$BJ302:$BT302,,AH302)*(1-AF302)+INDEX(Models!$BJ302:$BT302,,AH302+1)*AF302-ERP_i)*AE302*Ramure*Pc/MaxiM</f>
        <v>3.4241976507128217E-5</v>
      </c>
      <c r="AE302" s="305">
        <f t="shared" si="121"/>
        <v>0.5</v>
      </c>
      <c r="AF302" s="177">
        <f t="shared" si="122"/>
        <v>0.49485895128945701</v>
      </c>
      <c r="AG302" s="811">
        <f t="shared" si="123"/>
        <v>-2</v>
      </c>
      <c r="AH302" s="176">
        <f t="shared" si="124"/>
        <v>4</v>
      </c>
      <c r="AI302" s="225">
        <f t="shared" si="125"/>
        <v>-1.505141048710543</v>
      </c>
      <c r="AJ302" s="265" t="b">
        <f t="shared" si="126"/>
        <v>0</v>
      </c>
      <c r="AK302" s="265" t="b">
        <f t="shared" si="12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8"/>
        <v>43389</v>
      </c>
      <c r="B303" s="617">
        <v>17.864000000000001</v>
      </c>
      <c r="C303" s="390"/>
      <c r="D303" s="393">
        <f t="shared" si="105"/>
        <v>17.914937809969008</v>
      </c>
      <c r="E303" s="385">
        <f t="shared" si="131"/>
        <v>18.061276238097779</v>
      </c>
      <c r="F303" s="385">
        <f t="shared" si="130"/>
        <v>18.061421995831125</v>
      </c>
      <c r="G303" s="110">
        <f t="shared" si="132"/>
        <v>0.45680481507970316</v>
      </c>
      <c r="I303" s="380">
        <f t="shared" si="106"/>
        <v>18.061421995831125</v>
      </c>
      <c r="J303" s="85">
        <v>2018</v>
      </c>
      <c r="K303" s="197">
        <f t="shared" si="107"/>
        <v>43389</v>
      </c>
      <c r="L303" s="437">
        <f t="shared" si="108"/>
        <v>2.8433149201702035E-3</v>
      </c>
      <c r="M303" s="856"/>
      <c r="N303" s="856"/>
      <c r="O303" s="324">
        <f t="shared" si="109"/>
        <v>8.1023304333329924E-3</v>
      </c>
      <c r="P303" s="169">
        <f>(INDEX(Models!$BJ303:$BT303,,T303)*(1-R303)+INDEX(Models!$BJ303:$BT303,,T303+1)*R303-ERP_i)*Q303*Ramure*Pc/MaxiM</f>
        <v>3.6023254450780057E-5</v>
      </c>
      <c r="Q303" s="305">
        <f t="shared" si="110"/>
        <v>0.5</v>
      </c>
      <c r="R303" s="177">
        <f t="shared" si="111"/>
        <v>0.49496693766408995</v>
      </c>
      <c r="S303" s="811">
        <f t="shared" si="129"/>
        <v>-2</v>
      </c>
      <c r="T303" s="176">
        <f t="shared" si="112"/>
        <v>4</v>
      </c>
      <c r="U303" s="251">
        <f t="shared" si="113"/>
        <v>-1.5050330623359101</v>
      </c>
      <c r="V303" s="383">
        <f t="shared" si="114"/>
        <v>39.105324750027293</v>
      </c>
      <c r="W303" s="58"/>
      <c r="X303" s="157">
        <f t="shared" si="115"/>
        <v>43389</v>
      </c>
      <c r="Y303" s="385">
        <f t="shared" si="116"/>
        <v>17.864000000000001</v>
      </c>
      <c r="Z303" s="385">
        <f t="shared" si="117"/>
        <v>17.914937809969008</v>
      </c>
      <c r="AA303" s="386">
        <f t="shared" si="118"/>
        <v>18.061276238097779</v>
      </c>
      <c r="AB303" s="197">
        <f t="shared" si="119"/>
        <v>43389</v>
      </c>
      <c r="AC303" s="426">
        <f t="shared" si="120"/>
        <v>8.1023304333329924E-3</v>
      </c>
      <c r="AD303" s="169">
        <f>(INDEX(Models!$BJ303:$BT303,,AH303)*(1-AF303)+INDEX(Models!$BJ303:$BT303,,AH303+1)*AF303-ERP_i)*AE303*Ramure*Pc/MaxiM</f>
        <v>3.6023254450780057E-5</v>
      </c>
      <c r="AE303" s="305">
        <f t="shared" si="121"/>
        <v>0.5</v>
      </c>
      <c r="AF303" s="177">
        <f t="shared" si="122"/>
        <v>0.49496693766408995</v>
      </c>
      <c r="AG303" s="811">
        <f t="shared" si="123"/>
        <v>-2</v>
      </c>
      <c r="AH303" s="176">
        <f t="shared" si="124"/>
        <v>4</v>
      </c>
      <c r="AI303" s="225">
        <f t="shared" si="125"/>
        <v>-1.5050330623359101</v>
      </c>
      <c r="AJ303" s="265" t="b">
        <f t="shared" si="126"/>
        <v>0</v>
      </c>
      <c r="AK303" s="265" t="b">
        <f t="shared" si="12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8"/>
        <v>43390</v>
      </c>
      <c r="B304" s="617">
        <v>21.582000000000001</v>
      </c>
      <c r="C304" s="390"/>
      <c r="D304" s="393">
        <f t="shared" si="105"/>
        <v>21.644013457939664</v>
      </c>
      <c r="E304" s="385">
        <f t="shared" si="131"/>
        <v>21.821998054790502</v>
      </c>
      <c r="F304" s="385">
        <f t="shared" si="130"/>
        <v>21.822298308807774</v>
      </c>
      <c r="G304" s="110">
        <f t="shared" si="132"/>
        <v>0.55660010356820067</v>
      </c>
      <c r="I304" s="380">
        <f t="shared" si="106"/>
        <v>21.822298308807774</v>
      </c>
      <c r="J304" s="85">
        <v>2018</v>
      </c>
      <c r="K304" s="197">
        <f t="shared" si="107"/>
        <v>43390</v>
      </c>
      <c r="L304" s="437">
        <f t="shared" si="108"/>
        <v>2.8651552107086253E-3</v>
      </c>
      <c r="M304" s="856"/>
      <c r="N304" s="856"/>
      <c r="O304" s="324">
        <f t="shared" si="109"/>
        <v>8.1562007477021786E-3</v>
      </c>
      <c r="P304" s="169">
        <f>(INDEX(Models!$BJ304:$BT304,,T304)*(1-R304)+INDEX(Models!$BJ304:$BT304,,T304+1)*R304-ERP_i)*Q304*Ramure*Pc/MaxiM</f>
        <v>3.7532470798789933E-5</v>
      </c>
      <c r="Q304" s="305">
        <f t="shared" si="110"/>
        <v>0.5</v>
      </c>
      <c r="R304" s="177">
        <f t="shared" si="111"/>
        <v>0.49507062022933468</v>
      </c>
      <c r="S304" s="811">
        <f t="shared" si="129"/>
        <v>-2</v>
      </c>
      <c r="T304" s="176">
        <f t="shared" si="112"/>
        <v>4</v>
      </c>
      <c r="U304" s="251">
        <f t="shared" si="113"/>
        <v>-1.5049293797706653</v>
      </c>
      <c r="V304" s="383">
        <f t="shared" si="114"/>
        <v>38.773774522398973</v>
      </c>
      <c r="W304" s="58"/>
      <c r="X304" s="157">
        <f t="shared" si="115"/>
        <v>43390</v>
      </c>
      <c r="Y304" s="385">
        <f t="shared" si="116"/>
        <v>21.582000000000001</v>
      </c>
      <c r="Z304" s="385">
        <f t="shared" si="117"/>
        <v>21.644013457939664</v>
      </c>
      <c r="AA304" s="386">
        <f t="shared" si="118"/>
        <v>21.821998054790502</v>
      </c>
      <c r="AB304" s="197">
        <f t="shared" si="119"/>
        <v>43390</v>
      </c>
      <c r="AC304" s="426">
        <f t="shared" si="120"/>
        <v>8.1562007477021786E-3</v>
      </c>
      <c r="AD304" s="169">
        <f>(INDEX(Models!$BJ304:$BT304,,AH304)*(1-AF304)+INDEX(Models!$BJ304:$BT304,,AH304+1)*AF304-ERP_i)*AE304*Ramure*Pc/MaxiM</f>
        <v>3.7532470798789933E-5</v>
      </c>
      <c r="AE304" s="305">
        <f t="shared" si="121"/>
        <v>0.5</v>
      </c>
      <c r="AF304" s="177">
        <f t="shared" si="122"/>
        <v>0.49507062022933468</v>
      </c>
      <c r="AG304" s="811">
        <f t="shared" si="123"/>
        <v>-2</v>
      </c>
      <c r="AH304" s="176">
        <f t="shared" si="124"/>
        <v>4</v>
      </c>
      <c r="AI304" s="225">
        <f t="shared" si="125"/>
        <v>-1.5049293797706653</v>
      </c>
      <c r="AJ304" s="265" t="b">
        <f t="shared" si="126"/>
        <v>0</v>
      </c>
      <c r="AK304" s="265" t="b">
        <f t="shared" si="12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8"/>
        <v>43391</v>
      </c>
      <c r="B305" s="617">
        <v>10.888999999999999</v>
      </c>
      <c r="C305" s="390"/>
      <c r="D305" s="393">
        <f t="shared" si="105"/>
        <v>10.920527508564545</v>
      </c>
      <c r="E305" s="385">
        <f t="shared" si="131"/>
        <v>11.010925539811762</v>
      </c>
      <c r="F305" s="385">
        <f t="shared" si="130"/>
        <v>11.010925539811762</v>
      </c>
      <c r="G305" s="110">
        <f t="shared" si="132"/>
        <v>0.28325308712413827</v>
      </c>
      <c r="I305" s="380">
        <f t="shared" si="106"/>
        <v>11.010925539811762</v>
      </c>
      <c r="J305" s="85">
        <v>2018</v>
      </c>
      <c r="K305" s="197">
        <f t="shared" si="107"/>
        <v>43391</v>
      </c>
      <c r="L305" s="437">
        <f t="shared" si="108"/>
        <v>2.8869950228886943E-3</v>
      </c>
      <c r="M305" s="856"/>
      <c r="N305" s="856"/>
      <c r="O305" s="324">
        <f t="shared" si="109"/>
        <v>8.2098485654424243E-3</v>
      </c>
      <c r="P305" s="169">
        <f>(INDEX(Models!$BJ305:$BT305,,T305)*(1-R305)+INDEX(Models!$BJ305:$BT305,,T305+1)*R305-ERP_i)*Q305*Ramure*Pc/MaxiM</f>
        <v>3.8669038199897474E-5</v>
      </c>
      <c r="Q305" s="305">
        <f t="shared" si="110"/>
        <v>0.5</v>
      </c>
      <c r="R305" s="177">
        <f t="shared" si="111"/>
        <v>0.49517016881977538</v>
      </c>
      <c r="S305" s="811">
        <f t="shared" si="129"/>
        <v>-2</v>
      </c>
      <c r="T305" s="176">
        <f t="shared" si="112"/>
        <v>4</v>
      </c>
      <c r="U305" s="251">
        <f t="shared" si="113"/>
        <v>-1.5048298311802246</v>
      </c>
      <c r="V305" s="383">
        <f t="shared" si="114"/>
        <v>38.441165967137444</v>
      </c>
      <c r="W305" s="58"/>
      <c r="X305" s="157">
        <f t="shared" si="115"/>
        <v>43391</v>
      </c>
      <c r="Y305" s="385">
        <f t="shared" si="116"/>
        <v>10.888999999999999</v>
      </c>
      <c r="Z305" s="385">
        <f t="shared" si="117"/>
        <v>10.920527508564545</v>
      </c>
      <c r="AA305" s="386">
        <f t="shared" si="118"/>
        <v>11.010925539811762</v>
      </c>
      <c r="AB305" s="197">
        <f t="shared" si="119"/>
        <v>43391</v>
      </c>
      <c r="AC305" s="426">
        <f t="shared" si="120"/>
        <v>8.2098485654424243E-3</v>
      </c>
      <c r="AD305" s="169">
        <f>(INDEX(Models!$BJ305:$BT305,,AH305)*(1-AF305)+INDEX(Models!$BJ305:$BT305,,AH305+1)*AF305-ERP_i)*AE305*Ramure*Pc/MaxiM</f>
        <v>3.8669038199897474E-5</v>
      </c>
      <c r="AE305" s="305">
        <f t="shared" si="121"/>
        <v>0.5</v>
      </c>
      <c r="AF305" s="177">
        <f t="shared" si="122"/>
        <v>0.49517016881977538</v>
      </c>
      <c r="AG305" s="811">
        <f t="shared" si="123"/>
        <v>-2</v>
      </c>
      <c r="AH305" s="176">
        <f t="shared" si="124"/>
        <v>4</v>
      </c>
      <c r="AI305" s="225">
        <f t="shared" si="125"/>
        <v>-1.5048298311802246</v>
      </c>
      <c r="AJ305" s="265" t="b">
        <f t="shared" si="126"/>
        <v>0</v>
      </c>
      <c r="AK305" s="265" t="b">
        <f t="shared" si="12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8"/>
        <v>43392</v>
      </c>
      <c r="B306" s="617">
        <v>24.373000000000001</v>
      </c>
      <c r="C306" s="390"/>
      <c r="D306" s="393">
        <f t="shared" si="105"/>
        <v>24.444103849095498</v>
      </c>
      <c r="E306" s="385">
        <f t="shared" si="131"/>
        <v>24.6477752150108</v>
      </c>
      <c r="F306" s="385">
        <f t="shared" si="130"/>
        <v>24.648246667785216</v>
      </c>
      <c r="G306" s="110">
        <f t="shared" si="132"/>
        <v>0.63956529138790663</v>
      </c>
      <c r="I306" s="380">
        <f t="shared" si="106"/>
        <v>24.648246667785216</v>
      </c>
      <c r="J306" s="85">
        <v>2018</v>
      </c>
      <c r="K306" s="197">
        <f t="shared" si="107"/>
        <v>43392</v>
      </c>
      <c r="L306" s="437">
        <f t="shared" si="108"/>
        <v>2.9088343567207353E-3</v>
      </c>
      <c r="M306" s="856"/>
      <c r="N306" s="856"/>
      <c r="O306" s="324">
        <f t="shared" si="109"/>
        <v>8.2632758591235818E-3</v>
      </c>
      <c r="P306" s="169">
        <f>(INDEX(Models!$BJ306:$BT306,,T306)*(1-R306)+INDEX(Models!$BJ306:$BT306,,T306+1)*R306-ERP_i)*Q306*Ramure*Pc/MaxiM</f>
        <v>3.9428504541558654E-5</v>
      </c>
      <c r="Q306" s="305">
        <f t="shared" si="110"/>
        <v>0.5</v>
      </c>
      <c r="R306" s="177">
        <f t="shared" si="111"/>
        <v>0.49526574670120538</v>
      </c>
      <c r="S306" s="811">
        <f t="shared" si="129"/>
        <v>-2</v>
      </c>
      <c r="T306" s="176">
        <f t="shared" si="112"/>
        <v>4</v>
      </c>
      <c r="U306" s="251">
        <f t="shared" si="113"/>
        <v>-1.5047342532987946</v>
      </c>
      <c r="V306" s="383">
        <f t="shared" si="114"/>
        <v>38.107923484670742</v>
      </c>
      <c r="W306" s="58"/>
      <c r="X306" s="157">
        <f t="shared" si="115"/>
        <v>43392</v>
      </c>
      <c r="Y306" s="385">
        <f t="shared" si="116"/>
        <v>24.373000000000001</v>
      </c>
      <c r="Z306" s="385">
        <f t="shared" si="117"/>
        <v>24.444103849095498</v>
      </c>
      <c r="AA306" s="386">
        <f t="shared" si="118"/>
        <v>24.6477752150108</v>
      </c>
      <c r="AB306" s="197">
        <f t="shared" si="119"/>
        <v>43392</v>
      </c>
      <c r="AC306" s="426">
        <f t="shared" si="120"/>
        <v>8.2632758591235818E-3</v>
      </c>
      <c r="AD306" s="169">
        <f>(INDEX(Models!$BJ306:$BT306,,AH306)*(1-AF306)+INDEX(Models!$BJ306:$BT306,,AH306+1)*AF306-ERP_i)*AE306*Ramure*Pc/MaxiM</f>
        <v>3.9428504541558654E-5</v>
      </c>
      <c r="AE306" s="305">
        <f t="shared" si="121"/>
        <v>0.5</v>
      </c>
      <c r="AF306" s="177">
        <f t="shared" si="122"/>
        <v>0.49526574670120538</v>
      </c>
      <c r="AG306" s="811">
        <f t="shared" si="123"/>
        <v>-2</v>
      </c>
      <c r="AH306" s="176">
        <f t="shared" si="124"/>
        <v>4</v>
      </c>
      <c r="AI306" s="225">
        <f t="shared" si="125"/>
        <v>-1.5047342532987946</v>
      </c>
      <c r="AJ306" s="265" t="b">
        <f t="shared" si="126"/>
        <v>0</v>
      </c>
      <c r="AK306" s="265" t="b">
        <f t="shared" si="12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8"/>
        <v>43393</v>
      </c>
      <c r="B307" s="617">
        <v>10.961</v>
      </c>
      <c r="C307" s="390"/>
      <c r="D307" s="393">
        <f t="shared" si="105"/>
        <v>10.993217528125735</v>
      </c>
      <c r="E307" s="385">
        <f t="shared" si="131"/>
        <v>11.085409168777707</v>
      </c>
      <c r="F307" s="385">
        <f t="shared" si="130"/>
        <v>11.085409168777707</v>
      </c>
      <c r="G307" s="110">
        <f t="shared" si="132"/>
        <v>0.29015796381316689</v>
      </c>
      <c r="I307" s="380">
        <f t="shared" si="106"/>
        <v>11.085409168777707</v>
      </c>
      <c r="J307" s="85">
        <v>2018</v>
      </c>
      <c r="K307" s="197">
        <f t="shared" si="107"/>
        <v>43393</v>
      </c>
      <c r="L307" s="437">
        <f t="shared" si="108"/>
        <v>2.9306732122152956E-3</v>
      </c>
      <c r="M307" s="856"/>
      <c r="N307" s="856"/>
      <c r="O307" s="324">
        <f t="shared" si="109"/>
        <v>8.316485142617196E-3</v>
      </c>
      <c r="P307" s="169">
        <f>(INDEX(Models!$BJ307:$BT307,,T307)*(1-R307)+INDEX(Models!$BJ307:$BT307,,T307+1)*R307-ERP_i)*Q307*Ramure*Pc/MaxiM</f>
        <v>3.9806525208537337E-5</v>
      </c>
      <c r="Q307" s="305">
        <f t="shared" si="110"/>
        <v>0.5</v>
      </c>
      <c r="R307" s="177">
        <f t="shared" si="111"/>
        <v>0.49535751081419876</v>
      </c>
      <c r="S307" s="811">
        <f t="shared" si="129"/>
        <v>-2</v>
      </c>
      <c r="T307" s="176">
        <f t="shared" si="112"/>
        <v>4</v>
      </c>
      <c r="U307" s="251">
        <f t="shared" si="113"/>
        <v>-1.5046424891858012</v>
      </c>
      <c r="V307" s="383">
        <f t="shared" si="114"/>
        <v>37.774471314303518</v>
      </c>
      <c r="W307" s="58"/>
      <c r="X307" s="157">
        <f t="shared" si="115"/>
        <v>43393</v>
      </c>
      <c r="Y307" s="385">
        <f t="shared" si="116"/>
        <v>10.961</v>
      </c>
      <c r="Z307" s="385">
        <f t="shared" si="117"/>
        <v>10.993217528125735</v>
      </c>
      <c r="AA307" s="386">
        <f t="shared" si="118"/>
        <v>11.085409168777707</v>
      </c>
      <c r="AB307" s="197">
        <f t="shared" si="119"/>
        <v>43393</v>
      </c>
      <c r="AC307" s="426">
        <f t="shared" si="120"/>
        <v>8.316485142617196E-3</v>
      </c>
      <c r="AD307" s="169">
        <f>(INDEX(Models!$BJ307:$BT307,,AH307)*(1-AF307)+INDEX(Models!$BJ307:$BT307,,AH307+1)*AF307-ERP_i)*AE307*Ramure*Pc/MaxiM</f>
        <v>3.9806525208537337E-5</v>
      </c>
      <c r="AE307" s="305">
        <f t="shared" si="121"/>
        <v>0.5</v>
      </c>
      <c r="AF307" s="177">
        <f t="shared" si="122"/>
        <v>0.49535751081419876</v>
      </c>
      <c r="AG307" s="811">
        <f t="shared" si="123"/>
        <v>-2</v>
      </c>
      <c r="AH307" s="176">
        <f t="shared" si="124"/>
        <v>4</v>
      </c>
      <c r="AI307" s="225">
        <f t="shared" si="125"/>
        <v>-1.5046424891858012</v>
      </c>
      <c r="AJ307" s="265" t="b">
        <f t="shared" si="126"/>
        <v>0</v>
      </c>
      <c r="AK307" s="265" t="b">
        <f t="shared" si="12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8"/>
        <v>43394</v>
      </c>
      <c r="B308" s="617">
        <v>17.946000000000002</v>
      </c>
      <c r="C308" s="390"/>
      <c r="D308" s="393">
        <f t="shared" si="105"/>
        <v>17.999142677353845</v>
      </c>
      <c r="E308" s="385">
        <f t="shared" si="131"/>
        <v>18.15105758130364</v>
      </c>
      <c r="F308" s="385">
        <f t="shared" si="130"/>
        <v>18.151242630235906</v>
      </c>
      <c r="G308" s="110">
        <f t="shared" si="132"/>
        <v>0.47929694148814783</v>
      </c>
      <c r="I308" s="380">
        <f t="shared" si="106"/>
        <v>18.151242630235906</v>
      </c>
      <c r="J308" s="85">
        <v>2018</v>
      </c>
      <c r="K308" s="197">
        <f t="shared" si="107"/>
        <v>43394</v>
      </c>
      <c r="L308" s="437">
        <f t="shared" si="108"/>
        <v>2.9525115893829224E-3</v>
      </c>
      <c r="M308" s="856"/>
      <c r="N308" s="856"/>
      <c r="O308" s="324">
        <f t="shared" si="109"/>
        <v>8.3694794790510878E-3</v>
      </c>
      <c r="P308" s="169">
        <f>(INDEX(Models!$BJ308:$BT308,,T308)*(1-R308)+INDEX(Models!$BJ308:$BT308,,T308+1)*R308-ERP_i)*Q308*Ramure*Pc/MaxiM</f>
        <v>3.9798894717406372E-5</v>
      </c>
      <c r="Q308" s="305">
        <f t="shared" si="110"/>
        <v>0.5</v>
      </c>
      <c r="R308" s="177">
        <f t="shared" si="111"/>
        <v>0.49544561200948412</v>
      </c>
      <c r="S308" s="811">
        <f t="shared" si="129"/>
        <v>-2</v>
      </c>
      <c r="T308" s="176">
        <f t="shared" si="112"/>
        <v>4</v>
      </c>
      <c r="U308" s="251">
        <f t="shared" si="113"/>
        <v>-1.5045543879905159</v>
      </c>
      <c r="V308" s="383">
        <f t="shared" si="114"/>
        <v>37.441233537644578</v>
      </c>
      <c r="W308" s="58"/>
      <c r="X308" s="157">
        <f t="shared" si="115"/>
        <v>43394</v>
      </c>
      <c r="Y308" s="385">
        <f t="shared" si="116"/>
        <v>17.946000000000002</v>
      </c>
      <c r="Z308" s="385">
        <f t="shared" si="117"/>
        <v>17.999142677353845</v>
      </c>
      <c r="AA308" s="386">
        <f t="shared" si="118"/>
        <v>18.15105758130364</v>
      </c>
      <c r="AB308" s="197">
        <f t="shared" si="119"/>
        <v>43394</v>
      </c>
      <c r="AC308" s="426">
        <f t="shared" si="120"/>
        <v>8.3694794790510878E-3</v>
      </c>
      <c r="AD308" s="169">
        <f>(INDEX(Models!$BJ308:$BT308,,AH308)*(1-AF308)+INDEX(Models!$BJ308:$BT308,,AH308+1)*AF308-ERP_i)*AE308*Ramure*Pc/MaxiM</f>
        <v>3.9798894717406372E-5</v>
      </c>
      <c r="AE308" s="305">
        <f t="shared" si="121"/>
        <v>0.5</v>
      </c>
      <c r="AF308" s="177">
        <f t="shared" si="122"/>
        <v>0.49544561200948412</v>
      </c>
      <c r="AG308" s="811">
        <f t="shared" si="123"/>
        <v>-2</v>
      </c>
      <c r="AH308" s="176">
        <f t="shared" si="124"/>
        <v>4</v>
      </c>
      <c r="AI308" s="225">
        <f t="shared" si="125"/>
        <v>-1.5045543879905159</v>
      </c>
      <c r="AJ308" s="265" t="b">
        <f t="shared" si="126"/>
        <v>0</v>
      </c>
      <c r="AK308" s="265" t="b">
        <f t="shared" si="12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8"/>
        <v>43395</v>
      </c>
      <c r="B309" s="617">
        <v>23.08</v>
      </c>
      <c r="C309" s="390"/>
      <c r="D309" s="393">
        <f t="shared" si="105"/>
        <v>23.148852778414682</v>
      </c>
      <c r="E309" s="385">
        <f t="shared" si="131"/>
        <v>23.345474492441252</v>
      </c>
      <c r="F309" s="385">
        <f t="shared" si="130"/>
        <v>23.345897574822558</v>
      </c>
      <c r="G309" s="110">
        <f t="shared" si="132"/>
        <v>0.62194444606634314</v>
      </c>
      <c r="I309" s="380">
        <f t="shared" si="106"/>
        <v>23.345897574822558</v>
      </c>
      <c r="J309" s="85">
        <v>2018</v>
      </c>
      <c r="K309" s="197">
        <f t="shared" si="107"/>
        <v>43395</v>
      </c>
      <c r="L309" s="437">
        <f t="shared" si="108"/>
        <v>2.9743494882340515E-3</v>
      </c>
      <c r="M309" s="856"/>
      <c r="N309" s="856"/>
      <c r="O309" s="324">
        <f t="shared" si="109"/>
        <v>8.4222624856150983E-3</v>
      </c>
      <c r="P309" s="169">
        <f>(INDEX(Models!$BJ309:$BT309,,T309)*(1-R309)+INDEX(Models!$BJ309:$BT309,,T309+1)*R309-ERP_i)*Q309*Ramure*Pc/MaxiM</f>
        <v>3.940157784447407E-5</v>
      </c>
      <c r="Q309" s="305">
        <f t="shared" si="110"/>
        <v>0.5</v>
      </c>
      <c r="R309" s="177">
        <f t="shared" si="111"/>
        <v>0.49553019527532993</v>
      </c>
      <c r="S309" s="811">
        <f t="shared" si="129"/>
        <v>-2</v>
      </c>
      <c r="T309" s="176">
        <f t="shared" si="112"/>
        <v>4</v>
      </c>
      <c r="U309" s="251">
        <f t="shared" si="113"/>
        <v>-1.5044698047246701</v>
      </c>
      <c r="V309" s="383">
        <f t="shared" si="114"/>
        <v>37.108634078734106</v>
      </c>
      <c r="W309" s="58"/>
      <c r="X309" s="157">
        <f t="shared" si="115"/>
        <v>43395</v>
      </c>
      <c r="Y309" s="385">
        <f t="shared" si="116"/>
        <v>23.08</v>
      </c>
      <c r="Z309" s="385">
        <f t="shared" si="117"/>
        <v>23.148852778414682</v>
      </c>
      <c r="AA309" s="386">
        <f t="shared" si="118"/>
        <v>23.345474492441252</v>
      </c>
      <c r="AB309" s="197">
        <f t="shared" si="119"/>
        <v>43395</v>
      </c>
      <c r="AC309" s="426">
        <f t="shared" si="120"/>
        <v>8.4222624856150983E-3</v>
      </c>
      <c r="AD309" s="169">
        <f>(INDEX(Models!$BJ309:$BT309,,AH309)*(1-AF309)+INDEX(Models!$BJ309:$BT309,,AH309+1)*AF309-ERP_i)*AE309*Ramure*Pc/MaxiM</f>
        <v>3.940157784447407E-5</v>
      </c>
      <c r="AE309" s="305">
        <f t="shared" si="121"/>
        <v>0.5</v>
      </c>
      <c r="AF309" s="177">
        <f t="shared" si="122"/>
        <v>0.49553019527532993</v>
      </c>
      <c r="AG309" s="811">
        <f t="shared" si="123"/>
        <v>-2</v>
      </c>
      <c r="AH309" s="176">
        <f t="shared" si="124"/>
        <v>4</v>
      </c>
      <c r="AI309" s="225">
        <f t="shared" si="125"/>
        <v>-1.5044698047246701</v>
      </c>
      <c r="AJ309" s="265" t="b">
        <f t="shared" si="126"/>
        <v>0</v>
      </c>
      <c r="AK309" s="265" t="b">
        <f t="shared" si="12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8"/>
        <v>43396</v>
      </c>
      <c r="B310" s="617">
        <v>36.99</v>
      </c>
      <c r="C310" s="390"/>
      <c r="D310" s="393">
        <f t="shared" si="105"/>
        <v>37.101162015932637</v>
      </c>
      <c r="E310" s="385">
        <f t="shared" si="131"/>
        <v>37.418275854577757</v>
      </c>
      <c r="F310" s="385">
        <f t="shared" si="130"/>
        <v>37.419724893736571</v>
      </c>
      <c r="G310" s="110">
        <f t="shared" si="132"/>
        <v>1.0057891323125945</v>
      </c>
      <c r="I310" s="380">
        <f t="shared" si="106"/>
        <v>37.419724893736571</v>
      </c>
      <c r="J310" s="85">
        <v>2018</v>
      </c>
      <c r="K310" s="197">
        <f t="shared" si="107"/>
        <v>43396</v>
      </c>
      <c r="L310" s="437">
        <f t="shared" si="108"/>
        <v>2.9961869087792303E-3</v>
      </c>
      <c r="M310" s="856"/>
      <c r="N310" s="856"/>
      <c r="O310" s="324">
        <f t="shared" si="109"/>
        <v>8.474838335084011E-3</v>
      </c>
      <c r="P310" s="169">
        <f>(INDEX(Models!$BJ310:$BT310,,T310)*(1-R310)+INDEX(Models!$BJ310:$BT310,,T310+1)*R310-ERP_i)*Q310*Ramure*Pc/MaxiM</f>
        <v>3.8723939391076566E-5</v>
      </c>
      <c r="Q310" s="305">
        <f t="shared" si="110"/>
        <v>0.5</v>
      </c>
      <c r="R310" s="177">
        <f t="shared" si="111"/>
        <v>0.49561139995715164</v>
      </c>
      <c r="S310" s="811">
        <f t="shared" si="129"/>
        <v>-2</v>
      </c>
      <c r="T310" s="176">
        <f t="shared" si="112"/>
        <v>4</v>
      </c>
      <c r="U310" s="251">
        <f t="shared" si="113"/>
        <v>-1.5043886000428484</v>
      </c>
      <c r="V310" s="383">
        <f t="shared" si="114"/>
        <v>36.777092545183407</v>
      </c>
      <c r="W310" s="58"/>
      <c r="X310" s="157">
        <f t="shared" si="115"/>
        <v>43396</v>
      </c>
      <c r="Y310" s="385">
        <f t="shared" si="116"/>
        <v>36.99</v>
      </c>
      <c r="Z310" s="385">
        <f t="shared" si="117"/>
        <v>37.101162015932637</v>
      </c>
      <c r="AA310" s="386">
        <f t="shared" si="118"/>
        <v>37.418275854577757</v>
      </c>
      <c r="AB310" s="197">
        <f t="shared" si="119"/>
        <v>43396</v>
      </c>
      <c r="AC310" s="426">
        <f t="shared" si="120"/>
        <v>8.474838335084011E-3</v>
      </c>
      <c r="AD310" s="169">
        <f>(INDEX(Models!$BJ310:$BT310,,AH310)*(1-AF310)+INDEX(Models!$BJ310:$BT310,,AH310+1)*AF310-ERP_i)*AE310*Ramure*Pc/MaxiM</f>
        <v>3.8723939391076566E-5</v>
      </c>
      <c r="AE310" s="305">
        <f t="shared" si="121"/>
        <v>0.5</v>
      </c>
      <c r="AF310" s="177">
        <f t="shared" si="122"/>
        <v>0.49561139995715164</v>
      </c>
      <c r="AG310" s="811">
        <f t="shared" si="123"/>
        <v>-2</v>
      </c>
      <c r="AH310" s="176">
        <f t="shared" si="124"/>
        <v>4</v>
      </c>
      <c r="AI310" s="225">
        <f t="shared" si="125"/>
        <v>-1.5043886000428484</v>
      </c>
      <c r="AJ310" s="265" t="b">
        <f t="shared" si="126"/>
        <v>0</v>
      </c>
      <c r="AK310" s="265" t="b">
        <f t="shared" si="12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8"/>
        <v>43397</v>
      </c>
      <c r="B311" s="617">
        <v>35.442</v>
      </c>
      <c r="C311" s="390"/>
      <c r="D311" s="393">
        <f t="shared" si="105"/>
        <v>35.549288600884573</v>
      </c>
      <c r="E311" s="385">
        <f t="shared" si="131"/>
        <v>35.855032051633444</v>
      </c>
      <c r="F311" s="385">
        <f t="shared" si="130"/>
        <v>35.856341166256932</v>
      </c>
      <c r="G311" s="110">
        <f t="shared" si="132"/>
        <v>0.97242362454322417</v>
      </c>
      <c r="I311" s="380">
        <f t="shared" si="106"/>
        <v>35.856341166256932</v>
      </c>
      <c r="J311" s="85">
        <v>2018</v>
      </c>
      <c r="K311" s="197">
        <f t="shared" si="107"/>
        <v>43397</v>
      </c>
      <c r="L311" s="437">
        <f t="shared" si="108"/>
        <v>3.0180238510286728E-3</v>
      </c>
      <c r="M311" s="856"/>
      <c r="N311" s="856"/>
      <c r="O311" s="324">
        <f t="shared" si="109"/>
        <v>8.5272117539479716E-3</v>
      </c>
      <c r="P311" s="169">
        <f>(INDEX(Models!$BJ311:$BT311,,T311)*(1-R311)+INDEX(Models!$BJ311:$BT311,,T311+1)*R311-ERP_i)*Q311*Ramure*Pc/MaxiM</f>
        <v>3.8007196753972981E-5</v>
      </c>
      <c r="Q311" s="305">
        <f t="shared" si="110"/>
        <v>0.5</v>
      </c>
      <c r="R311" s="177">
        <f t="shared" si="111"/>
        <v>0.49568935996954444</v>
      </c>
      <c r="S311" s="811">
        <f t="shared" si="129"/>
        <v>-2</v>
      </c>
      <c r="T311" s="176">
        <f t="shared" si="112"/>
        <v>4</v>
      </c>
      <c r="U311" s="251">
        <f t="shared" si="113"/>
        <v>-1.5043106400304556</v>
      </c>
      <c r="V311" s="383">
        <f t="shared" si="114"/>
        <v>36.447023745104282</v>
      </c>
      <c r="W311" s="58"/>
      <c r="X311" s="157">
        <f t="shared" si="115"/>
        <v>43397</v>
      </c>
      <c r="Y311" s="385">
        <f t="shared" si="116"/>
        <v>35.442</v>
      </c>
      <c r="Z311" s="385">
        <f t="shared" si="117"/>
        <v>35.549288600884573</v>
      </c>
      <c r="AA311" s="386">
        <f t="shared" si="118"/>
        <v>35.855032051633444</v>
      </c>
      <c r="AB311" s="197">
        <f t="shared" si="119"/>
        <v>43397</v>
      </c>
      <c r="AC311" s="426">
        <f t="shared" si="120"/>
        <v>8.5272117539479716E-3</v>
      </c>
      <c r="AD311" s="169">
        <f>(INDEX(Models!$BJ311:$BT311,,AH311)*(1-AF311)+INDEX(Models!$BJ311:$BT311,,AH311+1)*AF311-ERP_i)*AE311*Ramure*Pc/MaxiM</f>
        <v>3.8007196753972981E-5</v>
      </c>
      <c r="AE311" s="305">
        <f t="shared" si="121"/>
        <v>0.5</v>
      </c>
      <c r="AF311" s="177">
        <f t="shared" si="122"/>
        <v>0.49568935996954444</v>
      </c>
      <c r="AG311" s="811">
        <f t="shared" si="123"/>
        <v>-2</v>
      </c>
      <c r="AH311" s="176">
        <f t="shared" si="124"/>
        <v>4</v>
      </c>
      <c r="AI311" s="225">
        <f t="shared" si="125"/>
        <v>-1.5043106400304556</v>
      </c>
      <c r="AJ311" s="265" t="b">
        <f t="shared" si="126"/>
        <v>0</v>
      </c>
      <c r="AK311" s="265" t="b">
        <f t="shared" si="12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8"/>
        <v>43398</v>
      </c>
      <c r="B312" s="617">
        <v>35.509</v>
      </c>
      <c r="C312" s="390"/>
      <c r="D312" s="393">
        <f t="shared" si="105"/>
        <v>35.617271530253149</v>
      </c>
      <c r="E312" s="385">
        <f t="shared" si="131"/>
        <v>35.925490250818264</v>
      </c>
      <c r="F312" s="385">
        <f t="shared" si="130"/>
        <v>35.926796289859503</v>
      </c>
      <c r="G312" s="110">
        <f t="shared" si="132"/>
        <v>0.98311454359400408</v>
      </c>
      <c r="I312" s="380">
        <f t="shared" si="106"/>
        <v>35.926796289859503</v>
      </c>
      <c r="J312" s="85">
        <v>2018</v>
      </c>
      <c r="K312" s="197">
        <f t="shared" si="107"/>
        <v>43398</v>
      </c>
      <c r="L312" s="437">
        <f t="shared" si="108"/>
        <v>3.039860314993148E-3</v>
      </c>
      <c r="M312" s="856"/>
      <c r="N312" s="856"/>
      <c r="O312" s="324">
        <f t="shared" si="109"/>
        <v>8.5793880170665516E-3</v>
      </c>
      <c r="P312" s="169">
        <f>(INDEX(Models!$BJ312:$BT312,,T312)*(1-R312)+INDEX(Models!$BJ312:$BT312,,T312+1)*R312-ERP_i)*Q312*Ramure*Pc/MaxiM</f>
        <v>3.7251315553965363E-5</v>
      </c>
      <c r="Q312" s="305">
        <f t="shared" si="110"/>
        <v>0.5</v>
      </c>
      <c r="R312" s="177">
        <f t="shared" si="111"/>
        <v>0.49576420400095267</v>
      </c>
      <c r="S312" s="811">
        <f t="shared" si="129"/>
        <v>-2</v>
      </c>
      <c r="T312" s="176">
        <f t="shared" si="112"/>
        <v>4</v>
      </c>
      <c r="U312" s="251">
        <f t="shared" si="113"/>
        <v>-1.5042357959990473</v>
      </c>
      <c r="V312" s="383">
        <f t="shared" si="114"/>
        <v>36.118851383327133</v>
      </c>
      <c r="W312" s="58"/>
      <c r="X312" s="157">
        <f t="shared" si="115"/>
        <v>43398</v>
      </c>
      <c r="Y312" s="385">
        <f t="shared" si="116"/>
        <v>35.509</v>
      </c>
      <c r="Z312" s="385">
        <f t="shared" si="117"/>
        <v>35.617271530253149</v>
      </c>
      <c r="AA312" s="386">
        <f t="shared" si="118"/>
        <v>35.925490250818264</v>
      </c>
      <c r="AB312" s="197">
        <f t="shared" si="119"/>
        <v>43398</v>
      </c>
      <c r="AC312" s="426">
        <f t="shared" si="120"/>
        <v>8.5793880170665516E-3</v>
      </c>
      <c r="AD312" s="169">
        <f>(INDEX(Models!$BJ312:$BT312,,AH312)*(1-AF312)+INDEX(Models!$BJ312:$BT312,,AH312+1)*AF312-ERP_i)*AE312*Ramure*Pc/MaxiM</f>
        <v>3.7251315553965363E-5</v>
      </c>
      <c r="AE312" s="305">
        <f t="shared" si="121"/>
        <v>0.5</v>
      </c>
      <c r="AF312" s="177">
        <f t="shared" si="122"/>
        <v>0.49576420400095267</v>
      </c>
      <c r="AG312" s="811">
        <f t="shared" si="123"/>
        <v>-2</v>
      </c>
      <c r="AH312" s="176">
        <f t="shared" si="124"/>
        <v>4</v>
      </c>
      <c r="AI312" s="225">
        <f t="shared" si="125"/>
        <v>-1.5042357959990473</v>
      </c>
      <c r="AJ312" s="265" t="b">
        <f t="shared" si="126"/>
        <v>0</v>
      </c>
      <c r="AK312" s="265" t="b">
        <f t="shared" si="12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8"/>
        <v>43399</v>
      </c>
      <c r="B313" s="617">
        <v>4.0049999999999999</v>
      </c>
      <c r="C313" s="390"/>
      <c r="D313" s="393">
        <f t="shared" si="105"/>
        <v>4.0172997517887863</v>
      </c>
      <c r="E313" s="385">
        <f t="shared" si="131"/>
        <v>4.0522764611762803</v>
      </c>
      <c r="F313" s="385">
        <f t="shared" si="130"/>
        <v>4.0522764611762803</v>
      </c>
      <c r="G313" s="110">
        <f t="shared" si="132"/>
        <v>0.11188931079837555</v>
      </c>
      <c r="I313" s="380">
        <f t="shared" si="106"/>
        <v>4.0522764611762803</v>
      </c>
      <c r="J313" s="85">
        <v>2018</v>
      </c>
      <c r="K313" s="197">
        <f t="shared" si="107"/>
        <v>43399</v>
      </c>
      <c r="L313" s="437">
        <f t="shared" si="108"/>
        <v>3.0616963006829812E-3</v>
      </c>
      <c r="M313" s="856"/>
      <c r="N313" s="856"/>
      <c r="O313" s="324">
        <f t="shared" si="109"/>
        <v>8.6313729387903597E-3</v>
      </c>
      <c r="P313" s="169">
        <f>(INDEX(Models!$BJ313:$BT313,,T313)*(1-R313)+INDEX(Models!$BJ313:$BT313,,T313+1)*R313-ERP_i)*Q313*Ramure*Pc/MaxiM</f>
        <v>3.6455977966412593E-5</v>
      </c>
      <c r="Q313" s="305">
        <f t="shared" si="110"/>
        <v>0.5</v>
      </c>
      <c r="R313" s="177">
        <f t="shared" si="111"/>
        <v>0.49583605571118206</v>
      </c>
      <c r="S313" s="811">
        <f t="shared" si="129"/>
        <v>-2</v>
      </c>
      <c r="T313" s="176">
        <f t="shared" si="112"/>
        <v>4</v>
      </c>
      <c r="U313" s="251">
        <f t="shared" si="113"/>
        <v>-1.5041639442888179</v>
      </c>
      <c r="V313" s="383">
        <f t="shared" si="114"/>
        <v>35.792999038353067</v>
      </c>
      <c r="W313" s="58"/>
      <c r="X313" s="157">
        <f t="shared" si="115"/>
        <v>43399</v>
      </c>
      <c r="Y313" s="385">
        <f t="shared" si="116"/>
        <v>4.0049999999999999</v>
      </c>
      <c r="Z313" s="385">
        <f t="shared" si="117"/>
        <v>4.0172997517887863</v>
      </c>
      <c r="AA313" s="386">
        <f t="shared" si="118"/>
        <v>4.0522764611762803</v>
      </c>
      <c r="AB313" s="197">
        <f t="shared" si="119"/>
        <v>43399</v>
      </c>
      <c r="AC313" s="426">
        <f t="shared" si="120"/>
        <v>8.6313729387903597E-3</v>
      </c>
      <c r="AD313" s="169">
        <f>(INDEX(Models!$BJ313:$BT313,,AH313)*(1-AF313)+INDEX(Models!$BJ313:$BT313,,AH313+1)*AF313-ERP_i)*AE313*Ramure*Pc/MaxiM</f>
        <v>3.6455977966412593E-5</v>
      </c>
      <c r="AE313" s="305">
        <f t="shared" si="121"/>
        <v>0.5</v>
      </c>
      <c r="AF313" s="177">
        <f t="shared" si="122"/>
        <v>0.49583605571118206</v>
      </c>
      <c r="AG313" s="811">
        <f t="shared" si="123"/>
        <v>-2</v>
      </c>
      <c r="AH313" s="176">
        <f t="shared" si="124"/>
        <v>4</v>
      </c>
      <c r="AI313" s="225">
        <f t="shared" si="125"/>
        <v>-1.5041639442888179</v>
      </c>
      <c r="AJ313" s="265" t="b">
        <f t="shared" si="126"/>
        <v>0</v>
      </c>
      <c r="AK313" s="265" t="b">
        <f t="shared" si="12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8"/>
        <v>43400</v>
      </c>
      <c r="B314" s="617">
        <v>9.3800000000000008</v>
      </c>
      <c r="C314" s="390"/>
      <c r="D314" s="393">
        <f t="shared" si="105"/>
        <v>9.4090129908401643</v>
      </c>
      <c r="E314" s="385">
        <f t="shared" si="131"/>
        <v>9.4914287069963361</v>
      </c>
      <c r="F314" s="385">
        <f t="shared" si="130"/>
        <v>9.4914287069963361</v>
      </c>
      <c r="G314" s="110">
        <f>+Wh_hp/MaxiM</f>
        <v>0.26444022902590514</v>
      </c>
      <c r="I314" s="380">
        <f t="shared" si="106"/>
        <v>9.4914287069963361</v>
      </c>
      <c r="J314" s="85">
        <v>2018</v>
      </c>
      <c r="K314" s="197">
        <f t="shared" si="107"/>
        <v>43400</v>
      </c>
      <c r="L314" s="437">
        <f t="shared" si="108"/>
        <v>3.0835318081087193E-3</v>
      </c>
      <c r="M314" s="856"/>
      <c r="N314" s="856"/>
      <c r="O314" s="324">
        <f t="shared" si="109"/>
        <v>8.6831728605221564E-3</v>
      </c>
      <c r="P314" s="169">
        <f>(INDEX(Models!$BJ314:$BT314,,T314)*(1-R314)+INDEX(Models!$BJ314:$BT314,,T314+1)*R314-ERP_i)*Q314*Ramure*Pc/MaxiM</f>
        <v>3.5620910470959044E-5</v>
      </c>
      <c r="Q314" s="305">
        <f t="shared" si="110"/>
        <v>0.5</v>
      </c>
      <c r="R314" s="177">
        <f t="shared" si="111"/>
        <v>0.4959050339219595</v>
      </c>
      <c r="S314" s="811">
        <f t="shared" si="129"/>
        <v>-2</v>
      </c>
      <c r="T314" s="176">
        <f t="shared" si="112"/>
        <v>4</v>
      </c>
      <c r="U314" s="251">
        <f t="shared" si="113"/>
        <v>-1.5040949660780405</v>
      </c>
      <c r="V314" s="383">
        <f t="shared" si="114"/>
        <v>35.46989015404661</v>
      </c>
      <c r="W314" s="58"/>
      <c r="X314" s="157">
        <f t="shared" si="115"/>
        <v>43400</v>
      </c>
      <c r="Y314" s="385">
        <f t="shared" si="116"/>
        <v>9.3800000000000008</v>
      </c>
      <c r="Z314" s="385">
        <f t="shared" si="117"/>
        <v>9.4090129908401643</v>
      </c>
      <c r="AA314" s="386">
        <f t="shared" si="118"/>
        <v>9.4914287069963361</v>
      </c>
      <c r="AB314" s="197">
        <f t="shared" si="119"/>
        <v>43400</v>
      </c>
      <c r="AC314" s="426">
        <f t="shared" si="120"/>
        <v>8.6831728605221564E-3</v>
      </c>
      <c r="AD314" s="169">
        <f>(INDEX(Models!$BJ314:$BT314,,AH314)*(1-AF314)+INDEX(Models!$BJ314:$BT314,,AH314+1)*AF314-ERP_i)*AE314*Ramure*Pc/MaxiM</f>
        <v>3.5620910470959044E-5</v>
      </c>
      <c r="AE314" s="305">
        <f t="shared" si="121"/>
        <v>0.5</v>
      </c>
      <c r="AF314" s="177">
        <f t="shared" si="122"/>
        <v>0.4959050339219595</v>
      </c>
      <c r="AG314" s="811">
        <f t="shared" si="123"/>
        <v>-2</v>
      </c>
      <c r="AH314" s="176">
        <f t="shared" si="124"/>
        <v>4</v>
      </c>
      <c r="AI314" s="225">
        <f t="shared" si="125"/>
        <v>-1.5040949660780405</v>
      </c>
      <c r="AJ314" s="265" t="b">
        <f t="shared" si="126"/>
        <v>0</v>
      </c>
      <c r="AK314" s="265" t="b">
        <f t="shared" si="12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8"/>
        <v>43401</v>
      </c>
      <c r="B315" s="617">
        <v>3.8359999999999999</v>
      </c>
      <c r="C315" s="390"/>
      <c r="D315" s="393">
        <f t="shared" si="105"/>
        <v>3.8479492941295277</v>
      </c>
      <c r="E315" s="385">
        <f t="shared" si="131"/>
        <v>3.8818565135770693</v>
      </c>
      <c r="F315" s="385">
        <f t="shared" si="130"/>
        <v>3.8818565135770693</v>
      </c>
      <c r="G315" s="110">
        <f t="shared" si="132"/>
        <v>0.10912865959805108</v>
      </c>
      <c r="I315" s="380">
        <f t="shared" si="106"/>
        <v>3.8818565135770693</v>
      </c>
      <c r="J315" s="85">
        <v>2018</v>
      </c>
      <c r="K315" s="197">
        <f t="shared" si="107"/>
        <v>43401</v>
      </c>
      <c r="L315" s="437">
        <f t="shared" si="108"/>
        <v>3.1053668372807985E-3</v>
      </c>
      <c r="M315" s="856"/>
      <c r="N315" s="856"/>
      <c r="O315" s="324">
        <f t="shared" si="109"/>
        <v>8.7347946347189811E-3</v>
      </c>
      <c r="P315" s="169">
        <f>(INDEX(Models!$BJ315:$BT315,,T315)*(1-R315)+INDEX(Models!$BJ315:$BT315,,T315+1)*R315-ERP_i)*Q315*Ramure*Pc/MaxiM</f>
        <v>3.4745885489130263E-5</v>
      </c>
      <c r="Q315" s="305">
        <f t="shared" si="110"/>
        <v>0.5</v>
      </c>
      <c r="R315" s="177">
        <f t="shared" si="111"/>
        <v>0.49597125280074161</v>
      </c>
      <c r="S315" s="811">
        <f t="shared" si="129"/>
        <v>-2</v>
      </c>
      <c r="T315" s="176">
        <f t="shared" si="112"/>
        <v>4</v>
      </c>
      <c r="U315" s="251">
        <f t="shared" si="113"/>
        <v>-1.5040287471992584</v>
      </c>
      <c r="V315" s="383">
        <f t="shared" si="114"/>
        <v>35.149948042171019</v>
      </c>
      <c r="W315" s="58"/>
      <c r="X315" s="157">
        <f t="shared" si="115"/>
        <v>43401</v>
      </c>
      <c r="Y315" s="385">
        <f t="shared" si="116"/>
        <v>3.8359999999999999</v>
      </c>
      <c r="Z315" s="385">
        <f t="shared" si="117"/>
        <v>3.8479492941295277</v>
      </c>
      <c r="AA315" s="386">
        <f t="shared" si="118"/>
        <v>3.8818565135770693</v>
      </c>
      <c r="AB315" s="197">
        <f t="shared" si="119"/>
        <v>43401</v>
      </c>
      <c r="AC315" s="426">
        <f t="shared" si="120"/>
        <v>8.7347946347189811E-3</v>
      </c>
      <c r="AD315" s="169">
        <f>(INDEX(Models!$BJ315:$BT315,,AH315)*(1-AF315)+INDEX(Models!$BJ315:$BT315,,AH315+1)*AF315-ERP_i)*AE315*Ramure*Pc/MaxiM</f>
        <v>3.4745885489130263E-5</v>
      </c>
      <c r="AE315" s="305">
        <f t="shared" si="121"/>
        <v>0.5</v>
      </c>
      <c r="AF315" s="177">
        <f t="shared" si="122"/>
        <v>0.49597125280074161</v>
      </c>
      <c r="AG315" s="811">
        <f t="shared" si="123"/>
        <v>-2</v>
      </c>
      <c r="AH315" s="176">
        <f t="shared" si="124"/>
        <v>4</v>
      </c>
      <c r="AI315" s="225">
        <f t="shared" si="125"/>
        <v>-1.5040287471992584</v>
      </c>
      <c r="AJ315" s="265" t="b">
        <f t="shared" si="126"/>
        <v>0</v>
      </c>
      <c r="AK315" s="265" t="b">
        <f t="shared" si="12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8"/>
        <v>43402</v>
      </c>
      <c r="B316" s="617">
        <v>4.4180000000000001</v>
      </c>
      <c r="C316" s="390"/>
      <c r="D316" s="393">
        <f t="shared" si="105"/>
        <v>4.4318593166072446</v>
      </c>
      <c r="E316" s="385">
        <f t="shared" si="131"/>
        <v>4.4711438849170584</v>
      </c>
      <c r="F316" s="385">
        <f t="shared" si="130"/>
        <v>4.4711438849170584</v>
      </c>
      <c r="G316" s="110">
        <f t="shared" si="132"/>
        <v>0.12682728911301916</v>
      </c>
      <c r="I316" s="380">
        <f t="shared" si="106"/>
        <v>4.4711438849170584</v>
      </c>
      <c r="J316" s="85">
        <v>2018</v>
      </c>
      <c r="K316" s="197">
        <f t="shared" si="107"/>
        <v>43402</v>
      </c>
      <c r="L316" s="437">
        <f t="shared" si="108"/>
        <v>3.127201388209766E-3</v>
      </c>
      <c r="M316" s="856"/>
      <c r="N316" s="856"/>
      <c r="O316" s="324">
        <f t="shared" si="109"/>
        <v>8.7862456053665518E-3</v>
      </c>
      <c r="P316" s="169">
        <f>(INDEX(Models!$BJ316:$BT316,,T316)*(1-R316)+INDEX(Models!$BJ316:$BT316,,T316+1)*R316-ERP_i)*Q316*Ramure*Pc/MaxiM</f>
        <v>3.3830722990309703E-5</v>
      </c>
      <c r="Q316" s="305">
        <f t="shared" si="110"/>
        <v>0.5</v>
      </c>
      <c r="R316" s="177">
        <f t="shared" si="111"/>
        <v>0.49603482203797777</v>
      </c>
      <c r="S316" s="811">
        <f t="shared" si="129"/>
        <v>-2</v>
      </c>
      <c r="T316" s="176">
        <f t="shared" si="112"/>
        <v>4</v>
      </c>
      <c r="U316" s="251">
        <f t="shared" si="113"/>
        <v>-1.5039651779620222</v>
      </c>
      <c r="V316" s="383">
        <f t="shared" si="114"/>
        <v>34.833595882735963</v>
      </c>
      <c r="W316" s="58"/>
      <c r="X316" s="157">
        <f t="shared" si="115"/>
        <v>43402</v>
      </c>
      <c r="Y316" s="385">
        <f t="shared" si="116"/>
        <v>4.4180000000000001</v>
      </c>
      <c r="Z316" s="385">
        <f t="shared" si="117"/>
        <v>4.4318593166072446</v>
      </c>
      <c r="AA316" s="386">
        <f t="shared" si="118"/>
        <v>4.4711438849170584</v>
      </c>
      <c r="AB316" s="197">
        <f t="shared" si="119"/>
        <v>43402</v>
      </c>
      <c r="AC316" s="426">
        <f t="shared" si="120"/>
        <v>8.7862456053665518E-3</v>
      </c>
      <c r="AD316" s="169">
        <f>(INDEX(Models!$BJ316:$BT316,,AH316)*(1-AF316)+INDEX(Models!$BJ316:$BT316,,AH316+1)*AF316-ERP_i)*AE316*Ramure*Pc/MaxiM</f>
        <v>3.3830722990309703E-5</v>
      </c>
      <c r="AE316" s="305">
        <f t="shared" si="121"/>
        <v>0.5</v>
      </c>
      <c r="AF316" s="177">
        <f t="shared" si="122"/>
        <v>0.49603482203797777</v>
      </c>
      <c r="AG316" s="811">
        <f t="shared" si="123"/>
        <v>-2</v>
      </c>
      <c r="AH316" s="176">
        <f t="shared" si="124"/>
        <v>4</v>
      </c>
      <c r="AI316" s="225">
        <f t="shared" si="125"/>
        <v>-1.5039651779620222</v>
      </c>
      <c r="AJ316" s="265" t="b">
        <f t="shared" si="126"/>
        <v>0</v>
      </c>
      <c r="AK316" s="265" t="b">
        <f t="shared" si="12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8"/>
        <v>43403</v>
      </c>
      <c r="B317" s="617">
        <v>32.703000000000003</v>
      </c>
      <c r="C317" s="390"/>
      <c r="D317" s="393">
        <f t="shared" si="105"/>
        <v>32.806308227951234</v>
      </c>
      <c r="E317" s="385">
        <f t="shared" si="131"/>
        <v>33.098820162763111</v>
      </c>
      <c r="F317" s="385">
        <f t="shared" si="130"/>
        <v>33.09982659368044</v>
      </c>
      <c r="G317" s="110">
        <f t="shared" si="132"/>
        <v>0.94738135872361873</v>
      </c>
      <c r="I317" s="380">
        <f t="shared" si="106"/>
        <v>33.09982659368044</v>
      </c>
      <c r="J317" s="85">
        <v>2018</v>
      </c>
      <c r="K317" s="197">
        <f t="shared" si="107"/>
        <v>43403</v>
      </c>
      <c r="L317" s="437">
        <f t="shared" si="108"/>
        <v>3.1490354609059468E-3</v>
      </c>
      <c r="M317" s="856"/>
      <c r="N317" s="856"/>
      <c r="O317" s="324">
        <f t="shared" si="109"/>
        <v>8.8375335849874351E-3</v>
      </c>
      <c r="P317" s="169">
        <f>(INDEX(Models!$BJ317:$BT317,,T317)*(1-R317)+INDEX(Models!$BJ317:$BT317,,T317+1)*R317-ERP_i)*Q317*Ramure*Pc/MaxiM</f>
        <v>3.2877177832339536E-5</v>
      </c>
      <c r="Q317" s="305">
        <f t="shared" si="110"/>
        <v>0.5</v>
      </c>
      <c r="R317" s="177">
        <f t="shared" si="111"/>
        <v>0.49609584701802034</v>
      </c>
      <c r="S317" s="811">
        <f t="shared" si="129"/>
        <v>-2</v>
      </c>
      <c r="T317" s="176">
        <f t="shared" si="112"/>
        <v>4</v>
      </c>
      <c r="U317" s="251">
        <f t="shared" si="113"/>
        <v>-1.5039041529819797</v>
      </c>
      <c r="V317" s="383">
        <f t="shared" si="114"/>
        <v>34.519276613477523</v>
      </c>
      <c r="W317" s="58"/>
      <c r="X317" s="157">
        <f t="shared" si="115"/>
        <v>43403</v>
      </c>
      <c r="Y317" s="385">
        <f t="shared" si="116"/>
        <v>32.703000000000003</v>
      </c>
      <c r="Z317" s="385">
        <f t="shared" si="117"/>
        <v>32.806308227951234</v>
      </c>
      <c r="AA317" s="386">
        <f t="shared" si="118"/>
        <v>33.098820162763111</v>
      </c>
      <c r="AB317" s="197">
        <f t="shared" si="119"/>
        <v>43403</v>
      </c>
      <c r="AC317" s="426">
        <f t="shared" si="120"/>
        <v>8.8375335849874351E-3</v>
      </c>
      <c r="AD317" s="169">
        <f>(INDEX(Models!$BJ317:$BT317,,AH317)*(1-AF317)+INDEX(Models!$BJ317:$BT317,,AH317+1)*AF317-ERP_i)*AE317*Ramure*Pc/MaxiM</f>
        <v>3.2877177832339536E-5</v>
      </c>
      <c r="AE317" s="305">
        <f t="shared" si="121"/>
        <v>0.5</v>
      </c>
      <c r="AF317" s="177">
        <f t="shared" si="122"/>
        <v>0.49609584701802034</v>
      </c>
      <c r="AG317" s="811">
        <f t="shared" si="123"/>
        <v>-2</v>
      </c>
      <c r="AH317" s="176">
        <f t="shared" si="124"/>
        <v>4</v>
      </c>
      <c r="AI317" s="225">
        <f t="shared" si="125"/>
        <v>-1.5039041529819797</v>
      </c>
      <c r="AJ317" s="265" t="b">
        <f t="shared" si="126"/>
        <v>0</v>
      </c>
      <c r="AK317" s="265" t="b">
        <f t="shared" si="12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8"/>
        <v>43404</v>
      </c>
      <c r="B318" s="617">
        <v>9.7970000000000006</v>
      </c>
      <c r="C318" s="390"/>
      <c r="D318" s="393">
        <f t="shared" si="105"/>
        <v>9.8281638205297224</v>
      </c>
      <c r="E318" s="385">
        <f t="shared" si="131"/>
        <v>9.9163065657597933</v>
      </c>
      <c r="F318" s="385">
        <f t="shared" si="130"/>
        <v>9.9163065657597933</v>
      </c>
      <c r="G318" s="110">
        <f t="shared" si="132"/>
        <v>0.28640735010036816</v>
      </c>
      <c r="I318" s="380">
        <f t="shared" si="106"/>
        <v>9.9163065657597933</v>
      </c>
      <c r="J318" s="85">
        <v>2018</v>
      </c>
      <c r="K318" s="197">
        <f t="shared" si="107"/>
        <v>43404</v>
      </c>
      <c r="L318" s="437">
        <f t="shared" si="108"/>
        <v>3.1708690553798879E-3</v>
      </c>
      <c r="M318" s="856"/>
      <c r="N318" s="856"/>
      <c r="O318" s="324">
        <f t="shared" si="109"/>
        <v>8.8886668282746138E-3</v>
      </c>
      <c r="P318" s="169">
        <f>(INDEX(Models!$BJ318:$BT318,,T318)*(1-R318)+INDEX(Models!$BJ318:$BT318,,T318+1)*R318-ERP_i)*Q318*Ramure*Pc/MaxiM</f>
        <v>3.196929758711793E-5</v>
      </c>
      <c r="Q318" s="305">
        <f t="shared" si="110"/>
        <v>0.5</v>
      </c>
      <c r="R318" s="177">
        <f t="shared" si="111"/>
        <v>0.49615442898388129</v>
      </c>
      <c r="S318" s="811">
        <f t="shared" si="129"/>
        <v>-2</v>
      </c>
      <c r="T318" s="176">
        <f t="shared" si="112"/>
        <v>4</v>
      </c>
      <c r="U318" s="251">
        <f t="shared" si="113"/>
        <v>-1.5038455710161187</v>
      </c>
      <c r="V318" s="383">
        <f t="shared" si="114"/>
        <v>34.205430808107408</v>
      </c>
      <c r="W318" s="58"/>
      <c r="X318" s="157">
        <f t="shared" si="115"/>
        <v>43404</v>
      </c>
      <c r="Y318" s="385">
        <f t="shared" si="116"/>
        <v>9.7970000000000006</v>
      </c>
      <c r="Z318" s="385">
        <f t="shared" si="117"/>
        <v>9.8281638205297224</v>
      </c>
      <c r="AA318" s="386">
        <f t="shared" si="118"/>
        <v>9.9163065657597933</v>
      </c>
      <c r="AB318" s="197">
        <f t="shared" si="119"/>
        <v>43404</v>
      </c>
      <c r="AC318" s="426">
        <f t="shared" si="120"/>
        <v>8.8886668282746138E-3</v>
      </c>
      <c r="AD318" s="169">
        <f>(INDEX(Models!$BJ318:$BT318,,AH318)*(1-AF318)+INDEX(Models!$BJ318:$BT318,,AH318+1)*AF318-ERP_i)*AE318*Ramure*Pc/MaxiM</f>
        <v>3.196929758711793E-5</v>
      </c>
      <c r="AE318" s="305">
        <f t="shared" si="121"/>
        <v>0.5</v>
      </c>
      <c r="AF318" s="177">
        <f t="shared" si="122"/>
        <v>0.49615442898388129</v>
      </c>
      <c r="AG318" s="811">
        <f t="shared" si="123"/>
        <v>-2</v>
      </c>
      <c r="AH318" s="176">
        <f t="shared" si="124"/>
        <v>4</v>
      </c>
      <c r="AI318" s="225">
        <f t="shared" si="125"/>
        <v>-1.5038455710161187</v>
      </c>
      <c r="AJ318" s="265" t="b">
        <f t="shared" si="126"/>
        <v>0</v>
      </c>
      <c r="AK318" s="265" t="b">
        <f t="shared" si="12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8"/>
        <v>43405</v>
      </c>
      <c r="B319" s="617">
        <v>22.588999999999999</v>
      </c>
      <c r="C319" s="390"/>
      <c r="D319" s="393">
        <f t="shared" si="105"/>
        <v>22.66135094437244</v>
      </c>
      <c r="E319" s="385">
        <f t="shared" si="131"/>
        <v>22.865762953680889</v>
      </c>
      <c r="F319" s="385">
        <f t="shared" si="130"/>
        <v>22.866137129214046</v>
      </c>
      <c r="G319" s="110">
        <f t="shared" si="132"/>
        <v>0.66648015978694308</v>
      </c>
      <c r="I319" s="380">
        <f t="shared" si="106"/>
        <v>22.866137129214046</v>
      </c>
      <c r="J319" s="85">
        <v>2018</v>
      </c>
      <c r="K319" s="197">
        <f t="shared" si="107"/>
        <v>43405</v>
      </c>
      <c r="L319" s="437">
        <f t="shared" si="108"/>
        <v>3.1927021716421367E-3</v>
      </c>
      <c r="M319" s="856"/>
      <c r="N319" s="856"/>
      <c r="O319" s="324">
        <f t="shared" si="109"/>
        <v>8.9396540024719428E-3</v>
      </c>
      <c r="P319" s="169">
        <f>(INDEX(Models!$BJ319:$BT319,,T319)*(1-R319)+INDEX(Models!$BJ319:$BT319,,T319+1)*R319-ERP_i)*Q319*Ramure*Pc/MaxiM</f>
        <v>3.1254920101021316E-5</v>
      </c>
      <c r="Q319" s="305">
        <f t="shared" si="110"/>
        <v>0.5</v>
      </c>
      <c r="R319" s="177">
        <f t="shared" si="111"/>
        <v>0.49621066519602297</v>
      </c>
      <c r="S319" s="811">
        <f t="shared" si="129"/>
        <v>-2</v>
      </c>
      <c r="T319" s="176">
        <f t="shared" si="112"/>
        <v>4</v>
      </c>
      <c r="U319" s="251">
        <f t="shared" si="113"/>
        <v>-1.503789334803977</v>
      </c>
      <c r="V319" s="383">
        <f t="shared" si="114"/>
        <v>33.892477196709791</v>
      </c>
      <c r="W319" s="58"/>
      <c r="X319" s="157">
        <f t="shared" si="115"/>
        <v>43405</v>
      </c>
      <c r="Y319" s="385">
        <f t="shared" si="116"/>
        <v>22.588999999999999</v>
      </c>
      <c r="Z319" s="385">
        <f t="shared" si="117"/>
        <v>22.66135094437244</v>
      </c>
      <c r="AA319" s="386">
        <f t="shared" si="118"/>
        <v>22.865762953680889</v>
      </c>
      <c r="AB319" s="197">
        <f t="shared" si="119"/>
        <v>43405</v>
      </c>
      <c r="AC319" s="426">
        <f t="shared" si="120"/>
        <v>8.9396540024719428E-3</v>
      </c>
      <c r="AD319" s="169">
        <f>(INDEX(Models!$BJ319:$BT319,,AH319)*(1-AF319)+INDEX(Models!$BJ319:$BT319,,AH319+1)*AF319-ERP_i)*AE319*Ramure*Pc/MaxiM</f>
        <v>3.1254920101021316E-5</v>
      </c>
      <c r="AE319" s="305">
        <f t="shared" si="121"/>
        <v>0.5</v>
      </c>
      <c r="AF319" s="177">
        <f t="shared" si="122"/>
        <v>0.49621066519602297</v>
      </c>
      <c r="AG319" s="811">
        <f t="shared" si="123"/>
        <v>-2</v>
      </c>
      <c r="AH319" s="176">
        <f t="shared" si="124"/>
        <v>4</v>
      </c>
      <c r="AI319" s="225">
        <f t="shared" si="125"/>
        <v>-1.503789334803977</v>
      </c>
      <c r="AJ319" s="265" t="b">
        <f t="shared" si="126"/>
        <v>0</v>
      </c>
      <c r="AK319" s="265" t="b">
        <f t="shared" si="12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8"/>
        <v>43406</v>
      </c>
      <c r="B320" s="617">
        <v>9.0079999999999991</v>
      </c>
      <c r="C320" s="390"/>
      <c r="D320" s="393">
        <f t="shared" si="105"/>
        <v>9.0370499115175953</v>
      </c>
      <c r="E320" s="385">
        <f t="shared" si="131"/>
        <v>9.1190346302472527</v>
      </c>
      <c r="F320" s="385">
        <f t="shared" si="130"/>
        <v>9.1190346302472527</v>
      </c>
      <c r="G320" s="110">
        <f t="shared" si="132"/>
        <v>0.2682399628083959</v>
      </c>
      <c r="I320" s="380">
        <f t="shared" si="106"/>
        <v>9.1190346302472527</v>
      </c>
      <c r="J320" s="85">
        <v>2018</v>
      </c>
      <c r="K320" s="197">
        <f t="shared" si="107"/>
        <v>43406</v>
      </c>
      <c r="L320" s="437">
        <f t="shared" si="108"/>
        <v>3.214534809703018E-3</v>
      </c>
      <c r="M320" s="856"/>
      <c r="N320" s="856"/>
      <c r="O320" s="324">
        <f t="shared" si="109"/>
        <v>8.9905041546523828E-3</v>
      </c>
      <c r="P320" s="169">
        <f>(INDEX(Models!$BJ320:$BT320,,T320)*(1-R320)+INDEX(Models!$BJ320:$BT320,,T320+1)*R320-ERP_i)*Q320*Ramure*Pc/MaxiM</f>
        <v>3.0735379048270557E-5</v>
      </c>
      <c r="Q320" s="305">
        <f t="shared" si="110"/>
        <v>0.5</v>
      </c>
      <c r="R320" s="177">
        <f t="shared" si="111"/>
        <v>0.49626464908537704</v>
      </c>
      <c r="S320" s="811">
        <f t="shared" si="129"/>
        <v>-2</v>
      </c>
      <c r="T320" s="176">
        <f t="shared" si="112"/>
        <v>4</v>
      </c>
      <c r="U320" s="251">
        <f t="shared" si="113"/>
        <v>-1.503735350914623</v>
      </c>
      <c r="V320" s="383">
        <f t="shared" si="114"/>
        <v>33.580839489378242</v>
      </c>
      <c r="W320" s="58"/>
      <c r="X320" s="157">
        <f t="shared" si="115"/>
        <v>43406</v>
      </c>
      <c r="Y320" s="385">
        <f t="shared" si="116"/>
        <v>9.0079999999999991</v>
      </c>
      <c r="Z320" s="385">
        <f t="shared" si="117"/>
        <v>9.0370499115175953</v>
      </c>
      <c r="AA320" s="386">
        <f t="shared" si="118"/>
        <v>9.1190346302472527</v>
      </c>
      <c r="AB320" s="197">
        <f t="shared" si="119"/>
        <v>43406</v>
      </c>
      <c r="AC320" s="426">
        <f t="shared" si="120"/>
        <v>8.9905041546523828E-3</v>
      </c>
      <c r="AD320" s="169">
        <f>(INDEX(Models!$BJ320:$BT320,,AH320)*(1-AF320)+INDEX(Models!$BJ320:$BT320,,AH320+1)*AF320-ERP_i)*AE320*Ramure*Pc/MaxiM</f>
        <v>3.0735379048270557E-5</v>
      </c>
      <c r="AE320" s="305">
        <f t="shared" si="121"/>
        <v>0.5</v>
      </c>
      <c r="AF320" s="177">
        <f t="shared" si="122"/>
        <v>0.49626464908537704</v>
      </c>
      <c r="AG320" s="811">
        <f t="shared" si="123"/>
        <v>-2</v>
      </c>
      <c r="AH320" s="176">
        <f t="shared" si="124"/>
        <v>4</v>
      </c>
      <c r="AI320" s="225">
        <f t="shared" si="125"/>
        <v>-1.503735350914623</v>
      </c>
      <c r="AJ320" s="265" t="b">
        <f t="shared" si="126"/>
        <v>0</v>
      </c>
      <c r="AK320" s="265" t="b">
        <f t="shared" si="12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8"/>
        <v>43407</v>
      </c>
      <c r="B321" s="617">
        <v>29.632999999999999</v>
      </c>
      <c r="C321" s="390"/>
      <c r="D321" s="393">
        <f t="shared" si="105"/>
        <v>29.729214648319171</v>
      </c>
      <c r="E321" s="385">
        <f t="shared" si="131"/>
        <v>30.000455567490313</v>
      </c>
      <c r="F321" s="385">
        <f t="shared" si="130"/>
        <v>30.00122544451607</v>
      </c>
      <c r="G321" s="110">
        <f t="shared" si="132"/>
        <v>0.89065286681418709</v>
      </c>
      <c r="I321" s="380">
        <f t="shared" si="106"/>
        <v>30.00122544451607</v>
      </c>
      <c r="J321" s="85">
        <v>2018</v>
      </c>
      <c r="K321" s="197">
        <f t="shared" si="107"/>
        <v>43407</v>
      </c>
      <c r="L321" s="437">
        <f t="shared" si="108"/>
        <v>3.23636696957319E-3</v>
      </c>
      <c r="M321" s="856"/>
      <c r="N321" s="856"/>
      <c r="O321" s="324">
        <f t="shared" si="109"/>
        <v>9.0412266760731969E-3</v>
      </c>
      <c r="P321" s="169">
        <f>(INDEX(Models!$BJ321:$BT321,,T321)*(1-R321)+INDEX(Models!$BJ321:$BT321,,T321+1)*R321-ERP_i)*Q321*Ramure*Pc/MaxiM</f>
        <v>3.0411999739575505E-5</v>
      </c>
      <c r="Q321" s="305">
        <f t="shared" si="110"/>
        <v>0.5</v>
      </c>
      <c r="R321" s="177">
        <f t="shared" si="111"/>
        <v>0.49631647040077032</v>
      </c>
      <c r="S321" s="811">
        <f t="shared" si="129"/>
        <v>-2</v>
      </c>
      <c r="T321" s="176">
        <f t="shared" si="112"/>
        <v>4</v>
      </c>
      <c r="U321" s="251">
        <f t="shared" si="113"/>
        <v>-1.5036835295992297</v>
      </c>
      <c r="V321" s="383">
        <f t="shared" si="114"/>
        <v>33.270941271873554</v>
      </c>
      <c r="W321" s="58"/>
      <c r="X321" s="157">
        <f t="shared" si="115"/>
        <v>43407</v>
      </c>
      <c r="Y321" s="385">
        <f t="shared" si="116"/>
        <v>29.632999999999999</v>
      </c>
      <c r="Z321" s="385">
        <f t="shared" si="117"/>
        <v>29.729214648319171</v>
      </c>
      <c r="AA321" s="386">
        <f t="shared" si="118"/>
        <v>30.000455567490313</v>
      </c>
      <c r="AB321" s="197">
        <f t="shared" si="119"/>
        <v>43407</v>
      </c>
      <c r="AC321" s="426">
        <f t="shared" si="120"/>
        <v>9.0412266760731969E-3</v>
      </c>
      <c r="AD321" s="169">
        <f>(INDEX(Models!$BJ321:$BT321,,AH321)*(1-AF321)+INDEX(Models!$BJ321:$BT321,,AH321+1)*AF321-ERP_i)*AE321*Ramure*Pc/MaxiM</f>
        <v>3.0411999739575505E-5</v>
      </c>
      <c r="AE321" s="305">
        <f t="shared" si="121"/>
        <v>0.5</v>
      </c>
      <c r="AF321" s="177">
        <f t="shared" si="122"/>
        <v>0.49631647040077032</v>
      </c>
      <c r="AG321" s="811">
        <f t="shared" si="123"/>
        <v>-2</v>
      </c>
      <c r="AH321" s="176">
        <f t="shared" si="124"/>
        <v>4</v>
      </c>
      <c r="AI321" s="225">
        <f t="shared" si="125"/>
        <v>-1.5036835295992297</v>
      </c>
      <c r="AJ321" s="265" t="b">
        <f t="shared" si="126"/>
        <v>0</v>
      </c>
      <c r="AK321" s="265" t="b">
        <f t="shared" si="12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8"/>
        <v>43408</v>
      </c>
      <c r="B322" s="617">
        <v>22.895</v>
      </c>
      <c r="C322" s="390"/>
      <c r="D322" s="393">
        <f t="shared" si="105"/>
        <v>22.969840302693964</v>
      </c>
      <c r="E322" s="385">
        <f t="shared" si="131"/>
        <v>23.180594355166072</v>
      </c>
      <c r="F322" s="385">
        <f t="shared" si="130"/>
        <v>23.180990079496752</v>
      </c>
      <c r="G322" s="110">
        <f t="shared" si="132"/>
        <v>0.69455311560438515</v>
      </c>
      <c r="I322" s="380">
        <f t="shared" si="106"/>
        <v>23.180990079496752</v>
      </c>
      <c r="J322" s="85">
        <v>2018</v>
      </c>
      <c r="K322" s="197">
        <f t="shared" si="107"/>
        <v>43408</v>
      </c>
      <c r="L322" s="437">
        <f t="shared" si="108"/>
        <v>3.2581986512629779E-3</v>
      </c>
      <c r="M322" s="856"/>
      <c r="N322" s="856"/>
      <c r="O322" s="324">
        <f t="shared" si="109"/>
        <v>9.0918312638148258E-3</v>
      </c>
      <c r="P322" s="169">
        <f>(INDEX(Models!$BJ322:$BT322,,T322)*(1-R322)+INDEX(Models!$BJ322:$BT322,,T322+1)*R322-ERP_i)*Q322*Ramure*Pc/MaxiM</f>
        <v>3.028609161391526E-5</v>
      </c>
      <c r="Q322" s="305">
        <f t="shared" si="110"/>
        <v>0.5</v>
      </c>
      <c r="R322" s="177">
        <f t="shared" si="111"/>
        <v>0.49636621535094272</v>
      </c>
      <c r="S322" s="811">
        <f t="shared" si="129"/>
        <v>-2</v>
      </c>
      <c r="T322" s="176">
        <f t="shared" si="112"/>
        <v>4</v>
      </c>
      <c r="U322" s="251">
        <f t="shared" si="113"/>
        <v>-1.5036337846490573</v>
      </c>
      <c r="V322" s="383">
        <f t="shared" si="114"/>
        <v>32.963206013435901</v>
      </c>
      <c r="W322" s="58"/>
      <c r="X322" s="157">
        <f t="shared" si="115"/>
        <v>43408</v>
      </c>
      <c r="Y322" s="385">
        <f t="shared" si="116"/>
        <v>22.895</v>
      </c>
      <c r="Z322" s="385">
        <f t="shared" si="117"/>
        <v>22.969840302693964</v>
      </c>
      <c r="AA322" s="386">
        <f t="shared" si="118"/>
        <v>23.180594355166072</v>
      </c>
      <c r="AB322" s="197">
        <f t="shared" si="119"/>
        <v>43408</v>
      </c>
      <c r="AC322" s="426">
        <f t="shared" si="120"/>
        <v>9.0918312638148258E-3</v>
      </c>
      <c r="AD322" s="169">
        <f>(INDEX(Models!$BJ322:$BT322,,AH322)*(1-AF322)+INDEX(Models!$BJ322:$BT322,,AH322+1)*AF322-ERP_i)*AE322*Ramure*Pc/MaxiM</f>
        <v>3.028609161391526E-5</v>
      </c>
      <c r="AE322" s="305">
        <f t="shared" si="121"/>
        <v>0.5</v>
      </c>
      <c r="AF322" s="177">
        <f t="shared" si="122"/>
        <v>0.49636621535094272</v>
      </c>
      <c r="AG322" s="811">
        <f t="shared" si="123"/>
        <v>-2</v>
      </c>
      <c r="AH322" s="176">
        <f t="shared" si="124"/>
        <v>4</v>
      </c>
      <c r="AI322" s="225">
        <f t="shared" si="125"/>
        <v>-1.5036337846490573</v>
      </c>
      <c r="AJ322" s="265" t="b">
        <f t="shared" si="126"/>
        <v>0</v>
      </c>
      <c r="AK322" s="265" t="b">
        <f t="shared" si="12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8"/>
        <v>43409</v>
      </c>
      <c r="B323" s="617">
        <v>10.75</v>
      </c>
      <c r="C323" s="390"/>
      <c r="D323" s="393">
        <f t="shared" si="105"/>
        <v>10.785376356444207</v>
      </c>
      <c r="E323" s="385">
        <f t="shared" si="131"/>
        <v>10.884889585976097</v>
      </c>
      <c r="F323" s="385">
        <f t="shared" si="130"/>
        <v>10.884903355710939</v>
      </c>
      <c r="G323" s="110">
        <f t="shared" si="132"/>
        <v>0.32915881126466373</v>
      </c>
      <c r="I323" s="380">
        <f t="shared" si="106"/>
        <v>10.884903355710939</v>
      </c>
      <c r="J323" s="85">
        <v>2018</v>
      </c>
      <c r="K323" s="197">
        <f t="shared" si="107"/>
        <v>43409</v>
      </c>
      <c r="L323" s="437">
        <f t="shared" si="108"/>
        <v>3.2800298547829287E-3</v>
      </c>
      <c r="M323" s="856"/>
      <c r="N323" s="856"/>
      <c r="O323" s="324">
        <f t="shared" si="109"/>
        <v>9.1423278799355884E-3</v>
      </c>
      <c r="P323" s="169">
        <f>(INDEX(Models!$BJ323:$BT323,,T323)*(1-R323)+INDEX(Models!$BJ323:$BT323,,T323+1)*R323-ERP_i)*Q323*Ramure*Pc/MaxiM</f>
        <v>3.0358940464227108E-5</v>
      </c>
      <c r="Q323" s="305">
        <f t="shared" si="110"/>
        <v>0.5</v>
      </c>
      <c r="R323" s="177">
        <f t="shared" si="111"/>
        <v>0.49641396674133209</v>
      </c>
      <c r="S323" s="811">
        <f t="shared" si="129"/>
        <v>-2</v>
      </c>
      <c r="T323" s="176">
        <f t="shared" si="112"/>
        <v>4</v>
      </c>
      <c r="U323" s="251">
        <f t="shared" si="113"/>
        <v>-1.5035860332586679</v>
      </c>
      <c r="V323" s="383">
        <f t="shared" si="114"/>
        <v>32.658057059967135</v>
      </c>
      <c r="W323" s="58"/>
      <c r="X323" s="157">
        <f t="shared" si="115"/>
        <v>43409</v>
      </c>
      <c r="Y323" s="385">
        <f t="shared" si="116"/>
        <v>10.75</v>
      </c>
      <c r="Z323" s="385">
        <f t="shared" si="117"/>
        <v>10.785376356444207</v>
      </c>
      <c r="AA323" s="386">
        <f t="shared" si="118"/>
        <v>10.884889585976097</v>
      </c>
      <c r="AB323" s="197">
        <f t="shared" si="119"/>
        <v>43409</v>
      </c>
      <c r="AC323" s="426">
        <f t="shared" si="120"/>
        <v>9.1423278799355884E-3</v>
      </c>
      <c r="AD323" s="169">
        <f>(INDEX(Models!$BJ323:$BT323,,AH323)*(1-AF323)+INDEX(Models!$BJ323:$BT323,,AH323+1)*AF323-ERP_i)*AE323*Ramure*Pc/MaxiM</f>
        <v>3.0358940464227108E-5</v>
      </c>
      <c r="AE323" s="305">
        <f t="shared" si="121"/>
        <v>0.5</v>
      </c>
      <c r="AF323" s="177">
        <f t="shared" si="122"/>
        <v>0.49641396674133209</v>
      </c>
      <c r="AG323" s="811">
        <f t="shared" si="123"/>
        <v>-2</v>
      </c>
      <c r="AH323" s="176">
        <f t="shared" si="124"/>
        <v>4</v>
      </c>
      <c r="AI323" s="225">
        <f t="shared" si="125"/>
        <v>-1.5035860332586679</v>
      </c>
      <c r="AJ323" s="265" t="b">
        <f t="shared" si="126"/>
        <v>0</v>
      </c>
      <c r="AK323" s="265" t="b">
        <f t="shared" si="12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8"/>
        <v>43410</v>
      </c>
      <c r="B324" s="617">
        <v>24.097999999999999</v>
      </c>
      <c r="C324" s="390"/>
      <c r="D324" s="393">
        <f t="shared" si="105"/>
        <v>24.177831829832261</v>
      </c>
      <c r="E324" s="385">
        <f t="shared" si="131"/>
        <v>24.402154164159604</v>
      </c>
      <c r="F324" s="385">
        <f t="shared" si="130"/>
        <v>24.402629932189928</v>
      </c>
      <c r="G324" s="110">
        <f t="shared" si="132"/>
        <v>0.74477045971104849</v>
      </c>
      <c r="I324" s="380">
        <f t="shared" si="106"/>
        <v>24.402629932189928</v>
      </c>
      <c r="J324" s="85">
        <v>2018</v>
      </c>
      <c r="K324" s="197">
        <f t="shared" si="107"/>
        <v>43410</v>
      </c>
      <c r="L324" s="437">
        <f t="shared" si="108"/>
        <v>3.3018605801434786E-3</v>
      </c>
      <c r="M324" s="856"/>
      <c r="N324" s="856"/>
      <c r="O324" s="324">
        <f t="shared" si="109"/>
        <v>9.1927267083991276E-3</v>
      </c>
      <c r="P324" s="169">
        <f>(INDEX(Models!$BJ324:$BT324,,T324)*(1-R324)+INDEX(Models!$BJ324:$BT324,,T324+1)*R324-ERP_i)*Q324*Ramure*Pc/MaxiM</f>
        <v>3.0684043586077489E-5</v>
      </c>
      <c r="Q324" s="305">
        <f t="shared" si="110"/>
        <v>0.5</v>
      </c>
      <c r="R324" s="177">
        <f t="shared" si="111"/>
        <v>0.49645980410580126</v>
      </c>
      <c r="S324" s="811">
        <f t="shared" si="129"/>
        <v>-2</v>
      </c>
      <c r="T324" s="176">
        <f t="shared" si="112"/>
        <v>4</v>
      </c>
      <c r="U324" s="251">
        <f t="shared" si="113"/>
        <v>-1.5035401958941987</v>
      </c>
      <c r="V324" s="383">
        <f t="shared" si="114"/>
        <v>32.355915954019714</v>
      </c>
      <c r="W324" s="58"/>
      <c r="X324" s="157">
        <f t="shared" si="115"/>
        <v>43410</v>
      </c>
      <c r="Y324" s="385">
        <f t="shared" si="116"/>
        <v>24.097999999999999</v>
      </c>
      <c r="Z324" s="385">
        <f t="shared" si="117"/>
        <v>24.177831829832261</v>
      </c>
      <c r="AA324" s="386">
        <f t="shared" si="118"/>
        <v>24.402154164159604</v>
      </c>
      <c r="AB324" s="197">
        <f t="shared" si="119"/>
        <v>43410</v>
      </c>
      <c r="AC324" s="426">
        <f t="shared" si="120"/>
        <v>9.1927267083991276E-3</v>
      </c>
      <c r="AD324" s="169">
        <f>(INDEX(Models!$BJ324:$BT324,,AH324)*(1-AF324)+INDEX(Models!$BJ324:$BT324,,AH324+1)*AF324-ERP_i)*AE324*Ramure*Pc/MaxiM</f>
        <v>3.0684043586077489E-5</v>
      </c>
      <c r="AE324" s="305">
        <f t="shared" si="121"/>
        <v>0.5</v>
      </c>
      <c r="AF324" s="177">
        <f t="shared" si="122"/>
        <v>0.49645980410580126</v>
      </c>
      <c r="AG324" s="811">
        <f t="shared" si="123"/>
        <v>-2</v>
      </c>
      <c r="AH324" s="176">
        <f t="shared" si="124"/>
        <v>4</v>
      </c>
      <c r="AI324" s="225">
        <f t="shared" si="125"/>
        <v>-1.5035401958941987</v>
      </c>
      <c r="AJ324" s="265" t="b">
        <f t="shared" si="126"/>
        <v>0</v>
      </c>
      <c r="AK324" s="265" t="b">
        <f t="shared" si="12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8"/>
        <v>43411</v>
      </c>
      <c r="B325" s="617">
        <v>9.8339999999999996</v>
      </c>
      <c r="C325" s="390"/>
      <c r="D325" s="393">
        <f t="shared" si="105"/>
        <v>9.8667941732891613</v>
      </c>
      <c r="E325" s="385">
        <f t="shared" si="131"/>
        <v>9.9588441492931565</v>
      </c>
      <c r="F325" s="385">
        <f t="shared" ref="F325:F356" si="133">Wh_sa/(1-Pvg*MEDIAN((-Sdif+Wh/Env_an)/Csdif,0,1))</f>
        <v>9.9588471464807018</v>
      </c>
      <c r="G325" s="110">
        <f t="shared" si="132"/>
        <v>0.30675460511588121</v>
      </c>
      <c r="I325" s="380">
        <f t="shared" si="106"/>
        <v>9.9588471464807018</v>
      </c>
      <c r="J325" s="85">
        <v>2018</v>
      </c>
      <c r="K325" s="197">
        <f t="shared" si="107"/>
        <v>43411</v>
      </c>
      <c r="L325" s="437">
        <f t="shared" si="108"/>
        <v>3.3236908273550636E-3</v>
      </c>
      <c r="M325" s="856"/>
      <c r="N325" s="856"/>
      <c r="O325" s="324">
        <f t="shared" si="109"/>
        <v>9.2430381100530225E-3</v>
      </c>
      <c r="P325" s="169">
        <f>(INDEX(Models!$BJ325:$BT325,,T325)*(1-R325)+INDEX(Models!$BJ325:$BT325,,T325+1)*R325-ERP_i)*Q325*Ramure*Pc/MaxiM</f>
        <v>3.1145476877403703E-5</v>
      </c>
      <c r="Q325" s="305">
        <f t="shared" si="110"/>
        <v>0.5</v>
      </c>
      <c r="R325" s="177">
        <f t="shared" si="111"/>
        <v>0.49650380383347237</v>
      </c>
      <c r="S325" s="811">
        <f t="shared" si="129"/>
        <v>-2</v>
      </c>
      <c r="T325" s="176">
        <f t="shared" si="112"/>
        <v>4</v>
      </c>
      <c r="U325" s="251">
        <f t="shared" si="113"/>
        <v>-1.5034961961665276</v>
      </c>
      <c r="V325" s="383">
        <f t="shared" si="114"/>
        <v>32.057209609577527</v>
      </c>
      <c r="W325" s="58"/>
      <c r="X325" s="157">
        <f t="shared" si="115"/>
        <v>43411</v>
      </c>
      <c r="Y325" s="385">
        <f t="shared" si="116"/>
        <v>9.8339999999999996</v>
      </c>
      <c r="Z325" s="385">
        <f t="shared" si="117"/>
        <v>9.8667941732891613</v>
      </c>
      <c r="AA325" s="386">
        <f t="shared" si="118"/>
        <v>9.9588441492931565</v>
      </c>
      <c r="AB325" s="197">
        <f t="shared" si="119"/>
        <v>43411</v>
      </c>
      <c r="AC325" s="426">
        <f t="shared" si="120"/>
        <v>9.2430381100530225E-3</v>
      </c>
      <c r="AD325" s="169">
        <f>(INDEX(Models!$BJ325:$BT325,,AH325)*(1-AF325)+INDEX(Models!$BJ325:$BT325,,AH325+1)*AF325-ERP_i)*AE325*Ramure*Pc/MaxiM</f>
        <v>3.1145476877403703E-5</v>
      </c>
      <c r="AE325" s="305">
        <f t="shared" si="121"/>
        <v>0.5</v>
      </c>
      <c r="AF325" s="177">
        <f t="shared" si="122"/>
        <v>0.49650380383347237</v>
      </c>
      <c r="AG325" s="811">
        <f t="shared" si="123"/>
        <v>-2</v>
      </c>
      <c r="AH325" s="176">
        <f t="shared" si="124"/>
        <v>4</v>
      </c>
      <c r="AI325" s="225">
        <f t="shared" si="125"/>
        <v>-1.5034961961665276</v>
      </c>
      <c r="AJ325" s="265" t="b">
        <f t="shared" si="126"/>
        <v>0</v>
      </c>
      <c r="AK325" s="265" t="b">
        <f t="shared" si="12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8"/>
        <v>43412</v>
      </c>
      <c r="B326" s="617">
        <v>17.21</v>
      </c>
      <c r="C326" s="390"/>
      <c r="D326" s="393">
        <f t="shared" si="105"/>
        <v>17.267769679115862</v>
      </c>
      <c r="E326" s="385">
        <f t="shared" si="131"/>
        <v>17.429749088324208</v>
      </c>
      <c r="F326" s="385">
        <f t="shared" si="133"/>
        <v>17.42994024110709</v>
      </c>
      <c r="G326" s="110">
        <f t="shared" si="132"/>
        <v>0.54182503723812958</v>
      </c>
      <c r="I326" s="380">
        <f t="shared" si="106"/>
        <v>17.42994024110709</v>
      </c>
      <c r="J326" s="85">
        <v>2018</v>
      </c>
      <c r="K326" s="197">
        <f t="shared" si="107"/>
        <v>43412</v>
      </c>
      <c r="L326" s="437">
        <f t="shared" si="108"/>
        <v>3.3455205964282309E-3</v>
      </c>
      <c r="M326" s="856"/>
      <c r="N326" s="856"/>
      <c r="O326" s="324">
        <f t="shared" si="109"/>
        <v>9.2932725759576409E-3</v>
      </c>
      <c r="P326" s="169">
        <f>(INDEX(Models!$BJ326:$BT326,,T326)*(1-R326)+INDEX(Models!$BJ326:$BT326,,T326+1)*R326-ERP_i)*Q326*Ramure*Pc/MaxiM</f>
        <v>3.1743973359980708E-5</v>
      </c>
      <c r="Q326" s="305">
        <f t="shared" si="110"/>
        <v>0.5</v>
      </c>
      <c r="R326" s="177">
        <f t="shared" si="111"/>
        <v>0.49654603929083851</v>
      </c>
      <c r="S326" s="811">
        <f t="shared" si="129"/>
        <v>-2</v>
      </c>
      <c r="T326" s="176">
        <f t="shared" si="112"/>
        <v>4</v>
      </c>
      <c r="U326" s="251">
        <f t="shared" si="113"/>
        <v>-1.5034539607091615</v>
      </c>
      <c r="V326" s="383">
        <f t="shared" si="114"/>
        <v>31.76236098415837</v>
      </c>
      <c r="W326" s="58"/>
      <c r="X326" s="157">
        <f t="shared" si="115"/>
        <v>43412</v>
      </c>
      <c r="Y326" s="385">
        <f t="shared" si="116"/>
        <v>17.21</v>
      </c>
      <c r="Z326" s="385">
        <f t="shared" si="117"/>
        <v>17.267769679115862</v>
      </c>
      <c r="AA326" s="386">
        <f t="shared" si="118"/>
        <v>17.429749088324208</v>
      </c>
      <c r="AB326" s="197">
        <f t="shared" si="119"/>
        <v>43412</v>
      </c>
      <c r="AC326" s="426">
        <f t="shared" si="120"/>
        <v>9.2932725759576409E-3</v>
      </c>
      <c r="AD326" s="169">
        <f>(INDEX(Models!$BJ326:$BT326,,AH326)*(1-AF326)+INDEX(Models!$BJ326:$BT326,,AH326+1)*AF326-ERP_i)*AE326*Ramure*Pc/MaxiM</f>
        <v>3.1743973359980708E-5</v>
      </c>
      <c r="AE326" s="305">
        <f t="shared" si="121"/>
        <v>0.5</v>
      </c>
      <c r="AF326" s="177">
        <f t="shared" si="122"/>
        <v>0.49654603929083851</v>
      </c>
      <c r="AG326" s="811">
        <f t="shared" si="123"/>
        <v>-2</v>
      </c>
      <c r="AH326" s="176">
        <f t="shared" si="124"/>
        <v>4</v>
      </c>
      <c r="AI326" s="225">
        <f t="shared" si="125"/>
        <v>-1.5034539607091615</v>
      </c>
      <c r="AJ326" s="265" t="b">
        <f t="shared" si="126"/>
        <v>0</v>
      </c>
      <c r="AK326" s="265" t="b">
        <f t="shared" si="12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8"/>
        <v>43413</v>
      </c>
      <c r="B327" s="617">
        <v>5.92</v>
      </c>
      <c r="C327" s="390"/>
      <c r="D327" s="393">
        <f t="shared" si="105"/>
        <v>5.9400020652855376</v>
      </c>
      <c r="E327" s="385">
        <f t="shared" si="131"/>
        <v>5.9960255745534319</v>
      </c>
      <c r="F327" s="385">
        <f t="shared" si="133"/>
        <v>5.9960255745534319</v>
      </c>
      <c r="G327" s="110">
        <f t="shared" si="132"/>
        <v>0.18809883925075965</v>
      </c>
      <c r="I327" s="380">
        <f t="shared" si="106"/>
        <v>5.9960255745534319</v>
      </c>
      <c r="J327" s="85">
        <v>2018</v>
      </c>
      <c r="K327" s="197">
        <f t="shared" si="107"/>
        <v>43413</v>
      </c>
      <c r="L327" s="437">
        <f t="shared" si="108"/>
        <v>3.3673498873735275E-3</v>
      </c>
      <c r="M327" s="856"/>
      <c r="N327" s="856"/>
      <c r="O327" s="324">
        <f t="shared" si="109"/>
        <v>9.3434406793815317E-3</v>
      </c>
      <c r="P327" s="169">
        <f>(INDEX(Models!$BJ327:$BT327,,T327)*(1-R327)+INDEX(Models!$BJ327:$BT327,,T327+1)*R327-ERP_i)*Q327*Ramure*Pc/MaxiM</f>
        <v>3.2480218346705449E-5</v>
      </c>
      <c r="Q327" s="305">
        <f t="shared" si="110"/>
        <v>0.5</v>
      </c>
      <c r="R327" s="177">
        <f t="shared" si="111"/>
        <v>0.49658658093930796</v>
      </c>
      <c r="S327" s="811">
        <f t="shared" si="129"/>
        <v>-2</v>
      </c>
      <c r="T327" s="176">
        <f t="shared" si="112"/>
        <v>4</v>
      </c>
      <c r="U327" s="251">
        <f t="shared" si="113"/>
        <v>-1.503413419060692</v>
      </c>
      <c r="V327" s="383">
        <f t="shared" si="114"/>
        <v>31.471792918485431</v>
      </c>
      <c r="W327" s="58"/>
      <c r="X327" s="157">
        <f t="shared" si="115"/>
        <v>43413</v>
      </c>
      <c r="Y327" s="385">
        <f t="shared" si="116"/>
        <v>5.92</v>
      </c>
      <c r="Z327" s="385">
        <f t="shared" si="117"/>
        <v>5.9400020652855376</v>
      </c>
      <c r="AA327" s="386">
        <f t="shared" si="118"/>
        <v>5.9960255745534319</v>
      </c>
      <c r="AB327" s="197">
        <f t="shared" si="119"/>
        <v>43413</v>
      </c>
      <c r="AC327" s="426">
        <f t="shared" si="120"/>
        <v>9.3434406793815317E-3</v>
      </c>
      <c r="AD327" s="169">
        <f>(INDEX(Models!$BJ327:$BT327,,AH327)*(1-AF327)+INDEX(Models!$BJ327:$BT327,,AH327+1)*AF327-ERP_i)*AE327*Ramure*Pc/MaxiM</f>
        <v>3.2480218346705449E-5</v>
      </c>
      <c r="AE327" s="305">
        <f t="shared" si="121"/>
        <v>0.5</v>
      </c>
      <c r="AF327" s="177">
        <f t="shared" si="122"/>
        <v>0.49658658093930796</v>
      </c>
      <c r="AG327" s="811">
        <f t="shared" si="123"/>
        <v>-2</v>
      </c>
      <c r="AH327" s="176">
        <f t="shared" si="124"/>
        <v>4</v>
      </c>
      <c r="AI327" s="225">
        <f t="shared" si="125"/>
        <v>-1.503413419060692</v>
      </c>
      <c r="AJ327" s="265" t="b">
        <f t="shared" si="126"/>
        <v>0</v>
      </c>
      <c r="AK327" s="265" t="b">
        <f t="shared" si="12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8"/>
        <v>43414</v>
      </c>
      <c r="B328" s="617">
        <v>21.510999999999999</v>
      </c>
      <c r="C328" s="390"/>
      <c r="D328" s="393">
        <f t="shared" si="105"/>
        <v>21.584152550084642</v>
      </c>
      <c r="E328" s="385">
        <f t="shared" si="131"/>
        <v>21.788827052392957</v>
      </c>
      <c r="F328" s="385">
        <f t="shared" si="133"/>
        <v>21.789231727925742</v>
      </c>
      <c r="G328" s="110">
        <f t="shared" si="132"/>
        <v>0.68975603058727353</v>
      </c>
      <c r="I328" s="380">
        <f t="shared" si="106"/>
        <v>21.789231727925742</v>
      </c>
      <c r="J328" s="85">
        <v>2018</v>
      </c>
      <c r="K328" s="197">
        <f t="shared" si="107"/>
        <v>43414</v>
      </c>
      <c r="L328" s="437">
        <f t="shared" si="108"/>
        <v>3.3891787002012785E-3</v>
      </c>
      <c r="M328" s="856"/>
      <c r="N328" s="856"/>
      <c r="O328" s="324">
        <f t="shared" si="109"/>
        <v>9.3935530267947424E-3</v>
      </c>
      <c r="P328" s="169">
        <f>(INDEX(Models!$BJ328:$BT328,,T328)*(1-R328)+INDEX(Models!$BJ328:$BT328,,T328+1)*R328-ERP_i)*Q328*Ramure*Pc/MaxiM</f>
        <v>3.3354840188032536E-5</v>
      </c>
      <c r="Q328" s="305">
        <f t="shared" si="110"/>
        <v>0.5</v>
      </c>
      <c r="R328" s="177">
        <f t="shared" si="111"/>
        <v>0.4966254964483432</v>
      </c>
      <c r="S328" s="811">
        <f t="shared" si="129"/>
        <v>-2</v>
      </c>
      <c r="T328" s="176">
        <f t="shared" si="112"/>
        <v>4</v>
      </c>
      <c r="U328" s="251">
        <f t="shared" si="113"/>
        <v>-1.5033745035516568</v>
      </c>
      <c r="V328" s="383">
        <f t="shared" si="114"/>
        <v>31.185928143244656</v>
      </c>
      <c r="W328" s="58"/>
      <c r="X328" s="157">
        <f t="shared" si="115"/>
        <v>43414</v>
      </c>
      <c r="Y328" s="385">
        <f t="shared" si="116"/>
        <v>21.510999999999999</v>
      </c>
      <c r="Z328" s="385">
        <f t="shared" si="117"/>
        <v>21.584152550084642</v>
      </c>
      <c r="AA328" s="386">
        <f t="shared" si="118"/>
        <v>21.788827052392957</v>
      </c>
      <c r="AB328" s="197">
        <f t="shared" si="119"/>
        <v>43414</v>
      </c>
      <c r="AC328" s="426">
        <f t="shared" si="120"/>
        <v>9.3935530267947424E-3</v>
      </c>
      <c r="AD328" s="169">
        <f>(INDEX(Models!$BJ328:$BT328,,AH328)*(1-AF328)+INDEX(Models!$BJ328:$BT328,,AH328+1)*AF328-ERP_i)*AE328*Ramure*Pc/MaxiM</f>
        <v>3.3354840188032536E-5</v>
      </c>
      <c r="AE328" s="305">
        <f t="shared" si="121"/>
        <v>0.5</v>
      </c>
      <c r="AF328" s="177">
        <f t="shared" si="122"/>
        <v>0.4966254964483432</v>
      </c>
      <c r="AG328" s="811">
        <f t="shared" si="123"/>
        <v>-2</v>
      </c>
      <c r="AH328" s="176">
        <f t="shared" si="124"/>
        <v>4</v>
      </c>
      <c r="AI328" s="225">
        <f t="shared" si="125"/>
        <v>-1.5033745035516568</v>
      </c>
      <c r="AJ328" s="265" t="b">
        <f t="shared" si="126"/>
        <v>0</v>
      </c>
      <c r="AK328" s="265" t="b">
        <f t="shared" si="12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8"/>
        <v>43415</v>
      </c>
      <c r="B329" s="617">
        <v>26.483000000000001</v>
      </c>
      <c r="C329" s="390"/>
      <c r="D329" s="393">
        <f t="shared" si="105"/>
        <v>26.573642882816792</v>
      </c>
      <c r="E329" s="385">
        <f t="shared" si="131"/>
        <v>26.82698675708118</v>
      </c>
      <c r="F329" s="385">
        <f t="shared" si="133"/>
        <v>26.827720309111356</v>
      </c>
      <c r="G329" s="110">
        <f t="shared" si="132"/>
        <v>0.85690508819598743</v>
      </c>
      <c r="I329" s="380">
        <f t="shared" si="106"/>
        <v>26.827720309111356</v>
      </c>
      <c r="J329" s="85">
        <v>2018</v>
      </c>
      <c r="K329" s="197">
        <f t="shared" si="107"/>
        <v>43415</v>
      </c>
      <c r="L329" s="437">
        <f t="shared" si="108"/>
        <v>3.4110070349219201E-3</v>
      </c>
      <c r="M329" s="856"/>
      <c r="N329" s="856"/>
      <c r="O329" s="324">
        <f t="shared" si="109"/>
        <v>9.4436202082039122E-3</v>
      </c>
      <c r="P329" s="169">
        <f>(INDEX(Models!$BJ329:$BT329,,T329)*(1-R329)+INDEX(Models!$BJ329:$BT329,,T329+1)*R329-ERP_i)*Q329*Ramure*Pc/MaxiM</f>
        <v>3.4368399879480359E-5</v>
      </c>
      <c r="Q329" s="305">
        <f t="shared" si="110"/>
        <v>0.5</v>
      </c>
      <c r="R329" s="177">
        <f t="shared" si="111"/>
        <v>0.49666285080434025</v>
      </c>
      <c r="S329" s="811">
        <f t="shared" si="129"/>
        <v>-2</v>
      </c>
      <c r="T329" s="176">
        <f t="shared" si="112"/>
        <v>4</v>
      </c>
      <c r="U329" s="251">
        <f t="shared" si="113"/>
        <v>-1.5033371491956597</v>
      </c>
      <c r="V329" s="383">
        <f t="shared" si="114"/>
        <v>30.905189276741524</v>
      </c>
      <c r="W329" s="58"/>
      <c r="X329" s="157">
        <f t="shared" si="115"/>
        <v>43415</v>
      </c>
      <c r="Y329" s="385">
        <f t="shared" si="116"/>
        <v>26.483000000000001</v>
      </c>
      <c r="Z329" s="385">
        <f t="shared" si="117"/>
        <v>26.573642882816792</v>
      </c>
      <c r="AA329" s="386">
        <f t="shared" si="118"/>
        <v>26.82698675708118</v>
      </c>
      <c r="AB329" s="197">
        <f t="shared" si="119"/>
        <v>43415</v>
      </c>
      <c r="AC329" s="426">
        <f t="shared" si="120"/>
        <v>9.4436202082039122E-3</v>
      </c>
      <c r="AD329" s="169">
        <f>(INDEX(Models!$BJ329:$BT329,,AH329)*(1-AF329)+INDEX(Models!$BJ329:$BT329,,AH329+1)*AF329-ERP_i)*AE329*Ramure*Pc/MaxiM</f>
        <v>3.4368399879480359E-5</v>
      </c>
      <c r="AE329" s="305">
        <f t="shared" si="121"/>
        <v>0.5</v>
      </c>
      <c r="AF329" s="177">
        <f t="shared" si="122"/>
        <v>0.49666285080434025</v>
      </c>
      <c r="AG329" s="811">
        <f t="shared" si="123"/>
        <v>-2</v>
      </c>
      <c r="AH329" s="176">
        <f t="shared" si="124"/>
        <v>4</v>
      </c>
      <c r="AI329" s="225">
        <f t="shared" si="125"/>
        <v>-1.5033371491956597</v>
      </c>
      <c r="AJ329" s="265" t="b">
        <f t="shared" si="126"/>
        <v>0</v>
      </c>
      <c r="AK329" s="265" t="b">
        <f t="shared" si="12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8"/>
        <v>43416</v>
      </c>
      <c r="B330" s="617">
        <v>27.888999999999999</v>
      </c>
      <c r="C330" s="390"/>
      <c r="D330" s="393">
        <f t="shared" si="105"/>
        <v>27.985068118278722</v>
      </c>
      <c r="E330" s="385">
        <f t="shared" si="131"/>
        <v>28.253295090834769</v>
      </c>
      <c r="F330" s="385">
        <f t="shared" si="133"/>
        <v>28.254170415117652</v>
      </c>
      <c r="G330" s="110">
        <f t="shared" si="132"/>
        <v>0.91050846936410879</v>
      </c>
      <c r="I330" s="380">
        <f t="shared" si="106"/>
        <v>28.254170415117652</v>
      </c>
      <c r="J330" s="85">
        <v>2018</v>
      </c>
      <c r="K330" s="197">
        <f t="shared" si="107"/>
        <v>43416</v>
      </c>
      <c r="L330" s="437">
        <f t="shared" si="108"/>
        <v>3.4328348915461104E-3</v>
      </c>
      <c r="M330" s="856"/>
      <c r="N330" s="856"/>
      <c r="O330" s="324">
        <f t="shared" si="109"/>
        <v>9.4936527471819639E-3</v>
      </c>
      <c r="P330" s="169">
        <f>(INDEX(Models!$BJ330:$BT330,,T330)*(1-R330)+INDEX(Models!$BJ330:$BT330,,T330+1)*R330-ERP_i)*Q330*Ramure*Pc/MaxiM</f>
        <v>3.5521379362921936E-5</v>
      </c>
      <c r="Q330" s="305">
        <f t="shared" si="110"/>
        <v>0.5</v>
      </c>
      <c r="R330" s="177">
        <f t="shared" si="111"/>
        <v>0.49669870641540337</v>
      </c>
      <c r="S330" s="811">
        <f t="shared" si="129"/>
        <v>-2</v>
      </c>
      <c r="T330" s="176">
        <f t="shared" si="112"/>
        <v>4</v>
      </c>
      <c r="U330" s="251">
        <f t="shared" si="113"/>
        <v>-1.5033012935845966</v>
      </c>
      <c r="V330" s="383">
        <f t="shared" si="114"/>
        <v>30.629998830189667</v>
      </c>
      <c r="W330" s="58"/>
      <c r="X330" s="157">
        <f t="shared" si="115"/>
        <v>43416</v>
      </c>
      <c r="Y330" s="385">
        <f t="shared" si="116"/>
        <v>27.888999999999999</v>
      </c>
      <c r="Z330" s="385">
        <f t="shared" si="117"/>
        <v>27.985068118278722</v>
      </c>
      <c r="AA330" s="386">
        <f t="shared" si="118"/>
        <v>28.253295090834769</v>
      </c>
      <c r="AB330" s="197">
        <f t="shared" si="119"/>
        <v>43416</v>
      </c>
      <c r="AC330" s="426">
        <f t="shared" si="120"/>
        <v>9.4936527471819639E-3</v>
      </c>
      <c r="AD330" s="169">
        <f>(INDEX(Models!$BJ330:$BT330,,AH330)*(1-AF330)+INDEX(Models!$BJ330:$BT330,,AH330+1)*AF330-ERP_i)*AE330*Ramure*Pc/MaxiM</f>
        <v>3.5521379362921936E-5</v>
      </c>
      <c r="AE330" s="305">
        <f t="shared" si="121"/>
        <v>0.5</v>
      </c>
      <c r="AF330" s="177">
        <f t="shared" si="122"/>
        <v>0.49669870641540337</v>
      </c>
      <c r="AG330" s="811">
        <f t="shared" si="123"/>
        <v>-2</v>
      </c>
      <c r="AH330" s="176">
        <f t="shared" si="124"/>
        <v>4</v>
      </c>
      <c r="AI330" s="225">
        <f t="shared" si="125"/>
        <v>-1.5033012935845966</v>
      </c>
      <c r="AJ330" s="265" t="b">
        <f t="shared" si="126"/>
        <v>0</v>
      </c>
      <c r="AK330" s="265" t="b">
        <f t="shared" si="12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8"/>
        <v>43417</v>
      </c>
      <c r="B331" s="617">
        <v>8.64</v>
      </c>
      <c r="C331" s="390"/>
      <c r="D331" s="393">
        <f t="shared" si="105"/>
        <v>8.6699517552121819</v>
      </c>
      <c r="E331" s="385">
        <f t="shared" si="131"/>
        <v>8.7534921169889035</v>
      </c>
      <c r="F331" s="385">
        <f t="shared" si="133"/>
        <v>8.7534921169889035</v>
      </c>
      <c r="G331" s="110">
        <f t="shared" si="132"/>
        <v>0.28457928442690172</v>
      </c>
      <c r="I331" s="380">
        <f t="shared" si="106"/>
        <v>8.7534921169889035</v>
      </c>
      <c r="J331" s="85">
        <v>2018</v>
      </c>
      <c r="K331" s="197">
        <f t="shared" si="107"/>
        <v>43417</v>
      </c>
      <c r="L331" s="437">
        <f t="shared" si="108"/>
        <v>3.4546622700841745E-3</v>
      </c>
      <c r="M331" s="856"/>
      <c r="N331" s="856"/>
      <c r="O331" s="324">
        <f t="shared" si="109"/>
        <v>9.5436610509518609E-3</v>
      </c>
      <c r="P331" s="169">
        <f>(INDEX(Models!$BJ331:$BT331,,T331)*(1-R331)+INDEX(Models!$BJ331:$BT331,,T331+1)*R331-ERP_i)*Q331*Ramure*Pc/MaxiM</f>
        <v>3.6815731756648601E-5</v>
      </c>
      <c r="Q331" s="305">
        <f t="shared" si="110"/>
        <v>0.5</v>
      </c>
      <c r="R331" s="177">
        <f t="shared" si="111"/>
        <v>0.49673312321215413</v>
      </c>
      <c r="S331" s="811">
        <f t="shared" si="129"/>
        <v>-2</v>
      </c>
      <c r="T331" s="176">
        <f t="shared" si="112"/>
        <v>4</v>
      </c>
      <c r="U331" s="251">
        <f t="shared" si="113"/>
        <v>-1.5032668767878459</v>
      </c>
      <c r="V331" s="383">
        <f t="shared" si="114"/>
        <v>30.35948990270531</v>
      </c>
      <c r="W331" s="58"/>
      <c r="X331" s="157">
        <f t="shared" si="115"/>
        <v>43417</v>
      </c>
      <c r="Y331" s="385">
        <f t="shared" si="116"/>
        <v>8.64</v>
      </c>
      <c r="Z331" s="385">
        <f t="shared" si="117"/>
        <v>8.6699517552121819</v>
      </c>
      <c r="AA331" s="386">
        <f t="shared" si="118"/>
        <v>8.7534921169889035</v>
      </c>
      <c r="AB331" s="197">
        <f t="shared" si="119"/>
        <v>43417</v>
      </c>
      <c r="AC331" s="426">
        <f t="shared" si="120"/>
        <v>9.5436610509518609E-3</v>
      </c>
      <c r="AD331" s="169">
        <f>(INDEX(Models!$BJ331:$BT331,,AH331)*(1-AF331)+INDEX(Models!$BJ331:$BT331,,AH331+1)*AF331-ERP_i)*AE331*Ramure*Pc/MaxiM</f>
        <v>3.6815731756648601E-5</v>
      </c>
      <c r="AE331" s="305">
        <f t="shared" si="121"/>
        <v>0.5</v>
      </c>
      <c r="AF331" s="177">
        <f t="shared" si="122"/>
        <v>0.49673312321215413</v>
      </c>
      <c r="AG331" s="811">
        <f t="shared" si="123"/>
        <v>-2</v>
      </c>
      <c r="AH331" s="176">
        <f t="shared" si="124"/>
        <v>4</v>
      </c>
      <c r="AI331" s="225">
        <f t="shared" si="125"/>
        <v>-1.5032668767878459</v>
      </c>
      <c r="AJ331" s="265" t="b">
        <f t="shared" si="126"/>
        <v>0</v>
      </c>
      <c r="AK331" s="265" t="b">
        <f t="shared" si="12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8"/>
        <v>43418</v>
      </c>
      <c r="B332" s="617">
        <v>18.3</v>
      </c>
      <c r="C332" s="390"/>
      <c r="D332" s="393">
        <f t="shared" si="105"/>
        <v>18.363841696788519</v>
      </c>
      <c r="E332" s="385">
        <f t="shared" si="131"/>
        <v>18.541724612517484</v>
      </c>
      <c r="F332" s="385">
        <f t="shared" si="133"/>
        <v>18.542037125391694</v>
      </c>
      <c r="G332" s="110">
        <f t="shared" si="132"/>
        <v>0.60811023790782548</v>
      </c>
      <c r="I332" s="380">
        <f t="shared" si="106"/>
        <v>18.542037125391694</v>
      </c>
      <c r="J332" s="85">
        <v>2018</v>
      </c>
      <c r="K332" s="197">
        <f t="shared" si="107"/>
        <v>43418</v>
      </c>
      <c r="L332" s="437">
        <f t="shared" si="108"/>
        <v>3.4764891705466594E-3</v>
      </c>
      <c r="M332" s="856"/>
      <c r="N332" s="856"/>
      <c r="O332" s="324">
        <f t="shared" si="109"/>
        <v>9.5936553608867783E-3</v>
      </c>
      <c r="P332" s="169">
        <f>(INDEX(Models!$BJ332:$BT332,,T332)*(1-R332)+INDEX(Models!$BJ332:$BT332,,T332+1)*R332-ERP_i)*Q332*Ramure*Pc/MaxiM</f>
        <v>3.8289879848104895E-5</v>
      </c>
      <c r="Q332" s="305">
        <f t="shared" si="110"/>
        <v>0.5</v>
      </c>
      <c r="R332" s="177">
        <f t="shared" si="111"/>
        <v>0.49676615874471586</v>
      </c>
      <c r="S332" s="811">
        <f t="shared" si="129"/>
        <v>-2</v>
      </c>
      <c r="T332" s="176">
        <f t="shared" si="112"/>
        <v>4</v>
      </c>
      <c r="U332" s="251">
        <f t="shared" si="113"/>
        <v>-1.5032338412552841</v>
      </c>
      <c r="V332" s="383">
        <f t="shared" si="114"/>
        <v>30.092582859740062</v>
      </c>
      <c r="W332" s="58"/>
      <c r="X332" s="157">
        <f t="shared" si="115"/>
        <v>43418</v>
      </c>
      <c r="Y332" s="385">
        <f t="shared" si="116"/>
        <v>18.3</v>
      </c>
      <c r="Z332" s="385">
        <f t="shared" si="117"/>
        <v>18.363841696788519</v>
      </c>
      <c r="AA332" s="386">
        <f t="shared" si="118"/>
        <v>18.541724612517484</v>
      </c>
      <c r="AB332" s="197">
        <f t="shared" si="119"/>
        <v>43418</v>
      </c>
      <c r="AC332" s="426">
        <f t="shared" si="120"/>
        <v>9.5936553608867783E-3</v>
      </c>
      <c r="AD332" s="169">
        <f>(INDEX(Models!$BJ332:$BT332,,AH332)*(1-AF332)+INDEX(Models!$BJ332:$BT332,,AH332+1)*AF332-ERP_i)*AE332*Ramure*Pc/MaxiM</f>
        <v>3.8289879848104895E-5</v>
      </c>
      <c r="AE332" s="305">
        <f t="shared" si="121"/>
        <v>0.5</v>
      </c>
      <c r="AF332" s="177">
        <f t="shared" si="122"/>
        <v>0.49676615874471586</v>
      </c>
      <c r="AG332" s="811">
        <f t="shared" si="123"/>
        <v>-2</v>
      </c>
      <c r="AH332" s="176">
        <f t="shared" si="124"/>
        <v>4</v>
      </c>
      <c r="AI332" s="225">
        <f t="shared" si="125"/>
        <v>-1.5032338412552841</v>
      </c>
      <c r="AJ332" s="265" t="b">
        <f t="shared" si="126"/>
        <v>0</v>
      </c>
      <c r="AK332" s="265" t="b">
        <f t="shared" si="12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8"/>
        <v>43419</v>
      </c>
      <c r="B333" s="617">
        <v>20.047000000000001</v>
      </c>
      <c r="C333" s="390"/>
      <c r="D333" s="393">
        <f t="shared" si="105"/>
        <v>20.117376933415301</v>
      </c>
      <c r="E333" s="385">
        <f t="shared" si="131"/>
        <v>20.313270921265065</v>
      </c>
      <c r="F333" s="385">
        <f t="shared" si="133"/>
        <v>20.313701286022383</v>
      </c>
      <c r="G333" s="110">
        <f t="shared" si="132"/>
        <v>0.67204287008034724</v>
      </c>
      <c r="I333" s="380">
        <f t="shared" si="106"/>
        <v>20.313701286022383</v>
      </c>
      <c r="J333" s="85">
        <v>2018</v>
      </c>
      <c r="K333" s="197">
        <f t="shared" si="107"/>
        <v>43419</v>
      </c>
      <c r="L333" s="437">
        <f t="shared" si="108"/>
        <v>3.4983155929440013E-3</v>
      </c>
      <c r="M333" s="856"/>
      <c r="N333" s="856"/>
      <c r="O333" s="324">
        <f t="shared" si="109"/>
        <v>9.643645703789297E-3</v>
      </c>
      <c r="P333" s="169">
        <f>(INDEX(Models!$BJ333:$BT333,,T333)*(1-R333)+INDEX(Models!$BJ333:$BT333,,T333+1)*R333-ERP_i)*Q333*Ramure*Pc/MaxiM</f>
        <v>3.9860068594307075E-5</v>
      </c>
      <c r="Q333" s="305">
        <f t="shared" si="110"/>
        <v>0.5</v>
      </c>
      <c r="R333" s="177">
        <f t="shared" si="111"/>
        <v>0.49679786827601102</v>
      </c>
      <c r="S333" s="811">
        <f t="shared" si="129"/>
        <v>-2</v>
      </c>
      <c r="T333" s="176">
        <f t="shared" si="112"/>
        <v>4</v>
      </c>
      <c r="U333" s="251">
        <f t="shared" si="113"/>
        <v>-1.503202131723989</v>
      </c>
      <c r="V333" s="383">
        <f t="shared" si="114"/>
        <v>29.829385183891642</v>
      </c>
      <c r="W333" s="58"/>
      <c r="X333" s="157">
        <f t="shared" si="115"/>
        <v>43419</v>
      </c>
      <c r="Y333" s="385">
        <f t="shared" si="116"/>
        <v>20.047000000000001</v>
      </c>
      <c r="Z333" s="385">
        <f t="shared" si="117"/>
        <v>20.117376933415301</v>
      </c>
      <c r="AA333" s="386">
        <f t="shared" si="118"/>
        <v>20.313270921265065</v>
      </c>
      <c r="AB333" s="197">
        <f t="shared" si="119"/>
        <v>43419</v>
      </c>
      <c r="AC333" s="426">
        <f t="shared" si="120"/>
        <v>9.643645703789297E-3</v>
      </c>
      <c r="AD333" s="169">
        <f>(INDEX(Models!$BJ333:$BT333,,AH333)*(1-AF333)+INDEX(Models!$BJ333:$BT333,,AH333+1)*AF333-ERP_i)*AE333*Ramure*Pc/MaxiM</f>
        <v>3.9860068594307075E-5</v>
      </c>
      <c r="AE333" s="305">
        <f t="shared" si="121"/>
        <v>0.5</v>
      </c>
      <c r="AF333" s="177">
        <f t="shared" si="122"/>
        <v>0.49679786827601102</v>
      </c>
      <c r="AG333" s="811">
        <f t="shared" si="123"/>
        <v>-2</v>
      </c>
      <c r="AH333" s="176">
        <f t="shared" si="124"/>
        <v>4</v>
      </c>
      <c r="AI333" s="225">
        <f t="shared" si="125"/>
        <v>-1.503202131723989</v>
      </c>
      <c r="AJ333" s="265" t="b">
        <f t="shared" si="126"/>
        <v>0</v>
      </c>
      <c r="AK333" s="265" t="b">
        <f t="shared" si="12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8"/>
        <v>43420</v>
      </c>
      <c r="B334" s="617">
        <v>25.298999999999999</v>
      </c>
      <c r="C334" s="390"/>
      <c r="D334" s="393">
        <f t="shared" si="105"/>
        <v>25.388370658117669</v>
      </c>
      <c r="E334" s="385">
        <f t="shared" si="131"/>
        <v>25.636885443611611</v>
      </c>
      <c r="F334" s="385">
        <f t="shared" si="133"/>
        <v>25.63773042545121</v>
      </c>
      <c r="G334" s="110">
        <f t="shared" si="132"/>
        <v>0.85555568855750808</v>
      </c>
      <c r="I334" s="380">
        <f t="shared" si="106"/>
        <v>25.63773042545121</v>
      </c>
      <c r="J334" s="85">
        <v>2018</v>
      </c>
      <c r="K334" s="197">
        <f t="shared" si="107"/>
        <v>43420</v>
      </c>
      <c r="L334" s="437">
        <f t="shared" si="108"/>
        <v>3.5201415372866363E-3</v>
      </c>
      <c r="M334" s="856"/>
      <c r="N334" s="856"/>
      <c r="O334" s="324">
        <f t="shared" si="109"/>
        <v>9.6936418443086536E-3</v>
      </c>
      <c r="P334" s="169">
        <f>(INDEX(Models!$BJ334:$BT334,,T334)*(1-R334)+INDEX(Models!$BJ334:$BT334,,T334+1)*R334-ERP_i)*Q334*Ramure*Pc/MaxiM</f>
        <v>4.1527186523420628E-5</v>
      </c>
      <c r="Q334" s="305">
        <f t="shared" si="110"/>
        <v>0.5</v>
      </c>
      <c r="R334" s="177">
        <f t="shared" si="111"/>
        <v>0.49682830487150054</v>
      </c>
      <c r="S334" s="811">
        <f t="shared" si="129"/>
        <v>-2</v>
      </c>
      <c r="T334" s="176">
        <f t="shared" si="112"/>
        <v>4</v>
      </c>
      <c r="U334" s="251">
        <f t="shared" si="113"/>
        <v>-1.5031716951284995</v>
      </c>
      <c r="V334" s="383">
        <f t="shared" si="114"/>
        <v>29.57000175757268</v>
      </c>
      <c r="W334" s="58"/>
      <c r="X334" s="157">
        <f t="shared" si="115"/>
        <v>43420</v>
      </c>
      <c r="Y334" s="385">
        <f t="shared" si="116"/>
        <v>25.298999999999999</v>
      </c>
      <c r="Z334" s="385">
        <f t="shared" si="117"/>
        <v>25.388370658117669</v>
      </c>
      <c r="AA334" s="386">
        <f t="shared" si="118"/>
        <v>25.636885443611611</v>
      </c>
      <c r="AB334" s="197">
        <f t="shared" si="119"/>
        <v>43420</v>
      </c>
      <c r="AC334" s="426">
        <f t="shared" si="120"/>
        <v>9.6936418443086536E-3</v>
      </c>
      <c r="AD334" s="169">
        <f>(INDEX(Models!$BJ334:$BT334,,AH334)*(1-AF334)+INDEX(Models!$BJ334:$BT334,,AH334+1)*AF334-ERP_i)*AE334*Ramure*Pc/MaxiM</f>
        <v>4.1527186523420628E-5</v>
      </c>
      <c r="AE334" s="305">
        <f t="shared" si="121"/>
        <v>0.5</v>
      </c>
      <c r="AF334" s="177">
        <f t="shared" si="122"/>
        <v>0.49682830487150054</v>
      </c>
      <c r="AG334" s="811">
        <f t="shared" si="123"/>
        <v>-2</v>
      </c>
      <c r="AH334" s="176">
        <f t="shared" si="124"/>
        <v>4</v>
      </c>
      <c r="AI334" s="225">
        <f t="shared" si="125"/>
        <v>-1.5031716951284995</v>
      </c>
      <c r="AJ334" s="265" t="b">
        <f t="shared" si="126"/>
        <v>0</v>
      </c>
      <c r="AK334" s="265" t="b">
        <f t="shared" si="12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8"/>
        <v>43421</v>
      </c>
      <c r="B335" s="617">
        <v>28.289000000000001</v>
      </c>
      <c r="C335" s="390"/>
      <c r="D335" s="393">
        <f t="shared" ref="D335:D379" si="134">Wh/(1-Ppv)</f>
        <v>28.389554866583911</v>
      </c>
      <c r="E335" s="385">
        <f t="shared" si="131"/>
        <v>28.668894634644989</v>
      </c>
      <c r="F335" s="385">
        <f t="shared" si="133"/>
        <v>28.670073792979203</v>
      </c>
      <c r="G335" s="110">
        <f t="shared" si="132"/>
        <v>0.96501399160832491</v>
      </c>
      <c r="I335" s="380">
        <f t="shared" ref="I335:I380" si="135">Wh_hp</f>
        <v>28.670073792979203</v>
      </c>
      <c r="J335" s="85">
        <v>2018</v>
      </c>
      <c r="K335" s="197">
        <f t="shared" ref="K335:K379" si="136">t</f>
        <v>43421</v>
      </c>
      <c r="L335" s="437">
        <f t="shared" ref="L335:L378" si="137">IF(t&lt;T0,0,IF(t&lt;Tvie,1-EXP((T0-t)*PertePVj),1-EXP((T0-t)*PertePVj)+Pspv))</f>
        <v>3.5419670035851114E-3</v>
      </c>
      <c r="M335" s="856"/>
      <c r="N335" s="856"/>
      <c r="O335" s="324">
        <f t="shared" ref="O335:O379" si="138">IF(t&lt;T0,0,IF(t&lt;Tnet,Salim_i*(1-EXP((T0-t)/Tau_ij)),Resal+(Salim-Resal)*(1-EXP((Tnet-t)/(Tau_j)))))*Salcycl</f>
        <v>9.7436532388490045E-3</v>
      </c>
      <c r="P335" s="169">
        <f>(INDEX(Models!$BJ335:$BT335,,T335)*(1-R335)+INDEX(Models!$BJ335:$BT335,,T335+1)*R335-ERP_i)*Q335*Ramure*Pc/MaxiM</f>
        <v>4.3292155309176156E-5</v>
      </c>
      <c r="Q335" s="305">
        <f t="shared" ref="Q335:Q379" si="139">IF(OR(t&lt;Ttai,Notai),Dd+PousD*Croivg,Dens+PousD*(Croivg-Croi_tai))</f>
        <v>0.5</v>
      </c>
      <c r="R335" s="177">
        <f t="shared" ref="R335:R379" si="140">(Hp_vg-S335)/(INDEX(Echel_vg,T335+1)-S335)</f>
        <v>0.49685751948549473</v>
      </c>
      <c r="S335" s="811">
        <f t="shared" si="129"/>
        <v>-2</v>
      </c>
      <c r="T335" s="176">
        <f t="shared" ref="T335:T379" si="141">MIN(MATCH(Hp_vg,Echel_vg),10)</f>
        <v>4</v>
      </c>
      <c r="U335" s="251">
        <f t="shared" ref="U335:U379" si="142">IF(OR(t&lt;Ttai,Notai),Hdd+PousH*Croivg,Hdtf+PousH*(Croivg-Croi_tai))</f>
        <v>-1.5031424805145053</v>
      </c>
      <c r="V335" s="383">
        <f t="shared" ref="V335:V379" si="143">MaxiM*(1-Ppv)*(1-Pvg)*(1-Psa)</f>
        <v>29.314537444041033</v>
      </c>
      <c r="W335" s="58"/>
      <c r="X335" s="157">
        <f t="shared" ref="X335:X379" si="144">t</f>
        <v>43421</v>
      </c>
      <c r="Y335" s="385">
        <f t="shared" ref="Y335:Y379" si="145">Wh_pvt_s*(1-Ppv)</f>
        <v>28.289000000000001</v>
      </c>
      <c r="Z335" s="385">
        <f t="shared" ref="Z335:Z379" si="146">Wh_sa_s*(1-Psa_s)</f>
        <v>28.389554866583911</v>
      </c>
      <c r="AA335" s="386">
        <f t="shared" ref="AA335:AA379" si="147">Wh_hp*(1-Pvg_s*MEDIAN((-Sdif+Wh/Env_an)/Csdif,0,1))</f>
        <v>28.668894634644989</v>
      </c>
      <c r="AB335" s="197">
        <f t="shared" ref="AB335:AB379" si="148">t</f>
        <v>43421</v>
      </c>
      <c r="AC335" s="426">
        <f t="shared" ref="AC335:AC379" si="149">IF(t&lt;T0,0,IF(OR(t&lt;Tnet,NoTnet),Salim_i*(1-EXP((T0-t)/Tau_ij)),Resal_s+(Salim-Resal_s)*(1-EXP((Tnet_s-t)/Tau_j))))*Salcycl</f>
        <v>9.7436532388490045E-3</v>
      </c>
      <c r="AD335" s="169">
        <f>(INDEX(Models!$BJ335:$BT335,,AH335)*(1-AF335)+INDEX(Models!$BJ335:$BT335,,AH335+1)*AF335-ERP_i)*AE335*Ramure*Pc/MaxiM</f>
        <v>4.3292155309176156E-5</v>
      </c>
      <c r="AE335" s="305">
        <f t="shared" ref="AE335:AE379" si="150">Dd+PousD*Croivg</f>
        <v>0.5</v>
      </c>
      <c r="AF335" s="177">
        <f t="shared" ref="AF335:AF379" si="151">(Hp_vg_s-AG335)/(INDEX(Echel_vg,AH335+1)-AG335)</f>
        <v>0.49685751948549473</v>
      </c>
      <c r="AG335" s="811">
        <f t="shared" ref="AG335:AG379" si="152">INDEX(Echel_vg,AH335)</f>
        <v>-2</v>
      </c>
      <c r="AH335" s="176">
        <f t="shared" ref="AH335:AH379" si="153">MIN(MATCH(Hp_vg_s,Echel_vg),10)</f>
        <v>4</v>
      </c>
      <c r="AI335" s="225">
        <f t="shared" ref="AI335:AI379" si="154">Hdd+PousH*Croivg</f>
        <v>-1.5031424805145053</v>
      </c>
      <c r="AJ335" s="265" t="b">
        <f t="shared" ref="AJ335:AJ380" si="155">t&lt;Tnet</f>
        <v>0</v>
      </c>
      <c r="AK335" s="265" t="b">
        <f t="shared" ref="AK335:AK380" si="156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7">A335+1</f>
        <v>43422</v>
      </c>
      <c r="B336" s="617">
        <v>23.254999999999999</v>
      </c>
      <c r="C336" s="390"/>
      <c r="D336" s="393">
        <f t="shared" si="134"/>
        <v>23.338172391874572</v>
      </c>
      <c r="E336" s="385">
        <f t="shared" si="131"/>
        <v>23.568999846204576</v>
      </c>
      <c r="F336" s="385">
        <f t="shared" si="133"/>
        <v>23.569760307357548</v>
      </c>
      <c r="G336" s="110">
        <f t="shared" si="132"/>
        <v>0.80014528791374995</v>
      </c>
      <c r="I336" s="380">
        <f t="shared" si="135"/>
        <v>23.569760307357548</v>
      </c>
      <c r="J336" s="85">
        <v>2018</v>
      </c>
      <c r="K336" s="197">
        <f t="shared" si="136"/>
        <v>43422</v>
      </c>
      <c r="L336" s="437">
        <f t="shared" si="137"/>
        <v>3.5637919918498628E-3</v>
      </c>
      <c r="M336" s="856"/>
      <c r="N336" s="856"/>
      <c r="O336" s="324">
        <f t="shared" si="138"/>
        <v>9.7936889913118053E-3</v>
      </c>
      <c r="P336" s="169">
        <f>(INDEX(Models!$BJ336:$BT336,,T336)*(1-R336)+INDEX(Models!$BJ336:$BT336,,T336+1)*R336-ERP_i)*Q336*Ramure*Pc/MaxiM</f>
        <v>4.5155927681434069E-5</v>
      </c>
      <c r="Q336" s="305">
        <f t="shared" si="139"/>
        <v>0.5</v>
      </c>
      <c r="R336" s="177">
        <f t="shared" si="140"/>
        <v>0.49688556104415804</v>
      </c>
      <c r="S336" s="811">
        <f t="shared" ref="S336:S379" si="158">INDEX(Echel_vg,T336)</f>
        <v>-2</v>
      </c>
      <c r="T336" s="176">
        <f t="shared" si="141"/>
        <v>4</v>
      </c>
      <c r="U336" s="251">
        <f t="shared" si="142"/>
        <v>-1.503114438955842</v>
      </c>
      <c r="V336" s="383">
        <f t="shared" si="143"/>
        <v>29.063097097656506</v>
      </c>
      <c r="W336" s="58"/>
      <c r="X336" s="157">
        <f t="shared" si="144"/>
        <v>43422</v>
      </c>
      <c r="Y336" s="385">
        <f t="shared" si="145"/>
        <v>23.254999999999999</v>
      </c>
      <c r="Z336" s="385">
        <f t="shared" si="146"/>
        <v>23.338172391874572</v>
      </c>
      <c r="AA336" s="386">
        <f t="shared" si="147"/>
        <v>23.568999846204576</v>
      </c>
      <c r="AB336" s="197">
        <f t="shared" si="148"/>
        <v>43422</v>
      </c>
      <c r="AC336" s="426">
        <f t="shared" si="149"/>
        <v>9.7936889913118053E-3</v>
      </c>
      <c r="AD336" s="169">
        <f>(INDEX(Models!$BJ336:$BT336,,AH336)*(1-AF336)+INDEX(Models!$BJ336:$BT336,,AH336+1)*AF336-ERP_i)*AE336*Ramure*Pc/MaxiM</f>
        <v>4.5155927681434069E-5</v>
      </c>
      <c r="AE336" s="305">
        <f t="shared" si="150"/>
        <v>0.5</v>
      </c>
      <c r="AF336" s="177">
        <f t="shared" si="151"/>
        <v>0.49688556104415804</v>
      </c>
      <c r="AG336" s="811">
        <f t="shared" si="152"/>
        <v>-2</v>
      </c>
      <c r="AH336" s="176">
        <f t="shared" si="153"/>
        <v>4</v>
      </c>
      <c r="AI336" s="225">
        <f t="shared" si="154"/>
        <v>-1.503114438955842</v>
      </c>
      <c r="AJ336" s="265" t="b">
        <f t="shared" si="155"/>
        <v>0</v>
      </c>
      <c r="AK336" s="265" t="b">
        <f t="shared" si="156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7"/>
        <v>43423</v>
      </c>
      <c r="B337" s="617">
        <v>20.178999999999998</v>
      </c>
      <c r="C337" s="390"/>
      <c r="D337" s="393">
        <f t="shared" si="134"/>
        <v>20.251614523228483</v>
      </c>
      <c r="E337" s="385">
        <f t="shared" si="131"/>
        <v>20.452948393737366</v>
      </c>
      <c r="F337" s="385">
        <f t="shared" si="133"/>
        <v>20.453499492641804</v>
      </c>
      <c r="G337" s="110">
        <f t="shared" si="132"/>
        <v>0.70026176554419162</v>
      </c>
      <c r="I337" s="380">
        <f t="shared" si="135"/>
        <v>20.453499492641804</v>
      </c>
      <c r="J337" s="85">
        <v>2018</v>
      </c>
      <c r="K337" s="197">
        <f t="shared" si="136"/>
        <v>43423</v>
      </c>
      <c r="L337" s="437">
        <f t="shared" si="137"/>
        <v>3.5856165020914377E-3</v>
      </c>
      <c r="M337" s="856"/>
      <c r="N337" s="856"/>
      <c r="O337" s="324">
        <f t="shared" si="138"/>
        <v>9.8437578110026E-3</v>
      </c>
      <c r="P337" s="169">
        <f>(INDEX(Models!$BJ337:$BT337,,T337)*(1-R337)+INDEX(Models!$BJ337:$BT337,,T337+1)*R337-ERP_i)*Q337*Ramure*Pc/MaxiM</f>
        <v>4.7119484098112617E-5</v>
      </c>
      <c r="Q337" s="305">
        <f t="shared" si="139"/>
        <v>0.5</v>
      </c>
      <c r="R337" s="177">
        <f t="shared" si="140"/>
        <v>0.49691247652532855</v>
      </c>
      <c r="S337" s="811">
        <f t="shared" si="158"/>
        <v>-2</v>
      </c>
      <c r="T337" s="176">
        <f t="shared" si="141"/>
        <v>4</v>
      </c>
      <c r="U337" s="251">
        <f t="shared" si="142"/>
        <v>-1.5030875234746714</v>
      </c>
      <c r="V337" s="383">
        <f t="shared" si="143"/>
        <v>28.815785554237578</v>
      </c>
      <c r="W337" s="58"/>
      <c r="X337" s="157">
        <f t="shared" si="144"/>
        <v>43423</v>
      </c>
      <c r="Y337" s="385">
        <f t="shared" si="145"/>
        <v>20.178999999999998</v>
      </c>
      <c r="Z337" s="385">
        <f t="shared" si="146"/>
        <v>20.251614523228483</v>
      </c>
      <c r="AA337" s="386">
        <f t="shared" si="147"/>
        <v>20.452948393737366</v>
      </c>
      <c r="AB337" s="197">
        <f t="shared" si="148"/>
        <v>43423</v>
      </c>
      <c r="AC337" s="426">
        <f t="shared" si="149"/>
        <v>9.8437578110026E-3</v>
      </c>
      <c r="AD337" s="169">
        <f>(INDEX(Models!$BJ337:$BT337,,AH337)*(1-AF337)+INDEX(Models!$BJ337:$BT337,,AH337+1)*AF337-ERP_i)*AE337*Ramure*Pc/MaxiM</f>
        <v>4.7119484098112617E-5</v>
      </c>
      <c r="AE337" s="305">
        <f t="shared" si="150"/>
        <v>0.5</v>
      </c>
      <c r="AF337" s="177">
        <f t="shared" si="151"/>
        <v>0.49691247652532855</v>
      </c>
      <c r="AG337" s="811">
        <f t="shared" si="152"/>
        <v>-2</v>
      </c>
      <c r="AH337" s="176">
        <f t="shared" si="153"/>
        <v>4</v>
      </c>
      <c r="AI337" s="225">
        <f t="shared" si="154"/>
        <v>-1.5030875234746714</v>
      </c>
      <c r="AJ337" s="265" t="b">
        <f t="shared" si="155"/>
        <v>0</v>
      </c>
      <c r="AK337" s="265" t="b">
        <f t="shared" si="156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7"/>
        <v>43424</v>
      </c>
      <c r="B338" s="617">
        <v>9.3879999999999999</v>
      </c>
      <c r="C338" s="390"/>
      <c r="D338" s="393">
        <f t="shared" si="134"/>
        <v>9.4219892659920674</v>
      </c>
      <c r="E338" s="385">
        <f t="shared" si="131"/>
        <v>9.5161407057473859</v>
      </c>
      <c r="F338" s="385">
        <f t="shared" si="133"/>
        <v>9.5161597659519135</v>
      </c>
      <c r="G338" s="110">
        <f t="shared" si="132"/>
        <v>0.32854978894235709</v>
      </c>
      <c r="I338" s="380">
        <f t="shared" si="135"/>
        <v>9.5161597659519135</v>
      </c>
      <c r="J338" s="85">
        <v>2018</v>
      </c>
      <c r="K338" s="197">
        <f t="shared" si="136"/>
        <v>43424</v>
      </c>
      <c r="L338" s="437">
        <f t="shared" si="137"/>
        <v>3.60744053432005E-3</v>
      </c>
      <c r="M338" s="856"/>
      <c r="N338" s="856"/>
      <c r="O338" s="324">
        <f t="shared" si="138"/>
        <v>9.8938679730171276E-3</v>
      </c>
      <c r="P338" s="169">
        <f>(INDEX(Models!$BJ338:$BT338,,T338)*(1-R338)+INDEX(Models!$BJ338:$BT338,,T338+1)*R338-ERP_i)*Q338*Ramure*Pc/MaxiM</f>
        <v>4.9082392741912297E-5</v>
      </c>
      <c r="Q338" s="305">
        <f t="shared" si="139"/>
        <v>0.5</v>
      </c>
      <c r="R338" s="177">
        <f t="shared" si="140"/>
        <v>0.49693831103526764</v>
      </c>
      <c r="S338" s="811">
        <f t="shared" si="158"/>
        <v>-2</v>
      </c>
      <c r="T338" s="176">
        <f t="shared" si="141"/>
        <v>4</v>
      </c>
      <c r="U338" s="251">
        <f t="shared" si="142"/>
        <v>-1.5030616889647324</v>
      </c>
      <c r="V338" s="383">
        <f t="shared" si="143"/>
        <v>28.572710539065792</v>
      </c>
      <c r="W338" s="58"/>
      <c r="X338" s="157">
        <f t="shared" si="144"/>
        <v>43424</v>
      </c>
      <c r="Y338" s="385">
        <f t="shared" si="145"/>
        <v>9.3879999999999999</v>
      </c>
      <c r="Z338" s="385">
        <f t="shared" si="146"/>
        <v>9.4219892659920674</v>
      </c>
      <c r="AA338" s="386">
        <f t="shared" si="147"/>
        <v>9.5161407057473859</v>
      </c>
      <c r="AB338" s="197">
        <f t="shared" si="148"/>
        <v>43424</v>
      </c>
      <c r="AC338" s="426">
        <f t="shared" si="149"/>
        <v>9.8938679730171276E-3</v>
      </c>
      <c r="AD338" s="169">
        <f>(INDEX(Models!$BJ338:$BT338,,AH338)*(1-AF338)+INDEX(Models!$BJ338:$BT338,,AH338+1)*AF338-ERP_i)*AE338*Ramure*Pc/MaxiM</f>
        <v>4.9082392741912297E-5</v>
      </c>
      <c r="AE338" s="305">
        <f t="shared" si="150"/>
        <v>0.5</v>
      </c>
      <c r="AF338" s="177">
        <f t="shared" si="151"/>
        <v>0.49693831103526764</v>
      </c>
      <c r="AG338" s="811">
        <f t="shared" si="152"/>
        <v>-2</v>
      </c>
      <c r="AH338" s="176">
        <f t="shared" si="153"/>
        <v>4</v>
      </c>
      <c r="AI338" s="225">
        <f t="shared" si="154"/>
        <v>-1.5030616889647324</v>
      </c>
      <c r="AJ338" s="265" t="b">
        <f t="shared" si="155"/>
        <v>0</v>
      </c>
      <c r="AK338" s="265" t="b">
        <f t="shared" si="156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7"/>
        <v>43425</v>
      </c>
      <c r="B339" s="617">
        <v>28.417000000000002</v>
      </c>
      <c r="C339" s="390"/>
      <c r="D339" s="393">
        <f t="shared" si="134"/>
        <v>28.52050845713055</v>
      </c>
      <c r="E339" s="385">
        <f t="shared" si="131"/>
        <v>28.80696571004567</v>
      </c>
      <c r="F339" s="385">
        <f t="shared" si="133"/>
        <v>28.808434683481391</v>
      </c>
      <c r="G339" s="110">
        <f t="shared" si="132"/>
        <v>1.0029301096674048</v>
      </c>
      <c r="I339" s="380">
        <f t="shared" si="135"/>
        <v>28.808434683481391</v>
      </c>
      <c r="J339" s="85">
        <v>2018</v>
      </c>
      <c r="K339" s="197">
        <f t="shared" si="136"/>
        <v>43425</v>
      </c>
      <c r="L339" s="437">
        <f t="shared" si="137"/>
        <v>3.6292640885464689E-3</v>
      </c>
      <c r="M339" s="856"/>
      <c r="N339" s="856"/>
      <c r="O339" s="324">
        <f t="shared" si="138"/>
        <v>9.9440272814025066E-3</v>
      </c>
      <c r="P339" s="169">
        <f>(INDEX(Models!$BJ339:$BT339,,T339)*(1-R339)+INDEX(Models!$BJ339:$BT339,,T339+1)*R339-ERP_i)*Q339*Ramure*Pc/MaxiM</f>
        <v>5.0991088264939466E-5</v>
      </c>
      <c r="Q339" s="305">
        <f t="shared" si="139"/>
        <v>0.5</v>
      </c>
      <c r="R339" s="177">
        <f t="shared" si="140"/>
        <v>0.49696310788245279</v>
      </c>
      <c r="S339" s="811">
        <f t="shared" si="158"/>
        <v>-2</v>
      </c>
      <c r="T339" s="176">
        <f t="shared" si="141"/>
        <v>4</v>
      </c>
      <c r="U339" s="251">
        <f t="shared" si="142"/>
        <v>-1.5030368921175472</v>
      </c>
      <c r="V339" s="383">
        <f t="shared" si="143"/>
        <v>28.333978336161177</v>
      </c>
      <c r="W339" s="58"/>
      <c r="X339" s="157">
        <f t="shared" si="144"/>
        <v>43425</v>
      </c>
      <c r="Y339" s="385">
        <f t="shared" si="145"/>
        <v>28.417000000000002</v>
      </c>
      <c r="Z339" s="385">
        <f t="shared" si="146"/>
        <v>28.52050845713055</v>
      </c>
      <c r="AA339" s="386">
        <f t="shared" si="147"/>
        <v>28.80696571004567</v>
      </c>
      <c r="AB339" s="197">
        <f t="shared" si="148"/>
        <v>43425</v>
      </c>
      <c r="AC339" s="426">
        <f t="shared" si="149"/>
        <v>9.9440272814025066E-3</v>
      </c>
      <c r="AD339" s="169">
        <f>(INDEX(Models!$BJ339:$BT339,,AH339)*(1-AF339)+INDEX(Models!$BJ339:$BT339,,AH339+1)*AF339-ERP_i)*AE339*Ramure*Pc/MaxiM</f>
        <v>5.0991088264939466E-5</v>
      </c>
      <c r="AE339" s="305">
        <f t="shared" si="150"/>
        <v>0.5</v>
      </c>
      <c r="AF339" s="177">
        <f t="shared" si="151"/>
        <v>0.49696310788245279</v>
      </c>
      <c r="AG339" s="811">
        <f t="shared" si="152"/>
        <v>-2</v>
      </c>
      <c r="AH339" s="176">
        <f t="shared" si="153"/>
        <v>4</v>
      </c>
      <c r="AI339" s="225">
        <f t="shared" si="154"/>
        <v>-1.5030368921175472</v>
      </c>
      <c r="AJ339" s="265" t="b">
        <f t="shared" si="155"/>
        <v>0</v>
      </c>
      <c r="AK339" s="265" t="b">
        <f t="shared" si="156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7"/>
        <v>43426</v>
      </c>
      <c r="B340" s="617">
        <v>20.283999999999999</v>
      </c>
      <c r="C340" s="390"/>
      <c r="D340" s="393">
        <f t="shared" si="134"/>
        <v>20.358330037496277</v>
      </c>
      <c r="E340" s="385">
        <f t="shared" si="131"/>
        <v>20.563850153675002</v>
      </c>
      <c r="F340" s="385">
        <f t="shared" si="133"/>
        <v>20.564505083857451</v>
      </c>
      <c r="G340" s="110">
        <f t="shared" si="132"/>
        <v>0.7218432451208977</v>
      </c>
      <c r="I340" s="380">
        <f t="shared" si="135"/>
        <v>20.564505083857451</v>
      </c>
      <c r="J340" s="85">
        <v>2018</v>
      </c>
      <c r="K340" s="197">
        <f t="shared" si="136"/>
        <v>43426</v>
      </c>
      <c r="L340" s="437">
        <f t="shared" si="137"/>
        <v>3.6510871647810195E-3</v>
      </c>
      <c r="M340" s="856"/>
      <c r="N340" s="856"/>
      <c r="O340" s="324">
        <f t="shared" si="138"/>
        <v>9.9942430353682898E-3</v>
      </c>
      <c r="P340" s="169">
        <f>(INDEX(Models!$BJ340:$BT340,,T340)*(1-R340)+INDEX(Models!$BJ340:$BT340,,T340+1)*R340-ERP_i)*Q340*Ramure*Pc/MaxiM</f>
        <v>5.2845508229333997E-5</v>
      </c>
      <c r="Q340" s="305">
        <f t="shared" si="139"/>
        <v>0.5</v>
      </c>
      <c r="R340" s="177">
        <f t="shared" si="140"/>
        <v>0.49698690864852146</v>
      </c>
      <c r="S340" s="811">
        <f t="shared" si="158"/>
        <v>-2</v>
      </c>
      <c r="T340" s="176">
        <f t="shared" si="141"/>
        <v>4</v>
      </c>
      <c r="U340" s="251">
        <f t="shared" si="142"/>
        <v>-1.5030130913514785</v>
      </c>
      <c r="V340" s="383">
        <f t="shared" si="143"/>
        <v>28.099693668972314</v>
      </c>
      <c r="W340" s="58"/>
      <c r="X340" s="157">
        <f t="shared" si="144"/>
        <v>43426</v>
      </c>
      <c r="Y340" s="385">
        <f t="shared" si="145"/>
        <v>20.283999999999999</v>
      </c>
      <c r="Z340" s="385">
        <f t="shared" si="146"/>
        <v>20.358330037496277</v>
      </c>
      <c r="AA340" s="386">
        <f t="shared" si="147"/>
        <v>20.563850153675002</v>
      </c>
      <c r="AB340" s="197">
        <f t="shared" si="148"/>
        <v>43426</v>
      </c>
      <c r="AC340" s="426">
        <f t="shared" si="149"/>
        <v>9.9942430353682898E-3</v>
      </c>
      <c r="AD340" s="169">
        <f>(INDEX(Models!$BJ340:$BT340,,AH340)*(1-AF340)+INDEX(Models!$BJ340:$BT340,,AH340+1)*AF340-ERP_i)*AE340*Ramure*Pc/MaxiM</f>
        <v>5.2845508229333997E-5</v>
      </c>
      <c r="AE340" s="305">
        <f t="shared" si="150"/>
        <v>0.5</v>
      </c>
      <c r="AF340" s="177">
        <f t="shared" si="151"/>
        <v>0.49698690864852146</v>
      </c>
      <c r="AG340" s="811">
        <f t="shared" si="152"/>
        <v>-2</v>
      </c>
      <c r="AH340" s="176">
        <f t="shared" si="153"/>
        <v>4</v>
      </c>
      <c r="AI340" s="225">
        <f t="shared" si="154"/>
        <v>-1.5030130913514785</v>
      </c>
      <c r="AJ340" s="265" t="b">
        <f t="shared" si="155"/>
        <v>0</v>
      </c>
      <c r="AK340" s="265" t="b">
        <f t="shared" si="156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7"/>
        <v>43427</v>
      </c>
      <c r="B341" s="617">
        <v>12.188000000000001</v>
      </c>
      <c r="C341" s="390"/>
      <c r="D341" s="393">
        <f t="shared" si="134"/>
        <v>12.232930449679147</v>
      </c>
      <c r="E341" s="385">
        <f t="shared" si="131"/>
        <v>12.35705112150942</v>
      </c>
      <c r="F341" s="385">
        <f t="shared" si="133"/>
        <v>12.357183585206181</v>
      </c>
      <c r="G341" s="110">
        <f t="shared" si="132"/>
        <v>0.43729750877654749</v>
      </c>
      <c r="I341" s="380">
        <f t="shared" si="135"/>
        <v>12.357183585206181</v>
      </c>
      <c r="J341" s="85">
        <v>2018</v>
      </c>
      <c r="K341" s="197">
        <f t="shared" si="136"/>
        <v>43427</v>
      </c>
      <c r="L341" s="437">
        <f t="shared" si="137"/>
        <v>3.6729097630342489E-3</v>
      </c>
      <c r="M341" s="856"/>
      <c r="N341" s="856"/>
      <c r="O341" s="324">
        <f t="shared" si="138"/>
        <v>1.0044521998798033E-2</v>
      </c>
      <c r="P341" s="169">
        <f>(INDEX(Models!$BJ341:$BT341,,T341)*(1-R341)+INDEX(Models!$BJ341:$BT341,,T341+1)*R341-ERP_i)*Q341*Ramure*Pc/MaxiM</f>
        <v>5.4645197023364193E-5</v>
      </c>
      <c r="Q341" s="305">
        <f t="shared" si="139"/>
        <v>0.5</v>
      </c>
      <c r="R341" s="177">
        <f t="shared" si="140"/>
        <v>0.49700975325647101</v>
      </c>
      <c r="S341" s="811">
        <f t="shared" si="158"/>
        <v>-2</v>
      </c>
      <c r="T341" s="176">
        <f t="shared" si="141"/>
        <v>4</v>
      </c>
      <c r="U341" s="251">
        <f t="shared" si="142"/>
        <v>-1.502990246743529</v>
      </c>
      <c r="V341" s="383">
        <f t="shared" si="143"/>
        <v>27.86996126005554</v>
      </c>
      <c r="W341" s="58"/>
      <c r="X341" s="157">
        <f t="shared" si="144"/>
        <v>43427</v>
      </c>
      <c r="Y341" s="385">
        <f t="shared" si="145"/>
        <v>12.188000000000001</v>
      </c>
      <c r="Z341" s="385">
        <f t="shared" si="146"/>
        <v>12.232930449679147</v>
      </c>
      <c r="AA341" s="386">
        <f t="shared" si="147"/>
        <v>12.35705112150942</v>
      </c>
      <c r="AB341" s="197">
        <f t="shared" si="148"/>
        <v>43427</v>
      </c>
      <c r="AC341" s="426">
        <f t="shared" si="149"/>
        <v>1.0044521998798033E-2</v>
      </c>
      <c r="AD341" s="169">
        <f>(INDEX(Models!$BJ341:$BT341,,AH341)*(1-AF341)+INDEX(Models!$BJ341:$BT341,,AH341+1)*AF341-ERP_i)*AE341*Ramure*Pc/MaxiM</f>
        <v>5.4645197023364193E-5</v>
      </c>
      <c r="AE341" s="305">
        <f t="shared" si="150"/>
        <v>0.5</v>
      </c>
      <c r="AF341" s="177">
        <f t="shared" si="151"/>
        <v>0.49700975325647101</v>
      </c>
      <c r="AG341" s="811">
        <f t="shared" si="152"/>
        <v>-2</v>
      </c>
      <c r="AH341" s="176">
        <f t="shared" si="153"/>
        <v>4</v>
      </c>
      <c r="AI341" s="225">
        <f t="shared" si="154"/>
        <v>-1.502990246743529</v>
      </c>
      <c r="AJ341" s="265" t="b">
        <f t="shared" si="155"/>
        <v>0</v>
      </c>
      <c r="AK341" s="265" t="b">
        <f t="shared" si="156"/>
        <v>0</v>
      </c>
      <c r="AL341" s="265"/>
      <c r="AM341" s="265"/>
      <c r="AN341" s="75"/>
    </row>
    <row r="342" spans="1:40" s="6" customFormat="1" ht="11.25" x14ac:dyDescent="0.2">
      <c r="A342" s="56">
        <f t="shared" si="157"/>
        <v>43428</v>
      </c>
      <c r="B342" s="617">
        <v>21.893999999999998</v>
      </c>
      <c r="C342" s="390"/>
      <c r="D342" s="393">
        <f t="shared" si="134"/>
        <v>21.975192444165472</v>
      </c>
      <c r="E342" s="385">
        <f t="shared" si="131"/>
        <v>22.199291413362161</v>
      </c>
      <c r="F342" s="385">
        <f t="shared" si="133"/>
        <v>22.200171246280917</v>
      </c>
      <c r="G342" s="110">
        <f t="shared" si="132"/>
        <v>0.79195961341159304</v>
      </c>
      <c r="I342" s="380">
        <f t="shared" si="135"/>
        <v>22.200171246280917</v>
      </c>
      <c r="J342" s="85">
        <v>2018</v>
      </c>
      <c r="K342" s="197">
        <f t="shared" si="136"/>
        <v>43428</v>
      </c>
      <c r="L342" s="437">
        <f t="shared" si="137"/>
        <v>3.6947318833164822E-3</v>
      </c>
      <c r="M342" s="856"/>
      <c r="N342" s="856"/>
      <c r="O342" s="324">
        <f t="shared" si="138"/>
        <v>1.0094870373285851E-2</v>
      </c>
      <c r="P342" s="169">
        <f>(INDEX(Models!$BJ342:$BT342,,T342)*(1-R342)+INDEX(Models!$BJ342:$BT342,,T342+1)*R342-ERP_i)*Q342*Ramure*Pc/MaxiM</f>
        <v>5.6389825986214957E-5</v>
      </c>
      <c r="Q342" s="305">
        <f t="shared" si="139"/>
        <v>0.5</v>
      </c>
      <c r="R342" s="177">
        <f t="shared" si="140"/>
        <v>0.49703168003621911</v>
      </c>
      <c r="S342" s="811">
        <f t="shared" si="158"/>
        <v>-2</v>
      </c>
      <c r="T342" s="176">
        <f t="shared" si="141"/>
        <v>4</v>
      </c>
      <c r="U342" s="251">
        <f t="shared" si="142"/>
        <v>-1.5029683199637809</v>
      </c>
      <c r="V342" s="383">
        <f t="shared" si="143"/>
        <v>27.644885818222537</v>
      </c>
      <c r="W342" s="58"/>
      <c r="X342" s="157">
        <f t="shared" si="144"/>
        <v>43428</v>
      </c>
      <c r="Y342" s="385">
        <f t="shared" si="145"/>
        <v>21.893999999999998</v>
      </c>
      <c r="Z342" s="385">
        <f t="shared" si="146"/>
        <v>21.975192444165472</v>
      </c>
      <c r="AA342" s="386">
        <f t="shared" si="147"/>
        <v>22.199291413362161</v>
      </c>
      <c r="AB342" s="197">
        <f t="shared" si="148"/>
        <v>43428</v>
      </c>
      <c r="AC342" s="426">
        <f t="shared" si="149"/>
        <v>1.0094870373285851E-2</v>
      </c>
      <c r="AD342" s="169">
        <f>(INDEX(Models!$BJ342:$BT342,,AH342)*(1-AF342)+INDEX(Models!$BJ342:$BT342,,AH342+1)*AF342-ERP_i)*AE342*Ramure*Pc/MaxiM</f>
        <v>5.6389825986214957E-5</v>
      </c>
      <c r="AE342" s="305">
        <f t="shared" si="150"/>
        <v>0.5</v>
      </c>
      <c r="AF342" s="177">
        <f t="shared" si="151"/>
        <v>0.49703168003621911</v>
      </c>
      <c r="AG342" s="811">
        <f t="shared" si="152"/>
        <v>-2</v>
      </c>
      <c r="AH342" s="176">
        <f t="shared" si="153"/>
        <v>4</v>
      </c>
      <c r="AI342" s="225">
        <f t="shared" si="154"/>
        <v>-1.5029683199637809</v>
      </c>
      <c r="AJ342" s="265" t="b">
        <f t="shared" si="155"/>
        <v>0</v>
      </c>
      <c r="AK342" s="265" t="b">
        <f t="shared" si="156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7"/>
        <v>43429</v>
      </c>
      <c r="B343" s="617">
        <v>13.569000000000001</v>
      </c>
      <c r="C343" s="390"/>
      <c r="D343" s="393">
        <f t="shared" si="134"/>
        <v>13.619618039442337</v>
      </c>
      <c r="E343" s="385">
        <f t="shared" si="131"/>
        <v>13.759209259490104</v>
      </c>
      <c r="F343" s="385">
        <f t="shared" si="133"/>
        <v>13.759431619908595</v>
      </c>
      <c r="G343" s="110">
        <f t="shared" si="132"/>
        <v>0.49475452808441817</v>
      </c>
      <c r="I343" s="380">
        <f t="shared" si="135"/>
        <v>13.759431619908595</v>
      </c>
      <c r="J343" s="85">
        <v>2018</v>
      </c>
      <c r="K343" s="197">
        <f t="shared" si="136"/>
        <v>43429</v>
      </c>
      <c r="L343" s="437">
        <f t="shared" si="137"/>
        <v>3.7165535256382665E-3</v>
      </c>
      <c r="M343" s="856"/>
      <c r="N343" s="856"/>
      <c r="O343" s="324">
        <f t="shared" si="138"/>
        <v>1.0145293774893885E-2</v>
      </c>
      <c r="P343" s="169">
        <f>(INDEX(Models!$BJ343:$BT343,,T343)*(1-R343)+INDEX(Models!$BJ343:$BT343,,T343+1)*R343-ERP_i)*Q343*Ramure*Pc/MaxiM</f>
        <v>5.8079278979199474E-5</v>
      </c>
      <c r="Q343" s="305">
        <f t="shared" si="139"/>
        <v>0.5</v>
      </c>
      <c r="R343" s="177">
        <f t="shared" si="140"/>
        <v>0.49705272578761628</v>
      </c>
      <c r="S343" s="811">
        <f t="shared" si="158"/>
        <v>-2</v>
      </c>
      <c r="T343" s="176">
        <f t="shared" si="141"/>
        <v>4</v>
      </c>
      <c r="U343" s="251">
        <f t="shared" si="142"/>
        <v>-1.5029472742123837</v>
      </c>
      <c r="V343" s="383">
        <f t="shared" si="143"/>
        <v>27.424572036840338</v>
      </c>
      <c r="W343" s="58"/>
      <c r="X343" s="157">
        <f t="shared" si="144"/>
        <v>43429</v>
      </c>
      <c r="Y343" s="385">
        <f t="shared" si="145"/>
        <v>13.569000000000001</v>
      </c>
      <c r="Z343" s="385">
        <f t="shared" si="146"/>
        <v>13.619618039442337</v>
      </c>
      <c r="AA343" s="386">
        <f t="shared" si="147"/>
        <v>13.759209259490104</v>
      </c>
      <c r="AB343" s="197">
        <f t="shared" si="148"/>
        <v>43429</v>
      </c>
      <c r="AC343" s="426">
        <f t="shared" si="149"/>
        <v>1.0145293774893885E-2</v>
      </c>
      <c r="AD343" s="169">
        <f>(INDEX(Models!$BJ343:$BT343,,AH343)*(1-AF343)+INDEX(Models!$BJ343:$BT343,,AH343+1)*AF343-ERP_i)*AE343*Ramure*Pc/MaxiM</f>
        <v>5.8079278979199474E-5</v>
      </c>
      <c r="AE343" s="305">
        <f t="shared" si="150"/>
        <v>0.5</v>
      </c>
      <c r="AF343" s="177">
        <f t="shared" si="151"/>
        <v>0.49705272578761628</v>
      </c>
      <c r="AG343" s="811">
        <f t="shared" si="152"/>
        <v>-2</v>
      </c>
      <c r="AH343" s="176">
        <f t="shared" si="153"/>
        <v>4</v>
      </c>
      <c r="AI343" s="225">
        <f t="shared" si="154"/>
        <v>-1.5029472742123837</v>
      </c>
      <c r="AJ343" s="265" t="b">
        <f t="shared" si="155"/>
        <v>0</v>
      </c>
      <c r="AK343" s="265" t="b">
        <f t="shared" si="156"/>
        <v>0</v>
      </c>
      <c r="AL343" s="265"/>
      <c r="AM343" s="265"/>
      <c r="AN343" s="75"/>
    </row>
    <row r="344" spans="1:40" s="6" customFormat="1" ht="11.25" x14ac:dyDescent="0.2">
      <c r="A344" s="56">
        <f t="shared" si="157"/>
        <v>43430</v>
      </c>
      <c r="B344" s="617">
        <v>3.7570000000000001</v>
      </c>
      <c r="C344" s="390"/>
      <c r="D344" s="393">
        <f t="shared" si="134"/>
        <v>3.7710977764811506</v>
      </c>
      <c r="E344" s="385">
        <f t="shared" si="131"/>
        <v>3.8099431845911385</v>
      </c>
      <c r="F344" s="385">
        <f t="shared" si="133"/>
        <v>3.8099431845911385</v>
      </c>
      <c r="G344" s="110">
        <f t="shared" si="132"/>
        <v>0.1380704345284598</v>
      </c>
      <c r="I344" s="380">
        <f t="shared" si="135"/>
        <v>3.8099431845911385</v>
      </c>
      <c r="J344" s="85">
        <v>2018</v>
      </c>
      <c r="K344" s="197">
        <f t="shared" si="136"/>
        <v>43430</v>
      </c>
      <c r="L344" s="437">
        <f t="shared" si="137"/>
        <v>3.7383746900101489E-3</v>
      </c>
      <c r="M344" s="856"/>
      <c r="N344" s="856"/>
      <c r="O344" s="324">
        <f t="shared" si="138"/>
        <v>1.0195797214796682E-2</v>
      </c>
      <c r="P344" s="169">
        <f>(INDEX(Models!$BJ344:$BT344,,T344)*(1-R344)+INDEX(Models!$BJ344:$BT344,,T344+1)*R344-ERP_i)*Q344*Ramure*Pc/MaxiM</f>
        <v>5.9713380091090928E-5</v>
      </c>
      <c r="Q344" s="305">
        <f t="shared" si="139"/>
        <v>0.5</v>
      </c>
      <c r="R344" s="177">
        <f t="shared" si="140"/>
        <v>0.4970729258410147</v>
      </c>
      <c r="S344" s="811">
        <f t="shared" si="158"/>
        <v>-2</v>
      </c>
      <c r="T344" s="176">
        <f t="shared" si="141"/>
        <v>4</v>
      </c>
      <c r="U344" s="251">
        <f t="shared" si="142"/>
        <v>-1.5029270741589853</v>
      </c>
      <c r="V344" s="383">
        <f t="shared" si="143"/>
        <v>27.209124601231203</v>
      </c>
      <c r="W344" s="58"/>
      <c r="X344" s="157">
        <f t="shared" si="144"/>
        <v>43430</v>
      </c>
      <c r="Y344" s="385">
        <f t="shared" si="145"/>
        <v>3.7570000000000001</v>
      </c>
      <c r="Z344" s="385">
        <f t="shared" si="146"/>
        <v>3.7710977764811506</v>
      </c>
      <c r="AA344" s="386">
        <f t="shared" si="147"/>
        <v>3.8099431845911385</v>
      </c>
      <c r="AB344" s="197">
        <f t="shared" si="148"/>
        <v>43430</v>
      </c>
      <c r="AC344" s="426">
        <f t="shared" si="149"/>
        <v>1.0195797214796682E-2</v>
      </c>
      <c r="AD344" s="169">
        <f>(INDEX(Models!$BJ344:$BT344,,AH344)*(1-AF344)+INDEX(Models!$BJ344:$BT344,,AH344+1)*AF344-ERP_i)*AE344*Ramure*Pc/MaxiM</f>
        <v>5.9713380091090928E-5</v>
      </c>
      <c r="AE344" s="305">
        <f t="shared" si="150"/>
        <v>0.5</v>
      </c>
      <c r="AF344" s="177">
        <f t="shared" si="151"/>
        <v>0.4970729258410147</v>
      </c>
      <c r="AG344" s="811">
        <f t="shared" si="152"/>
        <v>-2</v>
      </c>
      <c r="AH344" s="176">
        <f t="shared" si="153"/>
        <v>4</v>
      </c>
      <c r="AI344" s="225">
        <f t="shared" si="154"/>
        <v>-1.5029270741589853</v>
      </c>
      <c r="AJ344" s="265" t="b">
        <f t="shared" si="155"/>
        <v>0</v>
      </c>
      <c r="AK344" s="265" t="b">
        <f t="shared" si="156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7"/>
        <v>43431</v>
      </c>
      <c r="B345" s="617">
        <v>24.777999999999999</v>
      </c>
      <c r="C345" s="390"/>
      <c r="D345" s="393">
        <f t="shared" si="134"/>
        <v>24.871521781206781</v>
      </c>
      <c r="E345" s="385">
        <f t="shared" si="131"/>
        <v>25.129003225026128</v>
      </c>
      <c r="F345" s="385">
        <f t="shared" si="133"/>
        <v>25.130362962848679</v>
      </c>
      <c r="G345" s="110">
        <f t="shared" si="132"/>
        <v>0.91786121692422318</v>
      </c>
      <c r="I345" s="380">
        <f t="shared" si="135"/>
        <v>25.130362962848679</v>
      </c>
      <c r="J345" s="85">
        <v>2018</v>
      </c>
      <c r="K345" s="197">
        <f t="shared" si="136"/>
        <v>43431</v>
      </c>
      <c r="L345" s="437">
        <f t="shared" si="137"/>
        <v>3.7601953764424545E-3</v>
      </c>
      <c r="M345" s="856"/>
      <c r="N345" s="856"/>
      <c r="O345" s="324">
        <f t="shared" si="138"/>
        <v>1.0246385083946333E-2</v>
      </c>
      <c r="P345" s="169">
        <f>(INDEX(Models!$BJ345:$BT345,,T345)*(1-R345)+INDEX(Models!$BJ345:$BT345,,T345+1)*R345-ERP_i)*Q345*Ramure*Pc/MaxiM</f>
        <v>6.1299775056868739E-5</v>
      </c>
      <c r="Q345" s="305">
        <f t="shared" si="139"/>
        <v>0.5</v>
      </c>
      <c r="R345" s="177">
        <f t="shared" si="140"/>
        <v>0.49709231411547528</v>
      </c>
      <c r="S345" s="811">
        <f t="shared" si="158"/>
        <v>-2</v>
      </c>
      <c r="T345" s="176">
        <f t="shared" si="141"/>
        <v>4</v>
      </c>
      <c r="U345" s="251">
        <f t="shared" si="142"/>
        <v>-1.5029076858845247</v>
      </c>
      <c r="V345" s="383">
        <f t="shared" si="143"/>
        <v>26.995172385593619</v>
      </c>
      <c r="W345" s="58"/>
      <c r="X345" s="157">
        <f t="shared" si="144"/>
        <v>43431</v>
      </c>
      <c r="Y345" s="385">
        <f t="shared" si="145"/>
        <v>24.777999999999999</v>
      </c>
      <c r="Z345" s="385">
        <f t="shared" si="146"/>
        <v>24.871521781206781</v>
      </c>
      <c r="AA345" s="386">
        <f t="shared" si="147"/>
        <v>25.129003225026128</v>
      </c>
      <c r="AB345" s="197">
        <f t="shared" si="148"/>
        <v>43431</v>
      </c>
      <c r="AC345" s="426">
        <f t="shared" si="149"/>
        <v>1.0246385083946333E-2</v>
      </c>
      <c r="AD345" s="169">
        <f>(INDEX(Models!$BJ345:$BT345,,AH345)*(1-AF345)+INDEX(Models!$BJ345:$BT345,,AH345+1)*AF345-ERP_i)*AE345*Ramure*Pc/MaxiM</f>
        <v>6.1299775056868739E-5</v>
      </c>
      <c r="AE345" s="305">
        <f t="shared" si="150"/>
        <v>0.5</v>
      </c>
      <c r="AF345" s="177">
        <f t="shared" si="151"/>
        <v>0.49709231411547528</v>
      </c>
      <c r="AG345" s="811">
        <f t="shared" si="152"/>
        <v>-2</v>
      </c>
      <c r="AH345" s="176">
        <f t="shared" si="153"/>
        <v>4</v>
      </c>
      <c r="AI345" s="225">
        <f t="shared" si="154"/>
        <v>-1.5029076858845247</v>
      </c>
      <c r="AJ345" s="265" t="b">
        <f t="shared" si="155"/>
        <v>0</v>
      </c>
      <c r="AK345" s="265" t="b">
        <f t="shared" si="156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7"/>
        <v>43432</v>
      </c>
      <c r="B346" s="617">
        <v>18.367999999999999</v>
      </c>
      <c r="C346" s="390"/>
      <c r="D346" s="393">
        <f t="shared" si="134"/>
        <v>18.437731788976961</v>
      </c>
      <c r="E346" s="385">
        <f t="shared" si="131"/>
        <v>18.629561523025586</v>
      </c>
      <c r="F346" s="385">
        <f t="shared" si="133"/>
        <v>18.630206084198146</v>
      </c>
      <c r="G346" s="110">
        <f t="shared" si="132"/>
        <v>0.68585888633188385</v>
      </c>
      <c r="I346" s="380">
        <f t="shared" si="135"/>
        <v>18.630206084198146</v>
      </c>
      <c r="J346" s="85">
        <v>2018</v>
      </c>
      <c r="K346" s="197">
        <f t="shared" si="136"/>
        <v>43432</v>
      </c>
      <c r="L346" s="437">
        <f t="shared" si="137"/>
        <v>3.7820155849458414E-3</v>
      </c>
      <c r="M346" s="856"/>
      <c r="N346" s="856"/>
      <c r="O346" s="324">
        <f t="shared" si="138"/>
        <v>1.0297061141859373E-2</v>
      </c>
      <c r="P346" s="169">
        <f>(INDEX(Models!$BJ346:$BT346,,T346)*(1-R346)+INDEX(Models!$BJ346:$BT346,,T346+1)*R346-ERP_i)*Q346*Ramure*Pc/MaxiM</f>
        <v>6.2761638504431122E-5</v>
      </c>
      <c r="Q346" s="305">
        <f t="shared" si="139"/>
        <v>0.5</v>
      </c>
      <c r="R346" s="177">
        <f t="shared" si="140"/>
        <v>0.49711092317471017</v>
      </c>
      <c r="S346" s="811">
        <f t="shared" si="158"/>
        <v>-2</v>
      </c>
      <c r="T346" s="176">
        <f t="shared" si="141"/>
        <v>4</v>
      </c>
      <c r="U346" s="251">
        <f t="shared" si="142"/>
        <v>-1.5028890768252898</v>
      </c>
      <c r="V346" s="383">
        <f t="shared" si="143"/>
        <v>26.780264908455514</v>
      </c>
      <c r="W346" s="58"/>
      <c r="X346" s="157">
        <f t="shared" si="144"/>
        <v>43432</v>
      </c>
      <c r="Y346" s="385">
        <f t="shared" si="145"/>
        <v>18.367999999999999</v>
      </c>
      <c r="Z346" s="385">
        <f t="shared" si="146"/>
        <v>18.437731788976961</v>
      </c>
      <c r="AA346" s="386">
        <f t="shared" si="147"/>
        <v>18.629561523025586</v>
      </c>
      <c r="AB346" s="197">
        <f t="shared" si="148"/>
        <v>43432</v>
      </c>
      <c r="AC346" s="426">
        <f t="shared" si="149"/>
        <v>1.0297061141859373E-2</v>
      </c>
      <c r="AD346" s="169">
        <f>(INDEX(Models!$BJ346:$BT346,,AH346)*(1-AF346)+INDEX(Models!$BJ346:$BT346,,AH346+1)*AF346-ERP_i)*AE346*Ramure*Pc/MaxiM</f>
        <v>6.2761638504431122E-5</v>
      </c>
      <c r="AE346" s="305">
        <f t="shared" si="150"/>
        <v>0.5</v>
      </c>
      <c r="AF346" s="177">
        <f t="shared" si="151"/>
        <v>0.49711092317471017</v>
      </c>
      <c r="AG346" s="811">
        <f t="shared" si="152"/>
        <v>-2</v>
      </c>
      <c r="AH346" s="176">
        <f t="shared" si="153"/>
        <v>4</v>
      </c>
      <c r="AI346" s="225">
        <f t="shared" si="154"/>
        <v>-1.5028890768252898</v>
      </c>
      <c r="AJ346" s="265" t="b">
        <f t="shared" si="155"/>
        <v>0</v>
      </c>
      <c r="AK346" s="265" t="b">
        <f t="shared" si="156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7"/>
        <v>43433</v>
      </c>
      <c r="B347" s="617">
        <v>26.042000000000002</v>
      </c>
      <c r="C347" s="390"/>
      <c r="D347" s="393">
        <f t="shared" si="134"/>
        <v>26.141437724013347</v>
      </c>
      <c r="E347" s="385">
        <f t="shared" si="131"/>
        <v>26.414773267909435</v>
      </c>
      <c r="F347" s="385">
        <f t="shared" si="133"/>
        <v>26.41641779115476</v>
      </c>
      <c r="G347" s="110">
        <f t="shared" si="132"/>
        <v>0.98027801033599127</v>
      </c>
      <c r="I347" s="380">
        <f t="shared" si="135"/>
        <v>26.41641779115476</v>
      </c>
      <c r="J347" s="85">
        <v>2018</v>
      </c>
      <c r="K347" s="197">
        <f t="shared" si="136"/>
        <v>43433</v>
      </c>
      <c r="L347" s="437">
        <f t="shared" si="137"/>
        <v>3.8038353155305238E-3</v>
      </c>
      <c r="M347" s="856"/>
      <c r="N347" s="856"/>
      <c r="O347" s="324">
        <f t="shared" si="138"/>
        <v>1.0347828509592299E-2</v>
      </c>
      <c r="P347" s="169">
        <f>(INDEX(Models!$BJ347:$BT347,,T347)*(1-R347)+INDEX(Models!$BJ347:$BT347,,T347+1)*R347-ERP_i)*Q347*Ramure*Pc/MaxiM</f>
        <v>6.405847120754041E-5</v>
      </c>
      <c r="Q347" s="305">
        <f t="shared" si="139"/>
        <v>0.5</v>
      </c>
      <c r="R347" s="177">
        <f t="shared" si="140"/>
        <v>0.49712878428083918</v>
      </c>
      <c r="S347" s="811">
        <f t="shared" si="158"/>
        <v>-2</v>
      </c>
      <c r="T347" s="176">
        <f t="shared" si="141"/>
        <v>4</v>
      </c>
      <c r="U347" s="251">
        <f t="shared" si="142"/>
        <v>-1.5028712157191608</v>
      </c>
      <c r="V347" s="383">
        <f t="shared" si="143"/>
        <v>26.565885112269257</v>
      </c>
      <c r="W347" s="58"/>
      <c r="X347" s="157">
        <f t="shared" si="144"/>
        <v>43433</v>
      </c>
      <c r="Y347" s="385">
        <f t="shared" si="145"/>
        <v>26.042000000000002</v>
      </c>
      <c r="Z347" s="385">
        <f t="shared" si="146"/>
        <v>26.141437724013347</v>
      </c>
      <c r="AA347" s="386">
        <f t="shared" si="147"/>
        <v>26.414773267909435</v>
      </c>
      <c r="AB347" s="197">
        <f t="shared" si="148"/>
        <v>43433</v>
      </c>
      <c r="AC347" s="426">
        <f t="shared" si="149"/>
        <v>1.0347828509592299E-2</v>
      </c>
      <c r="AD347" s="169">
        <f>(INDEX(Models!$BJ347:$BT347,,AH347)*(1-AF347)+INDEX(Models!$BJ347:$BT347,,AH347+1)*AF347-ERP_i)*AE347*Ramure*Pc/MaxiM</f>
        <v>6.405847120754041E-5</v>
      </c>
      <c r="AE347" s="305">
        <f t="shared" si="150"/>
        <v>0.5</v>
      </c>
      <c r="AF347" s="177">
        <f t="shared" si="151"/>
        <v>0.49712878428083918</v>
      </c>
      <c r="AG347" s="811">
        <f t="shared" si="152"/>
        <v>-2</v>
      </c>
      <c r="AH347" s="176">
        <f t="shared" si="153"/>
        <v>4</v>
      </c>
      <c r="AI347" s="225">
        <f t="shared" si="154"/>
        <v>-1.5028712157191608</v>
      </c>
      <c r="AJ347" s="265" t="b">
        <f t="shared" si="155"/>
        <v>0</v>
      </c>
      <c r="AK347" s="265" t="b">
        <f t="shared" si="156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7"/>
        <v>43434</v>
      </c>
      <c r="B348" s="617">
        <v>10.788</v>
      </c>
      <c r="C348" s="390"/>
      <c r="D348" s="393">
        <f t="shared" si="134"/>
        <v>10.829429657038528</v>
      </c>
      <c r="E348" s="385">
        <f t="shared" si="131"/>
        <v>10.943224856274444</v>
      </c>
      <c r="F348" s="385">
        <f t="shared" si="133"/>
        <v>10.943336299532586</v>
      </c>
      <c r="G348" s="110">
        <f t="shared" si="132"/>
        <v>0.40933464939381192</v>
      </c>
      <c r="I348" s="380">
        <f t="shared" si="135"/>
        <v>10.943336299532586</v>
      </c>
      <c r="J348" s="85">
        <v>2018</v>
      </c>
      <c r="K348" s="197">
        <f t="shared" si="136"/>
        <v>43434</v>
      </c>
      <c r="L348" s="437">
        <f t="shared" si="137"/>
        <v>3.8256545682071597E-3</v>
      </c>
      <c r="M348" s="856"/>
      <c r="N348" s="856"/>
      <c r="O348" s="324">
        <f t="shared" si="138"/>
        <v>1.0398689666937728E-2</v>
      </c>
      <c r="P348" s="169">
        <f>(INDEX(Models!$BJ348:$BT348,,T348)*(1-R348)+INDEX(Models!$BJ348:$BT348,,T348+1)*R348-ERP_i)*Q348*Ramure*Pc/MaxiM</f>
        <v>6.5186077839992978E-5</v>
      </c>
      <c r="Q348" s="305">
        <f t="shared" si="139"/>
        <v>0.5</v>
      </c>
      <c r="R348" s="177">
        <f t="shared" si="140"/>
        <v>0.49714592744604835</v>
      </c>
      <c r="S348" s="811">
        <f t="shared" si="158"/>
        <v>-2</v>
      </c>
      <c r="T348" s="176">
        <f t="shared" si="141"/>
        <v>4</v>
      </c>
      <c r="U348" s="251">
        <f t="shared" si="142"/>
        <v>-1.5028540725539516</v>
      </c>
      <c r="V348" s="383">
        <f t="shared" si="143"/>
        <v>26.353514523850425</v>
      </c>
      <c r="W348" s="58"/>
      <c r="X348" s="157">
        <f t="shared" si="144"/>
        <v>43434</v>
      </c>
      <c r="Y348" s="385">
        <f t="shared" si="145"/>
        <v>10.788</v>
      </c>
      <c r="Z348" s="385">
        <f t="shared" si="146"/>
        <v>10.829429657038528</v>
      </c>
      <c r="AA348" s="386">
        <f t="shared" si="147"/>
        <v>10.943224856274444</v>
      </c>
      <c r="AB348" s="197">
        <f t="shared" si="148"/>
        <v>43434</v>
      </c>
      <c r="AC348" s="426">
        <f t="shared" si="149"/>
        <v>1.0398689666937728E-2</v>
      </c>
      <c r="AD348" s="169">
        <f>(INDEX(Models!$BJ348:$BT348,,AH348)*(1-AF348)+INDEX(Models!$BJ348:$BT348,,AH348+1)*AF348-ERP_i)*AE348*Ramure*Pc/MaxiM</f>
        <v>6.5186077839992978E-5</v>
      </c>
      <c r="AE348" s="305">
        <f t="shared" si="150"/>
        <v>0.5</v>
      </c>
      <c r="AF348" s="177">
        <f t="shared" si="151"/>
        <v>0.49714592744604835</v>
      </c>
      <c r="AG348" s="811">
        <f t="shared" si="152"/>
        <v>-2</v>
      </c>
      <c r="AH348" s="176">
        <f t="shared" si="153"/>
        <v>4</v>
      </c>
      <c r="AI348" s="225">
        <f t="shared" si="154"/>
        <v>-1.5028540725539516</v>
      </c>
      <c r="AJ348" s="265" t="b">
        <f t="shared" si="155"/>
        <v>0</v>
      </c>
      <c r="AK348" s="265" t="b">
        <f t="shared" si="156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7"/>
        <v>43435</v>
      </c>
      <c r="B349" s="617">
        <v>18.754999999999999</v>
      </c>
      <c r="C349" s="390"/>
      <c r="D349" s="393">
        <f t="shared" si="134"/>
        <v>18.827438066075949</v>
      </c>
      <c r="E349" s="385">
        <f t="shared" si="131"/>
        <v>19.02625571160252</v>
      </c>
      <c r="F349" s="385">
        <f t="shared" si="133"/>
        <v>19.027006021299115</v>
      </c>
      <c r="G349" s="110">
        <f t="shared" si="132"/>
        <v>0.7173364493047284</v>
      </c>
      <c r="I349" s="380">
        <f t="shared" si="135"/>
        <v>19.027006021299115</v>
      </c>
      <c r="J349" s="85">
        <v>2018</v>
      </c>
      <c r="K349" s="197">
        <f t="shared" si="136"/>
        <v>43435</v>
      </c>
      <c r="L349" s="437">
        <f t="shared" si="137"/>
        <v>3.8474733429861852E-3</v>
      </c>
      <c r="M349" s="856"/>
      <c r="N349" s="856"/>
      <c r="O349" s="324">
        <f t="shared" si="138"/>
        <v>1.0449646453838394E-2</v>
      </c>
      <c r="P349" s="169">
        <f>(INDEX(Models!$BJ349:$BT349,,T349)*(1-R349)+INDEX(Models!$BJ349:$BT349,,T349+1)*R349-ERP_i)*Q349*Ramure*Pc/MaxiM</f>
        <v>6.6139649707689204E-5</v>
      </c>
      <c r="Q349" s="305">
        <f t="shared" si="139"/>
        <v>0.5</v>
      </c>
      <c r="R349" s="177">
        <f t="shared" si="140"/>
        <v>0.49716238148222391</v>
      </c>
      <c r="S349" s="811">
        <f t="shared" si="158"/>
        <v>-2</v>
      </c>
      <c r="T349" s="176">
        <f t="shared" si="141"/>
        <v>4</v>
      </c>
      <c r="U349" s="251">
        <f t="shared" si="142"/>
        <v>-1.5028376185177761</v>
      </c>
      <c r="V349" s="383">
        <f t="shared" si="143"/>
        <v>26.144634268514608</v>
      </c>
      <c r="W349" s="58"/>
      <c r="X349" s="157">
        <f t="shared" si="144"/>
        <v>43435</v>
      </c>
      <c r="Y349" s="385">
        <f t="shared" si="145"/>
        <v>18.754999999999999</v>
      </c>
      <c r="Z349" s="385">
        <f t="shared" si="146"/>
        <v>18.827438066075949</v>
      </c>
      <c r="AA349" s="386">
        <f t="shared" si="147"/>
        <v>19.02625571160252</v>
      </c>
      <c r="AB349" s="197">
        <f t="shared" si="148"/>
        <v>43435</v>
      </c>
      <c r="AC349" s="426">
        <f t="shared" si="149"/>
        <v>1.0449646453838394E-2</v>
      </c>
      <c r="AD349" s="169">
        <f>(INDEX(Models!$BJ349:$BT349,,AH349)*(1-AF349)+INDEX(Models!$BJ349:$BT349,,AH349+1)*AF349-ERP_i)*AE349*Ramure*Pc/MaxiM</f>
        <v>6.6139649707689204E-5</v>
      </c>
      <c r="AE349" s="305">
        <f t="shared" si="150"/>
        <v>0.5</v>
      </c>
      <c r="AF349" s="177">
        <f t="shared" si="151"/>
        <v>0.49716238148222391</v>
      </c>
      <c r="AG349" s="811">
        <f t="shared" si="152"/>
        <v>-2</v>
      </c>
      <c r="AH349" s="176">
        <f t="shared" si="153"/>
        <v>4</v>
      </c>
      <c r="AI349" s="225">
        <f t="shared" si="154"/>
        <v>-1.5028376185177761</v>
      </c>
      <c r="AJ349" s="265" t="b">
        <f t="shared" si="155"/>
        <v>0</v>
      </c>
      <c r="AK349" s="265" t="b">
        <f t="shared" si="156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7"/>
        <v>43436</v>
      </c>
      <c r="B350" s="617">
        <v>7.33</v>
      </c>
      <c r="C350" s="390"/>
      <c r="D350" s="393">
        <f t="shared" si="134"/>
        <v>7.358472074480062</v>
      </c>
      <c r="E350" s="385">
        <f t="shared" si="131"/>
        <v>7.4365611729539358</v>
      </c>
      <c r="F350" s="385">
        <f t="shared" si="133"/>
        <v>7.4365611729539358</v>
      </c>
      <c r="G350" s="110">
        <f t="shared" si="132"/>
        <v>0.28254836774104469</v>
      </c>
      <c r="I350" s="380">
        <f t="shared" si="135"/>
        <v>7.4365611729539358</v>
      </c>
      <c r="J350" s="85">
        <v>2018</v>
      </c>
      <c r="K350" s="197">
        <f t="shared" si="136"/>
        <v>43436</v>
      </c>
      <c r="L350" s="437">
        <f t="shared" si="137"/>
        <v>3.8692916398780364E-3</v>
      </c>
      <c r="M350" s="856"/>
      <c r="N350" s="856"/>
      <c r="O350" s="324">
        <f t="shared" si="138"/>
        <v>1.0500700075980878E-2</v>
      </c>
      <c r="P350" s="169">
        <f>(INDEX(Models!$BJ350:$BT350,,T350)*(1-R350)+INDEX(Models!$BJ350:$BT350,,T350+1)*R350-ERP_i)*Q350*Ramure*Pc/MaxiM</f>
        <v>6.6913839554646657E-5</v>
      </c>
      <c r="Q350" s="305">
        <f t="shared" si="139"/>
        <v>0.5</v>
      </c>
      <c r="R350" s="177">
        <f t="shared" si="140"/>
        <v>0.49717817404864562</v>
      </c>
      <c r="S350" s="811">
        <f t="shared" si="158"/>
        <v>-2</v>
      </c>
      <c r="T350" s="176">
        <f t="shared" si="141"/>
        <v>4</v>
      </c>
      <c r="U350" s="251">
        <f t="shared" si="142"/>
        <v>-1.5028218259513544</v>
      </c>
      <c r="V350" s="383">
        <f t="shared" si="143"/>
        <v>25.940725052333526</v>
      </c>
      <c r="W350" s="58"/>
      <c r="X350" s="157">
        <f t="shared" si="144"/>
        <v>43436</v>
      </c>
      <c r="Y350" s="385">
        <f t="shared" si="145"/>
        <v>7.33</v>
      </c>
      <c r="Z350" s="385">
        <f t="shared" si="146"/>
        <v>7.358472074480062</v>
      </c>
      <c r="AA350" s="386">
        <f t="shared" si="147"/>
        <v>7.4365611729539358</v>
      </c>
      <c r="AB350" s="197">
        <f t="shared" si="148"/>
        <v>43436</v>
      </c>
      <c r="AC350" s="426">
        <f t="shared" si="149"/>
        <v>1.0500700075980878E-2</v>
      </c>
      <c r="AD350" s="169">
        <f>(INDEX(Models!$BJ350:$BT350,,AH350)*(1-AF350)+INDEX(Models!$BJ350:$BT350,,AH350+1)*AF350-ERP_i)*AE350*Ramure*Pc/MaxiM</f>
        <v>6.6913839554646657E-5</v>
      </c>
      <c r="AE350" s="305">
        <f t="shared" si="150"/>
        <v>0.5</v>
      </c>
      <c r="AF350" s="177">
        <f t="shared" si="151"/>
        <v>0.49717817404864562</v>
      </c>
      <c r="AG350" s="811">
        <f t="shared" si="152"/>
        <v>-2</v>
      </c>
      <c r="AH350" s="176">
        <f t="shared" si="153"/>
        <v>4</v>
      </c>
      <c r="AI350" s="225">
        <f t="shared" si="154"/>
        <v>-1.5028218259513544</v>
      </c>
      <c r="AJ350" s="265" t="b">
        <f t="shared" si="155"/>
        <v>0</v>
      </c>
      <c r="AK350" s="265" t="b">
        <f t="shared" si="156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7"/>
        <v>43437</v>
      </c>
      <c r="B351" s="617">
        <v>7.8970000000000002</v>
      </c>
      <c r="C351" s="390"/>
      <c r="D351" s="393">
        <f t="shared" si="134"/>
        <v>7.9278481248271842</v>
      </c>
      <c r="E351" s="385">
        <f t="shared" si="131"/>
        <v>8.0123937103293041</v>
      </c>
      <c r="F351" s="385">
        <f t="shared" si="133"/>
        <v>8.0123989333500703</v>
      </c>
      <c r="G351" s="110">
        <f t="shared" si="132"/>
        <v>0.30673931263925813</v>
      </c>
      <c r="I351" s="380">
        <f t="shared" si="135"/>
        <v>8.0123989333500703</v>
      </c>
      <c r="J351" s="85">
        <v>2018</v>
      </c>
      <c r="K351" s="197">
        <f t="shared" si="136"/>
        <v>43437</v>
      </c>
      <c r="L351" s="437">
        <f t="shared" si="137"/>
        <v>3.8911094588932604E-3</v>
      </c>
      <c r="M351" s="856"/>
      <c r="N351" s="856"/>
      <c r="O351" s="324">
        <f t="shared" si="138"/>
        <v>1.0551851114496247E-2</v>
      </c>
      <c r="P351" s="169">
        <f>(INDEX(Models!$BJ351:$BT351,,T351)*(1-R351)+INDEX(Models!$BJ351:$BT351,,T351+1)*R351-ERP_i)*Q351*Ramure*Pc/MaxiM</f>
        <v>6.7502849508619284E-5</v>
      </c>
      <c r="Q351" s="305">
        <f t="shared" si="139"/>
        <v>0.5</v>
      </c>
      <c r="R351" s="177">
        <f t="shared" si="140"/>
        <v>0.49719333169780833</v>
      </c>
      <c r="S351" s="811">
        <f t="shared" si="158"/>
        <v>-2</v>
      </c>
      <c r="T351" s="176">
        <f t="shared" si="141"/>
        <v>4</v>
      </c>
      <c r="U351" s="251">
        <f t="shared" si="142"/>
        <v>-1.5028066683021917</v>
      </c>
      <c r="V351" s="383">
        <f t="shared" si="143"/>
        <v>25.743267172069153</v>
      </c>
      <c r="W351" s="58"/>
      <c r="X351" s="157">
        <f t="shared" si="144"/>
        <v>43437</v>
      </c>
      <c r="Y351" s="385">
        <f t="shared" si="145"/>
        <v>7.8969999999999994</v>
      </c>
      <c r="Z351" s="385">
        <f t="shared" si="146"/>
        <v>7.9278481248271833</v>
      </c>
      <c r="AA351" s="386">
        <f t="shared" si="147"/>
        <v>8.0123937103293041</v>
      </c>
      <c r="AB351" s="197">
        <f t="shared" si="148"/>
        <v>43437</v>
      </c>
      <c r="AC351" s="426">
        <f t="shared" si="149"/>
        <v>1.0551851114496247E-2</v>
      </c>
      <c r="AD351" s="169">
        <f>(INDEX(Models!$BJ351:$BT351,,AH351)*(1-AF351)+INDEX(Models!$BJ351:$BT351,,AH351+1)*AF351-ERP_i)*AE351*Ramure*Pc/MaxiM</f>
        <v>6.7502849508619284E-5</v>
      </c>
      <c r="AE351" s="305">
        <f t="shared" si="150"/>
        <v>0.5</v>
      </c>
      <c r="AF351" s="177">
        <f t="shared" si="151"/>
        <v>0.49719333169780833</v>
      </c>
      <c r="AG351" s="811">
        <f t="shared" si="152"/>
        <v>-2</v>
      </c>
      <c r="AH351" s="176">
        <f t="shared" si="153"/>
        <v>4</v>
      </c>
      <c r="AI351" s="225">
        <f t="shared" si="154"/>
        <v>-1.5028066683021917</v>
      </c>
      <c r="AJ351" s="265" t="b">
        <f t="shared" si="155"/>
        <v>0</v>
      </c>
      <c r="AK351" s="265" t="b">
        <f t="shared" si="156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7"/>
        <v>43438</v>
      </c>
      <c r="B352" s="617">
        <v>6.0350000000000001</v>
      </c>
      <c r="C352" s="390"/>
      <c r="D352" s="393">
        <f t="shared" si="134"/>
        <v>6.0587072780820179</v>
      </c>
      <c r="E352" s="385">
        <f t="shared" si="131"/>
        <v>6.123636808709497</v>
      </c>
      <c r="F352" s="385">
        <f t="shared" si="133"/>
        <v>6.123636808709497</v>
      </c>
      <c r="G352" s="110">
        <f t="shared" si="132"/>
        <v>0.23615291146715792</v>
      </c>
      <c r="I352" s="380">
        <f t="shared" si="135"/>
        <v>6.123636808709497</v>
      </c>
      <c r="J352" s="85">
        <v>2018</v>
      </c>
      <c r="K352" s="197">
        <f t="shared" si="136"/>
        <v>43438</v>
      </c>
      <c r="L352" s="437">
        <f t="shared" si="137"/>
        <v>3.9129268000421824E-3</v>
      </c>
      <c r="M352" s="856"/>
      <c r="N352" s="856"/>
      <c r="O352" s="324">
        <f t="shared" si="138"/>
        <v>1.060309953966094E-2</v>
      </c>
      <c r="P352" s="169">
        <f>(INDEX(Models!$BJ352:$BT352,,T352)*(1-R352)+INDEX(Models!$BJ352:$BT352,,T352+1)*R352-ERP_i)*Q352*Ramure*Pc/MaxiM</f>
        <v>6.7930043139295557E-5</v>
      </c>
      <c r="Q352" s="305">
        <f t="shared" si="139"/>
        <v>0.5</v>
      </c>
      <c r="R352" s="177">
        <f t="shared" si="140"/>
        <v>0.49720787991944326</v>
      </c>
      <c r="S352" s="811">
        <f t="shared" si="158"/>
        <v>-2</v>
      </c>
      <c r="T352" s="176">
        <f t="shared" si="141"/>
        <v>4</v>
      </c>
      <c r="U352" s="251">
        <f t="shared" si="142"/>
        <v>-1.5027921200805567</v>
      </c>
      <c r="V352" s="383">
        <f t="shared" si="143"/>
        <v>25.553739755729808</v>
      </c>
      <c r="W352" s="58"/>
      <c r="X352" s="157">
        <f t="shared" si="144"/>
        <v>43438</v>
      </c>
      <c r="Y352" s="385">
        <f t="shared" si="145"/>
        <v>6.0350000000000001</v>
      </c>
      <c r="Z352" s="385">
        <f t="shared" si="146"/>
        <v>6.0587072780820179</v>
      </c>
      <c r="AA352" s="386">
        <f t="shared" si="147"/>
        <v>6.123636808709497</v>
      </c>
      <c r="AB352" s="197">
        <f t="shared" si="148"/>
        <v>43438</v>
      </c>
      <c r="AC352" s="426">
        <f t="shared" si="149"/>
        <v>1.060309953966094E-2</v>
      </c>
      <c r="AD352" s="169">
        <f>(INDEX(Models!$BJ352:$BT352,,AH352)*(1-AF352)+INDEX(Models!$BJ352:$BT352,,AH352+1)*AF352-ERP_i)*AE352*Ramure*Pc/MaxiM</f>
        <v>6.7930043139295557E-5</v>
      </c>
      <c r="AE352" s="305">
        <f t="shared" si="150"/>
        <v>0.5</v>
      </c>
      <c r="AF352" s="177">
        <f t="shared" si="151"/>
        <v>0.49720787991944326</v>
      </c>
      <c r="AG352" s="811">
        <f t="shared" si="152"/>
        <v>-2</v>
      </c>
      <c r="AH352" s="176">
        <f t="shared" si="153"/>
        <v>4</v>
      </c>
      <c r="AI352" s="225">
        <f t="shared" si="154"/>
        <v>-1.5027921200805567</v>
      </c>
      <c r="AJ352" s="265" t="b">
        <f t="shared" si="155"/>
        <v>0</v>
      </c>
      <c r="AK352" s="265" t="b">
        <f t="shared" si="156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7"/>
        <v>43439</v>
      </c>
      <c r="B353" s="617">
        <v>19.318000000000001</v>
      </c>
      <c r="C353" s="390"/>
      <c r="D353" s="393">
        <f t="shared" si="134"/>
        <v>19.394311644849324</v>
      </c>
      <c r="E353" s="385">
        <f t="shared" si="131"/>
        <v>19.603172563428796</v>
      </c>
      <c r="F353" s="385">
        <f t="shared" si="133"/>
        <v>19.604054954984996</v>
      </c>
      <c r="G353" s="110">
        <f t="shared" si="132"/>
        <v>0.76132418185684603</v>
      </c>
      <c r="I353" s="380">
        <f t="shared" si="135"/>
        <v>19.604054954984996</v>
      </c>
      <c r="J353" s="85">
        <v>2018</v>
      </c>
      <c r="K353" s="197">
        <f t="shared" si="136"/>
        <v>43439</v>
      </c>
      <c r="L353" s="437">
        <f t="shared" si="137"/>
        <v>3.9347436633353494E-3</v>
      </c>
      <c r="M353" s="856"/>
      <c r="N353" s="856"/>
      <c r="O353" s="324">
        <f t="shared" si="138"/>
        <v>1.0654444728457634E-2</v>
      </c>
      <c r="P353" s="169">
        <f>(INDEX(Models!$BJ353:$BT353,,T353)*(1-R353)+INDEX(Models!$BJ353:$BT353,,T353+1)*R353-ERP_i)*Q353*Ramure*Pc/MaxiM</f>
        <v>6.8295260017210531E-5</v>
      </c>
      <c r="Q353" s="305">
        <f t="shared" si="139"/>
        <v>0.5</v>
      </c>
      <c r="R353" s="177">
        <f t="shared" si="140"/>
        <v>0.49722184318281215</v>
      </c>
      <c r="S353" s="811">
        <f t="shared" si="158"/>
        <v>-2</v>
      </c>
      <c r="T353" s="176">
        <f t="shared" si="141"/>
        <v>4</v>
      </c>
      <c r="U353" s="251">
        <f t="shared" si="142"/>
        <v>-1.5027781568171878</v>
      </c>
      <c r="V353" s="383">
        <f t="shared" si="143"/>
        <v>25.373619580606526</v>
      </c>
      <c r="W353" s="58"/>
      <c r="X353" s="157">
        <f t="shared" si="144"/>
        <v>43439</v>
      </c>
      <c r="Y353" s="385">
        <f t="shared" si="145"/>
        <v>19.318000000000001</v>
      </c>
      <c r="Z353" s="385">
        <f t="shared" si="146"/>
        <v>19.394311644849324</v>
      </c>
      <c r="AA353" s="386">
        <f t="shared" si="147"/>
        <v>19.603172563428796</v>
      </c>
      <c r="AB353" s="197">
        <f t="shared" si="148"/>
        <v>43439</v>
      </c>
      <c r="AC353" s="426">
        <f t="shared" si="149"/>
        <v>1.0654444728457634E-2</v>
      </c>
      <c r="AD353" s="169">
        <f>(INDEX(Models!$BJ353:$BT353,,AH353)*(1-AF353)+INDEX(Models!$BJ353:$BT353,,AH353+1)*AF353-ERP_i)*AE353*Ramure*Pc/MaxiM</f>
        <v>6.8295260017210531E-5</v>
      </c>
      <c r="AE353" s="305">
        <f t="shared" si="150"/>
        <v>0.5</v>
      </c>
      <c r="AF353" s="177">
        <f t="shared" si="151"/>
        <v>0.49722184318281215</v>
      </c>
      <c r="AG353" s="811">
        <f t="shared" si="152"/>
        <v>-2</v>
      </c>
      <c r="AH353" s="176">
        <f t="shared" si="153"/>
        <v>4</v>
      </c>
      <c r="AI353" s="225">
        <f t="shared" si="154"/>
        <v>-1.5027781568171878</v>
      </c>
      <c r="AJ353" s="265" t="b">
        <f t="shared" si="155"/>
        <v>0</v>
      </c>
      <c r="AK353" s="265" t="b">
        <f t="shared" si="156"/>
        <v>0</v>
      </c>
      <c r="AL353" s="265"/>
      <c r="AM353" s="265"/>
      <c r="AN353" s="75"/>
    </row>
    <row r="354" spans="1:40" s="6" customFormat="1" ht="11.25" x14ac:dyDescent="0.2">
      <c r="A354" s="56">
        <f t="shared" si="157"/>
        <v>43440</v>
      </c>
      <c r="B354" s="617">
        <v>12.292</v>
      </c>
      <c r="C354" s="390"/>
      <c r="D354" s="393">
        <f t="shared" si="134"/>
        <v>12.340827223963268</v>
      </c>
      <c r="E354" s="385">
        <f t="shared" si="131"/>
        <v>12.474376469957699</v>
      </c>
      <c r="F354" s="385">
        <f t="shared" si="133"/>
        <v>12.47460590418838</v>
      </c>
      <c r="G354" s="110">
        <f t="shared" si="132"/>
        <v>0.4876684180117507</v>
      </c>
      <c r="I354" s="380">
        <f t="shared" si="135"/>
        <v>12.47460590418838</v>
      </c>
      <c r="J354" s="85">
        <v>2018</v>
      </c>
      <c r="K354" s="197">
        <f t="shared" si="136"/>
        <v>43440</v>
      </c>
      <c r="L354" s="437">
        <f t="shared" si="137"/>
        <v>3.9565600487831976E-3</v>
      </c>
      <c r="M354" s="856"/>
      <c r="N354" s="856"/>
      <c r="O354" s="324">
        <f t="shared" si="138"/>
        <v>1.0705885485824551E-2</v>
      </c>
      <c r="P354" s="169">
        <f>(INDEX(Models!$BJ354:$BT354,,T354)*(1-R354)+INDEX(Models!$BJ354:$BT354,,T354+1)*R354-ERP_i)*Q354*Ramure*Pc/MaxiM</f>
        <v>6.8593280193226136E-5</v>
      </c>
      <c r="Q354" s="305">
        <f t="shared" si="139"/>
        <v>0.5</v>
      </c>
      <c r="R354" s="177">
        <f t="shared" si="140"/>
        <v>0.49723524497733518</v>
      </c>
      <c r="S354" s="811">
        <f t="shared" si="158"/>
        <v>-2</v>
      </c>
      <c r="T354" s="176">
        <f t="shared" si="141"/>
        <v>4</v>
      </c>
      <c r="U354" s="251">
        <f t="shared" si="142"/>
        <v>-1.5027647550226648</v>
      </c>
      <c r="V354" s="383">
        <f t="shared" si="143"/>
        <v>25.204385729728326</v>
      </c>
      <c r="W354" s="58"/>
      <c r="X354" s="157">
        <f t="shared" si="144"/>
        <v>43440</v>
      </c>
      <c r="Y354" s="385">
        <f t="shared" si="145"/>
        <v>12.292</v>
      </c>
      <c r="Z354" s="385">
        <f t="shared" si="146"/>
        <v>12.340827223963268</v>
      </c>
      <c r="AA354" s="386">
        <f t="shared" si="147"/>
        <v>12.474376469957699</v>
      </c>
      <c r="AB354" s="197">
        <f t="shared" si="148"/>
        <v>43440</v>
      </c>
      <c r="AC354" s="426">
        <f t="shared" si="149"/>
        <v>1.0705885485824551E-2</v>
      </c>
      <c r="AD354" s="169">
        <f>(INDEX(Models!$BJ354:$BT354,,AH354)*(1-AF354)+INDEX(Models!$BJ354:$BT354,,AH354+1)*AF354-ERP_i)*AE354*Ramure*Pc/MaxiM</f>
        <v>6.8593280193226136E-5</v>
      </c>
      <c r="AE354" s="305">
        <f t="shared" si="150"/>
        <v>0.5</v>
      </c>
      <c r="AF354" s="177">
        <f t="shared" si="151"/>
        <v>0.49723524497733518</v>
      </c>
      <c r="AG354" s="811">
        <f t="shared" si="152"/>
        <v>-2</v>
      </c>
      <c r="AH354" s="176">
        <f t="shared" si="153"/>
        <v>4</v>
      </c>
      <c r="AI354" s="225">
        <f t="shared" si="154"/>
        <v>-1.5027647550226648</v>
      </c>
      <c r="AJ354" s="265" t="b">
        <f t="shared" si="155"/>
        <v>0</v>
      </c>
      <c r="AK354" s="265" t="b">
        <f t="shared" si="156"/>
        <v>0</v>
      </c>
      <c r="AL354" s="265"/>
      <c r="AM354" s="265"/>
      <c r="AN354" s="75"/>
    </row>
    <row r="355" spans="1:40" s="6" customFormat="1" ht="11.25" x14ac:dyDescent="0.2">
      <c r="A355" s="56">
        <f t="shared" si="157"/>
        <v>43441</v>
      </c>
      <c r="B355" s="617">
        <v>19.204000000000001</v>
      </c>
      <c r="C355" s="390"/>
      <c r="D355" s="393">
        <f t="shared" si="134"/>
        <v>19.280705896762026</v>
      </c>
      <c r="E355" s="385">
        <f t="shared" si="131"/>
        <v>19.490372015845171</v>
      </c>
      <c r="F355" s="385">
        <f t="shared" si="133"/>
        <v>19.491266327728862</v>
      </c>
      <c r="G355" s="110">
        <f t="shared" si="132"/>
        <v>0.76668516209911408</v>
      </c>
      <c r="I355" s="380">
        <f t="shared" si="135"/>
        <v>19.491266327728862</v>
      </c>
      <c r="J355" s="85">
        <v>2018</v>
      </c>
      <c r="K355" s="197">
        <f t="shared" si="136"/>
        <v>43441</v>
      </c>
      <c r="L355" s="437">
        <f t="shared" si="137"/>
        <v>3.9783759563962739E-3</v>
      </c>
      <c r="M355" s="856"/>
      <c r="N355" s="856"/>
      <c r="O355" s="324">
        <f t="shared" si="138"/>
        <v>1.0757420069390873E-2</v>
      </c>
      <c r="P355" s="169">
        <f>(INDEX(Models!$BJ355:$BT355,,T355)*(1-R355)+INDEX(Models!$BJ355:$BT355,,T355+1)*R355-ERP_i)*Q355*Ramure*Pc/MaxiM</f>
        <v>6.8818725909394922E-5</v>
      </c>
      <c r="Q355" s="305">
        <f t="shared" si="139"/>
        <v>0.5</v>
      </c>
      <c r="R355" s="177">
        <f t="shared" si="140"/>
        <v>0.49724810785162021</v>
      </c>
      <c r="S355" s="811">
        <f t="shared" si="158"/>
        <v>-2</v>
      </c>
      <c r="T355" s="176">
        <f t="shared" si="141"/>
        <v>4</v>
      </c>
      <c r="U355" s="251">
        <f t="shared" si="142"/>
        <v>-1.5027518921483798</v>
      </c>
      <c r="V355" s="383">
        <f t="shared" si="143"/>
        <v>25.047516849979242</v>
      </c>
      <c r="W355" s="58"/>
      <c r="X355" s="157">
        <f t="shared" si="144"/>
        <v>43441</v>
      </c>
      <c r="Y355" s="385">
        <f t="shared" si="145"/>
        <v>19.204000000000001</v>
      </c>
      <c r="Z355" s="385">
        <f t="shared" si="146"/>
        <v>19.280705896762026</v>
      </c>
      <c r="AA355" s="386">
        <f t="shared" si="147"/>
        <v>19.490372015845171</v>
      </c>
      <c r="AB355" s="197">
        <f t="shared" si="148"/>
        <v>43441</v>
      </c>
      <c r="AC355" s="426">
        <f t="shared" si="149"/>
        <v>1.0757420069390873E-2</v>
      </c>
      <c r="AD355" s="169">
        <f>(INDEX(Models!$BJ355:$BT355,,AH355)*(1-AF355)+INDEX(Models!$BJ355:$BT355,,AH355+1)*AF355-ERP_i)*AE355*Ramure*Pc/MaxiM</f>
        <v>6.8818725909394922E-5</v>
      </c>
      <c r="AE355" s="305">
        <f t="shared" si="150"/>
        <v>0.5</v>
      </c>
      <c r="AF355" s="177">
        <f t="shared" si="151"/>
        <v>0.49724810785162021</v>
      </c>
      <c r="AG355" s="811">
        <f t="shared" si="152"/>
        <v>-2</v>
      </c>
      <c r="AH355" s="176">
        <f t="shared" si="153"/>
        <v>4</v>
      </c>
      <c r="AI355" s="225">
        <f t="shared" si="154"/>
        <v>-1.5027518921483798</v>
      </c>
      <c r="AJ355" s="265" t="b">
        <f t="shared" si="155"/>
        <v>0</v>
      </c>
      <c r="AK355" s="265" t="b">
        <f t="shared" si="156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7"/>
        <v>43442</v>
      </c>
      <c r="B356" s="617">
        <v>15.926</v>
      </c>
      <c r="C356" s="390"/>
      <c r="D356" s="393">
        <f t="shared" si="134"/>
        <v>15.989962911905621</v>
      </c>
      <c r="E356" s="385">
        <f t="shared" si="131"/>
        <v>16.164687769092684</v>
      </c>
      <c r="F356" s="385">
        <f t="shared" si="133"/>
        <v>16.165228445908255</v>
      </c>
      <c r="G356" s="110">
        <f t="shared" si="132"/>
        <v>0.63946033665822977</v>
      </c>
      <c r="I356" s="380">
        <f t="shared" si="135"/>
        <v>16.165228445908255</v>
      </c>
      <c r="J356" s="85">
        <v>2018</v>
      </c>
      <c r="K356" s="197">
        <f t="shared" si="136"/>
        <v>43442</v>
      </c>
      <c r="L356" s="437">
        <f t="shared" si="137"/>
        <v>4.0001913861849037E-3</v>
      </c>
      <c r="M356" s="856"/>
      <c r="N356" s="856"/>
      <c r="O356" s="324">
        <f t="shared" si="138"/>
        <v>1.0809046217467989E-2</v>
      </c>
      <c r="P356" s="169">
        <f>(INDEX(Models!$BJ356:$BT356,,T356)*(1-R356)+INDEX(Models!$BJ356:$BT356,,T356+1)*R356-ERP_i)*Q356*Ramure*Pc/MaxiM</f>
        <v>6.8966127989306114E-5</v>
      </c>
      <c r="Q356" s="305">
        <f t="shared" si="139"/>
        <v>0.5</v>
      </c>
      <c r="R356" s="177">
        <f t="shared" si="140"/>
        <v>0.49726045345095438</v>
      </c>
      <c r="S356" s="811">
        <f t="shared" si="158"/>
        <v>-2</v>
      </c>
      <c r="T356" s="176">
        <f t="shared" si="141"/>
        <v>4</v>
      </c>
      <c r="U356" s="251">
        <f t="shared" si="142"/>
        <v>-1.5027395465490456</v>
      </c>
      <c r="V356" s="383">
        <f t="shared" si="143"/>
        <v>24.904491160648064</v>
      </c>
      <c r="W356" s="58"/>
      <c r="X356" s="157">
        <f t="shared" si="144"/>
        <v>43442</v>
      </c>
      <c r="Y356" s="385">
        <f t="shared" si="145"/>
        <v>15.925999999999998</v>
      </c>
      <c r="Z356" s="385">
        <f t="shared" si="146"/>
        <v>15.98996291190562</v>
      </c>
      <c r="AA356" s="386">
        <f t="shared" si="147"/>
        <v>16.164687769092684</v>
      </c>
      <c r="AB356" s="197">
        <f t="shared" si="148"/>
        <v>43442</v>
      </c>
      <c r="AC356" s="426">
        <f t="shared" si="149"/>
        <v>1.0809046217467989E-2</v>
      </c>
      <c r="AD356" s="169">
        <f>(INDEX(Models!$BJ356:$BT356,,AH356)*(1-AF356)+INDEX(Models!$BJ356:$BT356,,AH356+1)*AF356-ERP_i)*AE356*Ramure*Pc/MaxiM</f>
        <v>6.8966127989306114E-5</v>
      </c>
      <c r="AE356" s="305">
        <f t="shared" si="150"/>
        <v>0.5</v>
      </c>
      <c r="AF356" s="177">
        <f t="shared" si="151"/>
        <v>0.49726045345095438</v>
      </c>
      <c r="AG356" s="811">
        <f t="shared" si="152"/>
        <v>-2</v>
      </c>
      <c r="AH356" s="176">
        <f t="shared" si="153"/>
        <v>4</v>
      </c>
      <c r="AI356" s="225">
        <f t="shared" si="154"/>
        <v>-1.5027395465490456</v>
      </c>
      <c r="AJ356" s="265" t="b">
        <f t="shared" si="155"/>
        <v>0</v>
      </c>
      <c r="AK356" s="265" t="b">
        <f t="shared" si="156"/>
        <v>0</v>
      </c>
      <c r="AL356" s="265"/>
      <c r="AM356" s="265"/>
      <c r="AN356" s="75"/>
    </row>
    <row r="357" spans="1:40" s="6" customFormat="1" ht="11.25" x14ac:dyDescent="0.2">
      <c r="A357" s="56">
        <f t="shared" si="157"/>
        <v>43443</v>
      </c>
      <c r="B357" s="617">
        <v>5.37</v>
      </c>
      <c r="C357" s="390"/>
      <c r="D357" s="393">
        <f t="shared" si="134"/>
        <v>5.3916853928232982</v>
      </c>
      <c r="E357" s="385">
        <f t="shared" si="131"/>
        <v>5.4508861656884235</v>
      </c>
      <c r="F357" s="385">
        <f t="shared" ref="F357:F379" si="159">Wh_sa/(1-Pvg*MEDIAN((-Sdif+Wh/Env_an)/Csdif,0,1))</f>
        <v>5.4508861656884235</v>
      </c>
      <c r="G357" s="110">
        <f t="shared" si="132"/>
        <v>0.21672016749719869</v>
      </c>
      <c r="I357" s="380">
        <f t="shared" si="135"/>
        <v>5.4508861656884235</v>
      </c>
      <c r="J357" s="85">
        <v>2018</v>
      </c>
      <c r="K357" s="197">
        <f t="shared" si="136"/>
        <v>43443</v>
      </c>
      <c r="L357" s="437">
        <f t="shared" si="137"/>
        <v>4.0220063381596338E-3</v>
      </c>
      <c r="M357" s="856"/>
      <c r="N357" s="856"/>
      <c r="O357" s="324">
        <f t="shared" si="138"/>
        <v>1.0860761180039886E-2</v>
      </c>
      <c r="P357" s="169">
        <f>(INDEX(Models!$BJ357:$BT357,,T357)*(1-R357)+INDEX(Models!$BJ357:$BT357,,T357+1)*R357-ERP_i)*Q357*Ramure*Pc/MaxiM</f>
        <v>6.9030002596533294E-5</v>
      </c>
      <c r="Q357" s="305">
        <f t="shared" si="139"/>
        <v>0.5</v>
      </c>
      <c r="R357" s="177">
        <f t="shared" si="140"/>
        <v>0.49727230255331434</v>
      </c>
      <c r="S357" s="811">
        <f t="shared" si="158"/>
        <v>-2</v>
      </c>
      <c r="T357" s="176">
        <f t="shared" si="141"/>
        <v>4</v>
      </c>
      <c r="U357" s="251">
        <f t="shared" si="142"/>
        <v>-1.5027276974466857</v>
      </c>
      <c r="V357" s="383">
        <f t="shared" si="143"/>
        <v>24.776786447230222</v>
      </c>
      <c r="W357" s="58"/>
      <c r="X357" s="157">
        <f t="shared" si="144"/>
        <v>43443</v>
      </c>
      <c r="Y357" s="385">
        <f t="shared" si="145"/>
        <v>5.37</v>
      </c>
      <c r="Z357" s="385">
        <f t="shared" si="146"/>
        <v>5.3916853928232982</v>
      </c>
      <c r="AA357" s="386">
        <f t="shared" si="147"/>
        <v>5.4508861656884235</v>
      </c>
      <c r="AB357" s="197">
        <f t="shared" si="148"/>
        <v>43443</v>
      </c>
      <c r="AC357" s="426">
        <f t="shared" si="149"/>
        <v>1.0860761180039886E-2</v>
      </c>
      <c r="AD357" s="169">
        <f>(INDEX(Models!$BJ357:$BT357,,AH357)*(1-AF357)+INDEX(Models!$BJ357:$BT357,,AH357+1)*AF357-ERP_i)*AE357*Ramure*Pc/MaxiM</f>
        <v>6.9030002596533294E-5</v>
      </c>
      <c r="AE357" s="305">
        <f t="shared" si="150"/>
        <v>0.5</v>
      </c>
      <c r="AF357" s="177">
        <f t="shared" si="151"/>
        <v>0.49727230255331434</v>
      </c>
      <c r="AG357" s="811">
        <f t="shared" si="152"/>
        <v>-2</v>
      </c>
      <c r="AH357" s="176">
        <f t="shared" si="153"/>
        <v>4</v>
      </c>
      <c r="AI357" s="225">
        <f t="shared" si="154"/>
        <v>-1.5027276974466857</v>
      </c>
      <c r="AJ357" s="265" t="b">
        <f t="shared" si="155"/>
        <v>0</v>
      </c>
      <c r="AK357" s="265" t="b">
        <f t="shared" si="156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7"/>
        <v>43444</v>
      </c>
      <c r="B358" s="617">
        <v>10.683</v>
      </c>
      <c r="C358" s="390"/>
      <c r="D358" s="393">
        <f t="shared" si="134"/>
        <v>10.726375540652167</v>
      </c>
      <c r="E358" s="385">
        <f t="shared" si="131"/>
        <v>10.844719208705385</v>
      </c>
      <c r="F358" s="385">
        <f t="shared" si="159"/>
        <v>10.844861510908309</v>
      </c>
      <c r="G358" s="110">
        <f t="shared" si="132"/>
        <v>0.43308420235067258</v>
      </c>
      <c r="I358" s="380">
        <f t="shared" si="135"/>
        <v>10.844861510908309</v>
      </c>
      <c r="J358" s="85">
        <v>2018</v>
      </c>
      <c r="K358" s="197">
        <f t="shared" si="136"/>
        <v>43444</v>
      </c>
      <c r="L358" s="437">
        <f t="shared" si="137"/>
        <v>4.0438208123310115E-3</v>
      </c>
      <c r="M358" s="856"/>
      <c r="N358" s="856"/>
      <c r="O358" s="324">
        <f t="shared" si="138"/>
        <v>1.0912561752472063E-2</v>
      </c>
      <c r="P358" s="169">
        <f>(INDEX(Models!$BJ358:$BT358,,T358)*(1-R358)+INDEX(Models!$BJ358:$BT358,,T358+1)*R358-ERP_i)*Q358*Ramure*Pc/MaxiM</f>
        <v>6.900493791968264E-5</v>
      </c>
      <c r="Q358" s="305">
        <f t="shared" si="139"/>
        <v>0.5</v>
      </c>
      <c r="R358" s="177">
        <f t="shared" si="140"/>
        <v>0.49728367510395888</v>
      </c>
      <c r="S358" s="811">
        <f t="shared" si="158"/>
        <v>-2</v>
      </c>
      <c r="T358" s="176">
        <f t="shared" si="141"/>
        <v>4</v>
      </c>
      <c r="U358" s="251">
        <f t="shared" si="142"/>
        <v>-1.5027163248960411</v>
      </c>
      <c r="V358" s="383">
        <f t="shared" si="143"/>
        <v>24.665880059235565</v>
      </c>
      <c r="W358" s="58"/>
      <c r="X358" s="157">
        <f t="shared" si="144"/>
        <v>43444</v>
      </c>
      <c r="Y358" s="385">
        <f t="shared" si="145"/>
        <v>10.683</v>
      </c>
      <c r="Z358" s="385">
        <f t="shared" si="146"/>
        <v>10.726375540652167</v>
      </c>
      <c r="AA358" s="386">
        <f t="shared" si="147"/>
        <v>10.844719208705385</v>
      </c>
      <c r="AB358" s="197">
        <f t="shared" si="148"/>
        <v>43444</v>
      </c>
      <c r="AC358" s="426">
        <f t="shared" si="149"/>
        <v>1.0912561752472063E-2</v>
      </c>
      <c r="AD358" s="169">
        <f>(INDEX(Models!$BJ358:$BT358,,AH358)*(1-AF358)+INDEX(Models!$BJ358:$BT358,,AH358+1)*AF358-ERP_i)*AE358*Ramure*Pc/MaxiM</f>
        <v>6.900493791968264E-5</v>
      </c>
      <c r="AE358" s="305">
        <f t="shared" si="150"/>
        <v>0.5</v>
      </c>
      <c r="AF358" s="177">
        <f t="shared" si="151"/>
        <v>0.49728367510395888</v>
      </c>
      <c r="AG358" s="811">
        <f t="shared" si="152"/>
        <v>-2</v>
      </c>
      <c r="AH358" s="176">
        <f t="shared" si="153"/>
        <v>4</v>
      </c>
      <c r="AI358" s="225">
        <f t="shared" si="154"/>
        <v>-1.5027163248960411</v>
      </c>
      <c r="AJ358" s="265" t="b">
        <f t="shared" si="155"/>
        <v>0</v>
      </c>
      <c r="AK358" s="265" t="b">
        <f t="shared" si="156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7"/>
        <v>43445</v>
      </c>
      <c r="B359" s="617">
        <v>17.986000000000001</v>
      </c>
      <c r="C359" s="390"/>
      <c r="D359" s="393">
        <f t="shared" si="134"/>
        <v>18.059423018850648</v>
      </c>
      <c r="E359" s="385">
        <f t="shared" si="131"/>
        <v>18.259629711978757</v>
      </c>
      <c r="F359" s="385">
        <f t="shared" si="159"/>
        <v>18.260406248134906</v>
      </c>
      <c r="G359" s="110">
        <f t="shared" si="132"/>
        <v>0.73204166268344129</v>
      </c>
      <c r="I359" s="380">
        <f t="shared" si="135"/>
        <v>18.260406248134906</v>
      </c>
      <c r="J359" s="85">
        <v>2018</v>
      </c>
      <c r="K359" s="197">
        <f t="shared" si="136"/>
        <v>43445</v>
      </c>
      <c r="L359" s="437">
        <f t="shared" si="137"/>
        <v>4.0656348087093619E-3</v>
      </c>
      <c r="M359" s="856"/>
      <c r="N359" s="856"/>
      <c r="O359" s="324">
        <f t="shared" si="138"/>
        <v>1.0964444311637397E-2</v>
      </c>
      <c r="P359" s="169">
        <f>(INDEX(Models!$BJ359:$BT359,,T359)*(1-R359)+INDEX(Models!$BJ359:$BT359,,T359+1)*R359-ERP_i)*Q359*Ramure*Pc/MaxiM</f>
        <v>6.889762488568107E-5</v>
      </c>
      <c r="Q359" s="305">
        <f t="shared" si="139"/>
        <v>0.5</v>
      </c>
      <c r="R359" s="177">
        <f t="shared" si="140"/>
        <v>0.4972945902486503</v>
      </c>
      <c r="S359" s="811">
        <f t="shared" si="158"/>
        <v>-2</v>
      </c>
      <c r="T359" s="176">
        <f t="shared" si="141"/>
        <v>4</v>
      </c>
      <c r="U359" s="251">
        <f t="shared" si="142"/>
        <v>-1.5027054097513497</v>
      </c>
      <c r="V359" s="383">
        <f t="shared" si="143"/>
        <v>24.568991863197891</v>
      </c>
      <c r="W359" s="58"/>
      <c r="X359" s="157">
        <f t="shared" si="144"/>
        <v>43445</v>
      </c>
      <c r="Y359" s="385">
        <f t="shared" si="145"/>
        <v>17.986000000000001</v>
      </c>
      <c r="Z359" s="385">
        <f t="shared" si="146"/>
        <v>18.059423018850648</v>
      </c>
      <c r="AA359" s="386">
        <f t="shared" si="147"/>
        <v>18.259629711978757</v>
      </c>
      <c r="AB359" s="197">
        <f t="shared" si="148"/>
        <v>43445</v>
      </c>
      <c r="AC359" s="426">
        <f t="shared" si="149"/>
        <v>1.0964444311637397E-2</v>
      </c>
      <c r="AD359" s="169">
        <f>(INDEX(Models!$BJ359:$BT359,,AH359)*(1-AF359)+INDEX(Models!$BJ359:$BT359,,AH359+1)*AF359-ERP_i)*AE359*Ramure*Pc/MaxiM</f>
        <v>6.889762488568107E-5</v>
      </c>
      <c r="AE359" s="305">
        <f t="shared" si="150"/>
        <v>0.5</v>
      </c>
      <c r="AF359" s="177">
        <f t="shared" si="151"/>
        <v>0.4972945902486503</v>
      </c>
      <c r="AG359" s="811">
        <f t="shared" si="152"/>
        <v>-2</v>
      </c>
      <c r="AH359" s="176">
        <f t="shared" si="153"/>
        <v>4</v>
      </c>
      <c r="AI359" s="225">
        <f t="shared" si="154"/>
        <v>-1.5027054097513497</v>
      </c>
      <c r="AJ359" s="265" t="b">
        <f t="shared" si="155"/>
        <v>0</v>
      </c>
      <c r="AK359" s="265" t="b">
        <f t="shared" si="156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7"/>
        <v>43446</v>
      </c>
      <c r="B360" s="617">
        <v>3.1920000000000002</v>
      </c>
      <c r="C360" s="390"/>
      <c r="D360" s="393">
        <f t="shared" si="134"/>
        <v>3.2051006834273199</v>
      </c>
      <c r="E360" s="385">
        <f t="shared" si="131"/>
        <v>3.2408026777781007</v>
      </c>
      <c r="F360" s="385">
        <f t="shared" si="159"/>
        <v>3.2408026777781007</v>
      </c>
      <c r="G360" s="110">
        <f t="shared" si="132"/>
        <v>0.13036974122849559</v>
      </c>
      <c r="I360" s="380">
        <f t="shared" si="135"/>
        <v>3.2408026777781007</v>
      </c>
      <c r="J360" s="85">
        <v>2018</v>
      </c>
      <c r="K360" s="197">
        <f t="shared" si="136"/>
        <v>43446</v>
      </c>
      <c r="L360" s="437">
        <f t="shared" si="137"/>
        <v>4.087448327305232E-3</v>
      </c>
      <c r="M360" s="856"/>
      <c r="N360" s="856"/>
      <c r="O360" s="324">
        <f t="shared" si="138"/>
        <v>1.1016404854138762E-2</v>
      </c>
      <c r="P360" s="169">
        <f>(INDEX(Models!$BJ360:$BT360,,T360)*(1-R360)+INDEX(Models!$BJ360:$BT360,,T360+1)*R360-ERP_i)*Q360*Ramure*Pc/MaxiM</f>
        <v>6.8717327367116135E-5</v>
      </c>
      <c r="Q360" s="305">
        <f t="shared" si="139"/>
        <v>0.5</v>
      </c>
      <c r="R360" s="177">
        <f t="shared" si="140"/>
        <v>0.49730506636556493</v>
      </c>
      <c r="S360" s="811">
        <f t="shared" si="158"/>
        <v>-2</v>
      </c>
      <c r="T360" s="176">
        <f t="shared" si="141"/>
        <v>4</v>
      </c>
      <c r="U360" s="251">
        <f t="shared" si="142"/>
        <v>-1.5026949336344351</v>
      </c>
      <c r="V360" s="383">
        <f t="shared" si="143"/>
        <v>24.482526575679049</v>
      </c>
      <c r="W360" s="58"/>
      <c r="X360" s="157">
        <f t="shared" si="144"/>
        <v>43446</v>
      </c>
      <c r="Y360" s="385">
        <f t="shared" si="145"/>
        <v>3.1920000000000002</v>
      </c>
      <c r="Z360" s="385">
        <f t="shared" si="146"/>
        <v>3.2051006834273199</v>
      </c>
      <c r="AA360" s="386">
        <f t="shared" si="147"/>
        <v>3.2408026777781007</v>
      </c>
      <c r="AB360" s="197">
        <f t="shared" si="148"/>
        <v>43446</v>
      </c>
      <c r="AC360" s="426">
        <f t="shared" si="149"/>
        <v>1.1016404854138762E-2</v>
      </c>
      <c r="AD360" s="169">
        <f>(INDEX(Models!$BJ360:$BT360,,AH360)*(1-AF360)+INDEX(Models!$BJ360:$BT360,,AH360+1)*AF360-ERP_i)*AE360*Ramure*Pc/MaxiM</f>
        <v>6.8717327367116135E-5</v>
      </c>
      <c r="AE360" s="305">
        <f t="shared" si="150"/>
        <v>0.5</v>
      </c>
      <c r="AF360" s="177">
        <f t="shared" si="151"/>
        <v>0.49730506636556493</v>
      </c>
      <c r="AG360" s="811">
        <f t="shared" si="152"/>
        <v>-2</v>
      </c>
      <c r="AH360" s="176">
        <f t="shared" si="153"/>
        <v>4</v>
      </c>
      <c r="AI360" s="225">
        <f t="shared" si="154"/>
        <v>-1.5026949336344351</v>
      </c>
      <c r="AJ360" s="265" t="b">
        <f t="shared" si="155"/>
        <v>0</v>
      </c>
      <c r="AK360" s="265" t="b">
        <f t="shared" si="156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7"/>
        <v>43447</v>
      </c>
      <c r="B361" s="617">
        <v>2.0299999999999998</v>
      </c>
      <c r="C361" s="390"/>
      <c r="D361" s="393">
        <f t="shared" si="134"/>
        <v>2.0383762206572595</v>
      </c>
      <c r="E361" s="385">
        <f t="shared" ref="E361:E379" si="160">Wh_pvt/(1-Psa)</f>
        <v>2.0611903807285468</v>
      </c>
      <c r="F361" s="385">
        <f t="shared" si="159"/>
        <v>2.0611903807285468</v>
      </c>
      <c r="G361" s="110">
        <f t="shared" ref="G361:G379" si="161">+Wh_hp/MaxiM</f>
        <v>8.3168057287724959E-2</v>
      </c>
      <c r="I361" s="380">
        <f t="shared" si="135"/>
        <v>2.0611903807285468</v>
      </c>
      <c r="J361" s="85">
        <v>2018</v>
      </c>
      <c r="K361" s="197">
        <f t="shared" si="136"/>
        <v>43447</v>
      </c>
      <c r="L361" s="437">
        <f t="shared" si="137"/>
        <v>4.109261368129058E-3</v>
      </c>
      <c r="M361" s="856"/>
      <c r="N361" s="856"/>
      <c r="O361" s="324">
        <f t="shared" si="138"/>
        <v>1.1068439036292864E-2</v>
      </c>
      <c r="P361" s="169">
        <f>(INDEX(Models!$BJ361:$BT361,,T361)*(1-R361)+INDEX(Models!$BJ361:$BT361,,T361+1)*R361-ERP_i)*Q361*Ramure*Pc/MaxiM</f>
        <v>6.8554123409561766E-5</v>
      </c>
      <c r="Q361" s="305">
        <f t="shared" si="139"/>
        <v>0.5</v>
      </c>
      <c r="R361" s="177">
        <f t="shared" si="140"/>
        <v>0.49731512109594078</v>
      </c>
      <c r="S361" s="811">
        <f t="shared" si="158"/>
        <v>-2</v>
      </c>
      <c r="T361" s="176">
        <f t="shared" si="141"/>
        <v>4</v>
      </c>
      <c r="U361" s="251">
        <f t="shared" si="142"/>
        <v>-1.5026848789040592</v>
      </c>
      <c r="V361" s="383">
        <f t="shared" si="143"/>
        <v>24.406736207713156</v>
      </c>
      <c r="W361" s="58"/>
      <c r="X361" s="157">
        <f t="shared" si="144"/>
        <v>43447</v>
      </c>
      <c r="Y361" s="385">
        <f t="shared" si="145"/>
        <v>2.0299999999999998</v>
      </c>
      <c r="Z361" s="385">
        <f t="shared" si="146"/>
        <v>2.0383762206572595</v>
      </c>
      <c r="AA361" s="386">
        <f t="shared" si="147"/>
        <v>2.0611903807285468</v>
      </c>
      <c r="AB361" s="197">
        <f t="shared" si="148"/>
        <v>43447</v>
      </c>
      <c r="AC361" s="426">
        <f t="shared" si="149"/>
        <v>1.1068439036292864E-2</v>
      </c>
      <c r="AD361" s="169">
        <f>(INDEX(Models!$BJ361:$BT361,,AH361)*(1-AF361)+INDEX(Models!$BJ361:$BT361,,AH361+1)*AF361-ERP_i)*AE361*Ramure*Pc/MaxiM</f>
        <v>6.8554123409561766E-5</v>
      </c>
      <c r="AE361" s="305">
        <f t="shared" si="150"/>
        <v>0.5</v>
      </c>
      <c r="AF361" s="177">
        <f t="shared" si="151"/>
        <v>0.49731512109594078</v>
      </c>
      <c r="AG361" s="811">
        <f t="shared" si="152"/>
        <v>-2</v>
      </c>
      <c r="AH361" s="176">
        <f t="shared" si="153"/>
        <v>4</v>
      </c>
      <c r="AI361" s="225">
        <f t="shared" si="154"/>
        <v>-1.5026848789040592</v>
      </c>
      <c r="AJ361" s="265" t="b">
        <f t="shared" si="155"/>
        <v>0</v>
      </c>
      <c r="AK361" s="265" t="b">
        <f t="shared" si="156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7"/>
        <v>43448</v>
      </c>
      <c r="B362" s="617">
        <v>2.827</v>
      </c>
      <c r="C362" s="390"/>
      <c r="D362" s="393">
        <f t="shared" si="134"/>
        <v>2.8387269910705806</v>
      </c>
      <c r="E362" s="385">
        <f t="shared" si="160"/>
        <v>2.8706501775561049</v>
      </c>
      <c r="F362" s="385">
        <f t="shared" si="159"/>
        <v>2.8706501775561049</v>
      </c>
      <c r="G362" s="110">
        <f t="shared" si="161"/>
        <v>0.11612937045636572</v>
      </c>
      <c r="I362" s="380">
        <f t="shared" si="135"/>
        <v>2.8706501775561049</v>
      </c>
      <c r="J362" s="85">
        <v>2018</v>
      </c>
      <c r="K362" s="197">
        <f t="shared" si="136"/>
        <v>43448</v>
      </c>
      <c r="L362" s="437">
        <f t="shared" si="137"/>
        <v>4.1310739311912759E-3</v>
      </c>
      <c r="M362" s="856"/>
      <c r="N362" s="856"/>
      <c r="O362" s="324">
        <f t="shared" si="138"/>
        <v>1.1120542215527544E-2</v>
      </c>
      <c r="P362" s="169">
        <f>(INDEX(Models!$BJ362:$BT362,,T362)*(1-R362)+INDEX(Models!$BJ362:$BT362,,T362+1)*R362-ERP_i)*Q362*Ramure*Pc/MaxiM</f>
        <v>6.840691017854795E-5</v>
      </c>
      <c r="Q362" s="305">
        <f t="shared" si="139"/>
        <v>0.5</v>
      </c>
      <c r="R362" s="177">
        <f t="shared" si="140"/>
        <v>0.49732477137351028</v>
      </c>
      <c r="S362" s="811">
        <f t="shared" si="158"/>
        <v>-2</v>
      </c>
      <c r="T362" s="176">
        <f t="shared" si="141"/>
        <v>4</v>
      </c>
      <c r="U362" s="251">
        <f t="shared" si="142"/>
        <v>-1.5026752286264897</v>
      </c>
      <c r="V362" s="383">
        <f t="shared" si="143"/>
        <v>24.341874949947012</v>
      </c>
      <c r="W362" s="58"/>
      <c r="X362" s="157">
        <f t="shared" si="144"/>
        <v>43448</v>
      </c>
      <c r="Y362" s="385">
        <f t="shared" si="145"/>
        <v>2.827</v>
      </c>
      <c r="Z362" s="385">
        <f t="shared" si="146"/>
        <v>2.8387269910705806</v>
      </c>
      <c r="AA362" s="386">
        <f t="shared" si="147"/>
        <v>2.8706501775561049</v>
      </c>
      <c r="AB362" s="197">
        <f t="shared" si="148"/>
        <v>43448</v>
      </c>
      <c r="AC362" s="426">
        <f t="shared" si="149"/>
        <v>1.1120542215527544E-2</v>
      </c>
      <c r="AD362" s="169">
        <f>(INDEX(Models!$BJ362:$BT362,,AH362)*(1-AF362)+INDEX(Models!$BJ362:$BT362,,AH362+1)*AF362-ERP_i)*AE362*Ramure*Pc/MaxiM</f>
        <v>6.840691017854795E-5</v>
      </c>
      <c r="AE362" s="305">
        <f t="shared" si="150"/>
        <v>0.5</v>
      </c>
      <c r="AF362" s="177">
        <f t="shared" si="151"/>
        <v>0.49732477137351028</v>
      </c>
      <c r="AG362" s="811">
        <f t="shared" si="152"/>
        <v>-2</v>
      </c>
      <c r="AH362" s="176">
        <f t="shared" si="153"/>
        <v>4</v>
      </c>
      <c r="AI362" s="225">
        <f t="shared" si="154"/>
        <v>-1.5026752286264897</v>
      </c>
      <c r="AJ362" s="265" t="b">
        <f t="shared" si="155"/>
        <v>0</v>
      </c>
      <c r="AK362" s="265" t="b">
        <f t="shared" si="156"/>
        <v>0</v>
      </c>
      <c r="AL362" s="265"/>
      <c r="AM362" s="265"/>
      <c r="AN362" s="75"/>
    </row>
    <row r="363" spans="1:40" s="6" customFormat="1" ht="11.25" x14ac:dyDescent="0.2">
      <c r="A363" s="56">
        <f t="shared" si="157"/>
        <v>43449</v>
      </c>
      <c r="B363" s="617">
        <v>5.9669999999999996</v>
      </c>
      <c r="C363" s="390"/>
      <c r="D363" s="393">
        <f t="shared" si="134"/>
        <v>5.9918836096550461</v>
      </c>
      <c r="E363" s="385">
        <f t="shared" si="160"/>
        <v>6.059585599201899</v>
      </c>
      <c r="F363" s="385">
        <f t="shared" si="159"/>
        <v>6.059585599201899</v>
      </c>
      <c r="G363" s="110">
        <f t="shared" si="161"/>
        <v>0.24565811236590207</v>
      </c>
      <c r="I363" s="380">
        <f t="shared" si="135"/>
        <v>6.059585599201899</v>
      </c>
      <c r="J363" s="85">
        <v>2018</v>
      </c>
      <c r="K363" s="197">
        <f t="shared" si="136"/>
        <v>43449</v>
      </c>
      <c r="L363" s="437">
        <f t="shared" si="137"/>
        <v>4.1528860165024328E-3</v>
      </c>
      <c r="M363" s="856"/>
      <c r="N363" s="856"/>
      <c r="O363" s="324">
        <f t="shared" si="138"/>
        <v>1.1172709492835699E-2</v>
      </c>
      <c r="P363" s="169">
        <f>(INDEX(Models!$BJ363:$BT363,,T363)*(1-R363)+INDEX(Models!$BJ363:$BT363,,T363+1)*R363-ERP_i)*Q363*Ramure*Pc/MaxiM</f>
        <v>6.8274566339495717E-5</v>
      </c>
      <c r="Q363" s="305">
        <f t="shared" si="139"/>
        <v>0.5</v>
      </c>
      <c r="R363" s="177">
        <f t="shared" si="140"/>
        <v>0.49733403345276672</v>
      </c>
      <c r="S363" s="811">
        <f t="shared" si="158"/>
        <v>-2</v>
      </c>
      <c r="T363" s="176">
        <f t="shared" si="141"/>
        <v>4</v>
      </c>
      <c r="U363" s="251">
        <f t="shared" si="142"/>
        <v>-1.5026659665472333</v>
      </c>
      <c r="V363" s="383">
        <f t="shared" si="143"/>
        <v>24.288196909921499</v>
      </c>
      <c r="W363" s="58"/>
      <c r="X363" s="157">
        <f t="shared" si="144"/>
        <v>43449</v>
      </c>
      <c r="Y363" s="385">
        <f t="shared" si="145"/>
        <v>5.9669999999999996</v>
      </c>
      <c r="Z363" s="385">
        <f t="shared" si="146"/>
        <v>5.9918836096550461</v>
      </c>
      <c r="AA363" s="386">
        <f t="shared" si="147"/>
        <v>6.059585599201899</v>
      </c>
      <c r="AB363" s="197">
        <f t="shared" si="148"/>
        <v>43449</v>
      </c>
      <c r="AC363" s="426">
        <f t="shared" si="149"/>
        <v>1.1172709492835699E-2</v>
      </c>
      <c r="AD363" s="169">
        <f>(INDEX(Models!$BJ363:$BT363,,AH363)*(1-AF363)+INDEX(Models!$BJ363:$BT363,,AH363+1)*AF363-ERP_i)*AE363*Ramure*Pc/MaxiM</f>
        <v>6.8274566339495717E-5</v>
      </c>
      <c r="AE363" s="305">
        <f t="shared" si="150"/>
        <v>0.5</v>
      </c>
      <c r="AF363" s="177">
        <f t="shared" si="151"/>
        <v>0.49733403345276672</v>
      </c>
      <c r="AG363" s="811">
        <f t="shared" si="152"/>
        <v>-2</v>
      </c>
      <c r="AH363" s="176">
        <f t="shared" si="153"/>
        <v>4</v>
      </c>
      <c r="AI363" s="225">
        <f t="shared" si="154"/>
        <v>-1.5026659665472333</v>
      </c>
      <c r="AJ363" s="265" t="b">
        <f t="shared" si="155"/>
        <v>0</v>
      </c>
      <c r="AK363" s="265" t="b">
        <f t="shared" si="156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7"/>
        <v>43450</v>
      </c>
      <c r="B364" s="617">
        <v>3.55</v>
      </c>
      <c r="C364" s="390"/>
      <c r="D364" s="393">
        <f t="shared" si="134"/>
        <v>3.5648823056916701</v>
      </c>
      <c r="E364" s="385">
        <f t="shared" si="160"/>
        <v>3.6053521519750698</v>
      </c>
      <c r="F364" s="385">
        <f t="shared" si="159"/>
        <v>3.6053521519750698</v>
      </c>
      <c r="G364" s="110">
        <f t="shared" si="161"/>
        <v>0.14640618947077239</v>
      </c>
      <c r="I364" s="380">
        <f t="shared" si="135"/>
        <v>3.6053521519750698</v>
      </c>
      <c r="J364" s="85">
        <v>2018</v>
      </c>
      <c r="K364" s="197">
        <f t="shared" si="136"/>
        <v>43450</v>
      </c>
      <c r="L364" s="437">
        <f t="shared" si="137"/>
        <v>4.1746976240728539E-3</v>
      </c>
      <c r="M364" s="856"/>
      <c r="N364" s="856"/>
      <c r="O364" s="324">
        <f t="shared" si="138"/>
        <v>1.1224935755923217E-2</v>
      </c>
      <c r="P364" s="169">
        <f>(INDEX(Models!$BJ364:$BT364,,T364)*(1-R364)+INDEX(Models!$BJ364:$BT364,,T364+1)*R364-ERP_i)*Q364*Ramure*Pc/MaxiM</f>
        <v>6.8155957057918363E-5</v>
      </c>
      <c r="Q364" s="305">
        <f t="shared" si="139"/>
        <v>0.5</v>
      </c>
      <c r="R364" s="177">
        <f t="shared" si="140"/>
        <v>0.49734292293611193</v>
      </c>
      <c r="S364" s="811">
        <f t="shared" si="158"/>
        <v>-2</v>
      </c>
      <c r="T364" s="176">
        <f t="shared" si="141"/>
        <v>4</v>
      </c>
      <c r="U364" s="251">
        <f t="shared" si="142"/>
        <v>-1.5026570770638881</v>
      </c>
      <c r="V364" s="383">
        <f t="shared" si="143"/>
        <v>24.245956125106964</v>
      </c>
      <c r="W364" s="58"/>
      <c r="X364" s="157">
        <f t="shared" si="144"/>
        <v>43450</v>
      </c>
      <c r="Y364" s="385">
        <f t="shared" si="145"/>
        <v>3.55</v>
      </c>
      <c r="Z364" s="385">
        <f t="shared" si="146"/>
        <v>3.5648823056916701</v>
      </c>
      <c r="AA364" s="386">
        <f t="shared" si="147"/>
        <v>3.6053521519750698</v>
      </c>
      <c r="AB364" s="197">
        <f t="shared" si="148"/>
        <v>43450</v>
      </c>
      <c r="AC364" s="426">
        <f t="shared" si="149"/>
        <v>1.1224935755923217E-2</v>
      </c>
      <c r="AD364" s="169">
        <f>(INDEX(Models!$BJ364:$BT364,,AH364)*(1-AF364)+INDEX(Models!$BJ364:$BT364,,AH364+1)*AF364-ERP_i)*AE364*Ramure*Pc/MaxiM</f>
        <v>6.8155957057918363E-5</v>
      </c>
      <c r="AE364" s="305">
        <f t="shared" si="150"/>
        <v>0.5</v>
      </c>
      <c r="AF364" s="177">
        <f t="shared" si="151"/>
        <v>0.49734292293611193</v>
      </c>
      <c r="AG364" s="811">
        <f t="shared" si="152"/>
        <v>-2</v>
      </c>
      <c r="AH364" s="176">
        <f t="shared" si="153"/>
        <v>4</v>
      </c>
      <c r="AI364" s="225">
        <f t="shared" si="154"/>
        <v>-1.5026570770638881</v>
      </c>
      <c r="AJ364" s="265" t="b">
        <f t="shared" si="155"/>
        <v>0</v>
      </c>
      <c r="AK364" s="265" t="b">
        <f t="shared" si="156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7"/>
        <v>43451</v>
      </c>
      <c r="B365" s="617">
        <v>20.042000000000002</v>
      </c>
      <c r="C365" s="390"/>
      <c r="D365" s="393">
        <f t="shared" si="134"/>
        <v>20.126460869222988</v>
      </c>
      <c r="E365" s="385">
        <f t="shared" si="160"/>
        <v>20.356020099136281</v>
      </c>
      <c r="F365" s="385">
        <f t="shared" si="159"/>
        <v>20.357064325924458</v>
      </c>
      <c r="G365" s="110">
        <f t="shared" si="161"/>
        <v>0.82764103708543535</v>
      </c>
      <c r="I365" s="380">
        <f t="shared" si="135"/>
        <v>20.357064325924458</v>
      </c>
      <c r="J365" s="85">
        <v>2018</v>
      </c>
      <c r="K365" s="197">
        <f t="shared" si="136"/>
        <v>43451</v>
      </c>
      <c r="L365" s="437">
        <f t="shared" si="137"/>
        <v>4.1965087539131973E-3</v>
      </c>
      <c r="M365" s="856"/>
      <c r="N365" s="856"/>
      <c r="O365" s="324">
        <f t="shared" si="138"/>
        <v>1.1277215722686043E-2</v>
      </c>
      <c r="P365" s="169">
        <f>(INDEX(Models!$BJ365:$BT365,,T365)*(1-R365)+INDEX(Models!$BJ365:$BT365,,T365+1)*R365-ERP_i)*Q365*Ramure*Pc/MaxiM</f>
        <v>6.8049939267859804E-5</v>
      </c>
      <c r="Q365" s="305">
        <f t="shared" si="139"/>
        <v>0.5</v>
      </c>
      <c r="R365" s="177">
        <f t="shared" si="140"/>
        <v>0.49735145479992449</v>
      </c>
      <c r="S365" s="811">
        <f t="shared" si="158"/>
        <v>-2</v>
      </c>
      <c r="T365" s="176">
        <f t="shared" si="141"/>
        <v>4</v>
      </c>
      <c r="U365" s="251">
        <f t="shared" si="142"/>
        <v>-1.5026485452000755</v>
      </c>
      <c r="V365" s="383">
        <f t="shared" si="143"/>
        <v>24.215406550960445</v>
      </c>
      <c r="W365" s="58"/>
      <c r="X365" s="157">
        <f t="shared" si="144"/>
        <v>43451</v>
      </c>
      <c r="Y365" s="385">
        <f t="shared" si="145"/>
        <v>20.042000000000002</v>
      </c>
      <c r="Z365" s="385">
        <f t="shared" si="146"/>
        <v>20.126460869222988</v>
      </c>
      <c r="AA365" s="386">
        <f t="shared" si="147"/>
        <v>20.356020099136281</v>
      </c>
      <c r="AB365" s="197">
        <f t="shared" si="148"/>
        <v>43451</v>
      </c>
      <c r="AC365" s="426">
        <f t="shared" si="149"/>
        <v>1.1277215722686043E-2</v>
      </c>
      <c r="AD365" s="169">
        <f>(INDEX(Models!$BJ365:$BT365,,AH365)*(1-AF365)+INDEX(Models!$BJ365:$BT365,,AH365+1)*AF365-ERP_i)*AE365*Ramure*Pc/MaxiM</f>
        <v>6.8049939267859804E-5</v>
      </c>
      <c r="AE365" s="305">
        <f t="shared" si="150"/>
        <v>0.5</v>
      </c>
      <c r="AF365" s="177">
        <f t="shared" si="151"/>
        <v>0.49735145479992449</v>
      </c>
      <c r="AG365" s="811">
        <f t="shared" si="152"/>
        <v>-2</v>
      </c>
      <c r="AH365" s="176">
        <f t="shared" si="153"/>
        <v>4</v>
      </c>
      <c r="AI365" s="225">
        <f t="shared" si="154"/>
        <v>-1.5026485452000755</v>
      </c>
      <c r="AJ365" s="265" t="b">
        <f t="shared" si="155"/>
        <v>0</v>
      </c>
      <c r="AK365" s="265" t="b">
        <f t="shared" si="156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7"/>
        <v>43452</v>
      </c>
      <c r="B366" s="617">
        <v>13.018000000000001</v>
      </c>
      <c r="C366" s="390"/>
      <c r="D366" s="393">
        <f t="shared" si="134"/>
        <v>13.073146708458216</v>
      </c>
      <c r="E366" s="385">
        <f t="shared" si="160"/>
        <v>13.222956778891833</v>
      </c>
      <c r="F366" s="385">
        <f t="shared" si="159"/>
        <v>13.223262328239587</v>
      </c>
      <c r="G366" s="110">
        <f t="shared" si="161"/>
        <v>0.53798085041123078</v>
      </c>
      <c r="I366" s="380">
        <f t="shared" si="135"/>
        <v>13.223262328239587</v>
      </c>
      <c r="J366" s="85">
        <v>2018</v>
      </c>
      <c r="K366" s="197">
        <f t="shared" si="136"/>
        <v>43452</v>
      </c>
      <c r="L366" s="437">
        <f t="shared" si="137"/>
        <v>4.2183194060337881E-3</v>
      </c>
      <c r="M366" s="856"/>
      <c r="N366" s="856"/>
      <c r="O366" s="324">
        <f t="shared" si="138"/>
        <v>1.1329543984652664E-2</v>
      </c>
      <c r="P366" s="169">
        <f>(INDEX(Models!$BJ366:$BT366,,T366)*(1-R366)+INDEX(Models!$BJ366:$BT366,,T366+1)*R366-ERP_i)*Q366*Ramure*Pc/MaxiM</f>
        <v>6.7960214176250689E-5</v>
      </c>
      <c r="Q366" s="305">
        <f t="shared" si="139"/>
        <v>0.5</v>
      </c>
      <c r="R366" s="177">
        <f t="shared" si="140"/>
        <v>0.49735964341959371</v>
      </c>
      <c r="S366" s="811">
        <f t="shared" si="158"/>
        <v>-2</v>
      </c>
      <c r="T366" s="176">
        <f t="shared" si="141"/>
        <v>4</v>
      </c>
      <c r="U366" s="251">
        <f t="shared" si="142"/>
        <v>-1.5026403565804063</v>
      </c>
      <c r="V366" s="383">
        <f t="shared" si="143"/>
        <v>24.196801943505953</v>
      </c>
      <c r="W366" s="58"/>
      <c r="X366" s="157">
        <f t="shared" si="144"/>
        <v>43452</v>
      </c>
      <c r="Y366" s="385">
        <f t="shared" si="145"/>
        <v>13.018000000000001</v>
      </c>
      <c r="Z366" s="385">
        <f t="shared" si="146"/>
        <v>13.073146708458216</v>
      </c>
      <c r="AA366" s="386">
        <f t="shared" si="147"/>
        <v>13.222956778891833</v>
      </c>
      <c r="AB366" s="197">
        <f t="shared" si="148"/>
        <v>43452</v>
      </c>
      <c r="AC366" s="426">
        <f t="shared" si="149"/>
        <v>1.1329543984652664E-2</v>
      </c>
      <c r="AD366" s="169">
        <f>(INDEX(Models!$BJ366:$BT366,,AH366)*(1-AF366)+INDEX(Models!$BJ366:$BT366,,AH366+1)*AF366-ERP_i)*AE366*Ramure*Pc/MaxiM</f>
        <v>6.7960214176250689E-5</v>
      </c>
      <c r="AE366" s="305">
        <f t="shared" si="150"/>
        <v>0.5</v>
      </c>
      <c r="AF366" s="177">
        <f t="shared" si="151"/>
        <v>0.49735964341959371</v>
      </c>
      <c r="AG366" s="811">
        <f t="shared" si="152"/>
        <v>-2</v>
      </c>
      <c r="AH366" s="176">
        <f t="shared" si="153"/>
        <v>4</v>
      </c>
      <c r="AI366" s="225">
        <f t="shared" si="154"/>
        <v>-1.5026403565804063</v>
      </c>
      <c r="AJ366" s="265" t="b">
        <f t="shared" si="155"/>
        <v>0</v>
      </c>
      <c r="AK366" s="265" t="b">
        <f t="shared" si="156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7"/>
        <v>43453</v>
      </c>
      <c r="B367" s="617">
        <v>23.027999999999999</v>
      </c>
      <c r="C367" s="390"/>
      <c r="D367" s="393">
        <f t="shared" si="134"/>
        <v>23.126057480401723</v>
      </c>
      <c r="E367" s="385">
        <f t="shared" si="160"/>
        <v>23.392306728408769</v>
      </c>
      <c r="F367" s="385">
        <f t="shared" si="159"/>
        <v>23.39378515963071</v>
      </c>
      <c r="G367" s="110">
        <f t="shared" si="161"/>
        <v>0.95194357032253518</v>
      </c>
      <c r="I367" s="380">
        <f t="shared" si="135"/>
        <v>23.39378515963071</v>
      </c>
      <c r="J367" s="85">
        <v>2018</v>
      </c>
      <c r="K367" s="197">
        <f t="shared" si="136"/>
        <v>43453</v>
      </c>
      <c r="L367" s="437">
        <f t="shared" si="137"/>
        <v>4.2401295804450623E-3</v>
      </c>
      <c r="M367" s="856"/>
      <c r="N367" s="856"/>
      <c r="O367" s="324">
        <f t="shared" si="138"/>
        <v>1.1381915050032275E-2</v>
      </c>
      <c r="P367" s="169">
        <f>(INDEX(Models!$BJ367:$BT367,,T367)*(1-R367)+INDEX(Models!$BJ367:$BT367,,T367+1)*R367-ERP_i)*Q367*Ramure*Pc/MaxiM</f>
        <v>6.7855602000448169E-5</v>
      </c>
      <c r="Q367" s="305">
        <f t="shared" si="139"/>
        <v>0.5</v>
      </c>
      <c r="R367" s="177">
        <f t="shared" si="140"/>
        <v>0.49736750259355977</v>
      </c>
      <c r="S367" s="811">
        <f t="shared" si="158"/>
        <v>-2</v>
      </c>
      <c r="T367" s="176">
        <f t="shared" si="141"/>
        <v>4</v>
      </c>
      <c r="U367" s="251">
        <f t="shared" si="142"/>
        <v>-1.5026324974064402</v>
      </c>
      <c r="V367" s="383">
        <f t="shared" si="143"/>
        <v>24.190396833176859</v>
      </c>
      <c r="W367" s="58"/>
      <c r="X367" s="157">
        <f t="shared" si="144"/>
        <v>43453</v>
      </c>
      <c r="Y367" s="385">
        <f t="shared" si="145"/>
        <v>23.027999999999999</v>
      </c>
      <c r="Z367" s="385">
        <f t="shared" si="146"/>
        <v>23.126057480401723</v>
      </c>
      <c r="AA367" s="386">
        <f t="shared" si="147"/>
        <v>23.392306728408769</v>
      </c>
      <c r="AB367" s="197">
        <f t="shared" si="148"/>
        <v>43453</v>
      </c>
      <c r="AC367" s="426">
        <f t="shared" si="149"/>
        <v>1.1381915050032275E-2</v>
      </c>
      <c r="AD367" s="169">
        <f>(INDEX(Models!$BJ367:$BT367,,AH367)*(1-AF367)+INDEX(Models!$BJ367:$BT367,,AH367+1)*AF367-ERP_i)*AE367*Ramure*Pc/MaxiM</f>
        <v>6.7855602000448169E-5</v>
      </c>
      <c r="AE367" s="305">
        <f t="shared" si="150"/>
        <v>0.5</v>
      </c>
      <c r="AF367" s="177">
        <f t="shared" si="151"/>
        <v>0.49736750259355977</v>
      </c>
      <c r="AG367" s="811">
        <f t="shared" si="152"/>
        <v>-2</v>
      </c>
      <c r="AH367" s="176">
        <f t="shared" si="153"/>
        <v>4</v>
      </c>
      <c r="AI367" s="225">
        <f t="shared" si="154"/>
        <v>-1.5026324974064402</v>
      </c>
      <c r="AJ367" s="265" t="b">
        <f t="shared" si="155"/>
        <v>0</v>
      </c>
      <c r="AK367" s="265" t="b">
        <f t="shared" si="156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7"/>
        <v>43454</v>
      </c>
      <c r="B368" s="617">
        <v>13.725</v>
      </c>
      <c r="C368" s="390"/>
      <c r="D368" s="393">
        <f t="shared" si="134"/>
        <v>13.783745486274297</v>
      </c>
      <c r="E368" s="385">
        <f t="shared" si="160"/>
        <v>13.943176272805799</v>
      </c>
      <c r="F368" s="385">
        <f t="shared" si="159"/>
        <v>13.943536832461973</v>
      </c>
      <c r="G368" s="110">
        <f t="shared" si="161"/>
        <v>0.56720833457158193</v>
      </c>
      <c r="I368" s="380">
        <f t="shared" si="135"/>
        <v>13.943536832461973</v>
      </c>
      <c r="J368" s="85">
        <v>2018</v>
      </c>
      <c r="K368" s="197">
        <f t="shared" si="136"/>
        <v>43454</v>
      </c>
      <c r="L368" s="437">
        <f t="shared" si="137"/>
        <v>4.2619392771576781E-3</v>
      </c>
      <c r="M368" s="856"/>
      <c r="N368" s="856"/>
      <c r="O368" s="324">
        <f t="shared" si="138"/>
        <v>1.1434323386017107E-2</v>
      </c>
      <c r="P368" s="169">
        <f>(INDEX(Models!$BJ368:$BT368,,T368)*(1-R368)+INDEX(Models!$BJ368:$BT368,,T368+1)*R368-ERP_i)*Q368*Ramure*Pc/MaxiM</f>
        <v>6.7735075035668015E-5</v>
      </c>
      <c r="Q368" s="305">
        <f t="shared" si="139"/>
        <v>0.5</v>
      </c>
      <c r="R368" s="177">
        <f t="shared" si="140"/>
        <v>0.49737504556639811</v>
      </c>
      <c r="S368" s="811">
        <f t="shared" si="158"/>
        <v>-2</v>
      </c>
      <c r="T368" s="176">
        <f t="shared" si="141"/>
        <v>4</v>
      </c>
      <c r="U368" s="251">
        <f t="shared" si="142"/>
        <v>-1.5026249544336019</v>
      </c>
      <c r="V368" s="383">
        <f t="shared" si="143"/>
        <v>24.196444927433912</v>
      </c>
      <c r="W368" s="58"/>
      <c r="X368" s="157">
        <f t="shared" si="144"/>
        <v>43454</v>
      </c>
      <c r="Y368" s="385">
        <f t="shared" si="145"/>
        <v>13.725</v>
      </c>
      <c r="Z368" s="385">
        <f t="shared" si="146"/>
        <v>13.783745486274297</v>
      </c>
      <c r="AA368" s="386">
        <f t="shared" si="147"/>
        <v>13.943176272805799</v>
      </c>
      <c r="AB368" s="197">
        <f t="shared" si="148"/>
        <v>43454</v>
      </c>
      <c r="AC368" s="426">
        <f t="shared" si="149"/>
        <v>1.1434323386017107E-2</v>
      </c>
      <c r="AD368" s="169">
        <f>(INDEX(Models!$BJ368:$BT368,,AH368)*(1-AF368)+INDEX(Models!$BJ368:$BT368,,AH368+1)*AF368-ERP_i)*AE368*Ramure*Pc/MaxiM</f>
        <v>6.7735075035668015E-5</v>
      </c>
      <c r="AE368" s="305">
        <f t="shared" si="150"/>
        <v>0.5</v>
      </c>
      <c r="AF368" s="177">
        <f t="shared" si="151"/>
        <v>0.49737504556639811</v>
      </c>
      <c r="AG368" s="811">
        <f t="shared" si="152"/>
        <v>-2</v>
      </c>
      <c r="AH368" s="176">
        <f t="shared" si="153"/>
        <v>4</v>
      </c>
      <c r="AI368" s="225">
        <f t="shared" si="154"/>
        <v>-1.5026249544336019</v>
      </c>
      <c r="AJ368" s="265" t="b">
        <f t="shared" si="155"/>
        <v>0</v>
      </c>
      <c r="AK368" s="265" t="b">
        <f t="shared" si="156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7"/>
        <v>43455</v>
      </c>
      <c r="B369" s="617">
        <v>8.5570000000000004</v>
      </c>
      <c r="C369" s="390"/>
      <c r="D369" s="393">
        <f t="shared" si="134"/>
        <v>8.5938137366709313</v>
      </c>
      <c r="E369" s="385">
        <f t="shared" si="160"/>
        <v>8.693675935742684</v>
      </c>
      <c r="F369" s="385">
        <f t="shared" si="159"/>
        <v>8.6937207443837767</v>
      </c>
      <c r="G369" s="110">
        <f t="shared" si="161"/>
        <v>0.35335102395049328</v>
      </c>
      <c r="I369" s="380">
        <f t="shared" si="135"/>
        <v>8.6937207443837767</v>
      </c>
      <c r="J369" s="85">
        <v>2018</v>
      </c>
      <c r="K369" s="197">
        <f t="shared" si="136"/>
        <v>43455</v>
      </c>
      <c r="L369" s="437">
        <f t="shared" si="137"/>
        <v>4.2837484961818495E-3</v>
      </c>
      <c r="M369" s="856"/>
      <c r="N369" s="856"/>
      <c r="O369" s="324">
        <f t="shared" si="138"/>
        <v>1.1486763459997985E-2</v>
      </c>
      <c r="P369" s="169">
        <f>(INDEX(Models!$BJ369:$BT369,,T369)*(1-R369)+INDEX(Models!$BJ369:$BT369,,T369+1)*R369-ERP_i)*Q369*Ramure*Pc/MaxiM</f>
        <v>6.7597678502974356E-5</v>
      </c>
      <c r="Q369" s="305">
        <f t="shared" si="139"/>
        <v>0.5</v>
      </c>
      <c r="R369" s="177">
        <f t="shared" si="140"/>
        <v>0.49738228505098503</v>
      </c>
      <c r="S369" s="811">
        <f t="shared" si="158"/>
        <v>-2</v>
      </c>
      <c r="T369" s="176">
        <f t="shared" si="141"/>
        <v>4</v>
      </c>
      <c r="U369" s="251">
        <f t="shared" si="142"/>
        <v>-1.502617714949015</v>
      </c>
      <c r="V369" s="383">
        <f t="shared" si="143"/>
        <v>24.215199866162774</v>
      </c>
      <c r="W369" s="58"/>
      <c r="X369" s="157">
        <f t="shared" si="144"/>
        <v>43455</v>
      </c>
      <c r="Y369" s="385">
        <f t="shared" si="145"/>
        <v>8.5570000000000004</v>
      </c>
      <c r="Z369" s="385">
        <f t="shared" si="146"/>
        <v>8.5938137366709313</v>
      </c>
      <c r="AA369" s="386">
        <f t="shared" si="147"/>
        <v>8.693675935742684</v>
      </c>
      <c r="AB369" s="197">
        <f t="shared" si="148"/>
        <v>43455</v>
      </c>
      <c r="AC369" s="426">
        <f t="shared" si="149"/>
        <v>1.1486763459997985E-2</v>
      </c>
      <c r="AD369" s="169">
        <f>(INDEX(Models!$BJ369:$BT369,,AH369)*(1-AF369)+INDEX(Models!$BJ369:$BT369,,AH369+1)*AF369-ERP_i)*AE369*Ramure*Pc/MaxiM</f>
        <v>6.7597678502974356E-5</v>
      </c>
      <c r="AE369" s="305">
        <f t="shared" si="150"/>
        <v>0.5</v>
      </c>
      <c r="AF369" s="177">
        <f t="shared" si="151"/>
        <v>0.49738228505098503</v>
      </c>
      <c r="AG369" s="811">
        <f t="shared" si="152"/>
        <v>-2</v>
      </c>
      <c r="AH369" s="176">
        <f t="shared" si="153"/>
        <v>4</v>
      </c>
      <c r="AI369" s="225">
        <f t="shared" si="154"/>
        <v>-1.502617714949015</v>
      </c>
      <c r="AJ369" s="265" t="b">
        <f t="shared" si="155"/>
        <v>0</v>
      </c>
      <c r="AK369" s="265" t="b">
        <f t="shared" si="156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7"/>
        <v>43456</v>
      </c>
      <c r="B370" s="617">
        <v>6.1740000000000004</v>
      </c>
      <c r="C370" s="390"/>
      <c r="D370" s="393">
        <f t="shared" si="134"/>
        <v>6.2006974578172276</v>
      </c>
      <c r="E370" s="385">
        <f t="shared" si="160"/>
        <v>6.2730840156996557</v>
      </c>
      <c r="F370" s="385">
        <f>Wh_sa/(1-Pvg*MEDIAN((-Sdif+Wh/Env_an)/Csdif,0,1))</f>
        <v>6.2730840156996557</v>
      </c>
      <c r="G370" s="110">
        <f t="shared" si="161"/>
        <v>0.25461315622268699</v>
      </c>
      <c r="I370" s="380">
        <f t="shared" si="135"/>
        <v>6.2730840156996557</v>
      </c>
      <c r="J370" s="85">
        <v>2018</v>
      </c>
      <c r="K370" s="197">
        <f t="shared" si="136"/>
        <v>43456</v>
      </c>
      <c r="L370" s="437">
        <f t="shared" si="137"/>
        <v>4.3055572375281237E-3</v>
      </c>
      <c r="M370" s="856"/>
      <c r="N370" s="856"/>
      <c r="O370" s="324">
        <f t="shared" si="138"/>
        <v>1.153922977936632E-2</v>
      </c>
      <c r="P370" s="169">
        <f>(INDEX(Models!$BJ370:$BT370,,T370)*(1-R370)+INDEX(Models!$BJ370:$BT370,,T370+1)*R370-ERP_i)*Q370*Ramure*Pc/MaxiM</f>
        <v>6.7442539386794434E-5</v>
      </c>
      <c r="Q370" s="305">
        <f t="shared" si="139"/>
        <v>0.5</v>
      </c>
      <c r="R370" s="177">
        <f t="shared" si="140"/>
        <v>0.49738923324978246</v>
      </c>
      <c r="S370" s="811">
        <f t="shared" si="158"/>
        <v>-2</v>
      </c>
      <c r="T370" s="176">
        <f t="shared" si="141"/>
        <v>4</v>
      </c>
      <c r="U370" s="251">
        <f t="shared" si="142"/>
        <v>-1.5026107667502175</v>
      </c>
      <c r="V370" s="383">
        <f t="shared" si="143"/>
        <v>24.246915207957102</v>
      </c>
      <c r="W370" s="58"/>
      <c r="X370" s="157">
        <f t="shared" si="144"/>
        <v>43456</v>
      </c>
      <c r="Y370" s="385">
        <f t="shared" si="145"/>
        <v>6.1740000000000004</v>
      </c>
      <c r="Z370" s="385">
        <f t="shared" si="146"/>
        <v>6.2006974578172276</v>
      </c>
      <c r="AA370" s="386">
        <f t="shared" si="147"/>
        <v>6.2730840156996557</v>
      </c>
      <c r="AB370" s="197">
        <f t="shared" si="148"/>
        <v>43456</v>
      </c>
      <c r="AC370" s="426">
        <f t="shared" si="149"/>
        <v>1.153922977936632E-2</v>
      </c>
      <c r="AD370" s="169">
        <f>(INDEX(Models!$BJ370:$BT370,,AH370)*(1-AF370)+INDEX(Models!$BJ370:$BT370,,AH370+1)*AF370-ERP_i)*AE370*Ramure*Pc/MaxiM</f>
        <v>6.7442539386794434E-5</v>
      </c>
      <c r="AE370" s="305">
        <f t="shared" si="150"/>
        <v>0.5</v>
      </c>
      <c r="AF370" s="177">
        <f t="shared" si="151"/>
        <v>0.49738923324978246</v>
      </c>
      <c r="AG370" s="811">
        <f t="shared" si="152"/>
        <v>-2</v>
      </c>
      <c r="AH370" s="176">
        <f t="shared" si="153"/>
        <v>4</v>
      </c>
      <c r="AI370" s="225">
        <f t="shared" si="154"/>
        <v>-1.5026107667502175</v>
      </c>
      <c r="AJ370" s="265" t="b">
        <f t="shared" si="155"/>
        <v>0</v>
      </c>
      <c r="AK370" s="265" t="b">
        <f t="shared" si="156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7"/>
        <v>43457</v>
      </c>
      <c r="B371" s="617">
        <v>5.0190000000000001</v>
      </c>
      <c r="C371" s="390"/>
      <c r="D371" s="393">
        <f t="shared" si="134"/>
        <v>5.0408134421877442</v>
      </c>
      <c r="E371" s="385">
        <f t="shared" si="160"/>
        <v>5.0999303916483587</v>
      </c>
      <c r="F371" s="385">
        <f t="shared" si="159"/>
        <v>5.0999303916483587</v>
      </c>
      <c r="G371" s="110">
        <f t="shared" si="161"/>
        <v>0.20659865471362232</v>
      </c>
      <c r="I371" s="380">
        <f t="shared" si="135"/>
        <v>5.0999303916483587</v>
      </c>
      <c r="J371" s="85">
        <v>2018</v>
      </c>
      <c r="K371" s="197">
        <f t="shared" si="136"/>
        <v>43457</v>
      </c>
      <c r="L371" s="437">
        <f t="shared" si="137"/>
        <v>4.3273655012070478E-3</v>
      </c>
      <c r="M371" s="856"/>
      <c r="N371" s="856"/>
      <c r="O371" s="324">
        <f t="shared" si="138"/>
        <v>1.1591716929592726E-2</v>
      </c>
      <c r="P371" s="169">
        <f>(INDEX(Models!$BJ371:$BT371,,T371)*(1-R371)+INDEX(Models!$BJ371:$BT371,,T371+1)*R371-ERP_i)*Q371*Ramure*Pc/MaxiM</f>
        <v>6.7268022521864833E-5</v>
      </c>
      <c r="Q371" s="305">
        <f t="shared" si="139"/>
        <v>0.5</v>
      </c>
      <c r="R371" s="177">
        <f t="shared" si="140"/>
        <v>0.49738923324978246</v>
      </c>
      <c r="S371" s="811">
        <f t="shared" si="158"/>
        <v>-2</v>
      </c>
      <c r="T371" s="176">
        <f t="shared" si="141"/>
        <v>4</v>
      </c>
      <c r="U371" s="251">
        <f t="shared" si="142"/>
        <v>-1.5026107667502175</v>
      </c>
      <c r="V371" s="383">
        <f t="shared" si="143"/>
        <v>24.291844439895339</v>
      </c>
      <c r="W371" s="58"/>
      <c r="X371" s="157">
        <f t="shared" si="144"/>
        <v>43457</v>
      </c>
      <c r="Y371" s="385">
        <f t="shared" si="145"/>
        <v>5.0190000000000001</v>
      </c>
      <c r="Z371" s="385">
        <f t="shared" si="146"/>
        <v>5.0408134421877442</v>
      </c>
      <c r="AA371" s="386">
        <f t="shared" si="147"/>
        <v>5.0999303916483587</v>
      </c>
      <c r="AB371" s="197">
        <f t="shared" si="148"/>
        <v>43457</v>
      </c>
      <c r="AC371" s="426">
        <f t="shared" si="149"/>
        <v>1.1591716929592726E-2</v>
      </c>
      <c r="AD371" s="169">
        <f>(INDEX(Models!$BJ371:$BT371,,AH371)*(1-AF371)+INDEX(Models!$BJ371:$BT371,,AH371+1)*AF371-ERP_i)*AE371*Ramure*Pc/MaxiM</f>
        <v>6.7268022521864833E-5</v>
      </c>
      <c r="AE371" s="305">
        <f t="shared" si="150"/>
        <v>0.5</v>
      </c>
      <c r="AF371" s="177">
        <f t="shared" si="151"/>
        <v>0.49738923324978246</v>
      </c>
      <c r="AG371" s="811">
        <f t="shared" si="152"/>
        <v>-2</v>
      </c>
      <c r="AH371" s="176">
        <f t="shared" si="153"/>
        <v>4</v>
      </c>
      <c r="AI371" s="225">
        <f t="shared" si="154"/>
        <v>-1.5026107667502175</v>
      </c>
      <c r="AJ371" s="265" t="b">
        <f t="shared" si="155"/>
        <v>0</v>
      </c>
      <c r="AK371" s="265" t="b">
        <f t="shared" si="156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7"/>
        <v>43458</v>
      </c>
      <c r="B372" s="617">
        <v>5.2640000000000002</v>
      </c>
      <c r="C372" s="390"/>
      <c r="D372" s="393">
        <f t="shared" si="134"/>
        <v>5.2869940533063788</v>
      </c>
      <c r="E372" s="385">
        <f t="shared" si="160"/>
        <v>5.3492822708253112</v>
      </c>
      <c r="F372" s="385">
        <f t="shared" si="159"/>
        <v>5.3492822708253112</v>
      </c>
      <c r="G372" s="110">
        <f t="shared" si="161"/>
        <v>0.21616405905965802</v>
      </c>
      <c r="I372" s="380">
        <f t="shared" si="135"/>
        <v>5.3492822708253112</v>
      </c>
      <c r="J372" s="85">
        <v>2018</v>
      </c>
      <c r="K372" s="197">
        <f t="shared" si="136"/>
        <v>43458</v>
      </c>
      <c r="L372" s="437">
        <f t="shared" si="137"/>
        <v>4.3491732872290578E-3</v>
      </c>
      <c r="M372" s="856"/>
      <c r="N372" s="856"/>
      <c r="O372" s="324">
        <f t="shared" si="138"/>
        <v>1.1644219610292187E-2</v>
      </c>
      <c r="P372" s="169">
        <f>(INDEX(Models!$BJ372:$BT372,,T372)*(1-R372)+INDEX(Models!$BJ372:$BT372,,T372+1)*R372-ERP_i)*Q372*Ramure*Pc/MaxiM</f>
        <v>6.7074231901002241E-5</v>
      </c>
      <c r="Q372" s="305">
        <f t="shared" si="139"/>
        <v>0.5</v>
      </c>
      <c r="R372" s="177">
        <f t="shared" si="140"/>
        <v>0.49738923324978246</v>
      </c>
      <c r="S372" s="811">
        <f t="shared" si="158"/>
        <v>-2</v>
      </c>
      <c r="T372" s="176">
        <f t="shared" si="141"/>
        <v>4</v>
      </c>
      <c r="U372" s="251">
        <f t="shared" si="142"/>
        <v>-1.5026107667502175</v>
      </c>
      <c r="V372" s="383">
        <f t="shared" si="143"/>
        <v>24.350240942647112</v>
      </c>
      <c r="W372" s="58"/>
      <c r="X372" s="157">
        <f t="shared" si="144"/>
        <v>43458</v>
      </c>
      <c r="Y372" s="385">
        <f t="shared" si="145"/>
        <v>5.2640000000000002</v>
      </c>
      <c r="Z372" s="385">
        <f t="shared" si="146"/>
        <v>5.2869940533063788</v>
      </c>
      <c r="AA372" s="386">
        <f t="shared" si="147"/>
        <v>5.3492822708253112</v>
      </c>
      <c r="AB372" s="197">
        <f t="shared" si="148"/>
        <v>43458</v>
      </c>
      <c r="AC372" s="426">
        <f t="shared" si="149"/>
        <v>1.1644219610292187E-2</v>
      </c>
      <c r="AD372" s="169">
        <f>(INDEX(Models!$BJ372:$BT372,,AH372)*(1-AF372)+INDEX(Models!$BJ372:$BT372,,AH372+1)*AF372-ERP_i)*AE372*Ramure*Pc/MaxiM</f>
        <v>6.7074231901002241E-5</v>
      </c>
      <c r="AE372" s="305">
        <f t="shared" si="150"/>
        <v>0.5</v>
      </c>
      <c r="AF372" s="177">
        <f t="shared" si="151"/>
        <v>0.49738923324978246</v>
      </c>
      <c r="AG372" s="811">
        <f t="shared" si="152"/>
        <v>-2</v>
      </c>
      <c r="AH372" s="176">
        <f t="shared" si="153"/>
        <v>4</v>
      </c>
      <c r="AI372" s="225">
        <f t="shared" si="154"/>
        <v>-1.5026107667502175</v>
      </c>
      <c r="AJ372" s="265" t="b">
        <f t="shared" si="155"/>
        <v>0</v>
      </c>
      <c r="AK372" s="265" t="b">
        <f t="shared" si="156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7"/>
        <v>43459</v>
      </c>
      <c r="B373" s="617">
        <v>16.07</v>
      </c>
      <c r="C373" s="390"/>
      <c r="D373" s="393">
        <f t="shared" si="134"/>
        <v>16.140550030987832</v>
      </c>
      <c r="E373" s="385">
        <f t="shared" si="160"/>
        <v>16.331576110819647</v>
      </c>
      <c r="F373" s="385">
        <f t="shared" si="159"/>
        <v>16.332134440633631</v>
      </c>
      <c r="G373" s="110">
        <f t="shared" si="161"/>
        <v>0.657923580581107</v>
      </c>
      <c r="I373" s="380">
        <f t="shared" si="135"/>
        <v>16.332134440633631</v>
      </c>
      <c r="J373" s="85">
        <v>2018</v>
      </c>
      <c r="K373" s="197">
        <f t="shared" si="136"/>
        <v>43459</v>
      </c>
      <c r="L373" s="437">
        <f t="shared" si="137"/>
        <v>4.37098059560459E-3</v>
      </c>
      <c r="M373" s="856"/>
      <c r="N373" s="856"/>
      <c r="O373" s="324">
        <f t="shared" si="138"/>
        <v>1.1696732669008067E-2</v>
      </c>
      <c r="P373" s="169">
        <f>(INDEX(Models!$BJ373:$BT373,,T373)*(1-R373)+INDEX(Models!$BJ373:$BT373,,T373+1)*R373-ERP_i)*Q373*Ramure*Pc/MaxiM</f>
        <v>6.6854327000238784E-5</v>
      </c>
      <c r="Q373" s="305">
        <f t="shared" si="139"/>
        <v>0.5</v>
      </c>
      <c r="R373" s="177">
        <f t="shared" si="140"/>
        <v>0.49738923324978246</v>
      </c>
      <c r="S373" s="811">
        <f t="shared" si="158"/>
        <v>-2</v>
      </c>
      <c r="T373" s="176">
        <f t="shared" si="141"/>
        <v>4</v>
      </c>
      <c r="U373" s="251">
        <f t="shared" si="142"/>
        <v>-1.5026107667502175</v>
      </c>
      <c r="V373" s="383">
        <f t="shared" si="143"/>
        <v>24.424531170198858</v>
      </c>
      <c r="W373" s="58"/>
      <c r="X373" s="157">
        <f t="shared" si="144"/>
        <v>43459</v>
      </c>
      <c r="Y373" s="385">
        <f t="shared" si="145"/>
        <v>16.07</v>
      </c>
      <c r="Z373" s="385">
        <f t="shared" si="146"/>
        <v>16.140550030987832</v>
      </c>
      <c r="AA373" s="386">
        <f t="shared" si="147"/>
        <v>16.331576110819647</v>
      </c>
      <c r="AB373" s="197">
        <f t="shared" si="148"/>
        <v>43459</v>
      </c>
      <c r="AC373" s="426">
        <f t="shared" si="149"/>
        <v>1.1696732669008067E-2</v>
      </c>
      <c r="AD373" s="169">
        <f>(INDEX(Models!$BJ373:$BT373,,AH373)*(1-AF373)+INDEX(Models!$BJ373:$BT373,,AH373+1)*AF373-ERP_i)*AE373*Ramure*Pc/MaxiM</f>
        <v>6.6854327000238784E-5</v>
      </c>
      <c r="AE373" s="305">
        <f t="shared" si="150"/>
        <v>0.5</v>
      </c>
      <c r="AF373" s="177">
        <f t="shared" si="151"/>
        <v>0.49738923324978246</v>
      </c>
      <c r="AG373" s="811">
        <f t="shared" si="152"/>
        <v>-2</v>
      </c>
      <c r="AH373" s="176">
        <f t="shared" si="153"/>
        <v>4</v>
      </c>
      <c r="AI373" s="225">
        <f t="shared" si="154"/>
        <v>-1.5026107667502175</v>
      </c>
      <c r="AJ373" s="265" t="b">
        <f t="shared" si="155"/>
        <v>0</v>
      </c>
      <c r="AK373" s="265" t="b">
        <f t="shared" si="156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7"/>
        <v>43460</v>
      </c>
      <c r="B374" s="617">
        <v>23.902999999999999</v>
      </c>
      <c r="C374" s="390"/>
      <c r="D374" s="393">
        <f t="shared" si="134"/>
        <v>24.008464079132647</v>
      </c>
      <c r="E374" s="385">
        <f t="shared" si="160"/>
        <v>24.293899201842049</v>
      </c>
      <c r="F374" s="385">
        <f t="shared" si="159"/>
        <v>24.2954595694269</v>
      </c>
      <c r="G374" s="110">
        <f t="shared" si="161"/>
        <v>0.97498699084385443</v>
      </c>
      <c r="I374" s="380">
        <f t="shared" si="135"/>
        <v>24.2954595694269</v>
      </c>
      <c r="J374" s="85">
        <v>2018</v>
      </c>
      <c r="K374" s="197">
        <f t="shared" si="136"/>
        <v>43460</v>
      </c>
      <c r="L374" s="437">
        <f t="shared" si="137"/>
        <v>4.3927874263440803E-3</v>
      </c>
      <c r="M374" s="856"/>
      <c r="N374" s="856"/>
      <c r="O374" s="324">
        <f t="shared" si="138"/>
        <v>1.1749251132471883E-2</v>
      </c>
      <c r="P374" s="169">
        <f>(INDEX(Models!$BJ374:$BT374,,T374)*(1-R374)+INDEX(Models!$BJ374:$BT374,,T374+1)*R374-ERP_i)*Q374*Ramure*Pc/MaxiM</f>
        <v>6.6604403863374195E-5</v>
      </c>
      <c r="Q374" s="305">
        <f t="shared" si="139"/>
        <v>0.5</v>
      </c>
      <c r="R374" s="177">
        <f t="shared" si="140"/>
        <v>0.49738923324978246</v>
      </c>
      <c r="S374" s="811">
        <f t="shared" si="158"/>
        <v>-2</v>
      </c>
      <c r="T374" s="176">
        <f t="shared" si="141"/>
        <v>4</v>
      </c>
      <c r="U374" s="251">
        <f t="shared" si="142"/>
        <v>-1.5026107667502175</v>
      </c>
      <c r="V374" s="383">
        <f t="shared" si="143"/>
        <v>24.516166202993151</v>
      </c>
      <c r="W374" s="58"/>
      <c r="X374" s="157">
        <f t="shared" si="144"/>
        <v>43460</v>
      </c>
      <c r="Y374" s="385">
        <f t="shared" si="145"/>
        <v>23.902999999999999</v>
      </c>
      <c r="Z374" s="385">
        <f t="shared" si="146"/>
        <v>24.008464079132647</v>
      </c>
      <c r="AA374" s="386">
        <f t="shared" si="147"/>
        <v>24.293899201842049</v>
      </c>
      <c r="AB374" s="197">
        <f t="shared" si="148"/>
        <v>43460</v>
      </c>
      <c r="AC374" s="426">
        <f t="shared" si="149"/>
        <v>1.1749251132471883E-2</v>
      </c>
      <c r="AD374" s="169">
        <f>(INDEX(Models!$BJ374:$BT374,,AH374)*(1-AF374)+INDEX(Models!$BJ374:$BT374,,AH374+1)*AF374-ERP_i)*AE374*Ramure*Pc/MaxiM</f>
        <v>6.6604403863374195E-5</v>
      </c>
      <c r="AE374" s="305">
        <f t="shared" si="150"/>
        <v>0.5</v>
      </c>
      <c r="AF374" s="177">
        <f t="shared" si="151"/>
        <v>0.49738923324978246</v>
      </c>
      <c r="AG374" s="811">
        <f t="shared" si="152"/>
        <v>-2</v>
      </c>
      <c r="AH374" s="176">
        <f t="shared" si="153"/>
        <v>4</v>
      </c>
      <c r="AI374" s="225">
        <f t="shared" si="154"/>
        <v>-1.5026107667502175</v>
      </c>
      <c r="AJ374" s="265" t="b">
        <f t="shared" si="155"/>
        <v>0</v>
      </c>
      <c r="AK374" s="265" t="b">
        <f t="shared" si="156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7"/>
        <v>43461</v>
      </c>
      <c r="B375" s="617">
        <v>24.277999999999999</v>
      </c>
      <c r="C375" s="390"/>
      <c r="D375" s="393">
        <f t="shared" si="134"/>
        <v>24.385652750942331</v>
      </c>
      <c r="E375" s="385">
        <f t="shared" si="160"/>
        <v>24.676883662040584</v>
      </c>
      <c r="F375" s="385">
        <f t="shared" si="159"/>
        <v>24.678488393426758</v>
      </c>
      <c r="G375" s="110">
        <f t="shared" si="161"/>
        <v>0.98594992262927295</v>
      </c>
      <c r="I375" s="380">
        <f t="shared" si="135"/>
        <v>24.678488393426758</v>
      </c>
      <c r="J375" s="85">
        <v>2018</v>
      </c>
      <c r="K375" s="197">
        <f t="shared" si="136"/>
        <v>43461</v>
      </c>
      <c r="L375" s="437">
        <f t="shared" si="137"/>
        <v>4.4145937794579648E-3</v>
      </c>
      <c r="M375" s="856"/>
      <c r="N375" s="856"/>
      <c r="O375" s="324">
        <f t="shared" si="138"/>
        <v>1.1801770235122551E-2</v>
      </c>
      <c r="P375" s="169">
        <f>(INDEX(Models!$BJ375:$BT375,,T375)*(1-R375)+INDEX(Models!$BJ375:$BT375,,T375+1)*R375-ERP_i)*Q375*Ramure*Pc/MaxiM</f>
        <v>6.6357282042784962E-5</v>
      </c>
      <c r="Q375" s="305">
        <f t="shared" si="139"/>
        <v>0.5</v>
      </c>
      <c r="R375" s="177">
        <f t="shared" si="140"/>
        <v>0.49738923324978246</v>
      </c>
      <c r="S375" s="811">
        <f t="shared" si="158"/>
        <v>-2</v>
      </c>
      <c r="T375" s="176">
        <f t="shared" si="141"/>
        <v>4</v>
      </c>
      <c r="U375" s="251">
        <f t="shared" si="142"/>
        <v>-1.5026107667502175</v>
      </c>
      <c r="V375" s="383">
        <f t="shared" si="143"/>
        <v>24.623935869362995</v>
      </c>
      <c r="W375" s="58"/>
      <c r="X375" s="157">
        <f t="shared" si="144"/>
        <v>43461</v>
      </c>
      <c r="Y375" s="385">
        <f t="shared" si="145"/>
        <v>24.277999999999999</v>
      </c>
      <c r="Z375" s="385">
        <f t="shared" si="146"/>
        <v>24.385652750942331</v>
      </c>
      <c r="AA375" s="386">
        <f t="shared" si="147"/>
        <v>24.676883662040584</v>
      </c>
      <c r="AB375" s="197">
        <f t="shared" si="148"/>
        <v>43461</v>
      </c>
      <c r="AC375" s="426">
        <f t="shared" si="149"/>
        <v>1.1801770235122551E-2</v>
      </c>
      <c r="AD375" s="169">
        <f>(INDEX(Models!$BJ375:$BT375,,AH375)*(1-AF375)+INDEX(Models!$BJ375:$BT375,,AH375+1)*AF375-ERP_i)*AE375*Ramure*Pc/MaxiM</f>
        <v>6.6357282042784962E-5</v>
      </c>
      <c r="AE375" s="305">
        <f t="shared" si="150"/>
        <v>0.5</v>
      </c>
      <c r="AF375" s="177">
        <f t="shared" si="151"/>
        <v>0.49738923324978246</v>
      </c>
      <c r="AG375" s="811">
        <f t="shared" si="152"/>
        <v>-2</v>
      </c>
      <c r="AH375" s="176">
        <f t="shared" si="153"/>
        <v>4</v>
      </c>
      <c r="AI375" s="225">
        <f t="shared" si="154"/>
        <v>-1.5026107667502175</v>
      </c>
      <c r="AJ375" s="265" t="b">
        <f t="shared" si="155"/>
        <v>0</v>
      </c>
      <c r="AK375" s="265" t="b">
        <f t="shared" si="156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7"/>
        <v>43462</v>
      </c>
      <c r="B376" s="617">
        <v>3.415</v>
      </c>
      <c r="C376" s="390"/>
      <c r="D376" s="393">
        <f t="shared" si="134"/>
        <v>3.4302178171403881</v>
      </c>
      <c r="E376" s="385">
        <f t="shared" si="160"/>
        <v>3.4713684091461112</v>
      </c>
      <c r="F376" s="385">
        <f t="shared" si="159"/>
        <v>3.4713684091461112</v>
      </c>
      <c r="G376" s="110">
        <f t="shared" si="161"/>
        <v>0.13798945814240277</v>
      </c>
      <c r="I376" s="380">
        <f t="shared" si="135"/>
        <v>3.4713684091461112</v>
      </c>
      <c r="J376" s="85">
        <v>2018</v>
      </c>
      <c r="K376" s="197">
        <f t="shared" si="136"/>
        <v>43462</v>
      </c>
      <c r="L376" s="437">
        <f t="shared" si="137"/>
        <v>4.4363996549567908E-3</v>
      </c>
      <c r="M376" s="856"/>
      <c r="N376" s="856"/>
      <c r="O376" s="324">
        <f t="shared" si="138"/>
        <v>1.1854285444697406E-2</v>
      </c>
      <c r="P376" s="169">
        <f>(INDEX(Models!$BJ376:$BT376,,T376)*(1-R376)+INDEX(Models!$BJ376:$BT376,,T376+1)*R376-ERP_i)*Q376*Ramure*Pc/MaxiM</f>
        <v>6.6111339666295149E-5</v>
      </c>
      <c r="Q376" s="305">
        <f t="shared" si="139"/>
        <v>0.5</v>
      </c>
      <c r="R376" s="177">
        <f t="shared" si="140"/>
        <v>0.49738923324978246</v>
      </c>
      <c r="S376" s="811">
        <f t="shared" si="158"/>
        <v>-2</v>
      </c>
      <c r="T376" s="176">
        <f t="shared" si="141"/>
        <v>4</v>
      </c>
      <c r="U376" s="251">
        <f t="shared" si="142"/>
        <v>-1.5026107667502175</v>
      </c>
      <c r="V376" s="383">
        <f t="shared" si="143"/>
        <v>24.746631197370533</v>
      </c>
      <c r="W376" s="58"/>
      <c r="X376" s="157">
        <f t="shared" si="144"/>
        <v>43462</v>
      </c>
      <c r="Y376" s="385">
        <f t="shared" si="145"/>
        <v>3.415</v>
      </c>
      <c r="Z376" s="385">
        <f t="shared" si="146"/>
        <v>3.4302178171403881</v>
      </c>
      <c r="AA376" s="386">
        <f t="shared" si="147"/>
        <v>3.4713684091461112</v>
      </c>
      <c r="AB376" s="197">
        <f t="shared" si="148"/>
        <v>43462</v>
      </c>
      <c r="AC376" s="426">
        <f t="shared" si="149"/>
        <v>1.1854285444697406E-2</v>
      </c>
      <c r="AD376" s="169">
        <f>(INDEX(Models!$BJ376:$BT376,,AH376)*(1-AF376)+INDEX(Models!$BJ376:$BT376,,AH376+1)*AF376-ERP_i)*AE376*Ramure*Pc/MaxiM</f>
        <v>6.6111339666295149E-5</v>
      </c>
      <c r="AE376" s="305">
        <f t="shared" si="150"/>
        <v>0.5</v>
      </c>
      <c r="AF376" s="177">
        <f t="shared" si="151"/>
        <v>0.49738923324978246</v>
      </c>
      <c r="AG376" s="811">
        <f t="shared" si="152"/>
        <v>-2</v>
      </c>
      <c r="AH376" s="176">
        <f t="shared" si="153"/>
        <v>4</v>
      </c>
      <c r="AI376" s="225">
        <f t="shared" si="154"/>
        <v>-1.5026107667502175</v>
      </c>
      <c r="AJ376" s="265" t="b">
        <f t="shared" si="155"/>
        <v>0</v>
      </c>
      <c r="AK376" s="265" t="b">
        <f t="shared" si="156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7"/>
        <v>43463</v>
      </c>
      <c r="B377" s="617">
        <v>4.673</v>
      </c>
      <c r="C377" s="390"/>
      <c r="D377" s="393">
        <f t="shared" si="134"/>
        <v>4.6939264867810788</v>
      </c>
      <c r="E377" s="385">
        <f t="shared" si="160"/>
        <v>4.7504895804159988</v>
      </c>
      <c r="F377" s="385">
        <f t="shared" si="159"/>
        <v>4.7504895804159988</v>
      </c>
      <c r="G377" s="110">
        <f t="shared" si="161"/>
        <v>0.18778620072341179</v>
      </c>
      <c r="I377" s="380">
        <f t="shared" si="135"/>
        <v>4.7504895804159988</v>
      </c>
      <c r="J377" s="85">
        <v>2018</v>
      </c>
      <c r="K377" s="197">
        <f t="shared" si="136"/>
        <v>43463</v>
      </c>
      <c r="L377" s="437">
        <f t="shared" si="137"/>
        <v>4.4582050528509942E-3</v>
      </c>
      <c r="M377" s="856"/>
      <c r="N377" s="856"/>
      <c r="O377" s="324">
        <f t="shared" si="138"/>
        <v>1.1906792484737326E-2</v>
      </c>
      <c r="P377" s="169">
        <f>(INDEX(Models!$BJ377:$BT377,,T377)*(1-R377)+INDEX(Models!$BJ377:$BT377,,T377+1)*R377-ERP_i)*Q377*Ramure*Pc/MaxiM</f>
        <v>6.5869650933052335E-5</v>
      </c>
      <c r="Q377" s="305">
        <f t="shared" si="139"/>
        <v>0.5</v>
      </c>
      <c r="R377" s="177">
        <f t="shared" si="140"/>
        <v>0.49738923324978246</v>
      </c>
      <c r="S377" s="811">
        <f t="shared" si="158"/>
        <v>-2</v>
      </c>
      <c r="T377" s="176">
        <f t="shared" si="141"/>
        <v>4</v>
      </c>
      <c r="U377" s="251">
        <f t="shared" si="142"/>
        <v>-1.5026107667502175</v>
      </c>
      <c r="V377" s="383">
        <f t="shared" si="143"/>
        <v>24.883043445793689</v>
      </c>
      <c r="W377" s="58"/>
      <c r="X377" s="157">
        <f t="shared" si="144"/>
        <v>43463</v>
      </c>
      <c r="Y377" s="385">
        <f t="shared" si="145"/>
        <v>4.673</v>
      </c>
      <c r="Z377" s="385">
        <f t="shared" si="146"/>
        <v>4.6939264867810788</v>
      </c>
      <c r="AA377" s="386">
        <f t="shared" si="147"/>
        <v>4.7504895804159988</v>
      </c>
      <c r="AB377" s="197">
        <f t="shared" si="148"/>
        <v>43463</v>
      </c>
      <c r="AC377" s="426">
        <f t="shared" si="149"/>
        <v>1.1906792484737326E-2</v>
      </c>
      <c r="AD377" s="169">
        <f>(INDEX(Models!$BJ377:$BT377,,AH377)*(1-AF377)+INDEX(Models!$BJ377:$BT377,,AH377+1)*AF377-ERP_i)*AE377*Ramure*Pc/MaxiM</f>
        <v>6.5869650933052335E-5</v>
      </c>
      <c r="AE377" s="305">
        <f t="shared" si="150"/>
        <v>0.5</v>
      </c>
      <c r="AF377" s="177">
        <f t="shared" si="151"/>
        <v>0.49738923324978246</v>
      </c>
      <c r="AG377" s="811">
        <f t="shared" si="152"/>
        <v>-2</v>
      </c>
      <c r="AH377" s="176">
        <f t="shared" si="153"/>
        <v>4</v>
      </c>
      <c r="AI377" s="225">
        <f t="shared" si="154"/>
        <v>-1.5026107667502175</v>
      </c>
      <c r="AJ377" s="265" t="b">
        <f t="shared" si="155"/>
        <v>0</v>
      </c>
      <c r="AK377" s="265" t="b">
        <f t="shared" si="156"/>
        <v>0</v>
      </c>
      <c r="AL377" s="265"/>
      <c r="AM377" s="265"/>
      <c r="AN377" s="75"/>
    </row>
    <row r="378" spans="1:40" s="6" customFormat="1" ht="11.25" x14ac:dyDescent="0.2">
      <c r="A378" s="56">
        <f t="shared" si="157"/>
        <v>43464</v>
      </c>
      <c r="B378" s="617">
        <v>3.5019999999999998</v>
      </c>
      <c r="C378" s="390"/>
      <c r="D378" s="393">
        <f t="shared" si="134"/>
        <v>3.5177595980825571</v>
      </c>
      <c r="E378" s="385">
        <f t="shared" si="160"/>
        <v>3.5603387118142864</v>
      </c>
      <c r="F378" s="385">
        <f t="shared" si="159"/>
        <v>3.5603387118142864</v>
      </c>
      <c r="G378" s="110">
        <f t="shared" si="161"/>
        <v>0.13989194421929901</v>
      </c>
      <c r="I378" s="380">
        <f t="shared" si="135"/>
        <v>3.5603387118142864</v>
      </c>
      <c r="J378" s="85">
        <v>2018</v>
      </c>
      <c r="K378" s="197">
        <f t="shared" si="136"/>
        <v>43464</v>
      </c>
      <c r="L378" s="437">
        <f t="shared" si="137"/>
        <v>4.4800099731510112E-3</v>
      </c>
      <c r="M378" s="856"/>
      <c r="N378" s="856"/>
      <c r="O378" s="324">
        <f t="shared" si="138"/>
        <v>1.195928735387973E-2</v>
      </c>
      <c r="P378" s="169">
        <f>(INDEX(Models!$BJ378:$BT378,,T378)*(1-R378)+INDEX(Models!$BJ378:$BT378,,T378+1)*R378-ERP_i)*Q378*Ramure*Pc/MaxiM</f>
        <v>6.5635201511030739E-5</v>
      </c>
      <c r="Q378" s="305">
        <f t="shared" si="139"/>
        <v>0.5</v>
      </c>
      <c r="R378" s="177">
        <f t="shared" si="140"/>
        <v>0.49738923324978246</v>
      </c>
      <c r="S378" s="811">
        <f t="shared" si="158"/>
        <v>-2</v>
      </c>
      <c r="T378" s="176">
        <f t="shared" si="141"/>
        <v>4</v>
      </c>
      <c r="U378" s="251">
        <f t="shared" si="142"/>
        <v>-1.5026107667502175</v>
      </c>
      <c r="V378" s="383">
        <f t="shared" si="143"/>
        <v>25.031964242593006</v>
      </c>
      <c r="W378" s="58"/>
      <c r="X378" s="157">
        <f t="shared" si="144"/>
        <v>43464</v>
      </c>
      <c r="Y378" s="385">
        <f t="shared" si="145"/>
        <v>3.5019999999999998</v>
      </c>
      <c r="Z378" s="385">
        <f t="shared" si="146"/>
        <v>3.5177595980825571</v>
      </c>
      <c r="AA378" s="386">
        <f t="shared" si="147"/>
        <v>3.5603387118142864</v>
      </c>
      <c r="AB378" s="197">
        <f t="shared" si="148"/>
        <v>43464</v>
      </c>
      <c r="AC378" s="426">
        <f t="shared" si="149"/>
        <v>1.195928735387973E-2</v>
      </c>
      <c r="AD378" s="169">
        <f>(INDEX(Models!$BJ378:$BT378,,AH378)*(1-AF378)+INDEX(Models!$BJ378:$BT378,,AH378+1)*AF378-ERP_i)*AE378*Ramure*Pc/MaxiM</f>
        <v>6.5635201511030739E-5</v>
      </c>
      <c r="AE378" s="305">
        <f t="shared" si="150"/>
        <v>0.5</v>
      </c>
      <c r="AF378" s="177">
        <f t="shared" si="151"/>
        <v>0.49738923324978246</v>
      </c>
      <c r="AG378" s="811">
        <f t="shared" si="152"/>
        <v>-2</v>
      </c>
      <c r="AH378" s="176">
        <f t="shared" si="153"/>
        <v>4</v>
      </c>
      <c r="AI378" s="225">
        <f t="shared" si="154"/>
        <v>-1.5026107667502175</v>
      </c>
      <c r="AJ378" s="265" t="b">
        <f t="shared" si="155"/>
        <v>0</v>
      </c>
      <c r="AK378" s="265" t="b">
        <f t="shared" si="156"/>
        <v>0</v>
      </c>
      <c r="AL378" s="265"/>
      <c r="AM378" s="265"/>
      <c r="AN378" s="75"/>
    </row>
    <row r="379" spans="1:40" s="18" customFormat="1" ht="12.75" x14ac:dyDescent="0.2">
      <c r="A379" s="56">
        <f t="shared" si="157"/>
        <v>43465</v>
      </c>
      <c r="B379" s="617">
        <v>6.117</v>
      </c>
      <c r="C379" s="390"/>
      <c r="D379" s="393">
        <f t="shared" si="134"/>
        <v>6.1446621285509444</v>
      </c>
      <c r="E379" s="385">
        <f t="shared" si="160"/>
        <v>6.2193677204024338</v>
      </c>
      <c r="F379" s="385">
        <f t="shared" si="159"/>
        <v>6.2193677204024338</v>
      </c>
      <c r="G379" s="110">
        <f t="shared" si="161"/>
        <v>0.24279750823662496</v>
      </c>
      <c r="I379" s="380">
        <f t="shared" si="135"/>
        <v>6.2193677204024338</v>
      </c>
      <c r="J379" s="85">
        <v>2018</v>
      </c>
      <c r="K379" s="197">
        <f t="shared" si="136"/>
        <v>43465</v>
      </c>
      <c r="L379" s="437">
        <f>IF(t&lt;T0,0,IF(t&lt;Tvie,1-EXP((T0-t)*PertePVj),1-EXP((T0-t)*PertePVj)+Pspv))</f>
        <v>4.5018144158672779E-3</v>
      </c>
      <c r="M379" s="856"/>
      <c r="N379" s="856"/>
      <c r="O379" s="324">
        <f t="shared" si="138"/>
        <v>1.2011766341845328E-2</v>
      </c>
      <c r="P379" s="169">
        <f>(INDEX(Models!$BJ379:$BT379,,T379)*(1-R379)+INDEX(Models!$BJ379:$BT379,,T379+1)*R379-ERP_i)*Q379*Ramure*Pc/MaxiM</f>
        <v>6.5410876390041239E-5</v>
      </c>
      <c r="Q379" s="306">
        <f t="shared" si="139"/>
        <v>0.5</v>
      </c>
      <c r="R379" s="177">
        <f t="shared" si="140"/>
        <v>0.49738923324978246</v>
      </c>
      <c r="S379" s="811">
        <f t="shared" si="158"/>
        <v>-2</v>
      </c>
      <c r="T379" s="176">
        <f t="shared" si="141"/>
        <v>4</v>
      </c>
      <c r="U379" s="307">
        <f t="shared" si="142"/>
        <v>-1.5026107667502175</v>
      </c>
      <c r="V379" s="383">
        <f t="shared" si="143"/>
        <v>25.192185562744832</v>
      </c>
      <c r="W379" s="392"/>
      <c r="X379" s="157">
        <f t="shared" si="144"/>
        <v>43465</v>
      </c>
      <c r="Y379" s="385">
        <f t="shared" si="145"/>
        <v>6.117</v>
      </c>
      <c r="Z379" s="385">
        <f t="shared" si="146"/>
        <v>6.1446621285509444</v>
      </c>
      <c r="AA379" s="386">
        <f t="shared" si="147"/>
        <v>6.2193677204024338</v>
      </c>
      <c r="AB379" s="197">
        <f t="shared" si="148"/>
        <v>43465</v>
      </c>
      <c r="AC379" s="426">
        <f t="shared" si="149"/>
        <v>1.2011766341845328E-2</v>
      </c>
      <c r="AD379" s="169">
        <f>(INDEX(Models!$BJ379:$BT379,,AH379)*(1-AF379)+INDEX(Models!$BJ379:$BT379,,AH379+1)*AF379-ERP_i)*AE379*Ramure*Pc/MaxiM</f>
        <v>6.5410876390041239E-5</v>
      </c>
      <c r="AE379" s="306">
        <f t="shared" si="150"/>
        <v>0.5</v>
      </c>
      <c r="AF379" s="177">
        <f t="shared" si="151"/>
        <v>0.49738923324978246</v>
      </c>
      <c r="AG379" s="811">
        <f t="shared" si="152"/>
        <v>-2</v>
      </c>
      <c r="AH379" s="176">
        <f t="shared" si="153"/>
        <v>4</v>
      </c>
      <c r="AI379" s="222">
        <f t="shared" si="154"/>
        <v>-1.5026107667502175</v>
      </c>
      <c r="AJ379" s="265" t="b">
        <f t="shared" si="155"/>
        <v>0</v>
      </c>
      <c r="AK379" s="265" t="b">
        <f t="shared" si="156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1"/>
      <c r="C380" s="855"/>
      <c r="D380" s="394"/>
      <c r="E380" s="395"/>
      <c r="F380" s="395"/>
      <c r="G380" s="97"/>
      <c r="I380" s="381">
        <f t="shared" si="135"/>
        <v>0</v>
      </c>
      <c r="J380" s="151">
        <v>2018</v>
      </c>
      <c r="K380" s="199"/>
      <c r="L380" s="470"/>
      <c r="M380" s="857"/>
      <c r="N380" s="857"/>
      <c r="O380" s="471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5"/>
        <v>1</v>
      </c>
      <c r="AK380" s="265" t="b">
        <f t="shared" si="156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2.0299999999999998</v>
      </c>
      <c r="C381" s="375"/>
      <c r="D381" s="373">
        <f>MIN(D15:D380)</f>
        <v>2.0383762206572595</v>
      </c>
      <c r="E381" s="373">
        <f>MIN(E15:E380)</f>
        <v>2.0611903807285468</v>
      </c>
      <c r="F381" s="374">
        <f>MIN(F15:F380)</f>
        <v>2.0611903807285468</v>
      </c>
      <c r="G381" s="125">
        <f>+MIN(G15:G380)</f>
        <v>8.3168057287724959E-2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2">MIN(L15:L380)</f>
        <v>0</v>
      </c>
      <c r="M381" s="847"/>
      <c r="N381" s="847"/>
      <c r="O381" s="47">
        <f t="shared" si="162"/>
        <v>0</v>
      </c>
      <c r="P381" s="168">
        <f t="shared" si="162"/>
        <v>1.1078790194703113E-10</v>
      </c>
      <c r="Q381" s="310">
        <f t="shared" si="162"/>
        <v>0.5</v>
      </c>
      <c r="R381" s="311">
        <f t="shared" si="162"/>
        <v>0</v>
      </c>
      <c r="S381" s="811">
        <f t="shared" si="162"/>
        <v>-3</v>
      </c>
      <c r="T381" s="176">
        <f t="shared" si="162"/>
        <v>3</v>
      </c>
      <c r="U381" s="252">
        <f>+MIN(U15:U380)</f>
        <v>-2.0026094937140466</v>
      </c>
      <c r="V381" s="373">
        <f>MIN(V15:V380)</f>
        <v>24.190396833176859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3">MIN(AC15:AC380)</f>
        <v>0</v>
      </c>
      <c r="AD381" s="168">
        <f t="shared" si="163"/>
        <v>1.1078790194703113E-10</v>
      </c>
      <c r="AE381" s="310">
        <f t="shared" si="163"/>
        <v>0.5</v>
      </c>
      <c r="AF381" s="311">
        <f t="shared" si="163"/>
        <v>0</v>
      </c>
      <c r="AG381" s="811">
        <f t="shared" si="163"/>
        <v>-3</v>
      </c>
      <c r="AH381" s="176">
        <f t="shared" si="163"/>
        <v>3</v>
      </c>
      <c r="AI381" s="226">
        <f>MIN(AI15:AI380)</f>
        <v>-2.0026094937140466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28.845787500000018</v>
      </c>
      <c r="C382" s="375"/>
      <c r="D382" s="375">
        <f>AVERAGE(D15:D380)</f>
        <v>28.912376440704229</v>
      </c>
      <c r="E382" s="375">
        <f>AVERAGE(E15:E380)</f>
        <v>29.104125811956727</v>
      </c>
      <c r="F382" s="376">
        <f>AVERAGE(F15:F380)</f>
        <v>29.104540569169426</v>
      </c>
      <c r="G382" s="126">
        <f>AVERAGE(G15:G380)</f>
        <v>0.67121334834052215</v>
      </c>
      <c r="H382" s="94"/>
      <c r="I382" s="376">
        <f>AVERAGE(I15:I380)</f>
        <v>12.723296423680624</v>
      </c>
      <c r="J382" s="166">
        <f>AVERAGE(J15:J380)</f>
        <v>2018</v>
      </c>
      <c r="K382" s="200" t="s">
        <v>8</v>
      </c>
      <c r="L382" s="147">
        <f t="shared" ref="L382:V382" si="164">AVERAGE(L15:L380)</f>
        <v>1.2774971905528982E-3</v>
      </c>
      <c r="M382" s="845"/>
      <c r="N382" s="845"/>
      <c r="O382" s="48">
        <f t="shared" si="164"/>
        <v>3.5972647983295841E-3</v>
      </c>
      <c r="P382" s="169">
        <f t="shared" si="164"/>
        <v>1.6237384364969107E-5</v>
      </c>
      <c r="Q382" s="312">
        <f t="shared" si="164"/>
        <v>0.5</v>
      </c>
      <c r="R382" s="177">
        <f t="shared" si="164"/>
        <v>0.38138369232619312</v>
      </c>
      <c r="S382" s="811">
        <f t="shared" si="164"/>
        <v>-2.1041095890410957</v>
      </c>
      <c r="T382" s="176">
        <f t="shared" si="164"/>
        <v>3.8958904109589043</v>
      </c>
      <c r="U382" s="251">
        <f t="shared" si="164"/>
        <v>-1.7227258967149022</v>
      </c>
      <c r="V382" s="375">
        <f t="shared" si="164"/>
        <v>46.845619120239412</v>
      </c>
      <c r="X382" s="112" t="s">
        <v>8</v>
      </c>
      <c r="Y382" s="375">
        <f>AVERAGE(Y15:Y380)</f>
        <v>12.644728767123295</v>
      </c>
      <c r="Z382" s="375">
        <f>AVERAGE(Z15:Z380)</f>
        <v>12.673918439760758</v>
      </c>
      <c r="AA382" s="375">
        <f>AVERAGE(AA15:AA380)</f>
        <v>12.757972958665961</v>
      </c>
      <c r="AB382" s="200" t="s">
        <v>8</v>
      </c>
      <c r="AC382" s="48">
        <f t="shared" ref="AC382:AH382" si="165">AVERAGE(AC15:AC380)</f>
        <v>3.5972647983295841E-3</v>
      </c>
      <c r="AD382" s="169">
        <f t="shared" si="165"/>
        <v>1.6237384364969107E-5</v>
      </c>
      <c r="AE382" s="312">
        <f t="shared" si="165"/>
        <v>0.5</v>
      </c>
      <c r="AF382" s="177">
        <f t="shared" si="165"/>
        <v>0.38138369232619312</v>
      </c>
      <c r="AG382" s="811">
        <f t="shared" si="165"/>
        <v>-2.1041095890410957</v>
      </c>
      <c r="AH382" s="176">
        <f t="shared" si="165"/>
        <v>3.8958904109589043</v>
      </c>
      <c r="AI382" s="225">
        <f>AVERAGE(AI15:AI380)</f>
        <v>-1.7227258967149022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56.448</v>
      </c>
      <c r="C383" s="377"/>
      <c r="D383" s="377">
        <f>MAX(D15:D380)</f>
        <v>56.507376948327114</v>
      </c>
      <c r="E383" s="377">
        <f>MAX(E15:E380)</f>
        <v>56.686065150978031</v>
      </c>
      <c r="F383" s="378">
        <f>MAX(F15:F380)</f>
        <v>56.688146923000261</v>
      </c>
      <c r="G383" s="127">
        <f>+MAX(G15:G380)</f>
        <v>1.0089659887314031</v>
      </c>
      <c r="H383" s="94"/>
      <c r="I383" s="378">
        <f>MAX(I15:I380)</f>
        <v>56.688146923000261</v>
      </c>
      <c r="J383" s="167">
        <f>MAX(J15:J380)</f>
        <v>2018</v>
      </c>
      <c r="K383" s="200" t="s">
        <v>9</v>
      </c>
      <c r="L383" s="148">
        <f t="shared" ref="L383:T383" si="166">MAX(L15:L380)</f>
        <v>4.5018144158672779E-3</v>
      </c>
      <c r="M383" s="848"/>
      <c r="N383" s="848"/>
      <c r="O383" s="49">
        <f t="shared" si="166"/>
        <v>1.2011766341845328E-2</v>
      </c>
      <c r="P383" s="170">
        <f t="shared" si="166"/>
        <v>6.9030002596533294E-5</v>
      </c>
      <c r="Q383" s="313">
        <f t="shared" si="166"/>
        <v>0.5</v>
      </c>
      <c r="R383" s="314">
        <f t="shared" si="166"/>
        <v>0.99986769902663353</v>
      </c>
      <c r="S383" s="812">
        <f t="shared" si="166"/>
        <v>-2</v>
      </c>
      <c r="T383" s="233">
        <f t="shared" si="166"/>
        <v>4</v>
      </c>
      <c r="U383" s="253">
        <f>+MAX(U15:U380)</f>
        <v>-1.5026107667502175</v>
      </c>
      <c r="V383" s="377">
        <f>MAX(V15:V380)</f>
        <v>63.779206583947804</v>
      </c>
      <c r="X383" s="112" t="s">
        <v>9</v>
      </c>
      <c r="Y383" s="377">
        <f>MAX(Y15:Y380)</f>
        <v>56.448</v>
      </c>
      <c r="Z383" s="377">
        <f>MAX(Z15:Z380)</f>
        <v>56.507376948327114</v>
      </c>
      <c r="AA383" s="377">
        <f>MAX(AA15:AA380)</f>
        <v>56.686065150978031</v>
      </c>
      <c r="AB383" s="200" t="s">
        <v>9</v>
      </c>
      <c r="AC383" s="49">
        <f t="shared" ref="AC383:AH383" si="167">MAX(AC15:AC380)</f>
        <v>1.2011766341845328E-2</v>
      </c>
      <c r="AD383" s="170">
        <f t="shared" si="167"/>
        <v>6.9030002596533294E-5</v>
      </c>
      <c r="AE383" s="313">
        <f t="shared" si="167"/>
        <v>0.5</v>
      </c>
      <c r="AF383" s="314">
        <f t="shared" si="167"/>
        <v>0.99986769902663353</v>
      </c>
      <c r="AG383" s="812">
        <f t="shared" si="167"/>
        <v>-2</v>
      </c>
      <c r="AH383" s="233">
        <f t="shared" si="167"/>
        <v>4</v>
      </c>
      <c r="AI383" s="227">
        <f>MAX(AI15:AI380)</f>
        <v>-1.5026107667502175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56" activePane="bottomRight" state="frozen"/>
      <selection pane="topRight"/>
      <selection pane="bottomLeft"/>
      <selection pane="bottomRight" activeCell="G263" sqref="G26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'2018'!An+1</f>
        <v>2019</v>
      </c>
      <c r="K1" s="1271"/>
      <c r="L1" s="113" t="str">
        <f>"Calcul pertes et enveloppes en "&amp;TEXT(An,0)</f>
        <v>Calcul pertes et enveloppes en 2019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2019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472"/>
      <c r="H3" s="75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334"/>
      <c r="I5" s="158"/>
      <c r="K5" s="192"/>
      <c r="L5" s="506"/>
      <c r="M5" s="505"/>
      <c r="N5" s="505"/>
      <c r="O5" s="428"/>
      <c r="P5" s="508"/>
      <c r="Q5" s="508"/>
      <c r="R5" s="495"/>
      <c r="S5" s="499"/>
      <c r="T5" s="499"/>
      <c r="U5" s="513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531"/>
      <c r="AD6" s="462"/>
      <c r="AE6" s="462"/>
      <c r="AF6" s="462"/>
      <c r="AG6" s="462"/>
      <c r="AH6" s="462"/>
      <c r="AI6" s="462"/>
      <c r="AJ6" s="516">
        <f>SUMIF(AJ15:AJ380,"FAUX",Wh)</f>
        <v>11784.139000000005</v>
      </c>
      <c r="AK6" s="516">
        <f>SUMIF(AK15:AK380,"FAUX",Wh)</f>
        <v>11784.139000000005</v>
      </c>
      <c r="AL6" s="516">
        <f>SUMIF(AJ15:AJ380,"FAUX",Wh_s)</f>
        <v>11784.139000000005</v>
      </c>
      <c r="AM6" s="516">
        <f>SUMIF(AK15:AK380,"FAUX",Wh_s)</f>
        <v>11784.139000000005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31"/>
      <c r="AD7" s="248"/>
      <c r="AE7" s="248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0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11882.913638143635</v>
      </c>
      <c r="AK8" s="516">
        <f>SUMIF(AK15:AK380,"FAUX",Wh_sa)</f>
        <v>12138.359854468663</v>
      </c>
      <c r="AL8" s="516">
        <f>SUMIF(AJ15:AJ380,"FAUX",Wh_pvt_s)</f>
        <v>11882.913638143635</v>
      </c>
      <c r="AM8" s="516">
        <f>SUMIF(AK15:AK380,"FAUX",Wh_sa_s)</f>
        <v>12138.359854468663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11882.913638143635</v>
      </c>
      <c r="E9" s="184">
        <f>SUM(E$15:E$380)</f>
        <v>12138.359854468663</v>
      </c>
      <c r="F9" s="184">
        <f>SUM(F$15:F$380)</f>
        <v>12138.62332403917</v>
      </c>
      <c r="H9" s="1272">
        <f>+SUM(Wh)</f>
        <v>11784.139000000005</v>
      </c>
      <c r="I9" s="1273"/>
      <c r="J9" s="1274"/>
      <c r="K9" s="191"/>
      <c r="L9" s="114"/>
      <c r="M9" s="114"/>
      <c r="N9" s="114"/>
      <c r="O9" s="223">
        <f>Tnet_2019</f>
        <v>43259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11784.139000000005</v>
      </c>
      <c r="Y9" s="1267"/>
      <c r="Z9" s="516">
        <f>SUM(Z$15:Z$380)</f>
        <v>11882.913638143635</v>
      </c>
      <c r="AA9" s="516">
        <f>SUM(AA$15:AA$380)</f>
        <v>12138.359854468663</v>
      </c>
      <c r="AB9" s="516">
        <f>F9</f>
        <v>12138.62332403917</v>
      </c>
      <c r="AC9" s="325">
        <f>IF(An_Tnet,Tnet,'2018'!Tnet_s)</f>
        <v>43259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1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8"/>
      <c r="AE10" s="428"/>
      <c r="AF10" s="260"/>
      <c r="AG10" s="261"/>
      <c r="AH10" s="262"/>
      <c r="AI10" s="523"/>
      <c r="AJ10" s="516">
        <f>SUMIF(AJ15:AJ380,"FAUX",Wh_sa)</f>
        <v>12138.359854468663</v>
      </c>
      <c r="AK10" s="516">
        <f>SUMIF(AK15:AK380,"FAUX",Wh_hp)</f>
        <v>12138.62332403917</v>
      </c>
      <c r="AL10" s="516">
        <f>SUMIF(AJ15:AJ380,"FAUX",Wh_sa_s)</f>
        <v>12138.359854468663</v>
      </c>
      <c r="AM10" s="516">
        <f>SUMIF(AK15:AK380,"FAUX",Wh_hp)</f>
        <v>12138.62332403917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98.77463814363</v>
      </c>
      <c r="E11" s="51">
        <f>(E$9-D$9)*Prod_an/D$9</f>
        <v>253.32286439712462</v>
      </c>
      <c r="F11" s="186">
        <f>(F$9-E$9)*Prod_an/E$9</f>
        <v>0.25578101805789927</v>
      </c>
      <c r="G11" s="185" t="s">
        <v>6</v>
      </c>
      <c r="H11" s="335"/>
      <c r="K11" s="194"/>
      <c r="L11" s="182">
        <f>Tvie_2019</f>
        <v>43259</v>
      </c>
      <c r="M11" s="844"/>
      <c r="N11" s="844"/>
      <c r="O11" s="202">
        <f>IF(An_Tnet,Salim_2019,'2018'!Salim)</f>
        <v>7.0000000000000007E-2</v>
      </c>
      <c r="P11" s="256">
        <f>Ttai_2019</f>
        <v>43101</v>
      </c>
      <c r="Q11" s="272">
        <f>Dens_2019</f>
        <v>0.5</v>
      </c>
      <c r="R11" s="277"/>
      <c r="S11" s="230"/>
      <c r="T11" s="230"/>
      <c r="U11" s="266">
        <f>Htf_2019</f>
        <v>-1.0026107667502175</v>
      </c>
      <c r="V11" s="428"/>
      <c r="W11" s="519"/>
      <c r="X11" s="526" t="s">
        <v>43</v>
      </c>
      <c r="Y11" s="50">
        <f>Z$9-Prod_an_s</f>
        <v>98.77463814363</v>
      </c>
      <c r="Z11" s="51">
        <f>(AA$9-Z$9)*Prod_an_s/Z$9</f>
        <v>253.32286439712462</v>
      </c>
      <c r="AA11" s="186">
        <f>(AB$9-AA$9)*Prod_an_s/AA$9</f>
        <v>0.25578101805789927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0</v>
      </c>
      <c r="AK11" s="834">
        <f>IF($AK7=0,0,($AK9-$AK7)*$AK5/$AK7)</f>
        <v>0</v>
      </c>
      <c r="AL11" s="833">
        <f>IF($AL7=0,0,($AL9-$AL7)*$AL5/$AL7)</f>
        <v>0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4.7367195727860301E-2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1095</v>
      </c>
      <c r="P12" s="281">
        <f>INDEX(Croivg,MIN(MAX(Ttai-$A$15,0)+1,366))</f>
        <v>2.3909964587625958E-6</v>
      </c>
      <c r="Q12" s="280">
        <f>'2018'!Df</f>
        <v>0.5</v>
      </c>
      <c r="R12" s="278"/>
      <c r="S12" s="279"/>
      <c r="T12" s="279"/>
      <c r="U12" s="267">
        <f>'2018'!Hdf</f>
        <v>-1.5026107667502175</v>
      </c>
      <c r="V12" s="518"/>
      <c r="W12" s="505"/>
      <c r="X12" s="506"/>
      <c r="Y12" s="505"/>
      <c r="Z12" s="428"/>
      <c r="AA12" s="428"/>
      <c r="AB12" s="532"/>
      <c r="AC12" s="318" t="b">
        <f>NOT(An_Tnet)</f>
        <v>1</v>
      </c>
      <c r="AD12" s="428"/>
      <c r="AE12" s="296">
        <f>'2018'!Df_s</f>
        <v>0.5</v>
      </c>
      <c r="AF12" s="203"/>
      <c r="AG12" s="203"/>
      <c r="AH12" s="203"/>
      <c r="AI12" s="297">
        <f>'2018'!Hdf_s</f>
        <v>-1.5026107667502175</v>
      </c>
      <c r="AJ12" s="833">
        <f>IF($AJ8=0,0,($AJ10-$AJ8)*$AJ6/$AJ8)</f>
        <v>253.32286439712462</v>
      </c>
      <c r="AK12" s="834">
        <f>IF($AK8=0,0,($AK10-$AK8)*$AK6/$AK8)</f>
        <v>0.25578101805789927</v>
      </c>
      <c r="AL12" s="833">
        <f>IF($AL8=0,0,($AL10-$AL8)*$AL6/$AL8)</f>
        <v>253.32286439712462</v>
      </c>
      <c r="AM12" s="834">
        <f>IF($AM8=0,0,($AM10-$AM8)*$AM6/$AM8)</f>
        <v>0.25578101805789927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2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253.32286439712462</v>
      </c>
      <c r="AK13" s="73">
        <f>+AK11+AK12</f>
        <v>0.25578101805789927</v>
      </c>
      <c r="AL13" s="73">
        <f>+AL11+AL12</f>
        <v>253.32286439712462</v>
      </c>
      <c r="AM13" s="73">
        <f>+AM11+AM12</f>
        <v>0.25578101805789927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6">
        <v>1.7709999999999999</v>
      </c>
      <c r="C15" s="390"/>
      <c r="D15" s="393">
        <f t="shared" ref="D15:D78" si="0">Wh/(1-Ppv)</f>
        <v>1.7790477330258103</v>
      </c>
      <c r="E15" s="385">
        <f t="shared" ref="E15:E79" si="1">Wh_pvt/(1-Psa)</f>
        <v>1.8007726614640702</v>
      </c>
      <c r="F15" s="385">
        <f t="shared" ref="F15:F78" si="2">Wh_sa/(1-Pvg*MEDIAN((-Sdif+Wh/Env_an)/Csdif,0,1))</f>
        <v>1.8007726614640702</v>
      </c>
      <c r="G15" s="110">
        <f>+Wh_hp/MaxiM</f>
        <v>6.9822949212937954E-2</v>
      </c>
      <c r="H15" s="414" t="b">
        <f>Wh_hp&gt;='2018'!Maxi_hp</f>
        <v>1</v>
      </c>
      <c r="I15" s="396">
        <f>IF(H15,Wh_hp,'2018'!Maxi_hp)</f>
        <v>1.8007726614640702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4.5236183810103414E-3</v>
      </c>
      <c r="M15" s="847"/>
      <c r="N15" s="847"/>
      <c r="O15" s="422">
        <f>IF(t&lt;Tnet,'2018'!Resal+('2018'!Salim-'2018'!Resal)*(1-EXP(('2018'!Tnet-t)/('2018'!Tau_j))),Resal+(Salim-Resal)*(1-EXP((Tnet-t)/(Tau_j))))*Salcycl</f>
        <v>1.206422604205745E-2</v>
      </c>
      <c r="P15" s="302">
        <f>(INDEX(Models!$BJ15:$BT15,,T15)*(1-R15)+INDEX(Models!$BJ15:$BT15,,T15+1)*R15-ERP_i)*Q15*Ramure*Pc/MaxiM</f>
        <v>6.5199607684078713E-5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0.49739042874801176</v>
      </c>
      <c r="S15" s="810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-1.5026095712519882</v>
      </c>
      <c r="V15" s="382">
        <f t="shared" ref="V15:V78" si="8">MaxiM*(1-Ppv)*(1-Pvg)*(1-Psa)</f>
        <v>25.362499743374524</v>
      </c>
      <c r="W15" s="423"/>
      <c r="X15" s="424">
        <f t="shared" ref="X15:X78" si="9">t</f>
        <v>43466</v>
      </c>
      <c r="Y15" s="385">
        <f t="shared" ref="Y15:Y78" si="10">Wh_pvt_s*(1-Ppv)</f>
        <v>1.7709999999999999</v>
      </c>
      <c r="Z15" s="385">
        <f t="shared" ref="Z15:Z78" si="11">Wh_sa_s*(1-Psa_s)</f>
        <v>1.7790477330258103</v>
      </c>
      <c r="AA15" s="386">
        <f t="shared" ref="AA15:AA78" si="12">Wh_hp*(1-Pvg_s*MEDIAN((-Sdif+Wh/Env_an)/Csdif,0,1))</f>
        <v>1.8007726614640702</v>
      </c>
      <c r="AB15" s="425">
        <f t="shared" ref="AB15:AB78" si="13">t</f>
        <v>43466</v>
      </c>
      <c r="AC15" s="426">
        <f>IF(OR(t&lt;Tnet,NoTnet),'2018'!Resal_s+('2018'!Salim-'2018'!Resal_s)*(1-EXP(('2018'!Tnet_s-t)/'2018'!Tau_j)),Resal_s+(Salim-Resal_s)*(1-EXP((Tnet_s-t)/Tau_j)))*Salcycl</f>
        <v>1.206422604205745E-2</v>
      </c>
      <c r="AD15" s="231">
        <f>(INDEX(Models!$BJ15:$BT15,,AH15)*(1-AF15)+INDEX(Models!$BJ15:$BT15,,AH15+1)*AF15-ERP_i)*AE15*Ramure*Pc/MaxiM</f>
        <v>6.5199607684078713E-5</v>
      </c>
      <c r="AE15" s="303">
        <f t="shared" ref="AE15:AE78" si="14">IF(OR(t&lt;Ttai,Notai),Dd_s+PousD*Croivg,Dens_s+PousD*(Croivg-Croi_tai))</f>
        <v>0.5</v>
      </c>
      <c r="AF15" s="304">
        <f t="shared" ref="AF15:AF78" si="15">(Hp_vg_s-AG15)/(INDEX(Echel_vg,AH15+1)-AG15)</f>
        <v>0.49739042874801176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-1.5026095712519882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7">
        <v>7.3440000000000003</v>
      </c>
      <c r="C16" s="390"/>
      <c r="D16" s="393">
        <f t="shared" si="0"/>
        <v>7.3775340043998696</v>
      </c>
      <c r="E16" s="385">
        <f t="shared" si="1"/>
        <v>7.4680215069715485</v>
      </c>
      <c r="F16" s="385">
        <f t="shared" si="2"/>
        <v>7.4680215069715485</v>
      </c>
      <c r="G16" s="110">
        <f>+Wh_hp/MaxiM</f>
        <v>0.28751111952792929</v>
      </c>
      <c r="H16" s="414" t="b">
        <f>Wh_hp&gt;='2018'!Maxi_hp</f>
        <v>1</v>
      </c>
      <c r="I16" s="390">
        <f>IF(H16,Wh_hp,'2018'!Maxi_hp)</f>
        <v>7.4680215069715485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4.5454218685905268E-3</v>
      </c>
      <c r="M16" s="845"/>
      <c r="N16" s="845"/>
      <c r="O16" s="48">
        <f>IF(t&lt;Tnet,'2018'!Resal+('2018'!Salim-'2018'!Resal)*(1-EXP(('2018'!Tnet-t)/('2018'!Tau_j))),Resal+(Salim-Resal)*(1-EXP((Tnet-t)/(Tau_j))))*Salcycl</f>
        <v>1.211666336086566E-2</v>
      </c>
      <c r="P16" s="169">
        <f>(INDEX(Models!$BJ16:$BT16,,T16)*(1-R16)+INDEX(Models!$BJ16:$BT16,,T16+1)*R16-ERP_i)*Q16*Ramure*Pc/MaxiM</f>
        <v>6.4921785424775779E-5</v>
      </c>
      <c r="Q16" s="305">
        <f t="shared" si="4"/>
        <v>0.5</v>
      </c>
      <c r="R16" s="177">
        <f t="shared" si="5"/>
        <v>0.49741964336200617</v>
      </c>
      <c r="S16" s="811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-1.5025803566379938</v>
      </c>
      <c r="V16" s="383">
        <f t="shared" si="8"/>
        <v>25.541701574761106</v>
      </c>
      <c r="W16" s="58"/>
      <c r="X16" s="157">
        <f t="shared" si="9"/>
        <v>43467</v>
      </c>
      <c r="Y16" s="385">
        <f t="shared" si="10"/>
        <v>7.3440000000000003</v>
      </c>
      <c r="Z16" s="385">
        <f t="shared" si="11"/>
        <v>7.3775340043998696</v>
      </c>
      <c r="AA16" s="386">
        <f t="shared" si="12"/>
        <v>7.4680215069715485</v>
      </c>
      <c r="AB16" s="197">
        <f t="shared" si="13"/>
        <v>43467</v>
      </c>
      <c r="AC16" s="426">
        <f>IF(OR(t&lt;Tnet,NoTnet),'2018'!Resal_s+('2018'!Salim-'2018'!Resal_s)*(1-EXP(('2018'!Tnet_s-t)/'2018'!Tau_j)),Resal_s+(Salim-Resal_s)*(1-EXP((Tnet_s-t)/Tau_j)))*Salcycl</f>
        <v>1.211666336086566E-2</v>
      </c>
      <c r="AD16" s="231">
        <f>(INDEX(Models!$BJ16:$BT16,,AH16)*(1-AF16)+INDEX(Models!$BJ16:$BT16,,AH16+1)*AF16-ERP_i)*AE16*Ramure*Pc/MaxiM</f>
        <v>6.4921785424775779E-5</v>
      </c>
      <c r="AE16" s="305">
        <f t="shared" si="14"/>
        <v>0.5</v>
      </c>
      <c r="AF16" s="177">
        <f t="shared" si="15"/>
        <v>0.49741964336200617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-1.5025803566379938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7">
        <v>26.925000000000001</v>
      </c>
      <c r="C17" s="390"/>
      <c r="D17" s="393">
        <f t="shared" si="0"/>
        <v>27.048536749974712</v>
      </c>
      <c r="E17" s="385">
        <f>Wh_pvt/(1-Psa)</f>
        <v>27.381747300840711</v>
      </c>
      <c r="F17" s="385">
        <f t="shared" si="2"/>
        <v>27.383515682442006</v>
      </c>
      <c r="G17" s="110">
        <f t="shared" ref="G17:G79" si="23">+Wh_hp/MaxiM</f>
        <v>1.0465014242498614</v>
      </c>
      <c r="H17" s="414" t="b">
        <f>Wh_hp&gt;='2018'!Maxi_hp</f>
        <v>1</v>
      </c>
      <c r="I17" s="390">
        <f>IF(H17,Wh_hp,'2018'!Maxi_hp)</f>
        <v>27.383515682442006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4.5672248786184921E-3</v>
      </c>
      <c r="M17" s="845"/>
      <c r="N17" s="845"/>
      <c r="O17" s="48">
        <f>IF(t&lt;Tnet,'2018'!Resal+('2018'!Salim-'2018'!Resal)*(1-EXP(('2018'!Tnet-t)/('2018'!Tau_j))),Resal+(Salim-Resal)*(1-EXP((Tnet-t)/(Tau_j))))*Salcycl</f>
        <v>1.2169075523378627E-2</v>
      </c>
      <c r="P17" s="169">
        <f>(INDEX(Models!$BJ17:$BT17,,T17)*(1-R17)+INDEX(Models!$BJ17:$BT17,,T17+1)*R17-ERP_i)*Q17*Ramure*Pc/MaxiM</f>
        <v>6.4578325946205225E-5</v>
      </c>
      <c r="Q17" s="305">
        <f t="shared" si="4"/>
        <v>0.5</v>
      </c>
      <c r="R17" s="177">
        <f t="shared" si="5"/>
        <v>0.49745007995749568</v>
      </c>
      <c r="S17" s="811">
        <f t="shared" si="6"/>
        <v>-2</v>
      </c>
      <c r="T17" s="176">
        <f t="shared" si="7"/>
        <v>4</v>
      </c>
      <c r="U17" s="251">
        <f t="shared" si="21"/>
        <v>-1.5025499200425043</v>
      </c>
      <c r="V17" s="383">
        <f t="shared" si="8"/>
        <v>25.72858419117777</v>
      </c>
      <c r="W17" s="58"/>
      <c r="X17" s="157">
        <f t="shared" si="9"/>
        <v>43468</v>
      </c>
      <c r="Y17" s="385">
        <f t="shared" si="10"/>
        <v>26.925000000000001</v>
      </c>
      <c r="Z17" s="385">
        <f t="shared" si="11"/>
        <v>27.048536749974712</v>
      </c>
      <c r="AA17" s="386">
        <f t="shared" si="12"/>
        <v>27.381747300840711</v>
      </c>
      <c r="AB17" s="197">
        <f t="shared" si="13"/>
        <v>43468</v>
      </c>
      <c r="AC17" s="426">
        <f>IF(OR(t&lt;Tnet,NoTnet),'2018'!Resal_s+('2018'!Salim-'2018'!Resal_s)*(1-EXP(('2018'!Tnet_s-t)/'2018'!Tau_j)),Resal_s+(Salim-Resal_s)*(1-EXP((Tnet_s-t)/Tau_j)))*Salcycl</f>
        <v>1.2169075523378627E-2</v>
      </c>
      <c r="AD17" s="231">
        <f>(INDEX(Models!$BJ17:$BT17,,AH17)*(1-AF17)+INDEX(Models!$BJ17:$BT17,,AH17+1)*AF17-ERP_i)*AE17*Ramure*Pc/MaxiM</f>
        <v>6.4578325946205225E-5</v>
      </c>
      <c r="AE17" s="305">
        <f t="shared" si="14"/>
        <v>0.5</v>
      </c>
      <c r="AF17" s="177">
        <f t="shared" si="15"/>
        <v>0.49745007995749568</v>
      </c>
      <c r="AG17" s="176">
        <f t="shared" si="16"/>
        <v>-2</v>
      </c>
      <c r="AH17" s="176">
        <f t="shared" si="17"/>
        <v>4</v>
      </c>
      <c r="AI17" s="225">
        <f t="shared" si="22"/>
        <v>-1.5025499200425043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7">
        <v>24.042999999999999</v>
      </c>
      <c r="C18" s="390"/>
      <c r="D18" s="393">
        <f t="shared" si="0"/>
        <v>24.153842645985932</v>
      </c>
      <c r="E18" s="385">
        <f>Wh_pvt/(1-Psa)</f>
        <v>24.452690223299399</v>
      </c>
      <c r="F18" s="385">
        <f t="shared" si="2"/>
        <v>24.454097030053351</v>
      </c>
      <c r="G18" s="110">
        <f>+Wh_hp/MaxiM</f>
        <v>0.92750925637834625</v>
      </c>
      <c r="H18" s="414" t="b">
        <f>Wh_hp&gt;='2018'!Maxi_hp</f>
        <v>1</v>
      </c>
      <c r="I18" s="390">
        <f>IF(H18,Wh_hp,'2018'!Maxi_hp)</f>
        <v>24.454097030053351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4.5890274111044516E-3</v>
      </c>
      <c r="M18" s="845"/>
      <c r="N18" s="845"/>
      <c r="O18" s="48">
        <f>IF(t&lt;Tnet,'2018'!Resal+('2018'!Salim-'2018'!Resal)*(1-EXP(('2018'!Tnet-t)/('2018'!Tau_j))),Resal+(Salim-Resal)*(1-EXP((Tnet-t)/(Tau_j))))*Salcycl</f>
        <v>1.2221460075943505E-2</v>
      </c>
      <c r="P18" s="169">
        <f>(INDEX(Models!$BJ18:$BT18,,T18)*(1-R18)+INDEX(Models!$BJ18:$BT18,,T18+1)*R18-ERP_i)*Q18*Ramure*Pc/MaxiM</f>
        <v>6.4173607128903613E-5</v>
      </c>
      <c r="Q18" s="305">
        <f>IF(OR(t&lt;Ttai,Notai),Dd+PousD*Croivg,Dens+PousD*(Croivg-Croi_tai))</f>
        <v>0.5</v>
      </c>
      <c r="R18" s="177">
        <f t="shared" si="5"/>
        <v>0.49748178948879085</v>
      </c>
      <c r="S18" s="811">
        <f t="shared" si="6"/>
        <v>-2</v>
      </c>
      <c r="T18" s="176">
        <f t="shared" si="7"/>
        <v>4</v>
      </c>
      <c r="U18" s="251">
        <f t="shared" si="21"/>
        <v>-1.5025182105112092</v>
      </c>
      <c r="V18" s="383">
        <f t="shared" si="8"/>
        <v>25.921941001024233</v>
      </c>
      <c r="W18" s="58"/>
      <c r="X18" s="157">
        <f t="shared" si="9"/>
        <v>43469</v>
      </c>
      <c r="Y18" s="385">
        <f t="shared" si="10"/>
        <v>24.042999999999999</v>
      </c>
      <c r="Z18" s="385">
        <f>Wh_sa_s*(1-Psa_s)</f>
        <v>24.153842645985932</v>
      </c>
      <c r="AA18" s="386">
        <f t="shared" si="12"/>
        <v>24.452690223299399</v>
      </c>
      <c r="AB18" s="197">
        <f>t</f>
        <v>43469</v>
      </c>
      <c r="AC18" s="426">
        <f>IF(OR(t&lt;Tnet,NoTnet),'2018'!Resal_s+('2018'!Salim-'2018'!Resal_s)*(1-EXP(('2018'!Tnet_s-t)/'2018'!Tau_j)),Resal_s+(Salim-Resal_s)*(1-EXP((Tnet_s-t)/Tau_j)))*Salcycl</f>
        <v>1.2221460075943505E-2</v>
      </c>
      <c r="AD18" s="231">
        <f>(INDEX(Models!$BJ18:$BT18,,AH18)*(1-AF18)+INDEX(Models!$BJ18:$BT18,,AH18+1)*AF18-ERP_i)*AE18*Ramure*Pc/MaxiM</f>
        <v>6.4173607128903613E-5</v>
      </c>
      <c r="AE18" s="305">
        <f t="shared" si="14"/>
        <v>0.5</v>
      </c>
      <c r="AF18" s="177">
        <f t="shared" si="15"/>
        <v>0.49748178948879085</v>
      </c>
      <c r="AG18" s="176">
        <f t="shared" si="16"/>
        <v>-2</v>
      </c>
      <c r="AH18" s="176">
        <f t="shared" si="17"/>
        <v>4</v>
      </c>
      <c r="AI18" s="225">
        <f t="shared" si="22"/>
        <v>-1.5025182105112092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7">
        <v>26.59</v>
      </c>
      <c r="C19" s="390"/>
      <c r="D19" s="393">
        <f t="shared" si="0"/>
        <v>26.713169870771996</v>
      </c>
      <c r="E19" s="385">
        <f>Wh_pvt/(1-Psa)</f>
        <v>27.045116625789401</v>
      </c>
      <c r="F19" s="385">
        <f t="shared" si="2"/>
        <v>27.046839831733369</v>
      </c>
      <c r="G19" s="110">
        <f>+Wh_hp/MaxiM</f>
        <v>1.0179718250670069</v>
      </c>
      <c r="H19" s="414" t="b">
        <f>Wh_hp&gt;='2018'!Maxi_hp</f>
        <v>1</v>
      </c>
      <c r="I19" s="390">
        <f>IF(H19,Wh_hp,'2018'!Maxi_hp)</f>
        <v>27.046839831733369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4.6108294660590632E-3</v>
      </c>
      <c r="M19" s="845"/>
      <c r="N19" s="845"/>
      <c r="O19" s="48">
        <f>IF(t&lt;Tnet,'2018'!Resal+('2018'!Salim-'2018'!Resal)*(1-EXP(('2018'!Tnet-t)/('2018'!Tau_j))),Resal+(Salim-Resal)*(1-EXP((Tnet-t)/(Tau_j))))*Salcycl</f>
        <v>1.227381488534127E-2</v>
      </c>
      <c r="P19" s="169">
        <f>(INDEX(Models!$BJ19:$BT19,,T19)*(1-R19)+INDEX(Models!$BJ19:$BT19,,T19+1)*R19-ERP_i)*Q19*Ramure*Pc/MaxiM</f>
        <v>6.3711914393255585E-5</v>
      </c>
      <c r="Q19" s="305">
        <f t="shared" si="4"/>
        <v>0.5</v>
      </c>
      <c r="R19" s="177">
        <f t="shared" si="5"/>
        <v>0.49751482502135236</v>
      </c>
      <c r="S19" s="811">
        <f t="shared" si="6"/>
        <v>-2</v>
      </c>
      <c r="T19" s="176">
        <f t="shared" si="7"/>
        <v>4</v>
      </c>
      <c r="U19" s="251">
        <f t="shared" si="21"/>
        <v>-1.5024851749786476</v>
      </c>
      <c r="V19" s="383">
        <f t="shared" si="8"/>
        <v>26.120565761483373</v>
      </c>
      <c r="W19" s="58"/>
      <c r="X19" s="157">
        <f t="shared" si="9"/>
        <v>43470</v>
      </c>
      <c r="Y19" s="385">
        <f t="shared" si="10"/>
        <v>26.59</v>
      </c>
      <c r="Z19" s="385">
        <f t="shared" si="11"/>
        <v>26.713169870771996</v>
      </c>
      <c r="AA19" s="386">
        <f t="shared" si="12"/>
        <v>27.045116625789401</v>
      </c>
      <c r="AB19" s="197">
        <f t="shared" si="13"/>
        <v>43470</v>
      </c>
      <c r="AC19" s="426">
        <f>IF(OR(t&lt;Tnet,NoTnet),'2018'!Resal_s+('2018'!Salim-'2018'!Resal_s)*(1-EXP(('2018'!Tnet_s-t)/'2018'!Tau_j)),Resal_s+(Salim-Resal_s)*(1-EXP((Tnet_s-t)/Tau_j)))*Salcycl</f>
        <v>1.227381488534127E-2</v>
      </c>
      <c r="AD19" s="231">
        <f>(INDEX(Models!$BJ19:$BT19,,AH19)*(1-AF19)+INDEX(Models!$BJ19:$BT19,,AH19+1)*AF19-ERP_i)*AE19*Ramure*Pc/MaxiM</f>
        <v>6.3711914393255585E-5</v>
      </c>
      <c r="AE19" s="305">
        <f t="shared" si="14"/>
        <v>0.5</v>
      </c>
      <c r="AF19" s="177">
        <f t="shared" si="15"/>
        <v>0.49751482502135236</v>
      </c>
      <c r="AG19" s="176">
        <f t="shared" si="16"/>
        <v>-2</v>
      </c>
      <c r="AH19" s="176">
        <f t="shared" si="17"/>
        <v>4</v>
      </c>
      <c r="AI19" s="225">
        <f t="shared" si="22"/>
        <v>-1.5024851749786476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7">
        <v>4.6459999999999999</v>
      </c>
      <c r="C20" s="390"/>
      <c r="D20" s="393">
        <f t="shared" si="0"/>
        <v>4.6676233769554161</v>
      </c>
      <c r="E20" s="385">
        <f t="shared" si="1"/>
        <v>4.7258751670725649</v>
      </c>
      <c r="F20" s="385">
        <f t="shared" si="2"/>
        <v>4.7258751670725649</v>
      </c>
      <c r="G20" s="110">
        <f t="shared" si="23"/>
        <v>0.17648679125961181</v>
      </c>
      <c r="H20" s="414" t="b">
        <f>Wh_hp&gt;='2018'!Maxi_hp</f>
        <v>1</v>
      </c>
      <c r="I20" s="390">
        <f>IF(H20,Wh_hp,'2018'!Maxi_hp)</f>
        <v>4.7258751670725649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4.6326310434927631E-3</v>
      </c>
      <c r="M20" s="845"/>
      <c r="N20" s="845"/>
      <c r="O20" s="48">
        <f>IF(t&lt;Tnet,'2018'!Resal+('2018'!Salim-'2018'!Resal)*(1-EXP(('2018'!Tnet-t)/('2018'!Tau_j))),Resal+(Salim-Resal)*(1-EXP((Tnet-t)/(Tau_j))))*Salcycl</f>
        <v>1.232613813479805E-2</v>
      </c>
      <c r="P20" s="169">
        <f>(INDEX(Models!$BJ20:$BT20,,T20)*(1-R20)+INDEX(Models!$BJ20:$BT20,,T20+1)*R20-ERP_i)*Q20*Ramure*Pc/MaxiM</f>
        <v>6.3197409414738018E-5</v>
      </c>
      <c r="Q20" s="305">
        <f t="shared" si="4"/>
        <v>0.5</v>
      </c>
      <c r="R20" s="177">
        <f t="shared" si="5"/>
        <v>0.49754924181810312</v>
      </c>
      <c r="S20" s="811">
        <f t="shared" si="6"/>
        <v>-2</v>
      </c>
      <c r="T20" s="176">
        <f t="shared" si="7"/>
        <v>4</v>
      </c>
      <c r="U20" s="251">
        <f t="shared" si="21"/>
        <v>-1.5024507581818969</v>
      </c>
      <c r="V20" s="383">
        <f t="shared" si="8"/>
        <v>26.323252588359615</v>
      </c>
      <c r="W20" s="58"/>
      <c r="X20" s="157">
        <f t="shared" si="9"/>
        <v>43471</v>
      </c>
      <c r="Y20" s="385">
        <f t="shared" si="10"/>
        <v>4.6459999999999999</v>
      </c>
      <c r="Z20" s="385">
        <f t="shared" si="11"/>
        <v>4.6676233769554161</v>
      </c>
      <c r="AA20" s="386">
        <f t="shared" si="12"/>
        <v>4.7258751670725649</v>
      </c>
      <c r="AB20" s="197">
        <f t="shared" si="13"/>
        <v>43471</v>
      </c>
      <c r="AC20" s="426">
        <f>IF(OR(t&lt;Tnet,NoTnet),'2018'!Resal_s+('2018'!Salim-'2018'!Resal_s)*(1-EXP(('2018'!Tnet_s-t)/'2018'!Tau_j)),Resal_s+(Salim-Resal_s)*(1-EXP((Tnet_s-t)/Tau_j)))*Salcycl</f>
        <v>1.232613813479805E-2</v>
      </c>
      <c r="AD20" s="231">
        <f>(INDEX(Models!$BJ20:$BT20,,AH20)*(1-AF20)+INDEX(Models!$BJ20:$BT20,,AH20+1)*AF20-ERP_i)*AE20*Ramure*Pc/MaxiM</f>
        <v>6.3197409414738018E-5</v>
      </c>
      <c r="AE20" s="305">
        <f>IF(OR(t&lt;Ttai,Notai),Dd_s+PousD*Croivg,Dens_s+PousD*(Croivg-Croi_tai))</f>
        <v>0.5</v>
      </c>
      <c r="AF20" s="177">
        <f t="shared" si="15"/>
        <v>0.49754924181810312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-1.5024507581818969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7">
        <v>2.8</v>
      </c>
      <c r="C21" s="390"/>
      <c r="D21" s="393">
        <f t="shared" si="0"/>
        <v>2.8130933521205392</v>
      </c>
      <c r="E21" s="385">
        <f t="shared" si="1"/>
        <v>2.8483514665709446</v>
      </c>
      <c r="F21" s="385">
        <f t="shared" si="2"/>
        <v>2.8483514665709446</v>
      </c>
      <c r="G21" s="110">
        <f t="shared" si="23"/>
        <v>0.10553907647971467</v>
      </c>
      <c r="H21" s="414" t="b">
        <f>Wh_hp&gt;='2018'!Maxi_hp</f>
        <v>1</v>
      </c>
      <c r="I21" s="390">
        <f>IF(H21,Wh_hp,'2018'!Maxi_hp)</f>
        <v>2.8483514665709446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4.6544321434158764E-3</v>
      </c>
      <c r="M21" s="845"/>
      <c r="N21" s="845"/>
      <c r="O21" s="48">
        <f>IF(t&lt;Tnet,'2018'!Resal+('2018'!Salim-'2018'!Resal)*(1-EXP(('2018'!Tnet-t)/('2018'!Tau_j))),Resal+(Salim-Resal)*(1-EXP((Tnet-t)/(Tau_j))))*Salcycl</f>
        <v>1.2378428316942179E-2</v>
      </c>
      <c r="P21" s="169">
        <f>(INDEX(Models!$BJ21:$BT21,,T21)*(1-R21)+INDEX(Models!$BJ21:$BT21,,T21+1)*R21-ERP_i)*Q21*Ramure*Pc/MaxiM</f>
        <v>6.2634103998091779E-5</v>
      </c>
      <c r="Q21" s="305">
        <f t="shared" si="4"/>
        <v>0.5</v>
      </c>
      <c r="R21" s="177">
        <f t="shared" si="5"/>
        <v>0.49758509742916623</v>
      </c>
      <c r="S21" s="811">
        <f t="shared" si="6"/>
        <v>-2</v>
      </c>
      <c r="T21" s="176">
        <f t="shared" si="7"/>
        <v>4</v>
      </c>
      <c r="U21" s="251">
        <f t="shared" si="21"/>
        <v>-1.5024149025708338</v>
      </c>
      <c r="V21" s="383">
        <f t="shared" si="8"/>
        <v>26.528795948360894</v>
      </c>
      <c r="W21" s="58"/>
      <c r="X21" s="157">
        <f t="shared" si="9"/>
        <v>43472</v>
      </c>
      <c r="Y21" s="385">
        <f t="shared" si="10"/>
        <v>2.8</v>
      </c>
      <c r="Z21" s="385">
        <f t="shared" si="11"/>
        <v>2.8130933521205392</v>
      </c>
      <c r="AA21" s="386">
        <f t="shared" si="12"/>
        <v>2.8483514665709446</v>
      </c>
      <c r="AB21" s="197">
        <f t="shared" si="13"/>
        <v>43472</v>
      </c>
      <c r="AC21" s="426">
        <f>IF(OR(t&lt;Tnet,NoTnet),'2018'!Resal_s+('2018'!Salim-'2018'!Resal_s)*(1-EXP(('2018'!Tnet_s-t)/'2018'!Tau_j)),Resal_s+(Salim-Resal_s)*(1-EXP((Tnet_s-t)/Tau_j)))*Salcycl</f>
        <v>1.2378428316942179E-2</v>
      </c>
      <c r="AD21" s="231">
        <f>(INDEX(Models!$BJ21:$BT21,,AH21)*(1-AF21)+INDEX(Models!$BJ21:$BT21,,AH21+1)*AF21-ERP_i)*AE21*Ramure*Pc/MaxiM</f>
        <v>6.2634103998091779E-5</v>
      </c>
      <c r="AE21" s="305">
        <f t="shared" si="14"/>
        <v>0.5</v>
      </c>
      <c r="AF21" s="177">
        <f t="shared" si="15"/>
        <v>0.49758509742916623</v>
      </c>
      <c r="AG21" s="176">
        <f t="shared" si="16"/>
        <v>-2</v>
      </c>
      <c r="AH21" s="176">
        <f t="shared" si="17"/>
        <v>4</v>
      </c>
      <c r="AI21" s="225">
        <f t="shared" si="22"/>
        <v>-1.5024149025708338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7">
        <v>4.3840000000000003</v>
      </c>
      <c r="C22" s="390"/>
      <c r="D22" s="393">
        <f t="shared" si="0"/>
        <v>4.4045969204396744</v>
      </c>
      <c r="E22" s="385">
        <f t="shared" si="1"/>
        <v>4.4600382475209654</v>
      </c>
      <c r="F22" s="385">
        <f t="shared" si="2"/>
        <v>4.4600382475209654</v>
      </c>
      <c r="G22" s="110">
        <f t="shared" si="23"/>
        <v>0.16396355509438559</v>
      </c>
      <c r="H22" s="414" t="b">
        <f>Wh_hp&gt;='2018'!Maxi_hp</f>
        <v>1</v>
      </c>
      <c r="I22" s="390">
        <f>IF(H22,Wh_hp,'2018'!Maxi_hp)</f>
        <v>4.4600382475209654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4.6762327658390612E-3</v>
      </c>
      <c r="M22" s="845"/>
      <c r="N22" s="845"/>
      <c r="O22" s="48">
        <f>IF(t&lt;Tnet,'2018'!Resal+('2018'!Salim-'2018'!Resal)*(1-EXP(('2018'!Tnet-t)/('2018'!Tau_j))),Resal+(Salim-Resal)*(1-EXP((Tnet-t)/(Tau_j))))*Salcycl</f>
        <v>1.2430684223864499E-2</v>
      </c>
      <c r="P22" s="169">
        <f>(INDEX(Models!$BJ22:$BT22,,T22)*(1-R22)+INDEX(Models!$BJ22:$BT22,,T22+1)*R22-ERP_i)*Q22*Ramure*Pc/MaxiM</f>
        <v>6.2025838670833291E-5</v>
      </c>
      <c r="Q22" s="305">
        <f t="shared" si="4"/>
        <v>0.5</v>
      </c>
      <c r="R22" s="177">
        <f t="shared" si="5"/>
        <v>0.49762245178516351</v>
      </c>
      <c r="S22" s="811">
        <f t="shared" si="6"/>
        <v>-2</v>
      </c>
      <c r="T22" s="176">
        <f t="shared" si="7"/>
        <v>4</v>
      </c>
      <c r="U22" s="251">
        <f t="shared" si="21"/>
        <v>-1.5023775482148365</v>
      </c>
      <c r="V22" s="383">
        <f t="shared" si="8"/>
        <v>26.735990666948972</v>
      </c>
      <c r="W22" s="58"/>
      <c r="X22" s="157">
        <f t="shared" si="9"/>
        <v>43473</v>
      </c>
      <c r="Y22" s="385">
        <f t="shared" si="10"/>
        <v>4.3840000000000003</v>
      </c>
      <c r="Z22" s="385">
        <f t="shared" si="11"/>
        <v>4.4045969204396744</v>
      </c>
      <c r="AA22" s="386">
        <f t="shared" si="12"/>
        <v>4.4600382475209654</v>
      </c>
      <c r="AB22" s="197">
        <f t="shared" si="13"/>
        <v>43473</v>
      </c>
      <c r="AC22" s="426">
        <f>IF(OR(t&lt;Tnet,NoTnet),'2018'!Resal_s+('2018'!Salim-'2018'!Resal_s)*(1-EXP(('2018'!Tnet_s-t)/'2018'!Tau_j)),Resal_s+(Salim-Resal_s)*(1-EXP((Tnet_s-t)/Tau_j)))*Salcycl</f>
        <v>1.2430684223864499E-2</v>
      </c>
      <c r="AD22" s="231">
        <f>(INDEX(Models!$BJ22:$BT22,,AH22)*(1-AF22)+INDEX(Models!$BJ22:$BT22,,AH22+1)*AF22-ERP_i)*AE22*Ramure*Pc/MaxiM</f>
        <v>6.2025838670833291E-5</v>
      </c>
      <c r="AE22" s="305">
        <f t="shared" si="14"/>
        <v>0.5</v>
      </c>
      <c r="AF22" s="177">
        <f t="shared" si="15"/>
        <v>0.49762245178516351</v>
      </c>
      <c r="AG22" s="176">
        <f t="shared" si="16"/>
        <v>-2</v>
      </c>
      <c r="AH22" s="176">
        <f t="shared" si="17"/>
        <v>4</v>
      </c>
      <c r="AI22" s="225">
        <f t="shared" si="22"/>
        <v>-1.5023775482148365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7">
        <v>11.691000000000001</v>
      </c>
      <c r="C23" s="390"/>
      <c r="D23" s="393">
        <f t="shared" si="0"/>
        <v>11.7461839588145</v>
      </c>
      <c r="E23" s="385">
        <f t="shared" si="1"/>
        <v>11.894663917726902</v>
      </c>
      <c r="F23" s="385">
        <f t="shared" si="2"/>
        <v>11.894803492023692</v>
      </c>
      <c r="G23" s="110">
        <f t="shared" si="23"/>
        <v>0.43382453258493081</v>
      </c>
      <c r="H23" s="414" t="b">
        <f>Wh_hp&gt;='2018'!Maxi_hp</f>
        <v>1</v>
      </c>
      <c r="I23" s="390">
        <f>IF(H23,Wh_hp,'2018'!Maxi_hp)</f>
        <v>11.894803492023692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4.6980329107725316E-3</v>
      </c>
      <c r="M23" s="845"/>
      <c r="N23" s="845"/>
      <c r="O23" s="48">
        <f>IF(t&lt;Tnet,'2018'!Resal+('2018'!Salim-'2018'!Resal)*(1-EXP(('2018'!Tnet-t)/('2018'!Tau_j))),Resal+(Salim-Resal)*(1-EXP((Tnet-t)/(Tau_j))))*Salcycl</f>
        <v>1.2482904934465522E-2</v>
      </c>
      <c r="P23" s="169">
        <f>(INDEX(Models!$BJ23:$BT23,,T23)*(1-R23)+INDEX(Models!$BJ23:$BT23,,T23+1)*R23-ERP_i)*Q23*Ramure*Pc/MaxiM</f>
        <v>6.1367807163404295E-5</v>
      </c>
      <c r="Q23" s="305">
        <f t="shared" si="4"/>
        <v>0.5</v>
      </c>
      <c r="R23" s="177">
        <f t="shared" si="5"/>
        <v>0.49766136729419852</v>
      </c>
      <c r="S23" s="811">
        <f t="shared" si="6"/>
        <v>-2</v>
      </c>
      <c r="T23" s="176">
        <f t="shared" si="7"/>
        <v>4</v>
      </c>
      <c r="U23" s="251">
        <f t="shared" si="21"/>
        <v>-1.5023386327058015</v>
      </c>
      <c r="V23" s="383">
        <f t="shared" si="8"/>
        <v>26.947345866669966</v>
      </c>
      <c r="W23" s="58"/>
      <c r="X23" s="157">
        <f t="shared" si="9"/>
        <v>43474</v>
      </c>
      <c r="Y23" s="385">
        <f t="shared" si="10"/>
        <v>11.691000000000001</v>
      </c>
      <c r="Z23" s="385">
        <f t="shared" si="11"/>
        <v>11.7461839588145</v>
      </c>
      <c r="AA23" s="386">
        <f t="shared" si="12"/>
        <v>11.894663917726902</v>
      </c>
      <c r="AB23" s="197">
        <f t="shared" si="13"/>
        <v>43474</v>
      </c>
      <c r="AC23" s="426">
        <f>IF(OR(t&lt;Tnet,NoTnet),'2018'!Resal_s+('2018'!Salim-'2018'!Resal_s)*(1-EXP(('2018'!Tnet_s-t)/'2018'!Tau_j)),Resal_s+(Salim-Resal_s)*(1-EXP((Tnet_s-t)/Tau_j)))*Salcycl</f>
        <v>1.2482904934465522E-2</v>
      </c>
      <c r="AD23" s="231">
        <f>(INDEX(Models!$BJ23:$BT23,,AH23)*(1-AF23)+INDEX(Models!$BJ23:$BT23,,AH23+1)*AF23-ERP_i)*AE23*Ramure*Pc/MaxiM</f>
        <v>6.1367807163404295E-5</v>
      </c>
      <c r="AE23" s="305">
        <f t="shared" si="14"/>
        <v>0.5</v>
      </c>
      <c r="AF23" s="177">
        <f t="shared" si="15"/>
        <v>0.49766136729419852</v>
      </c>
      <c r="AG23" s="176">
        <f t="shared" si="16"/>
        <v>-2</v>
      </c>
      <c r="AH23" s="176">
        <f t="shared" si="17"/>
        <v>4</v>
      </c>
      <c r="AI23" s="225">
        <f t="shared" si="22"/>
        <v>-1.5023386327058015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7">
        <v>13.003</v>
      </c>
      <c r="C24" s="390"/>
      <c r="D24" s="393">
        <f t="shared" si="0"/>
        <v>13.064663022155527</v>
      </c>
      <c r="E24" s="385">
        <f t="shared" si="1"/>
        <v>13.230508635998138</v>
      </c>
      <c r="F24" s="385">
        <f t="shared" si="2"/>
        <v>13.230713123965954</v>
      </c>
      <c r="G24" s="110">
        <f t="shared" si="23"/>
        <v>0.47862782361208095</v>
      </c>
      <c r="H24" s="414" t="b">
        <f>Wh_hp&gt;='2018'!Maxi_hp</f>
        <v>1</v>
      </c>
      <c r="I24" s="390">
        <f>IF(H24,Wh_hp,'2018'!Maxi_hp)</f>
        <v>13.230713123965954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4.7198325782269457E-3</v>
      </c>
      <c r="M24" s="845"/>
      <c r="N24" s="845"/>
      <c r="O24" s="48">
        <f>IF(t&lt;Tnet,'2018'!Resal+('2018'!Salim-'2018'!Resal)*(1-EXP(('2018'!Tnet-t)/('2018'!Tau_j))),Resal+(Salim-Resal)*(1-EXP((Tnet-t)/(Tau_j))))*Salcycl</f>
        <v>1.2535089799296946E-2</v>
      </c>
      <c r="P24" s="169">
        <f>(INDEX(Models!$BJ24:$BT24,,T24)*(1-R24)+INDEX(Models!$BJ24:$BT24,,T24+1)*R24-ERP_i)*Q24*Ramure*Pc/MaxiM</f>
        <v>6.0559314832668346E-5</v>
      </c>
      <c r="Q24" s="305">
        <f t="shared" si="4"/>
        <v>0.5</v>
      </c>
      <c r="R24" s="177">
        <f t="shared" si="5"/>
        <v>0.49770190894266819</v>
      </c>
      <c r="S24" s="811">
        <f t="shared" si="6"/>
        <v>-2</v>
      </c>
      <c r="T24" s="176">
        <f t="shared" si="7"/>
        <v>4</v>
      </c>
      <c r="U24" s="251">
        <f t="shared" si="21"/>
        <v>-1.5022980910573318</v>
      </c>
      <c r="V24" s="383">
        <f t="shared" si="8"/>
        <v>27.166020998475794</v>
      </c>
      <c r="W24" s="58"/>
      <c r="X24" s="157">
        <f t="shared" si="9"/>
        <v>43475</v>
      </c>
      <c r="Y24" s="385">
        <f t="shared" si="10"/>
        <v>13.003</v>
      </c>
      <c r="Z24" s="385">
        <f t="shared" si="11"/>
        <v>13.064663022155527</v>
      </c>
      <c r="AA24" s="386">
        <f t="shared" si="12"/>
        <v>13.230508635998138</v>
      </c>
      <c r="AB24" s="197">
        <f t="shared" si="13"/>
        <v>43475</v>
      </c>
      <c r="AC24" s="426">
        <f>IF(OR(t&lt;Tnet,NoTnet),'2018'!Resal_s+('2018'!Salim-'2018'!Resal_s)*(1-EXP(('2018'!Tnet_s-t)/'2018'!Tau_j)),Resal_s+(Salim-Resal_s)*(1-EXP((Tnet_s-t)/Tau_j)))*Salcycl</f>
        <v>1.2535089799296946E-2</v>
      </c>
      <c r="AD24" s="231">
        <f>(INDEX(Models!$BJ24:$BT24,,AH24)*(1-AF24)+INDEX(Models!$BJ24:$BT24,,AH24+1)*AF24-ERP_i)*AE24*Ramure*Pc/MaxiM</f>
        <v>6.0559314832668346E-5</v>
      </c>
      <c r="AE24" s="305">
        <f t="shared" si="14"/>
        <v>0.5</v>
      </c>
      <c r="AF24" s="177">
        <f t="shared" si="15"/>
        <v>0.49770190894266819</v>
      </c>
      <c r="AG24" s="176">
        <f t="shared" si="16"/>
        <v>-2</v>
      </c>
      <c r="AH24" s="176">
        <f t="shared" si="17"/>
        <v>4</v>
      </c>
      <c r="AI24" s="225">
        <f t="shared" si="22"/>
        <v>-1.5022980910573318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7">
        <v>24.864999999999998</v>
      </c>
      <c r="C25" s="390"/>
      <c r="D25" s="393">
        <f t="shared" si="0"/>
        <v>24.98346237889572</v>
      </c>
      <c r="E25" s="385">
        <f t="shared" si="1"/>
        <v>25.301943980344912</v>
      </c>
      <c r="F25" s="385">
        <f t="shared" si="2"/>
        <v>25.303252849668574</v>
      </c>
      <c r="G25" s="110">
        <f t="shared" si="23"/>
        <v>0.90774683309718207</v>
      </c>
      <c r="H25" s="414" t="b">
        <f>Wh_hp&gt;='2018'!Maxi_hp</f>
        <v>1</v>
      </c>
      <c r="I25" s="390">
        <f>IF(H25,Wh_hp,'2018'!Maxi_hp)</f>
        <v>25.303252849668574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4.7416317682127396E-3</v>
      </c>
      <c r="M25" s="845"/>
      <c r="N25" s="845"/>
      <c r="O25" s="48">
        <f>IF(t&lt;Tnet,'2018'!Resal+('2018'!Salim-'2018'!Resal)*(1-EXP(('2018'!Tnet-t)/('2018'!Tau_j))),Resal+(Salim-Resal)*(1-EXP((Tnet-t)/(Tau_j))))*Salcycl</f>
        <v>1.2587238423126545E-2</v>
      </c>
      <c r="P25" s="169">
        <f>(INDEX(Models!$BJ25:$BT25,,T25)*(1-R25)+INDEX(Models!$BJ25:$BT25,,T25+1)*R25-ERP_i)*Q25*Ramure*Pc/MaxiM</f>
        <v>5.9578583867826135E-5</v>
      </c>
      <c r="Q25" s="305">
        <f t="shared" si="4"/>
        <v>0.5</v>
      </c>
      <c r="R25" s="177">
        <f t="shared" si="5"/>
        <v>0.49774414440003412</v>
      </c>
      <c r="S25" s="811">
        <f t="shared" si="6"/>
        <v>-2</v>
      </c>
      <c r="T25" s="176">
        <f t="shared" si="7"/>
        <v>4</v>
      </c>
      <c r="U25" s="251">
        <f t="shared" si="21"/>
        <v>-1.5022558555999659</v>
      </c>
      <c r="V25" s="383">
        <f t="shared" si="8"/>
        <v>27.391783547463934</v>
      </c>
      <c r="W25" s="58"/>
      <c r="X25" s="157">
        <f t="shared" si="9"/>
        <v>43476</v>
      </c>
      <c r="Y25" s="385">
        <f t="shared" si="10"/>
        <v>24.864999999999998</v>
      </c>
      <c r="Z25" s="385">
        <f t="shared" si="11"/>
        <v>24.98346237889572</v>
      </c>
      <c r="AA25" s="386">
        <f t="shared" si="12"/>
        <v>25.301943980344912</v>
      </c>
      <c r="AB25" s="197">
        <f t="shared" si="13"/>
        <v>43476</v>
      </c>
      <c r="AC25" s="426">
        <f>IF(OR(t&lt;Tnet,NoTnet),'2018'!Resal_s+('2018'!Salim-'2018'!Resal_s)*(1-EXP(('2018'!Tnet_s-t)/'2018'!Tau_j)),Resal_s+(Salim-Resal_s)*(1-EXP((Tnet_s-t)/Tau_j)))*Salcycl</f>
        <v>1.2587238423126545E-2</v>
      </c>
      <c r="AD25" s="231">
        <f>(INDEX(Models!$BJ25:$BT25,,AH25)*(1-AF25)+INDEX(Models!$BJ25:$BT25,,AH25+1)*AF25-ERP_i)*AE25*Ramure*Pc/MaxiM</f>
        <v>5.9578583867826135E-5</v>
      </c>
      <c r="AE25" s="305">
        <f t="shared" si="14"/>
        <v>0.5</v>
      </c>
      <c r="AF25" s="177">
        <f t="shared" si="15"/>
        <v>0.49774414440003412</v>
      </c>
      <c r="AG25" s="176">
        <f t="shared" si="16"/>
        <v>-2</v>
      </c>
      <c r="AH25" s="176">
        <f t="shared" si="17"/>
        <v>4</v>
      </c>
      <c r="AI25" s="225">
        <f t="shared" si="22"/>
        <v>-1.5022558555999659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7">
        <v>9.4700000000000006</v>
      </c>
      <c r="C26" s="390"/>
      <c r="D26" s="393">
        <f t="shared" si="0"/>
        <v>9.5153255919589057</v>
      </c>
      <c r="E26" s="385">
        <f t="shared" si="1"/>
        <v>9.6371326912607156</v>
      </c>
      <c r="F26" s="385">
        <f t="shared" si="2"/>
        <v>9.6371671316481109</v>
      </c>
      <c r="G26" s="110">
        <f t="shared" si="23"/>
        <v>0.34279406548845121</v>
      </c>
      <c r="H26" s="414" t="b">
        <f>Wh_hp&gt;='2018'!Maxi_hp</f>
        <v>1</v>
      </c>
      <c r="I26" s="390">
        <f>IF(H26,Wh_hp,'2018'!Maxi_hp)</f>
        <v>9.6371671316481109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4.7634304807402383E-3</v>
      </c>
      <c r="M26" s="845"/>
      <c r="N26" s="845"/>
      <c r="O26" s="48">
        <f>IF(t&lt;Tnet,'2018'!Resal+('2018'!Salim-'2018'!Resal)*(1-EXP(('2018'!Tnet-t)/('2018'!Tau_j))),Resal+(Salim-Resal)*(1-EXP((Tnet-t)/(Tau_j))))*Salcycl</f>
        <v>1.2639350645474483E-2</v>
      </c>
      <c r="P26" s="169">
        <f>(INDEX(Models!$BJ26:$BT26,,T26)*(1-R26)+INDEX(Models!$BJ26:$BT26,,T26+1)*R26-ERP_i)*Q26*Ramure*Pc/MaxiM</f>
        <v>5.843086584234439E-5</v>
      </c>
      <c r="Q26" s="305">
        <f t="shared" si="4"/>
        <v>0.5</v>
      </c>
      <c r="R26" s="177">
        <f t="shared" si="5"/>
        <v>0.49778814412770522</v>
      </c>
      <c r="S26" s="811">
        <f t="shared" si="6"/>
        <v>-2</v>
      </c>
      <c r="T26" s="176">
        <f t="shared" si="7"/>
        <v>4</v>
      </c>
      <c r="U26" s="251">
        <f t="shared" si="21"/>
        <v>-1.5022118558722948</v>
      </c>
      <c r="V26" s="383">
        <f t="shared" si="8"/>
        <v>27.624400344656593</v>
      </c>
      <c r="W26" s="58"/>
      <c r="X26" s="157">
        <f t="shared" si="9"/>
        <v>43477</v>
      </c>
      <c r="Y26" s="385">
        <f t="shared" si="10"/>
        <v>9.4700000000000006</v>
      </c>
      <c r="Z26" s="385">
        <f t="shared" si="11"/>
        <v>9.5153255919589057</v>
      </c>
      <c r="AA26" s="386">
        <f t="shared" si="12"/>
        <v>9.6371326912607156</v>
      </c>
      <c r="AB26" s="197">
        <f t="shared" si="13"/>
        <v>43477</v>
      </c>
      <c r="AC26" s="426">
        <f>IF(OR(t&lt;Tnet,NoTnet),'2018'!Resal_s+('2018'!Salim-'2018'!Resal_s)*(1-EXP(('2018'!Tnet_s-t)/'2018'!Tau_j)),Resal_s+(Salim-Resal_s)*(1-EXP((Tnet_s-t)/Tau_j)))*Salcycl</f>
        <v>1.2639350645474483E-2</v>
      </c>
      <c r="AD26" s="231">
        <f>(INDEX(Models!$BJ26:$BT26,,AH26)*(1-AF26)+INDEX(Models!$BJ26:$BT26,,AH26+1)*AF26-ERP_i)*AE26*Ramure*Pc/MaxiM</f>
        <v>5.843086584234439E-5</v>
      </c>
      <c r="AE26" s="305">
        <f t="shared" si="14"/>
        <v>0.5</v>
      </c>
      <c r="AF26" s="177">
        <f t="shared" si="15"/>
        <v>0.49778814412770522</v>
      </c>
      <c r="AG26" s="176">
        <f t="shared" si="16"/>
        <v>-2</v>
      </c>
      <c r="AH26" s="176">
        <f t="shared" si="17"/>
        <v>4</v>
      </c>
      <c r="AI26" s="225">
        <f t="shared" si="22"/>
        <v>-1.5022118558722948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7">
        <v>4.0149999999999997</v>
      </c>
      <c r="C27" s="390"/>
      <c r="D27" s="393">
        <f t="shared" si="0"/>
        <v>4.0343050724812155</v>
      </c>
      <c r="E27" s="385">
        <f t="shared" si="1"/>
        <v>4.0861643267806862</v>
      </c>
      <c r="F27" s="385">
        <f t="shared" si="2"/>
        <v>4.0861643267806862</v>
      </c>
      <c r="G27" s="110">
        <f t="shared" si="23"/>
        <v>0.14408637583231149</v>
      </c>
      <c r="H27" s="414" t="b">
        <f>Wh_hp&gt;='2018'!Maxi_hp</f>
        <v>1</v>
      </c>
      <c r="I27" s="390">
        <f>IF(H27,Wh_hp,'2018'!Maxi_hp)</f>
        <v>4.0861643267806862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4.7852287158201001E-3</v>
      </c>
      <c r="M27" s="845"/>
      <c r="N27" s="845"/>
      <c r="O27" s="48">
        <f>IF(t&lt;Tnet,'2018'!Resal+('2018'!Salim-'2018'!Resal)*(1-EXP(('2018'!Tnet-t)/('2018'!Tau_j))),Resal+(Salim-Resal)*(1-EXP((Tnet-t)/(Tau_j))))*Salcycl</f>
        <v>1.2691426519385372E-2</v>
      </c>
      <c r="P27" s="169">
        <f>(INDEX(Models!$BJ27:$BT27,,T27)*(1-R27)+INDEX(Models!$BJ27:$BT27,,T27+1)*R27-ERP_i)*Q27*Ramure*Pc/MaxiM</f>
        <v>5.7121468689470078E-5</v>
      </c>
      <c r="Q27" s="305">
        <f t="shared" si="4"/>
        <v>0.5</v>
      </c>
      <c r="R27" s="177">
        <f t="shared" si="5"/>
        <v>0.49783398149217439</v>
      </c>
      <c r="S27" s="811">
        <f t="shared" si="6"/>
        <v>-2</v>
      </c>
      <c r="T27" s="176">
        <f t="shared" si="7"/>
        <v>4</v>
      </c>
      <c r="U27" s="251">
        <f t="shared" si="21"/>
        <v>-1.5021660185078256</v>
      </c>
      <c r="V27" s="383">
        <f t="shared" si="8"/>
        <v>27.863638280246722</v>
      </c>
      <c r="W27" s="58"/>
      <c r="X27" s="157">
        <f t="shared" si="9"/>
        <v>43478</v>
      </c>
      <c r="Y27" s="385">
        <f t="shared" si="10"/>
        <v>4.0149999999999997</v>
      </c>
      <c r="Z27" s="385">
        <f t="shared" si="11"/>
        <v>4.0343050724812155</v>
      </c>
      <c r="AA27" s="386">
        <f t="shared" si="12"/>
        <v>4.0861643267806862</v>
      </c>
      <c r="AB27" s="197">
        <f t="shared" si="13"/>
        <v>43478</v>
      </c>
      <c r="AC27" s="426">
        <f>IF(OR(t&lt;Tnet,NoTnet),'2018'!Resal_s+('2018'!Salim-'2018'!Resal_s)*(1-EXP(('2018'!Tnet_s-t)/'2018'!Tau_j)),Resal_s+(Salim-Resal_s)*(1-EXP((Tnet_s-t)/Tau_j)))*Salcycl</f>
        <v>1.2691426519385372E-2</v>
      </c>
      <c r="AD27" s="231">
        <f>(INDEX(Models!$BJ27:$BT27,,AH27)*(1-AF27)+INDEX(Models!$BJ27:$BT27,,AH27+1)*AF27-ERP_i)*AE27*Ramure*Pc/MaxiM</f>
        <v>5.7121468689470078E-5</v>
      </c>
      <c r="AE27" s="305">
        <f t="shared" si="14"/>
        <v>0.5</v>
      </c>
      <c r="AF27" s="177">
        <f t="shared" si="15"/>
        <v>0.49783398149217439</v>
      </c>
      <c r="AG27" s="176">
        <f t="shared" si="16"/>
        <v>-2</v>
      </c>
      <c r="AH27" s="300">
        <f t="shared" si="17"/>
        <v>4</v>
      </c>
      <c r="AI27" s="225">
        <f t="shared" si="22"/>
        <v>-1.5021660185078256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7">
        <v>5.6020000000000003</v>
      </c>
      <c r="C28" s="390"/>
      <c r="D28" s="393">
        <f t="shared" si="0"/>
        <v>5.6290590358058026</v>
      </c>
      <c r="E28" s="385">
        <f t="shared" si="1"/>
        <v>5.7017186957933754</v>
      </c>
      <c r="F28" s="385">
        <f t="shared" si="2"/>
        <v>5.7017186957933754</v>
      </c>
      <c r="G28" s="110">
        <f t="shared" si="23"/>
        <v>0.19928263344208766</v>
      </c>
      <c r="H28" s="414" t="b">
        <f>Wh_hp&gt;='2018'!Maxi_hp</f>
        <v>1</v>
      </c>
      <c r="I28" s="390">
        <f>IF(H28,Wh_hp,'2018'!Maxi_hp)</f>
        <v>5.7017186957933754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4.807026473462539E-3</v>
      </c>
      <c r="M28" s="845"/>
      <c r="N28" s="845"/>
      <c r="O28" s="48">
        <f>IF(t&lt;Tnet,'2018'!Resal+('2018'!Salim-'2018'!Resal)*(1-EXP(('2018'!Tnet-t)/('2018'!Tau_j))),Resal+(Salim-Resal)*(1-EXP((Tnet-t)/(Tau_j))))*Salcycl</f>
        <v>1.27434662887139E-2</v>
      </c>
      <c r="P28" s="169">
        <f>(INDEX(Models!$BJ28:$BT28,,T28)*(1-R28)+INDEX(Models!$BJ28:$BT28,,T28+1)*R28-ERP_i)*Q28*Ramure*Pc/MaxiM</f>
        <v>5.5655729894477142E-5</v>
      </c>
      <c r="Q28" s="305">
        <f t="shared" si="4"/>
        <v>0.5</v>
      </c>
      <c r="R28" s="177">
        <f t="shared" si="5"/>
        <v>0.49788173288256399</v>
      </c>
      <c r="S28" s="811">
        <f t="shared" si="6"/>
        <v>-2</v>
      </c>
      <c r="T28" s="176">
        <f t="shared" si="7"/>
        <v>4</v>
      </c>
      <c r="U28" s="251">
        <f t="shared" si="21"/>
        <v>-1.502118267117436</v>
      </c>
      <c r="V28" s="383">
        <f t="shared" si="8"/>
        <v>28.109264313937345</v>
      </c>
      <c r="W28" s="58"/>
      <c r="X28" s="157">
        <f t="shared" si="9"/>
        <v>43479</v>
      </c>
      <c r="Y28" s="385">
        <f t="shared" si="10"/>
        <v>5.6020000000000003</v>
      </c>
      <c r="Z28" s="385">
        <f t="shared" si="11"/>
        <v>5.6290590358058026</v>
      </c>
      <c r="AA28" s="386">
        <f t="shared" si="12"/>
        <v>5.7017186957933754</v>
      </c>
      <c r="AB28" s="197">
        <f t="shared" si="13"/>
        <v>43479</v>
      </c>
      <c r="AC28" s="426">
        <f>IF(OR(t&lt;Tnet,NoTnet),'2018'!Resal_s+('2018'!Salim-'2018'!Resal_s)*(1-EXP(('2018'!Tnet_s-t)/'2018'!Tau_j)),Resal_s+(Salim-Resal_s)*(1-EXP((Tnet_s-t)/Tau_j)))*Salcycl</f>
        <v>1.27434662887139E-2</v>
      </c>
      <c r="AD28" s="231">
        <f>(INDEX(Models!$BJ28:$BT28,,AH28)*(1-AF28)+INDEX(Models!$BJ28:$BT28,,AH28+1)*AF28-ERP_i)*AE28*Ramure*Pc/MaxiM</f>
        <v>5.5655729894477142E-5</v>
      </c>
      <c r="AE28" s="305">
        <f t="shared" si="14"/>
        <v>0.5</v>
      </c>
      <c r="AF28" s="177">
        <f t="shared" si="15"/>
        <v>0.49788173288256399</v>
      </c>
      <c r="AG28" s="176">
        <f t="shared" si="16"/>
        <v>-2</v>
      </c>
      <c r="AH28" s="176">
        <f t="shared" si="17"/>
        <v>4</v>
      </c>
      <c r="AI28" s="225">
        <f t="shared" si="22"/>
        <v>-1.502118267117436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7">
        <v>28.555</v>
      </c>
      <c r="C29" s="390"/>
      <c r="D29" s="393">
        <f t="shared" si="0"/>
        <v>28.693556125395808</v>
      </c>
      <c r="E29" s="385">
        <f t="shared" si="1"/>
        <v>29.065462388003635</v>
      </c>
      <c r="F29" s="385">
        <f t="shared" si="2"/>
        <v>29.067033141157783</v>
      </c>
      <c r="G29" s="110">
        <f t="shared" si="23"/>
        <v>1.0068387652678221</v>
      </c>
      <c r="H29" s="414" t="b">
        <f>Wh_hp&gt;='2018'!Maxi_hp</f>
        <v>1</v>
      </c>
      <c r="I29" s="390">
        <f>IF(H29,Wh_hp,'2018'!Maxi_hp)</f>
        <v>29.067033141157783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4.828823753678213E-3</v>
      </c>
      <c r="M29" s="845"/>
      <c r="N29" s="845"/>
      <c r="O29" s="48">
        <f>IF(t&lt;Tnet,'2018'!Resal+('2018'!Salim-'2018'!Resal)*(1-EXP(('2018'!Tnet-t)/('2018'!Tau_j))),Resal+(Salim-Resal)*(1-EXP((Tnet-t)/(Tau_j))))*Salcycl</f>
        <v>1.2795470364212238E-2</v>
      </c>
      <c r="P29" s="169">
        <f>(INDEX(Models!$BJ29:$BT29,,T29)*(1-R29)+INDEX(Models!$BJ29:$BT29,,T29+1)*R29-ERP_i)*Q29*Ramure*Pc/MaxiM</f>
        <v>5.4038991407247624E-5</v>
      </c>
      <c r="Q29" s="305">
        <f t="shared" si="4"/>
        <v>0.5</v>
      </c>
      <c r="R29" s="177">
        <f t="shared" si="5"/>
        <v>0.49793147783273617</v>
      </c>
      <c r="S29" s="811">
        <f t="shared" si="6"/>
        <v>-2</v>
      </c>
      <c r="T29" s="176">
        <f t="shared" si="7"/>
        <v>4</v>
      </c>
      <c r="U29" s="251">
        <f t="shared" si="21"/>
        <v>-1.5020685221672638</v>
      </c>
      <c r="V29" s="383">
        <f t="shared" si="8"/>
        <v>28.361045467299107</v>
      </c>
      <c r="W29" s="58"/>
      <c r="X29" s="157">
        <f t="shared" si="9"/>
        <v>43480</v>
      </c>
      <c r="Y29" s="385">
        <f t="shared" si="10"/>
        <v>28.555</v>
      </c>
      <c r="Z29" s="385">
        <f t="shared" si="11"/>
        <v>28.693556125395808</v>
      </c>
      <c r="AA29" s="386">
        <f t="shared" si="12"/>
        <v>29.065462388003635</v>
      </c>
      <c r="AB29" s="197">
        <f t="shared" si="13"/>
        <v>43480</v>
      </c>
      <c r="AC29" s="426">
        <f>IF(OR(t&lt;Tnet,NoTnet),'2018'!Resal_s+('2018'!Salim-'2018'!Resal_s)*(1-EXP(('2018'!Tnet_s-t)/'2018'!Tau_j)),Resal_s+(Salim-Resal_s)*(1-EXP((Tnet_s-t)/Tau_j)))*Salcycl</f>
        <v>1.2795470364212238E-2</v>
      </c>
      <c r="AD29" s="231">
        <f>(INDEX(Models!$BJ29:$BT29,,AH29)*(1-AF29)+INDEX(Models!$BJ29:$BT29,,AH29+1)*AF29-ERP_i)*AE29*Ramure*Pc/MaxiM</f>
        <v>5.4038991407247624E-5</v>
      </c>
      <c r="AE29" s="305">
        <f t="shared" si="14"/>
        <v>0.5</v>
      </c>
      <c r="AF29" s="177">
        <f t="shared" si="15"/>
        <v>0.49793147783273617</v>
      </c>
      <c r="AG29" s="176">
        <f t="shared" si="16"/>
        <v>-2</v>
      </c>
      <c r="AH29" s="176">
        <f t="shared" si="17"/>
        <v>4</v>
      </c>
      <c r="AI29" s="225">
        <f t="shared" si="22"/>
        <v>-1.5020685221672638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7">
        <v>28.661999999999999</v>
      </c>
      <c r="C30" s="390"/>
      <c r="D30" s="393">
        <f t="shared" si="0"/>
        <v>28.801706147902642</v>
      </c>
      <c r="E30" s="385">
        <f t="shared" si="1"/>
        <v>29.176550104313726</v>
      </c>
      <c r="F30" s="385">
        <f t="shared" si="2"/>
        <v>29.178076379468706</v>
      </c>
      <c r="G30" s="110">
        <f t="shared" si="23"/>
        <v>1.0015113204419337</v>
      </c>
      <c r="H30" s="414" t="b">
        <f>Wh_hp&gt;='2018'!Maxi_hp</f>
        <v>1</v>
      </c>
      <c r="I30" s="390">
        <f>IF(H30,Wh_hp,'2018'!Maxi_hp)</f>
        <v>29.178076379468706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4.8506205564775584E-3</v>
      </c>
      <c r="M30" s="845"/>
      <c r="N30" s="845"/>
      <c r="O30" s="48">
        <f>IF(t&lt;Tnet,'2018'!Resal+('2018'!Salim-'2018'!Resal)*(1-EXP(('2018'!Tnet-t)/('2018'!Tau_j))),Resal+(Salim-Resal)*(1-EXP((Tnet-t)/(Tau_j))))*Salcycl</f>
        <v>1.2847439298714876E-2</v>
      </c>
      <c r="P30" s="169">
        <f>(INDEX(Models!$BJ30:$BT30,,T30)*(1-R30)+INDEX(Models!$BJ30:$BT30,,T30+1)*R30-ERP_i)*Q30*Ramure*Pc/MaxiM</f>
        <v>5.2308971130620521E-5</v>
      </c>
      <c r="Q30" s="305">
        <f t="shared" si="4"/>
        <v>0.5</v>
      </c>
      <c r="R30" s="177">
        <f t="shared" si="5"/>
        <v>0.49798329914812944</v>
      </c>
      <c r="S30" s="811">
        <f t="shared" si="6"/>
        <v>-2</v>
      </c>
      <c r="T30" s="176">
        <f t="shared" si="7"/>
        <v>4</v>
      </c>
      <c r="U30" s="251">
        <f t="shared" si="21"/>
        <v>-1.5020167008518706</v>
      </c>
      <c r="V30" s="383">
        <f t="shared" si="8"/>
        <v>28.618747901274258</v>
      </c>
      <c r="W30" s="58"/>
      <c r="X30" s="157">
        <f t="shared" si="9"/>
        <v>43481</v>
      </c>
      <c r="Y30" s="385">
        <f t="shared" si="10"/>
        <v>28.661999999999999</v>
      </c>
      <c r="Z30" s="385">
        <f t="shared" si="11"/>
        <v>28.801706147902642</v>
      </c>
      <c r="AA30" s="386">
        <f t="shared" si="12"/>
        <v>29.176550104313726</v>
      </c>
      <c r="AB30" s="197">
        <f t="shared" si="13"/>
        <v>43481</v>
      </c>
      <c r="AC30" s="426">
        <f>IF(OR(t&lt;Tnet,NoTnet),'2018'!Resal_s+('2018'!Salim-'2018'!Resal_s)*(1-EXP(('2018'!Tnet_s-t)/'2018'!Tau_j)),Resal_s+(Salim-Resal_s)*(1-EXP((Tnet_s-t)/Tau_j)))*Salcycl</f>
        <v>1.2847439298714876E-2</v>
      </c>
      <c r="AD30" s="231">
        <f>(INDEX(Models!$BJ30:$BT30,,AH30)*(1-AF30)+INDEX(Models!$BJ30:$BT30,,AH30+1)*AF30-ERP_i)*AE30*Ramure*Pc/MaxiM</f>
        <v>5.2308971130620521E-5</v>
      </c>
      <c r="AE30" s="305">
        <f t="shared" si="14"/>
        <v>0.5</v>
      </c>
      <c r="AF30" s="177">
        <f t="shared" si="15"/>
        <v>0.49798329914812944</v>
      </c>
      <c r="AG30" s="176">
        <f t="shared" si="16"/>
        <v>-2</v>
      </c>
      <c r="AH30" s="176">
        <f t="shared" si="17"/>
        <v>4</v>
      </c>
      <c r="AI30" s="225">
        <f t="shared" si="22"/>
        <v>-1.5020167008518706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7">
        <v>10.478</v>
      </c>
      <c r="C31" s="390"/>
      <c r="D31" s="393">
        <f t="shared" si="0"/>
        <v>10.529303154444049</v>
      </c>
      <c r="E31" s="385">
        <f t="shared" si="1"/>
        <v>10.666899477685421</v>
      </c>
      <c r="F31" s="385">
        <f t="shared" si="2"/>
        <v>10.666947833504928</v>
      </c>
      <c r="G31" s="110">
        <f t="shared" si="23"/>
        <v>0.3627681022814187</v>
      </c>
      <c r="H31" s="414" t="b">
        <f>Wh_hp&gt;='2018'!Maxi_hp</f>
        <v>1</v>
      </c>
      <c r="I31" s="390">
        <f>IF(H31,Wh_hp,'2018'!Maxi_hp)</f>
        <v>10.666947833504928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4.8724168818709002E-3</v>
      </c>
      <c r="M31" s="845"/>
      <c r="N31" s="845"/>
      <c r="O31" s="48">
        <f>IF(t&lt;Tnet,'2018'!Resal+('2018'!Salim-'2018'!Resal)*(1-EXP(('2018'!Tnet-t)/('2018'!Tau_j))),Resal+(Salim-Resal)*(1-EXP((Tnet-t)/(Tau_j))))*Salcycl</f>
        <v>1.2899373761721074E-2</v>
      </c>
      <c r="P31" s="169">
        <f>(INDEX(Models!$BJ31:$BT31,,T31)*(1-R31)+INDEX(Models!$BJ31:$BT31,,T31+1)*R31-ERP_i)*Q31*Ramure*Pc/MaxiM</f>
        <v>5.0541967672932231E-5</v>
      </c>
      <c r="Q31" s="305">
        <f t="shared" si="4"/>
        <v>0.5</v>
      </c>
      <c r="R31" s="177">
        <f t="shared" si="5"/>
        <v>0.49803728303748351</v>
      </c>
      <c r="S31" s="811">
        <f t="shared" si="6"/>
        <v>-2</v>
      </c>
      <c r="T31" s="176">
        <f t="shared" si="7"/>
        <v>4</v>
      </c>
      <c r="U31" s="251">
        <f t="shared" si="21"/>
        <v>-1.5019627169625165</v>
      </c>
      <c r="V31" s="383">
        <f t="shared" si="8"/>
        <v>28.882136694100119</v>
      </c>
      <c r="W31" s="58"/>
      <c r="X31" s="157">
        <f t="shared" si="9"/>
        <v>43482</v>
      </c>
      <c r="Y31" s="385">
        <f t="shared" si="10"/>
        <v>10.478</v>
      </c>
      <c r="Z31" s="385">
        <f t="shared" si="11"/>
        <v>10.529303154444049</v>
      </c>
      <c r="AA31" s="386">
        <f t="shared" si="12"/>
        <v>10.666899477685421</v>
      </c>
      <c r="AB31" s="197">
        <f t="shared" si="13"/>
        <v>43482</v>
      </c>
      <c r="AC31" s="426">
        <f>IF(OR(t&lt;Tnet,NoTnet),'2018'!Resal_s+('2018'!Salim-'2018'!Resal_s)*(1-EXP(('2018'!Tnet_s-t)/'2018'!Tau_j)),Resal_s+(Salim-Resal_s)*(1-EXP((Tnet_s-t)/Tau_j)))*Salcycl</f>
        <v>1.2899373761721074E-2</v>
      </c>
      <c r="AD31" s="231">
        <f>(INDEX(Models!$BJ31:$BT31,,AH31)*(1-AF31)+INDEX(Models!$BJ31:$BT31,,AH31+1)*AF31-ERP_i)*AE31*Ramure*Pc/MaxiM</f>
        <v>5.0541967672932231E-5</v>
      </c>
      <c r="AE31" s="305">
        <f t="shared" si="14"/>
        <v>0.5</v>
      </c>
      <c r="AF31" s="177">
        <f t="shared" si="15"/>
        <v>0.49803728303748351</v>
      </c>
      <c r="AG31" s="176">
        <f t="shared" si="16"/>
        <v>-2</v>
      </c>
      <c r="AH31" s="176">
        <f t="shared" si="17"/>
        <v>4</v>
      </c>
      <c r="AI31" s="225">
        <f t="shared" si="22"/>
        <v>-1.5019627169625165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7">
        <v>15.006</v>
      </c>
      <c r="C32" s="390"/>
      <c r="D32" s="393">
        <f t="shared" si="0"/>
        <v>15.079803767563131</v>
      </c>
      <c r="E32" s="385">
        <f t="shared" si="1"/>
        <v>15.277669053402844</v>
      </c>
      <c r="F32" s="385">
        <f t="shared" si="2"/>
        <v>15.27789752084766</v>
      </c>
      <c r="G32" s="110">
        <f t="shared" si="23"/>
        <v>0.51475090985968175</v>
      </c>
      <c r="H32" s="414" t="b">
        <f>Wh_hp&gt;='2018'!Maxi_hp</f>
        <v>1</v>
      </c>
      <c r="I32" s="390">
        <f>IF(H32,Wh_hp,'2018'!Maxi_hp)</f>
        <v>15.27789752084766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4.8942127298687854E-3</v>
      </c>
      <c r="M32" s="845"/>
      <c r="N32" s="845"/>
      <c r="O32" s="48">
        <f>IF(t&lt;Tnet,'2018'!Resal+('2018'!Salim-'2018'!Resal)*(1-EXP(('2018'!Tnet-t)/('2018'!Tau_j))),Resal+(Salim-Resal)*(1-EXP((Tnet-t)/(Tau_j))))*Salcycl</f>
        <v>1.2951274513676014E-2</v>
      </c>
      <c r="P32" s="169">
        <f>(INDEX(Models!$BJ32:$BT32,,T32)*(1-R32)+INDEX(Models!$BJ32:$BT32,,T32+1)*R32-ERP_i)*Q32*Ramure*Pc/MaxiM</f>
        <v>4.8740343777393438E-5</v>
      </c>
      <c r="Q32" s="305">
        <f t="shared" si="4"/>
        <v>0.5</v>
      </c>
      <c r="R32" s="177">
        <f t="shared" si="5"/>
        <v>0.49809351924962519</v>
      </c>
      <c r="S32" s="811">
        <f t="shared" si="6"/>
        <v>-2</v>
      </c>
      <c r="T32" s="176">
        <f t="shared" si="7"/>
        <v>4</v>
      </c>
      <c r="U32" s="251">
        <f t="shared" si="21"/>
        <v>-1.5019064807503748</v>
      </c>
      <c r="V32" s="383">
        <f t="shared" si="8"/>
        <v>29.150979063578092</v>
      </c>
      <c r="W32" s="58"/>
      <c r="X32" s="157">
        <f t="shared" si="9"/>
        <v>43483</v>
      </c>
      <c r="Y32" s="385">
        <f t="shared" si="10"/>
        <v>15.006</v>
      </c>
      <c r="Z32" s="385">
        <f t="shared" si="11"/>
        <v>15.079803767563131</v>
      </c>
      <c r="AA32" s="386">
        <f t="shared" si="12"/>
        <v>15.277669053402844</v>
      </c>
      <c r="AB32" s="197">
        <f t="shared" si="13"/>
        <v>43483</v>
      </c>
      <c r="AC32" s="426">
        <f>IF(OR(t&lt;Tnet,NoTnet),'2018'!Resal_s+('2018'!Salim-'2018'!Resal_s)*(1-EXP(('2018'!Tnet_s-t)/'2018'!Tau_j)),Resal_s+(Salim-Resal_s)*(1-EXP((Tnet_s-t)/Tau_j)))*Salcycl</f>
        <v>1.2951274513676014E-2</v>
      </c>
      <c r="AD32" s="231">
        <f>(INDEX(Models!$BJ32:$BT32,,AH32)*(1-AF32)+INDEX(Models!$BJ32:$BT32,,AH32+1)*AF32-ERP_i)*AE32*Ramure*Pc/MaxiM</f>
        <v>4.8740343777393438E-5</v>
      </c>
      <c r="AE32" s="305">
        <f t="shared" si="14"/>
        <v>0.5</v>
      </c>
      <c r="AF32" s="177">
        <f t="shared" si="15"/>
        <v>0.49809351924962519</v>
      </c>
      <c r="AG32" s="176">
        <f t="shared" si="16"/>
        <v>-2</v>
      </c>
      <c r="AH32" s="176">
        <f t="shared" si="17"/>
        <v>4</v>
      </c>
      <c r="AI32" s="225">
        <f t="shared" si="22"/>
        <v>-1.5019064807503748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7">
        <v>16.815000000000001</v>
      </c>
      <c r="C33" s="390"/>
      <c r="D33" s="393">
        <f t="shared" si="0"/>
        <v>16.898071054184889</v>
      </c>
      <c r="E33" s="385">
        <f t="shared" si="1"/>
        <v>17.120693874280843</v>
      </c>
      <c r="F33" s="385">
        <f t="shared" si="2"/>
        <v>17.121005301219274</v>
      </c>
      <c r="G33" s="110">
        <f t="shared" si="23"/>
        <v>0.57143561428112322</v>
      </c>
      <c r="H33" s="414" t="b">
        <f>Wh_hp&gt;='2018'!Maxi_hp</f>
        <v>1</v>
      </c>
      <c r="I33" s="390">
        <f>IF(H33,Wh_hp,'2018'!Maxi_hp)</f>
        <v>17.121005301219274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4.9160081004816503E-3</v>
      </c>
      <c r="M33" s="845"/>
      <c r="N33" s="845"/>
      <c r="O33" s="48">
        <f>IF(t&lt;Tnet,'2018'!Resal+('2018'!Salim-'2018'!Resal)*(1-EXP(('2018'!Tnet-t)/('2018'!Tau_j))),Resal+(Salim-Resal)*(1-EXP((Tnet-t)/(Tau_j))))*Salcycl</f>
        <v>1.3003142380250295E-2</v>
      </c>
      <c r="P33" s="169">
        <f>(INDEX(Models!$BJ33:$BT33,,T33)*(1-R33)+INDEX(Models!$BJ33:$BT33,,T33+1)*R33-ERP_i)*Q33*Ramure*Pc/MaxiM</f>
        <v>4.6906374778684528E-5</v>
      </c>
      <c r="Q33" s="305">
        <f t="shared" si="4"/>
        <v>0.5</v>
      </c>
      <c r="R33" s="177">
        <f t="shared" si="5"/>
        <v>0.49815210121548614</v>
      </c>
      <c r="S33" s="811">
        <f t="shared" si="6"/>
        <v>-2</v>
      </c>
      <c r="T33" s="176">
        <f t="shared" si="7"/>
        <v>4</v>
      </c>
      <c r="U33" s="251">
        <f t="shared" si="21"/>
        <v>-1.5018478987845139</v>
      </c>
      <c r="V33" s="383">
        <f t="shared" si="8"/>
        <v>29.425042298866465</v>
      </c>
      <c r="W33" s="58"/>
      <c r="X33" s="157">
        <f t="shared" si="9"/>
        <v>43484</v>
      </c>
      <c r="Y33" s="385">
        <f t="shared" si="10"/>
        <v>16.815000000000001</v>
      </c>
      <c r="Z33" s="385">
        <f t="shared" si="11"/>
        <v>16.898071054184889</v>
      </c>
      <c r="AA33" s="386">
        <f t="shared" si="12"/>
        <v>17.120693874280843</v>
      </c>
      <c r="AB33" s="197">
        <f t="shared" si="13"/>
        <v>43484</v>
      </c>
      <c r="AC33" s="426">
        <f>IF(OR(t&lt;Tnet,NoTnet),'2018'!Resal_s+('2018'!Salim-'2018'!Resal_s)*(1-EXP(('2018'!Tnet_s-t)/'2018'!Tau_j)),Resal_s+(Salim-Resal_s)*(1-EXP((Tnet_s-t)/Tau_j)))*Salcycl</f>
        <v>1.3003142380250295E-2</v>
      </c>
      <c r="AD33" s="231">
        <f>(INDEX(Models!$BJ33:$BT33,,AH33)*(1-AF33)+INDEX(Models!$BJ33:$BT33,,AH33+1)*AF33-ERP_i)*AE33*Ramure*Pc/MaxiM</f>
        <v>4.6906374778684528E-5</v>
      </c>
      <c r="AE33" s="305">
        <f t="shared" si="14"/>
        <v>0.5</v>
      </c>
      <c r="AF33" s="177">
        <f t="shared" si="15"/>
        <v>0.49815210121548614</v>
      </c>
      <c r="AG33" s="176">
        <f t="shared" si="16"/>
        <v>-2</v>
      </c>
      <c r="AH33" s="176">
        <f t="shared" si="17"/>
        <v>4</v>
      </c>
      <c r="AI33" s="225">
        <f t="shared" si="22"/>
        <v>-1.5018478987845139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7">
        <v>7.7649999999999997</v>
      </c>
      <c r="C34" s="390"/>
      <c r="D34" s="393">
        <f t="shared" si="0"/>
        <v>7.8035323051780994</v>
      </c>
      <c r="E34" s="385">
        <f t="shared" si="1"/>
        <v>7.906754817161679</v>
      </c>
      <c r="F34" s="385">
        <f t="shared" si="2"/>
        <v>7.906754817161679</v>
      </c>
      <c r="G34" s="110">
        <f t="shared" si="23"/>
        <v>0.26140000471272734</v>
      </c>
      <c r="H34" s="414" t="b">
        <f>Wh_hp&gt;='2018'!Maxi_hp</f>
        <v>1</v>
      </c>
      <c r="I34" s="390">
        <f>IF(H34,Wh_hp,'2018'!Maxi_hp)</f>
        <v>7.906754817161679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4.9378029937200418E-3</v>
      </c>
      <c r="M34" s="845"/>
      <c r="N34" s="845"/>
      <c r="O34" s="48">
        <f>IF(t&lt;Tnet,'2018'!Resal+('2018'!Salim-'2018'!Resal)*(1-EXP(('2018'!Tnet-t)/('2018'!Tau_j))),Resal+(Salim-Resal)*(1-EXP((Tnet-t)/(Tau_j))))*Salcycl</f>
        <v>1.3054978226912232E-2</v>
      </c>
      <c r="P34" s="169">
        <f>(INDEX(Models!$BJ34:$BT34,,T34)*(1-R34)+INDEX(Models!$BJ34:$BT34,,T34+1)*R34-ERP_i)*Q34*Ramure*Pc/MaxiM</f>
        <v>4.5042496410446135E-5</v>
      </c>
      <c r="Q34" s="305">
        <f t="shared" si="4"/>
        <v>0.5</v>
      </c>
      <c r="R34" s="177">
        <f t="shared" si="5"/>
        <v>0.49821312619552893</v>
      </c>
      <c r="S34" s="811">
        <f t="shared" si="6"/>
        <v>-2</v>
      </c>
      <c r="T34" s="176">
        <f t="shared" si="7"/>
        <v>4</v>
      </c>
      <c r="U34" s="251">
        <f t="shared" si="21"/>
        <v>-1.5017868738044711</v>
      </c>
      <c r="V34" s="383">
        <f t="shared" si="8"/>
        <v>29.704093745325476</v>
      </c>
      <c r="W34" s="58"/>
      <c r="X34" s="157">
        <f t="shared" si="9"/>
        <v>43485</v>
      </c>
      <c r="Y34" s="385">
        <f t="shared" si="10"/>
        <v>7.7649999999999997</v>
      </c>
      <c r="Z34" s="385">
        <f t="shared" si="11"/>
        <v>7.8035323051780994</v>
      </c>
      <c r="AA34" s="386">
        <f t="shared" si="12"/>
        <v>7.906754817161679</v>
      </c>
      <c r="AB34" s="197">
        <f t="shared" si="13"/>
        <v>43485</v>
      </c>
      <c r="AC34" s="426">
        <f>IF(OR(t&lt;Tnet,NoTnet),'2018'!Resal_s+('2018'!Salim-'2018'!Resal_s)*(1-EXP(('2018'!Tnet_s-t)/'2018'!Tau_j)),Resal_s+(Salim-Resal_s)*(1-EXP((Tnet_s-t)/Tau_j)))*Salcycl</f>
        <v>1.3054978226912232E-2</v>
      </c>
      <c r="AD34" s="231">
        <f>(INDEX(Models!$BJ34:$BT34,,AH34)*(1-AF34)+INDEX(Models!$BJ34:$BT34,,AH34+1)*AF34-ERP_i)*AE34*Ramure*Pc/MaxiM</f>
        <v>4.5042496410446135E-5</v>
      </c>
      <c r="AE34" s="305">
        <f t="shared" si="14"/>
        <v>0.5</v>
      </c>
      <c r="AF34" s="177">
        <f t="shared" si="15"/>
        <v>0.49821312619552893</v>
      </c>
      <c r="AG34" s="176">
        <f t="shared" si="16"/>
        <v>-2</v>
      </c>
      <c r="AH34" s="176">
        <f t="shared" si="17"/>
        <v>4</v>
      </c>
      <c r="AI34" s="225">
        <f t="shared" si="22"/>
        <v>-1.5017868738044711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7">
        <v>7.3120000000000003</v>
      </c>
      <c r="C35" s="390"/>
      <c r="D35" s="393">
        <f t="shared" si="0"/>
        <v>7.3484453304253226</v>
      </c>
      <c r="E35" s="385">
        <f t="shared" si="1"/>
        <v>7.4460389466173407</v>
      </c>
      <c r="F35" s="385">
        <f t="shared" si="2"/>
        <v>7.4460389466173407</v>
      </c>
      <c r="G35" s="110">
        <f t="shared" si="23"/>
        <v>0.24382115055059117</v>
      </c>
      <c r="H35" s="414" t="b">
        <f>Wh_hp&gt;='2018'!Maxi_hp</f>
        <v>1</v>
      </c>
      <c r="I35" s="390">
        <f>IF(H35,Wh_hp,'2018'!Maxi_hp)</f>
        <v>7.4460389466173407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4.9595974095942852E-3</v>
      </c>
      <c r="M35" s="845"/>
      <c r="N35" s="845"/>
      <c r="O35" s="48">
        <f>IF(t&lt;Tnet,'2018'!Resal+('2018'!Salim-'2018'!Resal)*(1-EXP(('2018'!Tnet-t)/('2018'!Tau_j))),Resal+(Salim-Resal)*(1-EXP((Tnet-t)/(Tau_j))))*Salcycl</f>
        <v>1.3106782934079802E-2</v>
      </c>
      <c r="P35" s="169">
        <f>(INDEX(Models!$BJ35:$BT35,,T35)*(1-R35)+INDEX(Models!$BJ35:$BT35,,T35+1)*R35-ERP_i)*Q35*Ramure*Pc/MaxiM</f>
        <v>4.3151117637868163E-5</v>
      </c>
      <c r="Q35" s="305">
        <f t="shared" si="4"/>
        <v>0.5</v>
      </c>
      <c r="R35" s="177">
        <f t="shared" si="5"/>
        <v>0.49827669543276509</v>
      </c>
      <c r="S35" s="811">
        <f t="shared" si="6"/>
        <v>-2</v>
      </c>
      <c r="T35" s="176">
        <f t="shared" si="7"/>
        <v>4</v>
      </c>
      <c r="U35" s="251">
        <f t="shared" si="21"/>
        <v>-1.5017233045672349</v>
      </c>
      <c r="V35" s="383">
        <f t="shared" si="8"/>
        <v>29.987900813841453</v>
      </c>
      <c r="W35" s="58"/>
      <c r="X35" s="157">
        <f t="shared" si="9"/>
        <v>43486</v>
      </c>
      <c r="Y35" s="385">
        <f t="shared" si="10"/>
        <v>7.3120000000000003</v>
      </c>
      <c r="Z35" s="385">
        <f t="shared" si="11"/>
        <v>7.3484453304253226</v>
      </c>
      <c r="AA35" s="386">
        <f t="shared" si="12"/>
        <v>7.4460389466173407</v>
      </c>
      <c r="AB35" s="197">
        <f t="shared" si="13"/>
        <v>43486</v>
      </c>
      <c r="AC35" s="426">
        <f>IF(OR(t&lt;Tnet,NoTnet),'2018'!Resal_s+('2018'!Salim-'2018'!Resal_s)*(1-EXP(('2018'!Tnet_s-t)/'2018'!Tau_j)),Resal_s+(Salim-Resal_s)*(1-EXP((Tnet_s-t)/Tau_j)))*Salcycl</f>
        <v>1.3106782934079802E-2</v>
      </c>
      <c r="AD35" s="231">
        <f>(INDEX(Models!$BJ35:$BT35,,AH35)*(1-AF35)+INDEX(Models!$BJ35:$BT35,,AH35+1)*AF35-ERP_i)*AE35*Ramure*Pc/MaxiM</f>
        <v>4.3151117637868163E-5</v>
      </c>
      <c r="AE35" s="305">
        <f t="shared" si="14"/>
        <v>0.5</v>
      </c>
      <c r="AF35" s="177">
        <f t="shared" si="15"/>
        <v>0.49827669543276509</v>
      </c>
      <c r="AG35" s="176">
        <f t="shared" si="16"/>
        <v>-2</v>
      </c>
      <c r="AH35" s="176">
        <f t="shared" si="17"/>
        <v>4</v>
      </c>
      <c r="AI35" s="225">
        <f t="shared" si="22"/>
        <v>-1.5017233045672349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7">
        <v>11.567</v>
      </c>
      <c r="C36" s="390"/>
      <c r="D36" s="393">
        <f t="shared" si="0"/>
        <v>11.62490821721587</v>
      </c>
      <c r="E36" s="385">
        <f t="shared" si="1"/>
        <v>11.779914903321799</v>
      </c>
      <c r="F36" s="385">
        <f t="shared" si="2"/>
        <v>11.779971838094793</v>
      </c>
      <c r="G36" s="110">
        <f t="shared" si="23"/>
        <v>0.3820349682239777</v>
      </c>
      <c r="H36" s="414" t="b">
        <f>Wh_hp&gt;='2018'!Maxi_hp</f>
        <v>1</v>
      </c>
      <c r="I36" s="390">
        <f>IF(H36,Wh_hp,'2018'!Maxi_hp)</f>
        <v>11.779971838094793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4.9813913481149275E-3</v>
      </c>
      <c r="M36" s="845"/>
      <c r="N36" s="845"/>
      <c r="O36" s="48">
        <f>IF(t&lt;Tnet,'2018'!Resal+('2018'!Salim-'2018'!Resal)*(1-EXP(('2018'!Tnet-t)/('2018'!Tau_j))),Resal+(Salim-Resal)*(1-EXP((Tnet-t)/(Tau_j))))*Salcycl</f>
        <v>1.3158557373128335E-2</v>
      </c>
      <c r="P36" s="169">
        <f>(INDEX(Models!$BJ36:$BT36,,T36)*(1-R36)+INDEX(Models!$BJ36:$BT36,,T36+1)*R36-ERP_i)*Q36*Ramure*Pc/MaxiM</f>
        <v>4.1234311644494565E-5</v>
      </c>
      <c r="Q36" s="305">
        <f t="shared" si="4"/>
        <v>0.5</v>
      </c>
      <c r="R36" s="177">
        <f t="shared" si="5"/>
        <v>0.4983429143115472</v>
      </c>
      <c r="S36" s="811">
        <f t="shared" si="6"/>
        <v>-2</v>
      </c>
      <c r="T36" s="176">
        <f t="shared" si="7"/>
        <v>4</v>
      </c>
      <c r="U36" s="251">
        <f t="shared" si="21"/>
        <v>-1.5016570856884528</v>
      </c>
      <c r="V36" s="383">
        <f t="shared" si="8"/>
        <v>30.276230995016824</v>
      </c>
      <c r="W36" s="58"/>
      <c r="X36" s="157">
        <f t="shared" si="9"/>
        <v>43487</v>
      </c>
      <c r="Y36" s="385">
        <f t="shared" si="10"/>
        <v>11.567</v>
      </c>
      <c r="Z36" s="385">
        <f t="shared" si="11"/>
        <v>11.62490821721587</v>
      </c>
      <c r="AA36" s="386">
        <f t="shared" si="12"/>
        <v>11.779914903321799</v>
      </c>
      <c r="AB36" s="197">
        <f t="shared" si="13"/>
        <v>43487</v>
      </c>
      <c r="AC36" s="426">
        <f>IF(OR(t&lt;Tnet,NoTnet),'2018'!Resal_s+('2018'!Salim-'2018'!Resal_s)*(1-EXP(('2018'!Tnet_s-t)/'2018'!Tau_j)),Resal_s+(Salim-Resal_s)*(1-EXP((Tnet_s-t)/Tau_j)))*Salcycl</f>
        <v>1.3158557373128335E-2</v>
      </c>
      <c r="AD36" s="231">
        <f>(INDEX(Models!$BJ36:$BT36,,AH36)*(1-AF36)+INDEX(Models!$BJ36:$BT36,,AH36+1)*AF36-ERP_i)*AE36*Ramure*Pc/MaxiM</f>
        <v>4.1234311644494565E-5</v>
      </c>
      <c r="AE36" s="305">
        <f t="shared" si="14"/>
        <v>0.5</v>
      </c>
      <c r="AF36" s="177">
        <f t="shared" si="15"/>
        <v>0.4983429143115472</v>
      </c>
      <c r="AG36" s="176">
        <f t="shared" si="16"/>
        <v>-2</v>
      </c>
      <c r="AH36" s="176">
        <f t="shared" si="17"/>
        <v>4</v>
      </c>
      <c r="AI36" s="225">
        <f t="shared" si="22"/>
        <v>-1.5016570856884528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7">
        <v>10.426</v>
      </c>
      <c r="C37" s="390"/>
      <c r="D37" s="393">
        <f t="shared" si="0"/>
        <v>10.478425499283315</v>
      </c>
      <c r="E37" s="385">
        <f t="shared" si="1"/>
        <v>10.618701760459365</v>
      </c>
      <c r="F37" s="385">
        <f t="shared" si="2"/>
        <v>10.618726217626762</v>
      </c>
      <c r="G37" s="110">
        <f t="shared" si="23"/>
        <v>0.34102158121469367</v>
      </c>
      <c r="H37" s="414" t="b">
        <f>Wh_hp&gt;='2018'!Maxi_hp</f>
        <v>1</v>
      </c>
      <c r="I37" s="390">
        <f>IF(H37,Wh_hp,'2018'!Maxi_hp)</f>
        <v>10.618726217626762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5.0031848092922937E-3</v>
      </c>
      <c r="M37" s="845"/>
      <c r="N37" s="845"/>
      <c r="O37" s="48">
        <f>IF(t&lt;Tnet,'2018'!Resal+('2018'!Salim-'2018'!Resal)*(1-EXP(('2018'!Tnet-t)/('2018'!Tau_j))),Resal+(Salim-Resal)*(1-EXP((Tnet-t)/(Tau_j))))*Salcycl</f>
        <v>1.3210302383516706E-2</v>
      </c>
      <c r="P37" s="169">
        <f>(INDEX(Models!$BJ37:$BT37,,T37)*(1-R37)+INDEX(Models!$BJ37:$BT37,,T37+1)*R37-ERP_i)*Q37*Ramure*Pc/MaxiM</f>
        <v>3.9290346000560991E-5</v>
      </c>
      <c r="Q37" s="305">
        <f t="shared" si="4"/>
        <v>0.5</v>
      </c>
      <c r="R37" s="177">
        <f t="shared" si="5"/>
        <v>0.49841189252232443</v>
      </c>
      <c r="S37" s="811">
        <f t="shared" si="6"/>
        <v>-2</v>
      </c>
      <c r="T37" s="176">
        <f t="shared" si="7"/>
        <v>4</v>
      </c>
      <c r="U37" s="251">
        <f t="shared" si="21"/>
        <v>-1.5015881074776756</v>
      </c>
      <c r="V37" s="383">
        <f t="shared" si="8"/>
        <v>30.571714359271315</v>
      </c>
      <c r="W37" s="58"/>
      <c r="X37" s="157">
        <f t="shared" si="9"/>
        <v>43488</v>
      </c>
      <c r="Y37" s="385">
        <f t="shared" si="10"/>
        <v>10.426</v>
      </c>
      <c r="Z37" s="385">
        <f t="shared" si="11"/>
        <v>10.478425499283315</v>
      </c>
      <c r="AA37" s="386">
        <f t="shared" si="12"/>
        <v>10.618701760459365</v>
      </c>
      <c r="AB37" s="197">
        <f t="shared" si="13"/>
        <v>43488</v>
      </c>
      <c r="AC37" s="426">
        <f>IF(OR(t&lt;Tnet,NoTnet),'2018'!Resal_s+('2018'!Salim-'2018'!Resal_s)*(1-EXP(('2018'!Tnet_s-t)/'2018'!Tau_j)),Resal_s+(Salim-Resal_s)*(1-EXP((Tnet_s-t)/Tau_j)))*Salcycl</f>
        <v>1.3210302383516706E-2</v>
      </c>
      <c r="AD37" s="231">
        <f>(INDEX(Models!$BJ37:$BT37,,AH37)*(1-AF37)+INDEX(Models!$BJ37:$BT37,,AH37+1)*AF37-ERP_i)*AE37*Ramure*Pc/MaxiM</f>
        <v>3.9290346000560991E-5</v>
      </c>
      <c r="AE37" s="305">
        <f t="shared" si="14"/>
        <v>0.5</v>
      </c>
      <c r="AF37" s="177">
        <f t="shared" si="15"/>
        <v>0.49841189252232443</v>
      </c>
      <c r="AG37" s="176">
        <f t="shared" si="16"/>
        <v>-2</v>
      </c>
      <c r="AH37" s="176">
        <f t="shared" si="17"/>
        <v>4</v>
      </c>
      <c r="AI37" s="225">
        <f t="shared" si="22"/>
        <v>-1.5015881074776756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7">
        <v>11.012</v>
      </c>
      <c r="C38" s="390"/>
      <c r="D38" s="393">
        <f t="shared" si="0"/>
        <v>11.067614517171791</v>
      </c>
      <c r="E38" s="385">
        <f t="shared" si="1"/>
        <v>11.216366175715338</v>
      </c>
      <c r="F38" s="385">
        <f t="shared" si="2"/>
        <v>11.216400089784983</v>
      </c>
      <c r="G38" s="110">
        <f t="shared" si="23"/>
        <v>0.35663519742131805</v>
      </c>
      <c r="H38" s="414" t="b">
        <f>Wh_hp&gt;='2018'!Maxi_hp</f>
        <v>1</v>
      </c>
      <c r="I38" s="390">
        <f>IF(H38,Wh_hp,'2018'!Maxi_hp)</f>
        <v>11.216400089784983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5.0249777931370421E-3</v>
      </c>
      <c r="M38" s="845"/>
      <c r="N38" s="845"/>
      <c r="O38" s="48">
        <f>IF(t&lt;Tnet,'2018'!Resal+('2018'!Salim-'2018'!Resal)*(1-EXP(('2018'!Tnet-t)/('2018'!Tau_j))),Resal+(Salim-Resal)*(1-EXP((Tnet-t)/(Tau_j))))*Salcycl</f>
        <v>1.3262018751278939E-2</v>
      </c>
      <c r="P38" s="169">
        <f>(INDEX(Models!$BJ38:$BT38,,T38)*(1-R38)+INDEX(Models!$BJ38:$BT38,,T38+1)*R38-ERP_i)*Q38*Ramure*Pc/MaxiM</f>
        <v>3.736320581525207E-5</v>
      </c>
      <c r="Q38" s="305">
        <f t="shared" si="4"/>
        <v>0.5</v>
      </c>
      <c r="R38" s="177">
        <f t="shared" si="5"/>
        <v>0.49848374423255382</v>
      </c>
      <c r="S38" s="811">
        <f t="shared" si="6"/>
        <v>-2</v>
      </c>
      <c r="T38" s="176">
        <f t="shared" si="7"/>
        <v>4</v>
      </c>
      <c r="U38" s="251">
        <f t="shared" si="21"/>
        <v>-1.5015162557674462</v>
      </c>
      <c r="V38" s="383">
        <f t="shared" si="8"/>
        <v>30.876430399739725</v>
      </c>
      <c r="W38" s="58"/>
      <c r="X38" s="157">
        <f t="shared" si="9"/>
        <v>43489</v>
      </c>
      <c r="Y38" s="385">
        <f t="shared" si="10"/>
        <v>11.012</v>
      </c>
      <c r="Z38" s="385">
        <f t="shared" si="11"/>
        <v>11.067614517171791</v>
      </c>
      <c r="AA38" s="386">
        <f t="shared" si="12"/>
        <v>11.216366175715338</v>
      </c>
      <c r="AB38" s="197">
        <f t="shared" si="13"/>
        <v>43489</v>
      </c>
      <c r="AC38" s="426">
        <f>IF(OR(t&lt;Tnet,NoTnet),'2018'!Resal_s+('2018'!Salim-'2018'!Resal_s)*(1-EXP(('2018'!Tnet_s-t)/'2018'!Tau_j)),Resal_s+(Salim-Resal_s)*(1-EXP((Tnet_s-t)/Tau_j)))*Salcycl</f>
        <v>1.3262018751278939E-2</v>
      </c>
      <c r="AD38" s="231">
        <f>(INDEX(Models!$BJ38:$BT38,,AH38)*(1-AF38)+INDEX(Models!$BJ38:$BT38,,AH38+1)*AF38-ERP_i)*AE38*Ramure*Pc/MaxiM</f>
        <v>3.736320581525207E-5</v>
      </c>
      <c r="AE38" s="305">
        <f t="shared" si="14"/>
        <v>0.5</v>
      </c>
      <c r="AF38" s="177">
        <f t="shared" si="15"/>
        <v>0.49848374423255382</v>
      </c>
      <c r="AG38" s="176">
        <f t="shared" si="16"/>
        <v>-2</v>
      </c>
      <c r="AH38" s="176">
        <f t="shared" si="17"/>
        <v>4</v>
      </c>
      <c r="AI38" s="225">
        <f t="shared" si="22"/>
        <v>-1.5015162557674462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7">
        <v>5.5069999999999997</v>
      </c>
      <c r="C39" s="390"/>
      <c r="D39" s="393">
        <f t="shared" si="0"/>
        <v>5.5349335381911313</v>
      </c>
      <c r="E39" s="385">
        <f t="shared" si="1"/>
        <v>5.6096183544043265</v>
      </c>
      <c r="F39" s="385">
        <f t="shared" si="2"/>
        <v>5.6096183544043265</v>
      </c>
      <c r="G39" s="110">
        <f t="shared" si="23"/>
        <v>0.1765605727805197</v>
      </c>
      <c r="H39" s="414" t="b">
        <f>Wh_hp&gt;='2018'!Maxi_hp</f>
        <v>1</v>
      </c>
      <c r="I39" s="390">
        <f>IF(H39,Wh_hp,'2018'!Maxi_hp)</f>
        <v>5.6096183544043265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5.0467702996593866E-3</v>
      </c>
      <c r="M39" s="845"/>
      <c r="N39" s="845"/>
      <c r="O39" s="48">
        <f>IF(t&lt;Tnet,'2018'!Resal+('2018'!Salim-'2018'!Resal)*(1-EXP(('2018'!Tnet-t)/('2018'!Tau_j))),Resal+(Salim-Resal)*(1-EXP((Tnet-t)/(Tau_j))))*Salcycl</f>
        <v>1.3313707189109882E-2</v>
      </c>
      <c r="P39" s="169">
        <f>(INDEX(Models!$BJ39:$BT39,,T39)*(1-R39)+INDEX(Models!$BJ39:$BT39,,T39+1)*R39-ERP_i)*Q39*Ramure*Pc/MaxiM</f>
        <v>3.5538093921916073E-5</v>
      </c>
      <c r="Q39" s="305">
        <f t="shared" si="4"/>
        <v>0.5</v>
      </c>
      <c r="R39" s="177">
        <f t="shared" si="5"/>
        <v>0.49855858826396204</v>
      </c>
      <c r="S39" s="811">
        <f t="shared" si="6"/>
        <v>-2</v>
      </c>
      <c r="T39" s="176">
        <f t="shared" si="7"/>
        <v>4</v>
      </c>
      <c r="U39" s="251">
        <f t="shared" si="21"/>
        <v>-1.501441411736038</v>
      </c>
      <c r="V39" s="383">
        <f t="shared" si="8"/>
        <v>31.189320497743363</v>
      </c>
      <c r="W39" s="58"/>
      <c r="X39" s="157">
        <f t="shared" si="9"/>
        <v>43490</v>
      </c>
      <c r="Y39" s="385">
        <f t="shared" si="10"/>
        <v>5.5069999999999997</v>
      </c>
      <c r="Z39" s="385">
        <f t="shared" si="11"/>
        <v>5.5349335381911313</v>
      </c>
      <c r="AA39" s="386">
        <f t="shared" si="12"/>
        <v>5.6096183544043265</v>
      </c>
      <c r="AB39" s="197">
        <f t="shared" si="13"/>
        <v>43490</v>
      </c>
      <c r="AC39" s="426">
        <f>IF(OR(t&lt;Tnet,NoTnet),'2018'!Resal_s+('2018'!Salim-'2018'!Resal_s)*(1-EXP(('2018'!Tnet_s-t)/'2018'!Tau_j)),Resal_s+(Salim-Resal_s)*(1-EXP((Tnet_s-t)/Tau_j)))*Salcycl</f>
        <v>1.3313707189109882E-2</v>
      </c>
      <c r="AD39" s="231">
        <f>(INDEX(Models!$BJ39:$BT39,,AH39)*(1-AF39)+INDEX(Models!$BJ39:$BT39,,AH39+1)*AF39-ERP_i)*AE39*Ramure*Pc/MaxiM</f>
        <v>3.5538093921916073E-5</v>
      </c>
      <c r="AE39" s="305">
        <f t="shared" si="14"/>
        <v>0.5</v>
      </c>
      <c r="AF39" s="177">
        <f t="shared" si="15"/>
        <v>0.49855858826396204</v>
      </c>
      <c r="AG39" s="176">
        <f t="shared" si="16"/>
        <v>-2</v>
      </c>
      <c r="AH39" s="176">
        <f t="shared" si="17"/>
        <v>4</v>
      </c>
      <c r="AI39" s="225">
        <f t="shared" si="22"/>
        <v>-1.501441411736038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7">
        <v>15.88</v>
      </c>
      <c r="C40" s="390"/>
      <c r="D40" s="393">
        <f t="shared" si="0"/>
        <v>15.960898810445531</v>
      </c>
      <c r="E40" s="385">
        <f t="shared" si="1"/>
        <v>16.177111868898955</v>
      </c>
      <c r="F40" s="385">
        <f t="shared" si="2"/>
        <v>16.177271270949088</v>
      </c>
      <c r="G40" s="110">
        <f t="shared" si="23"/>
        <v>0.50396565185733599</v>
      </c>
      <c r="H40" s="414" t="b">
        <f>Wh_hp&gt;='2018'!Maxi_hp</f>
        <v>1</v>
      </c>
      <c r="I40" s="390">
        <f>IF(H40,Wh_hp,'2018'!Maxi_hp)</f>
        <v>16.177271270949088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5.0685623288699855E-3</v>
      </c>
      <c r="M40" s="845"/>
      <c r="N40" s="845"/>
      <c r="O40" s="48">
        <f>IF(t&lt;Tnet,'2018'!Resal+('2018'!Salim-'2018'!Resal)*(1-EXP(('2018'!Tnet-t)/('2018'!Tau_j))),Resal+(Salim-Resal)*(1-EXP((Tnet-t)/(Tau_j))))*Salcycl</f>
        <v>1.3365368318253294E-2</v>
      </c>
      <c r="P40" s="169">
        <f>(INDEX(Models!$BJ40:$BT40,,T40)*(1-R40)+INDEX(Models!$BJ40:$BT40,,T40+1)*R40-ERP_i)*Q40*Ramure*Pc/MaxiM</f>
        <v>3.3814574341339819E-5</v>
      </c>
      <c r="Q40" s="305">
        <f t="shared" si="4"/>
        <v>0.5</v>
      </c>
      <c r="R40" s="177">
        <f t="shared" si="5"/>
        <v>0.49863654827635484</v>
      </c>
      <c r="S40" s="811">
        <f t="shared" si="6"/>
        <v>-2</v>
      </c>
      <c r="T40" s="176">
        <f t="shared" si="7"/>
        <v>4</v>
      </c>
      <c r="U40" s="251">
        <f t="shared" si="21"/>
        <v>-1.5013634517236452</v>
      </c>
      <c r="V40" s="383">
        <f t="shared" si="8"/>
        <v>31.509328929833085</v>
      </c>
      <c r="W40" s="58"/>
      <c r="X40" s="157">
        <f t="shared" si="9"/>
        <v>43491</v>
      </c>
      <c r="Y40" s="385">
        <f t="shared" si="10"/>
        <v>15.880000000000003</v>
      </c>
      <c r="Z40" s="385">
        <f t="shared" si="11"/>
        <v>15.960898810445533</v>
      </c>
      <c r="AA40" s="386">
        <f t="shared" si="12"/>
        <v>16.177111868898955</v>
      </c>
      <c r="AB40" s="197">
        <f t="shared" si="13"/>
        <v>43491</v>
      </c>
      <c r="AC40" s="426">
        <f>IF(OR(t&lt;Tnet,NoTnet),'2018'!Resal_s+('2018'!Salim-'2018'!Resal_s)*(1-EXP(('2018'!Tnet_s-t)/'2018'!Tau_j)),Resal_s+(Salim-Resal_s)*(1-EXP((Tnet_s-t)/Tau_j)))*Salcycl</f>
        <v>1.3365368318253294E-2</v>
      </c>
      <c r="AD40" s="231">
        <f>(INDEX(Models!$BJ40:$BT40,,AH40)*(1-AF40)+INDEX(Models!$BJ40:$BT40,,AH40+1)*AF40-ERP_i)*AE40*Ramure*Pc/MaxiM</f>
        <v>3.3814574341339819E-5</v>
      </c>
      <c r="AE40" s="305">
        <f t="shared" si="14"/>
        <v>0.5</v>
      </c>
      <c r="AF40" s="177">
        <f t="shared" si="15"/>
        <v>0.49863654827635484</v>
      </c>
      <c r="AG40" s="176">
        <f t="shared" si="16"/>
        <v>-2</v>
      </c>
      <c r="AH40" s="176">
        <f t="shared" si="17"/>
        <v>4</v>
      </c>
      <c r="AI40" s="225">
        <f t="shared" si="22"/>
        <v>-1.5013634517236452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7">
        <v>14.708</v>
      </c>
      <c r="C41" s="390"/>
      <c r="D41" s="393">
        <f t="shared" si="0"/>
        <v>14.783251984107842</v>
      </c>
      <c r="E41" s="385">
        <f t="shared" si="1"/>
        <v>14.984296327680354</v>
      </c>
      <c r="F41" s="385">
        <f t="shared" si="2"/>
        <v>14.984407964187147</v>
      </c>
      <c r="G41" s="110">
        <f t="shared" si="23"/>
        <v>0.4619899847359612</v>
      </c>
      <c r="H41" s="414" t="b">
        <f>Wh_hp&gt;='2018'!Maxi_hp</f>
        <v>1</v>
      </c>
      <c r="I41" s="390">
        <f>IF(H41,Wh_hp,'2018'!Maxi_hp)</f>
        <v>14.984407964187147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5.0903538807792748E-3</v>
      </c>
      <c r="M41" s="845"/>
      <c r="N41" s="845"/>
      <c r="O41" s="48">
        <f>IF(t&lt;Tnet,'2018'!Resal+('2018'!Salim-'2018'!Resal)*(1-EXP(('2018'!Tnet-t)/('2018'!Tau_j))),Resal+(Salim-Resal)*(1-EXP((Tnet-t)/(Tau_j))))*Salcycl</f>
        <v>1.341700265237839E-2</v>
      </c>
      <c r="P41" s="169">
        <f>(INDEX(Models!$BJ41:$BT41,,T41)*(1-R41)+INDEX(Models!$BJ41:$BT41,,T41+1)*R41-ERP_i)*Q41*Ramure*Pc/MaxiM</f>
        <v>3.2191845945370893E-5</v>
      </c>
      <c r="Q41" s="305">
        <f t="shared" si="4"/>
        <v>0.5</v>
      </c>
      <c r="R41" s="177">
        <f t="shared" si="5"/>
        <v>0.49871775295817655</v>
      </c>
      <c r="S41" s="811">
        <f t="shared" si="6"/>
        <v>-2</v>
      </c>
      <c r="T41" s="176">
        <f t="shared" si="7"/>
        <v>4</v>
      </c>
      <c r="U41" s="251">
        <f t="shared" si="21"/>
        <v>-1.5012822470418234</v>
      </c>
      <c r="V41" s="383">
        <f t="shared" si="8"/>
        <v>31.83540029605345</v>
      </c>
      <c r="W41" s="58"/>
      <c r="X41" s="157">
        <f t="shared" si="9"/>
        <v>43492</v>
      </c>
      <c r="Y41" s="385">
        <f t="shared" si="10"/>
        <v>14.708</v>
      </c>
      <c r="Z41" s="385">
        <f t="shared" si="11"/>
        <v>14.783251984107842</v>
      </c>
      <c r="AA41" s="386">
        <f t="shared" si="12"/>
        <v>14.984296327680354</v>
      </c>
      <c r="AB41" s="197">
        <f t="shared" si="13"/>
        <v>43492</v>
      </c>
      <c r="AC41" s="426">
        <f>IF(OR(t&lt;Tnet,NoTnet),'2018'!Resal_s+('2018'!Salim-'2018'!Resal_s)*(1-EXP(('2018'!Tnet_s-t)/'2018'!Tau_j)),Resal_s+(Salim-Resal_s)*(1-EXP((Tnet_s-t)/Tau_j)))*Salcycl</f>
        <v>1.341700265237839E-2</v>
      </c>
      <c r="AD41" s="231">
        <f>(INDEX(Models!$BJ41:$BT41,,AH41)*(1-AF41)+INDEX(Models!$BJ41:$BT41,,AH41+1)*AF41-ERP_i)*AE41*Ramure*Pc/MaxiM</f>
        <v>3.2191845945370893E-5</v>
      </c>
      <c r="AE41" s="305">
        <f t="shared" si="14"/>
        <v>0.5</v>
      </c>
      <c r="AF41" s="177">
        <f t="shared" si="15"/>
        <v>0.49871775295817655</v>
      </c>
      <c r="AG41" s="176">
        <f t="shared" si="16"/>
        <v>-2</v>
      </c>
      <c r="AH41" s="176">
        <f t="shared" si="17"/>
        <v>4</v>
      </c>
      <c r="AI41" s="225">
        <f t="shared" si="22"/>
        <v>-1.5012822470418234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7">
        <v>15.058</v>
      </c>
      <c r="C42" s="390"/>
      <c r="D42" s="393">
        <f t="shared" si="0"/>
        <v>15.135374227002625</v>
      </c>
      <c r="E42" s="385">
        <f t="shared" si="1"/>
        <v>15.342009782330729</v>
      </c>
      <c r="F42" s="385">
        <f t="shared" si="2"/>
        <v>15.342122793616701</v>
      </c>
      <c r="G42" s="110">
        <f t="shared" si="23"/>
        <v>0.46811616738851508</v>
      </c>
      <c r="H42" s="414" t="b">
        <f>Wh_hp&gt;='2018'!Maxi_hp</f>
        <v>1</v>
      </c>
      <c r="I42" s="390">
        <f>IF(H42,Wh_hp,'2018'!Maxi_hp)</f>
        <v>15.342122793616701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5.1121449553975795E-3</v>
      </c>
      <c r="M42" s="845"/>
      <c r="N42" s="845"/>
      <c r="O42" s="48">
        <f>IF(t&lt;Tnet,'2018'!Resal+('2018'!Salim-'2018'!Resal)*(1-EXP(('2018'!Tnet-t)/('2018'!Tau_j))),Resal+(Salim-Resal)*(1-EXP((Tnet-t)/(Tau_j))))*Salcycl</f>
        <v>1.3468610583607139E-2</v>
      </c>
      <c r="P42" s="169">
        <f>(INDEX(Models!$BJ42:$BT42,,T42)*(1-R42)+INDEX(Models!$BJ42:$BT42,,T42+1)*R42-ERP_i)*Q42*Ramure*Pc/MaxiM</f>
        <v>3.0668797096799242E-5</v>
      </c>
      <c r="Q42" s="305">
        <f t="shared" si="4"/>
        <v>0.5</v>
      </c>
      <c r="R42" s="177">
        <f t="shared" si="5"/>
        <v>0.49880233622402259</v>
      </c>
      <c r="S42" s="811">
        <f t="shared" si="6"/>
        <v>-2</v>
      </c>
      <c r="T42" s="176">
        <f t="shared" si="7"/>
        <v>4</v>
      </c>
      <c r="U42" s="251">
        <f t="shared" si="21"/>
        <v>-1.5011976637759774</v>
      </c>
      <c r="V42" s="383">
        <f t="shared" si="8"/>
        <v>32.166479506755657</v>
      </c>
      <c r="W42" s="58"/>
      <c r="X42" s="157">
        <f t="shared" si="9"/>
        <v>43493</v>
      </c>
      <c r="Y42" s="385">
        <f t="shared" si="10"/>
        <v>15.058</v>
      </c>
      <c r="Z42" s="385">
        <f t="shared" si="11"/>
        <v>15.135374227002625</v>
      </c>
      <c r="AA42" s="386">
        <f t="shared" si="12"/>
        <v>15.342009782330729</v>
      </c>
      <c r="AB42" s="197">
        <f t="shared" si="13"/>
        <v>43493</v>
      </c>
      <c r="AC42" s="426">
        <f>IF(OR(t&lt;Tnet,NoTnet),'2018'!Resal_s+('2018'!Salim-'2018'!Resal_s)*(1-EXP(('2018'!Tnet_s-t)/'2018'!Tau_j)),Resal_s+(Salim-Resal_s)*(1-EXP((Tnet_s-t)/Tau_j)))*Salcycl</f>
        <v>1.3468610583607139E-2</v>
      </c>
      <c r="AD42" s="231">
        <f>(INDEX(Models!$BJ42:$BT42,,AH42)*(1-AF42)+INDEX(Models!$BJ42:$BT42,,AH42+1)*AF42-ERP_i)*AE42*Ramure*Pc/MaxiM</f>
        <v>3.0668797096799242E-5</v>
      </c>
      <c r="AE42" s="305">
        <f t="shared" si="14"/>
        <v>0.5</v>
      </c>
      <c r="AF42" s="177">
        <f t="shared" si="15"/>
        <v>0.49880233622402259</v>
      </c>
      <c r="AG42" s="176">
        <f t="shared" si="16"/>
        <v>-2</v>
      </c>
      <c r="AH42" s="176">
        <f t="shared" si="17"/>
        <v>4</v>
      </c>
      <c r="AI42" s="225">
        <f t="shared" si="22"/>
        <v>-1.5011976637759774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7">
        <v>5.7409999999999997</v>
      </c>
      <c r="C43" s="390"/>
      <c r="D43" s="393">
        <f t="shared" si="0"/>
        <v>5.7706260220963799</v>
      </c>
      <c r="E43" s="385">
        <f t="shared" si="1"/>
        <v>5.8497152982432112</v>
      </c>
      <c r="F43" s="385">
        <f t="shared" si="2"/>
        <v>5.8497152982432112</v>
      </c>
      <c r="G43" s="110">
        <f t="shared" si="23"/>
        <v>0.17663277160244062</v>
      </c>
      <c r="H43" s="414" t="b">
        <f>Wh_hp&gt;='2018'!Maxi_hp</f>
        <v>1</v>
      </c>
      <c r="I43" s="390">
        <f>IF(H43,Wh_hp,'2018'!Maxi_hp)</f>
        <v>5.8497152982432112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5.1339355527353359E-3</v>
      </c>
      <c r="M43" s="845"/>
      <c r="N43" s="845"/>
      <c r="O43" s="48">
        <f>IF(t&lt;Tnet,'2018'!Resal+('2018'!Salim-'2018'!Resal)*(1-EXP(('2018'!Tnet-t)/('2018'!Tau_j))),Resal+(Salim-Resal)*(1-EXP((Tnet-t)/(Tau_j))))*Salcycl</f>
        <v>1.3520192370829361E-2</v>
      </c>
      <c r="P43" s="169">
        <f>(INDEX(Models!$BJ43:$BT43,,T43)*(1-R43)+INDEX(Models!$BJ43:$BT43,,T43+1)*R43-ERP_i)*Q43*Ramure*Pc/MaxiM</f>
        <v>2.9244057289830892E-5</v>
      </c>
      <c r="Q43" s="305">
        <f t="shared" si="4"/>
        <v>0.5</v>
      </c>
      <c r="R43" s="177">
        <f t="shared" si="5"/>
        <v>0.49889043741930772</v>
      </c>
      <c r="S43" s="811">
        <f t="shared" si="6"/>
        <v>-2</v>
      </c>
      <c r="T43" s="176">
        <f t="shared" si="7"/>
        <v>4</v>
      </c>
      <c r="U43" s="251">
        <f t="shared" si="21"/>
        <v>-1.5011095625806923</v>
      </c>
      <c r="V43" s="383">
        <f t="shared" si="8"/>
        <v>32.501511796397438</v>
      </c>
      <c r="W43" s="58"/>
      <c r="X43" s="157">
        <f t="shared" si="9"/>
        <v>43494</v>
      </c>
      <c r="Y43" s="385">
        <f t="shared" si="10"/>
        <v>5.7409999999999997</v>
      </c>
      <c r="Z43" s="385">
        <f t="shared" si="11"/>
        <v>5.7706260220963799</v>
      </c>
      <c r="AA43" s="386">
        <f t="shared" si="12"/>
        <v>5.8497152982432112</v>
      </c>
      <c r="AB43" s="197">
        <f t="shared" si="13"/>
        <v>43494</v>
      </c>
      <c r="AC43" s="426">
        <f>IF(OR(t&lt;Tnet,NoTnet),'2018'!Resal_s+('2018'!Salim-'2018'!Resal_s)*(1-EXP(('2018'!Tnet_s-t)/'2018'!Tau_j)),Resal_s+(Salim-Resal_s)*(1-EXP((Tnet_s-t)/Tau_j)))*Salcycl</f>
        <v>1.3520192370829361E-2</v>
      </c>
      <c r="AD43" s="231">
        <f>(INDEX(Models!$BJ43:$BT43,,AH43)*(1-AF43)+INDEX(Models!$BJ43:$BT43,,AH43+1)*AF43-ERP_i)*AE43*Ramure*Pc/MaxiM</f>
        <v>2.9244057289830892E-5</v>
      </c>
      <c r="AE43" s="305">
        <f t="shared" si="14"/>
        <v>0.5</v>
      </c>
      <c r="AF43" s="177">
        <f t="shared" si="15"/>
        <v>0.49889043741930772</v>
      </c>
      <c r="AG43" s="176">
        <f t="shared" si="16"/>
        <v>-2</v>
      </c>
      <c r="AH43" s="176">
        <f t="shared" si="17"/>
        <v>4</v>
      </c>
      <c r="AI43" s="225">
        <f t="shared" si="22"/>
        <v>-1.5011095625806923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7">
        <v>8.3079999999999998</v>
      </c>
      <c r="C44" s="390"/>
      <c r="D44" s="393">
        <f t="shared" si="0"/>
        <v>8.3510557525383735</v>
      </c>
      <c r="E44" s="385">
        <f t="shared" si="1"/>
        <v>8.4659535416899949</v>
      </c>
      <c r="F44" s="385">
        <f t="shared" si="2"/>
        <v>8.4659535416899949</v>
      </c>
      <c r="G44" s="110">
        <f t="shared" si="23"/>
        <v>0.25298139636213829</v>
      </c>
      <c r="H44" s="414" t="b">
        <f>Wh_hp&gt;='2018'!Maxi_hp</f>
        <v>1</v>
      </c>
      <c r="I44" s="390">
        <f>IF(H44,Wh_hp,'2018'!Maxi_hp)</f>
        <v>8.4659535416899949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5.1557256728032019E-3</v>
      </c>
      <c r="M44" s="845"/>
      <c r="N44" s="845"/>
      <c r="O44" s="48">
        <f>IF(t&lt;Tnet,'2018'!Resal+('2018'!Salim-'2018'!Resal)*(1-EXP(('2018'!Tnet-t)/('2018'!Tau_j))),Resal+(Salim-Resal)*(1-EXP((Tnet-t)/(Tau_j))))*Salcycl</f>
        <v>1.3571748130416226E-2</v>
      </c>
      <c r="P44" s="169">
        <f>(INDEX(Models!$BJ44:$BT44,,T44)*(1-R44)+INDEX(Models!$BJ44:$BT44,,T44+1)*R44-ERP_i)*Q44*Ramure*Pc/MaxiM</f>
        <v>2.7982698371295737E-5</v>
      </c>
      <c r="Q44" s="305">
        <f t="shared" si="4"/>
        <v>0.5</v>
      </c>
      <c r="R44" s="177">
        <f t="shared" si="5"/>
        <v>0.49898220153230133</v>
      </c>
      <c r="S44" s="811">
        <f t="shared" si="6"/>
        <v>-2</v>
      </c>
      <c r="T44" s="176">
        <f t="shared" si="7"/>
        <v>4</v>
      </c>
      <c r="U44" s="251">
        <f t="shared" si="21"/>
        <v>-1.5010177984676987</v>
      </c>
      <c r="V44" s="383">
        <f t="shared" si="8"/>
        <v>32.839440524905299</v>
      </c>
      <c r="W44" s="58"/>
      <c r="X44" s="157">
        <f t="shared" si="9"/>
        <v>43495</v>
      </c>
      <c r="Y44" s="385">
        <f t="shared" si="10"/>
        <v>8.3079999999999998</v>
      </c>
      <c r="Z44" s="385">
        <f t="shared" si="11"/>
        <v>8.3510557525383735</v>
      </c>
      <c r="AA44" s="386">
        <f t="shared" si="12"/>
        <v>8.4659535416899949</v>
      </c>
      <c r="AB44" s="197">
        <f t="shared" si="13"/>
        <v>43495</v>
      </c>
      <c r="AC44" s="426">
        <f>IF(OR(t&lt;Tnet,NoTnet),'2018'!Resal_s+('2018'!Salim-'2018'!Resal_s)*(1-EXP(('2018'!Tnet_s-t)/'2018'!Tau_j)),Resal_s+(Salim-Resal_s)*(1-EXP((Tnet_s-t)/Tau_j)))*Salcycl</f>
        <v>1.3571748130416226E-2</v>
      </c>
      <c r="AD44" s="231">
        <f>(INDEX(Models!$BJ44:$BT44,,AH44)*(1-AF44)+INDEX(Models!$BJ44:$BT44,,AH44+1)*AF44-ERP_i)*AE44*Ramure*Pc/MaxiM</f>
        <v>2.7982698371295737E-5</v>
      </c>
      <c r="AE44" s="305">
        <f t="shared" si="14"/>
        <v>0.5</v>
      </c>
      <c r="AF44" s="177">
        <f t="shared" si="15"/>
        <v>0.49898220153230133</v>
      </c>
      <c r="AG44" s="176">
        <f t="shared" si="16"/>
        <v>-2</v>
      </c>
      <c r="AH44" s="176">
        <f t="shared" si="17"/>
        <v>4</v>
      </c>
      <c r="AI44" s="225">
        <f t="shared" si="22"/>
        <v>-1.5010177984676987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7">
        <v>7.6210000000000004</v>
      </c>
      <c r="C45" s="390"/>
      <c r="D45" s="393">
        <f t="shared" si="0"/>
        <v>7.6606632010511841</v>
      </c>
      <c r="E45" s="385">
        <f t="shared" si="1"/>
        <v>7.7664679517105926</v>
      </c>
      <c r="F45" s="385">
        <f t="shared" si="2"/>
        <v>7.7664679517105926</v>
      </c>
      <c r="G45" s="110">
        <f t="shared" si="23"/>
        <v>0.22968584189890107</v>
      </c>
      <c r="H45" s="414" t="b">
        <f>Wh_hp&gt;='2018'!Maxi_hp</f>
        <v>1</v>
      </c>
      <c r="I45" s="390">
        <f>IF(H45,Wh_hp,'2018'!Maxi_hp)</f>
        <v>7.7664679517105926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5.1775153156115028E-3</v>
      </c>
      <c r="M45" s="845"/>
      <c r="N45" s="845"/>
      <c r="O45" s="48">
        <f>IF(t&lt;Tnet,'2018'!Resal+('2018'!Salim-'2018'!Resal)*(1-EXP(('2018'!Tnet-t)/('2018'!Tau_j))),Resal+(Salim-Resal)*(1-EXP((Tnet-t)/(Tau_j))))*Salcycl</f>
        <v>1.3623277829415923E-2</v>
      </c>
      <c r="P45" s="169">
        <f>(INDEX(Models!$BJ45:$BT45,,T45)*(1-R45)+INDEX(Models!$BJ45:$BT45,,T45+1)*R45-ERP_i)*Q45*Ramure*Pc/MaxiM</f>
        <v>2.6852980496986936E-5</v>
      </c>
      <c r="Q45" s="305">
        <f t="shared" si="4"/>
        <v>0.5</v>
      </c>
      <c r="R45" s="177">
        <f t="shared" si="5"/>
        <v>0.49907777941373133</v>
      </c>
      <c r="S45" s="811">
        <f t="shared" si="6"/>
        <v>-2</v>
      </c>
      <c r="T45" s="176">
        <f t="shared" si="7"/>
        <v>4</v>
      </c>
      <c r="U45" s="251">
        <f t="shared" si="21"/>
        <v>-1.5009222205862687</v>
      </c>
      <c r="V45" s="383">
        <f t="shared" si="8"/>
        <v>33.179212486201109</v>
      </c>
      <c r="W45" s="58"/>
      <c r="X45" s="157">
        <f t="shared" si="9"/>
        <v>43496</v>
      </c>
      <c r="Y45" s="385">
        <f t="shared" si="10"/>
        <v>7.6210000000000004</v>
      </c>
      <c r="Z45" s="385">
        <f t="shared" si="11"/>
        <v>7.6606632010511841</v>
      </c>
      <c r="AA45" s="386">
        <f t="shared" si="12"/>
        <v>7.7664679517105926</v>
      </c>
      <c r="AB45" s="197">
        <f t="shared" si="13"/>
        <v>43496</v>
      </c>
      <c r="AC45" s="426">
        <f>IF(OR(t&lt;Tnet,NoTnet),'2018'!Resal_s+('2018'!Salim-'2018'!Resal_s)*(1-EXP(('2018'!Tnet_s-t)/'2018'!Tau_j)),Resal_s+(Salim-Resal_s)*(1-EXP((Tnet_s-t)/Tau_j)))*Salcycl</f>
        <v>1.3623277829415923E-2</v>
      </c>
      <c r="AD45" s="231">
        <f>(INDEX(Models!$BJ45:$BT45,,AH45)*(1-AF45)+INDEX(Models!$BJ45:$BT45,,AH45+1)*AF45-ERP_i)*AE45*Ramure*Pc/MaxiM</f>
        <v>2.6852980496986936E-5</v>
      </c>
      <c r="AE45" s="305">
        <f t="shared" si="14"/>
        <v>0.5</v>
      </c>
      <c r="AF45" s="177">
        <f t="shared" si="15"/>
        <v>0.49907777941373133</v>
      </c>
      <c r="AG45" s="176">
        <f t="shared" si="16"/>
        <v>-2</v>
      </c>
      <c r="AH45" s="176">
        <f t="shared" si="17"/>
        <v>4</v>
      </c>
      <c r="AI45" s="225">
        <f t="shared" si="22"/>
        <v>-1.5009222205862687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7">
        <v>27.419</v>
      </c>
      <c r="C46" s="390"/>
      <c r="D46" s="393">
        <f t="shared" si="0"/>
        <v>27.562304814935686</v>
      </c>
      <c r="E46" s="385">
        <f t="shared" si="1"/>
        <v>27.94443890498972</v>
      </c>
      <c r="F46" s="385">
        <f t="shared" si="2"/>
        <v>27.944973498874095</v>
      </c>
      <c r="G46" s="110">
        <f t="shared" si="23"/>
        <v>0.81798928008274296</v>
      </c>
      <c r="H46" s="414" t="b">
        <f>Wh_hp&gt;='2018'!Maxi_hp</f>
        <v>1</v>
      </c>
      <c r="I46" s="390">
        <f>IF(H46,Wh_hp,'2018'!Maxi_hp)</f>
        <v>27.944973498874095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5.1993044811706746E-3</v>
      </c>
      <c r="M46" s="845"/>
      <c r="N46" s="845"/>
      <c r="O46" s="48">
        <f>IF(t&lt;Tnet,'2018'!Resal+('2018'!Salim-'2018'!Resal)*(1-EXP(('2018'!Tnet-t)/('2018'!Tau_j))),Resal+(Salim-Resal)*(1-EXP((Tnet-t)/(Tau_j))))*Salcycl</f>
        <v>1.3674781281287351E-2</v>
      </c>
      <c r="P46" s="169">
        <f>(INDEX(Models!$BJ46:$BT46,,T46)*(1-R46)+INDEX(Models!$BJ46:$BT46,,T46+1)*R46-ERP_i)*Q46*Ramure*Pc/MaxiM</f>
        <v>2.5851928265296349E-5</v>
      </c>
      <c r="Q46" s="305">
        <f t="shared" si="4"/>
        <v>0.5</v>
      </c>
      <c r="R46" s="177">
        <f t="shared" si="5"/>
        <v>0.49917732800417181</v>
      </c>
      <c r="S46" s="811">
        <f t="shared" si="6"/>
        <v>-2</v>
      </c>
      <c r="T46" s="176">
        <f t="shared" si="7"/>
        <v>4</v>
      </c>
      <c r="U46" s="251">
        <f t="shared" si="21"/>
        <v>-1.5008226719958282</v>
      </c>
      <c r="V46" s="383">
        <f t="shared" si="8"/>
        <v>33.519773867412759</v>
      </c>
      <c r="W46" s="58"/>
      <c r="X46" s="157">
        <f t="shared" si="9"/>
        <v>43497</v>
      </c>
      <c r="Y46" s="385">
        <f t="shared" si="10"/>
        <v>27.419</v>
      </c>
      <c r="Z46" s="385">
        <f t="shared" si="11"/>
        <v>27.562304814935686</v>
      </c>
      <c r="AA46" s="386">
        <f t="shared" si="12"/>
        <v>27.94443890498972</v>
      </c>
      <c r="AB46" s="197">
        <f t="shared" si="13"/>
        <v>43497</v>
      </c>
      <c r="AC46" s="426">
        <f>IF(OR(t&lt;Tnet,NoTnet),'2018'!Resal_s+('2018'!Salim-'2018'!Resal_s)*(1-EXP(('2018'!Tnet_s-t)/'2018'!Tau_j)),Resal_s+(Salim-Resal_s)*(1-EXP((Tnet_s-t)/Tau_j)))*Salcycl</f>
        <v>1.3674781281287351E-2</v>
      </c>
      <c r="AD46" s="231">
        <f>(INDEX(Models!$BJ46:$BT46,,AH46)*(1-AF46)+INDEX(Models!$BJ46:$BT46,,AH46+1)*AF46-ERP_i)*AE46*Ramure*Pc/MaxiM</f>
        <v>2.5851928265296349E-5</v>
      </c>
      <c r="AE46" s="305">
        <f t="shared" si="14"/>
        <v>0.5</v>
      </c>
      <c r="AF46" s="177">
        <f t="shared" si="15"/>
        <v>0.49917732800417181</v>
      </c>
      <c r="AG46" s="176">
        <f t="shared" si="16"/>
        <v>-2</v>
      </c>
      <c r="AH46" s="176">
        <f t="shared" si="17"/>
        <v>4</v>
      </c>
      <c r="AI46" s="225">
        <f t="shared" si="22"/>
        <v>-1.5008226719958282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7">
        <v>3.3719999999999999</v>
      </c>
      <c r="C47" s="390"/>
      <c r="D47" s="393">
        <f t="shared" si="0"/>
        <v>3.3896979287021853</v>
      </c>
      <c r="E47" s="385">
        <f t="shared" si="1"/>
        <v>3.4368733393672604</v>
      </c>
      <c r="F47" s="385">
        <f t="shared" si="2"/>
        <v>3.4368733393672604</v>
      </c>
      <c r="G47" s="110">
        <f t="shared" si="23"/>
        <v>9.9583836136544562E-2</v>
      </c>
      <c r="H47" s="414" t="b">
        <f>Wh_hp&gt;='2018'!Maxi_hp</f>
        <v>1</v>
      </c>
      <c r="I47" s="390">
        <f>IF(H47,Wh_hp,'2018'!Maxi_hp)</f>
        <v>3.4368733393672604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5.2210931694912643E-3</v>
      </c>
      <c r="M47" s="845"/>
      <c r="N47" s="845"/>
      <c r="O47" s="48">
        <f>IF(t&lt;Tnet,'2018'!Resal+('2018'!Salim-'2018'!Resal)*(1-EXP(('2018'!Tnet-t)/('2018'!Tau_j))),Resal+(Salim-Resal)*(1-EXP((Tnet-t)/(Tau_j))))*Salcycl</f>
        <v>1.3726258144200318E-2</v>
      </c>
      <c r="P47" s="169">
        <f>(INDEX(Models!$BJ47:$BT47,,T47)*(1-R47)+INDEX(Models!$BJ47:$BT47,,T47+1)*R47-ERP_i)*Q47*Ramure*Pc/MaxiM</f>
        <v>2.4976537961535944E-5</v>
      </c>
      <c r="Q47" s="305">
        <f t="shared" si="4"/>
        <v>0.5</v>
      </c>
      <c r="R47" s="177">
        <f t="shared" si="5"/>
        <v>0.49928101056941654</v>
      </c>
      <c r="S47" s="811">
        <f t="shared" si="6"/>
        <v>-2</v>
      </c>
      <c r="T47" s="176">
        <f t="shared" si="7"/>
        <v>4</v>
      </c>
      <c r="U47" s="251">
        <f t="shared" si="21"/>
        <v>-1.5007189894305835</v>
      </c>
      <c r="V47" s="383">
        <f t="shared" si="8"/>
        <v>33.860071171495989</v>
      </c>
      <c r="W47" s="58"/>
      <c r="X47" s="157">
        <f t="shared" si="9"/>
        <v>43498</v>
      </c>
      <c r="Y47" s="385">
        <f t="shared" si="10"/>
        <v>3.3719999999999999</v>
      </c>
      <c r="Z47" s="385">
        <f t="shared" si="11"/>
        <v>3.3896979287021853</v>
      </c>
      <c r="AA47" s="386">
        <f t="shared" si="12"/>
        <v>3.4368733393672604</v>
      </c>
      <c r="AB47" s="197">
        <f t="shared" si="13"/>
        <v>43498</v>
      </c>
      <c r="AC47" s="426">
        <f>IF(OR(t&lt;Tnet,NoTnet),'2018'!Resal_s+('2018'!Salim-'2018'!Resal_s)*(1-EXP(('2018'!Tnet_s-t)/'2018'!Tau_j)),Resal_s+(Salim-Resal_s)*(1-EXP((Tnet_s-t)/Tau_j)))*Salcycl</f>
        <v>1.3726258144200318E-2</v>
      </c>
      <c r="AD47" s="231">
        <f>(INDEX(Models!$BJ47:$BT47,,AH47)*(1-AF47)+INDEX(Models!$BJ47:$BT47,,AH47+1)*AF47-ERP_i)*AE47*Ramure*Pc/MaxiM</f>
        <v>2.4976537961535944E-5</v>
      </c>
      <c r="AE47" s="305">
        <f t="shared" si="14"/>
        <v>0.5</v>
      </c>
      <c r="AF47" s="177">
        <f t="shared" si="15"/>
        <v>0.49928101056941654</v>
      </c>
      <c r="AG47" s="176">
        <f t="shared" si="16"/>
        <v>-2</v>
      </c>
      <c r="AH47" s="176">
        <f t="shared" si="17"/>
        <v>4</v>
      </c>
      <c r="AI47" s="225">
        <f t="shared" si="22"/>
        <v>-1.5007189894305835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7">
        <v>13.62</v>
      </c>
      <c r="C48" s="390"/>
      <c r="D48" s="393">
        <f t="shared" si="0"/>
        <v>13.691784401505618</v>
      </c>
      <c r="E48" s="385">
        <f t="shared" si="1"/>
        <v>13.88306116327513</v>
      </c>
      <c r="F48" s="385">
        <f t="shared" si="2"/>
        <v>13.883108368852387</v>
      </c>
      <c r="G48" s="110">
        <f t="shared" si="23"/>
        <v>0.39824836934609198</v>
      </c>
      <c r="H48" s="414" t="b">
        <f>Wh_hp&gt;='2018'!Maxi_hp</f>
        <v>1</v>
      </c>
      <c r="I48" s="390">
        <f>IF(H48,Wh_hp,'2018'!Maxi_hp)</f>
        <v>13.883108368852387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5.2428813805835972E-3</v>
      </c>
      <c r="M48" s="845"/>
      <c r="N48" s="845"/>
      <c r="O48" s="48">
        <f>IF(t&lt;Tnet,'2018'!Resal+('2018'!Salim-'2018'!Resal)*(1-EXP(('2018'!Tnet-t)/('2018'!Tau_j))),Resal+(Salim-Resal)*(1-EXP((Tnet-t)/(Tau_j))))*Salcycl</f>
        <v>1.3777707921902473E-2</v>
      </c>
      <c r="P48" s="169">
        <f>(INDEX(Models!$BJ48:$BT48,,T48)*(1-R48)+INDEX(Models!$BJ48:$BT48,,T48+1)*R48-ERP_i)*Q48*Ramure*Pc/MaxiM</f>
        <v>2.4223820002932348E-5</v>
      </c>
      <c r="Q48" s="305">
        <f t="shared" si="4"/>
        <v>0.5</v>
      </c>
      <c r="R48" s="177">
        <f t="shared" si="5"/>
        <v>0.4993889969440497</v>
      </c>
      <c r="S48" s="811">
        <f t="shared" si="6"/>
        <v>-2</v>
      </c>
      <c r="T48" s="176">
        <f t="shared" si="7"/>
        <v>4</v>
      </c>
      <c r="U48" s="251">
        <f t="shared" si="21"/>
        <v>-1.5006110030559503</v>
      </c>
      <c r="V48" s="383">
        <f t="shared" si="8"/>
        <v>34.199051220026355</v>
      </c>
      <c r="W48" s="58"/>
      <c r="X48" s="157">
        <f t="shared" si="9"/>
        <v>43499</v>
      </c>
      <c r="Y48" s="385">
        <f t="shared" si="10"/>
        <v>13.62</v>
      </c>
      <c r="Z48" s="385">
        <f t="shared" si="11"/>
        <v>13.691784401505618</v>
      </c>
      <c r="AA48" s="386">
        <f t="shared" si="12"/>
        <v>13.88306116327513</v>
      </c>
      <c r="AB48" s="197">
        <f t="shared" si="13"/>
        <v>43499</v>
      </c>
      <c r="AC48" s="426">
        <f>IF(OR(t&lt;Tnet,NoTnet),'2018'!Resal_s+('2018'!Salim-'2018'!Resal_s)*(1-EXP(('2018'!Tnet_s-t)/'2018'!Tau_j)),Resal_s+(Salim-Resal_s)*(1-EXP((Tnet_s-t)/Tau_j)))*Salcycl</f>
        <v>1.3777707921902473E-2</v>
      </c>
      <c r="AD48" s="231">
        <f>(INDEX(Models!$BJ48:$BT48,,AH48)*(1-AF48)+INDEX(Models!$BJ48:$BT48,,AH48+1)*AF48-ERP_i)*AE48*Ramure*Pc/MaxiM</f>
        <v>2.4223820002932348E-5</v>
      </c>
      <c r="AE48" s="305">
        <f t="shared" si="14"/>
        <v>0.5</v>
      </c>
      <c r="AF48" s="177">
        <f t="shared" si="15"/>
        <v>0.4993889969440497</v>
      </c>
      <c r="AG48" s="176">
        <f t="shared" si="16"/>
        <v>-2</v>
      </c>
      <c r="AH48" s="176">
        <f t="shared" si="17"/>
        <v>4</v>
      </c>
      <c r="AI48" s="225">
        <f t="shared" si="22"/>
        <v>-1.5006110030559503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7">
        <v>27.38</v>
      </c>
      <c r="C49" s="390"/>
      <c r="D49" s="393">
        <f t="shared" si="0"/>
        <v>27.524909541139493</v>
      </c>
      <c r="E49" s="385">
        <f t="shared" si="1"/>
        <v>27.910892906644023</v>
      </c>
      <c r="F49" s="385">
        <f t="shared" si="2"/>
        <v>27.911356460515268</v>
      </c>
      <c r="G49" s="110">
        <f t="shared" si="23"/>
        <v>0.79279816559706218</v>
      </c>
      <c r="H49" s="414" t="b">
        <f>Wh_hp&gt;='2018'!Maxi_hp</f>
        <v>1</v>
      </c>
      <c r="I49" s="390">
        <f>IF(H49,Wh_hp,'2018'!Maxi_hp)</f>
        <v>27.911356460515268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5.2646691144582203E-3</v>
      </c>
      <c r="M49" s="845"/>
      <c r="N49" s="845"/>
      <c r="O49" s="48">
        <f>IF(t&lt;Tnet,'2018'!Resal+('2018'!Salim-'2018'!Resal)*(1-EXP(('2018'!Tnet-t)/('2018'!Tau_j))),Resal+(Salim-Resal)*(1-EXP((Tnet-t)/(Tau_j))))*Salcycl</f>
        <v>1.3829129967126491E-2</v>
      </c>
      <c r="P49" s="169">
        <f>(INDEX(Models!$BJ49:$BT49,,T49)*(1-R49)+INDEX(Models!$BJ49:$BT49,,T49+1)*R49-ERP_i)*Q49*Ramure*Pc/MaxiM</f>
        <v>2.3590836886203379E-5</v>
      </c>
      <c r="Q49" s="305">
        <f t="shared" si="4"/>
        <v>0.5</v>
      </c>
      <c r="R49" s="177">
        <f t="shared" si="5"/>
        <v>0.49950146378341564</v>
      </c>
      <c r="S49" s="811">
        <f t="shared" si="6"/>
        <v>-2</v>
      </c>
      <c r="T49" s="176">
        <f t="shared" si="7"/>
        <v>4</v>
      </c>
      <c r="U49" s="251">
        <f t="shared" si="21"/>
        <v>-1.5004985362165844</v>
      </c>
      <c r="V49" s="383">
        <f t="shared" si="8"/>
        <v>34.535661151731695</v>
      </c>
      <c r="W49" s="58"/>
      <c r="X49" s="157">
        <f t="shared" si="9"/>
        <v>43500</v>
      </c>
      <c r="Y49" s="385">
        <f t="shared" si="10"/>
        <v>27.38</v>
      </c>
      <c r="Z49" s="385">
        <f t="shared" si="11"/>
        <v>27.524909541139493</v>
      </c>
      <c r="AA49" s="386">
        <f t="shared" si="12"/>
        <v>27.910892906644023</v>
      </c>
      <c r="AB49" s="197">
        <f t="shared" si="13"/>
        <v>43500</v>
      </c>
      <c r="AC49" s="426">
        <f>IF(OR(t&lt;Tnet,NoTnet),'2018'!Resal_s+('2018'!Salim-'2018'!Resal_s)*(1-EXP(('2018'!Tnet_s-t)/'2018'!Tau_j)),Resal_s+(Salim-Resal_s)*(1-EXP((Tnet_s-t)/Tau_j)))*Salcycl</f>
        <v>1.3829129967126491E-2</v>
      </c>
      <c r="AD49" s="231">
        <f>(INDEX(Models!$BJ49:$BT49,,AH49)*(1-AF49)+INDEX(Models!$BJ49:$BT49,,AH49+1)*AF49-ERP_i)*AE49*Ramure*Pc/MaxiM</f>
        <v>2.3590836886203379E-5</v>
      </c>
      <c r="AE49" s="305">
        <f t="shared" si="14"/>
        <v>0.5</v>
      </c>
      <c r="AF49" s="177">
        <f t="shared" si="15"/>
        <v>0.49950146378341564</v>
      </c>
      <c r="AG49" s="176">
        <f t="shared" si="16"/>
        <v>-2</v>
      </c>
      <c r="AH49" s="176">
        <f t="shared" si="17"/>
        <v>4</v>
      </c>
      <c r="AI49" s="225">
        <f t="shared" si="22"/>
        <v>-1.5004985362165844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7">
        <v>3.863</v>
      </c>
      <c r="C50" s="390"/>
      <c r="D50" s="393">
        <f t="shared" si="0"/>
        <v>3.883530112505714</v>
      </c>
      <c r="E50" s="385">
        <f t="shared" si="1"/>
        <v>3.9381943111397653</v>
      </c>
      <c r="F50" s="385">
        <f t="shared" si="2"/>
        <v>3.9381943111397653</v>
      </c>
      <c r="G50" s="110">
        <f t="shared" si="23"/>
        <v>0.11078401028311217</v>
      </c>
      <c r="H50" s="414" t="b">
        <f>Wh_hp&gt;='2018'!Maxi_hp</f>
        <v>1</v>
      </c>
      <c r="I50" s="390">
        <f>IF(H50,Wh_hp,'2018'!Maxi_hp)</f>
        <v>3.9381943111397653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5.2864563711255697E-3</v>
      </c>
      <c r="M50" s="845"/>
      <c r="N50" s="845"/>
      <c r="O50" s="48">
        <f>IF(t&lt;Tnet,'2018'!Resal+('2018'!Salim-'2018'!Resal)*(1-EXP(('2018'!Tnet-t)/('2018'!Tau_j))),Resal+(Salim-Resal)*(1-EXP((Tnet-t)/(Tau_j))))*Salcycl</f>
        <v>1.3880523487483944E-2</v>
      </c>
      <c r="P50" s="169">
        <f>(INDEX(Models!$BJ50:$BT50,,T50)*(1-R50)+INDEX(Models!$BJ50:$BT50,,T50+1)*R50-ERP_i)*Q50*Ramure*Pc/MaxiM</f>
        <v>2.3074736993447166E-5</v>
      </c>
      <c r="Q50" s="305">
        <f t="shared" si="4"/>
        <v>0.5</v>
      </c>
      <c r="R50" s="177">
        <f t="shared" si="5"/>
        <v>0.49961859482419646</v>
      </c>
      <c r="S50" s="811">
        <f t="shared" si="6"/>
        <v>-2</v>
      </c>
      <c r="T50" s="176">
        <f t="shared" si="7"/>
        <v>4</v>
      </c>
      <c r="U50" s="251">
        <f t="shared" si="21"/>
        <v>-1.5003814051758035</v>
      </c>
      <c r="V50" s="383">
        <f t="shared" si="8"/>
        <v>34.86884842333474</v>
      </c>
      <c r="W50" s="58"/>
      <c r="X50" s="157">
        <f t="shared" si="9"/>
        <v>43501</v>
      </c>
      <c r="Y50" s="385">
        <f t="shared" si="10"/>
        <v>3.863</v>
      </c>
      <c r="Z50" s="385">
        <f t="shared" si="11"/>
        <v>3.883530112505714</v>
      </c>
      <c r="AA50" s="386">
        <f t="shared" si="12"/>
        <v>3.9381943111397653</v>
      </c>
      <c r="AB50" s="197">
        <f t="shared" si="13"/>
        <v>43501</v>
      </c>
      <c r="AC50" s="426">
        <f>IF(OR(t&lt;Tnet,NoTnet),'2018'!Resal_s+('2018'!Salim-'2018'!Resal_s)*(1-EXP(('2018'!Tnet_s-t)/'2018'!Tau_j)),Resal_s+(Salim-Resal_s)*(1-EXP((Tnet_s-t)/Tau_j)))*Salcycl</f>
        <v>1.3880523487483944E-2</v>
      </c>
      <c r="AD50" s="231">
        <f>(INDEX(Models!$BJ50:$BT50,,AH50)*(1-AF50)+INDEX(Models!$BJ50:$BT50,,AH50+1)*AF50-ERP_i)*AE50*Ramure*Pc/MaxiM</f>
        <v>2.3074736993447166E-5</v>
      </c>
      <c r="AE50" s="305">
        <f t="shared" si="14"/>
        <v>0.5</v>
      </c>
      <c r="AF50" s="177">
        <f t="shared" si="15"/>
        <v>0.49961859482419646</v>
      </c>
      <c r="AG50" s="176">
        <f t="shared" si="16"/>
        <v>-2</v>
      </c>
      <c r="AH50" s="176">
        <f t="shared" si="17"/>
        <v>4</v>
      </c>
      <c r="AI50" s="225">
        <f t="shared" si="22"/>
        <v>-1.5003814051758035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7">
        <v>10.815</v>
      </c>
      <c r="C51" s="390"/>
      <c r="D51" s="393">
        <f t="shared" si="0"/>
        <v>10.872715015006792</v>
      </c>
      <c r="E51" s="385">
        <f t="shared" si="1"/>
        <v>11.026332641498579</v>
      </c>
      <c r="F51" s="385">
        <f t="shared" si="2"/>
        <v>11.026335229391099</v>
      </c>
      <c r="G51" s="110">
        <f t="shared" si="23"/>
        <v>0.30723971944864864</v>
      </c>
      <c r="H51" s="414" t="b">
        <f>Wh_hp&gt;='2018'!Maxi_hp</f>
        <v>1</v>
      </c>
      <c r="I51" s="390">
        <f>IF(H51,Wh_hp,'2018'!Maxi_hp)</f>
        <v>11.026335229391099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5.3082431505960814E-3</v>
      </c>
      <c r="M51" s="845"/>
      <c r="N51" s="845"/>
      <c r="O51" s="48">
        <f>IF(t&lt;Tnet,'2018'!Resal+('2018'!Salim-'2018'!Resal)*(1-EXP(('2018'!Tnet-t)/('2018'!Tau_j))),Resal+(Salim-Resal)*(1-EXP((Tnet-t)/(Tau_j))))*Salcycl</f>
        <v>1.3931887553766809E-2</v>
      </c>
      <c r="P51" s="169">
        <f>(INDEX(Models!$BJ51:$BT51,,T51)*(1-R51)+INDEX(Models!$BJ51:$BT51,,T51+1)*R51-ERP_i)*Q51*Ramure*Pc/MaxiM</f>
        <v>2.2671382906759512E-5</v>
      </c>
      <c r="Q51" s="305">
        <f t="shared" si="4"/>
        <v>0.5</v>
      </c>
      <c r="R51" s="177">
        <f t="shared" si="5"/>
        <v>0.4997405811537905</v>
      </c>
      <c r="S51" s="811">
        <f t="shared" si="6"/>
        <v>-2</v>
      </c>
      <c r="T51" s="176">
        <f t="shared" si="7"/>
        <v>4</v>
      </c>
      <c r="U51" s="251">
        <f t="shared" si="21"/>
        <v>-1.5002594188462095</v>
      </c>
      <c r="V51" s="383">
        <f t="shared" si="8"/>
        <v>35.199737086846234</v>
      </c>
      <c r="W51" s="58"/>
      <c r="X51" s="157">
        <f t="shared" si="9"/>
        <v>43502</v>
      </c>
      <c r="Y51" s="385">
        <f t="shared" si="10"/>
        <v>10.815</v>
      </c>
      <c r="Z51" s="385">
        <f t="shared" si="11"/>
        <v>10.872715015006792</v>
      </c>
      <c r="AA51" s="386">
        <f t="shared" si="12"/>
        <v>11.026332641498579</v>
      </c>
      <c r="AB51" s="197">
        <f t="shared" si="13"/>
        <v>43502</v>
      </c>
      <c r="AC51" s="426">
        <f>IF(OR(t&lt;Tnet,NoTnet),'2018'!Resal_s+('2018'!Salim-'2018'!Resal_s)*(1-EXP(('2018'!Tnet_s-t)/'2018'!Tau_j)),Resal_s+(Salim-Resal_s)*(1-EXP((Tnet_s-t)/Tau_j)))*Salcycl</f>
        <v>1.3931887553766809E-2</v>
      </c>
      <c r="AD51" s="231">
        <f>(INDEX(Models!$BJ51:$BT51,,AH51)*(1-AF51)+INDEX(Models!$BJ51:$BT51,,AH51+1)*AF51-ERP_i)*AE51*Ramure*Pc/MaxiM</f>
        <v>2.2671382906759512E-5</v>
      </c>
      <c r="AE51" s="305">
        <f t="shared" si="14"/>
        <v>0.5</v>
      </c>
      <c r="AF51" s="177">
        <f t="shared" si="15"/>
        <v>0.4997405811537905</v>
      </c>
      <c r="AG51" s="176">
        <f t="shared" si="16"/>
        <v>-2</v>
      </c>
      <c r="AH51" s="176">
        <f t="shared" si="17"/>
        <v>4</v>
      </c>
      <c r="AI51" s="225">
        <f t="shared" si="22"/>
        <v>-1.5002594188462095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7">
        <v>7.1950000000000003</v>
      </c>
      <c r="C52" s="390"/>
      <c r="D52" s="393">
        <f t="shared" si="0"/>
        <v>7.2335550615269693</v>
      </c>
      <c r="E52" s="385">
        <f t="shared" si="1"/>
        <v>7.3361378998784783</v>
      </c>
      <c r="F52" s="385">
        <f t="shared" si="2"/>
        <v>7.3361378998784783</v>
      </c>
      <c r="G52" s="110">
        <f t="shared" si="23"/>
        <v>0.20249872283504589</v>
      </c>
      <c r="H52" s="414" t="b">
        <f>Wh_hp&gt;='2018'!Maxi_hp</f>
        <v>1</v>
      </c>
      <c r="I52" s="390">
        <f>IF(H52,Wh_hp,'2018'!Maxi_hp)</f>
        <v>7.3361378998784783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5.3300294528800807E-3</v>
      </c>
      <c r="M52" s="845"/>
      <c r="N52" s="845"/>
      <c r="O52" s="48">
        <f>IF(t&lt;Tnet,'2018'!Resal+('2018'!Salim-'2018'!Resal)*(1-EXP(('2018'!Tnet-t)/('2018'!Tau_j))),Resal+(Salim-Resal)*(1-EXP((Tnet-t)/(Tau_j))))*Salcycl</f>
        <v>1.3983221110553093E-2</v>
      </c>
      <c r="P52" s="169">
        <f>(INDEX(Models!$BJ52:$BT52,,T52)*(1-R52)+INDEX(Models!$BJ52:$BT52,,T52+1)*R52-ERP_i)*Q52*Ramure*Pc/MaxiM</f>
        <v>2.2462925641781021E-5</v>
      </c>
      <c r="Q52" s="305">
        <f t="shared" si="4"/>
        <v>0.5</v>
      </c>
      <c r="R52" s="177">
        <f t="shared" si="5"/>
        <v>0.49986762148869213</v>
      </c>
      <c r="S52" s="811">
        <f t="shared" si="6"/>
        <v>-2</v>
      </c>
      <c r="T52" s="176">
        <f t="shared" si="7"/>
        <v>4</v>
      </c>
      <c r="U52" s="251">
        <f t="shared" si="21"/>
        <v>-1.5001323785113079</v>
      </c>
      <c r="V52" s="383">
        <f t="shared" si="8"/>
        <v>35.530290159463753</v>
      </c>
      <c r="W52" s="58"/>
      <c r="X52" s="157">
        <f t="shared" si="9"/>
        <v>43503</v>
      </c>
      <c r="Y52" s="385">
        <f t="shared" si="10"/>
        <v>7.1950000000000003</v>
      </c>
      <c r="Z52" s="385">
        <f t="shared" si="11"/>
        <v>7.2335550615269693</v>
      </c>
      <c r="AA52" s="386">
        <f t="shared" si="12"/>
        <v>7.3361378998784783</v>
      </c>
      <c r="AB52" s="197">
        <f t="shared" si="13"/>
        <v>43503</v>
      </c>
      <c r="AC52" s="426">
        <f>IF(OR(t&lt;Tnet,NoTnet),'2018'!Resal_s+('2018'!Salim-'2018'!Resal_s)*(1-EXP(('2018'!Tnet_s-t)/'2018'!Tau_j)),Resal_s+(Salim-Resal_s)*(1-EXP((Tnet_s-t)/Tau_j)))*Salcycl</f>
        <v>1.3983221110553093E-2</v>
      </c>
      <c r="AD52" s="231">
        <f>(INDEX(Models!$BJ52:$BT52,,AH52)*(1-AF52)+INDEX(Models!$BJ52:$BT52,,AH52+1)*AF52-ERP_i)*AE52*Ramure*Pc/MaxiM</f>
        <v>2.2462925641781021E-5</v>
      </c>
      <c r="AE52" s="305">
        <f t="shared" si="14"/>
        <v>0.5</v>
      </c>
      <c r="AF52" s="177">
        <f t="shared" si="15"/>
        <v>0.49986762148869213</v>
      </c>
      <c r="AG52" s="176">
        <f t="shared" si="16"/>
        <v>-2</v>
      </c>
      <c r="AH52" s="176">
        <f t="shared" si="17"/>
        <v>4</v>
      </c>
      <c r="AI52" s="225">
        <f t="shared" si="22"/>
        <v>-1.5001323785113079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7">
        <v>30.587</v>
      </c>
      <c r="C53" s="390"/>
      <c r="D53" s="393">
        <f t="shared" si="0"/>
        <v>30.751576758317395</v>
      </c>
      <c r="E53" s="385">
        <f t="shared" si="1"/>
        <v>31.189303758932727</v>
      </c>
      <c r="F53" s="385">
        <f t="shared" si="2"/>
        <v>31.189855775222124</v>
      </c>
      <c r="G53" s="110">
        <f t="shared" si="23"/>
        <v>0.85293480600708205</v>
      </c>
      <c r="H53" s="414" t="b">
        <f>Wh_hp&gt;='2018'!Maxi_hp</f>
        <v>1</v>
      </c>
      <c r="I53" s="390">
        <f>IF(H53,Wh_hp,'2018'!Maxi_hp)</f>
        <v>31.189855775222124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5.3518152779883366E-3</v>
      </c>
      <c r="M53" s="845"/>
      <c r="N53" s="845"/>
      <c r="O53" s="48">
        <f>IF(t&lt;Tnet,'2018'!Resal+('2018'!Salim-'2018'!Resal)*(1-EXP(('2018'!Tnet-t)/('2018'!Tau_j))),Resal+(Salim-Resal)*(1-EXP((Tnet-t)/(Tau_j))))*Salcycl</f>
        <v>1.4034522988990002E-2</v>
      </c>
      <c r="P53" s="169">
        <f>(INDEX(Models!$BJ53:$BT53,,T53)*(1-R53)+INDEX(Models!$BJ53:$BT53,,T53+1)*R53-ERP_i)*Q53*Ramure*Pc/MaxiM</f>
        <v>2.2405749943361642E-5</v>
      </c>
      <c r="Q53" s="305">
        <f t="shared" si="4"/>
        <v>0.5</v>
      </c>
      <c r="R53" s="177">
        <f t="shared" si="5"/>
        <v>0.49999992246205838</v>
      </c>
      <c r="S53" s="811">
        <f t="shared" si="6"/>
        <v>-2</v>
      </c>
      <c r="T53" s="176">
        <f t="shared" si="7"/>
        <v>4</v>
      </c>
      <c r="U53" s="251">
        <f t="shared" si="21"/>
        <v>-1.5000000775379416</v>
      </c>
      <c r="V53" s="383">
        <f t="shared" si="8"/>
        <v>35.860719722018167</v>
      </c>
      <c r="W53" s="58"/>
      <c r="X53" s="157">
        <f t="shared" si="9"/>
        <v>43504</v>
      </c>
      <c r="Y53" s="385">
        <f t="shared" si="10"/>
        <v>30.587</v>
      </c>
      <c r="Z53" s="385">
        <f t="shared" si="11"/>
        <v>30.751576758317395</v>
      </c>
      <c r="AA53" s="386">
        <f t="shared" si="12"/>
        <v>31.189303758932727</v>
      </c>
      <c r="AB53" s="197">
        <f t="shared" si="13"/>
        <v>43504</v>
      </c>
      <c r="AC53" s="426">
        <f>IF(OR(t&lt;Tnet,NoTnet),'2018'!Resal_s+('2018'!Salim-'2018'!Resal_s)*(1-EXP(('2018'!Tnet_s-t)/'2018'!Tau_j)),Resal_s+(Salim-Resal_s)*(1-EXP((Tnet_s-t)/Tau_j)))*Salcycl</f>
        <v>1.4034522988990002E-2</v>
      </c>
      <c r="AD53" s="231">
        <f>(INDEX(Models!$BJ53:$BT53,,AH53)*(1-AF53)+INDEX(Models!$BJ53:$BT53,,AH53+1)*AF53-ERP_i)*AE53*Ramure*Pc/MaxiM</f>
        <v>2.2405749943361642E-5</v>
      </c>
      <c r="AE53" s="305">
        <f t="shared" si="14"/>
        <v>0.5</v>
      </c>
      <c r="AF53" s="177">
        <f t="shared" si="15"/>
        <v>0.49999992246205838</v>
      </c>
      <c r="AG53" s="176">
        <f t="shared" si="16"/>
        <v>-2</v>
      </c>
      <c r="AH53" s="176">
        <f t="shared" si="17"/>
        <v>4</v>
      </c>
      <c r="AI53" s="225">
        <f t="shared" si="22"/>
        <v>-1.5000000775379416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7">
        <v>29.228000000000002</v>
      </c>
      <c r="C54" s="390"/>
      <c r="D54" s="393">
        <f t="shared" si="0"/>
        <v>29.385908134344263</v>
      </c>
      <c r="E54" s="385">
        <f t="shared" si="1"/>
        <v>29.805745665861927</v>
      </c>
      <c r="F54" s="385">
        <f t="shared" si="2"/>
        <v>29.806231881968692</v>
      </c>
      <c r="G54" s="110">
        <f t="shared" si="23"/>
        <v>0.80759383102324678</v>
      </c>
      <c r="H54" s="414" t="b">
        <f>Wh_hp&gt;='2018'!Maxi_hp</f>
        <v>1</v>
      </c>
      <c r="I54" s="390">
        <f>IF(H54,Wh_hp,'2018'!Maxi_hp)</f>
        <v>29.806231881968692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5.3736006259309521E-3</v>
      </c>
      <c r="M54" s="845"/>
      <c r="N54" s="845"/>
      <c r="O54" s="48">
        <f>IF(t&lt;Tnet,'2018'!Resal+('2018'!Salim-'2018'!Resal)*(1-EXP(('2018'!Tnet-t)/('2018'!Tau_j))),Resal+(Salim-Resal)*(1-EXP((Tnet-t)/(Tau_j))))*Salcycl</f>
        <v>1.4085791921606722E-2</v>
      </c>
      <c r="P54" s="169">
        <f>(INDEX(Models!$BJ54:$BT54,,T54)*(1-R54)+INDEX(Models!$BJ54:$BT54,,T54+1)*R54-ERP_i)*Q54*Ramure*Pc/MaxiM</f>
        <v>2.2495709649463356E-5</v>
      </c>
      <c r="Q54" s="305">
        <f t="shared" si="4"/>
        <v>0.5</v>
      </c>
      <c r="R54" s="177">
        <f t="shared" si="5"/>
        <v>0.50013769892064941</v>
      </c>
      <c r="S54" s="811">
        <f t="shared" si="6"/>
        <v>-2</v>
      </c>
      <c r="T54" s="176">
        <f t="shared" si="7"/>
        <v>4</v>
      </c>
      <c r="U54" s="251">
        <f t="shared" si="21"/>
        <v>-1.4998623010793506</v>
      </c>
      <c r="V54" s="383">
        <f t="shared" si="8"/>
        <v>36.191236427696708</v>
      </c>
      <c r="W54" s="58"/>
      <c r="X54" s="157">
        <f t="shared" si="9"/>
        <v>43505</v>
      </c>
      <c r="Y54" s="385">
        <f t="shared" si="10"/>
        <v>29.228000000000002</v>
      </c>
      <c r="Z54" s="385">
        <f t="shared" si="11"/>
        <v>29.385908134344263</v>
      </c>
      <c r="AA54" s="386">
        <f t="shared" si="12"/>
        <v>29.805745665861927</v>
      </c>
      <c r="AB54" s="197">
        <f t="shared" si="13"/>
        <v>43505</v>
      </c>
      <c r="AC54" s="426">
        <f>IF(OR(t&lt;Tnet,NoTnet),'2018'!Resal_s+('2018'!Salim-'2018'!Resal_s)*(1-EXP(('2018'!Tnet_s-t)/'2018'!Tau_j)),Resal_s+(Salim-Resal_s)*(1-EXP((Tnet_s-t)/Tau_j)))*Salcycl</f>
        <v>1.4085791921606722E-2</v>
      </c>
      <c r="AD54" s="231">
        <f>(INDEX(Models!$BJ54:$BT54,,AH54)*(1-AF54)+INDEX(Models!$BJ54:$BT54,,AH54+1)*AF54-ERP_i)*AE54*Ramure*Pc/MaxiM</f>
        <v>2.2495709649463356E-5</v>
      </c>
      <c r="AE54" s="305">
        <f t="shared" si="14"/>
        <v>0.5</v>
      </c>
      <c r="AF54" s="177">
        <f t="shared" si="15"/>
        <v>0.50013769892064941</v>
      </c>
      <c r="AG54" s="176">
        <f t="shared" si="16"/>
        <v>-2</v>
      </c>
      <c r="AH54" s="176">
        <f t="shared" si="17"/>
        <v>4</v>
      </c>
      <c r="AI54" s="225">
        <f t="shared" si="22"/>
        <v>-1.4998623010793506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7">
        <v>9.2279999999999998</v>
      </c>
      <c r="C55" s="390"/>
      <c r="D55" s="393">
        <f t="shared" si="0"/>
        <v>9.2780587033658435</v>
      </c>
      <c r="E55" s="385">
        <f t="shared" si="1"/>
        <v>9.4111037266996007</v>
      </c>
      <c r="F55" s="385">
        <f t="shared" si="2"/>
        <v>9.4111037266996007</v>
      </c>
      <c r="G55" s="110">
        <f t="shared" si="23"/>
        <v>0.25266352897127858</v>
      </c>
      <c r="H55" s="414" t="b">
        <f>Wh_hp&gt;='2018'!Maxi_hp</f>
        <v>1</v>
      </c>
      <c r="I55" s="390">
        <f>IF(H55,Wh_hp,'2018'!Maxi_hp)</f>
        <v>9.4111037266996007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5.3953854967185855E-3</v>
      </c>
      <c r="M55" s="845"/>
      <c r="N55" s="845"/>
      <c r="O55" s="48">
        <f>IF(t&lt;Tnet,'2018'!Resal+('2018'!Salim-'2018'!Resal)*(1-EXP(('2018'!Tnet-t)/('2018'!Tau_j))),Resal+(Salim-Resal)*(1-EXP((Tnet-t)/(Tau_j))))*Salcycl</f>
        <v>1.4137026558989494E-2</v>
      </c>
      <c r="P55" s="169">
        <f>(INDEX(Models!$BJ55:$BT55,,T55)*(1-R55)+INDEX(Models!$BJ55:$BT55,,T55+1)*R55-ERP_i)*Q55*Ramure*Pc/MaxiM</f>
        <v>2.2728823304980692E-5</v>
      </c>
      <c r="Q55" s="305">
        <f t="shared" si="4"/>
        <v>0.5</v>
      </c>
      <c r="R55" s="177">
        <f t="shared" si="5"/>
        <v>0.50028117423131202</v>
      </c>
      <c r="S55" s="811">
        <f t="shared" si="6"/>
        <v>-2</v>
      </c>
      <c r="T55" s="176">
        <f t="shared" si="7"/>
        <v>4</v>
      </c>
      <c r="U55" s="251">
        <f t="shared" si="21"/>
        <v>-1.499718825768688</v>
      </c>
      <c r="V55" s="383">
        <f t="shared" si="8"/>
        <v>36.522050871328986</v>
      </c>
      <c r="W55" s="58"/>
      <c r="X55" s="157">
        <f t="shared" si="9"/>
        <v>43506</v>
      </c>
      <c r="Y55" s="385">
        <f t="shared" si="10"/>
        <v>9.2279999999999998</v>
      </c>
      <c r="Z55" s="385">
        <f t="shared" si="11"/>
        <v>9.2780587033658435</v>
      </c>
      <c r="AA55" s="386">
        <f t="shared" si="12"/>
        <v>9.4111037266996007</v>
      </c>
      <c r="AB55" s="197">
        <f t="shared" si="13"/>
        <v>43506</v>
      </c>
      <c r="AC55" s="426">
        <f>IF(OR(t&lt;Tnet,NoTnet),'2018'!Resal_s+('2018'!Salim-'2018'!Resal_s)*(1-EXP(('2018'!Tnet_s-t)/'2018'!Tau_j)),Resal_s+(Salim-Resal_s)*(1-EXP((Tnet_s-t)/Tau_j)))*Salcycl</f>
        <v>1.4137026558989494E-2</v>
      </c>
      <c r="AD55" s="231">
        <f>(INDEX(Models!$BJ55:$BT55,,AH55)*(1-AF55)+INDEX(Models!$BJ55:$BT55,,AH55+1)*AF55-ERP_i)*AE55*Ramure*Pc/MaxiM</f>
        <v>2.2728823304980692E-5</v>
      </c>
      <c r="AE55" s="305">
        <f t="shared" si="14"/>
        <v>0.5</v>
      </c>
      <c r="AF55" s="177">
        <f t="shared" si="15"/>
        <v>0.50028117423131202</v>
      </c>
      <c r="AG55" s="176">
        <f t="shared" si="16"/>
        <v>-2</v>
      </c>
      <c r="AH55" s="176">
        <f t="shared" si="17"/>
        <v>4</v>
      </c>
      <c r="AI55" s="225">
        <f t="shared" si="22"/>
        <v>-1.499718825768688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7">
        <v>21.178999999999998</v>
      </c>
      <c r="C56" s="390"/>
      <c r="D56" s="393">
        <f t="shared" si="0"/>
        <v>21.294355139496346</v>
      </c>
      <c r="E56" s="385">
        <f t="shared" si="1"/>
        <v>21.600832623489868</v>
      </c>
      <c r="F56" s="385">
        <f t="shared" si="2"/>
        <v>21.60102843738898</v>
      </c>
      <c r="G56" s="110">
        <f t="shared" si="23"/>
        <v>0.57467473561134674</v>
      </c>
      <c r="H56" s="414" t="b">
        <f>Wh_hp&gt;='2018'!Maxi_hp</f>
        <v>1</v>
      </c>
      <c r="I56" s="390">
        <f>IF(H56,Wh_hp,'2018'!Maxi_hp)</f>
        <v>21.60102843738898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5.4171698903616727E-3</v>
      </c>
      <c r="M56" s="845"/>
      <c r="N56" s="845"/>
      <c r="O56" s="48">
        <f>IF(t&lt;Tnet,'2018'!Resal+('2018'!Salim-'2018'!Resal)*(1-EXP(('2018'!Tnet-t)/('2018'!Tau_j))),Resal+(Salim-Resal)*(1-EXP((Tnet-t)/(Tau_j))))*Salcycl</f>
        <v>1.4188225488134316E-2</v>
      </c>
      <c r="P56" s="169">
        <f>(INDEX(Models!$BJ56:$BT56,,T56)*(1-R56)+INDEX(Models!$BJ56:$BT56,,T56+1)*R56-ERP_i)*Q56*Ramure*Pc/MaxiM</f>
        <v>2.3101259447708063E-5</v>
      </c>
      <c r="Q56" s="305">
        <f t="shared" si="4"/>
        <v>0.5</v>
      </c>
      <c r="R56" s="177">
        <f t="shared" si="5"/>
        <v>0.50043058059717316</v>
      </c>
      <c r="S56" s="811">
        <f t="shared" si="6"/>
        <v>-2</v>
      </c>
      <c r="T56" s="176">
        <f t="shared" si="7"/>
        <v>4</v>
      </c>
      <c r="U56" s="251">
        <f t="shared" si="21"/>
        <v>-1.4995694194028268</v>
      </c>
      <c r="V56" s="383">
        <f t="shared" si="8"/>
        <v>36.853373589498787</v>
      </c>
      <c r="W56" s="58"/>
      <c r="X56" s="157">
        <f t="shared" si="9"/>
        <v>43507</v>
      </c>
      <c r="Y56" s="385">
        <f t="shared" si="10"/>
        <v>21.178999999999998</v>
      </c>
      <c r="Z56" s="385">
        <f t="shared" si="11"/>
        <v>21.294355139496346</v>
      </c>
      <c r="AA56" s="386">
        <f t="shared" si="12"/>
        <v>21.600832623489868</v>
      </c>
      <c r="AB56" s="197">
        <f t="shared" si="13"/>
        <v>43507</v>
      </c>
      <c r="AC56" s="426">
        <f>IF(OR(t&lt;Tnet,NoTnet),'2018'!Resal_s+('2018'!Salim-'2018'!Resal_s)*(1-EXP(('2018'!Tnet_s-t)/'2018'!Tau_j)),Resal_s+(Salim-Resal_s)*(1-EXP((Tnet_s-t)/Tau_j)))*Salcycl</f>
        <v>1.4188225488134316E-2</v>
      </c>
      <c r="AD56" s="231">
        <f>(INDEX(Models!$BJ56:$BT56,,AH56)*(1-AF56)+INDEX(Models!$BJ56:$BT56,,AH56+1)*AF56-ERP_i)*AE56*Ramure*Pc/MaxiM</f>
        <v>2.3101259447708063E-5</v>
      </c>
      <c r="AE56" s="305">
        <f t="shared" si="14"/>
        <v>0.5</v>
      </c>
      <c r="AF56" s="177">
        <f t="shared" si="15"/>
        <v>0.50043058059717316</v>
      </c>
      <c r="AG56" s="176">
        <f t="shared" si="16"/>
        <v>-2</v>
      </c>
      <c r="AH56" s="176">
        <f t="shared" si="17"/>
        <v>4</v>
      </c>
      <c r="AI56" s="225">
        <f t="shared" si="22"/>
        <v>-1.4995694194028268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7">
        <v>37.709000000000003</v>
      </c>
      <c r="C57" s="390"/>
      <c r="D57" s="393">
        <f t="shared" si="0"/>
        <v>37.915219125400434</v>
      </c>
      <c r="E57" s="385">
        <f t="shared" si="1"/>
        <v>38.462907358121193</v>
      </c>
      <c r="F57" s="385">
        <f t="shared" si="2"/>
        <v>38.463815462769276</v>
      </c>
      <c r="G57" s="110">
        <f t="shared" si="23"/>
        <v>1.0140803844706845</v>
      </c>
      <c r="H57" s="414" t="b">
        <f>Wh_hp&gt;='2018'!Maxi_hp</f>
        <v>1</v>
      </c>
      <c r="I57" s="390">
        <f>IF(H57,Wh_hp,'2018'!Maxi_hp)</f>
        <v>38.463815462769276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5.43895380687065E-3</v>
      </c>
      <c r="M57" s="845"/>
      <c r="N57" s="845"/>
      <c r="O57" s="48">
        <f>IF(t&lt;Tnet,'2018'!Resal+('2018'!Salim-'2018'!Resal)*(1-EXP(('2018'!Tnet-t)/('2018'!Tau_j))),Resal+(Salim-Resal)*(1-EXP((Tnet-t)/(Tau_j))))*Salcycl</f>
        <v>1.4239387252277323E-2</v>
      </c>
      <c r="P57" s="169">
        <f>(INDEX(Models!$BJ57:$BT57,,T57)*(1-R57)+INDEX(Models!$BJ57:$BT57,,T57+1)*R57-ERP_i)*Q57*Ramure*Pc/MaxiM</f>
        <v>2.36093231302944E-5</v>
      </c>
      <c r="Q57" s="305">
        <f t="shared" si="4"/>
        <v>0.5</v>
      </c>
      <c r="R57" s="177">
        <f t="shared" si="5"/>
        <v>0.50058615938369599</v>
      </c>
      <c r="S57" s="811">
        <f t="shared" si="6"/>
        <v>-2</v>
      </c>
      <c r="T57" s="176">
        <f t="shared" si="7"/>
        <v>4</v>
      </c>
      <c r="U57" s="251">
        <f t="shared" si="21"/>
        <v>-1.499413840616304</v>
      </c>
      <c r="V57" s="383">
        <f t="shared" si="8"/>
        <v>37.185415059263597</v>
      </c>
      <c r="W57" s="58"/>
      <c r="X57" s="157">
        <f t="shared" si="9"/>
        <v>43508</v>
      </c>
      <c r="Y57" s="385">
        <f t="shared" si="10"/>
        <v>37.709000000000003</v>
      </c>
      <c r="Z57" s="385">
        <f t="shared" si="11"/>
        <v>37.915219125400434</v>
      </c>
      <c r="AA57" s="386">
        <f t="shared" si="12"/>
        <v>38.462907358121193</v>
      </c>
      <c r="AB57" s="197">
        <f t="shared" si="13"/>
        <v>43508</v>
      </c>
      <c r="AC57" s="426">
        <f>IF(OR(t&lt;Tnet,NoTnet),'2018'!Resal_s+('2018'!Salim-'2018'!Resal_s)*(1-EXP(('2018'!Tnet_s-t)/'2018'!Tau_j)),Resal_s+(Salim-Resal_s)*(1-EXP((Tnet_s-t)/Tau_j)))*Salcycl</f>
        <v>1.4239387252277323E-2</v>
      </c>
      <c r="AD57" s="231">
        <f>(INDEX(Models!$BJ57:$BT57,,AH57)*(1-AF57)+INDEX(Models!$BJ57:$BT57,,AH57+1)*AF57-ERP_i)*AE57*Ramure*Pc/MaxiM</f>
        <v>2.36093231302944E-5</v>
      </c>
      <c r="AE57" s="305">
        <f t="shared" si="14"/>
        <v>0.5</v>
      </c>
      <c r="AF57" s="177">
        <f t="shared" si="15"/>
        <v>0.50058615938369599</v>
      </c>
      <c r="AG57" s="176">
        <f t="shared" si="16"/>
        <v>-2</v>
      </c>
      <c r="AH57" s="176">
        <f t="shared" si="17"/>
        <v>4</v>
      </c>
      <c r="AI57" s="225">
        <f t="shared" si="22"/>
        <v>-1.499413840616304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7">
        <v>39.009</v>
      </c>
      <c r="C58" s="390"/>
      <c r="D58" s="393">
        <f t="shared" si="0"/>
        <v>39.223187521012875</v>
      </c>
      <c r="E58" s="385">
        <f t="shared" si="1"/>
        <v>39.791833125006285</v>
      </c>
      <c r="F58" s="385">
        <f t="shared" si="2"/>
        <v>39.79279391744533</v>
      </c>
      <c r="G58" s="110">
        <f t="shared" si="23"/>
        <v>1.0397301268521317</v>
      </c>
      <c r="H58" s="414" t="b">
        <f>Wh_hp&gt;='2018'!Maxi_hp</f>
        <v>1</v>
      </c>
      <c r="I58" s="390">
        <f>IF(H58,Wh_hp,'2018'!Maxi_hp)</f>
        <v>39.79279391744533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5.4607372462559534E-3</v>
      </c>
      <c r="M58" s="845"/>
      <c r="N58" s="845"/>
      <c r="O58" s="48">
        <f>IF(t&lt;Tnet,'2018'!Resal+('2018'!Salim-'2018'!Resal)*(1-EXP(('2018'!Tnet-t)/('2018'!Tau_j))),Resal+(Salim-Resal)*(1-EXP((Tnet-t)/(Tau_j))))*Salcycl</f>
        <v>1.4290510371990348E-2</v>
      </c>
      <c r="P58" s="169">
        <f>(INDEX(Models!$BJ58:$BT58,,T58)*(1-R58)+INDEX(Models!$BJ58:$BT58,,T58+1)*R58-ERP_i)*Q58*Ramure*Pc/MaxiM</f>
        <v>2.4144885152810601E-5</v>
      </c>
      <c r="Q58" s="305">
        <f t="shared" si="4"/>
        <v>0.5</v>
      </c>
      <c r="R58" s="177">
        <f t="shared" si="5"/>
        <v>0.50074816145473511</v>
      </c>
      <c r="S58" s="811">
        <f t="shared" si="6"/>
        <v>-2</v>
      </c>
      <c r="T58" s="176">
        <f t="shared" si="7"/>
        <v>4</v>
      </c>
      <c r="U58" s="251">
        <f t="shared" si="21"/>
        <v>-1.4992518385452649</v>
      </c>
      <c r="V58" s="383">
        <f t="shared" si="8"/>
        <v>37.518389621067286</v>
      </c>
      <c r="W58" s="58"/>
      <c r="X58" s="157">
        <f t="shared" si="9"/>
        <v>43509</v>
      </c>
      <c r="Y58" s="385">
        <f t="shared" si="10"/>
        <v>39.009</v>
      </c>
      <c r="Z58" s="385">
        <f t="shared" si="11"/>
        <v>39.223187521012875</v>
      </c>
      <c r="AA58" s="386">
        <f t="shared" si="12"/>
        <v>39.791833125006285</v>
      </c>
      <c r="AB58" s="197">
        <f t="shared" si="13"/>
        <v>43509</v>
      </c>
      <c r="AC58" s="426">
        <f>IF(OR(t&lt;Tnet,NoTnet),'2018'!Resal_s+('2018'!Salim-'2018'!Resal_s)*(1-EXP(('2018'!Tnet_s-t)/'2018'!Tau_j)),Resal_s+(Salim-Resal_s)*(1-EXP((Tnet_s-t)/Tau_j)))*Salcycl</f>
        <v>1.4290510371990348E-2</v>
      </c>
      <c r="AD58" s="231">
        <f>(INDEX(Models!$BJ58:$BT58,,AH58)*(1-AF58)+INDEX(Models!$BJ58:$BT58,,AH58+1)*AF58-ERP_i)*AE58*Ramure*Pc/MaxiM</f>
        <v>2.4144885152810601E-5</v>
      </c>
      <c r="AE58" s="305">
        <f t="shared" si="14"/>
        <v>0.5</v>
      </c>
      <c r="AF58" s="177">
        <f t="shared" si="15"/>
        <v>0.50074816145473511</v>
      </c>
      <c r="AG58" s="176">
        <f t="shared" si="16"/>
        <v>-2</v>
      </c>
      <c r="AH58" s="176">
        <f t="shared" si="17"/>
        <v>4</v>
      </c>
      <c r="AI58" s="225">
        <f t="shared" si="22"/>
        <v>-1.4992518385452649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7">
        <v>39.280999999999999</v>
      </c>
      <c r="C59" s="390"/>
      <c r="D59" s="393">
        <f t="shared" si="0"/>
        <v>39.497546094651192</v>
      </c>
      <c r="E59" s="385">
        <f t="shared" si="1"/>
        <v>40.072245951401371</v>
      </c>
      <c r="F59" s="385">
        <f t="shared" si="2"/>
        <v>40.073233720515397</v>
      </c>
      <c r="G59" s="110">
        <f t="shared" si="23"/>
        <v>1.0377383210046889</v>
      </c>
      <c r="H59" s="414" t="b">
        <f>Wh_hp&gt;='2018'!Maxi_hp</f>
        <v>1</v>
      </c>
      <c r="I59" s="390">
        <f>IF(H59,Wh_hp,'2018'!Maxi_hp)</f>
        <v>40.073233720515397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5.4825202085280189E-3</v>
      </c>
      <c r="M59" s="845"/>
      <c r="N59" s="845"/>
      <c r="O59" s="48">
        <f>IF(t&lt;Tnet,'2018'!Resal+('2018'!Salim-'2018'!Resal)*(1-EXP(('2018'!Tnet-t)/('2018'!Tau_j))),Resal+(Salim-Resal)*(1-EXP((Tnet-t)/(Tau_j))))*Salcycl</f>
        <v>1.4341593367318625E-2</v>
      </c>
      <c r="P59" s="169">
        <f>(INDEX(Models!$BJ59:$BT59,,T59)*(1-R59)+INDEX(Models!$BJ59:$BT59,,T59+1)*R59-ERP_i)*Q59*Ramure*Pc/MaxiM</f>
        <v>2.4649099219672511E-5</v>
      </c>
      <c r="Q59" s="305">
        <f t="shared" si="4"/>
        <v>0.5</v>
      </c>
      <c r="R59" s="177">
        <f t="shared" si="5"/>
        <v>0.5009168475187169</v>
      </c>
      <c r="S59" s="811">
        <f t="shared" si="6"/>
        <v>-2</v>
      </c>
      <c r="T59" s="176">
        <f t="shared" si="7"/>
        <v>4</v>
      </c>
      <c r="U59" s="251">
        <f t="shared" si="21"/>
        <v>-1.4990831524812831</v>
      </c>
      <c r="V59" s="383">
        <f t="shared" si="8"/>
        <v>37.852509833085861</v>
      </c>
      <c r="W59" s="58"/>
      <c r="X59" s="157">
        <f t="shared" si="9"/>
        <v>43510</v>
      </c>
      <c r="Y59" s="385">
        <f t="shared" si="10"/>
        <v>39.280999999999999</v>
      </c>
      <c r="Z59" s="385">
        <f t="shared" si="11"/>
        <v>39.497546094651192</v>
      </c>
      <c r="AA59" s="386">
        <f t="shared" si="12"/>
        <v>40.072245951401371</v>
      </c>
      <c r="AB59" s="197">
        <f t="shared" si="13"/>
        <v>43510</v>
      </c>
      <c r="AC59" s="426">
        <f>IF(OR(t&lt;Tnet,NoTnet),'2018'!Resal_s+('2018'!Salim-'2018'!Resal_s)*(1-EXP(('2018'!Tnet_s-t)/'2018'!Tau_j)),Resal_s+(Salim-Resal_s)*(1-EXP((Tnet_s-t)/Tau_j)))*Salcycl</f>
        <v>1.4341593367318625E-2</v>
      </c>
      <c r="AD59" s="231">
        <f>(INDEX(Models!$BJ59:$BT59,,AH59)*(1-AF59)+INDEX(Models!$BJ59:$BT59,,AH59+1)*AF59-ERP_i)*AE59*Ramure*Pc/MaxiM</f>
        <v>2.4649099219672511E-5</v>
      </c>
      <c r="AE59" s="305">
        <f t="shared" si="14"/>
        <v>0.5</v>
      </c>
      <c r="AF59" s="177">
        <f t="shared" si="15"/>
        <v>0.5009168475187169</v>
      </c>
      <c r="AG59" s="176">
        <f t="shared" si="16"/>
        <v>-2</v>
      </c>
      <c r="AH59" s="176">
        <f t="shared" si="17"/>
        <v>4</v>
      </c>
      <c r="AI59" s="225">
        <f t="shared" si="22"/>
        <v>-1.4990831524812831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7">
        <v>39.526000000000003</v>
      </c>
      <c r="C60" s="390"/>
      <c r="D60" s="393">
        <f t="shared" si="0"/>
        <v>39.744767229320722</v>
      </c>
      <c r="E60" s="385">
        <f t="shared" si="1"/>
        <v>40.325152420587507</v>
      </c>
      <c r="F60" s="385">
        <f t="shared" si="2"/>
        <v>40.326165520091415</v>
      </c>
      <c r="G60" s="110">
        <f t="shared" si="23"/>
        <v>1.035037563951998</v>
      </c>
      <c r="H60" s="414" t="b">
        <f>Wh_hp&gt;='2018'!Maxi_hp</f>
        <v>1</v>
      </c>
      <c r="I60" s="390">
        <f>IF(H60,Wh_hp,'2018'!Maxi_hp)</f>
        <v>40.326165520091415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5.5043026936972828E-3</v>
      </c>
      <c r="M60" s="845"/>
      <c r="N60" s="845"/>
      <c r="O60" s="48">
        <f>IF(t&lt;Tnet,'2018'!Resal+('2018'!Salim-'2018'!Resal)*(1-EXP(('2018'!Tnet-t)/('2018'!Tau_j))),Resal+(Salim-Resal)*(1-EXP((Tnet-t)/(Tau_j))))*Salcycl</f>
        <v>1.4392634780729977E-2</v>
      </c>
      <c r="P60" s="169">
        <f>(INDEX(Models!$BJ60:$BT60,,T60)*(1-R60)+INDEX(Models!$BJ60:$BT60,,T60+1)*R60-ERP_i)*Q60*Ramure*Pc/MaxiM</f>
        <v>2.5122634171782563E-5</v>
      </c>
      <c r="Q60" s="305">
        <f t="shared" si="4"/>
        <v>0.5</v>
      </c>
      <c r="R60" s="177">
        <f t="shared" si="5"/>
        <v>0.50109248848504739</v>
      </c>
      <c r="S60" s="811">
        <f t="shared" si="6"/>
        <v>-2</v>
      </c>
      <c r="T60" s="176">
        <f t="shared" si="7"/>
        <v>4</v>
      </c>
      <c r="U60" s="251">
        <f t="shared" si="21"/>
        <v>-1.4989075115149526</v>
      </c>
      <c r="V60" s="383">
        <f t="shared" si="8"/>
        <v>38.187985998383624</v>
      </c>
      <c r="W60" s="58"/>
      <c r="X60" s="157">
        <f t="shared" si="9"/>
        <v>43511</v>
      </c>
      <c r="Y60" s="385">
        <f t="shared" si="10"/>
        <v>39.526000000000003</v>
      </c>
      <c r="Z60" s="385">
        <f t="shared" si="11"/>
        <v>39.744767229320722</v>
      </c>
      <c r="AA60" s="386">
        <f t="shared" si="12"/>
        <v>40.325152420587507</v>
      </c>
      <c r="AB60" s="197">
        <f t="shared" si="13"/>
        <v>43511</v>
      </c>
      <c r="AC60" s="426">
        <f>IF(OR(t&lt;Tnet,NoTnet),'2018'!Resal_s+('2018'!Salim-'2018'!Resal_s)*(1-EXP(('2018'!Tnet_s-t)/'2018'!Tau_j)),Resal_s+(Salim-Resal_s)*(1-EXP((Tnet_s-t)/Tau_j)))*Salcycl</f>
        <v>1.4392634780729977E-2</v>
      </c>
      <c r="AD60" s="231">
        <f>(INDEX(Models!$BJ60:$BT60,,AH60)*(1-AF60)+INDEX(Models!$BJ60:$BT60,,AH60+1)*AF60-ERP_i)*AE60*Ramure*Pc/MaxiM</f>
        <v>2.5122634171782563E-5</v>
      </c>
      <c r="AE60" s="305">
        <f t="shared" si="14"/>
        <v>0.5</v>
      </c>
      <c r="AF60" s="177">
        <f t="shared" si="15"/>
        <v>0.50109248848504739</v>
      </c>
      <c r="AG60" s="176">
        <f t="shared" si="16"/>
        <v>-2</v>
      </c>
      <c r="AH60" s="176">
        <f t="shared" si="17"/>
        <v>4</v>
      </c>
      <c r="AI60" s="225">
        <f t="shared" si="22"/>
        <v>-1.4989075115149526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7">
        <v>39.960999999999999</v>
      </c>
      <c r="C61" s="390"/>
      <c r="D61" s="393">
        <f t="shared" si="0"/>
        <v>40.183054965314376</v>
      </c>
      <c r="E61" s="385">
        <f t="shared" si="1"/>
        <v>40.771950056809729</v>
      </c>
      <c r="F61" s="385">
        <f t="shared" si="2"/>
        <v>40.772992464506032</v>
      </c>
      <c r="G61" s="110">
        <f t="shared" si="23"/>
        <v>1.0372737335473354</v>
      </c>
      <c r="H61" s="414" t="b">
        <f>Wh_hp&gt;='2018'!Maxi_hp</f>
        <v>1</v>
      </c>
      <c r="I61" s="390">
        <f>IF(H61,Wh_hp,'2018'!Maxi_hp)</f>
        <v>40.772992464506032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5.526084701774181E-3</v>
      </c>
      <c r="M61" s="845"/>
      <c r="N61" s="845"/>
      <c r="O61" s="48">
        <f>IF(t&lt;Tnet,'2018'!Resal+('2018'!Salim-'2018'!Resal)*(1-EXP(('2018'!Tnet-t)/('2018'!Tau_j))),Resal+(Salim-Resal)*(1-EXP((Tnet-t)/(Tau_j))))*Salcycl</f>
        <v>1.4443633200639606E-2</v>
      </c>
      <c r="P61" s="169">
        <f>(INDEX(Models!$BJ61:$BT61,,T61)*(1-R61)+INDEX(Models!$BJ61:$BT61,,T61+1)*R61-ERP_i)*Q61*Ramure*Pc/MaxiM</f>
        <v>2.5566131728251939E-5</v>
      </c>
      <c r="Q61" s="305">
        <f t="shared" si="4"/>
        <v>0.5</v>
      </c>
      <c r="R61" s="177">
        <f t="shared" si="5"/>
        <v>0.50127536583083532</v>
      </c>
      <c r="S61" s="811">
        <f t="shared" si="6"/>
        <v>-2</v>
      </c>
      <c r="T61" s="176">
        <f t="shared" si="7"/>
        <v>4</v>
      </c>
      <c r="U61" s="251">
        <f t="shared" si="21"/>
        <v>-1.4987246341691647</v>
      </c>
      <c r="V61" s="383">
        <f t="shared" si="8"/>
        <v>38.525028358077485</v>
      </c>
      <c r="W61" s="58"/>
      <c r="X61" s="157">
        <f t="shared" si="9"/>
        <v>43512</v>
      </c>
      <c r="Y61" s="385">
        <f t="shared" si="10"/>
        <v>39.960999999999999</v>
      </c>
      <c r="Z61" s="385">
        <f t="shared" si="11"/>
        <v>40.183054965314376</v>
      </c>
      <c r="AA61" s="386">
        <f t="shared" si="12"/>
        <v>40.771950056809729</v>
      </c>
      <c r="AB61" s="197">
        <f t="shared" si="13"/>
        <v>43512</v>
      </c>
      <c r="AC61" s="426">
        <f>IF(OR(t&lt;Tnet,NoTnet),'2018'!Resal_s+('2018'!Salim-'2018'!Resal_s)*(1-EXP(('2018'!Tnet_s-t)/'2018'!Tau_j)),Resal_s+(Salim-Resal_s)*(1-EXP((Tnet_s-t)/Tau_j)))*Salcycl</f>
        <v>1.4443633200639606E-2</v>
      </c>
      <c r="AD61" s="231">
        <f>(INDEX(Models!$BJ61:$BT61,,AH61)*(1-AF61)+INDEX(Models!$BJ61:$BT61,,AH61+1)*AF61-ERP_i)*AE61*Ramure*Pc/MaxiM</f>
        <v>2.5566131728251939E-5</v>
      </c>
      <c r="AE61" s="305">
        <f t="shared" si="14"/>
        <v>0.5</v>
      </c>
      <c r="AF61" s="177">
        <f t="shared" si="15"/>
        <v>0.50127536583083532</v>
      </c>
      <c r="AG61" s="176">
        <f t="shared" si="16"/>
        <v>-2</v>
      </c>
      <c r="AH61" s="176">
        <f t="shared" si="17"/>
        <v>4</v>
      </c>
      <c r="AI61" s="225">
        <f t="shared" si="22"/>
        <v>-1.4987246341691647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7">
        <v>40.393000000000001</v>
      </c>
      <c r="C62" s="390"/>
      <c r="D62" s="393">
        <f t="shared" si="0"/>
        <v>40.618345145463486</v>
      </c>
      <c r="E62" s="385">
        <f t="shared" si="1"/>
        <v>41.215750437710874</v>
      </c>
      <c r="F62" s="385">
        <f t="shared" si="2"/>
        <v>41.216821259374889</v>
      </c>
      <c r="G62" s="110">
        <f t="shared" si="23"/>
        <v>1.0393464111920436</v>
      </c>
      <c r="H62" s="414" t="b">
        <f>Wh_hp&gt;='2018'!Maxi_hp</f>
        <v>1</v>
      </c>
      <c r="I62" s="390">
        <f>IF(H62,Wh_hp,'2018'!Maxi_hp)</f>
        <v>41.216821259374889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5.5478662327692607E-3</v>
      </c>
      <c r="M62" s="845"/>
      <c r="N62" s="845"/>
      <c r="O62" s="48">
        <f>IF(t&lt;Tnet,'2018'!Resal+('2018'!Salim-'2018'!Resal)*(1-EXP(('2018'!Tnet-t)/('2018'!Tau_j))),Resal+(Salim-Resal)*(1-EXP((Tnet-t)/(Tau_j))))*Salcycl</f>
        <v>1.4494587285271941E-2</v>
      </c>
      <c r="P62" s="169">
        <f>(INDEX(Models!$BJ62:$BT62,,T62)*(1-R62)+INDEX(Models!$BJ62:$BT62,,T62+1)*R62-ERP_i)*Q62*Ramure*Pc/MaxiM</f>
        <v>2.5980209809903956E-5</v>
      </c>
      <c r="Q62" s="305">
        <f t="shared" si="4"/>
        <v>0.5</v>
      </c>
      <c r="R62" s="177">
        <f t="shared" si="5"/>
        <v>0.5014657719779918</v>
      </c>
      <c r="S62" s="811">
        <f t="shared" si="6"/>
        <v>-2</v>
      </c>
      <c r="T62" s="176">
        <f t="shared" si="7"/>
        <v>4</v>
      </c>
      <c r="U62" s="251">
        <f t="shared" si="21"/>
        <v>-1.4985342280220082</v>
      </c>
      <c r="V62" s="383">
        <f t="shared" si="8"/>
        <v>38.863847091820524</v>
      </c>
      <c r="W62" s="58"/>
      <c r="X62" s="157">
        <f t="shared" si="9"/>
        <v>43513</v>
      </c>
      <c r="Y62" s="385">
        <f t="shared" si="10"/>
        <v>40.393000000000001</v>
      </c>
      <c r="Z62" s="385">
        <f t="shared" si="11"/>
        <v>40.618345145463486</v>
      </c>
      <c r="AA62" s="386">
        <f t="shared" si="12"/>
        <v>41.215750437710874</v>
      </c>
      <c r="AB62" s="197">
        <f t="shared" si="13"/>
        <v>43513</v>
      </c>
      <c r="AC62" s="426">
        <f>IF(OR(t&lt;Tnet,NoTnet),'2018'!Resal_s+('2018'!Salim-'2018'!Resal_s)*(1-EXP(('2018'!Tnet_s-t)/'2018'!Tau_j)),Resal_s+(Salim-Resal_s)*(1-EXP((Tnet_s-t)/Tau_j)))*Salcycl</f>
        <v>1.4494587285271941E-2</v>
      </c>
      <c r="AD62" s="231">
        <f>(INDEX(Models!$BJ62:$BT62,,AH62)*(1-AF62)+INDEX(Models!$BJ62:$BT62,,AH62+1)*AF62-ERP_i)*AE62*Ramure*Pc/MaxiM</f>
        <v>2.5980209809903956E-5</v>
      </c>
      <c r="AE62" s="305">
        <f t="shared" si="14"/>
        <v>0.5</v>
      </c>
      <c r="AF62" s="177">
        <f t="shared" si="15"/>
        <v>0.5014657719779918</v>
      </c>
      <c r="AG62" s="176">
        <f t="shared" si="16"/>
        <v>-2</v>
      </c>
      <c r="AH62" s="176">
        <f t="shared" si="17"/>
        <v>4</v>
      </c>
      <c r="AI62" s="225">
        <f t="shared" si="22"/>
        <v>-1.4985342280220082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7">
        <v>39.921999999999997</v>
      </c>
      <c r="C63" s="390"/>
      <c r="D63" s="393">
        <f t="shared" si="0"/>
        <v>40.145596814369817</v>
      </c>
      <c r="E63" s="385">
        <f t="shared" si="1"/>
        <v>40.738153453786595</v>
      </c>
      <c r="F63" s="385">
        <f t="shared" si="2"/>
        <v>40.739227562492772</v>
      </c>
      <c r="G63" s="110">
        <f t="shared" si="23"/>
        <v>1.0182975142583373</v>
      </c>
      <c r="H63" s="414" t="b">
        <f>Wh_hp&gt;='2018'!Maxi_hp</f>
        <v>1</v>
      </c>
      <c r="I63" s="390">
        <f>IF(H63,Wh_hp,'2018'!Maxi_hp)</f>
        <v>40.739227562492772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5.569647286692847E-3</v>
      </c>
      <c r="M63" s="845"/>
      <c r="N63" s="845"/>
      <c r="O63" s="48">
        <f>IF(t&lt;Tnet,'2018'!Resal+('2018'!Salim-'2018'!Resal)*(1-EXP(('2018'!Tnet-t)/('2018'!Tau_j))),Resal+(Salim-Resal)*(1-EXP((Tnet-t)/(Tau_j))))*Salcycl</f>
        <v>1.454549578662114E-2</v>
      </c>
      <c r="P63" s="169">
        <f>(INDEX(Models!$BJ63:$BT63,,T63)*(1-R63)+INDEX(Models!$BJ63:$BT63,,T63+1)*R63-ERP_i)*Q63*Ramure*Pc/MaxiM</f>
        <v>2.6365465681096419E-5</v>
      </c>
      <c r="Q63" s="305">
        <f t="shared" si="4"/>
        <v>0.5</v>
      </c>
      <c r="R63" s="177">
        <f t="shared" si="5"/>
        <v>0.50166401068073996</v>
      </c>
      <c r="S63" s="811">
        <f t="shared" si="6"/>
        <v>-2</v>
      </c>
      <c r="T63" s="176">
        <f t="shared" si="7"/>
        <v>4</v>
      </c>
      <c r="U63" s="251">
        <f t="shared" si="21"/>
        <v>-1.49833598931926</v>
      </c>
      <c r="V63" s="383">
        <f t="shared" si="8"/>
        <v>39.20465231526822</v>
      </c>
      <c r="W63" s="58"/>
      <c r="X63" s="157">
        <f t="shared" si="9"/>
        <v>43514</v>
      </c>
      <c r="Y63" s="385">
        <f t="shared" si="10"/>
        <v>39.921999999999997</v>
      </c>
      <c r="Z63" s="385">
        <f t="shared" si="11"/>
        <v>40.145596814369817</v>
      </c>
      <c r="AA63" s="386">
        <f t="shared" si="12"/>
        <v>40.738153453786595</v>
      </c>
      <c r="AB63" s="197">
        <f t="shared" si="13"/>
        <v>43514</v>
      </c>
      <c r="AC63" s="426">
        <f>IF(OR(t&lt;Tnet,NoTnet),'2018'!Resal_s+('2018'!Salim-'2018'!Resal_s)*(1-EXP(('2018'!Tnet_s-t)/'2018'!Tau_j)),Resal_s+(Salim-Resal_s)*(1-EXP((Tnet_s-t)/Tau_j)))*Salcycl</f>
        <v>1.454549578662114E-2</v>
      </c>
      <c r="AD63" s="231">
        <f>(INDEX(Models!$BJ63:$BT63,,AH63)*(1-AF63)+INDEX(Models!$BJ63:$BT63,,AH63+1)*AF63-ERP_i)*AE63*Ramure*Pc/MaxiM</f>
        <v>2.6365465681096419E-5</v>
      </c>
      <c r="AE63" s="305">
        <f t="shared" si="14"/>
        <v>0.5</v>
      </c>
      <c r="AF63" s="177">
        <f t="shared" si="15"/>
        <v>0.50166401068073996</v>
      </c>
      <c r="AG63" s="176">
        <f t="shared" si="16"/>
        <v>-2</v>
      </c>
      <c r="AH63" s="176">
        <f t="shared" si="17"/>
        <v>4</v>
      </c>
      <c r="AI63" s="225">
        <f t="shared" si="22"/>
        <v>-1.49833598931926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7">
        <v>29.853999999999999</v>
      </c>
      <c r="C64" s="390"/>
      <c r="D64" s="393">
        <f t="shared" si="0"/>
        <v>30.021865092996887</v>
      </c>
      <c r="E64" s="385">
        <f t="shared" si="1"/>
        <v>30.466565984161939</v>
      </c>
      <c r="F64" s="385">
        <f t="shared" si="2"/>
        <v>30.467095054039515</v>
      </c>
      <c r="G64" s="110">
        <f t="shared" si="23"/>
        <v>0.75487968478954237</v>
      </c>
      <c r="H64" s="414" t="b">
        <f>Wh_hp&gt;='2018'!Maxi_hp</f>
        <v>1</v>
      </c>
      <c r="I64" s="390">
        <f>IF(H64,Wh_hp,'2018'!Maxi_hp)</f>
        <v>30.467095054039515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5.591427863555487E-3</v>
      </c>
      <c r="M64" s="845"/>
      <c r="N64" s="845"/>
      <c r="O64" s="48">
        <f>IF(t&lt;Tnet,'2018'!Resal+('2018'!Salim-'2018'!Resal)*(1-EXP(('2018'!Tnet-t)/('2018'!Tau_j))),Resal+(Salim-Resal)*(1-EXP((Tnet-t)/(Tau_j))))*Salcycl</f>
        <v>1.4596357574274308E-2</v>
      </c>
      <c r="P64" s="169">
        <f>(INDEX(Models!$BJ64:$BT64,,T64)*(1-R64)+INDEX(Models!$BJ64:$BT64,,T64+1)*R64-ERP_i)*Q64*Ramure*Pc/MaxiM</f>
        <v>2.6722478903669758E-5</v>
      </c>
      <c r="Q64" s="305">
        <f t="shared" si="4"/>
        <v>0.5</v>
      </c>
      <c r="R64" s="177">
        <f t="shared" si="5"/>
        <v>0.501870397423549</v>
      </c>
      <c r="S64" s="811">
        <f t="shared" si="6"/>
        <v>-2</v>
      </c>
      <c r="T64" s="176">
        <f t="shared" si="7"/>
        <v>4</v>
      </c>
      <c r="U64" s="251">
        <f t="shared" si="21"/>
        <v>-1.498129602576451</v>
      </c>
      <c r="V64" s="383">
        <f t="shared" si="8"/>
        <v>39.547654079328275</v>
      </c>
      <c r="W64" s="58"/>
      <c r="X64" s="157">
        <f t="shared" si="9"/>
        <v>43515</v>
      </c>
      <c r="Y64" s="385">
        <f t="shared" si="10"/>
        <v>29.853999999999999</v>
      </c>
      <c r="Z64" s="385">
        <f t="shared" si="11"/>
        <v>30.021865092996887</v>
      </c>
      <c r="AA64" s="386">
        <f t="shared" si="12"/>
        <v>30.466565984161939</v>
      </c>
      <c r="AB64" s="197">
        <f t="shared" si="13"/>
        <v>43515</v>
      </c>
      <c r="AC64" s="426">
        <f>IF(OR(t&lt;Tnet,NoTnet),'2018'!Resal_s+('2018'!Salim-'2018'!Resal_s)*(1-EXP(('2018'!Tnet_s-t)/'2018'!Tau_j)),Resal_s+(Salim-Resal_s)*(1-EXP((Tnet_s-t)/Tau_j)))*Salcycl</f>
        <v>1.4596357574274308E-2</v>
      </c>
      <c r="AD64" s="231">
        <f>(INDEX(Models!$BJ64:$BT64,,AH64)*(1-AF64)+INDEX(Models!$BJ64:$BT64,,AH64+1)*AF64-ERP_i)*AE64*Ramure*Pc/MaxiM</f>
        <v>2.6722478903669758E-5</v>
      </c>
      <c r="AE64" s="305">
        <f t="shared" si="14"/>
        <v>0.5</v>
      </c>
      <c r="AF64" s="177">
        <f t="shared" si="15"/>
        <v>0.501870397423549</v>
      </c>
      <c r="AG64" s="176">
        <f t="shared" si="16"/>
        <v>-2</v>
      </c>
      <c r="AH64" s="176">
        <f t="shared" si="17"/>
        <v>4</v>
      </c>
      <c r="AI64" s="225">
        <f t="shared" si="22"/>
        <v>-1.498129602576451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7">
        <v>39.799999999999997</v>
      </c>
      <c r="C65" s="390"/>
      <c r="D65" s="393">
        <f t="shared" si="0"/>
        <v>40.024666778291035</v>
      </c>
      <c r="E65" s="385">
        <f t="shared" si="1"/>
        <v>40.619629463766373</v>
      </c>
      <c r="F65" s="385">
        <f t="shared" si="2"/>
        <v>40.62072465549462</v>
      </c>
      <c r="G65" s="110">
        <f t="shared" si="23"/>
        <v>0.99766316791412424</v>
      </c>
      <c r="H65" s="414" t="b">
        <f>Wh_hp&gt;='2018'!Maxi_hp</f>
        <v>1</v>
      </c>
      <c r="I65" s="390">
        <f>IF(H65,Wh_hp,'2018'!Maxi_hp)</f>
        <v>40.62072465549462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5.6132079633676168E-3</v>
      </c>
      <c r="M65" s="845"/>
      <c r="N65" s="845"/>
      <c r="O65" s="48">
        <f>IF(t&lt;Tnet,'2018'!Resal+('2018'!Salim-'2018'!Resal)*(1-EXP(('2018'!Tnet-t)/('2018'!Tau_j))),Resal+(Salim-Resal)*(1-EXP((Tnet-t)/(Tau_j))))*Salcycl</f>
        <v>1.4647171658866502E-2</v>
      </c>
      <c r="P65" s="169">
        <f>(INDEX(Models!$BJ65:$BT65,,T65)*(1-R65)+INDEX(Models!$BJ65:$BT65,,T65+1)*R65-ERP_i)*Q65*Ramure*Pc/MaxiM</f>
        <v>2.7051707101824548E-5</v>
      </c>
      <c r="Q65" s="305">
        <f t="shared" si="4"/>
        <v>0.5</v>
      </c>
      <c r="R65" s="177">
        <f t="shared" si="5"/>
        <v>0.50208525982945917</v>
      </c>
      <c r="S65" s="811">
        <f t="shared" si="6"/>
        <v>-2</v>
      </c>
      <c r="T65" s="176">
        <f t="shared" si="7"/>
        <v>4</v>
      </c>
      <c r="U65" s="251">
        <f t="shared" si="21"/>
        <v>-1.4979147401705408</v>
      </c>
      <c r="V65" s="383">
        <f t="shared" si="8"/>
        <v>39.893220162685552</v>
      </c>
      <c r="W65" s="58"/>
      <c r="X65" s="157">
        <f t="shared" si="9"/>
        <v>43516</v>
      </c>
      <c r="Y65" s="385">
        <f t="shared" si="10"/>
        <v>39.799999999999997</v>
      </c>
      <c r="Z65" s="385">
        <f t="shared" si="11"/>
        <v>40.024666778291035</v>
      </c>
      <c r="AA65" s="386">
        <f t="shared" si="12"/>
        <v>40.619629463766373</v>
      </c>
      <c r="AB65" s="197">
        <f t="shared" si="13"/>
        <v>43516</v>
      </c>
      <c r="AC65" s="426">
        <f>IF(OR(t&lt;Tnet,NoTnet),'2018'!Resal_s+('2018'!Salim-'2018'!Resal_s)*(1-EXP(('2018'!Tnet_s-t)/'2018'!Tau_j)),Resal_s+(Salim-Resal_s)*(1-EXP((Tnet_s-t)/Tau_j)))*Salcycl</f>
        <v>1.4647171658866502E-2</v>
      </c>
      <c r="AD65" s="231">
        <f>(INDEX(Models!$BJ65:$BT65,,AH65)*(1-AF65)+INDEX(Models!$BJ65:$BT65,,AH65+1)*AF65-ERP_i)*AE65*Ramure*Pc/MaxiM</f>
        <v>2.7051707101824548E-5</v>
      </c>
      <c r="AE65" s="305">
        <f t="shared" si="14"/>
        <v>0.5</v>
      </c>
      <c r="AF65" s="177">
        <f t="shared" si="15"/>
        <v>0.50208525982945917</v>
      </c>
      <c r="AG65" s="176">
        <f t="shared" si="16"/>
        <v>-2</v>
      </c>
      <c r="AH65" s="176">
        <f t="shared" si="17"/>
        <v>4</v>
      </c>
      <c r="AI65" s="225">
        <f t="shared" si="22"/>
        <v>-1.4979147401705408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7">
        <v>37.951999999999998</v>
      </c>
      <c r="C66" s="390"/>
      <c r="D66" s="393">
        <f t="shared" si="0"/>
        <v>38.167070971121582</v>
      </c>
      <c r="E66" s="385">
        <f t="shared" si="1"/>
        <v>38.736416387111277</v>
      </c>
      <c r="F66" s="385">
        <f t="shared" si="2"/>
        <v>38.737384022485628</v>
      </c>
      <c r="G66" s="110">
        <f t="shared" si="23"/>
        <v>0.94310686090499929</v>
      </c>
      <c r="H66" s="414" t="b">
        <f>Wh_hp&gt;='2018'!Maxi_hp</f>
        <v>1</v>
      </c>
      <c r="I66" s="390">
        <f>IF(H66,Wh_hp,'2018'!Maxi_hp)</f>
        <v>38.737384022485628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5.6349875861396725E-3</v>
      </c>
      <c r="M66" s="845"/>
      <c r="N66" s="845"/>
      <c r="O66" s="48">
        <f>IF(t&lt;Tnet,'2018'!Resal+('2018'!Salim-'2018'!Resal)*(1-EXP(('2018'!Tnet-t)/('2018'!Tau_j))),Resal+(Salim-Resal)*(1-EXP((Tnet-t)/(Tau_j))))*Salcycl</f>
        <v>1.4697937214944029E-2</v>
      </c>
      <c r="P66" s="169">
        <f>(INDEX(Models!$BJ66:$BT66,,T66)*(1-R66)+INDEX(Models!$BJ66:$BT66,,T66+1)*R66-ERP_i)*Q66*Ramure*Pc/MaxiM</f>
        <v>2.7189106604274809E-5</v>
      </c>
      <c r="Q66" s="305">
        <f t="shared" si="4"/>
        <v>0.5</v>
      </c>
      <c r="R66" s="177">
        <f t="shared" si="5"/>
        <v>0.50230893807874599</v>
      </c>
      <c r="S66" s="811">
        <f t="shared" si="6"/>
        <v>-2</v>
      </c>
      <c r="T66" s="176">
        <f t="shared" si="7"/>
        <v>4</v>
      </c>
      <c r="U66" s="251">
        <f t="shared" si="21"/>
        <v>-1.497691061921254</v>
      </c>
      <c r="V66" s="383">
        <f t="shared" si="8"/>
        <v>40.241374235673128</v>
      </c>
      <c r="W66" s="58"/>
      <c r="X66" s="157">
        <f t="shared" si="9"/>
        <v>43517</v>
      </c>
      <c r="Y66" s="385">
        <f t="shared" si="10"/>
        <v>37.951999999999998</v>
      </c>
      <c r="Z66" s="385">
        <f t="shared" si="11"/>
        <v>38.167070971121582</v>
      </c>
      <c r="AA66" s="386">
        <f t="shared" si="12"/>
        <v>38.736416387111277</v>
      </c>
      <c r="AB66" s="197">
        <f t="shared" si="13"/>
        <v>43517</v>
      </c>
      <c r="AC66" s="426">
        <f>IF(OR(t&lt;Tnet,NoTnet),'2018'!Resal_s+('2018'!Salim-'2018'!Resal_s)*(1-EXP(('2018'!Tnet_s-t)/'2018'!Tau_j)),Resal_s+(Salim-Resal_s)*(1-EXP((Tnet_s-t)/Tau_j)))*Salcycl</f>
        <v>1.4697937214944029E-2</v>
      </c>
      <c r="AD66" s="231">
        <f>(INDEX(Models!$BJ66:$BT66,,AH66)*(1-AF66)+INDEX(Models!$BJ66:$BT66,,AH66+1)*AF66-ERP_i)*AE66*Ramure*Pc/MaxiM</f>
        <v>2.7189106604274809E-5</v>
      </c>
      <c r="AE66" s="305">
        <f t="shared" si="14"/>
        <v>0.5</v>
      </c>
      <c r="AF66" s="177">
        <f t="shared" si="15"/>
        <v>0.50230893807874599</v>
      </c>
      <c r="AG66" s="176">
        <f t="shared" si="16"/>
        <v>-2</v>
      </c>
      <c r="AH66" s="176">
        <f t="shared" si="17"/>
        <v>4</v>
      </c>
      <c r="AI66" s="225">
        <f t="shared" si="22"/>
        <v>-1.497691061921254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7">
        <v>39.378999999999998</v>
      </c>
      <c r="C67" s="390"/>
      <c r="D67" s="393">
        <f t="shared" si="0"/>
        <v>39.603025074724584</v>
      </c>
      <c r="E67" s="385">
        <f t="shared" si="1"/>
        <v>40.195859888495626</v>
      </c>
      <c r="F67" s="385">
        <f t="shared" si="2"/>
        <v>40.196901311599696</v>
      </c>
      <c r="G67" s="110">
        <f t="shared" si="23"/>
        <v>0.97012084314958424</v>
      </c>
      <c r="H67" s="414" t="b">
        <f>Wh_hp&gt;='2018'!Maxi_hp</f>
        <v>1</v>
      </c>
      <c r="I67" s="390">
        <f>IF(H67,Wh_hp,'2018'!Maxi_hp)</f>
        <v>40.196901311599696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5.6567667318819792E-3</v>
      </c>
      <c r="M67" s="845"/>
      <c r="N67" s="845"/>
      <c r="O67" s="48">
        <f>IF(t&lt;Tnet,'2018'!Resal+('2018'!Salim-'2018'!Resal)*(1-EXP(('2018'!Tnet-t)/('2018'!Tau_j))),Resal+(Salim-Resal)*(1-EXP((Tnet-t)/(Tau_j))))*Salcycl</f>
        <v>1.4748653603022244E-2</v>
      </c>
      <c r="P67" s="169">
        <f>(INDEX(Models!$BJ67:$BT67,,T67)*(1-R67)+INDEX(Models!$BJ67:$BT67,,T67+1)*R67-ERP_i)*Q67*Ramure*Pc/MaxiM</f>
        <v>2.7063179633319739E-5</v>
      </c>
      <c r="Q67" s="305">
        <f t="shared" si="4"/>
        <v>0.5</v>
      </c>
      <c r="R67" s="177">
        <f t="shared" si="5"/>
        <v>0.50254178533781513</v>
      </c>
      <c r="S67" s="811">
        <f t="shared" si="6"/>
        <v>-2</v>
      </c>
      <c r="T67" s="176">
        <f t="shared" si="7"/>
        <v>4</v>
      </c>
      <c r="U67" s="251">
        <f t="shared" si="21"/>
        <v>-1.4974582146621849</v>
      </c>
      <c r="V67" s="383">
        <f t="shared" si="8"/>
        <v>40.591803370499647</v>
      </c>
      <c r="W67" s="58"/>
      <c r="X67" s="157">
        <f t="shared" si="9"/>
        <v>43518</v>
      </c>
      <c r="Y67" s="385">
        <f t="shared" si="10"/>
        <v>39.378999999999998</v>
      </c>
      <c r="Z67" s="385">
        <f t="shared" si="11"/>
        <v>39.603025074724584</v>
      </c>
      <c r="AA67" s="386">
        <f t="shared" si="12"/>
        <v>40.195859888495626</v>
      </c>
      <c r="AB67" s="197">
        <f t="shared" si="13"/>
        <v>43518</v>
      </c>
      <c r="AC67" s="426">
        <f>IF(OR(t&lt;Tnet,NoTnet),'2018'!Resal_s+('2018'!Salim-'2018'!Resal_s)*(1-EXP(('2018'!Tnet_s-t)/'2018'!Tau_j)),Resal_s+(Salim-Resal_s)*(1-EXP((Tnet_s-t)/Tau_j)))*Salcycl</f>
        <v>1.4748653603022244E-2</v>
      </c>
      <c r="AD67" s="231">
        <f>(INDEX(Models!$BJ67:$BT67,,AH67)*(1-AF67)+INDEX(Models!$BJ67:$BT67,,AH67+1)*AF67-ERP_i)*AE67*Ramure*Pc/MaxiM</f>
        <v>2.7063179633319739E-5</v>
      </c>
      <c r="AE67" s="305">
        <f t="shared" si="14"/>
        <v>0.5</v>
      </c>
      <c r="AF67" s="177">
        <f t="shared" si="15"/>
        <v>0.50254178533781513</v>
      </c>
      <c r="AG67" s="176">
        <f t="shared" si="16"/>
        <v>-2</v>
      </c>
      <c r="AH67" s="176">
        <f t="shared" si="17"/>
        <v>4</v>
      </c>
      <c r="AI67" s="225">
        <f t="shared" si="22"/>
        <v>-1.4974582146621849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7">
        <v>39.987000000000002</v>
      </c>
      <c r="C68" s="390"/>
      <c r="D68" s="393">
        <f t="shared" si="0"/>
        <v>40.215364774674889</v>
      </c>
      <c r="E68" s="385">
        <f t="shared" si="1"/>
        <v>40.819465117117495</v>
      </c>
      <c r="F68" s="385">
        <f t="shared" si="2"/>
        <v>40.820517849528464</v>
      </c>
      <c r="G68" s="110">
        <f t="shared" si="23"/>
        <v>0.97662117062973619</v>
      </c>
      <c r="H68" s="414" t="b">
        <f>Wh_hp&gt;='2018'!Maxi_hp</f>
        <v>1</v>
      </c>
      <c r="I68" s="390">
        <f>IF(H68,Wh_hp,'2018'!Maxi_hp)</f>
        <v>40.820517849528464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5.678545400605195E-3</v>
      </c>
      <c r="M68" s="845"/>
      <c r="N68" s="845"/>
      <c r="O68" s="48">
        <f>IF(t&lt;Tnet,'2018'!Resal+('2018'!Salim-'2018'!Resal)*(1-EXP(('2018'!Tnet-t)/('2018'!Tau_j))),Resal+(Salim-Resal)*(1-EXP((Tnet-t)/(Tau_j))))*Salcycl</f>
        <v>1.4799320390635806E-2</v>
      </c>
      <c r="P68" s="169">
        <f>(INDEX(Models!$BJ68:$BT68,,T68)*(1-R68)+INDEX(Models!$BJ68:$BT68,,T68+1)*R68-ERP_i)*Q68*Ramure*Pc/MaxiM</f>
        <v>2.668034145255596E-5</v>
      </c>
      <c r="Q68" s="305">
        <f t="shared" si="4"/>
        <v>0.5</v>
      </c>
      <c r="R68" s="177">
        <f t="shared" si="5"/>
        <v>0.50278416819819305</v>
      </c>
      <c r="S68" s="811">
        <f t="shared" si="6"/>
        <v>-2</v>
      </c>
      <c r="T68" s="176">
        <f t="shared" si="7"/>
        <v>4</v>
      </c>
      <c r="U68" s="251">
        <f t="shared" si="21"/>
        <v>-1.497215831801807</v>
      </c>
      <c r="V68" s="383">
        <f t="shared" si="8"/>
        <v>40.944191638868489</v>
      </c>
      <c r="W68" s="58"/>
      <c r="X68" s="157">
        <f t="shared" si="9"/>
        <v>43519</v>
      </c>
      <c r="Y68" s="385">
        <f t="shared" si="10"/>
        <v>39.987000000000002</v>
      </c>
      <c r="Z68" s="385">
        <f t="shared" si="11"/>
        <v>40.215364774674889</v>
      </c>
      <c r="AA68" s="386">
        <f t="shared" si="12"/>
        <v>40.819465117117495</v>
      </c>
      <c r="AB68" s="197">
        <f t="shared" si="13"/>
        <v>43519</v>
      </c>
      <c r="AC68" s="426">
        <f>IF(OR(t&lt;Tnet,NoTnet),'2018'!Resal_s+('2018'!Salim-'2018'!Resal_s)*(1-EXP(('2018'!Tnet_s-t)/'2018'!Tau_j)),Resal_s+(Salim-Resal_s)*(1-EXP((Tnet_s-t)/Tau_j)))*Salcycl</f>
        <v>1.4799320390635806E-2</v>
      </c>
      <c r="AD68" s="231">
        <f>(INDEX(Models!$BJ68:$BT68,,AH68)*(1-AF68)+INDEX(Models!$BJ68:$BT68,,AH68+1)*AF68-ERP_i)*AE68*Ramure*Pc/MaxiM</f>
        <v>2.668034145255596E-5</v>
      </c>
      <c r="AE68" s="305">
        <f t="shared" si="14"/>
        <v>0.5</v>
      </c>
      <c r="AF68" s="177">
        <f t="shared" si="15"/>
        <v>0.50278416819819305</v>
      </c>
      <c r="AG68" s="176">
        <f t="shared" si="16"/>
        <v>-2</v>
      </c>
      <c r="AH68" s="176">
        <f t="shared" si="17"/>
        <v>4</v>
      </c>
      <c r="AI68" s="225">
        <f t="shared" si="22"/>
        <v>-1.497215831801807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7">
        <v>40.192999999999998</v>
      </c>
      <c r="C69" s="390"/>
      <c r="D69" s="393">
        <f t="shared" si="0"/>
        <v>40.423426612401073</v>
      </c>
      <c r="E69" s="385">
        <f t="shared" si="1"/>
        <v>41.032760536577435</v>
      </c>
      <c r="F69" s="385">
        <f t="shared" si="2"/>
        <v>41.03378848015074</v>
      </c>
      <c r="G69" s="110">
        <f t="shared" si="23"/>
        <v>0.97323702734677231</v>
      </c>
      <c r="H69" s="414" t="b">
        <f>Wh_hp&gt;='2018'!Maxi_hp</f>
        <v>1</v>
      </c>
      <c r="I69" s="390">
        <f>IF(H69,Wh_hp,'2018'!Maxi_hp)</f>
        <v>41.03378848015074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5.7003235923197559E-3</v>
      </c>
      <c r="M69" s="845"/>
      <c r="N69" s="845"/>
      <c r="O69" s="48">
        <f>IF(t&lt;Tnet,'2018'!Resal+('2018'!Salim-'2018'!Resal)*(1-EXP(('2018'!Tnet-t)/('2018'!Tau_j))),Resal+(Salim-Resal)*(1-EXP((Tnet-t)/(Tau_j))))*Salcycl</f>
        <v>1.4849937372192847E-2</v>
      </c>
      <c r="P69" s="169">
        <f>(INDEX(Models!$BJ69:$BT69,,T69)*(1-R69)+INDEX(Models!$BJ69:$BT69,,T69+1)*R69-ERP_i)*Q69*Ramure*Pc/MaxiM</f>
        <v>2.6046962293730554E-5</v>
      </c>
      <c r="Q69" s="305">
        <f t="shared" si="4"/>
        <v>0.5</v>
      </c>
      <c r="R69" s="177">
        <f t="shared" si="5"/>
        <v>0.50303646712541128</v>
      </c>
      <c r="S69" s="811">
        <f t="shared" si="6"/>
        <v>-2</v>
      </c>
      <c r="T69" s="176">
        <f t="shared" si="7"/>
        <v>4</v>
      </c>
      <c r="U69" s="251">
        <f t="shared" si="21"/>
        <v>-1.4969635328745887</v>
      </c>
      <c r="V69" s="383">
        <f t="shared" si="8"/>
        <v>41.298223192217357</v>
      </c>
      <c r="W69" s="58"/>
      <c r="X69" s="157">
        <f t="shared" si="9"/>
        <v>43520</v>
      </c>
      <c r="Y69" s="385">
        <f t="shared" si="10"/>
        <v>40.192999999999998</v>
      </c>
      <c r="Z69" s="385">
        <f t="shared" si="11"/>
        <v>40.423426612401073</v>
      </c>
      <c r="AA69" s="386">
        <f t="shared" si="12"/>
        <v>41.032760536577435</v>
      </c>
      <c r="AB69" s="197">
        <f t="shared" si="13"/>
        <v>43520</v>
      </c>
      <c r="AC69" s="426">
        <f>IF(OR(t&lt;Tnet,NoTnet),'2018'!Resal_s+('2018'!Salim-'2018'!Resal_s)*(1-EXP(('2018'!Tnet_s-t)/'2018'!Tau_j)),Resal_s+(Salim-Resal_s)*(1-EXP((Tnet_s-t)/Tau_j)))*Salcycl</f>
        <v>1.4849937372192847E-2</v>
      </c>
      <c r="AD69" s="231">
        <f>(INDEX(Models!$BJ69:$BT69,,AH69)*(1-AF69)+INDEX(Models!$BJ69:$BT69,,AH69+1)*AF69-ERP_i)*AE69*Ramure*Pc/MaxiM</f>
        <v>2.6046962293730554E-5</v>
      </c>
      <c r="AE69" s="305">
        <f t="shared" si="14"/>
        <v>0.5</v>
      </c>
      <c r="AF69" s="177">
        <f t="shared" si="15"/>
        <v>0.50303646712541128</v>
      </c>
      <c r="AG69" s="176">
        <f t="shared" si="16"/>
        <v>-2</v>
      </c>
      <c r="AH69" s="176">
        <f t="shared" si="17"/>
        <v>4</v>
      </c>
      <c r="AI69" s="225">
        <f t="shared" si="22"/>
        <v>-1.4969635328745887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7">
        <v>41.164000000000001</v>
      </c>
      <c r="C70" s="390"/>
      <c r="D70" s="393">
        <f t="shared" si="0"/>
        <v>41.400900144831205</v>
      </c>
      <c r="E70" s="385">
        <f t="shared" si="1"/>
        <v>42.027125521461514</v>
      </c>
      <c r="F70" s="385">
        <f t="shared" si="2"/>
        <v>42.028165575806206</v>
      </c>
      <c r="G70" s="110">
        <f t="shared" si="23"/>
        <v>0.98824591699595865</v>
      </c>
      <c r="H70" s="414" t="b">
        <f>Wh_hp&gt;='2018'!Maxi_hp</f>
        <v>1</v>
      </c>
      <c r="I70" s="390">
        <f>IF(H70,Wh_hp,'2018'!Maxi_hp)</f>
        <v>42.028165575806206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5.7221013070358762E-3</v>
      </c>
      <c r="M70" s="845"/>
      <c r="N70" s="845"/>
      <c r="O70" s="48">
        <f>IF(t&lt;Tnet,'2018'!Resal+('2018'!Salim-'2018'!Resal)*(1-EXP(('2018'!Tnet-t)/('2018'!Tau_j))),Resal+(Salim-Resal)*(1-EXP((Tnet-t)/(Tau_j))))*Salcycl</f>
        <v>1.4900504587460367E-2</v>
      </c>
      <c r="P70" s="169">
        <f>(INDEX(Models!$BJ70:$BT70,,T70)*(1-R70)+INDEX(Models!$BJ70:$BT70,,T70+1)*R70-ERP_i)*Q70*Ramure*Pc/MaxiM</f>
        <v>2.5169218491087076E-5</v>
      </c>
      <c r="Q70" s="305">
        <f t="shared" si="4"/>
        <v>0.5</v>
      </c>
      <c r="R70" s="177">
        <f t="shared" si="5"/>
        <v>0.50329907691754738</v>
      </c>
      <c r="S70" s="811">
        <f t="shared" si="6"/>
        <v>-2</v>
      </c>
      <c r="T70" s="176">
        <f t="shared" si="7"/>
        <v>4</v>
      </c>
      <c r="U70" s="251">
        <f t="shared" si="21"/>
        <v>-1.4967009230824526</v>
      </c>
      <c r="V70" s="383">
        <f t="shared" si="8"/>
        <v>41.653582266416571</v>
      </c>
      <c r="W70" s="58"/>
      <c r="X70" s="157">
        <f t="shared" si="9"/>
        <v>43521</v>
      </c>
      <c r="Y70" s="385">
        <f t="shared" si="10"/>
        <v>41.164000000000001</v>
      </c>
      <c r="Z70" s="385">
        <f t="shared" si="11"/>
        <v>41.400900144831205</v>
      </c>
      <c r="AA70" s="386">
        <f t="shared" si="12"/>
        <v>42.027125521461514</v>
      </c>
      <c r="AB70" s="197">
        <f t="shared" si="13"/>
        <v>43521</v>
      </c>
      <c r="AC70" s="426">
        <f>IF(OR(t&lt;Tnet,NoTnet),'2018'!Resal_s+('2018'!Salim-'2018'!Resal_s)*(1-EXP(('2018'!Tnet_s-t)/'2018'!Tau_j)),Resal_s+(Salim-Resal_s)*(1-EXP((Tnet_s-t)/Tau_j)))*Salcycl</f>
        <v>1.4900504587460367E-2</v>
      </c>
      <c r="AD70" s="231">
        <f>(INDEX(Models!$BJ70:$BT70,,AH70)*(1-AF70)+INDEX(Models!$BJ70:$BT70,,AH70+1)*AF70-ERP_i)*AE70*Ramure*Pc/MaxiM</f>
        <v>2.5169218491087076E-5</v>
      </c>
      <c r="AE70" s="305">
        <f t="shared" si="14"/>
        <v>0.5</v>
      </c>
      <c r="AF70" s="177">
        <f t="shared" si="15"/>
        <v>0.50329907691754738</v>
      </c>
      <c r="AG70" s="176">
        <f t="shared" si="16"/>
        <v>-2</v>
      </c>
      <c r="AH70" s="176">
        <f t="shared" si="17"/>
        <v>4</v>
      </c>
      <c r="AI70" s="225">
        <f t="shared" si="22"/>
        <v>-1.4967009230824526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7">
        <v>37.472000000000001</v>
      </c>
      <c r="C71" s="390"/>
      <c r="D71" s="393">
        <f t="shared" si="0"/>
        <v>37.68847804040108</v>
      </c>
      <c r="E71" s="385">
        <f t="shared" si="1"/>
        <v>38.260511807112607</v>
      </c>
      <c r="F71" s="385">
        <f t="shared" si="2"/>
        <v>38.261290092019415</v>
      </c>
      <c r="G71" s="110">
        <f t="shared" si="23"/>
        <v>0.8919757836955996</v>
      </c>
      <c r="H71" s="414" t="b">
        <f>Wh_hp&gt;='2018'!Maxi_hp</f>
        <v>1</v>
      </c>
      <c r="I71" s="390">
        <f>IF(H71,Wh_hp,'2018'!Maxi_hp)</f>
        <v>38.261290092019415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5.7438785447642138E-3</v>
      </c>
      <c r="M71" s="845"/>
      <c r="N71" s="845"/>
      <c r="O71" s="48">
        <f>IF(t&lt;Tnet,'2018'!Resal+('2018'!Salim-'2018'!Resal)*(1-EXP(('2018'!Tnet-t)/('2018'!Tau_j))),Resal+(Salim-Resal)*(1-EXP((Tnet-t)/(Tau_j))))*Salcycl</f>
        <v>1.4951022338524696E-2</v>
      </c>
      <c r="P71" s="169">
        <f>(INDEX(Models!$BJ71:$BT71,,T71)*(1-R71)+INDEX(Models!$BJ71:$BT71,,T71+1)*R71-ERP_i)*Q71*Ramure*Pc/MaxiM</f>
        <v>2.4053078505162706E-5</v>
      </c>
      <c r="Q71" s="305">
        <f t="shared" si="4"/>
        <v>0.5</v>
      </c>
      <c r="R71" s="177">
        <f t="shared" si="5"/>
        <v>0.50357240717311269</v>
      </c>
      <c r="S71" s="811">
        <f t="shared" si="6"/>
        <v>-2</v>
      </c>
      <c r="T71" s="176">
        <f t="shared" si="7"/>
        <v>4</v>
      </c>
      <c r="U71" s="251">
        <f t="shared" si="21"/>
        <v>-1.4964275928268873</v>
      </c>
      <c r="V71" s="383">
        <f t="shared" si="8"/>
        <v>42.009953179076682</v>
      </c>
      <c r="W71" s="58"/>
      <c r="X71" s="157">
        <f t="shared" si="9"/>
        <v>43522</v>
      </c>
      <c r="Y71" s="385">
        <f t="shared" si="10"/>
        <v>37.472000000000001</v>
      </c>
      <c r="Z71" s="385">
        <f t="shared" si="11"/>
        <v>37.68847804040108</v>
      </c>
      <c r="AA71" s="386">
        <f t="shared" si="12"/>
        <v>38.260511807112607</v>
      </c>
      <c r="AB71" s="197">
        <f t="shared" si="13"/>
        <v>43522</v>
      </c>
      <c r="AC71" s="426">
        <f>IF(OR(t&lt;Tnet,NoTnet),'2018'!Resal_s+('2018'!Salim-'2018'!Resal_s)*(1-EXP(('2018'!Tnet_s-t)/'2018'!Tau_j)),Resal_s+(Salim-Resal_s)*(1-EXP((Tnet_s-t)/Tau_j)))*Salcycl</f>
        <v>1.4951022338524696E-2</v>
      </c>
      <c r="AD71" s="231">
        <f>(INDEX(Models!$BJ71:$BT71,,AH71)*(1-AF71)+INDEX(Models!$BJ71:$BT71,,AH71+1)*AF71-ERP_i)*AE71*Ramure*Pc/MaxiM</f>
        <v>2.4053078505162706E-5</v>
      </c>
      <c r="AE71" s="305">
        <f t="shared" si="14"/>
        <v>0.5</v>
      </c>
      <c r="AF71" s="177">
        <f t="shared" si="15"/>
        <v>0.50357240717311269</v>
      </c>
      <c r="AG71" s="176">
        <f t="shared" si="16"/>
        <v>-2</v>
      </c>
      <c r="AH71" s="176">
        <f t="shared" si="17"/>
        <v>4</v>
      </c>
      <c r="AI71" s="225">
        <f t="shared" si="22"/>
        <v>-1.4964275928268873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7">
        <v>41.372</v>
      </c>
      <c r="C72" s="390"/>
      <c r="D72" s="393">
        <f t="shared" si="0"/>
        <v>41.611919987247148</v>
      </c>
      <c r="E72" s="385">
        <f t="shared" si="1"/>
        <v>42.245668004266278</v>
      </c>
      <c r="F72" s="385">
        <f t="shared" si="2"/>
        <v>42.246597609719124</v>
      </c>
      <c r="G72" s="110">
        <f t="shared" si="23"/>
        <v>0.9765135880799426</v>
      </c>
      <c r="H72" s="414" t="b">
        <f>Wh_hp&gt;='2018'!Maxi_hp</f>
        <v>1</v>
      </c>
      <c r="I72" s="390">
        <f>IF(H72,Wh_hp,'2018'!Maxi_hp)</f>
        <v>42.246597609719124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5.7656553055152049E-3</v>
      </c>
      <c r="M72" s="845"/>
      <c r="N72" s="845"/>
      <c r="O72" s="48">
        <f>IF(t&lt;Tnet,'2018'!Resal+('2018'!Salim-'2018'!Resal)*(1-EXP(('2018'!Tnet-t)/('2018'!Tau_j))),Resal+(Salim-Resal)*(1-EXP((Tnet-t)/(Tau_j))))*Salcycl</f>
        <v>1.5001491205089543E-2</v>
      </c>
      <c r="P72" s="169">
        <f>(INDEX(Models!$BJ72:$BT72,,T72)*(1-R72)+INDEX(Models!$BJ72:$BT72,,T72+1)*R72-ERP_i)*Q72*Ramure*Pc/MaxiM</f>
        <v>2.2768161403702116E-5</v>
      </c>
      <c r="Q72" s="305">
        <f t="shared" si="4"/>
        <v>0.5</v>
      </c>
      <c r="R72" s="177">
        <f t="shared" si="5"/>
        <v>0.50385688276792284</v>
      </c>
      <c r="S72" s="811">
        <f t="shared" si="6"/>
        <v>-2</v>
      </c>
      <c r="T72" s="176">
        <f t="shared" si="7"/>
        <v>4</v>
      </c>
      <c r="U72" s="251">
        <f t="shared" si="21"/>
        <v>-1.4961431172320772</v>
      </c>
      <c r="V72" s="383">
        <f t="shared" si="8"/>
        <v>42.367017623227134</v>
      </c>
      <c r="W72" s="58"/>
      <c r="X72" s="157">
        <f t="shared" si="9"/>
        <v>43523</v>
      </c>
      <c r="Y72" s="385">
        <f t="shared" si="10"/>
        <v>41.372</v>
      </c>
      <c r="Z72" s="385">
        <f t="shared" si="11"/>
        <v>41.611919987247148</v>
      </c>
      <c r="AA72" s="386">
        <f t="shared" si="12"/>
        <v>42.245668004266278</v>
      </c>
      <c r="AB72" s="197">
        <f t="shared" si="13"/>
        <v>43523</v>
      </c>
      <c r="AC72" s="426">
        <f>IF(OR(t&lt;Tnet,NoTnet),'2018'!Resal_s+('2018'!Salim-'2018'!Resal_s)*(1-EXP(('2018'!Tnet_s-t)/'2018'!Tau_j)),Resal_s+(Salim-Resal_s)*(1-EXP((Tnet_s-t)/Tau_j)))*Salcycl</f>
        <v>1.5001491205089543E-2</v>
      </c>
      <c r="AD72" s="231">
        <f>(INDEX(Models!$BJ72:$BT72,,AH72)*(1-AF72)+INDEX(Models!$BJ72:$BT72,,AH72+1)*AF72-ERP_i)*AE72*Ramure*Pc/MaxiM</f>
        <v>2.2768161403702116E-5</v>
      </c>
      <c r="AE72" s="305">
        <f t="shared" si="14"/>
        <v>0.5</v>
      </c>
      <c r="AF72" s="177">
        <f t="shared" si="15"/>
        <v>0.50385688276792284</v>
      </c>
      <c r="AG72" s="176">
        <f t="shared" si="16"/>
        <v>-2</v>
      </c>
      <c r="AH72" s="176">
        <f t="shared" si="17"/>
        <v>4</v>
      </c>
      <c r="AI72" s="225">
        <f t="shared" si="22"/>
        <v>-1.4961431172320772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7">
        <v>32.523000000000003</v>
      </c>
      <c r="C73" s="390"/>
      <c r="D73" s="393">
        <f t="shared" si="0"/>
        <v>32.712320315955836</v>
      </c>
      <c r="E73" s="385">
        <f t="shared" si="1"/>
        <v>33.212227848785794</v>
      </c>
      <c r="F73" s="385">
        <f t="shared" si="2"/>
        <v>33.212696402248028</v>
      </c>
      <c r="G73" s="110">
        <f t="shared" si="23"/>
        <v>0.76122121666009168</v>
      </c>
      <c r="H73" s="414" t="b">
        <f>Wh_hp&gt;='2018'!Maxi_hp</f>
        <v>1</v>
      </c>
      <c r="I73" s="390">
        <f>IF(H73,Wh_hp,'2018'!Maxi_hp)</f>
        <v>33.212696402248028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5.7874315892991746E-3</v>
      </c>
      <c r="M73" s="845"/>
      <c r="N73" s="845"/>
      <c r="O73" s="48">
        <f>IF(t&lt;Tnet,'2018'!Resal+('2018'!Salim-'2018'!Resal)*(1-EXP(('2018'!Tnet-t)/('2018'!Tau_j))),Resal+(Salim-Resal)*(1-EXP((Tnet-t)/(Tau_j))))*Salcycl</f>
        <v>1.5051912057993251E-2</v>
      </c>
      <c r="P73" s="169">
        <f>(INDEX(Models!$BJ73:$BT73,,T73)*(1-R73)+INDEX(Models!$BJ73:$BT73,,T73+1)*R73-ERP_i)*Q73*Ramure*Pc/MaxiM</f>
        <v>2.1411078493188453E-5</v>
      </c>
      <c r="Q73" s="305">
        <f t="shared" si="4"/>
        <v>0.5</v>
      </c>
      <c r="R73" s="177">
        <f t="shared" si="5"/>
        <v>0.50415294434051039</v>
      </c>
      <c r="S73" s="811">
        <f t="shared" si="6"/>
        <v>-2</v>
      </c>
      <c r="T73" s="176">
        <f t="shared" si="7"/>
        <v>4</v>
      </c>
      <c r="U73" s="251">
        <f t="shared" si="21"/>
        <v>-1.4958470556594896</v>
      </c>
      <c r="V73" s="383">
        <f t="shared" si="8"/>
        <v>42.724456118417315</v>
      </c>
      <c r="W73" s="58"/>
      <c r="X73" s="157">
        <f t="shared" si="9"/>
        <v>43524</v>
      </c>
      <c r="Y73" s="385">
        <f t="shared" si="10"/>
        <v>32.523000000000003</v>
      </c>
      <c r="Z73" s="385">
        <f t="shared" si="11"/>
        <v>32.712320315955836</v>
      </c>
      <c r="AA73" s="386">
        <f t="shared" si="12"/>
        <v>33.212227848785794</v>
      </c>
      <c r="AB73" s="197">
        <f t="shared" si="13"/>
        <v>43524</v>
      </c>
      <c r="AC73" s="426">
        <f>IF(OR(t&lt;Tnet,NoTnet),'2018'!Resal_s+('2018'!Salim-'2018'!Resal_s)*(1-EXP(('2018'!Tnet_s-t)/'2018'!Tau_j)),Resal_s+(Salim-Resal_s)*(1-EXP((Tnet_s-t)/Tau_j)))*Salcycl</f>
        <v>1.5051912057993251E-2</v>
      </c>
      <c r="AD73" s="231">
        <f>(INDEX(Models!$BJ73:$BT73,,AH73)*(1-AF73)+INDEX(Models!$BJ73:$BT73,,AH73+1)*AF73-ERP_i)*AE73*Ramure*Pc/MaxiM</f>
        <v>2.1411078493188453E-5</v>
      </c>
      <c r="AE73" s="305">
        <f t="shared" si="14"/>
        <v>0.5</v>
      </c>
      <c r="AF73" s="177">
        <f t="shared" si="15"/>
        <v>0.50415294434051039</v>
      </c>
      <c r="AG73" s="176">
        <f t="shared" si="16"/>
        <v>-2</v>
      </c>
      <c r="AH73" s="176">
        <f t="shared" si="17"/>
        <v>4</v>
      </c>
      <c r="AI73" s="225">
        <f t="shared" si="22"/>
        <v>-1.4958470556594896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7">
        <v>15.007</v>
      </c>
      <c r="C74" s="390"/>
      <c r="D74" s="393">
        <f t="shared" si="0"/>
        <v>15.094688174183693</v>
      </c>
      <c r="E74" s="385">
        <f t="shared" si="1"/>
        <v>15.326148046343732</v>
      </c>
      <c r="F74" s="385">
        <f t="shared" si="2"/>
        <v>15.326169194885544</v>
      </c>
      <c r="G74" s="110">
        <f t="shared" si="23"/>
        <v>0.34832962984528909</v>
      </c>
      <c r="H74" s="414" t="b">
        <f>Wh_hp&gt;='2018'!Maxi_hp</f>
        <v>1</v>
      </c>
      <c r="I74" s="390">
        <f>IF(H74,Wh_hp,'2018'!Maxi_hp)</f>
        <v>15.326169194885544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5.8092073961266699E-3</v>
      </c>
      <c r="M74" s="845"/>
      <c r="N74" s="845"/>
      <c r="O74" s="48">
        <f>IF(t&lt;Tnet,'2018'!Resal+('2018'!Salim-'2018'!Resal)*(1-EXP(('2018'!Tnet-t)/('2018'!Tau_j))),Resal+(Salim-Resal)*(1-EXP((Tnet-t)/(Tau_j))))*Salcycl</f>
        <v>1.5102286070847164E-2</v>
      </c>
      <c r="P74" s="169">
        <f>(INDEX(Models!$BJ74:$BT74,,T74)*(1-R74)+INDEX(Models!$BJ74:$BT74,,T74+1)*R74-ERP_i)*Q74*Ramure*Pc/MaxiM</f>
        <v>1.9983573610740952E-5</v>
      </c>
      <c r="Q74" s="305">
        <f t="shared" si="4"/>
        <v>0.5</v>
      </c>
      <c r="R74" s="177">
        <f t="shared" si="5"/>
        <v>0.50446104878556919</v>
      </c>
      <c r="S74" s="811">
        <f t="shared" si="6"/>
        <v>-2</v>
      </c>
      <c r="T74" s="176">
        <f t="shared" si="7"/>
        <v>4</v>
      </c>
      <c r="U74" s="251">
        <f t="shared" si="21"/>
        <v>-1.4955389512144308</v>
      </c>
      <c r="V74" s="383">
        <f t="shared" si="8"/>
        <v>43.081953208838073</v>
      </c>
      <c r="W74" s="58"/>
      <c r="X74" s="157">
        <f t="shared" si="9"/>
        <v>43525</v>
      </c>
      <c r="Y74" s="385">
        <f t="shared" si="10"/>
        <v>15.007</v>
      </c>
      <c r="Z74" s="385">
        <f t="shared" si="11"/>
        <v>15.094688174183693</v>
      </c>
      <c r="AA74" s="386">
        <f t="shared" si="12"/>
        <v>15.326148046343732</v>
      </c>
      <c r="AB74" s="197">
        <f t="shared" si="13"/>
        <v>43525</v>
      </c>
      <c r="AC74" s="426">
        <f>IF(OR(t&lt;Tnet,NoTnet),'2018'!Resal_s+('2018'!Salim-'2018'!Resal_s)*(1-EXP(('2018'!Tnet_s-t)/'2018'!Tau_j)),Resal_s+(Salim-Resal_s)*(1-EXP((Tnet_s-t)/Tau_j)))*Salcycl</f>
        <v>1.5102286070847164E-2</v>
      </c>
      <c r="AD74" s="231">
        <f>(INDEX(Models!$BJ74:$BT74,,AH74)*(1-AF74)+INDEX(Models!$BJ74:$BT74,,AH74+1)*AF74-ERP_i)*AE74*Ramure*Pc/MaxiM</f>
        <v>1.9983573610740952E-5</v>
      </c>
      <c r="AE74" s="305">
        <f t="shared" si="14"/>
        <v>0.5</v>
      </c>
      <c r="AF74" s="177">
        <f t="shared" si="15"/>
        <v>0.50446104878556919</v>
      </c>
      <c r="AG74" s="176">
        <f t="shared" si="16"/>
        <v>-2</v>
      </c>
      <c r="AH74" s="176">
        <f t="shared" si="17"/>
        <v>4</v>
      </c>
      <c r="AI74" s="225">
        <f t="shared" si="22"/>
        <v>-1.4955389512144308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7">
        <v>22.096</v>
      </c>
      <c r="C75" s="390"/>
      <c r="D75" s="393">
        <f t="shared" si="0"/>
        <v>22.225597072605581</v>
      </c>
      <c r="E75" s="385">
        <f t="shared" si="1"/>
        <v>22.567554531818121</v>
      </c>
      <c r="F75" s="385">
        <f t="shared" si="2"/>
        <v>22.567678900656151</v>
      </c>
      <c r="G75" s="110">
        <f t="shared" si="23"/>
        <v>0.50865845989258918</v>
      </c>
      <c r="H75" s="414" t="b">
        <f>Wh_hp&gt;='2018'!Maxi_hp</f>
        <v>1</v>
      </c>
      <c r="I75" s="390">
        <f>IF(H75,Wh_hp,'2018'!Maxi_hp)</f>
        <v>22.567678900656151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5.8309827260081271E-3</v>
      </c>
      <c r="M75" s="845"/>
      <c r="N75" s="845"/>
      <c r="O75" s="48">
        <f>IF(t&lt;Tnet,'2018'!Resal+('2018'!Salim-'2018'!Resal)*(1-EXP(('2018'!Tnet-t)/('2018'!Tau_j))),Resal+(Salim-Resal)*(1-EXP((Tnet-t)/(Tau_j))))*Salcycl</f>
        <v>1.5152614729717928E-2</v>
      </c>
      <c r="P75" s="169">
        <f>(INDEX(Models!$BJ75:$BT75,,T75)*(1-R75)+INDEX(Models!$BJ75:$BT75,,T75+1)*R75-ERP_i)*Q75*Ramure*Pc/MaxiM</f>
        <v>1.8487278649237213E-5</v>
      </c>
      <c r="Q75" s="305">
        <f t="shared" si="4"/>
        <v>0.5</v>
      </c>
      <c r="R75" s="177">
        <f t="shared" si="5"/>
        <v>0.50478166975483085</v>
      </c>
      <c r="S75" s="811">
        <f t="shared" si="6"/>
        <v>-2</v>
      </c>
      <c r="T75" s="176">
        <f t="shared" si="7"/>
        <v>4</v>
      </c>
      <c r="U75" s="251">
        <f t="shared" si="21"/>
        <v>-1.4952183302451691</v>
      </c>
      <c r="V75" s="383">
        <f t="shared" si="8"/>
        <v>43.439193516267416</v>
      </c>
      <c r="W75" s="58"/>
      <c r="X75" s="157">
        <f t="shared" si="9"/>
        <v>43526</v>
      </c>
      <c r="Y75" s="385">
        <f t="shared" si="10"/>
        <v>22.096</v>
      </c>
      <c r="Z75" s="385">
        <f t="shared" si="11"/>
        <v>22.225597072605581</v>
      </c>
      <c r="AA75" s="386">
        <f t="shared" si="12"/>
        <v>22.567554531818121</v>
      </c>
      <c r="AB75" s="197">
        <f t="shared" si="13"/>
        <v>43526</v>
      </c>
      <c r="AC75" s="426">
        <f>IF(OR(t&lt;Tnet,NoTnet),'2018'!Resal_s+('2018'!Salim-'2018'!Resal_s)*(1-EXP(('2018'!Tnet_s-t)/'2018'!Tau_j)),Resal_s+(Salim-Resal_s)*(1-EXP((Tnet_s-t)/Tau_j)))*Salcycl</f>
        <v>1.5152614729717928E-2</v>
      </c>
      <c r="AD75" s="231">
        <f>(INDEX(Models!$BJ75:$BT75,,AH75)*(1-AF75)+INDEX(Models!$BJ75:$BT75,,AH75+1)*AF75-ERP_i)*AE75*Ramure*Pc/MaxiM</f>
        <v>1.8487278649237213E-5</v>
      </c>
      <c r="AE75" s="305">
        <f t="shared" si="14"/>
        <v>0.5</v>
      </c>
      <c r="AF75" s="177">
        <f t="shared" si="15"/>
        <v>0.50478166975483085</v>
      </c>
      <c r="AG75" s="176">
        <f t="shared" si="16"/>
        <v>-2</v>
      </c>
      <c r="AH75" s="176">
        <f t="shared" si="17"/>
        <v>4</v>
      </c>
      <c r="AI75" s="225">
        <f t="shared" si="22"/>
        <v>-1.4952183302451691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7">
        <v>38.192</v>
      </c>
      <c r="C76" s="390"/>
      <c r="D76" s="393">
        <f t="shared" si="0"/>
        <v>38.416844477676214</v>
      </c>
      <c r="E76" s="385">
        <f t="shared" si="1"/>
        <v>39.009908204914225</v>
      </c>
      <c r="F76" s="385">
        <f t="shared" si="2"/>
        <v>39.010447727103518</v>
      </c>
      <c r="G76" s="110">
        <f t="shared" si="23"/>
        <v>0.87204316422829464</v>
      </c>
      <c r="H76" s="414" t="b">
        <f>Wh_hp&gt;='2018'!Maxi_hp</f>
        <v>1</v>
      </c>
      <c r="I76" s="390">
        <f>IF(H76,Wh_hp,'2018'!Maxi_hp)</f>
        <v>39.010447727103518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5.8527575789538711E-3</v>
      </c>
      <c r="M76" s="845"/>
      <c r="N76" s="845"/>
      <c r="O76" s="48">
        <f>IF(t&lt;Tnet,'2018'!Resal+('2018'!Salim-'2018'!Resal)*(1-EXP(('2018'!Tnet-t)/('2018'!Tau_j))),Resal+(Salim-Resal)*(1-EXP((Tnet-t)/(Tau_j))))*Salcycl</f>
        <v>1.5202899840797406E-2</v>
      </c>
      <c r="P76" s="169">
        <f>(INDEX(Models!$BJ76:$BT76,,T76)*(1-R76)+INDEX(Models!$BJ76:$BT76,,T76+1)*R76-ERP_i)*Q76*Ramure*Pc/MaxiM</f>
        <v>1.6923709727271741E-5</v>
      </c>
      <c r="Q76" s="305">
        <f t="shared" si="4"/>
        <v>0.5</v>
      </c>
      <c r="R76" s="177">
        <f t="shared" si="5"/>
        <v>0.5051152981646887</v>
      </c>
      <c r="S76" s="811">
        <f t="shared" si="6"/>
        <v>-2</v>
      </c>
      <c r="T76" s="176">
        <f t="shared" si="7"/>
        <v>4</v>
      </c>
      <c r="U76" s="251">
        <f t="shared" si="21"/>
        <v>-1.4948847018353113</v>
      </c>
      <c r="V76" s="383">
        <f t="shared" si="8"/>
        <v>43.795861738951089</v>
      </c>
      <c r="W76" s="58"/>
      <c r="X76" s="157">
        <f t="shared" si="9"/>
        <v>43527</v>
      </c>
      <c r="Y76" s="385">
        <f t="shared" si="10"/>
        <v>38.192</v>
      </c>
      <c r="Z76" s="385">
        <f t="shared" si="11"/>
        <v>38.416844477676214</v>
      </c>
      <c r="AA76" s="386">
        <f t="shared" si="12"/>
        <v>39.009908204914225</v>
      </c>
      <c r="AB76" s="197">
        <f t="shared" si="13"/>
        <v>43527</v>
      </c>
      <c r="AC76" s="426">
        <f>IF(OR(t&lt;Tnet,NoTnet),'2018'!Resal_s+('2018'!Salim-'2018'!Resal_s)*(1-EXP(('2018'!Tnet_s-t)/'2018'!Tau_j)),Resal_s+(Salim-Resal_s)*(1-EXP((Tnet_s-t)/Tau_j)))*Salcycl</f>
        <v>1.5202899840797406E-2</v>
      </c>
      <c r="AD76" s="231">
        <f>(INDEX(Models!$BJ76:$BT76,,AH76)*(1-AF76)+INDEX(Models!$BJ76:$BT76,,AH76+1)*AF76-ERP_i)*AE76*Ramure*Pc/MaxiM</f>
        <v>1.6923709727271741E-5</v>
      </c>
      <c r="AE76" s="305">
        <f t="shared" si="14"/>
        <v>0.5</v>
      </c>
      <c r="AF76" s="177">
        <f t="shared" si="15"/>
        <v>0.5051152981646887</v>
      </c>
      <c r="AG76" s="176">
        <f t="shared" si="16"/>
        <v>-2</v>
      </c>
      <c r="AH76" s="176">
        <f t="shared" si="17"/>
        <v>4</v>
      </c>
      <c r="AI76" s="225">
        <f t="shared" si="22"/>
        <v>-1.4948847018353113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7">
        <v>13.241</v>
      </c>
      <c r="C77" s="390"/>
      <c r="D77" s="393">
        <f t="shared" si="0"/>
        <v>13.319244326411619</v>
      </c>
      <c r="E77" s="385">
        <f t="shared" si="1"/>
        <v>13.525551504920069</v>
      </c>
      <c r="F77" s="385">
        <f t="shared" si="2"/>
        <v>13.525551504920069</v>
      </c>
      <c r="G77" s="110">
        <f t="shared" si="23"/>
        <v>0.29989365499570175</v>
      </c>
      <c r="H77" s="414" t="b">
        <f>Wh_hp&gt;='2018'!Maxi_hp</f>
        <v>1</v>
      </c>
      <c r="I77" s="390">
        <f>IF(H77,Wh_hp,'2018'!Maxi_hp)</f>
        <v>13.525551504920069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5.87453195497456E-3</v>
      </c>
      <c r="M77" s="845"/>
      <c r="N77" s="845"/>
      <c r="O77" s="48">
        <f>IF(t&lt;Tnet,'2018'!Resal+('2018'!Salim-'2018'!Resal)*(1-EXP(('2018'!Tnet-t)/('2018'!Tau_j))),Resal+(Salim-Resal)*(1-EXP((Tnet-t)/(Tau_j))))*Salcycl</f>
        <v>1.5253143536025363E-2</v>
      </c>
      <c r="P77" s="169">
        <f>(INDEX(Models!$BJ77:$BT77,,T77)*(1-R77)+INDEX(Models!$BJ77:$BT77,,T77+1)*R77-ERP_i)*Q77*Ramure*Pc/MaxiM</f>
        <v>1.5294263300067709E-5</v>
      </c>
      <c r="Q77" s="305">
        <f t="shared" si="4"/>
        <v>0.5</v>
      </c>
      <c r="R77" s="177">
        <f t="shared" si="5"/>
        <v>0.50546244270978691</v>
      </c>
      <c r="S77" s="811">
        <f t="shared" si="6"/>
        <v>-2</v>
      </c>
      <c r="T77" s="176">
        <f t="shared" si="7"/>
        <v>4</v>
      </c>
      <c r="U77" s="251">
        <f t="shared" si="21"/>
        <v>-1.4945375572902131</v>
      </c>
      <c r="V77" s="383">
        <f t="shared" si="8"/>
        <v>44.151642650957115</v>
      </c>
      <c r="W77" s="58"/>
      <c r="X77" s="157">
        <f t="shared" si="9"/>
        <v>43528</v>
      </c>
      <c r="Y77" s="385">
        <f t="shared" si="10"/>
        <v>13.241</v>
      </c>
      <c r="Z77" s="385">
        <f t="shared" si="11"/>
        <v>13.319244326411619</v>
      </c>
      <c r="AA77" s="386">
        <f t="shared" si="12"/>
        <v>13.525551504920069</v>
      </c>
      <c r="AB77" s="197">
        <f t="shared" si="13"/>
        <v>43528</v>
      </c>
      <c r="AC77" s="426">
        <f>IF(OR(t&lt;Tnet,NoTnet),'2018'!Resal_s+('2018'!Salim-'2018'!Resal_s)*(1-EXP(('2018'!Tnet_s-t)/'2018'!Tau_j)),Resal_s+(Salim-Resal_s)*(1-EXP((Tnet_s-t)/Tau_j)))*Salcycl</f>
        <v>1.5253143536025363E-2</v>
      </c>
      <c r="AD77" s="231">
        <f>(INDEX(Models!$BJ77:$BT77,,AH77)*(1-AF77)+INDEX(Models!$BJ77:$BT77,,AH77+1)*AF77-ERP_i)*AE77*Ramure*Pc/MaxiM</f>
        <v>1.5294263300067709E-5</v>
      </c>
      <c r="AE77" s="305">
        <f t="shared" si="14"/>
        <v>0.5</v>
      </c>
      <c r="AF77" s="177">
        <f t="shared" si="15"/>
        <v>0.50546244270978691</v>
      </c>
      <c r="AG77" s="176">
        <f t="shared" si="16"/>
        <v>-2</v>
      </c>
      <c r="AH77" s="176">
        <f t="shared" si="17"/>
        <v>4</v>
      </c>
      <c r="AI77" s="225">
        <f t="shared" si="22"/>
        <v>-1.4945375572902131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7">
        <v>43.591000000000001</v>
      </c>
      <c r="C78" s="390"/>
      <c r="D78" s="393">
        <f t="shared" si="0"/>
        <v>43.849550360489353</v>
      </c>
      <c r="E78" s="385">
        <f t="shared" si="1"/>
        <v>44.531024131895691</v>
      </c>
      <c r="F78" s="385">
        <f t="shared" si="2"/>
        <v>44.531611979407565</v>
      </c>
      <c r="G78" s="110">
        <f t="shared" si="23"/>
        <v>0.97943571719470912</v>
      </c>
      <c r="H78" s="414" t="b">
        <f>Wh_hp&gt;='2018'!Maxi_hp</f>
        <v>1</v>
      </c>
      <c r="I78" s="390">
        <f>IF(H78,Wh_hp,'2018'!Maxi_hp)</f>
        <v>44.531611979407565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5.8963058540805191E-3</v>
      </c>
      <c r="M78" s="845"/>
      <c r="N78" s="845"/>
      <c r="O78" s="48">
        <f>IF(t&lt;Tnet,'2018'!Resal+('2018'!Salim-'2018'!Resal)*(1-EXP(('2018'!Tnet-t)/('2018'!Tau_j))),Resal+(Salim-Resal)*(1-EXP((Tnet-t)/(Tau_j))))*Salcycl</f>
        <v>1.5303348276650681E-2</v>
      </c>
      <c r="P78" s="169">
        <f>(INDEX(Models!$BJ78:$BT78,,T78)*(1-R78)+INDEX(Models!$BJ78:$BT78,,T78+1)*R78-ERP_i)*Q78*Ramure*Pc/MaxiM</f>
        <v>1.3600212195931384E-5</v>
      </c>
      <c r="Q78" s="305">
        <f t="shared" si="4"/>
        <v>0.5</v>
      </c>
      <c r="R78" s="177">
        <f t="shared" si="5"/>
        <v>0.50582363038168254</v>
      </c>
      <c r="S78" s="811">
        <f t="shared" si="6"/>
        <v>-2</v>
      </c>
      <c r="T78" s="176">
        <f t="shared" si="7"/>
        <v>4</v>
      </c>
      <c r="U78" s="251">
        <f t="shared" si="21"/>
        <v>-1.4941763696183175</v>
      </c>
      <c r="V78" s="383">
        <f t="shared" si="8"/>
        <v>44.506221101031819</v>
      </c>
      <c r="W78" s="58"/>
      <c r="X78" s="157">
        <f t="shared" si="9"/>
        <v>43529</v>
      </c>
      <c r="Y78" s="385">
        <f t="shared" si="10"/>
        <v>43.591000000000001</v>
      </c>
      <c r="Z78" s="385">
        <f t="shared" si="11"/>
        <v>43.849550360489353</v>
      </c>
      <c r="AA78" s="386">
        <f t="shared" si="12"/>
        <v>44.531024131895691</v>
      </c>
      <c r="AB78" s="197">
        <f t="shared" si="13"/>
        <v>43529</v>
      </c>
      <c r="AC78" s="426">
        <f>IF(OR(t&lt;Tnet,NoTnet),'2018'!Resal_s+('2018'!Salim-'2018'!Resal_s)*(1-EXP(('2018'!Tnet_s-t)/'2018'!Tau_j)),Resal_s+(Salim-Resal_s)*(1-EXP((Tnet_s-t)/Tau_j)))*Salcycl</f>
        <v>1.5303348276650681E-2</v>
      </c>
      <c r="AD78" s="231">
        <f>(INDEX(Models!$BJ78:$BT78,,AH78)*(1-AF78)+INDEX(Models!$BJ78:$BT78,,AH78+1)*AF78-ERP_i)*AE78*Ramure*Pc/MaxiM</f>
        <v>1.3600212195931384E-5</v>
      </c>
      <c r="AE78" s="305">
        <f t="shared" si="14"/>
        <v>0.5</v>
      </c>
      <c r="AF78" s="177">
        <f t="shared" si="15"/>
        <v>0.50582363038168254</v>
      </c>
      <c r="AG78" s="176">
        <f t="shared" si="16"/>
        <v>-2</v>
      </c>
      <c r="AH78" s="176">
        <f t="shared" si="17"/>
        <v>4</v>
      </c>
      <c r="AI78" s="225">
        <f t="shared" si="22"/>
        <v>-1.4941763696183175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7">
        <v>22.887</v>
      </c>
      <c r="C79" s="390"/>
      <c r="D79" s="393">
        <f t="shared" ref="D79:D142" si="24">Wh/(1-Ppv)</f>
        <v>23.023253439050237</v>
      </c>
      <c r="E79" s="385">
        <f t="shared" si="1"/>
        <v>23.382253258557245</v>
      </c>
      <c r="F79" s="385">
        <f t="shared" ref="F79:F142" si="25">Wh_sa/(1-Pvg*MEDIAN((-Sdif+Wh/Env_an)/Csdif,0,1))</f>
        <v>23.382336400970807</v>
      </c>
      <c r="G79" s="110">
        <f t="shared" si="23"/>
        <v>0.51017704461625246</v>
      </c>
      <c r="H79" s="414" t="b">
        <f>Wh_hp&gt;='2018'!Maxi_hp</f>
        <v>1</v>
      </c>
      <c r="I79" s="390">
        <f>IF(H79,Wh_hp,'2018'!Maxi_hp)</f>
        <v>23.382336400970807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5.9180792762821843E-3</v>
      </c>
      <c r="M79" s="845"/>
      <c r="N79" s="845"/>
      <c r="O79" s="48">
        <f>IF(t&lt;Tnet,'2018'!Resal+('2018'!Salim-'2018'!Resal)*(1-EXP(('2018'!Tnet-t)/('2018'!Tau_j))),Resal+(Salim-Resal)*(1-EXP((Tnet-t)/(Tau_j))))*Salcycl</f>
        <v>1.5353516854737887E-2</v>
      </c>
      <c r="P79" s="169">
        <f>(INDEX(Models!$BJ79:$BT79,,T79)*(1-R79)+INDEX(Models!$BJ79:$BT79,,T79+1)*R79-ERP_i)*Q79*Ramure*Pc/MaxiM</f>
        <v>1.1842373288841526E-5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0.50619940699158072</v>
      </c>
      <c r="S79" s="811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-1.4938005930084193</v>
      </c>
      <c r="V79" s="383">
        <f t="shared" ref="V79:V142" si="32">MaxiM*(1-Ppv)*(1-Pvg)*(1-Psa)</f>
        <v>44.860525548048173</v>
      </c>
      <c r="W79" s="58"/>
      <c r="X79" s="157">
        <f t="shared" ref="X79:X142" si="33">t</f>
        <v>43530</v>
      </c>
      <c r="Y79" s="385">
        <f t="shared" ref="Y79:Y142" si="34">Wh_pvt_s*(1-Ppv)</f>
        <v>22.887</v>
      </c>
      <c r="Z79" s="385">
        <f t="shared" ref="Z79:Z142" si="35">Wh_sa_s*(1-Psa_s)</f>
        <v>23.023253439050237</v>
      </c>
      <c r="AA79" s="386">
        <f t="shared" ref="AA79:AA142" si="36">Wh_hp*(1-Pvg_s*MEDIAN((-Sdif+Wh/Env_an)/Csdif,0,1))</f>
        <v>23.382253258557245</v>
      </c>
      <c r="AB79" s="197">
        <f t="shared" ref="AB79:AB142" si="37">t</f>
        <v>43530</v>
      </c>
      <c r="AC79" s="426">
        <f>IF(OR(t&lt;Tnet,NoTnet),'2018'!Resal_s+('2018'!Salim-'2018'!Resal_s)*(1-EXP(('2018'!Tnet_s-t)/'2018'!Tau_j)),Resal_s+(Salim-Resal_s)*(1-EXP((Tnet_s-t)/Tau_j)))*Salcycl</f>
        <v>1.5353516854737887E-2</v>
      </c>
      <c r="AD79" s="231">
        <f>(INDEX(Models!$BJ79:$BT79,,AH79)*(1-AF79)+INDEX(Models!$BJ79:$BT79,,AH79+1)*AF79-ERP_i)*AE79*Ramure*Pc/MaxiM</f>
        <v>1.1842373288841526E-5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0.50619940699158072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-1.4938005930084193</v>
      </c>
      <c r="AJ79" s="265" t="b">
        <f t="shared" ref="AJ79:AJ142" si="43">t&lt;Tnet</f>
        <v>0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7">
        <v>41.777999999999999</v>
      </c>
      <c r="C80" s="390"/>
      <c r="D80" s="393">
        <f t="shared" si="24"/>
        <v>42.027637958697149</v>
      </c>
      <c r="E80" s="385">
        <f t="shared" ref="E80:E143" si="46">Wh_pvt/(1-Psa)</f>
        <v>42.685145096086899</v>
      </c>
      <c r="F80" s="385">
        <f t="shared" si="25"/>
        <v>42.685529835046331</v>
      </c>
      <c r="G80" s="110">
        <f t="shared" ref="G80:G143" si="47">+Wh_hp/MaxiM</f>
        <v>0.92397314596099589</v>
      </c>
      <c r="H80" s="414" t="b">
        <f>Wh_hp&gt;='2018'!Maxi_hp</f>
        <v>1</v>
      </c>
      <c r="I80" s="390">
        <f>IF(H80,Wh_hp,'2018'!Maxi_hp)</f>
        <v>42.685529835046331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5.9398522215899918E-3</v>
      </c>
      <c r="M80" s="845"/>
      <c r="N80" s="845"/>
      <c r="O80" s="48">
        <f>IF(t&lt;Tnet,'2018'!Resal+('2018'!Salim-'2018'!Resal)*(1-EXP(('2018'!Tnet-t)/('2018'!Tau_j))),Resal+(Salim-Resal)*(1-EXP((Tnet-t)/(Tau_j))))*Salcycl</f>
        <v>1.5403652392645253E-2</v>
      </c>
      <c r="P80" s="169">
        <f>(INDEX(Models!$BJ80:$BT80,,T80)*(1-R80)+INDEX(Models!$BJ80:$BT80,,T80+1)*R80-ERP_i)*Q80*Ramure*Pc/MaxiM</f>
        <v>1.0111531148933894E-5</v>
      </c>
      <c r="Q80" s="305">
        <f t="shared" si="27"/>
        <v>0.5</v>
      </c>
      <c r="R80" s="177">
        <f t="shared" si="28"/>
        <v>0.50659033769601636</v>
      </c>
      <c r="S80" s="811">
        <f t="shared" si="29"/>
        <v>-2</v>
      </c>
      <c r="T80" s="176">
        <f t="shared" si="30"/>
        <v>4</v>
      </c>
      <c r="U80" s="251">
        <f t="shared" si="31"/>
        <v>-1.4934096623039836</v>
      </c>
      <c r="V80" s="383">
        <f t="shared" si="32"/>
        <v>45.215550150730415</v>
      </c>
      <c r="W80" s="58"/>
      <c r="X80" s="157">
        <f t="shared" si="33"/>
        <v>43531</v>
      </c>
      <c r="Y80" s="385">
        <f t="shared" si="34"/>
        <v>41.777999999999999</v>
      </c>
      <c r="Z80" s="385">
        <f t="shared" si="35"/>
        <v>42.027637958697149</v>
      </c>
      <c r="AA80" s="386">
        <f t="shared" si="36"/>
        <v>42.685145096086899</v>
      </c>
      <c r="AB80" s="197">
        <f t="shared" si="37"/>
        <v>43531</v>
      </c>
      <c r="AC80" s="426">
        <f>IF(OR(t&lt;Tnet,NoTnet),'2018'!Resal_s+('2018'!Salim-'2018'!Resal_s)*(1-EXP(('2018'!Tnet_s-t)/'2018'!Tau_j)),Resal_s+(Salim-Resal_s)*(1-EXP((Tnet_s-t)/Tau_j)))*Salcycl</f>
        <v>1.5403652392645253E-2</v>
      </c>
      <c r="AD80" s="231">
        <f>(INDEX(Models!$BJ80:$BT80,,AH80)*(1-AF80)+INDEX(Models!$BJ80:$BT80,,AH80+1)*AF80-ERP_i)*AE80*Ramure*Pc/MaxiM</f>
        <v>1.0111531148933894E-5</v>
      </c>
      <c r="AE80" s="305">
        <f t="shared" si="38"/>
        <v>0.5</v>
      </c>
      <c r="AF80" s="177">
        <f t="shared" si="39"/>
        <v>0.50659033769601636</v>
      </c>
      <c r="AG80" s="176">
        <f t="shared" si="40"/>
        <v>-2</v>
      </c>
      <c r="AH80" s="176">
        <f t="shared" si="41"/>
        <v>4</v>
      </c>
      <c r="AI80" s="225">
        <f t="shared" si="42"/>
        <v>-1.4934096623039836</v>
      </c>
      <c r="AJ80" s="265" t="b">
        <f t="shared" si="43"/>
        <v>0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7">
        <v>21.78</v>
      </c>
      <c r="C81" s="390"/>
      <c r="D81" s="393">
        <f t="shared" si="24"/>
        <v>21.910622910516935</v>
      </c>
      <c r="E81" s="385">
        <f t="shared" si="46"/>
        <v>22.254539180999735</v>
      </c>
      <c r="F81" s="385">
        <f t="shared" si="25"/>
        <v>22.254587571013801</v>
      </c>
      <c r="G81" s="110">
        <f t="shared" si="47"/>
        <v>0.4779316643483702</v>
      </c>
      <c r="H81" s="414" t="b">
        <f>Wh_hp&gt;='2018'!Maxi_hp</f>
        <v>1</v>
      </c>
      <c r="I81" s="390">
        <f>IF(H81,Wh_hp,'2018'!Maxi_hp)</f>
        <v>22.254587571013801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5.9616246900144887E-3</v>
      </c>
      <c r="M81" s="845"/>
      <c r="N81" s="845"/>
      <c r="O81" s="48">
        <f>IF(t&lt;Tnet,'2018'!Resal+('2018'!Salim-'2018'!Resal)*(1-EXP(('2018'!Tnet-t)/('2018'!Tau_j))),Resal+(Salim-Resal)*(1-EXP((Tnet-t)/(Tau_j))))*Salcycl</f>
        <v>1.5453758340519895E-2</v>
      </c>
      <c r="P81" s="169">
        <f>(INDEX(Models!$BJ81:$BT81,,T81)*(1-R81)+INDEX(Models!$BJ81:$BT81,,T81+1)*R81-ERP_i)*Q81*Ramure*Pc/MaxiM</f>
        <v>8.5540848716842009E-6</v>
      </c>
      <c r="Q81" s="305">
        <f t="shared" si="27"/>
        <v>0.5</v>
      </c>
      <c r="R81" s="177">
        <f t="shared" si="28"/>
        <v>0.5069970075242265</v>
      </c>
      <c r="S81" s="811">
        <f t="shared" si="29"/>
        <v>-2</v>
      </c>
      <c r="T81" s="176">
        <f t="shared" si="30"/>
        <v>4</v>
      </c>
      <c r="U81" s="251">
        <f t="shared" si="31"/>
        <v>-1.4930029924757735</v>
      </c>
      <c r="V81" s="383">
        <f t="shared" si="32"/>
        <v>45.571077780551299</v>
      </c>
      <c r="W81" s="58"/>
      <c r="X81" s="157">
        <f t="shared" si="33"/>
        <v>43532</v>
      </c>
      <c r="Y81" s="385">
        <f t="shared" si="34"/>
        <v>21.78</v>
      </c>
      <c r="Z81" s="385">
        <f t="shared" si="35"/>
        <v>21.910622910516935</v>
      </c>
      <c r="AA81" s="386">
        <f t="shared" si="36"/>
        <v>22.254539180999735</v>
      </c>
      <c r="AB81" s="197">
        <f t="shared" si="37"/>
        <v>43532</v>
      </c>
      <c r="AC81" s="426">
        <f>IF(OR(t&lt;Tnet,NoTnet),'2018'!Resal_s+('2018'!Salim-'2018'!Resal_s)*(1-EXP(('2018'!Tnet_s-t)/'2018'!Tau_j)),Resal_s+(Salim-Resal_s)*(1-EXP((Tnet_s-t)/Tau_j)))*Salcycl</f>
        <v>1.5453758340519895E-2</v>
      </c>
      <c r="AD81" s="231">
        <f>(INDEX(Models!$BJ81:$BT81,,AH81)*(1-AF81)+INDEX(Models!$BJ81:$BT81,,AH81+1)*AF81-ERP_i)*AE81*Ramure*Pc/MaxiM</f>
        <v>8.5540848716842009E-6</v>
      </c>
      <c r="AE81" s="305">
        <f t="shared" si="38"/>
        <v>0.5</v>
      </c>
      <c r="AF81" s="177">
        <f t="shared" si="39"/>
        <v>0.5069970075242265</v>
      </c>
      <c r="AG81" s="176">
        <f t="shared" si="40"/>
        <v>-2</v>
      </c>
      <c r="AH81" s="176">
        <f t="shared" si="41"/>
        <v>4</v>
      </c>
      <c r="AI81" s="225">
        <f t="shared" si="42"/>
        <v>-1.4930029924757735</v>
      </c>
      <c r="AJ81" s="265" t="b">
        <f t="shared" si="43"/>
        <v>0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7">
        <v>20.241</v>
      </c>
      <c r="C82" s="390"/>
      <c r="D82" s="393">
        <f t="shared" si="24"/>
        <v>20.362838942958561</v>
      </c>
      <c r="E82" s="385">
        <f t="shared" si="46"/>
        <v>20.683512784195656</v>
      </c>
      <c r="F82" s="385">
        <f t="shared" si="25"/>
        <v>20.683542582207345</v>
      </c>
      <c r="G82" s="110">
        <f t="shared" si="47"/>
        <v>0.44071959947023759</v>
      </c>
      <c r="H82" s="414" t="b">
        <f>Wh_hp&gt;='2018'!Maxi_hp</f>
        <v>1</v>
      </c>
      <c r="I82" s="390">
        <f>IF(H82,Wh_hp,'2018'!Maxi_hp)</f>
        <v>20.683542582207345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5.983396681566E-3</v>
      </c>
      <c r="M82" s="845"/>
      <c r="N82" s="845"/>
      <c r="O82" s="48">
        <f>IF(t&lt;Tnet,'2018'!Resal+('2018'!Salim-'2018'!Resal)*(1-EXP(('2018'!Tnet-t)/('2018'!Tau_j))),Resal+(Salim-Resal)*(1-EXP((Tnet-t)/(Tau_j))))*Salcycl</f>
        <v>1.5503838471873251E-2</v>
      </c>
      <c r="P82" s="169">
        <f>(INDEX(Models!$BJ82:$BT82,,T82)*(1-R82)+INDEX(Models!$BJ82:$BT82,,T82+1)*R82-ERP_i)*Q82*Ramure*Pc/MaxiM</f>
        <v>7.1663501361089006E-6</v>
      </c>
      <c r="Q82" s="305">
        <f t="shared" si="27"/>
        <v>0.5</v>
      </c>
      <c r="R82" s="177">
        <f t="shared" si="28"/>
        <v>0.50742002190581337</v>
      </c>
      <c r="S82" s="811">
        <f t="shared" si="29"/>
        <v>-2</v>
      </c>
      <c r="T82" s="176">
        <f t="shared" si="30"/>
        <v>4</v>
      </c>
      <c r="U82" s="251">
        <f t="shared" si="31"/>
        <v>-1.4925799780941866</v>
      </c>
      <c r="V82" s="383">
        <f t="shared" si="32"/>
        <v>45.926898033414666</v>
      </c>
      <c r="W82" s="58"/>
      <c r="X82" s="157">
        <f t="shared" si="33"/>
        <v>43533</v>
      </c>
      <c r="Y82" s="385">
        <f t="shared" si="34"/>
        <v>20.241</v>
      </c>
      <c r="Z82" s="385">
        <f t="shared" si="35"/>
        <v>20.362838942958561</v>
      </c>
      <c r="AA82" s="386">
        <f t="shared" si="36"/>
        <v>20.683512784195656</v>
      </c>
      <c r="AB82" s="197">
        <f t="shared" si="37"/>
        <v>43533</v>
      </c>
      <c r="AC82" s="426">
        <f>IF(OR(t&lt;Tnet,NoTnet),'2018'!Resal_s+('2018'!Salim-'2018'!Resal_s)*(1-EXP(('2018'!Tnet_s-t)/'2018'!Tau_j)),Resal_s+(Salim-Resal_s)*(1-EXP((Tnet_s-t)/Tau_j)))*Salcycl</f>
        <v>1.5503838471873251E-2</v>
      </c>
      <c r="AD82" s="231">
        <f>(INDEX(Models!$BJ82:$BT82,,AH82)*(1-AF82)+INDEX(Models!$BJ82:$BT82,,AH82+1)*AF82-ERP_i)*AE82*Ramure*Pc/MaxiM</f>
        <v>7.1663501361089006E-6</v>
      </c>
      <c r="AE82" s="305">
        <f t="shared" si="38"/>
        <v>0.5</v>
      </c>
      <c r="AF82" s="177">
        <f t="shared" si="39"/>
        <v>0.50742002190581337</v>
      </c>
      <c r="AG82" s="176">
        <f t="shared" si="40"/>
        <v>-2</v>
      </c>
      <c r="AH82" s="176">
        <f t="shared" si="41"/>
        <v>4</v>
      </c>
      <c r="AI82" s="225">
        <f t="shared" si="42"/>
        <v>-1.4925799780941866</v>
      </c>
      <c r="AJ82" s="265" t="b">
        <f t="shared" si="43"/>
        <v>0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7">
        <v>14.359</v>
      </c>
      <c r="C83" s="390"/>
      <c r="D83" s="393">
        <f t="shared" si="24"/>
        <v>14.445749153386998</v>
      </c>
      <c r="E83" s="385">
        <f t="shared" si="46"/>
        <v>14.673986831340775</v>
      </c>
      <c r="F83" s="385">
        <f t="shared" si="25"/>
        <v>14.673988108039195</v>
      </c>
      <c r="G83" s="110">
        <f t="shared" si="47"/>
        <v>0.31024302159024342</v>
      </c>
      <c r="H83" s="414" t="b">
        <f>Wh_hp&gt;='2018'!Maxi_hp</f>
        <v>1</v>
      </c>
      <c r="I83" s="390">
        <f>IF(H83,Wh_hp,'2018'!Maxi_hp)</f>
        <v>14.673988108039195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6.0051681962550729E-3</v>
      </c>
      <c r="M83" s="845"/>
      <c r="N83" s="845"/>
      <c r="O83" s="48">
        <f>IF(t&lt;Tnet,'2018'!Resal+('2018'!Salim-'2018'!Resal)*(1-EXP(('2018'!Tnet-t)/('2018'!Tau_j))),Resal+(Salim-Resal)*(1-EXP((Tnet-t)/(Tau_j))))*Salcycl</f>
        <v>1.5553896877316623E-2</v>
      </c>
      <c r="P83" s="169">
        <f>(INDEX(Models!$BJ83:$BT83,,T83)*(1-R83)+INDEX(Models!$BJ83:$BT83,,T83+1)*R83-ERP_i)*Q83*Ramure*Pc/MaxiM</f>
        <v>5.9447427143377397E-6</v>
      </c>
      <c r="Q83" s="305">
        <f t="shared" si="27"/>
        <v>0.5</v>
      </c>
      <c r="R83" s="177">
        <f t="shared" si="28"/>
        <v>0.50786000719714997</v>
      </c>
      <c r="S83" s="811">
        <f t="shared" si="29"/>
        <v>-2</v>
      </c>
      <c r="T83" s="176">
        <f t="shared" si="30"/>
        <v>4</v>
      </c>
      <c r="U83" s="251">
        <f t="shared" si="31"/>
        <v>-1.49213999280285</v>
      </c>
      <c r="V83" s="383">
        <f t="shared" si="32"/>
        <v>46.282800544954284</v>
      </c>
      <c r="W83" s="58"/>
      <c r="X83" s="157">
        <f t="shared" si="33"/>
        <v>43534</v>
      </c>
      <c r="Y83" s="385">
        <f t="shared" si="34"/>
        <v>14.359</v>
      </c>
      <c r="Z83" s="385">
        <f t="shared" si="35"/>
        <v>14.445749153386998</v>
      </c>
      <c r="AA83" s="386">
        <f t="shared" si="36"/>
        <v>14.673986831340775</v>
      </c>
      <c r="AB83" s="197">
        <f t="shared" si="37"/>
        <v>43534</v>
      </c>
      <c r="AC83" s="426">
        <f>IF(OR(t&lt;Tnet,NoTnet),'2018'!Resal_s+('2018'!Salim-'2018'!Resal_s)*(1-EXP(('2018'!Tnet_s-t)/'2018'!Tau_j)),Resal_s+(Salim-Resal_s)*(1-EXP((Tnet_s-t)/Tau_j)))*Salcycl</f>
        <v>1.5553896877316623E-2</v>
      </c>
      <c r="AD83" s="231">
        <f>(INDEX(Models!$BJ83:$BT83,,AH83)*(1-AF83)+INDEX(Models!$BJ83:$BT83,,AH83+1)*AF83-ERP_i)*AE83*Ramure*Pc/MaxiM</f>
        <v>5.9447427143377397E-6</v>
      </c>
      <c r="AE83" s="305">
        <f t="shared" si="38"/>
        <v>0.5</v>
      </c>
      <c r="AF83" s="177">
        <f t="shared" si="39"/>
        <v>0.50786000719714997</v>
      </c>
      <c r="AG83" s="176">
        <f t="shared" si="40"/>
        <v>-2</v>
      </c>
      <c r="AH83" s="176">
        <f t="shared" si="41"/>
        <v>4</v>
      </c>
      <c r="AI83" s="225">
        <f t="shared" si="42"/>
        <v>-1.49213999280285</v>
      </c>
      <c r="AJ83" s="265" t="b">
        <f t="shared" si="43"/>
        <v>0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7">
        <v>28.312000000000001</v>
      </c>
      <c r="C84" s="390"/>
      <c r="D84" s="393">
        <f t="shared" si="24"/>
        <v>28.483669344302079</v>
      </c>
      <c r="E84" s="385">
        <f t="shared" si="46"/>
        <v>28.935171972523491</v>
      </c>
      <c r="F84" s="385">
        <f t="shared" si="25"/>
        <v>28.935233984298943</v>
      </c>
      <c r="G84" s="110">
        <f t="shared" si="47"/>
        <v>0.60704947257575315</v>
      </c>
      <c r="H84" s="414" t="b">
        <f>Wh_hp&gt;='2018'!Maxi_hp</f>
        <v>1</v>
      </c>
      <c r="I84" s="390">
        <f>IF(H84,Wh_hp,'2018'!Maxi_hp)</f>
        <v>28.935233984298943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6.0269392340920325E-3</v>
      </c>
      <c r="M84" s="845"/>
      <c r="N84" s="845"/>
      <c r="O84" s="48">
        <f>IF(t&lt;Tnet,'2018'!Resal+('2018'!Salim-'2018'!Resal)*(1-EXP(('2018'!Tnet-t)/('2018'!Tau_j))),Resal+(Salim-Resal)*(1-EXP((Tnet-t)/(Tau_j))))*Salcycl</f>
        <v>1.5603937956551774E-2</v>
      </c>
      <c r="P84" s="169">
        <f>(INDEX(Models!$BJ84:$BT84,,T84)*(1-R84)+INDEX(Models!$BJ84:$BT84,,T84+1)*R84-ERP_i)*Q84*Ramure*Pc/MaxiM</f>
        <v>4.8857866276961287E-6</v>
      </c>
      <c r="Q84" s="305">
        <f t="shared" si="27"/>
        <v>0.5</v>
      </c>
      <c r="R84" s="177">
        <f t="shared" si="28"/>
        <v>0.50831761120481489</v>
      </c>
      <c r="S84" s="811">
        <f t="shared" si="29"/>
        <v>-2</v>
      </c>
      <c r="T84" s="176">
        <f t="shared" si="30"/>
        <v>4</v>
      </c>
      <c r="U84" s="251">
        <f t="shared" si="31"/>
        <v>-1.4916823887951851</v>
      </c>
      <c r="V84" s="383">
        <f t="shared" si="32"/>
        <v>46.638574990307255</v>
      </c>
      <c r="W84" s="58"/>
      <c r="X84" s="157">
        <f t="shared" si="33"/>
        <v>43535</v>
      </c>
      <c r="Y84" s="385">
        <f t="shared" si="34"/>
        <v>28.312000000000001</v>
      </c>
      <c r="Z84" s="385">
        <f t="shared" si="35"/>
        <v>28.483669344302079</v>
      </c>
      <c r="AA84" s="386">
        <f t="shared" si="36"/>
        <v>28.935171972523491</v>
      </c>
      <c r="AB84" s="197">
        <f t="shared" si="37"/>
        <v>43535</v>
      </c>
      <c r="AC84" s="426">
        <f>IF(OR(t&lt;Tnet,NoTnet),'2018'!Resal_s+('2018'!Salim-'2018'!Resal_s)*(1-EXP(('2018'!Tnet_s-t)/'2018'!Tau_j)),Resal_s+(Salim-Resal_s)*(1-EXP((Tnet_s-t)/Tau_j)))*Salcycl</f>
        <v>1.5603937956551774E-2</v>
      </c>
      <c r="AD84" s="231">
        <f>(INDEX(Models!$BJ84:$BT84,,AH84)*(1-AF84)+INDEX(Models!$BJ84:$BT84,,AH84+1)*AF84-ERP_i)*AE84*Ramure*Pc/MaxiM</f>
        <v>4.8857866276961287E-6</v>
      </c>
      <c r="AE84" s="305">
        <f t="shared" si="38"/>
        <v>0.5</v>
      </c>
      <c r="AF84" s="177">
        <f t="shared" si="39"/>
        <v>0.50831761120481489</v>
      </c>
      <c r="AG84" s="176">
        <f t="shared" si="40"/>
        <v>-2</v>
      </c>
      <c r="AH84" s="176">
        <f t="shared" si="41"/>
        <v>4</v>
      </c>
      <c r="AI84" s="225">
        <f t="shared" si="42"/>
        <v>-1.4916823887951851</v>
      </c>
      <c r="AJ84" s="265" t="b">
        <f t="shared" si="43"/>
        <v>0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7">
        <v>41.38</v>
      </c>
      <c r="C85" s="390"/>
      <c r="D85" s="393">
        <f t="shared" si="24"/>
        <v>41.631818790103004</v>
      </c>
      <c r="E85" s="385">
        <f t="shared" si="46"/>
        <v>42.293885858628414</v>
      </c>
      <c r="F85" s="385">
        <f t="shared" si="25"/>
        <v>42.294025676295831</v>
      </c>
      <c r="G85" s="110">
        <f t="shared" si="47"/>
        <v>0.8805371343264341</v>
      </c>
      <c r="H85" s="414" t="b">
        <f>Wh_hp&gt;='2018'!Maxi_hp</f>
        <v>1</v>
      </c>
      <c r="I85" s="390">
        <f>IF(H85,Wh_hp,'2018'!Maxi_hp)</f>
        <v>42.294025676295831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6.0487097950874258E-3</v>
      </c>
      <c r="M85" s="845"/>
      <c r="N85" s="845"/>
      <c r="O85" s="48">
        <f>IF(t&lt;Tnet,'2018'!Resal+('2018'!Salim-'2018'!Resal)*(1-EXP(('2018'!Tnet-t)/('2018'!Tau_j))),Resal+(Salim-Resal)*(1-EXP((Tnet-t)/(Tau_j))))*Salcycl</f>
        <v>1.565396640872482E-2</v>
      </c>
      <c r="P85" s="169">
        <f>(INDEX(Models!$BJ85:$BT85,,T85)*(1-R85)+INDEX(Models!$BJ85:$BT85,,T85+1)*R85-ERP_i)*Q85*Ramure*Pc/MaxiM</f>
        <v>3.9861222600083726E-6</v>
      </c>
      <c r="Q85" s="305">
        <f t="shared" si="27"/>
        <v>0.5</v>
      </c>
      <c r="R85" s="177">
        <f t="shared" si="28"/>
        <v>0.5087935037041702</v>
      </c>
      <c r="S85" s="811">
        <f t="shared" si="29"/>
        <v>-2</v>
      </c>
      <c r="T85" s="176">
        <f t="shared" si="30"/>
        <v>4</v>
      </c>
      <c r="U85" s="251">
        <f t="shared" si="31"/>
        <v>-1.4912064962958298</v>
      </c>
      <c r="V85" s="383">
        <f t="shared" si="32"/>
        <v>46.99401108376631</v>
      </c>
      <c r="W85" s="58"/>
      <c r="X85" s="157">
        <f t="shared" si="33"/>
        <v>43536</v>
      </c>
      <c r="Y85" s="385">
        <f t="shared" si="34"/>
        <v>41.38</v>
      </c>
      <c r="Z85" s="385">
        <f t="shared" si="35"/>
        <v>41.631818790103004</v>
      </c>
      <c r="AA85" s="386">
        <f t="shared" si="36"/>
        <v>42.293885858628414</v>
      </c>
      <c r="AB85" s="197">
        <f t="shared" si="37"/>
        <v>43536</v>
      </c>
      <c r="AC85" s="426">
        <f>IF(OR(t&lt;Tnet,NoTnet),'2018'!Resal_s+('2018'!Salim-'2018'!Resal_s)*(1-EXP(('2018'!Tnet_s-t)/'2018'!Tau_j)),Resal_s+(Salim-Resal_s)*(1-EXP((Tnet_s-t)/Tau_j)))*Salcycl</f>
        <v>1.565396640872482E-2</v>
      </c>
      <c r="AD85" s="231">
        <f>(INDEX(Models!$BJ85:$BT85,,AH85)*(1-AF85)+INDEX(Models!$BJ85:$BT85,,AH85+1)*AF85-ERP_i)*AE85*Ramure*Pc/MaxiM</f>
        <v>3.9861222600083726E-6</v>
      </c>
      <c r="AE85" s="305">
        <f t="shared" si="38"/>
        <v>0.5</v>
      </c>
      <c r="AF85" s="177">
        <f t="shared" si="39"/>
        <v>0.5087935037041702</v>
      </c>
      <c r="AG85" s="176">
        <f t="shared" si="40"/>
        <v>-2</v>
      </c>
      <c r="AH85" s="176">
        <f t="shared" si="41"/>
        <v>4</v>
      </c>
      <c r="AI85" s="225">
        <f t="shared" si="42"/>
        <v>-1.4912064962958298</v>
      </c>
      <c r="AJ85" s="265" t="b">
        <f t="shared" si="43"/>
        <v>0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7">
        <v>27.576000000000001</v>
      </c>
      <c r="C86" s="390"/>
      <c r="D86" s="393">
        <f t="shared" si="24"/>
        <v>27.744421955240757</v>
      </c>
      <c r="E86" s="385">
        <f t="shared" si="46"/>
        <v>28.187071363741797</v>
      </c>
      <c r="F86" s="385">
        <f t="shared" si="25"/>
        <v>28.187108214483022</v>
      </c>
      <c r="G86" s="110">
        <f t="shared" si="47"/>
        <v>0.5823989039699996</v>
      </c>
      <c r="H86" s="414" t="b">
        <f>Wh_hp&gt;='2018'!Maxi_hp</f>
        <v>1</v>
      </c>
      <c r="I86" s="390">
        <f>IF(H86,Wh_hp,'2018'!Maxi_hp)</f>
        <v>28.187108214483022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6.070479879251689E-3</v>
      </c>
      <c r="M86" s="845"/>
      <c r="N86" s="845"/>
      <c r="O86" s="48">
        <f>IF(t&lt;Tnet,'2018'!Resal+('2018'!Salim-'2018'!Resal)*(1-EXP(('2018'!Tnet-t)/('2018'!Tau_j))),Resal+(Salim-Resal)*(1-EXP((Tnet-t)/(Tau_j))))*Salcycl</f>
        <v>1.5703987221263427E-2</v>
      </c>
      <c r="P86" s="169">
        <f>(INDEX(Models!$BJ86:$BT86,,T86)*(1-R86)+INDEX(Models!$BJ86:$BT86,,T86+1)*R86-ERP_i)*Q86*Ramure*Pc/MaxiM</f>
        <v>3.240626705505348E-6</v>
      </c>
      <c r="Q86" s="305">
        <f t="shared" si="27"/>
        <v>0.5</v>
      </c>
      <c r="R86" s="177">
        <f t="shared" si="28"/>
        <v>0.50928837695101592</v>
      </c>
      <c r="S86" s="811">
        <f t="shared" si="29"/>
        <v>-2</v>
      </c>
      <c r="T86" s="176">
        <f t="shared" si="30"/>
        <v>4</v>
      </c>
      <c r="U86" s="251">
        <f t="shared" si="31"/>
        <v>-1.4907116230489841</v>
      </c>
      <c r="V86" s="383">
        <f t="shared" si="32"/>
        <v>47.348898667622834</v>
      </c>
      <c r="W86" s="58"/>
      <c r="X86" s="157">
        <f t="shared" si="33"/>
        <v>43537</v>
      </c>
      <c r="Y86" s="385">
        <f t="shared" si="34"/>
        <v>27.576000000000001</v>
      </c>
      <c r="Z86" s="385">
        <f t="shared" si="35"/>
        <v>27.744421955240757</v>
      </c>
      <c r="AA86" s="386">
        <f t="shared" si="36"/>
        <v>28.187071363741797</v>
      </c>
      <c r="AB86" s="197">
        <f t="shared" si="37"/>
        <v>43537</v>
      </c>
      <c r="AC86" s="426">
        <f>IF(OR(t&lt;Tnet,NoTnet),'2018'!Resal_s+('2018'!Salim-'2018'!Resal_s)*(1-EXP(('2018'!Tnet_s-t)/'2018'!Tau_j)),Resal_s+(Salim-Resal_s)*(1-EXP((Tnet_s-t)/Tau_j)))*Salcycl</f>
        <v>1.5703987221263427E-2</v>
      </c>
      <c r="AD86" s="231">
        <f>(INDEX(Models!$BJ86:$BT86,,AH86)*(1-AF86)+INDEX(Models!$BJ86:$BT86,,AH86+1)*AF86-ERP_i)*AE86*Ramure*Pc/MaxiM</f>
        <v>3.240626705505348E-6</v>
      </c>
      <c r="AE86" s="305">
        <f t="shared" si="38"/>
        <v>0.5</v>
      </c>
      <c r="AF86" s="177">
        <f t="shared" si="39"/>
        <v>0.50928837695101592</v>
      </c>
      <c r="AG86" s="176">
        <f t="shared" si="40"/>
        <v>-2</v>
      </c>
      <c r="AH86" s="176">
        <f t="shared" si="41"/>
        <v>4</v>
      </c>
      <c r="AI86" s="225">
        <f t="shared" si="42"/>
        <v>-1.4907116230489841</v>
      </c>
      <c r="AJ86" s="265" t="b">
        <f t="shared" si="43"/>
        <v>0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7">
        <v>24.748999999999999</v>
      </c>
      <c r="C87" s="390"/>
      <c r="D87" s="393">
        <f t="shared" si="24"/>
        <v>24.900701284617067</v>
      </c>
      <c r="E87" s="385">
        <f t="shared" si="46"/>
        <v>25.299266065336599</v>
      </c>
      <c r="F87" s="385">
        <f t="shared" si="25"/>
        <v>25.299286537732993</v>
      </c>
      <c r="G87" s="110">
        <f t="shared" si="47"/>
        <v>0.51881307780750174</v>
      </c>
      <c r="H87" s="414" t="b">
        <f>Wh_hp&gt;='2018'!Maxi_hp</f>
        <v>1</v>
      </c>
      <c r="I87" s="390">
        <f>IF(H87,Wh_hp,'2018'!Maxi_hp)</f>
        <v>25.299286537732993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6.0922494865951471E-3</v>
      </c>
      <c r="M87" s="845"/>
      <c r="N87" s="845"/>
      <c r="O87" s="48">
        <f>IF(t&lt;Tnet,'2018'!Resal+('2018'!Salim-'2018'!Resal)*(1-EXP(('2018'!Tnet-t)/('2018'!Tau_j))),Resal+(Salim-Resal)*(1-EXP((Tnet-t)/(Tau_j))))*Salcycl</f>
        <v>1.575400565732684E-2</v>
      </c>
      <c r="P87" s="169">
        <f>(INDEX(Models!$BJ87:$BT87,,T87)*(1-R87)+INDEX(Models!$BJ87:$BT87,,T87+1)*R87-ERP_i)*Q87*Ramure*Pc/MaxiM</f>
        <v>2.5887096387289061E-6</v>
      </c>
      <c r="Q87" s="305">
        <f t="shared" si="27"/>
        <v>0.5</v>
      </c>
      <c r="R87" s="177">
        <f t="shared" si="28"/>
        <v>0.50980294618405364</v>
      </c>
      <c r="S87" s="811">
        <f t="shared" si="29"/>
        <v>-2</v>
      </c>
      <c r="T87" s="176">
        <f t="shared" si="30"/>
        <v>4</v>
      </c>
      <c r="U87" s="251">
        <f t="shared" si="31"/>
        <v>-1.4901970538159464</v>
      </c>
      <c r="V87" s="383">
        <f t="shared" si="32"/>
        <v>47.703030277644899</v>
      </c>
      <c r="W87" s="58"/>
      <c r="X87" s="157">
        <f t="shared" si="33"/>
        <v>43538</v>
      </c>
      <c r="Y87" s="385">
        <f t="shared" si="34"/>
        <v>24.748999999999999</v>
      </c>
      <c r="Z87" s="385">
        <f t="shared" si="35"/>
        <v>24.900701284617067</v>
      </c>
      <c r="AA87" s="386">
        <f t="shared" si="36"/>
        <v>25.299266065336599</v>
      </c>
      <c r="AB87" s="197">
        <f t="shared" si="37"/>
        <v>43538</v>
      </c>
      <c r="AC87" s="426">
        <f>IF(OR(t&lt;Tnet,NoTnet),'2018'!Resal_s+('2018'!Salim-'2018'!Resal_s)*(1-EXP(('2018'!Tnet_s-t)/'2018'!Tau_j)),Resal_s+(Salim-Resal_s)*(1-EXP((Tnet_s-t)/Tau_j)))*Salcycl</f>
        <v>1.575400565732684E-2</v>
      </c>
      <c r="AD87" s="231">
        <f>(INDEX(Models!$BJ87:$BT87,,AH87)*(1-AF87)+INDEX(Models!$BJ87:$BT87,,AH87+1)*AF87-ERP_i)*AE87*Ramure*Pc/MaxiM</f>
        <v>2.5887096387289061E-6</v>
      </c>
      <c r="AE87" s="305">
        <f t="shared" si="38"/>
        <v>0.5</v>
      </c>
      <c r="AF87" s="177">
        <f t="shared" si="39"/>
        <v>0.50980294618405364</v>
      </c>
      <c r="AG87" s="176">
        <f t="shared" si="40"/>
        <v>-2</v>
      </c>
      <c r="AH87" s="176">
        <f t="shared" si="41"/>
        <v>4</v>
      </c>
      <c r="AI87" s="225">
        <f t="shared" si="42"/>
        <v>-1.4901970538159464</v>
      </c>
      <c r="AJ87" s="265" t="b">
        <f t="shared" si="43"/>
        <v>0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7">
        <v>13.045999999999999</v>
      </c>
      <c r="C88" s="390"/>
      <c r="D88" s="393">
        <f t="shared" si="24"/>
        <v>13.126254162321594</v>
      </c>
      <c r="E88" s="385">
        <f t="shared" si="46"/>
        <v>13.337032995103749</v>
      </c>
      <c r="F88" s="385">
        <f t="shared" si="25"/>
        <v>13.337032995103749</v>
      </c>
      <c r="G88" s="110">
        <f t="shared" si="47"/>
        <v>0.27147328937227377</v>
      </c>
      <c r="H88" s="414" t="b">
        <f>Wh_hp&gt;='2018'!Maxi_hp</f>
        <v>1</v>
      </c>
      <c r="I88" s="390">
        <f>IF(H88,Wh_hp,'2018'!Maxi_hp)</f>
        <v>13.337032995103749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6.1140186171284583E-3</v>
      </c>
      <c r="M88" s="845"/>
      <c r="N88" s="845"/>
      <c r="O88" s="48">
        <f>IF(t&lt;Tnet,'2018'!Resal+('2018'!Salim-'2018'!Resal)*(1-EXP(('2018'!Tnet-t)/('2018'!Tau_j))),Resal+(Salim-Resal)*(1-EXP((Tnet-t)/(Tau_j))))*Salcycl</f>
        <v>1.5804027242006285E-2</v>
      </c>
      <c r="P88" s="169">
        <f>(INDEX(Models!$BJ88:$BT88,,T88)*(1-R88)+INDEX(Models!$BJ88:$BT88,,T88+1)*R88-ERP_i)*Q88*Ramure*Pc/MaxiM</f>
        <v>2.0284793388535445E-6</v>
      </c>
      <c r="Q88" s="305">
        <f t="shared" si="27"/>
        <v>0.5</v>
      </c>
      <c r="R88" s="177">
        <f t="shared" si="28"/>
        <v>0.51033795011568528</v>
      </c>
      <c r="S88" s="811">
        <f t="shared" si="29"/>
        <v>-2</v>
      </c>
      <c r="T88" s="176">
        <f t="shared" si="30"/>
        <v>4</v>
      </c>
      <c r="U88" s="251">
        <f t="shared" si="31"/>
        <v>-1.4896620498843147</v>
      </c>
      <c r="V88" s="383">
        <f t="shared" si="32"/>
        <v>48.056195755481802</v>
      </c>
      <c r="W88" s="58"/>
      <c r="X88" s="157">
        <f t="shared" si="33"/>
        <v>43539</v>
      </c>
      <c r="Y88" s="385">
        <f t="shared" si="34"/>
        <v>13.045999999999999</v>
      </c>
      <c r="Z88" s="385">
        <f t="shared" si="35"/>
        <v>13.126254162321594</v>
      </c>
      <c r="AA88" s="386">
        <f t="shared" si="36"/>
        <v>13.337032995103749</v>
      </c>
      <c r="AB88" s="197">
        <f t="shared" si="37"/>
        <v>43539</v>
      </c>
      <c r="AC88" s="426">
        <f>IF(OR(t&lt;Tnet,NoTnet),'2018'!Resal_s+('2018'!Salim-'2018'!Resal_s)*(1-EXP(('2018'!Tnet_s-t)/'2018'!Tau_j)),Resal_s+(Salim-Resal_s)*(1-EXP((Tnet_s-t)/Tau_j)))*Salcycl</f>
        <v>1.5804027242006285E-2</v>
      </c>
      <c r="AD88" s="231">
        <f>(INDEX(Models!$BJ88:$BT88,,AH88)*(1-AF88)+INDEX(Models!$BJ88:$BT88,,AH88+1)*AF88-ERP_i)*AE88*Ramure*Pc/MaxiM</f>
        <v>2.0284793388535445E-6</v>
      </c>
      <c r="AE88" s="305">
        <f t="shared" si="38"/>
        <v>0.5</v>
      </c>
      <c r="AF88" s="177">
        <f t="shared" si="39"/>
        <v>0.51033795011568528</v>
      </c>
      <c r="AG88" s="176">
        <f t="shared" si="40"/>
        <v>-2</v>
      </c>
      <c r="AH88" s="176">
        <f t="shared" si="41"/>
        <v>4</v>
      </c>
      <c r="AI88" s="225">
        <f t="shared" si="42"/>
        <v>-1.4896620498843147</v>
      </c>
      <c r="AJ88" s="265" t="b">
        <f t="shared" si="43"/>
        <v>0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7">
        <v>47.389000000000003</v>
      </c>
      <c r="C89" s="390"/>
      <c r="D89" s="393">
        <f t="shared" si="24"/>
        <v>47.681563933035108</v>
      </c>
      <c r="E89" s="385">
        <f t="shared" si="46"/>
        <v>48.449688085791678</v>
      </c>
      <c r="F89" s="385">
        <f t="shared" si="25"/>
        <v>48.449761306005662</v>
      </c>
      <c r="G89" s="110">
        <f t="shared" si="47"/>
        <v>0.97894597362577496</v>
      </c>
      <c r="H89" s="414" t="b">
        <f>Wh_hp&gt;='2018'!Maxi_hp</f>
        <v>1</v>
      </c>
      <c r="I89" s="390">
        <f>IF(H89,Wh_hp,'2018'!Maxi_hp)</f>
        <v>48.449761306005662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6.1357872708618366E-3</v>
      </c>
      <c r="M89" s="845"/>
      <c r="N89" s="845"/>
      <c r="O89" s="48">
        <f>IF(t&lt;Tnet,'2018'!Resal+('2018'!Salim-'2018'!Resal)*(1-EXP(('2018'!Tnet-t)/('2018'!Tau_j))),Resal+(Salim-Resal)*(1-EXP((Tnet-t)/(Tau_j))))*Salcycl</f>
        <v>1.5854057747418777E-2</v>
      </c>
      <c r="P89" s="169">
        <f>(INDEX(Models!$BJ89:$BT89,,T89)*(1-R89)+INDEX(Models!$BJ89:$BT89,,T89+1)*R89-ERP_i)*Q89*Ramure*Pc/MaxiM</f>
        <v>1.5581244605566065E-6</v>
      </c>
      <c r="Q89" s="305">
        <f t="shared" si="27"/>
        <v>0.5</v>
      </c>
      <c r="R89" s="177">
        <f t="shared" si="28"/>
        <v>0.51089415140845706</v>
      </c>
      <c r="S89" s="811">
        <f t="shared" si="29"/>
        <v>-2</v>
      </c>
      <c r="T89" s="176">
        <f t="shared" si="30"/>
        <v>4</v>
      </c>
      <c r="U89" s="251">
        <f t="shared" si="31"/>
        <v>-1.4891058485915429</v>
      </c>
      <c r="V89" s="383">
        <f t="shared" si="32"/>
        <v>48.408184982514051</v>
      </c>
      <c r="W89" s="58"/>
      <c r="X89" s="157">
        <f t="shared" si="33"/>
        <v>43540</v>
      </c>
      <c r="Y89" s="385">
        <f t="shared" si="34"/>
        <v>47.389000000000003</v>
      </c>
      <c r="Z89" s="385">
        <f t="shared" si="35"/>
        <v>47.681563933035108</v>
      </c>
      <c r="AA89" s="386">
        <f t="shared" si="36"/>
        <v>48.449688085791678</v>
      </c>
      <c r="AB89" s="197">
        <f t="shared" si="37"/>
        <v>43540</v>
      </c>
      <c r="AC89" s="426">
        <f>IF(OR(t&lt;Tnet,NoTnet),'2018'!Resal_s+('2018'!Salim-'2018'!Resal_s)*(1-EXP(('2018'!Tnet_s-t)/'2018'!Tau_j)),Resal_s+(Salim-Resal_s)*(1-EXP((Tnet_s-t)/Tau_j)))*Salcycl</f>
        <v>1.5854057747418777E-2</v>
      </c>
      <c r="AD89" s="231">
        <f>(INDEX(Models!$BJ89:$BT89,,AH89)*(1-AF89)+INDEX(Models!$BJ89:$BT89,,AH89+1)*AF89-ERP_i)*AE89*Ramure*Pc/MaxiM</f>
        <v>1.5581244605566065E-6</v>
      </c>
      <c r="AE89" s="305">
        <f t="shared" si="38"/>
        <v>0.5</v>
      </c>
      <c r="AF89" s="177">
        <f t="shared" si="39"/>
        <v>0.51089415140845706</v>
      </c>
      <c r="AG89" s="176">
        <f t="shared" si="40"/>
        <v>-2</v>
      </c>
      <c r="AH89" s="176">
        <f t="shared" si="41"/>
        <v>4</v>
      </c>
      <c r="AI89" s="225">
        <f t="shared" si="42"/>
        <v>-1.4891058485915429</v>
      </c>
      <c r="AJ89" s="265" t="b">
        <f t="shared" si="43"/>
        <v>0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7">
        <v>16.763999999999999</v>
      </c>
      <c r="C90" s="390"/>
      <c r="D90" s="393">
        <f t="shared" si="24"/>
        <v>16.867864812871346</v>
      </c>
      <c r="E90" s="385">
        <f t="shared" si="46"/>
        <v>17.140468593887945</v>
      </c>
      <c r="F90" s="385">
        <f t="shared" si="25"/>
        <v>17.140469855495425</v>
      </c>
      <c r="G90" s="110">
        <f t="shared" si="47"/>
        <v>0.34381456656011083</v>
      </c>
      <c r="H90" s="414" t="b">
        <f>Wh_hp&gt;='2018'!Maxi_hp</f>
        <v>1</v>
      </c>
      <c r="I90" s="390">
        <f>IF(H90,Wh_hp,'2018'!Maxi_hp)</f>
        <v>17.140469855495425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6.1575554478058292E-3</v>
      </c>
      <c r="M90" s="845"/>
      <c r="N90" s="845"/>
      <c r="O90" s="48">
        <f>IF(t&lt;Tnet,'2018'!Resal+('2018'!Salim-'2018'!Resal)*(1-EXP(('2018'!Tnet-t)/('2018'!Tau_j))),Resal+(Salim-Resal)*(1-EXP((Tnet-t)/(Tau_j))))*Salcycl</f>
        <v>1.5904103176841086E-2</v>
      </c>
      <c r="P90" s="169">
        <f>(INDEX(Models!$BJ90:$BT90,,T90)*(1-R90)+INDEX(Models!$BJ90:$BT90,,T90+1)*R90-ERP_i)*Q90*Ramure*Pc/MaxiM</f>
        <v>1.1759186972958167E-6</v>
      </c>
      <c r="Q90" s="305">
        <f t="shared" si="27"/>
        <v>0.5</v>
      </c>
      <c r="R90" s="177">
        <f t="shared" si="28"/>
        <v>0.51147233713422136</v>
      </c>
      <c r="S90" s="811">
        <f t="shared" si="29"/>
        <v>-2</v>
      </c>
      <c r="T90" s="176">
        <f t="shared" si="30"/>
        <v>4</v>
      </c>
      <c r="U90" s="251">
        <f t="shared" si="31"/>
        <v>-1.4885276628657786</v>
      </c>
      <c r="V90" s="383">
        <f t="shared" si="32"/>
        <v>48.758787879525315</v>
      </c>
      <c r="W90" s="58"/>
      <c r="X90" s="157">
        <f t="shared" si="33"/>
        <v>43541</v>
      </c>
      <c r="Y90" s="385">
        <f t="shared" si="34"/>
        <v>16.763999999999999</v>
      </c>
      <c r="Z90" s="385">
        <f t="shared" si="35"/>
        <v>16.867864812871346</v>
      </c>
      <c r="AA90" s="386">
        <f t="shared" si="36"/>
        <v>17.140468593887945</v>
      </c>
      <c r="AB90" s="197">
        <f t="shared" si="37"/>
        <v>43541</v>
      </c>
      <c r="AC90" s="426">
        <f>IF(OR(t&lt;Tnet,NoTnet),'2018'!Resal_s+('2018'!Salim-'2018'!Resal_s)*(1-EXP(('2018'!Tnet_s-t)/'2018'!Tau_j)),Resal_s+(Salim-Resal_s)*(1-EXP((Tnet_s-t)/Tau_j)))*Salcycl</f>
        <v>1.5904103176841086E-2</v>
      </c>
      <c r="AD90" s="231">
        <f>(INDEX(Models!$BJ90:$BT90,,AH90)*(1-AF90)+INDEX(Models!$BJ90:$BT90,,AH90+1)*AF90-ERP_i)*AE90*Ramure*Pc/MaxiM</f>
        <v>1.1759186972958167E-6</v>
      </c>
      <c r="AE90" s="305">
        <f t="shared" si="38"/>
        <v>0.5</v>
      </c>
      <c r="AF90" s="177">
        <f t="shared" si="39"/>
        <v>0.51147233713422136</v>
      </c>
      <c r="AG90" s="176">
        <f t="shared" si="40"/>
        <v>-2</v>
      </c>
      <c r="AH90" s="176">
        <f t="shared" si="41"/>
        <v>4</v>
      </c>
      <c r="AI90" s="225">
        <f t="shared" si="42"/>
        <v>-1.4885276628657786</v>
      </c>
      <c r="AJ90" s="265" t="b">
        <f t="shared" si="43"/>
        <v>0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7">
        <v>34.661000000000001</v>
      </c>
      <c r="C91" s="390"/>
      <c r="D91" s="393">
        <f t="shared" si="24"/>
        <v>34.876513245619172</v>
      </c>
      <c r="E91" s="385">
        <f t="shared" si="46"/>
        <v>35.441960296390803</v>
      </c>
      <c r="F91" s="385">
        <f t="shared" si="25"/>
        <v>35.441978382349127</v>
      </c>
      <c r="G91" s="110">
        <f t="shared" si="47"/>
        <v>0.70581437418604887</v>
      </c>
      <c r="H91" s="414" t="b">
        <f>Wh_hp&gt;='2018'!Maxi_hp</f>
        <v>1</v>
      </c>
      <c r="I91" s="390">
        <f>IF(H91,Wh_hp,'2018'!Maxi_hp)</f>
        <v>35.441978382349127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6.1793231479709831E-3</v>
      </c>
      <c r="M91" s="845"/>
      <c r="N91" s="845"/>
      <c r="O91" s="48">
        <f>IF(t&lt;Tnet,'2018'!Resal+('2018'!Salim-'2018'!Resal)*(1-EXP(('2018'!Tnet-t)/('2018'!Tau_j))),Resal+(Salim-Resal)*(1-EXP((Tnet-t)/(Tau_j))))*Salcycl</f>
        <v>1.595416974803212E-2</v>
      </c>
      <c r="P91" s="169">
        <f>(INDEX(Models!$BJ91:$BT91,,T91)*(1-R91)+INDEX(Models!$BJ91:$BT91,,T91+1)*R91-ERP_i)*Q91*Ramure*Pc/MaxiM</f>
        <v>8.8022541525519602E-7</v>
      </c>
      <c r="Q91" s="305">
        <f t="shared" si="27"/>
        <v>0.5</v>
      </c>
      <c r="R91" s="177">
        <f t="shared" si="28"/>
        <v>0.51207331921284682</v>
      </c>
      <c r="S91" s="811">
        <f t="shared" si="29"/>
        <v>-2</v>
      </c>
      <c r="T91" s="176">
        <f t="shared" si="30"/>
        <v>4</v>
      </c>
      <c r="U91" s="251">
        <f t="shared" si="31"/>
        <v>-1.4879266807871532</v>
      </c>
      <c r="V91" s="383">
        <f t="shared" si="32"/>
        <v>49.10779440826574</v>
      </c>
      <c r="W91" s="58"/>
      <c r="X91" s="157">
        <f t="shared" si="33"/>
        <v>43542</v>
      </c>
      <c r="Y91" s="385">
        <f t="shared" si="34"/>
        <v>34.661000000000001</v>
      </c>
      <c r="Z91" s="385">
        <f t="shared" si="35"/>
        <v>34.876513245619172</v>
      </c>
      <c r="AA91" s="386">
        <f t="shared" si="36"/>
        <v>35.441960296390803</v>
      </c>
      <c r="AB91" s="197">
        <f t="shared" si="37"/>
        <v>43542</v>
      </c>
      <c r="AC91" s="426">
        <f>IF(OR(t&lt;Tnet,NoTnet),'2018'!Resal_s+('2018'!Salim-'2018'!Resal_s)*(1-EXP(('2018'!Tnet_s-t)/'2018'!Tau_j)),Resal_s+(Salim-Resal_s)*(1-EXP((Tnet_s-t)/Tau_j)))*Salcycl</f>
        <v>1.595416974803212E-2</v>
      </c>
      <c r="AD91" s="231">
        <f>(INDEX(Models!$BJ91:$BT91,,AH91)*(1-AF91)+INDEX(Models!$BJ91:$BT91,,AH91+1)*AF91-ERP_i)*AE91*Ramure*Pc/MaxiM</f>
        <v>8.8022541525519602E-7</v>
      </c>
      <c r="AE91" s="305">
        <f t="shared" si="38"/>
        <v>0.5</v>
      </c>
      <c r="AF91" s="177">
        <f t="shared" si="39"/>
        <v>0.51207331921284682</v>
      </c>
      <c r="AG91" s="176">
        <f t="shared" si="40"/>
        <v>-2</v>
      </c>
      <c r="AH91" s="176">
        <f t="shared" si="41"/>
        <v>4</v>
      </c>
      <c r="AI91" s="225">
        <f t="shared" si="42"/>
        <v>-1.4879266807871532</v>
      </c>
      <c r="AJ91" s="265" t="b">
        <f t="shared" si="43"/>
        <v>0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7">
        <v>12.717000000000001</v>
      </c>
      <c r="C92" s="390"/>
      <c r="D92" s="393">
        <f t="shared" si="24"/>
        <v>12.796351331027472</v>
      </c>
      <c r="E92" s="385">
        <f t="shared" si="46"/>
        <v>13.004478435477191</v>
      </c>
      <c r="F92" s="385">
        <f t="shared" si="25"/>
        <v>13.004478435477191</v>
      </c>
      <c r="G92" s="110">
        <f t="shared" si="47"/>
        <v>0.25714271321775428</v>
      </c>
      <c r="H92" s="414" t="b">
        <f>Wh_hp&gt;='2018'!Maxi_hp</f>
        <v>1</v>
      </c>
      <c r="I92" s="390">
        <f>IF(H92,Wh_hp,'2018'!Maxi_hp)</f>
        <v>13.004478435477191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6.2010903713675125E-3</v>
      </c>
      <c r="M92" s="845"/>
      <c r="N92" s="845"/>
      <c r="O92" s="48">
        <f>IF(t&lt;Tnet,'2018'!Resal+('2018'!Salim-'2018'!Resal)*(1-EXP(('2018'!Tnet-t)/('2018'!Tau_j))),Resal+(Salim-Resal)*(1-EXP((Tnet-t)/(Tau_j))))*Salcycl</f>
        <v>1.6004263875891645E-2</v>
      </c>
      <c r="P92" s="169">
        <f>(INDEX(Models!$BJ92:$BT92,,T92)*(1-R92)+INDEX(Models!$BJ92:$BT92,,T92+1)*R92-ERP_i)*Q92*Ramure*Pc/MaxiM</f>
        <v>6.6950225525183712E-7</v>
      </c>
      <c r="Q92" s="305">
        <f t="shared" si="27"/>
        <v>0.5</v>
      </c>
      <c r="R92" s="177">
        <f t="shared" si="28"/>
        <v>0.51269793482705328</v>
      </c>
      <c r="S92" s="811">
        <f t="shared" si="29"/>
        <v>-2</v>
      </c>
      <c r="T92" s="176">
        <f t="shared" si="30"/>
        <v>4</v>
      </c>
      <c r="U92" s="251">
        <f t="shared" si="31"/>
        <v>-1.4873020651729467</v>
      </c>
      <c r="V92" s="383">
        <f t="shared" si="32"/>
        <v>49.454994570158334</v>
      </c>
      <c r="W92" s="58"/>
      <c r="X92" s="157">
        <f t="shared" si="33"/>
        <v>43543</v>
      </c>
      <c r="Y92" s="385">
        <f t="shared" si="34"/>
        <v>12.717000000000001</v>
      </c>
      <c r="Z92" s="385">
        <f t="shared" si="35"/>
        <v>12.796351331027472</v>
      </c>
      <c r="AA92" s="386">
        <f t="shared" si="36"/>
        <v>13.004478435477191</v>
      </c>
      <c r="AB92" s="197">
        <f t="shared" si="37"/>
        <v>43543</v>
      </c>
      <c r="AC92" s="426">
        <f>IF(OR(t&lt;Tnet,NoTnet),'2018'!Resal_s+('2018'!Salim-'2018'!Resal_s)*(1-EXP(('2018'!Tnet_s-t)/'2018'!Tau_j)),Resal_s+(Salim-Resal_s)*(1-EXP((Tnet_s-t)/Tau_j)))*Salcycl</f>
        <v>1.6004263875891645E-2</v>
      </c>
      <c r="AD92" s="231">
        <f>(INDEX(Models!$BJ92:$BT92,,AH92)*(1-AF92)+INDEX(Models!$BJ92:$BT92,,AH92+1)*AF92-ERP_i)*AE92*Ramure*Pc/MaxiM</f>
        <v>6.6950225525183712E-7</v>
      </c>
      <c r="AE92" s="305">
        <f t="shared" si="38"/>
        <v>0.5</v>
      </c>
      <c r="AF92" s="177">
        <f t="shared" si="39"/>
        <v>0.51269793482705328</v>
      </c>
      <c r="AG92" s="176">
        <f t="shared" si="40"/>
        <v>-2</v>
      </c>
      <c r="AH92" s="176">
        <f t="shared" si="41"/>
        <v>4</v>
      </c>
      <c r="AI92" s="225">
        <f t="shared" si="42"/>
        <v>-1.4873020651729467</v>
      </c>
      <c r="AJ92" s="265" t="b">
        <f t="shared" si="43"/>
        <v>0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7">
        <v>50.011000000000003</v>
      </c>
      <c r="C93" s="390"/>
      <c r="D93" s="393">
        <f t="shared" si="24"/>
        <v>50.324160057622251</v>
      </c>
      <c r="E93" s="385">
        <f t="shared" si="46"/>
        <v>51.145266218342961</v>
      </c>
      <c r="F93" s="385">
        <f t="shared" si="25"/>
        <v>51.145293953169229</v>
      </c>
      <c r="G93" s="110">
        <f t="shared" si="47"/>
        <v>1.004176901029336</v>
      </c>
      <c r="H93" s="414" t="b">
        <f>Wh_hp&gt;='2018'!Maxi_hp</f>
        <v>1</v>
      </c>
      <c r="I93" s="390">
        <f>IF(H93,Wh_hp,'2018'!Maxi_hp)</f>
        <v>51.145293953169229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6.2228571180060754E-3</v>
      </c>
      <c r="M93" s="845"/>
      <c r="N93" s="845"/>
      <c r="O93" s="48">
        <f>IF(t&lt;Tnet,'2018'!Resal+('2018'!Salim-'2018'!Resal)*(1-EXP(('2018'!Tnet-t)/('2018'!Tau_j))),Resal+(Salim-Resal)*(1-EXP((Tnet-t)/(Tau_j))))*Salcycl</f>
        <v>1.6054392154600319E-2</v>
      </c>
      <c r="P93" s="169">
        <f>(INDEX(Models!$BJ93:$BT93,,T93)*(1-R93)+INDEX(Models!$BJ93:$BT93,,T93+1)*R93-ERP_i)*Q93*Ramure*Pc/MaxiM</f>
        <v>5.4227523434240887E-7</v>
      </c>
      <c r="Q93" s="305">
        <f t="shared" si="27"/>
        <v>0.5</v>
      </c>
      <c r="R93" s="177">
        <f t="shared" si="28"/>
        <v>0.5133470468096748</v>
      </c>
      <c r="S93" s="811">
        <f t="shared" si="29"/>
        <v>-2</v>
      </c>
      <c r="T93" s="176">
        <f t="shared" si="30"/>
        <v>4</v>
      </c>
      <c r="U93" s="251">
        <f t="shared" si="31"/>
        <v>-1.4866529531903252</v>
      </c>
      <c r="V93" s="383">
        <f t="shared" si="32"/>
        <v>49.802977890385662</v>
      </c>
      <c r="W93" s="58"/>
      <c r="X93" s="157">
        <f t="shared" si="33"/>
        <v>43544</v>
      </c>
      <c r="Y93" s="385">
        <f t="shared" si="34"/>
        <v>50.011000000000003</v>
      </c>
      <c r="Z93" s="385">
        <f t="shared" si="35"/>
        <v>50.324160057622251</v>
      </c>
      <c r="AA93" s="386">
        <f t="shared" si="36"/>
        <v>51.145266218342961</v>
      </c>
      <c r="AB93" s="197">
        <f t="shared" si="37"/>
        <v>43544</v>
      </c>
      <c r="AC93" s="426">
        <f>IF(OR(t&lt;Tnet,NoTnet),'2018'!Resal_s+('2018'!Salim-'2018'!Resal_s)*(1-EXP(('2018'!Tnet_s-t)/'2018'!Tau_j)),Resal_s+(Salim-Resal_s)*(1-EXP((Tnet_s-t)/Tau_j)))*Salcycl</f>
        <v>1.6054392154600319E-2</v>
      </c>
      <c r="AD93" s="231">
        <f>(INDEX(Models!$BJ93:$BT93,,AH93)*(1-AF93)+INDEX(Models!$BJ93:$BT93,,AH93+1)*AF93-ERP_i)*AE93*Ramure*Pc/MaxiM</f>
        <v>5.4227523434240887E-7</v>
      </c>
      <c r="AE93" s="305">
        <f t="shared" si="38"/>
        <v>0.5</v>
      </c>
      <c r="AF93" s="177">
        <f t="shared" si="39"/>
        <v>0.5133470468096748</v>
      </c>
      <c r="AG93" s="176">
        <f t="shared" si="40"/>
        <v>-2</v>
      </c>
      <c r="AH93" s="176">
        <f t="shared" si="41"/>
        <v>4</v>
      </c>
      <c r="AI93" s="225">
        <f t="shared" si="42"/>
        <v>-1.4866529531903252</v>
      </c>
      <c r="AJ93" s="265" t="b">
        <f t="shared" si="43"/>
        <v>0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7">
        <v>50.234999999999999</v>
      </c>
      <c r="C94" s="390"/>
      <c r="D94" s="393">
        <f t="shared" si="24"/>
        <v>50.550669895503319</v>
      </c>
      <c r="E94" s="385">
        <f t="shared" si="46"/>
        <v>51.378091521918449</v>
      </c>
      <c r="F94" s="385">
        <f t="shared" si="25"/>
        <v>51.378117175877115</v>
      </c>
      <c r="G94" s="110">
        <f t="shared" si="47"/>
        <v>1.0016195560048196</v>
      </c>
      <c r="H94" s="414" t="b">
        <f>Wh_hp&gt;='2018'!Maxi_hp</f>
        <v>1</v>
      </c>
      <c r="I94" s="390">
        <f>IF(H94,Wh_hp,'2018'!Maxi_hp)</f>
        <v>51.378117175877115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6.244623387896997E-3</v>
      </c>
      <c r="M94" s="845"/>
      <c r="N94" s="845"/>
      <c r="O94" s="48">
        <f>IF(t&lt;Tnet,'2018'!Resal+('2018'!Salim-'2018'!Resal)*(1-EXP(('2018'!Tnet-t)/('2018'!Tau_j))),Resal+(Salim-Resal)*(1-EXP((Tnet-t)/(Tau_j))))*Salcycl</f>
        <v>1.6104561339382241E-2</v>
      </c>
      <c r="P94" s="169">
        <f>(INDEX(Models!$BJ94:$BT94,,T94)*(1-R94)+INDEX(Models!$BJ94:$BT94,,T94+1)*R94-ERP_i)*Q94*Ramure*Pc/MaxiM</f>
        <v>4.9931683135243907E-7</v>
      </c>
      <c r="Q94" s="305">
        <f t="shared" si="27"/>
        <v>0.5</v>
      </c>
      <c r="R94" s="177">
        <f t="shared" si="28"/>
        <v>0.51402154399937516</v>
      </c>
      <c r="S94" s="811">
        <f t="shared" si="29"/>
        <v>-2</v>
      </c>
      <c r="T94" s="176">
        <f t="shared" si="30"/>
        <v>4</v>
      </c>
      <c r="U94" s="251">
        <f t="shared" si="31"/>
        <v>-1.4859784560006248</v>
      </c>
      <c r="V94" s="383">
        <f t="shared" si="32"/>
        <v>50.153773155521613</v>
      </c>
      <c r="W94" s="58"/>
      <c r="X94" s="157">
        <f t="shared" si="33"/>
        <v>43545</v>
      </c>
      <c r="Y94" s="385">
        <f t="shared" si="34"/>
        <v>50.234999999999999</v>
      </c>
      <c r="Z94" s="385">
        <f t="shared" si="35"/>
        <v>50.550669895503319</v>
      </c>
      <c r="AA94" s="386">
        <f t="shared" si="36"/>
        <v>51.378091521918449</v>
      </c>
      <c r="AB94" s="197">
        <f t="shared" si="37"/>
        <v>43545</v>
      </c>
      <c r="AC94" s="426">
        <f>IF(OR(t&lt;Tnet,NoTnet),'2018'!Resal_s+('2018'!Salim-'2018'!Resal_s)*(1-EXP(('2018'!Tnet_s-t)/'2018'!Tau_j)),Resal_s+(Salim-Resal_s)*(1-EXP((Tnet_s-t)/Tau_j)))*Salcycl</f>
        <v>1.6104561339382241E-2</v>
      </c>
      <c r="AD94" s="231">
        <f>(INDEX(Models!$BJ94:$BT94,,AH94)*(1-AF94)+INDEX(Models!$BJ94:$BT94,,AH94+1)*AF94-ERP_i)*AE94*Ramure*Pc/MaxiM</f>
        <v>4.9931683135243907E-7</v>
      </c>
      <c r="AE94" s="305">
        <f t="shared" si="38"/>
        <v>0.5</v>
      </c>
      <c r="AF94" s="177">
        <f t="shared" si="39"/>
        <v>0.51402154399937516</v>
      </c>
      <c r="AG94" s="176">
        <f t="shared" si="40"/>
        <v>-2</v>
      </c>
      <c r="AH94" s="176">
        <f t="shared" si="41"/>
        <v>4</v>
      </c>
      <c r="AI94" s="225">
        <f t="shared" si="42"/>
        <v>-1.4859784560006248</v>
      </c>
      <c r="AJ94" s="265" t="b">
        <f t="shared" si="43"/>
        <v>0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7">
        <v>49.118000000000002</v>
      </c>
      <c r="C95" s="390"/>
      <c r="D95" s="393">
        <f t="shared" si="24"/>
        <v>49.427733413908776</v>
      </c>
      <c r="E95" s="385">
        <f t="shared" si="46"/>
        <v>50.239338795496522</v>
      </c>
      <c r="F95" s="385">
        <f t="shared" si="25"/>
        <v>50.23936086110939</v>
      </c>
      <c r="G95" s="110">
        <f t="shared" si="47"/>
        <v>0.972511671398544</v>
      </c>
      <c r="H95" s="414" t="b">
        <f>Wh_hp&gt;='2018'!Maxi_hp</f>
        <v>1</v>
      </c>
      <c r="I95" s="390">
        <f>IF(H95,Wh_hp,'2018'!Maxi_hp)</f>
        <v>50.23936086110939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6.2663891810507133E-3</v>
      </c>
      <c r="M95" s="845"/>
      <c r="N95" s="845"/>
      <c r="O95" s="48">
        <f>IF(t&lt;Tnet,'2018'!Resal+('2018'!Salim-'2018'!Resal)*(1-EXP(('2018'!Tnet-t)/('2018'!Tau_j))),Resal+(Salim-Resal)*(1-EXP((Tnet-t)/(Tau_j))))*Salcycl</f>
        <v>1.615477832802413E-2</v>
      </c>
      <c r="P95" s="169">
        <f>(INDEX(Models!$BJ95:$BT95,,T95)*(1-R95)+INDEX(Models!$BJ95:$BT95,,T95+1)*R95-ERP_i)*Q95*Ramure*Pc/MaxiM</f>
        <v>4.5716196581599875E-7</v>
      </c>
      <c r="Q95" s="305">
        <f t="shared" si="27"/>
        <v>0.5</v>
      </c>
      <c r="R95" s="177">
        <f t="shared" si="28"/>
        <v>0.51472234156054975</v>
      </c>
      <c r="S95" s="811">
        <f t="shared" si="29"/>
        <v>-2</v>
      </c>
      <c r="T95" s="176">
        <f t="shared" si="30"/>
        <v>4</v>
      </c>
      <c r="U95" s="251">
        <f t="shared" si="31"/>
        <v>-1.4852776584394503</v>
      </c>
      <c r="V95" s="383">
        <f t="shared" si="32"/>
        <v>50.506333818681249</v>
      </c>
      <c r="W95" s="58"/>
      <c r="X95" s="157">
        <f t="shared" si="33"/>
        <v>43546</v>
      </c>
      <c r="Y95" s="385">
        <f t="shared" si="34"/>
        <v>49.118000000000002</v>
      </c>
      <c r="Z95" s="385">
        <f t="shared" si="35"/>
        <v>49.427733413908776</v>
      </c>
      <c r="AA95" s="386">
        <f t="shared" si="36"/>
        <v>50.239338795496522</v>
      </c>
      <c r="AB95" s="197">
        <f t="shared" si="37"/>
        <v>43546</v>
      </c>
      <c r="AC95" s="426">
        <f>IF(OR(t&lt;Tnet,NoTnet),'2018'!Resal_s+('2018'!Salim-'2018'!Resal_s)*(1-EXP(('2018'!Tnet_s-t)/'2018'!Tau_j)),Resal_s+(Salim-Resal_s)*(1-EXP((Tnet_s-t)/Tau_j)))*Salcycl</f>
        <v>1.615477832802413E-2</v>
      </c>
      <c r="AD95" s="231">
        <f>(INDEX(Models!$BJ95:$BT95,,AH95)*(1-AF95)+INDEX(Models!$BJ95:$BT95,,AH95+1)*AF95-ERP_i)*AE95*Ramure*Pc/MaxiM</f>
        <v>4.5716196581599875E-7</v>
      </c>
      <c r="AE95" s="305">
        <f t="shared" si="38"/>
        <v>0.5</v>
      </c>
      <c r="AF95" s="177">
        <f t="shared" si="39"/>
        <v>0.51472234156054975</v>
      </c>
      <c r="AG95" s="176">
        <f t="shared" si="40"/>
        <v>-2</v>
      </c>
      <c r="AH95" s="176">
        <f t="shared" si="41"/>
        <v>4</v>
      </c>
      <c r="AI95" s="225">
        <f t="shared" si="42"/>
        <v>-1.4852776584394503</v>
      </c>
      <c r="AJ95" s="265" t="b">
        <f t="shared" si="43"/>
        <v>0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7">
        <v>46.238</v>
      </c>
      <c r="C96" s="390"/>
      <c r="D96" s="393">
        <f t="shared" si="24"/>
        <v>46.530591548516099</v>
      </c>
      <c r="E96" s="385">
        <f t="shared" si="46"/>
        <v>47.297042493708091</v>
      </c>
      <c r="F96" s="385">
        <f t="shared" si="25"/>
        <v>47.297059606763654</v>
      </c>
      <c r="G96" s="110">
        <f t="shared" si="47"/>
        <v>0.90913001424998974</v>
      </c>
      <c r="H96" s="414" t="b">
        <f>Wh_hp&gt;='2018'!Maxi_hp</f>
        <v>1</v>
      </c>
      <c r="I96" s="390">
        <f>IF(H96,Wh_hp,'2018'!Maxi_hp)</f>
        <v>47.297059606763654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6.2881544974777714E-3</v>
      </c>
      <c r="M96" s="845"/>
      <c r="N96" s="845"/>
      <c r="O96" s="48">
        <f>IF(t&lt;Tnet,'2018'!Resal+('2018'!Salim-'2018'!Resal)*(1-EXP(('2018'!Tnet-t)/('2018'!Tau_j))),Resal+(Salim-Resal)*(1-EXP((Tnet-t)/(Tau_j))))*Salcycl</f>
        <v>1.6205050142277931E-2</v>
      </c>
      <c r="P96" s="169">
        <f>(INDEX(Models!$BJ96:$BT96,,T96)*(1-R96)+INDEX(Models!$BJ96:$BT96,,T96+1)*R96-ERP_i)*Q96*Ramure*Pc/MaxiM</f>
        <v>4.1579706923120745E-7</v>
      </c>
      <c r="Q96" s="305">
        <f t="shared" si="27"/>
        <v>0.5</v>
      </c>
      <c r="R96" s="177">
        <f t="shared" si="28"/>
        <v>0.51545038126284437</v>
      </c>
      <c r="S96" s="811">
        <f t="shared" si="29"/>
        <v>-2</v>
      </c>
      <c r="T96" s="176">
        <f t="shared" si="30"/>
        <v>4</v>
      </c>
      <c r="U96" s="251">
        <f t="shared" si="31"/>
        <v>-1.4845496187371556</v>
      </c>
      <c r="V96" s="383">
        <f t="shared" si="32"/>
        <v>50.859609494232025</v>
      </c>
      <c r="W96" s="58"/>
      <c r="X96" s="157">
        <f t="shared" si="33"/>
        <v>43547</v>
      </c>
      <c r="Y96" s="385">
        <f t="shared" si="34"/>
        <v>46.238</v>
      </c>
      <c r="Z96" s="385">
        <f t="shared" si="35"/>
        <v>46.530591548516099</v>
      </c>
      <c r="AA96" s="386">
        <f t="shared" si="36"/>
        <v>47.297042493708091</v>
      </c>
      <c r="AB96" s="197">
        <f t="shared" si="37"/>
        <v>43547</v>
      </c>
      <c r="AC96" s="426">
        <f>IF(OR(t&lt;Tnet,NoTnet),'2018'!Resal_s+('2018'!Salim-'2018'!Resal_s)*(1-EXP(('2018'!Tnet_s-t)/'2018'!Tau_j)),Resal_s+(Salim-Resal_s)*(1-EXP((Tnet_s-t)/Tau_j)))*Salcycl</f>
        <v>1.6205050142277931E-2</v>
      </c>
      <c r="AD96" s="231">
        <f>(INDEX(Models!$BJ96:$BT96,,AH96)*(1-AF96)+INDEX(Models!$BJ96:$BT96,,AH96+1)*AF96-ERP_i)*AE96*Ramure*Pc/MaxiM</f>
        <v>4.1579706923120745E-7</v>
      </c>
      <c r="AE96" s="305">
        <f t="shared" si="38"/>
        <v>0.5</v>
      </c>
      <c r="AF96" s="177">
        <f t="shared" si="39"/>
        <v>0.51545038126284437</v>
      </c>
      <c r="AG96" s="176">
        <f t="shared" si="40"/>
        <v>-2</v>
      </c>
      <c r="AH96" s="176">
        <f t="shared" si="41"/>
        <v>4</v>
      </c>
      <c r="AI96" s="225">
        <f t="shared" si="42"/>
        <v>-1.4845496187371556</v>
      </c>
      <c r="AJ96" s="265" t="b">
        <f t="shared" si="43"/>
        <v>0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7">
        <v>50.338999999999999</v>
      </c>
      <c r="C97" s="390"/>
      <c r="D97" s="393">
        <f t="shared" si="24"/>
        <v>50.658652007900557</v>
      </c>
      <c r="E97" s="385">
        <f t="shared" si="46"/>
        <v>51.49573494918932</v>
      </c>
      <c r="F97" s="385">
        <f t="shared" si="25"/>
        <v>51.495753799818651</v>
      </c>
      <c r="G97" s="110">
        <f t="shared" si="47"/>
        <v>0.98294264692534905</v>
      </c>
      <c r="H97" s="414" t="b">
        <f>Wh_hp&gt;='2018'!Maxi_hp</f>
        <v>1</v>
      </c>
      <c r="I97" s="390">
        <f>IF(H97,Wh_hp,'2018'!Maxi_hp)</f>
        <v>51.495753799818651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6.3099193371884965E-3</v>
      </c>
      <c r="M97" s="845"/>
      <c r="N97" s="845"/>
      <c r="O97" s="48">
        <f>IF(t&lt;Tnet,'2018'!Resal+('2018'!Salim-'2018'!Resal)*(1-EXP(('2018'!Tnet-t)/('2018'!Tau_j))),Resal+(Salim-Resal)*(1-EXP((Tnet-t)/(Tau_j))))*Salcycl</f>
        <v>1.6255383909263697E-2</v>
      </c>
      <c r="P97" s="169">
        <f>(INDEX(Models!$BJ97:$BT97,,T97)*(1-R97)+INDEX(Models!$BJ97:$BT97,,T97+1)*R97-ERP_i)*Q97*Ramure*Pc/MaxiM</f>
        <v>3.7520466963668033E-7</v>
      </c>
      <c r="Q97" s="305">
        <f t="shared" si="27"/>
        <v>0.5</v>
      </c>
      <c r="R97" s="177">
        <f t="shared" si="28"/>
        <v>0.51620663171540415</v>
      </c>
      <c r="S97" s="811">
        <f t="shared" si="29"/>
        <v>-2</v>
      </c>
      <c r="T97" s="176">
        <f t="shared" si="30"/>
        <v>4</v>
      </c>
      <c r="U97" s="251">
        <f t="shared" si="31"/>
        <v>-1.4837933682845958</v>
      </c>
      <c r="V97" s="383">
        <f t="shared" si="32"/>
        <v>51.212550088470181</v>
      </c>
      <c r="W97" s="58"/>
      <c r="X97" s="157">
        <f t="shared" si="33"/>
        <v>43548</v>
      </c>
      <c r="Y97" s="385">
        <f t="shared" si="34"/>
        <v>50.338999999999999</v>
      </c>
      <c r="Z97" s="385">
        <f t="shared" si="35"/>
        <v>50.658652007900557</v>
      </c>
      <c r="AA97" s="386">
        <f t="shared" si="36"/>
        <v>51.49573494918932</v>
      </c>
      <c r="AB97" s="197">
        <f t="shared" si="37"/>
        <v>43548</v>
      </c>
      <c r="AC97" s="426">
        <f>IF(OR(t&lt;Tnet,NoTnet),'2018'!Resal_s+('2018'!Salim-'2018'!Resal_s)*(1-EXP(('2018'!Tnet_s-t)/'2018'!Tau_j)),Resal_s+(Salim-Resal_s)*(1-EXP((Tnet_s-t)/Tau_j)))*Salcycl</f>
        <v>1.6255383909263697E-2</v>
      </c>
      <c r="AD97" s="231">
        <f>(INDEX(Models!$BJ97:$BT97,,AH97)*(1-AF97)+INDEX(Models!$BJ97:$BT97,,AH97+1)*AF97-ERP_i)*AE97*Ramure*Pc/MaxiM</f>
        <v>3.7520466963668033E-7</v>
      </c>
      <c r="AE97" s="305">
        <f t="shared" si="38"/>
        <v>0.5</v>
      </c>
      <c r="AF97" s="177">
        <f t="shared" si="39"/>
        <v>0.51620663171540415</v>
      </c>
      <c r="AG97" s="176">
        <f t="shared" si="40"/>
        <v>-2</v>
      </c>
      <c r="AH97" s="176">
        <f t="shared" si="41"/>
        <v>4</v>
      </c>
      <c r="AI97" s="225">
        <f t="shared" si="42"/>
        <v>-1.4837933682845958</v>
      </c>
      <c r="AJ97" s="265" t="b">
        <f t="shared" si="43"/>
        <v>0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7">
        <v>43.801000000000002</v>
      </c>
      <c r="C98" s="390"/>
      <c r="D98" s="393">
        <f t="shared" si="24"/>
        <v>44.080101258642216</v>
      </c>
      <c r="E98" s="385">
        <f t="shared" si="46"/>
        <v>44.810776224019492</v>
      </c>
      <c r="F98" s="385">
        <f t="shared" si="25"/>
        <v>44.810788019802011</v>
      </c>
      <c r="G98" s="110">
        <f t="shared" si="47"/>
        <v>0.84944742399307016</v>
      </c>
      <c r="H98" s="414" t="b">
        <f>Wh_hp&gt;='2018'!Maxi_hp</f>
        <v>1</v>
      </c>
      <c r="I98" s="390">
        <f>IF(H98,Wh_hp,'2018'!Maxi_hp)</f>
        <v>44.810788019802011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6.3316837001933246E-3</v>
      </c>
      <c r="M98" s="845"/>
      <c r="N98" s="845"/>
      <c r="O98" s="48">
        <f>IF(t&lt;Tnet,'2018'!Resal+('2018'!Salim-'2018'!Resal)*(1-EXP(('2018'!Tnet-t)/('2018'!Tau_j))),Resal+(Salim-Resal)*(1-EXP((Tnet-t)/(Tau_j))))*Salcycl</f>
        <v>1.6305786842978665E-2</v>
      </c>
      <c r="P98" s="169">
        <f>(INDEX(Models!$BJ98:$BT98,,T98)*(1-R98)+INDEX(Models!$BJ98:$BT98,,T98+1)*R98-ERP_i)*Q98*Ramure*Pc/MaxiM</f>
        <v>3.353636792329535E-7</v>
      </c>
      <c r="Q98" s="305">
        <f t="shared" si="27"/>
        <v>0.5</v>
      </c>
      <c r="R98" s="177">
        <f t="shared" si="28"/>
        <v>0.51699208855065137</v>
      </c>
      <c r="S98" s="811">
        <f t="shared" si="29"/>
        <v>-2</v>
      </c>
      <c r="T98" s="176">
        <f t="shared" si="30"/>
        <v>4</v>
      </c>
      <c r="U98" s="251">
        <f t="shared" si="31"/>
        <v>-1.4830079114493486</v>
      </c>
      <c r="V98" s="383">
        <f t="shared" si="32"/>
        <v>51.564105798103654</v>
      </c>
      <c r="W98" s="58"/>
      <c r="X98" s="157">
        <f t="shared" si="33"/>
        <v>43549</v>
      </c>
      <c r="Y98" s="385">
        <f t="shared" si="34"/>
        <v>43.801000000000002</v>
      </c>
      <c r="Z98" s="385">
        <f t="shared" si="35"/>
        <v>44.080101258642216</v>
      </c>
      <c r="AA98" s="386">
        <f t="shared" si="36"/>
        <v>44.810776224019492</v>
      </c>
      <c r="AB98" s="197">
        <f t="shared" si="37"/>
        <v>43549</v>
      </c>
      <c r="AC98" s="426">
        <f>IF(OR(t&lt;Tnet,NoTnet),'2018'!Resal_s+('2018'!Salim-'2018'!Resal_s)*(1-EXP(('2018'!Tnet_s-t)/'2018'!Tau_j)),Resal_s+(Salim-Resal_s)*(1-EXP((Tnet_s-t)/Tau_j)))*Salcycl</f>
        <v>1.6305786842978665E-2</v>
      </c>
      <c r="AD98" s="231">
        <f>(INDEX(Models!$BJ98:$BT98,,AH98)*(1-AF98)+INDEX(Models!$BJ98:$BT98,,AH98+1)*AF98-ERP_i)*AE98*Ramure*Pc/MaxiM</f>
        <v>3.353636792329535E-7</v>
      </c>
      <c r="AE98" s="305">
        <f t="shared" si="38"/>
        <v>0.5</v>
      </c>
      <c r="AF98" s="177">
        <f t="shared" si="39"/>
        <v>0.51699208855065137</v>
      </c>
      <c r="AG98" s="176">
        <f t="shared" si="40"/>
        <v>-2</v>
      </c>
      <c r="AH98" s="176">
        <f t="shared" si="41"/>
        <v>4</v>
      </c>
      <c r="AI98" s="225">
        <f t="shared" si="42"/>
        <v>-1.4830079114493486</v>
      </c>
      <c r="AJ98" s="265" t="b">
        <f t="shared" si="43"/>
        <v>0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7">
        <v>53.691000000000003</v>
      </c>
      <c r="C99" s="390"/>
      <c r="D99" s="393">
        <f t="shared" si="24"/>
        <v>54.034304119093818</v>
      </c>
      <c r="E99" s="385">
        <f t="shared" si="46"/>
        <v>54.93279961412226</v>
      </c>
      <c r="F99" s="385">
        <f t="shared" si="25"/>
        <v>54.932815887950575</v>
      </c>
      <c r="G99" s="110">
        <f t="shared" si="47"/>
        <v>1.0342450852064793</v>
      </c>
      <c r="H99" s="414" t="b">
        <f>Wh_hp&gt;='2018'!Maxi_hp</f>
        <v>1</v>
      </c>
      <c r="I99" s="390">
        <f>IF(H99,Wh_hp,'2018'!Maxi_hp)</f>
        <v>54.932815887950575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6.3534475865028028E-3</v>
      </c>
      <c r="M99" s="845"/>
      <c r="N99" s="845"/>
      <c r="O99" s="48">
        <f>IF(t&lt;Tnet,'2018'!Resal+('2018'!Salim-'2018'!Resal)*(1-EXP(('2018'!Tnet-t)/('2018'!Tau_j))),Resal+(Salim-Resal)*(1-EXP((Tnet-t)/(Tau_j))))*Salcycl</f>
        <v>1.6356266226006413E-2</v>
      </c>
      <c r="P99" s="169">
        <f>(INDEX(Models!$BJ99:$BT99,,T99)*(1-R99)+INDEX(Models!$BJ99:$BT99,,T99+1)*R99-ERP_i)*Q99*Ramure*Pc/MaxiM</f>
        <v>2.9624966521754027E-7</v>
      </c>
      <c r="Q99" s="305">
        <f t="shared" si="27"/>
        <v>0.5</v>
      </c>
      <c r="R99" s="177">
        <f t="shared" si="28"/>
        <v>0.51780777455205507</v>
      </c>
      <c r="S99" s="811">
        <f t="shared" si="29"/>
        <v>-2</v>
      </c>
      <c r="T99" s="176">
        <f t="shared" si="30"/>
        <v>4</v>
      </c>
      <c r="U99" s="251">
        <f t="shared" si="31"/>
        <v>-1.4821922254479449</v>
      </c>
      <c r="V99" s="383">
        <f t="shared" si="32"/>
        <v>51.913227114133186</v>
      </c>
      <c r="W99" s="58"/>
      <c r="X99" s="157">
        <f t="shared" si="33"/>
        <v>43550</v>
      </c>
      <c r="Y99" s="385">
        <f t="shared" si="34"/>
        <v>53.691000000000003</v>
      </c>
      <c r="Z99" s="385">
        <f t="shared" si="35"/>
        <v>54.034304119093818</v>
      </c>
      <c r="AA99" s="386">
        <f t="shared" si="36"/>
        <v>54.93279961412226</v>
      </c>
      <c r="AB99" s="197">
        <f t="shared" si="37"/>
        <v>43550</v>
      </c>
      <c r="AC99" s="426">
        <f>IF(OR(t&lt;Tnet,NoTnet),'2018'!Resal_s+('2018'!Salim-'2018'!Resal_s)*(1-EXP(('2018'!Tnet_s-t)/'2018'!Tau_j)),Resal_s+(Salim-Resal_s)*(1-EXP((Tnet_s-t)/Tau_j)))*Salcycl</f>
        <v>1.6356266226006413E-2</v>
      </c>
      <c r="AD99" s="231">
        <f>(INDEX(Models!$BJ99:$BT99,,AH99)*(1-AF99)+INDEX(Models!$BJ99:$BT99,,AH99+1)*AF99-ERP_i)*AE99*Ramure*Pc/MaxiM</f>
        <v>2.9624966521754027E-7</v>
      </c>
      <c r="AE99" s="305">
        <f t="shared" si="38"/>
        <v>0.5</v>
      </c>
      <c r="AF99" s="177">
        <f t="shared" si="39"/>
        <v>0.51780777455205507</v>
      </c>
      <c r="AG99" s="176">
        <f t="shared" si="40"/>
        <v>-2</v>
      </c>
      <c r="AH99" s="176">
        <f t="shared" si="41"/>
        <v>4</v>
      </c>
      <c r="AI99" s="225">
        <f t="shared" si="42"/>
        <v>-1.4821922254479449</v>
      </c>
      <c r="AJ99" s="265" t="b">
        <f t="shared" si="43"/>
        <v>0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7">
        <v>52.947000000000003</v>
      </c>
      <c r="C100" s="390"/>
      <c r="D100" s="393">
        <f t="shared" si="24"/>
        <v>53.286714045329283</v>
      </c>
      <c r="E100" s="385">
        <f t="shared" si="46"/>
        <v>54.175563269073749</v>
      </c>
      <c r="F100" s="385">
        <f t="shared" si="25"/>
        <v>54.175577399192605</v>
      </c>
      <c r="G100" s="110">
        <f t="shared" si="47"/>
        <v>1.0131678201809107</v>
      </c>
      <c r="H100" s="414" t="b">
        <f>Wh_hp&gt;='2018'!Maxi_hp</f>
        <v>1</v>
      </c>
      <c r="I100" s="390">
        <f>IF(H100,Wh_hp,'2018'!Maxi_hp)</f>
        <v>54.175577399192605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6.3752109961273673E-3</v>
      </c>
      <c r="M100" s="845"/>
      <c r="N100" s="845"/>
      <c r="O100" s="48">
        <f>IF(t&lt;Tnet,'2018'!Resal+('2018'!Salim-'2018'!Resal)*(1-EXP(('2018'!Tnet-t)/('2018'!Tau_j))),Resal+(Salim-Resal)*(1-EXP((Tnet-t)/(Tau_j))))*Salcycl</f>
        <v>1.6406829391506599E-2</v>
      </c>
      <c r="P100" s="169">
        <f>(INDEX(Models!$BJ100:$BT100,,T100)*(1-R100)+INDEX(Models!$BJ100:$BT100,,T100+1)*R100-ERP_i)*Q100*Ramure*Pc/MaxiM</f>
        <v>2.6082082612175363E-7</v>
      </c>
      <c r="Q100" s="305">
        <f t="shared" si="27"/>
        <v>0.5</v>
      </c>
      <c r="R100" s="177">
        <f t="shared" si="28"/>
        <v>0.51865473972001963</v>
      </c>
      <c r="S100" s="811">
        <f t="shared" si="29"/>
        <v>-2</v>
      </c>
      <c r="T100" s="176">
        <f t="shared" si="30"/>
        <v>4</v>
      </c>
      <c r="U100" s="251">
        <f t="shared" si="31"/>
        <v>-1.4813452602799804</v>
      </c>
      <c r="V100" s="383">
        <f t="shared" si="32"/>
        <v>52.258864667203724</v>
      </c>
      <c r="W100" s="58"/>
      <c r="X100" s="157">
        <f t="shared" si="33"/>
        <v>43551</v>
      </c>
      <c r="Y100" s="385">
        <f t="shared" si="34"/>
        <v>52.947000000000003</v>
      </c>
      <c r="Z100" s="385">
        <f t="shared" si="35"/>
        <v>53.286714045329283</v>
      </c>
      <c r="AA100" s="386">
        <f t="shared" si="36"/>
        <v>54.175563269073749</v>
      </c>
      <c r="AB100" s="197">
        <f t="shared" si="37"/>
        <v>43551</v>
      </c>
      <c r="AC100" s="426">
        <f>IF(OR(t&lt;Tnet,NoTnet),'2018'!Resal_s+('2018'!Salim-'2018'!Resal_s)*(1-EXP(('2018'!Tnet_s-t)/'2018'!Tau_j)),Resal_s+(Salim-Resal_s)*(1-EXP((Tnet_s-t)/Tau_j)))*Salcycl</f>
        <v>1.6406829391506599E-2</v>
      </c>
      <c r="AD100" s="231">
        <f>(INDEX(Models!$BJ100:$BT100,,AH100)*(1-AF100)+INDEX(Models!$BJ100:$BT100,,AH100+1)*AF100-ERP_i)*AE100*Ramure*Pc/MaxiM</f>
        <v>2.6082082612175363E-7</v>
      </c>
      <c r="AE100" s="305">
        <f t="shared" si="38"/>
        <v>0.5</v>
      </c>
      <c r="AF100" s="177">
        <f t="shared" si="39"/>
        <v>0.51865473972001963</v>
      </c>
      <c r="AG100" s="176">
        <f t="shared" si="40"/>
        <v>-2</v>
      </c>
      <c r="AH100" s="176">
        <f t="shared" si="41"/>
        <v>4</v>
      </c>
      <c r="AI100" s="225">
        <f t="shared" si="42"/>
        <v>-1.4813452602799804</v>
      </c>
      <c r="AJ100" s="265" t="b">
        <f t="shared" si="43"/>
        <v>0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7">
        <v>51.72</v>
      </c>
      <c r="C101" s="390"/>
      <c r="D101" s="393">
        <f t="shared" si="24"/>
        <v>52.052981566008498</v>
      </c>
      <c r="E101" s="385">
        <f t="shared" si="46"/>
        <v>52.923977056041302</v>
      </c>
      <c r="F101" s="385">
        <f t="shared" si="25"/>
        <v>52.923988977147388</v>
      </c>
      <c r="G101" s="110">
        <f t="shared" si="47"/>
        <v>0.98327052770116996</v>
      </c>
      <c r="H101" s="414" t="b">
        <f>Wh_hp&gt;='2018'!Maxi_hp</f>
        <v>1</v>
      </c>
      <c r="I101" s="390">
        <f>IF(H101,Wh_hp,'2018'!Maxi_hp)</f>
        <v>52.923988977147388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6.3969739290773431E-3</v>
      </c>
      <c r="M101" s="845"/>
      <c r="N101" s="845"/>
      <c r="O101" s="48">
        <f>IF(t&lt;Tnet,'2018'!Resal+('2018'!Salim-'2018'!Resal)*(1-EXP(('2018'!Tnet-t)/('2018'!Tau_j))),Resal+(Salim-Resal)*(1-EXP((Tnet-t)/(Tau_j))))*Salcycl</f>
        <v>1.6457483705551858E-2</v>
      </c>
      <c r="P101" s="169">
        <f>(INDEX(Models!$BJ101:$BT101,,T101)*(1-R101)+INDEX(Models!$BJ101:$BT101,,T101+1)*R101-ERP_i)*Q101*Ramure*Pc/MaxiM</f>
        <v>2.3076467627009642E-7</v>
      </c>
      <c r="Q101" s="305">
        <f t="shared" si="27"/>
        <v>0.5</v>
      </c>
      <c r="R101" s="177">
        <f t="shared" si="28"/>
        <v>0.51953406126968393</v>
      </c>
      <c r="S101" s="811">
        <f t="shared" si="29"/>
        <v>-2</v>
      </c>
      <c r="T101" s="176">
        <f t="shared" si="30"/>
        <v>4</v>
      </c>
      <c r="U101" s="251">
        <f t="shared" si="31"/>
        <v>-1.4804659387303161</v>
      </c>
      <c r="V101" s="383">
        <f t="shared" si="32"/>
        <v>52.599969446534054</v>
      </c>
      <c r="W101" s="58"/>
      <c r="X101" s="157">
        <f t="shared" si="33"/>
        <v>43552</v>
      </c>
      <c r="Y101" s="385">
        <f t="shared" si="34"/>
        <v>51.72</v>
      </c>
      <c r="Z101" s="385">
        <f t="shared" si="35"/>
        <v>52.052981566008498</v>
      </c>
      <c r="AA101" s="386">
        <f t="shared" si="36"/>
        <v>52.923977056041302</v>
      </c>
      <c r="AB101" s="197">
        <f t="shared" si="37"/>
        <v>43552</v>
      </c>
      <c r="AC101" s="426">
        <f>IF(OR(t&lt;Tnet,NoTnet),'2018'!Resal_s+('2018'!Salim-'2018'!Resal_s)*(1-EXP(('2018'!Tnet_s-t)/'2018'!Tau_j)),Resal_s+(Salim-Resal_s)*(1-EXP((Tnet_s-t)/Tau_j)))*Salcycl</f>
        <v>1.6457483705551858E-2</v>
      </c>
      <c r="AD101" s="231">
        <f>(INDEX(Models!$BJ101:$BT101,,AH101)*(1-AF101)+INDEX(Models!$BJ101:$BT101,,AH101+1)*AF101-ERP_i)*AE101*Ramure*Pc/MaxiM</f>
        <v>2.3076467627009642E-7</v>
      </c>
      <c r="AE101" s="305">
        <f t="shared" si="38"/>
        <v>0.5</v>
      </c>
      <c r="AF101" s="177">
        <f t="shared" si="39"/>
        <v>0.51953406126968393</v>
      </c>
      <c r="AG101" s="176">
        <f t="shared" si="40"/>
        <v>-2</v>
      </c>
      <c r="AH101" s="176">
        <f t="shared" si="41"/>
        <v>4</v>
      </c>
      <c r="AI101" s="225">
        <f t="shared" si="42"/>
        <v>-1.4804659387303161</v>
      </c>
      <c r="AJ101" s="265" t="b">
        <f t="shared" si="43"/>
        <v>0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7">
        <v>53.125999999999998</v>
      </c>
      <c r="C102" s="390"/>
      <c r="D102" s="393">
        <f t="shared" si="24"/>
        <v>53.469204729896219</v>
      </c>
      <c r="E102" s="385">
        <f t="shared" si="46"/>
        <v>54.366703125528673</v>
      </c>
      <c r="F102" s="385">
        <f t="shared" si="25"/>
        <v>54.366714325293401</v>
      </c>
      <c r="G102" s="110">
        <f t="shared" si="47"/>
        <v>1.0035988550938348</v>
      </c>
      <c r="H102" s="414" t="b">
        <f>Wh_hp&gt;='2018'!Maxi_hp</f>
        <v>1</v>
      </c>
      <c r="I102" s="390">
        <f>IF(H102,Wh_hp,'2018'!Maxi_hp)</f>
        <v>54.366714325293401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6.4187363853632773E-3</v>
      </c>
      <c r="M102" s="845"/>
      <c r="N102" s="845"/>
      <c r="O102" s="48">
        <f>IF(t&lt;Tnet,'2018'!Resal+('2018'!Salim-'2018'!Resal)*(1-EXP(('2018'!Tnet-t)/('2018'!Tau_j))),Resal+(Salim-Resal)*(1-EXP((Tnet-t)/(Tau_j))))*Salcycl</f>
        <v>1.6508236549863838E-2</v>
      </c>
      <c r="P102" s="169">
        <f>(INDEX(Models!$BJ102:$BT102,,T102)*(1-R102)+INDEX(Models!$BJ102:$BT102,,T102+1)*R102-ERP_i)*Q102*Ramure*Pc/MaxiM</f>
        <v>2.0600407555288483E-7</v>
      </c>
      <c r="Q102" s="305">
        <f t="shared" si="27"/>
        <v>0.5</v>
      </c>
      <c r="R102" s="177">
        <f t="shared" si="28"/>
        <v>0.52044684355407034</v>
      </c>
      <c r="S102" s="811">
        <f t="shared" si="29"/>
        <v>-2</v>
      </c>
      <c r="T102" s="176">
        <f t="shared" si="30"/>
        <v>4</v>
      </c>
      <c r="U102" s="251">
        <f t="shared" si="31"/>
        <v>-1.4795531564459297</v>
      </c>
      <c r="V102" s="383">
        <f t="shared" si="32"/>
        <v>52.93549283197698</v>
      </c>
      <c r="W102" s="58"/>
      <c r="X102" s="157">
        <f t="shared" si="33"/>
        <v>43553</v>
      </c>
      <c r="Y102" s="385">
        <f t="shared" si="34"/>
        <v>53.125999999999998</v>
      </c>
      <c r="Z102" s="385">
        <f t="shared" si="35"/>
        <v>53.469204729896219</v>
      </c>
      <c r="AA102" s="386">
        <f t="shared" si="36"/>
        <v>54.366703125528673</v>
      </c>
      <c r="AB102" s="197">
        <f t="shared" si="37"/>
        <v>43553</v>
      </c>
      <c r="AC102" s="426">
        <f>IF(OR(t&lt;Tnet,NoTnet),'2018'!Resal_s+('2018'!Salim-'2018'!Resal_s)*(1-EXP(('2018'!Tnet_s-t)/'2018'!Tau_j)),Resal_s+(Salim-Resal_s)*(1-EXP((Tnet_s-t)/Tau_j)))*Salcycl</f>
        <v>1.6508236549863838E-2</v>
      </c>
      <c r="AD102" s="231">
        <f>(INDEX(Models!$BJ102:$BT102,,AH102)*(1-AF102)+INDEX(Models!$BJ102:$BT102,,AH102+1)*AF102-ERP_i)*AE102*Ramure*Pc/MaxiM</f>
        <v>2.0600407555288483E-7</v>
      </c>
      <c r="AE102" s="305">
        <f t="shared" si="38"/>
        <v>0.5</v>
      </c>
      <c r="AF102" s="177">
        <f t="shared" si="39"/>
        <v>0.52044684355407034</v>
      </c>
      <c r="AG102" s="176">
        <f t="shared" si="40"/>
        <v>-2</v>
      </c>
      <c r="AH102" s="176">
        <f t="shared" si="41"/>
        <v>4</v>
      </c>
      <c r="AI102" s="225">
        <f t="shared" si="42"/>
        <v>-1.4795531564459297</v>
      </c>
      <c r="AJ102" s="265" t="b">
        <f t="shared" si="43"/>
        <v>0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7">
        <v>54.213000000000001</v>
      </c>
      <c r="C103" s="390"/>
      <c r="D103" s="393">
        <f t="shared" si="24"/>
        <v>54.564422071136079</v>
      </c>
      <c r="E103" s="385">
        <f t="shared" si="46"/>
        <v>55.483173224381616</v>
      </c>
      <c r="F103" s="385">
        <f t="shared" si="25"/>
        <v>55.483183570295765</v>
      </c>
      <c r="G103" s="110">
        <f t="shared" si="47"/>
        <v>1.0178095263278013</v>
      </c>
      <c r="H103" s="414" t="b">
        <f>Wh_hp&gt;='2018'!Maxi_hp</f>
        <v>1</v>
      </c>
      <c r="I103" s="390">
        <f>IF(H103,Wh_hp,'2018'!Maxi_hp)</f>
        <v>55.483183570295765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6.440498364995495E-3</v>
      </c>
      <c r="M103" s="845"/>
      <c r="N103" s="845"/>
      <c r="O103" s="48">
        <f>IF(t&lt;Tnet,'2018'!Resal+('2018'!Salim-'2018'!Resal)*(1-EXP(('2018'!Tnet-t)/('2018'!Tau_j))),Resal+(Salim-Resal)*(1-EXP((Tnet-t)/(Tau_j))))*Salcycl</f>
        <v>1.6559095304985255E-2</v>
      </c>
      <c r="P103" s="169">
        <f>(INDEX(Models!$BJ103:$BT103,,T103)*(1-R103)+INDEX(Models!$BJ103:$BT103,,T103+1)*R103-ERP_i)*Q103*Ramure*Pc/MaxiM</f>
        <v>1.8646936749787597E-7</v>
      </c>
      <c r="Q103" s="305">
        <f t="shared" si="27"/>
        <v>0.5</v>
      </c>
      <c r="R103" s="177">
        <f t="shared" si="28"/>
        <v>0.52139421790568852</v>
      </c>
      <c r="S103" s="811">
        <f t="shared" si="29"/>
        <v>-2</v>
      </c>
      <c r="T103" s="176">
        <f t="shared" si="30"/>
        <v>4</v>
      </c>
      <c r="U103" s="251">
        <f t="shared" si="31"/>
        <v>-1.4786057820943115</v>
      </c>
      <c r="V103" s="383">
        <f t="shared" si="32"/>
        <v>53.264386506183939</v>
      </c>
      <c r="W103" s="58"/>
      <c r="X103" s="157">
        <f t="shared" si="33"/>
        <v>43554</v>
      </c>
      <c r="Y103" s="385">
        <f t="shared" si="34"/>
        <v>54.213000000000001</v>
      </c>
      <c r="Z103" s="385">
        <f t="shared" si="35"/>
        <v>54.564422071136079</v>
      </c>
      <c r="AA103" s="386">
        <f t="shared" si="36"/>
        <v>55.483173224381616</v>
      </c>
      <c r="AB103" s="197">
        <f t="shared" si="37"/>
        <v>43554</v>
      </c>
      <c r="AC103" s="426">
        <f>IF(OR(t&lt;Tnet,NoTnet),'2018'!Resal_s+('2018'!Salim-'2018'!Resal_s)*(1-EXP(('2018'!Tnet_s-t)/'2018'!Tau_j)),Resal_s+(Salim-Resal_s)*(1-EXP((Tnet_s-t)/Tau_j)))*Salcycl</f>
        <v>1.6559095304985255E-2</v>
      </c>
      <c r="AD103" s="231">
        <f>(INDEX(Models!$BJ103:$BT103,,AH103)*(1-AF103)+INDEX(Models!$BJ103:$BT103,,AH103+1)*AF103-ERP_i)*AE103*Ramure*Pc/MaxiM</f>
        <v>1.8646936749787597E-7</v>
      </c>
      <c r="AE103" s="305">
        <f t="shared" si="38"/>
        <v>0.5</v>
      </c>
      <c r="AF103" s="177">
        <f t="shared" si="39"/>
        <v>0.52139421790568852</v>
      </c>
      <c r="AG103" s="176">
        <f t="shared" si="40"/>
        <v>-2</v>
      </c>
      <c r="AH103" s="176">
        <f t="shared" si="41"/>
        <v>4</v>
      </c>
      <c r="AI103" s="225">
        <f t="shared" si="42"/>
        <v>-1.4786057820943115</v>
      </c>
      <c r="AJ103" s="265" t="b">
        <f t="shared" si="43"/>
        <v>0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7">
        <v>46.28</v>
      </c>
      <c r="C104" s="390"/>
      <c r="D104" s="393">
        <f t="shared" si="24"/>
        <v>46.581018647415029</v>
      </c>
      <c r="E104" s="385">
        <f t="shared" si="46"/>
        <v>47.36780101167826</v>
      </c>
      <c r="F104" s="385">
        <f t="shared" si="25"/>
        <v>47.367807575936794</v>
      </c>
      <c r="G104" s="110">
        <f t="shared" si="47"/>
        <v>0.8636647967149037</v>
      </c>
      <c r="H104" s="414" t="b">
        <f>Wh_hp&gt;='2018'!Maxi_hp</f>
        <v>1</v>
      </c>
      <c r="I104" s="390">
        <f>IF(H104,Wh_hp,'2018'!Maxi_hp)</f>
        <v>47.367807575936794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6.4622598679845433E-3</v>
      </c>
      <c r="M104" s="845"/>
      <c r="N104" s="845"/>
      <c r="O104" s="48">
        <f>IF(t&lt;Tnet,'2018'!Resal+('2018'!Salim-'2018'!Resal)*(1-EXP(('2018'!Tnet-t)/('2018'!Tau_j))),Resal+(Salim-Resal)*(1-EXP((Tnet-t)/(Tau_j))))*Salcycl</f>
        <v>1.661006733391017E-2</v>
      </c>
      <c r="P104" s="169">
        <f>(INDEX(Models!$BJ104:$BT104,,T104)*(1-R104)+INDEX(Models!$BJ104:$BT104,,T104+1)*R104-ERP_i)*Q104*Ramure*Pc/MaxiM</f>
        <v>1.7209945655951092E-7</v>
      </c>
      <c r="Q104" s="305">
        <f t="shared" si="27"/>
        <v>0.5</v>
      </c>
      <c r="R104" s="177">
        <f t="shared" si="28"/>
        <v>0.52237734238935296</v>
      </c>
      <c r="S104" s="811">
        <f t="shared" si="29"/>
        <v>-2</v>
      </c>
      <c r="T104" s="176">
        <f t="shared" si="30"/>
        <v>4</v>
      </c>
      <c r="U104" s="251">
        <f t="shared" si="31"/>
        <v>-1.477622657610647</v>
      </c>
      <c r="V104" s="383">
        <f t="shared" si="32"/>
        <v>53.58560245222489</v>
      </c>
      <c r="W104" s="58"/>
      <c r="X104" s="157">
        <f t="shared" si="33"/>
        <v>43555</v>
      </c>
      <c r="Y104" s="385">
        <f t="shared" si="34"/>
        <v>46.28</v>
      </c>
      <c r="Z104" s="385">
        <f t="shared" si="35"/>
        <v>46.581018647415029</v>
      </c>
      <c r="AA104" s="386">
        <f t="shared" si="36"/>
        <v>47.36780101167826</v>
      </c>
      <c r="AB104" s="197">
        <f t="shared" si="37"/>
        <v>43555</v>
      </c>
      <c r="AC104" s="426">
        <f>IF(OR(t&lt;Tnet,NoTnet),'2018'!Resal_s+('2018'!Salim-'2018'!Resal_s)*(1-EXP(('2018'!Tnet_s-t)/'2018'!Tau_j)),Resal_s+(Salim-Resal_s)*(1-EXP((Tnet_s-t)/Tau_j)))*Salcycl</f>
        <v>1.661006733391017E-2</v>
      </c>
      <c r="AD104" s="231">
        <f>(INDEX(Models!$BJ104:$BT104,,AH104)*(1-AF104)+INDEX(Models!$BJ104:$BT104,,AH104+1)*AF104-ERP_i)*AE104*Ramure*Pc/MaxiM</f>
        <v>1.7209945655951092E-7</v>
      </c>
      <c r="AE104" s="305">
        <f t="shared" si="38"/>
        <v>0.5</v>
      </c>
      <c r="AF104" s="177">
        <f t="shared" si="39"/>
        <v>0.52237734238935296</v>
      </c>
      <c r="AG104" s="176">
        <f t="shared" si="40"/>
        <v>-2</v>
      </c>
      <c r="AH104" s="176">
        <f t="shared" si="41"/>
        <v>4</v>
      </c>
      <c r="AI104" s="225">
        <f t="shared" si="42"/>
        <v>-1.477622657610647</v>
      </c>
      <c r="AJ104" s="265" t="b">
        <f t="shared" si="43"/>
        <v>0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7">
        <v>39.731000000000002</v>
      </c>
      <c r="C105" s="390"/>
      <c r="D105" s="393">
        <f t="shared" si="24"/>
        <v>39.990297927331738</v>
      </c>
      <c r="E105" s="385">
        <f t="shared" si="46"/>
        <v>40.667871845635943</v>
      </c>
      <c r="F105" s="385">
        <f t="shared" si="25"/>
        <v>40.667875981373648</v>
      </c>
      <c r="G105" s="110">
        <f t="shared" si="47"/>
        <v>0.73715034037342542</v>
      </c>
      <c r="H105" s="414" t="b">
        <f>Wh_hp&gt;='2018'!Maxi_hp</f>
        <v>1</v>
      </c>
      <c r="I105" s="390">
        <f>IF(H105,Wh_hp,'2018'!Maxi_hp)</f>
        <v>40.667875981373648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6.4840208943408584E-3</v>
      </c>
      <c r="M105" s="845"/>
      <c r="N105" s="845"/>
      <c r="O105" s="48">
        <f>IF(t&lt;Tnet,'2018'!Resal+('2018'!Salim-'2018'!Resal)*(1-EXP(('2018'!Tnet-t)/('2018'!Tau_j))),Resal+(Salim-Resal)*(1-EXP((Tnet-t)/(Tau_j))))*Salcycl</f>
        <v>1.6661159966179E-2</v>
      </c>
      <c r="P105" s="169">
        <f>(INDEX(Models!$BJ105:$BT105,,T105)*(1-R105)+INDEX(Models!$BJ105:$BT105,,T105+1)*R105-ERP_i)*Q105*Ramure*Pc/MaxiM</f>
        <v>1.6284284128150688E-7</v>
      </c>
      <c r="Q105" s="305">
        <f t="shared" si="27"/>
        <v>0.5</v>
      </c>
      <c r="R105" s="177">
        <f t="shared" si="28"/>
        <v>0.52339740145863822</v>
      </c>
      <c r="S105" s="811">
        <f t="shared" si="29"/>
        <v>-2</v>
      </c>
      <c r="T105" s="176">
        <f t="shared" si="30"/>
        <v>4</v>
      </c>
      <c r="U105" s="251">
        <f t="shared" si="31"/>
        <v>-1.4766025985413618</v>
      </c>
      <c r="V105" s="383">
        <f t="shared" si="32"/>
        <v>53.898092959470915</v>
      </c>
      <c r="W105" s="58"/>
      <c r="X105" s="157">
        <f t="shared" si="33"/>
        <v>43556</v>
      </c>
      <c r="Y105" s="385">
        <f t="shared" si="34"/>
        <v>39.731000000000002</v>
      </c>
      <c r="Z105" s="385">
        <f t="shared" si="35"/>
        <v>39.990297927331738</v>
      </c>
      <c r="AA105" s="386">
        <f t="shared" si="36"/>
        <v>40.667871845635943</v>
      </c>
      <c r="AB105" s="197">
        <f t="shared" si="37"/>
        <v>43556</v>
      </c>
      <c r="AC105" s="426">
        <f>IF(OR(t&lt;Tnet,NoTnet),'2018'!Resal_s+('2018'!Salim-'2018'!Resal_s)*(1-EXP(('2018'!Tnet_s-t)/'2018'!Tau_j)),Resal_s+(Salim-Resal_s)*(1-EXP((Tnet_s-t)/Tau_j)))*Salcycl</f>
        <v>1.6661159966179E-2</v>
      </c>
      <c r="AD105" s="231">
        <f>(INDEX(Models!$BJ105:$BT105,,AH105)*(1-AF105)+INDEX(Models!$BJ105:$BT105,,AH105+1)*AF105-ERP_i)*AE105*Ramure*Pc/MaxiM</f>
        <v>1.6284284128150688E-7</v>
      </c>
      <c r="AE105" s="305">
        <f t="shared" si="38"/>
        <v>0.5</v>
      </c>
      <c r="AF105" s="177">
        <f t="shared" si="39"/>
        <v>0.52339740145863822</v>
      </c>
      <c r="AG105" s="176">
        <f t="shared" si="40"/>
        <v>-2</v>
      </c>
      <c r="AH105" s="176">
        <f t="shared" si="41"/>
        <v>4</v>
      </c>
      <c r="AI105" s="225">
        <f t="shared" si="42"/>
        <v>-1.4766025985413618</v>
      </c>
      <c r="AJ105" s="265" t="b">
        <f t="shared" si="43"/>
        <v>0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7">
        <v>15.236000000000001</v>
      </c>
      <c r="C106" s="390"/>
      <c r="D106" s="393">
        <f t="shared" si="24"/>
        <v>15.335771175544433</v>
      </c>
      <c r="E106" s="385">
        <f t="shared" si="46"/>
        <v>15.596424556904962</v>
      </c>
      <c r="F106" s="385">
        <f t="shared" si="25"/>
        <v>15.596424556904962</v>
      </c>
      <c r="G106" s="110">
        <f t="shared" si="47"/>
        <v>0.28110276222134556</v>
      </c>
      <c r="H106" s="414" t="b">
        <f>Wh_hp&gt;='2018'!Maxi_hp</f>
        <v>1</v>
      </c>
      <c r="I106" s="390">
        <f>IF(H106,Wh_hp,'2018'!Maxi_hp)</f>
        <v>15.596424556904962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6.5057814440747652E-3</v>
      </c>
      <c r="M106" s="845"/>
      <c r="N106" s="845"/>
      <c r="O106" s="48">
        <f>IF(t&lt;Tnet,'2018'!Resal+('2018'!Salim-'2018'!Resal)*(1-EXP(('2018'!Tnet-t)/('2018'!Tau_j))),Resal+(Salim-Resal)*(1-EXP((Tnet-t)/(Tau_j))))*Salcycl</f>
        <v>1.6712380482431149E-2</v>
      </c>
      <c r="P106" s="169">
        <f>(INDEX(Models!$BJ106:$BT106,,T106)*(1-R106)+INDEX(Models!$BJ106:$BT106,,T106+1)*R106-ERP_i)*Q106*Ramure*Pc/MaxiM</f>
        <v>1.5865861341858022E-7</v>
      </c>
      <c r="Q106" s="305">
        <f t="shared" si="27"/>
        <v>0.5</v>
      </c>
      <c r="R106" s="177">
        <f t="shared" si="28"/>
        <v>0.52445560550807757</v>
      </c>
      <c r="S106" s="811">
        <f t="shared" si="29"/>
        <v>-2</v>
      </c>
      <c r="T106" s="176">
        <f t="shared" si="30"/>
        <v>4</v>
      </c>
      <c r="U106" s="251">
        <f t="shared" si="31"/>
        <v>-1.4755443944919224</v>
      </c>
      <c r="V106" s="383">
        <f t="shared" si="32"/>
        <v>54.200810629816075</v>
      </c>
      <c r="W106" s="58"/>
      <c r="X106" s="157">
        <f t="shared" si="33"/>
        <v>43557</v>
      </c>
      <c r="Y106" s="385">
        <f t="shared" si="34"/>
        <v>15.236000000000001</v>
      </c>
      <c r="Z106" s="385">
        <f t="shared" si="35"/>
        <v>15.335771175544433</v>
      </c>
      <c r="AA106" s="386">
        <f t="shared" si="36"/>
        <v>15.596424556904962</v>
      </c>
      <c r="AB106" s="197">
        <f t="shared" si="37"/>
        <v>43557</v>
      </c>
      <c r="AC106" s="426">
        <f>IF(OR(t&lt;Tnet,NoTnet),'2018'!Resal_s+('2018'!Salim-'2018'!Resal_s)*(1-EXP(('2018'!Tnet_s-t)/'2018'!Tau_j)),Resal_s+(Salim-Resal_s)*(1-EXP((Tnet_s-t)/Tau_j)))*Salcycl</f>
        <v>1.6712380482431149E-2</v>
      </c>
      <c r="AD106" s="231">
        <f>(INDEX(Models!$BJ106:$BT106,,AH106)*(1-AF106)+INDEX(Models!$BJ106:$BT106,,AH106+1)*AF106-ERP_i)*AE106*Ramure*Pc/MaxiM</f>
        <v>1.5865861341858022E-7</v>
      </c>
      <c r="AE106" s="305">
        <f t="shared" si="38"/>
        <v>0.5</v>
      </c>
      <c r="AF106" s="177">
        <f t="shared" si="39"/>
        <v>0.52445560550807757</v>
      </c>
      <c r="AG106" s="176">
        <f t="shared" si="40"/>
        <v>-2</v>
      </c>
      <c r="AH106" s="176">
        <f t="shared" si="41"/>
        <v>4</v>
      </c>
      <c r="AI106" s="225">
        <f t="shared" si="42"/>
        <v>-1.4755443944919224</v>
      </c>
      <c r="AJ106" s="265" t="b">
        <f t="shared" si="43"/>
        <v>0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7">
        <v>15.61</v>
      </c>
      <c r="C107" s="390"/>
      <c r="D107" s="393">
        <f t="shared" si="24"/>
        <v>15.712564416570794</v>
      </c>
      <c r="E107" s="385">
        <f t="shared" si="46"/>
        <v>15.980456573313637</v>
      </c>
      <c r="F107" s="385">
        <f t="shared" si="25"/>
        <v>15.980456573313637</v>
      </c>
      <c r="G107" s="110">
        <f t="shared" si="47"/>
        <v>0.28644532235085796</v>
      </c>
      <c r="H107" s="414" t="b">
        <f>Wh_hp&gt;='2018'!Maxi_hp</f>
        <v>1</v>
      </c>
      <c r="I107" s="390">
        <f>IF(H107,Wh_hp,'2018'!Maxi_hp)</f>
        <v>15.980456573313637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6.527541517196811E-3</v>
      </c>
      <c r="M107" s="845"/>
      <c r="N107" s="845"/>
      <c r="O107" s="48">
        <f>IF(t&lt;Tnet,'2018'!Resal+('2018'!Salim-'2018'!Resal)*(1-EXP(('2018'!Tnet-t)/('2018'!Tau_j))),Resal+(Salim-Resal)*(1-EXP((Tnet-t)/(Tau_j))))*Salcycl</f>
        <v>1.6763736099393162E-2</v>
      </c>
      <c r="P107" s="169">
        <f>(INDEX(Models!$BJ107:$BT107,,T107)*(1-R107)+INDEX(Models!$BJ107:$BT107,,T107+1)*R107-ERP_i)*Q107*Ramure*Pc/MaxiM</f>
        <v>1.5950909401810366E-7</v>
      </c>
      <c r="Q107" s="305">
        <f t="shared" si="27"/>
        <v>0.5</v>
      </c>
      <c r="R107" s="177">
        <f t="shared" si="28"/>
        <v>0.52555319031289116</v>
      </c>
      <c r="S107" s="811">
        <f t="shared" si="29"/>
        <v>-2</v>
      </c>
      <c r="T107" s="176">
        <f t="shared" si="30"/>
        <v>4</v>
      </c>
      <c r="U107" s="251">
        <f t="shared" si="31"/>
        <v>-1.4744468096871088</v>
      </c>
      <c r="V107" s="383">
        <f t="shared" si="32"/>
        <v>54.495557413721151</v>
      </c>
      <c r="W107" s="58"/>
      <c r="X107" s="157">
        <f t="shared" si="33"/>
        <v>43558</v>
      </c>
      <c r="Y107" s="385">
        <f t="shared" si="34"/>
        <v>15.61</v>
      </c>
      <c r="Z107" s="385">
        <f t="shared" si="35"/>
        <v>15.712564416570794</v>
      </c>
      <c r="AA107" s="386">
        <f t="shared" si="36"/>
        <v>15.980456573313637</v>
      </c>
      <c r="AB107" s="197">
        <f t="shared" si="37"/>
        <v>43558</v>
      </c>
      <c r="AC107" s="426">
        <f>IF(OR(t&lt;Tnet,NoTnet),'2018'!Resal_s+('2018'!Salim-'2018'!Resal_s)*(1-EXP(('2018'!Tnet_s-t)/'2018'!Tau_j)),Resal_s+(Salim-Resal_s)*(1-EXP((Tnet_s-t)/Tau_j)))*Salcycl</f>
        <v>1.6763736099393162E-2</v>
      </c>
      <c r="AD107" s="231">
        <f>(INDEX(Models!$BJ107:$BT107,,AH107)*(1-AF107)+INDEX(Models!$BJ107:$BT107,,AH107+1)*AF107-ERP_i)*AE107*Ramure*Pc/MaxiM</f>
        <v>1.5950909401810366E-7</v>
      </c>
      <c r="AE107" s="305">
        <f t="shared" si="38"/>
        <v>0.5</v>
      </c>
      <c r="AF107" s="177">
        <f t="shared" si="39"/>
        <v>0.52555319031289116</v>
      </c>
      <c r="AG107" s="176">
        <f t="shared" si="40"/>
        <v>-2</v>
      </c>
      <c r="AH107" s="176">
        <f t="shared" si="41"/>
        <v>4</v>
      </c>
      <c r="AI107" s="225">
        <f t="shared" si="42"/>
        <v>-1.4744468096871088</v>
      </c>
      <c r="AJ107" s="265" t="b">
        <f t="shared" si="43"/>
        <v>0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7">
        <v>39.783999999999999</v>
      </c>
      <c r="C108" s="390"/>
      <c r="D108" s="393">
        <f t="shared" si="24"/>
        <v>40.046275114205706</v>
      </c>
      <c r="E108" s="385">
        <f t="shared" si="46"/>
        <v>40.731179425519805</v>
      </c>
      <c r="F108" s="385">
        <f t="shared" si="25"/>
        <v>40.73118366689544</v>
      </c>
      <c r="G108" s="110">
        <f t="shared" si="47"/>
        <v>0.72618725930877093</v>
      </c>
      <c r="H108" s="414" t="b">
        <f>Wh_hp&gt;='2018'!Maxi_hp</f>
        <v>1</v>
      </c>
      <c r="I108" s="390">
        <f>IF(H108,Wh_hp,'2018'!Maxi_hp)</f>
        <v>40.73118366689544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6.5493011137175428E-3</v>
      </c>
      <c r="M108" s="845"/>
      <c r="N108" s="845"/>
      <c r="O108" s="48">
        <f>IF(t&lt;Tnet,'2018'!Resal+('2018'!Salim-'2018'!Resal)*(1-EXP(('2018'!Tnet-t)/('2018'!Tau_j))),Resal+(Salim-Resal)*(1-EXP((Tnet-t)/(Tau_j))))*Salcycl</f>
        <v>1.6815233955267683E-2</v>
      </c>
      <c r="P108" s="169">
        <f>(INDEX(Models!$BJ108:$BT108,,T108)*(1-R108)+INDEX(Models!$BJ108:$BT108,,T108+1)*R108-ERP_i)*Q108*Ramure*Pc/MaxiM</f>
        <v>1.7103194479057452E-7</v>
      </c>
      <c r="Q108" s="305">
        <f t="shared" si="27"/>
        <v>0.5</v>
      </c>
      <c r="R108" s="177">
        <f t="shared" si="28"/>
        <v>0.52669141634774364</v>
      </c>
      <c r="S108" s="811">
        <f t="shared" si="29"/>
        <v>-2</v>
      </c>
      <c r="T108" s="176">
        <f t="shared" si="30"/>
        <v>4</v>
      </c>
      <c r="U108" s="251">
        <f t="shared" si="31"/>
        <v>-1.4733085836522564</v>
      </c>
      <c r="V108" s="383">
        <f t="shared" si="32"/>
        <v>54.78476361080498</v>
      </c>
      <c r="W108" s="58"/>
      <c r="X108" s="157">
        <f t="shared" si="33"/>
        <v>43559</v>
      </c>
      <c r="Y108" s="385">
        <f t="shared" si="34"/>
        <v>39.783999999999999</v>
      </c>
      <c r="Z108" s="385">
        <f t="shared" si="35"/>
        <v>40.046275114205706</v>
      </c>
      <c r="AA108" s="386">
        <f t="shared" si="36"/>
        <v>40.731179425519805</v>
      </c>
      <c r="AB108" s="197">
        <f t="shared" si="37"/>
        <v>43559</v>
      </c>
      <c r="AC108" s="426">
        <f>IF(OR(t&lt;Tnet,NoTnet),'2018'!Resal_s+('2018'!Salim-'2018'!Resal_s)*(1-EXP(('2018'!Tnet_s-t)/'2018'!Tau_j)),Resal_s+(Salim-Resal_s)*(1-EXP((Tnet_s-t)/Tau_j)))*Salcycl</f>
        <v>1.6815233955267683E-2</v>
      </c>
      <c r="AD108" s="231">
        <f>(INDEX(Models!$BJ108:$BT108,,AH108)*(1-AF108)+INDEX(Models!$BJ108:$BT108,,AH108+1)*AF108-ERP_i)*AE108*Ramure*Pc/MaxiM</f>
        <v>1.7103194479057452E-7</v>
      </c>
      <c r="AE108" s="305">
        <f t="shared" si="38"/>
        <v>0.5</v>
      </c>
      <c r="AF108" s="177">
        <f t="shared" si="39"/>
        <v>0.52669141634774364</v>
      </c>
      <c r="AG108" s="176">
        <f t="shared" si="40"/>
        <v>-2</v>
      </c>
      <c r="AH108" s="176">
        <f t="shared" si="41"/>
        <v>4</v>
      </c>
      <c r="AI108" s="225">
        <f t="shared" si="42"/>
        <v>-1.4733085836522564</v>
      </c>
      <c r="AJ108" s="265" t="b">
        <f t="shared" si="43"/>
        <v>0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7">
        <v>51.651000000000003</v>
      </c>
      <c r="C109" s="390"/>
      <c r="D109" s="393">
        <f t="shared" si="24"/>
        <v>51.992646813921013</v>
      </c>
      <c r="E109" s="385">
        <f t="shared" si="46"/>
        <v>52.884645847202137</v>
      </c>
      <c r="F109" s="385">
        <f t="shared" si="25"/>
        <v>52.884655061157446</v>
      </c>
      <c r="G109" s="110">
        <f t="shared" si="47"/>
        <v>0.93794388993105027</v>
      </c>
      <c r="H109" s="414" t="b">
        <f>Wh_hp&gt;='2018'!Maxi_hp</f>
        <v>1</v>
      </c>
      <c r="I109" s="390">
        <f>IF(H109,Wh_hp,'2018'!Maxi_hp)</f>
        <v>52.884655061157446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6.5710602336470636E-3</v>
      </c>
      <c r="M109" s="845"/>
      <c r="N109" s="845"/>
      <c r="O109" s="48">
        <f>IF(t&lt;Tnet,'2018'!Resal+('2018'!Salim-'2018'!Resal)*(1-EXP(('2018'!Tnet-t)/('2018'!Tau_j))),Resal+(Salim-Resal)*(1-EXP((Tnet-t)/(Tau_j))))*Salcycl</f>
        <v>1.6866881095476193E-2</v>
      </c>
      <c r="P109" s="169">
        <f>(INDEX(Models!$BJ109:$BT109,,T109)*(1-R109)+INDEX(Models!$BJ109:$BT109,,T109+1)*R109-ERP_i)*Q109*Ramure*Pc/MaxiM</f>
        <v>1.9117538453157565E-7</v>
      </c>
      <c r="Q109" s="305">
        <f t="shared" si="27"/>
        <v>0.5</v>
      </c>
      <c r="R109" s="177">
        <f t="shared" si="28"/>
        <v>0.5278715679757624</v>
      </c>
      <c r="S109" s="811">
        <f t="shared" si="29"/>
        <v>-2</v>
      </c>
      <c r="T109" s="176">
        <f t="shared" si="30"/>
        <v>4</v>
      </c>
      <c r="U109" s="251">
        <f t="shared" si="31"/>
        <v>-1.4721284320242376</v>
      </c>
      <c r="V109" s="383">
        <f t="shared" si="32"/>
        <v>55.068325172858486</v>
      </c>
      <c r="W109" s="58"/>
      <c r="X109" s="157">
        <f t="shared" si="33"/>
        <v>43560</v>
      </c>
      <c r="Y109" s="385">
        <f t="shared" si="34"/>
        <v>51.651000000000003</v>
      </c>
      <c r="Z109" s="385">
        <f t="shared" si="35"/>
        <v>51.992646813921013</v>
      </c>
      <c r="AA109" s="386">
        <f t="shared" si="36"/>
        <v>52.884645847202137</v>
      </c>
      <c r="AB109" s="197">
        <f t="shared" si="37"/>
        <v>43560</v>
      </c>
      <c r="AC109" s="426">
        <f>IF(OR(t&lt;Tnet,NoTnet),'2018'!Resal_s+('2018'!Salim-'2018'!Resal_s)*(1-EXP(('2018'!Tnet_s-t)/'2018'!Tau_j)),Resal_s+(Salim-Resal_s)*(1-EXP((Tnet_s-t)/Tau_j)))*Salcycl</f>
        <v>1.6866881095476193E-2</v>
      </c>
      <c r="AD109" s="231">
        <f>(INDEX(Models!$BJ109:$BT109,,AH109)*(1-AF109)+INDEX(Models!$BJ109:$BT109,,AH109+1)*AF109-ERP_i)*AE109*Ramure*Pc/MaxiM</f>
        <v>1.9117538453157565E-7</v>
      </c>
      <c r="AE109" s="305">
        <f t="shared" si="38"/>
        <v>0.5</v>
      </c>
      <c r="AF109" s="177">
        <f t="shared" si="39"/>
        <v>0.5278715679757624</v>
      </c>
      <c r="AG109" s="176">
        <f t="shared" si="40"/>
        <v>-2</v>
      </c>
      <c r="AH109" s="176">
        <f t="shared" si="41"/>
        <v>4</v>
      </c>
      <c r="AI109" s="225">
        <f t="shared" si="42"/>
        <v>-1.4721284320242376</v>
      </c>
      <c r="AJ109" s="265" t="b">
        <f t="shared" si="43"/>
        <v>0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7">
        <v>19.648</v>
      </c>
      <c r="C110" s="390"/>
      <c r="D110" s="393">
        <f t="shared" si="24"/>
        <v>19.778395378407456</v>
      </c>
      <c r="E110" s="385">
        <f t="shared" si="46"/>
        <v>20.118778646013741</v>
      </c>
      <c r="F110" s="385">
        <f t="shared" si="25"/>
        <v>20.118778993698847</v>
      </c>
      <c r="G110" s="110">
        <f t="shared" si="47"/>
        <v>0.35500211464416287</v>
      </c>
      <c r="H110" s="414" t="b">
        <f>Wh_hp&gt;='2018'!Maxi_hp</f>
        <v>1</v>
      </c>
      <c r="I110" s="390">
        <f>IF(H110,Wh_hp,'2018'!Maxi_hp)</f>
        <v>20.118778993698847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6.5928188769961427E-3</v>
      </c>
      <c r="M110" s="845"/>
      <c r="N110" s="845"/>
      <c r="O110" s="48">
        <f>IF(t&lt;Tnet,'2018'!Resal+('2018'!Salim-'2018'!Resal)*(1-EXP(('2018'!Tnet-t)/('2018'!Tau_j))),Resal+(Salim-Resal)*(1-EXP((Tnet-t)/(Tau_j))))*Salcycl</f>
        <v>1.691868445869725E-2</v>
      </c>
      <c r="P110" s="169">
        <f>(INDEX(Models!$BJ110:$BT110,,T110)*(1-R110)+INDEX(Models!$BJ110:$BT110,,T110+1)*R110-ERP_i)*Q110*Ramure*Pc/MaxiM</f>
        <v>2.1993915445867684E-7</v>
      </c>
      <c r="Q110" s="305">
        <f t="shared" si="27"/>
        <v>0.5</v>
      </c>
      <c r="R110" s="177">
        <f t="shared" si="28"/>
        <v>0.52909495249880267</v>
      </c>
      <c r="S110" s="811">
        <f t="shared" si="29"/>
        <v>-2</v>
      </c>
      <c r="T110" s="176">
        <f t="shared" si="30"/>
        <v>4</v>
      </c>
      <c r="U110" s="251">
        <f t="shared" si="31"/>
        <v>-1.4709050475011973</v>
      </c>
      <c r="V110" s="383">
        <f t="shared" si="32"/>
        <v>55.346137974076342</v>
      </c>
      <c r="W110" s="58"/>
      <c r="X110" s="157">
        <f t="shared" si="33"/>
        <v>43561</v>
      </c>
      <c r="Y110" s="385">
        <f t="shared" si="34"/>
        <v>19.648</v>
      </c>
      <c r="Z110" s="385">
        <f t="shared" si="35"/>
        <v>19.778395378407456</v>
      </c>
      <c r="AA110" s="386">
        <f t="shared" si="36"/>
        <v>20.118778646013741</v>
      </c>
      <c r="AB110" s="197">
        <f t="shared" si="37"/>
        <v>43561</v>
      </c>
      <c r="AC110" s="426">
        <f>IF(OR(t&lt;Tnet,NoTnet),'2018'!Resal_s+('2018'!Salim-'2018'!Resal_s)*(1-EXP(('2018'!Tnet_s-t)/'2018'!Tau_j)),Resal_s+(Salim-Resal_s)*(1-EXP((Tnet_s-t)/Tau_j)))*Salcycl</f>
        <v>1.691868445869725E-2</v>
      </c>
      <c r="AD110" s="231">
        <f>(INDEX(Models!$BJ110:$BT110,,AH110)*(1-AF110)+INDEX(Models!$BJ110:$BT110,,AH110+1)*AF110-ERP_i)*AE110*Ramure*Pc/MaxiM</f>
        <v>2.1993915445867684E-7</v>
      </c>
      <c r="AE110" s="305">
        <f t="shared" si="38"/>
        <v>0.5</v>
      </c>
      <c r="AF110" s="177">
        <f t="shared" si="39"/>
        <v>0.52909495249880267</v>
      </c>
      <c r="AG110" s="176">
        <f t="shared" si="40"/>
        <v>-2</v>
      </c>
      <c r="AH110" s="176">
        <f t="shared" si="41"/>
        <v>4</v>
      </c>
      <c r="AI110" s="225">
        <f t="shared" si="42"/>
        <v>-1.4709050475011973</v>
      </c>
      <c r="AJ110" s="265" t="b">
        <f t="shared" si="43"/>
        <v>0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7">
        <v>34.701000000000001</v>
      </c>
      <c r="C111" s="390"/>
      <c r="D111" s="393">
        <f t="shared" si="24"/>
        <v>34.932060807509103</v>
      </c>
      <c r="E111" s="385">
        <f t="shared" si="46"/>
        <v>35.535114834750985</v>
      </c>
      <c r="F111" s="385">
        <f t="shared" si="25"/>
        <v>35.535119066308624</v>
      </c>
      <c r="G111" s="110">
        <f t="shared" si="47"/>
        <v>0.62391553287999479</v>
      </c>
      <c r="H111" s="414" t="b">
        <f>Wh_hp&gt;='2018'!Maxi_hp</f>
        <v>1</v>
      </c>
      <c r="I111" s="390">
        <f>IF(H111,Wh_hp,'2018'!Maxi_hp)</f>
        <v>35.535119066308624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6.614577043775105E-3</v>
      </c>
      <c r="M111" s="845"/>
      <c r="N111" s="845"/>
      <c r="O111" s="48">
        <f>IF(t&lt;Tnet,'2018'!Resal+('2018'!Salim-'2018'!Resal)*(1-EXP(('2018'!Tnet-t)/('2018'!Tau_j))),Resal+(Salim-Resal)*(1-EXP((Tnet-t)/(Tau_j))))*Salcycl</f>
        <v>1.6970650863132684E-2</v>
      </c>
      <c r="P111" s="169">
        <f>(INDEX(Models!$BJ111:$BT111,,T111)*(1-R111)+INDEX(Models!$BJ111:$BT111,,T111+1)*R111-ERP_i)*Q111*Ramure*Pc/MaxiM</f>
        <v>2.5734079340317907E-7</v>
      </c>
      <c r="Q111" s="305">
        <f t="shared" si="27"/>
        <v>0.5</v>
      </c>
      <c r="R111" s="177">
        <f t="shared" si="28"/>
        <v>0.53036289905975176</v>
      </c>
      <c r="S111" s="811">
        <f t="shared" si="29"/>
        <v>-2</v>
      </c>
      <c r="T111" s="176">
        <f t="shared" si="30"/>
        <v>4</v>
      </c>
      <c r="U111" s="251">
        <f t="shared" si="31"/>
        <v>-1.4696371009402482</v>
      </c>
      <c r="V111" s="383">
        <f t="shared" si="32"/>
        <v>55.618097921150671</v>
      </c>
      <c r="W111" s="58"/>
      <c r="X111" s="157">
        <f t="shared" si="33"/>
        <v>43562</v>
      </c>
      <c r="Y111" s="385">
        <f t="shared" si="34"/>
        <v>34.701000000000001</v>
      </c>
      <c r="Z111" s="385">
        <f t="shared" si="35"/>
        <v>34.932060807509103</v>
      </c>
      <c r="AA111" s="386">
        <f t="shared" si="36"/>
        <v>35.535114834750985</v>
      </c>
      <c r="AB111" s="197">
        <f t="shared" si="37"/>
        <v>43562</v>
      </c>
      <c r="AC111" s="426">
        <f>IF(OR(t&lt;Tnet,NoTnet),'2018'!Resal_s+('2018'!Salim-'2018'!Resal_s)*(1-EXP(('2018'!Tnet_s-t)/'2018'!Tau_j)),Resal_s+(Salim-Resal_s)*(1-EXP((Tnet_s-t)/Tau_j)))*Salcycl</f>
        <v>1.6970650863132684E-2</v>
      </c>
      <c r="AD111" s="231">
        <f>(INDEX(Models!$BJ111:$BT111,,AH111)*(1-AF111)+INDEX(Models!$BJ111:$BT111,,AH111+1)*AF111-ERP_i)*AE111*Ramure*Pc/MaxiM</f>
        <v>2.5734079340317907E-7</v>
      </c>
      <c r="AE111" s="305">
        <f t="shared" si="38"/>
        <v>0.5</v>
      </c>
      <c r="AF111" s="177">
        <f t="shared" si="39"/>
        <v>0.53036289905975176</v>
      </c>
      <c r="AG111" s="176">
        <f t="shared" si="40"/>
        <v>-2</v>
      </c>
      <c r="AH111" s="176">
        <f t="shared" si="41"/>
        <v>4</v>
      </c>
      <c r="AI111" s="225">
        <f t="shared" si="42"/>
        <v>-1.4696371009402482</v>
      </c>
      <c r="AJ111" s="265" t="b">
        <f t="shared" si="43"/>
        <v>0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7">
        <v>35.953000000000003</v>
      </c>
      <c r="C112" s="390"/>
      <c r="D112" s="393">
        <f t="shared" si="24"/>
        <v>36.193190124758999</v>
      </c>
      <c r="E112" s="385">
        <f t="shared" si="46"/>
        <v>36.819968607449844</v>
      </c>
      <c r="F112" s="385">
        <f t="shared" si="25"/>
        <v>36.819974087192534</v>
      </c>
      <c r="G112" s="110">
        <f t="shared" si="47"/>
        <v>0.64334925003087928</v>
      </c>
      <c r="H112" s="414" t="b">
        <f>Wh_hp&gt;='2018'!Maxi_hp</f>
        <v>1</v>
      </c>
      <c r="I112" s="390">
        <f>IF(H112,Wh_hp,'2018'!Maxi_hp)</f>
        <v>36.819974087192534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6.6363347339942758E-3</v>
      </c>
      <c r="M112" s="845"/>
      <c r="N112" s="845"/>
      <c r="O112" s="48">
        <f>IF(t&lt;Tnet,'2018'!Resal+('2018'!Salim-'2018'!Resal)*(1-EXP(('2018'!Tnet-t)/('2018'!Tau_j))),Resal+(Salim-Resal)*(1-EXP((Tnet-t)/(Tau_j))))*Salcycl</f>
        <v>1.7022786992926E-2</v>
      </c>
      <c r="P112" s="169">
        <f>(INDEX(Models!$BJ112:$BT112,,T112)*(1-R112)+INDEX(Models!$BJ112:$BT112,,T112+1)*R112-ERP_i)*Q112*Ramure*Pc/MaxiM</f>
        <v>3.0341601389812326E-7</v>
      </c>
      <c r="Q112" s="305">
        <f t="shared" si="27"/>
        <v>0.5</v>
      </c>
      <c r="R112" s="177">
        <f t="shared" si="28"/>
        <v>0.5316767573874952</v>
      </c>
      <c r="S112" s="811">
        <f t="shared" si="29"/>
        <v>-2</v>
      </c>
      <c r="T112" s="176">
        <f t="shared" si="30"/>
        <v>4</v>
      </c>
      <c r="U112" s="251">
        <f t="shared" si="31"/>
        <v>-1.4683232426125048</v>
      </c>
      <c r="V112" s="383">
        <f t="shared" si="32"/>
        <v>55.884100961138301</v>
      </c>
      <c r="W112" s="58"/>
      <c r="X112" s="157">
        <f t="shared" si="33"/>
        <v>43563</v>
      </c>
      <c r="Y112" s="385">
        <f t="shared" si="34"/>
        <v>35.953000000000003</v>
      </c>
      <c r="Z112" s="385">
        <f t="shared" si="35"/>
        <v>36.193190124758999</v>
      </c>
      <c r="AA112" s="386">
        <f t="shared" si="36"/>
        <v>36.819968607449844</v>
      </c>
      <c r="AB112" s="197">
        <f t="shared" si="37"/>
        <v>43563</v>
      </c>
      <c r="AC112" s="426">
        <f>IF(OR(t&lt;Tnet,NoTnet),'2018'!Resal_s+('2018'!Salim-'2018'!Resal_s)*(1-EXP(('2018'!Tnet_s-t)/'2018'!Tau_j)),Resal_s+(Salim-Resal_s)*(1-EXP((Tnet_s-t)/Tau_j)))*Salcycl</f>
        <v>1.7022786992926E-2</v>
      </c>
      <c r="AD112" s="231">
        <f>(INDEX(Models!$BJ112:$BT112,,AH112)*(1-AF112)+INDEX(Models!$BJ112:$BT112,,AH112+1)*AF112-ERP_i)*AE112*Ramure*Pc/MaxiM</f>
        <v>3.0341601389812326E-7</v>
      </c>
      <c r="AE112" s="305">
        <f t="shared" si="38"/>
        <v>0.5</v>
      </c>
      <c r="AF112" s="177">
        <f t="shared" si="39"/>
        <v>0.5316767573874952</v>
      </c>
      <c r="AG112" s="176">
        <f t="shared" si="40"/>
        <v>-2</v>
      </c>
      <c r="AH112" s="176">
        <f t="shared" si="41"/>
        <v>4</v>
      </c>
      <c r="AI112" s="225">
        <f t="shared" si="42"/>
        <v>-1.4683232426125048</v>
      </c>
      <c r="AJ112" s="265" t="b">
        <f t="shared" si="43"/>
        <v>0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7">
        <v>40.664999999999999</v>
      </c>
      <c r="C113" s="390"/>
      <c r="D113" s="393">
        <f t="shared" si="24"/>
        <v>40.93756607906802</v>
      </c>
      <c r="E113" s="385">
        <f t="shared" si="46"/>
        <v>41.648722149006012</v>
      </c>
      <c r="F113" s="385">
        <f t="shared" si="25"/>
        <v>41.648731192226585</v>
      </c>
      <c r="G113" s="110">
        <f t="shared" si="47"/>
        <v>0.72429757523862037</v>
      </c>
      <c r="H113" s="414" t="b">
        <f>Wh_hp&gt;='2018'!Maxi_hp</f>
        <v>1</v>
      </c>
      <c r="I113" s="390">
        <f>IF(H113,Wh_hp,'2018'!Maxi_hp)</f>
        <v>41.648731192226585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6.658091947664313E-3</v>
      </c>
      <c r="M113" s="845"/>
      <c r="N113" s="845"/>
      <c r="O113" s="48">
        <f>IF(t&lt;Tnet,'2018'!Resal+('2018'!Salim-'2018'!Resal)*(1-EXP(('2018'!Tnet-t)/('2018'!Tau_j))),Resal+(Salim-Resal)*(1-EXP((Tnet-t)/(Tau_j))))*Salcycl</f>
        <v>1.707509938465088E-2</v>
      </c>
      <c r="P113" s="169">
        <f>(INDEX(Models!$BJ113:$BT113,,T113)*(1-R113)+INDEX(Models!$BJ113:$BT113,,T113+1)*R113-ERP_i)*Q113*Ramure*Pc/MaxiM</f>
        <v>3.5821909643584381E-7</v>
      </c>
      <c r="Q113" s="305">
        <f t="shared" si="27"/>
        <v>0.5</v>
      </c>
      <c r="R113" s="177">
        <f t="shared" si="28"/>
        <v>0.53303789637506127</v>
      </c>
      <c r="S113" s="811">
        <f t="shared" si="29"/>
        <v>-2</v>
      </c>
      <c r="T113" s="176">
        <f t="shared" si="30"/>
        <v>4</v>
      </c>
      <c r="U113" s="251">
        <f t="shared" si="31"/>
        <v>-1.4669621036249387</v>
      </c>
      <c r="V113" s="383">
        <f t="shared" si="32"/>
        <v>56.144043074069884</v>
      </c>
      <c r="W113" s="58"/>
      <c r="X113" s="157">
        <f t="shared" si="33"/>
        <v>43564</v>
      </c>
      <c r="Y113" s="385">
        <f t="shared" si="34"/>
        <v>40.664999999999999</v>
      </c>
      <c r="Z113" s="385">
        <f t="shared" si="35"/>
        <v>40.93756607906802</v>
      </c>
      <c r="AA113" s="386">
        <f t="shared" si="36"/>
        <v>41.648722149006012</v>
      </c>
      <c r="AB113" s="197">
        <f t="shared" si="37"/>
        <v>43564</v>
      </c>
      <c r="AC113" s="426">
        <f>IF(OR(t&lt;Tnet,NoTnet),'2018'!Resal_s+('2018'!Salim-'2018'!Resal_s)*(1-EXP(('2018'!Tnet_s-t)/'2018'!Tau_j)),Resal_s+(Salim-Resal_s)*(1-EXP((Tnet_s-t)/Tau_j)))*Salcycl</f>
        <v>1.707509938465088E-2</v>
      </c>
      <c r="AD113" s="231">
        <f>(INDEX(Models!$BJ113:$BT113,,AH113)*(1-AF113)+INDEX(Models!$BJ113:$BT113,,AH113+1)*AF113-ERP_i)*AE113*Ramure*Pc/MaxiM</f>
        <v>3.5821909643584381E-7</v>
      </c>
      <c r="AE113" s="305">
        <f t="shared" si="38"/>
        <v>0.5</v>
      </c>
      <c r="AF113" s="177">
        <f t="shared" si="39"/>
        <v>0.53303789637506127</v>
      </c>
      <c r="AG113" s="176">
        <f t="shared" si="40"/>
        <v>-2</v>
      </c>
      <c r="AH113" s="176">
        <f t="shared" si="41"/>
        <v>4</v>
      </c>
      <c r="AI113" s="225">
        <f t="shared" si="42"/>
        <v>-1.4669621036249387</v>
      </c>
      <c r="AJ113" s="265" t="b">
        <f t="shared" si="43"/>
        <v>0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7">
        <v>36.979999999999997</v>
      </c>
      <c r="C114" s="390"/>
      <c r="D114" s="393">
        <f t="shared" si="24"/>
        <v>37.228681962242149</v>
      </c>
      <c r="E114" s="385">
        <f t="shared" si="46"/>
        <v>37.877431241990934</v>
      </c>
      <c r="F114" s="385">
        <f t="shared" si="25"/>
        <v>37.877439705016343</v>
      </c>
      <c r="G114" s="110">
        <f t="shared" si="47"/>
        <v>0.65569896987642307</v>
      </c>
      <c r="H114" s="414" t="b">
        <f>Wh_hp&gt;='2018'!Maxi_hp</f>
        <v>1</v>
      </c>
      <c r="I114" s="390">
        <f>IF(H114,Wh_hp,'2018'!Maxi_hp)</f>
        <v>37.877439705016343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6.6798486847954308E-3</v>
      </c>
      <c r="M114" s="845"/>
      <c r="N114" s="845"/>
      <c r="O114" s="48">
        <f>IF(t&lt;Tnet,'2018'!Resal+('2018'!Salim-'2018'!Resal)*(1-EXP(('2018'!Tnet-t)/('2018'!Tau_j))),Resal+(Salim-Resal)*(1-EXP((Tnet-t)/(Tau_j))))*Salcycl</f>
        <v>1.7127594413783309E-2</v>
      </c>
      <c r="P114" s="169">
        <f>(INDEX(Models!$BJ114:$BT114,,T114)*(1-R114)+INDEX(Models!$BJ114:$BT114,,T114+1)*R114-ERP_i)*Q114*Ramure*Pc/MaxiM</f>
        <v>4.3970387076912302E-7</v>
      </c>
      <c r="Q114" s="305">
        <f t="shared" si="27"/>
        <v>0.5</v>
      </c>
      <c r="R114" s="177">
        <f t="shared" si="28"/>
        <v>0.53444770248140383</v>
      </c>
      <c r="S114" s="811">
        <f t="shared" si="29"/>
        <v>-2</v>
      </c>
      <c r="T114" s="176">
        <f t="shared" si="30"/>
        <v>4</v>
      </c>
      <c r="U114" s="251">
        <f t="shared" si="31"/>
        <v>-1.4655522975185962</v>
      </c>
      <c r="V114" s="383">
        <f t="shared" si="32"/>
        <v>56.397819275554689</v>
      </c>
      <c r="W114" s="58"/>
      <c r="X114" s="157">
        <f t="shared" si="33"/>
        <v>43565</v>
      </c>
      <c r="Y114" s="385">
        <f t="shared" si="34"/>
        <v>36.979999999999997</v>
      </c>
      <c r="Z114" s="385">
        <f t="shared" si="35"/>
        <v>37.228681962242149</v>
      </c>
      <c r="AA114" s="386">
        <f t="shared" si="36"/>
        <v>37.877431241990934</v>
      </c>
      <c r="AB114" s="197">
        <f t="shared" si="37"/>
        <v>43565</v>
      </c>
      <c r="AC114" s="426">
        <f>IF(OR(t&lt;Tnet,NoTnet),'2018'!Resal_s+('2018'!Salim-'2018'!Resal_s)*(1-EXP(('2018'!Tnet_s-t)/'2018'!Tau_j)),Resal_s+(Salim-Resal_s)*(1-EXP((Tnet_s-t)/Tau_j)))*Salcycl</f>
        <v>1.7127594413783309E-2</v>
      </c>
      <c r="AD114" s="231">
        <f>(INDEX(Models!$BJ114:$BT114,,AH114)*(1-AF114)+INDEX(Models!$BJ114:$BT114,,AH114+1)*AF114-ERP_i)*AE114*Ramure*Pc/MaxiM</f>
        <v>4.3970387076912302E-7</v>
      </c>
      <c r="AE114" s="305">
        <f t="shared" si="38"/>
        <v>0.5</v>
      </c>
      <c r="AF114" s="177">
        <f t="shared" si="39"/>
        <v>0.53444770248140383</v>
      </c>
      <c r="AG114" s="176">
        <f t="shared" si="40"/>
        <v>-2</v>
      </c>
      <c r="AH114" s="176">
        <f t="shared" si="41"/>
        <v>4</v>
      </c>
      <c r="AI114" s="225">
        <f t="shared" si="42"/>
        <v>-1.4655522975185962</v>
      </c>
      <c r="AJ114" s="265" t="b">
        <f t="shared" si="43"/>
        <v>0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7">
        <v>10.102</v>
      </c>
      <c r="C115" s="390"/>
      <c r="D115" s="393">
        <f t="shared" si="24"/>
        <v>10.170156370226181</v>
      </c>
      <c r="E115" s="385">
        <f t="shared" si="46"/>
        <v>10.347936804156497</v>
      </c>
      <c r="F115" s="385">
        <f t="shared" si="25"/>
        <v>10.347936804156497</v>
      </c>
      <c r="G115" s="110">
        <f t="shared" si="47"/>
        <v>0.1783376537256009</v>
      </c>
      <c r="H115" s="414" t="b">
        <f>Wh_hp&gt;='2018'!Maxi_hp</f>
        <v>1</v>
      </c>
      <c r="I115" s="390">
        <f>IF(H115,Wh_hp,'2018'!Maxi_hp)</f>
        <v>10.347936804156497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6.7016049453981763E-3</v>
      </c>
      <c r="M115" s="845"/>
      <c r="N115" s="845"/>
      <c r="O115" s="48">
        <f>IF(t&lt;Tnet,'2018'!Resal+('2018'!Salim-'2018'!Resal)*(1-EXP(('2018'!Tnet-t)/('2018'!Tau_j))),Resal+(Salim-Resal)*(1-EXP((Tnet-t)/(Tau_j))))*Salcycl</f>
        <v>1.718027828106819E-2</v>
      </c>
      <c r="P115" s="169">
        <f>(INDEX(Models!$BJ115:$BT115,,T115)*(1-R115)+INDEX(Models!$BJ115:$BT115,,T115+1)*R115-ERP_i)*Q115*Ramure*Pc/MaxiM</f>
        <v>5.4509733427454968E-7</v>
      </c>
      <c r="Q115" s="305">
        <f t="shared" si="27"/>
        <v>0.5</v>
      </c>
      <c r="R115" s="177">
        <f t="shared" si="28"/>
        <v>0.53590757794730082</v>
      </c>
      <c r="S115" s="811">
        <f t="shared" si="29"/>
        <v>-2</v>
      </c>
      <c r="T115" s="176">
        <f t="shared" si="30"/>
        <v>4</v>
      </c>
      <c r="U115" s="251">
        <f t="shared" si="31"/>
        <v>-1.4640924220526992</v>
      </c>
      <c r="V115" s="383">
        <f t="shared" si="32"/>
        <v>56.645325776070578</v>
      </c>
      <c r="W115" s="58"/>
      <c r="X115" s="157">
        <f t="shared" si="33"/>
        <v>43566</v>
      </c>
      <c r="Y115" s="385">
        <f t="shared" si="34"/>
        <v>10.102</v>
      </c>
      <c r="Z115" s="385">
        <f t="shared" si="35"/>
        <v>10.170156370226181</v>
      </c>
      <c r="AA115" s="386">
        <f t="shared" si="36"/>
        <v>10.347936804156497</v>
      </c>
      <c r="AB115" s="197">
        <f t="shared" si="37"/>
        <v>43566</v>
      </c>
      <c r="AC115" s="426">
        <f>IF(OR(t&lt;Tnet,NoTnet),'2018'!Resal_s+('2018'!Salim-'2018'!Resal_s)*(1-EXP(('2018'!Tnet_s-t)/'2018'!Tau_j)),Resal_s+(Salim-Resal_s)*(1-EXP((Tnet_s-t)/Tau_j)))*Salcycl</f>
        <v>1.718027828106819E-2</v>
      </c>
      <c r="AD115" s="231">
        <f>(INDEX(Models!$BJ115:$BT115,,AH115)*(1-AF115)+INDEX(Models!$BJ115:$BT115,,AH115+1)*AF115-ERP_i)*AE115*Ramure*Pc/MaxiM</f>
        <v>5.4509733427454968E-7</v>
      </c>
      <c r="AE115" s="305">
        <f t="shared" si="38"/>
        <v>0.5</v>
      </c>
      <c r="AF115" s="177">
        <f t="shared" si="39"/>
        <v>0.53590757794730082</v>
      </c>
      <c r="AG115" s="176">
        <f t="shared" si="40"/>
        <v>-2</v>
      </c>
      <c r="AH115" s="176">
        <f t="shared" si="41"/>
        <v>4</v>
      </c>
      <c r="AI115" s="225">
        <f t="shared" si="42"/>
        <v>-1.4640924220526992</v>
      </c>
      <c r="AJ115" s="265" t="b">
        <f t="shared" si="43"/>
        <v>0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7">
        <v>56.933</v>
      </c>
      <c r="C116" s="390"/>
      <c r="D116" s="393">
        <f t="shared" si="24"/>
        <v>57.318372092001255</v>
      </c>
      <c r="E116" s="385">
        <f t="shared" si="46"/>
        <v>58.323469600332146</v>
      </c>
      <c r="F116" s="385">
        <f t="shared" si="25"/>
        <v>58.323508945597986</v>
      </c>
      <c r="G116" s="110">
        <f t="shared" si="47"/>
        <v>1.0008181443489743</v>
      </c>
      <c r="H116" s="414" t="b">
        <f>Wh_hp&gt;='2018'!Maxi_hp</f>
        <v>1</v>
      </c>
      <c r="I116" s="390">
        <f>IF(H116,Wh_hp,'2018'!Maxi_hp)</f>
        <v>58.323508945597986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6.7233607294829856E-3</v>
      </c>
      <c r="M116" s="845"/>
      <c r="N116" s="845"/>
      <c r="O116" s="48">
        <f>IF(t&lt;Tnet,'2018'!Resal+('2018'!Salim-'2018'!Resal)*(1-EXP(('2018'!Tnet-t)/('2018'!Tau_j))),Resal+(Salim-Resal)*(1-EXP((Tnet-t)/(Tau_j))))*Salcycl</f>
        <v>1.7233156998690716E-2</v>
      </c>
      <c r="P116" s="169">
        <f>(INDEX(Models!$BJ116:$BT116,,T116)*(1-R116)+INDEX(Models!$BJ116:$BT116,,T116+1)*R116-ERP_i)*Q116*Ramure*Pc/MaxiM</f>
        <v>6.7460388697861325E-7</v>
      </c>
      <c r="Q116" s="305">
        <f t="shared" si="27"/>
        <v>0.5</v>
      </c>
      <c r="R116" s="177">
        <f t="shared" si="28"/>
        <v>0.53741893881592917</v>
      </c>
      <c r="S116" s="811">
        <f t="shared" si="29"/>
        <v>-2</v>
      </c>
      <c r="T116" s="176">
        <f t="shared" si="30"/>
        <v>4</v>
      </c>
      <c r="U116" s="251">
        <f t="shared" si="31"/>
        <v>-1.4625810611840708</v>
      </c>
      <c r="V116" s="383">
        <f t="shared" si="32"/>
        <v>56.886458665309817</v>
      </c>
      <c r="W116" s="58"/>
      <c r="X116" s="157">
        <f t="shared" si="33"/>
        <v>43567</v>
      </c>
      <c r="Y116" s="385">
        <f t="shared" si="34"/>
        <v>56.933</v>
      </c>
      <c r="Z116" s="385">
        <f t="shared" si="35"/>
        <v>57.318372092001255</v>
      </c>
      <c r="AA116" s="386">
        <f t="shared" si="36"/>
        <v>58.323469600332146</v>
      </c>
      <c r="AB116" s="197">
        <f t="shared" si="37"/>
        <v>43567</v>
      </c>
      <c r="AC116" s="426">
        <f>IF(OR(t&lt;Tnet,NoTnet),'2018'!Resal_s+('2018'!Salim-'2018'!Resal_s)*(1-EXP(('2018'!Tnet_s-t)/'2018'!Tau_j)),Resal_s+(Salim-Resal_s)*(1-EXP((Tnet_s-t)/Tau_j)))*Salcycl</f>
        <v>1.7233156998690716E-2</v>
      </c>
      <c r="AD116" s="231">
        <f>(INDEX(Models!$BJ116:$BT116,,AH116)*(1-AF116)+INDEX(Models!$BJ116:$BT116,,AH116+1)*AF116-ERP_i)*AE116*Ramure*Pc/MaxiM</f>
        <v>6.7460388697861325E-7</v>
      </c>
      <c r="AE116" s="305">
        <f t="shared" si="38"/>
        <v>0.5</v>
      </c>
      <c r="AF116" s="177">
        <f t="shared" si="39"/>
        <v>0.53741893881592917</v>
      </c>
      <c r="AG116" s="176">
        <f t="shared" si="40"/>
        <v>-2</v>
      </c>
      <c r="AH116" s="176">
        <f t="shared" si="41"/>
        <v>4</v>
      </c>
      <c r="AI116" s="225">
        <f t="shared" si="42"/>
        <v>-1.4625810611840708</v>
      </c>
      <c r="AJ116" s="265" t="b">
        <f t="shared" si="43"/>
        <v>0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7">
        <v>57.622999999999998</v>
      </c>
      <c r="C117" s="390"/>
      <c r="D117" s="393">
        <f t="shared" si="24"/>
        <v>58.014313274849222</v>
      </c>
      <c r="E117" s="385">
        <f t="shared" si="46"/>
        <v>59.034802831006246</v>
      </c>
      <c r="F117" s="385">
        <f t="shared" si="25"/>
        <v>59.034851740298983</v>
      </c>
      <c r="G117" s="110">
        <f t="shared" si="47"/>
        <v>1.0087863469294964</v>
      </c>
      <c r="H117" s="414" t="b">
        <f>Wh_hp&gt;='2018'!Maxi_hp</f>
        <v>1</v>
      </c>
      <c r="I117" s="390">
        <f>IF(H117,Wh_hp,'2018'!Maxi_hp)</f>
        <v>59.034851740298983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6.7451160370602947E-3</v>
      </c>
      <c r="M117" s="845"/>
      <c r="N117" s="845"/>
      <c r="O117" s="48">
        <f>IF(t&lt;Tnet,'2018'!Resal+('2018'!Salim-'2018'!Resal)*(1-EXP(('2018'!Tnet-t)/('2018'!Tau_j))),Resal+(Salim-Resal)*(1-EXP((Tnet-t)/(Tau_j))))*Salcycl</f>
        <v>1.7286236376164249E-2</v>
      </c>
      <c r="P117" s="169">
        <f>(INDEX(Models!$BJ117:$BT117,,T117)*(1-R117)+INDEX(Models!$BJ117:$BT117,,T117+1)*R117-ERP_i)*Q117*Ramure*Pc/MaxiM</f>
        <v>8.2848167301959992E-7</v>
      </c>
      <c r="Q117" s="305">
        <f t="shared" si="27"/>
        <v>0.5</v>
      </c>
      <c r="R117" s="177">
        <f t="shared" si="28"/>
        <v>0.53898321274885075</v>
      </c>
      <c r="S117" s="811">
        <f t="shared" si="29"/>
        <v>-2</v>
      </c>
      <c r="T117" s="176">
        <f t="shared" si="30"/>
        <v>4</v>
      </c>
      <c r="U117" s="251">
        <f t="shared" si="31"/>
        <v>-1.4610167872511493</v>
      </c>
      <c r="V117" s="383">
        <f t="shared" si="32"/>
        <v>57.121114074739985</v>
      </c>
      <c r="W117" s="58"/>
      <c r="X117" s="157">
        <f t="shared" si="33"/>
        <v>43568</v>
      </c>
      <c r="Y117" s="385">
        <f t="shared" si="34"/>
        <v>57.622999999999998</v>
      </c>
      <c r="Z117" s="385">
        <f t="shared" si="35"/>
        <v>58.014313274849222</v>
      </c>
      <c r="AA117" s="386">
        <f t="shared" si="36"/>
        <v>59.034802831006246</v>
      </c>
      <c r="AB117" s="197">
        <f t="shared" si="37"/>
        <v>43568</v>
      </c>
      <c r="AC117" s="426">
        <f>IF(OR(t&lt;Tnet,NoTnet),'2018'!Resal_s+('2018'!Salim-'2018'!Resal_s)*(1-EXP(('2018'!Tnet_s-t)/'2018'!Tau_j)),Resal_s+(Salim-Resal_s)*(1-EXP((Tnet_s-t)/Tau_j)))*Salcycl</f>
        <v>1.7286236376164249E-2</v>
      </c>
      <c r="AD117" s="231">
        <f>(INDEX(Models!$BJ117:$BT117,,AH117)*(1-AF117)+INDEX(Models!$BJ117:$BT117,,AH117+1)*AF117-ERP_i)*AE117*Ramure*Pc/MaxiM</f>
        <v>8.2848167301959992E-7</v>
      </c>
      <c r="AE117" s="305">
        <f t="shared" si="38"/>
        <v>0.5</v>
      </c>
      <c r="AF117" s="177">
        <f t="shared" si="39"/>
        <v>0.53898321274885075</v>
      </c>
      <c r="AG117" s="176">
        <f t="shared" si="40"/>
        <v>-2</v>
      </c>
      <c r="AH117" s="176">
        <f t="shared" si="41"/>
        <v>4</v>
      </c>
      <c r="AI117" s="225">
        <f t="shared" si="42"/>
        <v>-1.4610167872511493</v>
      </c>
      <c r="AJ117" s="265" t="b">
        <f t="shared" si="43"/>
        <v>0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7">
        <v>30.126999999999999</v>
      </c>
      <c r="C118" s="390"/>
      <c r="D118" s="393">
        <f t="shared" si="24"/>
        <v>30.332254448995936</v>
      </c>
      <c r="E118" s="385">
        <f t="shared" si="46"/>
        <v>30.867481829442738</v>
      </c>
      <c r="F118" s="385">
        <f t="shared" si="25"/>
        <v>30.867491835484916</v>
      </c>
      <c r="G118" s="110">
        <f t="shared" si="47"/>
        <v>0.5253252989817877</v>
      </c>
      <c r="H118" s="414" t="b">
        <f>Wh_hp&gt;='2018'!Maxi_hp</f>
        <v>1</v>
      </c>
      <c r="I118" s="390">
        <f>IF(H118,Wh_hp,'2018'!Maxi_hp)</f>
        <v>30.867491835484916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6.7668708681405398E-3</v>
      </c>
      <c r="M118" s="845"/>
      <c r="N118" s="845"/>
      <c r="O118" s="48">
        <f>IF(t&lt;Tnet,'2018'!Resal+('2018'!Salim-'2018'!Resal)*(1-EXP(('2018'!Tnet-t)/('2018'!Tau_j))),Resal+(Salim-Resal)*(1-EXP((Tnet-t)/(Tau_j))))*Salcycl</f>
        <v>1.7339522005850042E-2</v>
      </c>
      <c r="P118" s="169">
        <f>(INDEX(Models!$BJ118:$BT118,,T118)*(1-R118)+INDEX(Models!$BJ118:$BT118,,T118+1)*R118-ERP_i)*Q118*Ramure*Pc/MaxiM</f>
        <v>1.0070438458879459E-6</v>
      </c>
      <c r="Q118" s="305">
        <f t="shared" si="27"/>
        <v>0.5</v>
      </c>
      <c r="R118" s="177">
        <f t="shared" si="28"/>
        <v>0.54060183662841443</v>
      </c>
      <c r="S118" s="811">
        <f t="shared" si="29"/>
        <v>-2</v>
      </c>
      <c r="T118" s="176">
        <f t="shared" si="30"/>
        <v>4</v>
      </c>
      <c r="U118" s="251">
        <f t="shared" si="31"/>
        <v>-1.4593981633715856</v>
      </c>
      <c r="V118" s="383">
        <f t="shared" si="32"/>
        <v>57.349188179553721</v>
      </c>
      <c r="W118" s="58"/>
      <c r="X118" s="157">
        <f t="shared" si="33"/>
        <v>43569</v>
      </c>
      <c r="Y118" s="385">
        <f t="shared" si="34"/>
        <v>30.126999999999999</v>
      </c>
      <c r="Z118" s="385">
        <f t="shared" si="35"/>
        <v>30.332254448995936</v>
      </c>
      <c r="AA118" s="386">
        <f t="shared" si="36"/>
        <v>30.867481829442738</v>
      </c>
      <c r="AB118" s="197">
        <f t="shared" si="37"/>
        <v>43569</v>
      </c>
      <c r="AC118" s="426">
        <f>IF(OR(t&lt;Tnet,NoTnet),'2018'!Resal_s+('2018'!Salim-'2018'!Resal_s)*(1-EXP(('2018'!Tnet_s-t)/'2018'!Tau_j)),Resal_s+(Salim-Resal_s)*(1-EXP((Tnet_s-t)/Tau_j)))*Salcycl</f>
        <v>1.7339522005850042E-2</v>
      </c>
      <c r="AD118" s="231">
        <f>(INDEX(Models!$BJ118:$BT118,,AH118)*(1-AF118)+INDEX(Models!$BJ118:$BT118,,AH118+1)*AF118-ERP_i)*AE118*Ramure*Pc/MaxiM</f>
        <v>1.0070438458879459E-6</v>
      </c>
      <c r="AE118" s="305">
        <f t="shared" si="38"/>
        <v>0.5</v>
      </c>
      <c r="AF118" s="177">
        <f t="shared" si="39"/>
        <v>0.54060183662841443</v>
      </c>
      <c r="AG118" s="176">
        <f t="shared" si="40"/>
        <v>-2</v>
      </c>
      <c r="AH118" s="176">
        <f t="shared" si="41"/>
        <v>4</v>
      </c>
      <c r="AI118" s="225">
        <f t="shared" si="42"/>
        <v>-1.4593981633715856</v>
      </c>
      <c r="AJ118" s="265" t="b">
        <f t="shared" si="43"/>
        <v>0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7">
        <v>40.706000000000003</v>
      </c>
      <c r="C119" s="390"/>
      <c r="D119" s="393">
        <f t="shared" si="24"/>
        <v>40.984226554119552</v>
      </c>
      <c r="E119" s="385">
        <f t="shared" si="46"/>
        <v>41.709683888827151</v>
      </c>
      <c r="F119" s="385">
        <f t="shared" si="25"/>
        <v>41.709713253318419</v>
      </c>
      <c r="G119" s="110">
        <f t="shared" si="47"/>
        <v>0.7070622070412097</v>
      </c>
      <c r="H119" s="414" t="b">
        <f>Wh_hp&gt;='2018'!Maxi_hp</f>
        <v>1</v>
      </c>
      <c r="I119" s="390">
        <f>IF(H119,Wh_hp,'2018'!Maxi_hp)</f>
        <v>41.709713253318419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6.788625222734157E-3</v>
      </c>
      <c r="M119" s="845"/>
      <c r="N119" s="845"/>
      <c r="O119" s="48">
        <f>IF(t&lt;Tnet,'2018'!Resal+('2018'!Salim-'2018'!Resal)*(1-EXP(('2018'!Tnet-t)/('2018'!Tau_j))),Resal+(Salim-Resal)*(1-EXP((Tnet-t)/(Tau_j))))*Salcycl</f>
        <v>1.7393019248029599E-2</v>
      </c>
      <c r="P119" s="169">
        <f>(INDEX(Models!$BJ119:$BT119,,T119)*(1-R119)+INDEX(Models!$BJ119:$BT119,,T119+1)*R119-ERP_i)*Q119*Ramure*Pc/MaxiM</f>
        <v>1.2106598837944286E-6</v>
      </c>
      <c r="Q119" s="305">
        <f t="shared" si="27"/>
        <v>0.5</v>
      </c>
      <c r="R119" s="177">
        <f t="shared" si="28"/>
        <v>0.54227625393794576</v>
      </c>
      <c r="S119" s="811">
        <f t="shared" si="29"/>
        <v>-2</v>
      </c>
      <c r="T119" s="176">
        <f t="shared" si="30"/>
        <v>4</v>
      </c>
      <c r="U119" s="251">
        <f t="shared" si="31"/>
        <v>-1.4577237460620542</v>
      </c>
      <c r="V119" s="383">
        <f t="shared" si="32"/>
        <v>57.570577201488575</v>
      </c>
      <c r="W119" s="58"/>
      <c r="X119" s="157">
        <f t="shared" si="33"/>
        <v>43570</v>
      </c>
      <c r="Y119" s="385">
        <f t="shared" si="34"/>
        <v>40.706000000000003</v>
      </c>
      <c r="Z119" s="385">
        <f t="shared" si="35"/>
        <v>40.984226554119552</v>
      </c>
      <c r="AA119" s="386">
        <f t="shared" si="36"/>
        <v>41.709683888827151</v>
      </c>
      <c r="AB119" s="197">
        <f t="shared" si="37"/>
        <v>43570</v>
      </c>
      <c r="AC119" s="426">
        <f>IF(OR(t&lt;Tnet,NoTnet),'2018'!Resal_s+('2018'!Salim-'2018'!Resal_s)*(1-EXP(('2018'!Tnet_s-t)/'2018'!Tau_j)),Resal_s+(Salim-Resal_s)*(1-EXP((Tnet_s-t)/Tau_j)))*Salcycl</f>
        <v>1.7393019248029599E-2</v>
      </c>
      <c r="AD119" s="231">
        <f>(INDEX(Models!$BJ119:$BT119,,AH119)*(1-AF119)+INDEX(Models!$BJ119:$BT119,,AH119+1)*AF119-ERP_i)*AE119*Ramure*Pc/MaxiM</f>
        <v>1.2106598837944286E-6</v>
      </c>
      <c r="AE119" s="305">
        <f t="shared" si="38"/>
        <v>0.5</v>
      </c>
      <c r="AF119" s="177">
        <f t="shared" si="39"/>
        <v>0.54227625393794576</v>
      </c>
      <c r="AG119" s="176">
        <f t="shared" si="40"/>
        <v>-2</v>
      </c>
      <c r="AH119" s="176">
        <f t="shared" si="41"/>
        <v>4</v>
      </c>
      <c r="AI119" s="225">
        <f t="shared" si="42"/>
        <v>-1.4577237460620542</v>
      </c>
      <c r="AJ119" s="265" t="b">
        <f t="shared" si="43"/>
        <v>0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7">
        <v>36.997999999999998</v>
      </c>
      <c r="C120" s="390"/>
      <c r="D120" s="393">
        <f t="shared" si="24"/>
        <v>37.251698186802628</v>
      </c>
      <c r="E120" s="385">
        <f t="shared" si="46"/>
        <v>37.913158956471435</v>
      </c>
      <c r="F120" s="385">
        <f t="shared" si="25"/>
        <v>37.913185490459512</v>
      </c>
      <c r="G120" s="110">
        <f t="shared" si="47"/>
        <v>0.64026752678479582</v>
      </c>
      <c r="H120" s="414" t="b">
        <f>Wh_hp&gt;='2018'!Maxi_hp</f>
        <v>1</v>
      </c>
      <c r="I120" s="390">
        <f>IF(H120,Wh_hp,'2018'!Maxi_hp)</f>
        <v>37.913185490459512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6.8103791008515824E-3</v>
      </c>
      <c r="M120" s="845"/>
      <c r="N120" s="845"/>
      <c r="O120" s="48">
        <f>IF(t&lt;Tnet,'2018'!Resal+('2018'!Salim-'2018'!Resal)*(1-EXP(('2018'!Tnet-t)/('2018'!Tau_j))),Resal+(Salim-Resal)*(1-EXP((Tnet-t)/(Tau_j))))*Salcycl</f>
        <v>1.7446733215457977E-2</v>
      </c>
      <c r="P120" s="169">
        <f>(INDEX(Models!$BJ120:$BT120,,T120)*(1-R120)+INDEX(Models!$BJ120:$BT120,,T120+1)*R120-ERP_i)*Q120*Ramure*Pc/MaxiM</f>
        <v>1.4397569542450277E-6</v>
      </c>
      <c r="Q120" s="305">
        <f t="shared" si="27"/>
        <v>0.5</v>
      </c>
      <c r="R120" s="177">
        <f t="shared" si="28"/>
        <v>0.54400791191158815</v>
      </c>
      <c r="S120" s="811">
        <f t="shared" si="29"/>
        <v>-2</v>
      </c>
      <c r="T120" s="176">
        <f t="shared" si="30"/>
        <v>4</v>
      </c>
      <c r="U120" s="251">
        <f t="shared" si="31"/>
        <v>-1.4559920880884119</v>
      </c>
      <c r="V120" s="383">
        <f t="shared" si="32"/>
        <v>57.785177410338072</v>
      </c>
      <c r="W120" s="58"/>
      <c r="X120" s="157">
        <f t="shared" si="33"/>
        <v>43571</v>
      </c>
      <c r="Y120" s="385">
        <f t="shared" si="34"/>
        <v>36.997999999999998</v>
      </c>
      <c r="Z120" s="385">
        <f t="shared" si="35"/>
        <v>37.251698186802628</v>
      </c>
      <c r="AA120" s="386">
        <f t="shared" si="36"/>
        <v>37.913158956471435</v>
      </c>
      <c r="AB120" s="197">
        <f t="shared" si="37"/>
        <v>43571</v>
      </c>
      <c r="AC120" s="426">
        <f>IF(OR(t&lt;Tnet,NoTnet),'2018'!Resal_s+('2018'!Salim-'2018'!Resal_s)*(1-EXP(('2018'!Tnet_s-t)/'2018'!Tau_j)),Resal_s+(Salim-Resal_s)*(1-EXP((Tnet_s-t)/Tau_j)))*Salcycl</f>
        <v>1.7446733215457977E-2</v>
      </c>
      <c r="AD120" s="231">
        <f>(INDEX(Models!$BJ120:$BT120,,AH120)*(1-AF120)+INDEX(Models!$BJ120:$BT120,,AH120+1)*AF120-ERP_i)*AE120*Ramure*Pc/MaxiM</f>
        <v>1.4397569542450277E-6</v>
      </c>
      <c r="AE120" s="305">
        <f t="shared" si="38"/>
        <v>0.5</v>
      </c>
      <c r="AF120" s="177">
        <f t="shared" si="39"/>
        <v>0.54400791191158815</v>
      </c>
      <c r="AG120" s="176">
        <f t="shared" si="40"/>
        <v>-2</v>
      </c>
      <c r="AH120" s="176">
        <f t="shared" si="41"/>
        <v>4</v>
      </c>
      <c r="AI120" s="225">
        <f t="shared" si="42"/>
        <v>-1.4559920880884119</v>
      </c>
      <c r="AJ120" s="265" t="b">
        <f t="shared" si="43"/>
        <v>0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7">
        <v>38.612000000000002</v>
      </c>
      <c r="C121" s="390"/>
      <c r="D121" s="393">
        <f t="shared" si="24"/>
        <v>38.877617030936939</v>
      </c>
      <c r="E121" s="385">
        <f t="shared" si="46"/>
        <v>39.570120604321005</v>
      </c>
      <c r="F121" s="385">
        <f t="shared" si="25"/>
        <v>39.570155651501935</v>
      </c>
      <c r="G121" s="110">
        <f t="shared" si="47"/>
        <v>0.66581008481899939</v>
      </c>
      <c r="H121" s="414" t="b">
        <f>Wh_hp&gt;='2018'!Maxi_hp</f>
        <v>1</v>
      </c>
      <c r="I121" s="390">
        <f>IF(H121,Wh_hp,'2018'!Maxi_hp)</f>
        <v>39.570155651501935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6.832132502503252E-3</v>
      </c>
      <c r="M121" s="845"/>
      <c r="N121" s="845"/>
      <c r="O121" s="48">
        <f>IF(t&lt;Tnet,'2018'!Resal+('2018'!Salim-'2018'!Resal)*(1-EXP(('2018'!Tnet-t)/('2018'!Tau_j))),Resal+(Salim-Resal)*(1-EXP((Tnet-t)/(Tau_j))))*Salcycl</f>
        <v>1.7500668757336121E-2</v>
      </c>
      <c r="P121" s="169">
        <f>(INDEX(Models!$BJ121:$BT121,,T121)*(1-R121)+INDEX(Models!$BJ121:$BT121,,T121+1)*R121-ERP_i)*Q121*Ramure*Pc/MaxiM</f>
        <v>1.6948335729825155E-6</v>
      </c>
      <c r="Q121" s="305">
        <f t="shared" si="27"/>
        <v>0.5</v>
      </c>
      <c r="R121" s="177">
        <f t="shared" si="28"/>
        <v>0.54579825844626506</v>
      </c>
      <c r="S121" s="811">
        <f t="shared" si="29"/>
        <v>-2</v>
      </c>
      <c r="T121" s="176">
        <f t="shared" si="30"/>
        <v>4</v>
      </c>
      <c r="U121" s="251">
        <f t="shared" si="31"/>
        <v>-1.4542017415537349</v>
      </c>
      <c r="V121" s="383">
        <f t="shared" si="32"/>
        <v>57.992466077019728</v>
      </c>
      <c r="W121" s="58"/>
      <c r="X121" s="157">
        <f t="shared" si="33"/>
        <v>43572</v>
      </c>
      <c r="Y121" s="385">
        <f t="shared" si="34"/>
        <v>38.612000000000002</v>
      </c>
      <c r="Z121" s="385">
        <f t="shared" si="35"/>
        <v>38.877617030936939</v>
      </c>
      <c r="AA121" s="386">
        <f t="shared" si="36"/>
        <v>39.570120604321005</v>
      </c>
      <c r="AB121" s="197">
        <f t="shared" si="37"/>
        <v>43572</v>
      </c>
      <c r="AC121" s="426">
        <f>IF(OR(t&lt;Tnet,NoTnet),'2018'!Resal_s+('2018'!Salim-'2018'!Resal_s)*(1-EXP(('2018'!Tnet_s-t)/'2018'!Tau_j)),Resal_s+(Salim-Resal_s)*(1-EXP((Tnet_s-t)/Tau_j)))*Salcycl</f>
        <v>1.7500668757336121E-2</v>
      </c>
      <c r="AD121" s="231">
        <f>(INDEX(Models!$BJ121:$BT121,,AH121)*(1-AF121)+INDEX(Models!$BJ121:$BT121,,AH121+1)*AF121-ERP_i)*AE121*Ramure*Pc/MaxiM</f>
        <v>1.6948335729825155E-6</v>
      </c>
      <c r="AE121" s="305">
        <f t="shared" si="38"/>
        <v>0.5</v>
      </c>
      <c r="AF121" s="177">
        <f t="shared" si="39"/>
        <v>0.54579825844626506</v>
      </c>
      <c r="AG121" s="176">
        <f t="shared" si="40"/>
        <v>-2</v>
      </c>
      <c r="AH121" s="176">
        <f t="shared" si="41"/>
        <v>4</v>
      </c>
      <c r="AI121" s="225">
        <f t="shared" si="42"/>
        <v>-1.4542017415537349</v>
      </c>
      <c r="AJ121" s="265" t="b">
        <f t="shared" si="43"/>
        <v>0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7">
        <v>29.341999999999999</v>
      </c>
      <c r="C122" s="390"/>
      <c r="D122" s="393">
        <f t="shared" si="24"/>
        <v>29.54449458087662</v>
      </c>
      <c r="E122" s="385">
        <f t="shared" si="46"/>
        <v>30.072410650854145</v>
      </c>
      <c r="F122" s="385">
        <f t="shared" si="25"/>
        <v>30.072428257742438</v>
      </c>
      <c r="G122" s="110">
        <f t="shared" si="47"/>
        <v>0.50422495091981923</v>
      </c>
      <c r="H122" s="414" t="b">
        <f>Wh_hp&gt;='2018'!Maxi_hp</f>
        <v>1</v>
      </c>
      <c r="I122" s="390">
        <f>IF(H122,Wh_hp,'2018'!Maxi_hp)</f>
        <v>30.072428257742438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6.853885427699602E-3</v>
      </c>
      <c r="M122" s="845"/>
      <c r="N122" s="845"/>
      <c r="O122" s="48">
        <f>IF(t&lt;Tnet,'2018'!Resal+('2018'!Salim-'2018'!Resal)*(1-EXP(('2018'!Tnet-t)/('2018'!Tau_j))),Resal+(Salim-Resal)*(1-EXP((Tnet-t)/(Tau_j))))*Salcycl</f>
        <v>1.7554830442651222E-2</v>
      </c>
      <c r="P122" s="169">
        <f>(INDEX(Models!$BJ122:$BT122,,T122)*(1-R122)+INDEX(Models!$BJ122:$BT122,,T122+1)*R122-ERP_i)*Q122*Ramure*Pc/MaxiM</f>
        <v>2.0067895320551763E-6</v>
      </c>
      <c r="Q122" s="305">
        <f t="shared" si="27"/>
        <v>0.5</v>
      </c>
      <c r="R122" s="177">
        <f t="shared" si="28"/>
        <v>0.5476487387689879</v>
      </c>
      <c r="S122" s="811">
        <f t="shared" si="29"/>
        <v>-2</v>
      </c>
      <c r="T122" s="176">
        <f t="shared" si="30"/>
        <v>4</v>
      </c>
      <c r="U122" s="251">
        <f t="shared" si="31"/>
        <v>-1.4523512612310121</v>
      </c>
      <c r="V122" s="383">
        <f t="shared" si="32"/>
        <v>58.192198229115739</v>
      </c>
      <c r="W122" s="58"/>
      <c r="X122" s="157">
        <f t="shared" si="33"/>
        <v>43573</v>
      </c>
      <c r="Y122" s="385">
        <f t="shared" si="34"/>
        <v>29.341999999999999</v>
      </c>
      <c r="Z122" s="385">
        <f t="shared" si="35"/>
        <v>29.54449458087662</v>
      </c>
      <c r="AA122" s="386">
        <f t="shared" si="36"/>
        <v>30.072410650854145</v>
      </c>
      <c r="AB122" s="197">
        <f t="shared" si="37"/>
        <v>43573</v>
      </c>
      <c r="AC122" s="426">
        <f>IF(OR(t&lt;Tnet,NoTnet),'2018'!Resal_s+('2018'!Salim-'2018'!Resal_s)*(1-EXP(('2018'!Tnet_s-t)/'2018'!Tau_j)),Resal_s+(Salim-Resal_s)*(1-EXP((Tnet_s-t)/Tau_j)))*Salcycl</f>
        <v>1.7554830442651222E-2</v>
      </c>
      <c r="AD122" s="231">
        <f>(INDEX(Models!$BJ122:$BT122,,AH122)*(1-AF122)+INDEX(Models!$BJ122:$BT122,,AH122+1)*AF122-ERP_i)*AE122*Ramure*Pc/MaxiM</f>
        <v>2.0067895320551763E-6</v>
      </c>
      <c r="AE122" s="305">
        <f t="shared" si="38"/>
        <v>0.5</v>
      </c>
      <c r="AF122" s="177">
        <f t="shared" si="39"/>
        <v>0.5476487387689879</v>
      </c>
      <c r="AG122" s="176">
        <f t="shared" si="40"/>
        <v>-2</v>
      </c>
      <c r="AH122" s="176">
        <f t="shared" si="41"/>
        <v>4</v>
      </c>
      <c r="AI122" s="225">
        <f t="shared" si="42"/>
        <v>-1.4523512612310121</v>
      </c>
      <c r="AJ122" s="265" t="b">
        <f t="shared" si="43"/>
        <v>0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7">
        <v>52.618000000000002</v>
      </c>
      <c r="C123" s="390"/>
      <c r="D123" s="393">
        <f t="shared" si="24"/>
        <v>52.982287019411672</v>
      </c>
      <c r="E123" s="385">
        <f t="shared" si="46"/>
        <v>53.931987387496136</v>
      </c>
      <c r="F123" s="385">
        <f t="shared" si="25"/>
        <v>53.932097208526116</v>
      </c>
      <c r="G123" s="110">
        <f t="shared" si="47"/>
        <v>0.90122911790777005</v>
      </c>
      <c r="H123" s="414" t="b">
        <f>Wh_hp&gt;='2018'!Maxi_hp</f>
        <v>1</v>
      </c>
      <c r="I123" s="390">
        <f>IF(H123,Wh_hp,'2018'!Maxi_hp)</f>
        <v>53.932097208526116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6.8756378764510684E-3</v>
      </c>
      <c r="M123" s="845"/>
      <c r="N123" s="845"/>
      <c r="O123" s="48">
        <f>IF(t&lt;Tnet,'2018'!Resal+('2018'!Salim-'2018'!Resal)*(1-EXP(('2018'!Tnet-t)/('2018'!Tau_j))),Resal+(Salim-Resal)*(1-EXP((Tnet-t)/(Tau_j))))*Salcycl</f>
        <v>1.7609222542847511E-2</v>
      </c>
      <c r="P123" s="169">
        <f>(INDEX(Models!$BJ123:$BT123,,T123)*(1-R123)+INDEX(Models!$BJ123:$BT123,,T123+1)*R123-ERP_i)*Q123*Ramure*Pc/MaxiM</f>
        <v>2.3708060156519135E-6</v>
      </c>
      <c r="Q123" s="305">
        <f t="shared" si="27"/>
        <v>0.5</v>
      </c>
      <c r="R123" s="177">
        <f t="shared" si="28"/>
        <v>0.54956079185362472</v>
      </c>
      <c r="S123" s="811">
        <f t="shared" si="29"/>
        <v>-2</v>
      </c>
      <c r="T123" s="176">
        <f t="shared" si="30"/>
        <v>4</v>
      </c>
      <c r="U123" s="251">
        <f t="shared" si="31"/>
        <v>-1.4504392081463753</v>
      </c>
      <c r="V123" s="383">
        <f t="shared" si="32"/>
        <v>58.384689700442856</v>
      </c>
      <c r="W123" s="58"/>
      <c r="X123" s="157">
        <f t="shared" si="33"/>
        <v>43574</v>
      </c>
      <c r="Y123" s="385">
        <f t="shared" si="34"/>
        <v>52.618000000000002</v>
      </c>
      <c r="Z123" s="385">
        <f t="shared" si="35"/>
        <v>52.982287019411672</v>
      </c>
      <c r="AA123" s="386">
        <f t="shared" si="36"/>
        <v>53.931987387496136</v>
      </c>
      <c r="AB123" s="197">
        <f t="shared" si="37"/>
        <v>43574</v>
      </c>
      <c r="AC123" s="426">
        <f>IF(OR(t&lt;Tnet,NoTnet),'2018'!Resal_s+('2018'!Salim-'2018'!Resal_s)*(1-EXP(('2018'!Tnet_s-t)/'2018'!Tau_j)),Resal_s+(Salim-Resal_s)*(1-EXP((Tnet_s-t)/Tau_j)))*Salcycl</f>
        <v>1.7609222542847511E-2</v>
      </c>
      <c r="AD123" s="231">
        <f>(INDEX(Models!$BJ123:$BT123,,AH123)*(1-AF123)+INDEX(Models!$BJ123:$BT123,,AH123+1)*AF123-ERP_i)*AE123*Ramure*Pc/MaxiM</f>
        <v>2.3708060156519135E-6</v>
      </c>
      <c r="AE123" s="305">
        <f t="shared" si="38"/>
        <v>0.5</v>
      </c>
      <c r="AF123" s="177">
        <f t="shared" si="39"/>
        <v>0.54956079185362472</v>
      </c>
      <c r="AG123" s="176">
        <f t="shared" si="40"/>
        <v>-2</v>
      </c>
      <c r="AH123" s="176">
        <f t="shared" si="41"/>
        <v>4</v>
      </c>
      <c r="AI123" s="225">
        <f t="shared" si="42"/>
        <v>-1.4504392081463753</v>
      </c>
      <c r="AJ123" s="265" t="b">
        <f t="shared" si="43"/>
        <v>0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7">
        <v>53.61</v>
      </c>
      <c r="C124" s="390"/>
      <c r="D124" s="393">
        <f t="shared" si="24"/>
        <v>53.982337224787024</v>
      </c>
      <c r="E124" s="385">
        <f t="shared" si="46"/>
        <v>54.953019056249325</v>
      </c>
      <c r="F124" s="385">
        <f t="shared" si="25"/>
        <v>54.953153725787914</v>
      </c>
      <c r="G124" s="110">
        <f t="shared" si="47"/>
        <v>0.91531069960385092</v>
      </c>
      <c r="H124" s="414" t="b">
        <f>Wh_hp&gt;='2018'!Maxi_hp</f>
        <v>1</v>
      </c>
      <c r="I124" s="390">
        <f>IF(H124,Wh_hp,'2018'!Maxi_hp)</f>
        <v>54.953153725787914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6.8973898487680874E-3</v>
      </c>
      <c r="M124" s="845"/>
      <c r="N124" s="845"/>
      <c r="O124" s="48">
        <f>IF(t&lt;Tnet,'2018'!Resal+('2018'!Salim-'2018'!Resal)*(1-EXP(('2018'!Tnet-t)/('2018'!Tau_j))),Resal+(Salim-Resal)*(1-EXP((Tnet-t)/(Tau_j))))*Salcycl</f>
        <v>1.7663849013804404E-2</v>
      </c>
      <c r="P124" s="169">
        <f>(INDEX(Models!$BJ124:$BT124,,T124)*(1-R124)+INDEX(Models!$BJ124:$BT124,,T124+1)*R124-ERP_i)*Q124*Ramure*Pc/MaxiM</f>
        <v>2.7879187056472954E-6</v>
      </c>
      <c r="Q124" s="305">
        <f t="shared" si="27"/>
        <v>0.5</v>
      </c>
      <c r="R124" s="177">
        <f t="shared" si="28"/>
        <v>0.55153584658229393</v>
      </c>
      <c r="S124" s="811">
        <f t="shared" si="29"/>
        <v>-2</v>
      </c>
      <c r="T124" s="176">
        <f t="shared" si="30"/>
        <v>4</v>
      </c>
      <c r="U124" s="251">
        <f t="shared" si="31"/>
        <v>-1.4484641534177061</v>
      </c>
      <c r="V124" s="383">
        <f t="shared" si="32"/>
        <v>58.570255915078612</v>
      </c>
      <c r="W124" s="58"/>
      <c r="X124" s="157">
        <f t="shared" si="33"/>
        <v>43575</v>
      </c>
      <c r="Y124" s="385">
        <f t="shared" si="34"/>
        <v>53.61</v>
      </c>
      <c r="Z124" s="385">
        <f t="shared" si="35"/>
        <v>53.982337224787024</v>
      </c>
      <c r="AA124" s="386">
        <f t="shared" si="36"/>
        <v>54.953019056249325</v>
      </c>
      <c r="AB124" s="197">
        <f t="shared" si="37"/>
        <v>43575</v>
      </c>
      <c r="AC124" s="426">
        <f>IF(OR(t&lt;Tnet,NoTnet),'2018'!Resal_s+('2018'!Salim-'2018'!Resal_s)*(1-EXP(('2018'!Tnet_s-t)/'2018'!Tau_j)),Resal_s+(Salim-Resal_s)*(1-EXP((Tnet_s-t)/Tau_j)))*Salcycl</f>
        <v>1.7663849013804404E-2</v>
      </c>
      <c r="AD124" s="231">
        <f>(INDEX(Models!$BJ124:$BT124,,AH124)*(1-AF124)+INDEX(Models!$BJ124:$BT124,,AH124+1)*AF124-ERP_i)*AE124*Ramure*Pc/MaxiM</f>
        <v>2.7879187056472954E-6</v>
      </c>
      <c r="AE124" s="305">
        <f t="shared" si="38"/>
        <v>0.5</v>
      </c>
      <c r="AF124" s="177">
        <f t="shared" si="39"/>
        <v>0.55153584658229393</v>
      </c>
      <c r="AG124" s="176">
        <f t="shared" si="40"/>
        <v>-2</v>
      </c>
      <c r="AH124" s="176">
        <f t="shared" si="41"/>
        <v>4</v>
      </c>
      <c r="AI124" s="225">
        <f t="shared" si="42"/>
        <v>-1.4484641534177061</v>
      </c>
      <c r="AJ124" s="265" t="b">
        <f t="shared" si="43"/>
        <v>0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7">
        <v>18.811</v>
      </c>
      <c r="C125" s="390"/>
      <c r="D125" s="393">
        <f t="shared" si="24"/>
        <v>18.942062809941429</v>
      </c>
      <c r="E125" s="385">
        <f t="shared" si="46"/>
        <v>19.28374597972158</v>
      </c>
      <c r="F125" s="385">
        <f t="shared" si="25"/>
        <v>19.28374779266824</v>
      </c>
      <c r="G125" s="110">
        <f t="shared" si="47"/>
        <v>0.32019051399989856</v>
      </c>
      <c r="H125" s="414" t="b">
        <f>Wh_hp&gt;='2018'!Maxi_hp</f>
        <v>1</v>
      </c>
      <c r="I125" s="390">
        <f>IF(H125,Wh_hp,'2018'!Maxi_hp)</f>
        <v>19.28374779266824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6.919141344660984E-3</v>
      </c>
      <c r="M125" s="845"/>
      <c r="N125" s="845"/>
      <c r="O125" s="48">
        <f>IF(t&lt;Tnet,'2018'!Resal+('2018'!Salim-'2018'!Resal)*(1-EXP(('2018'!Tnet-t)/('2018'!Tau_j))),Resal+(Salim-Resal)*(1-EXP((Tnet-t)/(Tau_j))))*Salcycl</f>
        <v>1.7718713477114689E-2</v>
      </c>
      <c r="P125" s="169">
        <f>(INDEX(Models!$BJ125:$BT125,,T125)*(1-R125)+INDEX(Models!$BJ125:$BT125,,T125+1)*R125-ERP_i)*Q125*Ramure*Pc/MaxiM</f>
        <v>3.2592858316322625E-6</v>
      </c>
      <c r="Q125" s="305">
        <f t="shared" si="27"/>
        <v>0.5</v>
      </c>
      <c r="R125" s="177">
        <f t="shared" si="28"/>
        <v>0.55357531764776713</v>
      </c>
      <c r="S125" s="811">
        <f t="shared" si="29"/>
        <v>-2</v>
      </c>
      <c r="T125" s="176">
        <f t="shared" si="30"/>
        <v>4</v>
      </c>
      <c r="U125" s="251">
        <f t="shared" si="31"/>
        <v>-1.4464246823522329</v>
      </c>
      <c r="V125" s="383">
        <f t="shared" si="32"/>
        <v>58.749212220809966</v>
      </c>
      <c r="W125" s="58"/>
      <c r="X125" s="157">
        <f t="shared" si="33"/>
        <v>43576</v>
      </c>
      <c r="Y125" s="385">
        <f t="shared" si="34"/>
        <v>18.811</v>
      </c>
      <c r="Z125" s="385">
        <f t="shared" si="35"/>
        <v>18.942062809941429</v>
      </c>
      <c r="AA125" s="386">
        <f t="shared" si="36"/>
        <v>19.28374597972158</v>
      </c>
      <c r="AB125" s="197">
        <f t="shared" si="37"/>
        <v>43576</v>
      </c>
      <c r="AC125" s="426">
        <f>IF(OR(t&lt;Tnet,NoTnet),'2018'!Resal_s+('2018'!Salim-'2018'!Resal_s)*(1-EXP(('2018'!Tnet_s-t)/'2018'!Tau_j)),Resal_s+(Salim-Resal_s)*(1-EXP((Tnet_s-t)/Tau_j)))*Salcycl</f>
        <v>1.7718713477114689E-2</v>
      </c>
      <c r="AD125" s="231">
        <f>(INDEX(Models!$BJ125:$BT125,,AH125)*(1-AF125)+INDEX(Models!$BJ125:$BT125,,AH125+1)*AF125-ERP_i)*AE125*Ramure*Pc/MaxiM</f>
        <v>3.2592858316322625E-6</v>
      </c>
      <c r="AE125" s="305">
        <f t="shared" si="38"/>
        <v>0.5</v>
      </c>
      <c r="AF125" s="177">
        <f t="shared" si="39"/>
        <v>0.55357531764776713</v>
      </c>
      <c r="AG125" s="176">
        <f t="shared" si="40"/>
        <v>-2</v>
      </c>
      <c r="AH125" s="176">
        <f t="shared" si="41"/>
        <v>4</v>
      </c>
      <c r="AI125" s="225">
        <f t="shared" si="42"/>
        <v>-1.4464246823522329</v>
      </c>
      <c r="AJ125" s="265" t="b">
        <f t="shared" si="43"/>
        <v>0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7">
        <v>33.593000000000004</v>
      </c>
      <c r="C126" s="390"/>
      <c r="D126" s="393">
        <f t="shared" si="24"/>
        <v>33.827795084598399</v>
      </c>
      <c r="E126" s="385">
        <f t="shared" si="46"/>
        <v>34.439924068272788</v>
      </c>
      <c r="F126" s="385">
        <f t="shared" si="25"/>
        <v>34.439974387722657</v>
      </c>
      <c r="G126" s="110">
        <f t="shared" si="47"/>
        <v>0.57012650267356069</v>
      </c>
      <c r="H126" s="414" t="b">
        <f>Wh_hp&gt;='2018'!Maxi_hp</f>
        <v>1</v>
      </c>
      <c r="I126" s="390">
        <f>IF(H126,Wh_hp,'2018'!Maxi_hp)</f>
        <v>34.439974387722657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6.9408923641404163E-3</v>
      </c>
      <c r="M126" s="845"/>
      <c r="N126" s="845"/>
      <c r="O126" s="48">
        <f>IF(t&lt;Tnet,'2018'!Resal+('2018'!Salim-'2018'!Resal)*(1-EXP(('2018'!Tnet-t)/('2018'!Tau_j))),Resal+(Salim-Resal)*(1-EXP((Tnet-t)/(Tau_j))))*Salcycl</f>
        <v>1.7773819200673155E-2</v>
      </c>
      <c r="P126" s="169">
        <f>(INDEX(Models!$BJ126:$BT126,,T126)*(1-R126)+INDEX(Models!$BJ126:$BT126,,T126+1)*R126-ERP_i)*Q126*Ramure*Pc/MaxiM</f>
        <v>3.7861845378267651E-6</v>
      </c>
      <c r="Q126" s="305">
        <f t="shared" si="27"/>
        <v>0.5</v>
      </c>
      <c r="R126" s="177">
        <f t="shared" si="28"/>
        <v>0.55568060119464957</v>
      </c>
      <c r="S126" s="811">
        <f t="shared" si="29"/>
        <v>-2</v>
      </c>
      <c r="T126" s="176">
        <f t="shared" si="30"/>
        <v>4</v>
      </c>
      <c r="U126" s="251">
        <f t="shared" si="31"/>
        <v>-1.4443193988053504</v>
      </c>
      <c r="V126" s="383">
        <f t="shared" si="32"/>
        <v>58.921873891167451</v>
      </c>
      <c r="W126" s="58"/>
      <c r="X126" s="157">
        <f t="shared" si="33"/>
        <v>43577</v>
      </c>
      <c r="Y126" s="385">
        <f t="shared" si="34"/>
        <v>33.593000000000004</v>
      </c>
      <c r="Z126" s="385">
        <f t="shared" si="35"/>
        <v>33.827795084598399</v>
      </c>
      <c r="AA126" s="386">
        <f t="shared" si="36"/>
        <v>34.439924068272788</v>
      </c>
      <c r="AB126" s="197">
        <f t="shared" si="37"/>
        <v>43577</v>
      </c>
      <c r="AC126" s="426">
        <f>IF(OR(t&lt;Tnet,NoTnet),'2018'!Resal_s+('2018'!Salim-'2018'!Resal_s)*(1-EXP(('2018'!Tnet_s-t)/'2018'!Tau_j)),Resal_s+(Salim-Resal_s)*(1-EXP((Tnet_s-t)/Tau_j)))*Salcycl</f>
        <v>1.7773819200673155E-2</v>
      </c>
      <c r="AD126" s="231">
        <f>(INDEX(Models!$BJ126:$BT126,,AH126)*(1-AF126)+INDEX(Models!$BJ126:$BT126,,AH126+1)*AF126-ERP_i)*AE126*Ramure*Pc/MaxiM</f>
        <v>3.7861845378267651E-6</v>
      </c>
      <c r="AE126" s="305">
        <f t="shared" si="38"/>
        <v>0.5</v>
      </c>
      <c r="AF126" s="177">
        <f t="shared" si="39"/>
        <v>0.55568060119464957</v>
      </c>
      <c r="AG126" s="176">
        <f t="shared" si="40"/>
        <v>-2</v>
      </c>
      <c r="AH126" s="176">
        <f t="shared" si="41"/>
        <v>4</v>
      </c>
      <c r="AI126" s="225">
        <f t="shared" si="42"/>
        <v>-1.4443193988053504</v>
      </c>
      <c r="AJ126" s="265" t="b">
        <f t="shared" si="43"/>
        <v>0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7">
        <v>35.581000000000003</v>
      </c>
      <c r="C127" s="390"/>
      <c r="D127" s="393">
        <f t="shared" si="24"/>
        <v>35.830474801237038</v>
      </c>
      <c r="E127" s="385">
        <f t="shared" si="46"/>
        <v>36.480898916152569</v>
      </c>
      <c r="F127" s="385">
        <f t="shared" si="25"/>
        <v>36.480967732620293</v>
      </c>
      <c r="G127" s="110">
        <f t="shared" si="47"/>
        <v>0.60216248230224378</v>
      </c>
      <c r="H127" s="414" t="b">
        <f>Wh_hp&gt;='2018'!Maxi_hp</f>
        <v>1</v>
      </c>
      <c r="I127" s="390">
        <f>IF(H127,Wh_hp,'2018'!Maxi_hp)</f>
        <v>36.480967732620293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6.9626429072165985E-3</v>
      </c>
      <c r="M127" s="845"/>
      <c r="N127" s="845"/>
      <c r="O127" s="48">
        <f>IF(t&lt;Tnet,'2018'!Resal+('2018'!Salim-'2018'!Resal)*(1-EXP(('2018'!Tnet-t)/('2018'!Tau_j))),Resal+(Salim-Resal)*(1-EXP((Tnet-t)/(Tau_j))))*Salcycl</f>
        <v>1.7829169078603713E-2</v>
      </c>
      <c r="P127" s="169">
        <f>(INDEX(Models!$BJ127:$BT127,,T127)*(1-R127)+INDEX(Models!$BJ127:$BT127,,T127+1)*R127-ERP_i)*Q127*Ramure*Pc/MaxiM</f>
        <v>4.3699994014860533E-6</v>
      </c>
      <c r="Q127" s="305">
        <f t="shared" si="27"/>
        <v>0.5</v>
      </c>
      <c r="R127" s="177">
        <f t="shared" si="28"/>
        <v>0.55785307019868302</v>
      </c>
      <c r="S127" s="811">
        <f t="shared" si="29"/>
        <v>-2</v>
      </c>
      <c r="T127" s="176">
        <f t="shared" si="30"/>
        <v>4</v>
      </c>
      <c r="U127" s="251">
        <f t="shared" si="31"/>
        <v>-1.442146929801317</v>
      </c>
      <c r="V127" s="383">
        <f t="shared" si="32"/>
        <v>59.088556121343302</v>
      </c>
      <c r="W127" s="58"/>
      <c r="X127" s="157">
        <f t="shared" si="33"/>
        <v>43578</v>
      </c>
      <c r="Y127" s="385">
        <f t="shared" si="34"/>
        <v>35.581000000000003</v>
      </c>
      <c r="Z127" s="385">
        <f t="shared" si="35"/>
        <v>35.830474801237038</v>
      </c>
      <c r="AA127" s="386">
        <f t="shared" si="36"/>
        <v>36.480898916152569</v>
      </c>
      <c r="AB127" s="197">
        <f t="shared" si="37"/>
        <v>43578</v>
      </c>
      <c r="AC127" s="426">
        <f>IF(OR(t&lt;Tnet,NoTnet),'2018'!Resal_s+('2018'!Salim-'2018'!Resal_s)*(1-EXP(('2018'!Tnet_s-t)/'2018'!Tau_j)),Resal_s+(Salim-Resal_s)*(1-EXP((Tnet_s-t)/Tau_j)))*Salcycl</f>
        <v>1.7829169078603713E-2</v>
      </c>
      <c r="AD127" s="231">
        <f>(INDEX(Models!$BJ127:$BT127,,AH127)*(1-AF127)+INDEX(Models!$BJ127:$BT127,,AH127+1)*AF127-ERP_i)*AE127*Ramure*Pc/MaxiM</f>
        <v>4.3699994014860533E-6</v>
      </c>
      <c r="AE127" s="305">
        <f t="shared" si="38"/>
        <v>0.5</v>
      </c>
      <c r="AF127" s="177">
        <f t="shared" si="39"/>
        <v>0.55785307019868302</v>
      </c>
      <c r="AG127" s="176">
        <f t="shared" si="40"/>
        <v>-2</v>
      </c>
      <c r="AH127" s="176">
        <f t="shared" si="41"/>
        <v>4</v>
      </c>
      <c r="AI127" s="225">
        <f t="shared" si="42"/>
        <v>-1.442146929801317</v>
      </c>
      <c r="AJ127" s="265" t="b">
        <f t="shared" si="43"/>
        <v>0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7">
        <v>52.439</v>
      </c>
      <c r="C128" s="390"/>
      <c r="D128" s="393">
        <f t="shared" si="24"/>
        <v>52.80783064129799</v>
      </c>
      <c r="E128" s="385">
        <f t="shared" si="46"/>
        <v>53.769485282578017</v>
      </c>
      <c r="F128" s="385">
        <f t="shared" si="25"/>
        <v>53.769712691918087</v>
      </c>
      <c r="G128" s="110">
        <f t="shared" si="47"/>
        <v>0.88505208344268738</v>
      </c>
      <c r="H128" s="414" t="b">
        <f>Wh_hp&gt;='2018'!Maxi_hp</f>
        <v>1</v>
      </c>
      <c r="I128" s="390">
        <f>IF(H128,Wh_hp,'2018'!Maxi_hp)</f>
        <v>53.769712691918087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6.9843929739001887E-3</v>
      </c>
      <c r="M128" s="845"/>
      <c r="N128" s="845"/>
      <c r="O128" s="48">
        <f>IF(t&lt;Tnet,'2018'!Resal+('2018'!Salim-'2018'!Resal)*(1-EXP(('2018'!Tnet-t)/('2018'!Tau_j))),Resal+(Salim-Resal)*(1-EXP((Tnet-t)/(Tau_j))))*Salcycl</f>
        <v>1.7884765610572378E-2</v>
      </c>
      <c r="P128" s="169">
        <f>(INDEX(Models!$BJ128:$BT128,,T128)*(1-R128)+INDEX(Models!$BJ128:$BT128,,T128+1)*R128-ERP_i)*Q128*Ramure*Pc/MaxiM</f>
        <v>5.060268319449271E-6</v>
      </c>
      <c r="Q128" s="305">
        <f t="shared" si="27"/>
        <v>0.5</v>
      </c>
      <c r="R128" s="177">
        <f t="shared" si="28"/>
        <v>0.56009406958526453</v>
      </c>
      <c r="S128" s="811">
        <f t="shared" si="29"/>
        <v>-2</v>
      </c>
      <c r="T128" s="176">
        <f t="shared" si="30"/>
        <v>4</v>
      </c>
      <c r="U128" s="251">
        <f t="shared" si="31"/>
        <v>-1.4399059304147355</v>
      </c>
      <c r="V128" s="383">
        <f t="shared" si="32"/>
        <v>59.24957119106184</v>
      </c>
      <c r="W128" s="58"/>
      <c r="X128" s="157">
        <f t="shared" si="33"/>
        <v>43579</v>
      </c>
      <c r="Y128" s="385">
        <f t="shared" si="34"/>
        <v>52.439</v>
      </c>
      <c r="Z128" s="385">
        <f t="shared" si="35"/>
        <v>52.80783064129799</v>
      </c>
      <c r="AA128" s="386">
        <f t="shared" si="36"/>
        <v>53.769485282578017</v>
      </c>
      <c r="AB128" s="197">
        <f t="shared" si="37"/>
        <v>43579</v>
      </c>
      <c r="AC128" s="426">
        <f>IF(OR(t&lt;Tnet,NoTnet),'2018'!Resal_s+('2018'!Salim-'2018'!Resal_s)*(1-EXP(('2018'!Tnet_s-t)/'2018'!Tau_j)),Resal_s+(Salim-Resal_s)*(1-EXP((Tnet_s-t)/Tau_j)))*Salcycl</f>
        <v>1.7884765610572378E-2</v>
      </c>
      <c r="AD128" s="231">
        <f>(INDEX(Models!$BJ128:$BT128,,AH128)*(1-AF128)+INDEX(Models!$BJ128:$BT128,,AH128+1)*AF128-ERP_i)*AE128*Ramure*Pc/MaxiM</f>
        <v>5.060268319449271E-6</v>
      </c>
      <c r="AE128" s="305">
        <f t="shared" si="38"/>
        <v>0.5</v>
      </c>
      <c r="AF128" s="177">
        <f t="shared" si="39"/>
        <v>0.56009406958526453</v>
      </c>
      <c r="AG128" s="176">
        <f t="shared" si="40"/>
        <v>-2</v>
      </c>
      <c r="AH128" s="176">
        <f t="shared" si="41"/>
        <v>4</v>
      </c>
      <c r="AI128" s="225">
        <f t="shared" si="42"/>
        <v>-1.4399059304147355</v>
      </c>
      <c r="AJ128" s="265" t="b">
        <f t="shared" si="43"/>
        <v>0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7">
        <v>36.433999999999997</v>
      </c>
      <c r="C129" s="390"/>
      <c r="D129" s="393">
        <f t="shared" si="24"/>
        <v>36.691062816927463</v>
      </c>
      <c r="E129" s="385">
        <f t="shared" si="46"/>
        <v>37.361348227448957</v>
      </c>
      <c r="F129" s="385">
        <f t="shared" si="25"/>
        <v>37.361445897301593</v>
      </c>
      <c r="G129" s="110">
        <f t="shared" si="47"/>
        <v>0.61331097047111527</v>
      </c>
      <c r="H129" s="414" t="b">
        <f>Wh_hp&gt;='2018'!Maxi_hp</f>
        <v>1</v>
      </c>
      <c r="I129" s="390">
        <f>IF(H129,Wh_hp,'2018'!Maxi_hp)</f>
        <v>37.361445897301593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7.0061425642014008E-3</v>
      </c>
      <c r="M129" s="845"/>
      <c r="N129" s="845"/>
      <c r="O129" s="48">
        <f>IF(t&lt;Tnet,'2018'!Resal+('2018'!Salim-'2018'!Resal)*(1-EXP(('2018'!Tnet-t)/('2018'!Tau_j))),Resal+(Salim-Resal)*(1-EXP((Tnet-t)/(Tau_j))))*Salcycl</f>
        <v>1.7940610880552828E-2</v>
      </c>
      <c r="P129" s="169">
        <f>(INDEX(Models!$BJ129:$BT129,,T129)*(1-R129)+INDEX(Models!$BJ129:$BT129,,T129+1)*R129-ERP_i)*Q129*Ramure*Pc/MaxiM</f>
        <v>5.8405877414678535E-6</v>
      </c>
      <c r="Q129" s="305">
        <f t="shared" si="27"/>
        <v>0.5</v>
      </c>
      <c r="R129" s="177">
        <f t="shared" si="28"/>
        <v>0.56240491109023028</v>
      </c>
      <c r="S129" s="811">
        <f t="shared" si="29"/>
        <v>-2</v>
      </c>
      <c r="T129" s="176">
        <f t="shared" si="30"/>
        <v>4</v>
      </c>
      <c r="U129" s="251">
        <f t="shared" si="31"/>
        <v>-1.4375950889097697</v>
      </c>
      <c r="V129" s="383">
        <f t="shared" si="32"/>
        <v>59.405235195885517</v>
      </c>
      <c r="W129" s="58"/>
      <c r="X129" s="157">
        <f t="shared" si="33"/>
        <v>43580</v>
      </c>
      <c r="Y129" s="385">
        <f t="shared" si="34"/>
        <v>36.433999999999997</v>
      </c>
      <c r="Z129" s="385">
        <f t="shared" si="35"/>
        <v>36.691062816927463</v>
      </c>
      <c r="AA129" s="386">
        <f t="shared" si="36"/>
        <v>37.361348227448957</v>
      </c>
      <c r="AB129" s="197">
        <f t="shared" si="37"/>
        <v>43580</v>
      </c>
      <c r="AC129" s="426">
        <f>IF(OR(t&lt;Tnet,NoTnet),'2018'!Resal_s+('2018'!Salim-'2018'!Resal_s)*(1-EXP(('2018'!Tnet_s-t)/'2018'!Tau_j)),Resal_s+(Salim-Resal_s)*(1-EXP((Tnet_s-t)/Tau_j)))*Salcycl</f>
        <v>1.7940610880552828E-2</v>
      </c>
      <c r="AD129" s="231">
        <f>(INDEX(Models!$BJ129:$BT129,,AH129)*(1-AF129)+INDEX(Models!$BJ129:$BT129,,AH129+1)*AF129-ERP_i)*AE129*Ramure*Pc/MaxiM</f>
        <v>5.8405877414678535E-6</v>
      </c>
      <c r="AE129" s="305">
        <f t="shared" si="38"/>
        <v>0.5</v>
      </c>
      <c r="AF129" s="177">
        <f t="shared" si="39"/>
        <v>0.56240491109023028</v>
      </c>
      <c r="AG129" s="176">
        <f t="shared" si="40"/>
        <v>-2</v>
      </c>
      <c r="AH129" s="176">
        <f t="shared" si="41"/>
        <v>4</v>
      </c>
      <c r="AI129" s="225">
        <f t="shared" si="42"/>
        <v>-1.4375950889097697</v>
      </c>
      <c r="AJ129" s="265" t="b">
        <f t="shared" si="43"/>
        <v>0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7">
        <v>30.004999999999999</v>
      </c>
      <c r="C130" s="390"/>
      <c r="D130" s="393">
        <f t="shared" si="24"/>
        <v>30.217364363545606</v>
      </c>
      <c r="E130" s="385">
        <f t="shared" si="46"/>
        <v>30.771143604750673</v>
      </c>
      <c r="F130" s="385">
        <f t="shared" si="25"/>
        <v>30.771203752009519</v>
      </c>
      <c r="G130" s="110">
        <f t="shared" si="47"/>
        <v>0.50381029964953372</v>
      </c>
      <c r="H130" s="414" t="b">
        <f>Wh_hp&gt;='2018'!Maxi_hp</f>
        <v>1</v>
      </c>
      <c r="I130" s="390">
        <f>IF(H130,Wh_hp,'2018'!Maxi_hp)</f>
        <v>30.771203752009519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7.0278916781307821E-3</v>
      </c>
      <c r="M130" s="845"/>
      <c r="N130" s="845"/>
      <c r="O130" s="48">
        <f>IF(t&lt;Tnet,'2018'!Resal+('2018'!Salim-'2018'!Resal)*(1-EXP(('2018'!Tnet-t)/('2018'!Tau_j))),Resal+(Salim-Resal)*(1-EXP((Tnet-t)/(Tau_j))))*Salcycl</f>
        <v>1.7996706535130826E-2</v>
      </c>
      <c r="P130" s="169">
        <f>(INDEX(Models!$BJ130:$BT130,,T130)*(1-R130)+INDEX(Models!$BJ130:$BT130,,T130+1)*R130-ERP_i)*Q130*Ramure*Pc/MaxiM</f>
        <v>6.7133324976339442E-6</v>
      </c>
      <c r="Q130" s="305">
        <f t="shared" si="27"/>
        <v>0.5</v>
      </c>
      <c r="R130" s="177">
        <f t="shared" si="28"/>
        <v>0.56478686786808918</v>
      </c>
      <c r="S130" s="811">
        <f t="shared" si="29"/>
        <v>-2</v>
      </c>
      <c r="T130" s="176">
        <f t="shared" si="30"/>
        <v>4</v>
      </c>
      <c r="U130" s="251">
        <f t="shared" si="31"/>
        <v>-1.4352131321319108</v>
      </c>
      <c r="V130" s="383">
        <f t="shared" si="32"/>
        <v>59.555863063224812</v>
      </c>
      <c r="W130" s="58"/>
      <c r="X130" s="157">
        <f t="shared" si="33"/>
        <v>43581</v>
      </c>
      <c r="Y130" s="385">
        <f t="shared" si="34"/>
        <v>30.004999999999999</v>
      </c>
      <c r="Z130" s="385">
        <f t="shared" si="35"/>
        <v>30.217364363545606</v>
      </c>
      <c r="AA130" s="386">
        <f t="shared" si="36"/>
        <v>30.771143604750673</v>
      </c>
      <c r="AB130" s="197">
        <f t="shared" si="37"/>
        <v>43581</v>
      </c>
      <c r="AC130" s="426">
        <f>IF(OR(t&lt;Tnet,NoTnet),'2018'!Resal_s+('2018'!Salim-'2018'!Resal_s)*(1-EXP(('2018'!Tnet_s-t)/'2018'!Tau_j)),Resal_s+(Salim-Resal_s)*(1-EXP((Tnet_s-t)/Tau_j)))*Salcycl</f>
        <v>1.7996706535130826E-2</v>
      </c>
      <c r="AD130" s="231">
        <f>(INDEX(Models!$BJ130:$BT130,,AH130)*(1-AF130)+INDEX(Models!$BJ130:$BT130,,AH130+1)*AF130-ERP_i)*AE130*Ramure*Pc/MaxiM</f>
        <v>6.7133324976339442E-6</v>
      </c>
      <c r="AE130" s="305">
        <f t="shared" si="38"/>
        <v>0.5</v>
      </c>
      <c r="AF130" s="177">
        <f t="shared" si="39"/>
        <v>0.56478686786808918</v>
      </c>
      <c r="AG130" s="176">
        <f t="shared" si="40"/>
        <v>-2</v>
      </c>
      <c r="AH130" s="176">
        <f t="shared" si="41"/>
        <v>4</v>
      </c>
      <c r="AI130" s="225">
        <f t="shared" si="42"/>
        <v>-1.4352131321319108</v>
      </c>
      <c r="AJ130" s="265" t="b">
        <f t="shared" si="43"/>
        <v>0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7">
        <v>29.672999999999998</v>
      </c>
      <c r="C131" s="390"/>
      <c r="D131" s="393">
        <f t="shared" si="24"/>
        <v>29.883669118599478</v>
      </c>
      <c r="E131" s="385">
        <f t="shared" si="46"/>
        <v>30.433079132301494</v>
      </c>
      <c r="F131" s="385">
        <f t="shared" si="25"/>
        <v>30.433144925485259</v>
      </c>
      <c r="G131" s="110">
        <f t="shared" si="47"/>
        <v>0.49701769991741207</v>
      </c>
      <c r="H131" s="414" t="b">
        <f>Wh_hp&gt;='2018'!Maxi_hp</f>
        <v>1</v>
      </c>
      <c r="I131" s="390">
        <f>IF(H131,Wh_hp,'2018'!Maxi_hp)</f>
        <v>30.433144925485259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7.0496403156987686E-3</v>
      </c>
      <c r="M131" s="845"/>
      <c r="N131" s="845"/>
      <c r="O131" s="48">
        <f>IF(t&lt;Tnet,'2018'!Resal+('2018'!Salim-'2018'!Resal)*(1-EXP(('2018'!Tnet-t)/('2018'!Tau_j))),Resal+(Salim-Resal)*(1-EXP((Tnet-t)/(Tau_j))))*Salcycl</f>
        <v>1.805305376145374E-2</v>
      </c>
      <c r="P131" s="169">
        <f>(INDEX(Models!$BJ131:$BT131,,T131)*(1-R131)+INDEX(Models!$BJ131:$BT131,,T131+1)*R131-ERP_i)*Q131*Ramure*Pc/MaxiM</f>
        <v>7.6810539782731687E-6</v>
      </c>
      <c r="Q131" s="305">
        <f t="shared" si="27"/>
        <v>0.5</v>
      </c>
      <c r="R131" s="177">
        <f t="shared" si="28"/>
        <v>0.56724116885522413</v>
      </c>
      <c r="S131" s="811">
        <f t="shared" si="29"/>
        <v>-2</v>
      </c>
      <c r="T131" s="176">
        <f t="shared" si="30"/>
        <v>4</v>
      </c>
      <c r="U131" s="251">
        <f t="shared" si="31"/>
        <v>-1.4327588311447759</v>
      </c>
      <c r="V131" s="383">
        <f t="shared" si="32"/>
        <v>59.701769644208127</v>
      </c>
      <c r="W131" s="58"/>
      <c r="X131" s="157">
        <f t="shared" si="33"/>
        <v>43582</v>
      </c>
      <c r="Y131" s="385">
        <f t="shared" si="34"/>
        <v>29.672999999999998</v>
      </c>
      <c r="Z131" s="385">
        <f t="shared" si="35"/>
        <v>29.883669118599478</v>
      </c>
      <c r="AA131" s="386">
        <f t="shared" si="36"/>
        <v>30.433079132301494</v>
      </c>
      <c r="AB131" s="197">
        <f t="shared" si="37"/>
        <v>43582</v>
      </c>
      <c r="AC131" s="426">
        <f>IF(OR(t&lt;Tnet,NoTnet),'2018'!Resal_s+('2018'!Salim-'2018'!Resal_s)*(1-EXP(('2018'!Tnet_s-t)/'2018'!Tau_j)),Resal_s+(Salim-Resal_s)*(1-EXP((Tnet_s-t)/Tau_j)))*Salcycl</f>
        <v>1.805305376145374E-2</v>
      </c>
      <c r="AD131" s="231">
        <f>(INDEX(Models!$BJ131:$BT131,,AH131)*(1-AF131)+INDEX(Models!$BJ131:$BT131,,AH131+1)*AF131-ERP_i)*AE131*Ramure*Pc/MaxiM</f>
        <v>7.6810539782731687E-6</v>
      </c>
      <c r="AE131" s="305">
        <f t="shared" si="38"/>
        <v>0.5</v>
      </c>
      <c r="AF131" s="177">
        <f t="shared" si="39"/>
        <v>0.56724116885522413</v>
      </c>
      <c r="AG131" s="176">
        <f t="shared" si="40"/>
        <v>-2</v>
      </c>
      <c r="AH131" s="176">
        <f t="shared" si="41"/>
        <v>4</v>
      </c>
      <c r="AI131" s="225">
        <f t="shared" si="42"/>
        <v>-1.4327588311447759</v>
      </c>
      <c r="AJ131" s="265" t="b">
        <f t="shared" si="43"/>
        <v>0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7">
        <v>45.695999999999998</v>
      </c>
      <c r="C132" s="390"/>
      <c r="D132" s="393">
        <f t="shared" si="24"/>
        <v>46.021435448320375</v>
      </c>
      <c r="E132" s="385">
        <f t="shared" si="46"/>
        <v>46.870239229206589</v>
      </c>
      <c r="F132" s="385">
        <f t="shared" si="25"/>
        <v>46.870510731346037</v>
      </c>
      <c r="G132" s="110">
        <f t="shared" si="47"/>
        <v>0.76359238449596145</v>
      </c>
      <c r="H132" s="414" t="b">
        <f>Wh_hp&gt;='2018'!Maxi_hp</f>
        <v>1</v>
      </c>
      <c r="I132" s="390">
        <f>IF(H132,Wh_hp,'2018'!Maxi_hp)</f>
        <v>46.870510731346037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7.0713884769157964E-3</v>
      </c>
      <c r="M132" s="845"/>
      <c r="N132" s="845"/>
      <c r="O132" s="48">
        <f>IF(t&lt;Tnet,'2018'!Resal+('2018'!Salim-'2018'!Resal)*(1-EXP(('2018'!Tnet-t)/('2018'!Tau_j))),Resal+(Salim-Resal)*(1-EXP((Tnet-t)/(Tau_j))))*Salcycl</f>
        <v>1.810965326495053E-2</v>
      </c>
      <c r="P132" s="169">
        <f>(INDEX(Models!$BJ132:$BT132,,T132)*(1-R132)+INDEX(Models!$BJ132:$BT132,,T132+1)*R132-ERP_i)*Q132*Ramure*Pc/MaxiM</f>
        <v>8.7464779206808429E-6</v>
      </c>
      <c r="Q132" s="305">
        <f t="shared" si="27"/>
        <v>0.5</v>
      </c>
      <c r="R132" s="177">
        <f t="shared" si="28"/>
        <v>0.56976899289810157</v>
      </c>
      <c r="S132" s="811">
        <f t="shared" si="29"/>
        <v>-2</v>
      </c>
      <c r="T132" s="176">
        <f t="shared" si="30"/>
        <v>4</v>
      </c>
      <c r="U132" s="251">
        <f t="shared" si="31"/>
        <v>-1.4302310071018984</v>
      </c>
      <c r="V132" s="383">
        <f t="shared" si="32"/>
        <v>59.84326971646589</v>
      </c>
      <c r="W132" s="58"/>
      <c r="X132" s="157">
        <f t="shared" si="33"/>
        <v>43583</v>
      </c>
      <c r="Y132" s="385">
        <f t="shared" si="34"/>
        <v>45.695999999999998</v>
      </c>
      <c r="Z132" s="385">
        <f t="shared" si="35"/>
        <v>46.021435448320375</v>
      </c>
      <c r="AA132" s="386">
        <f t="shared" si="36"/>
        <v>46.870239229206589</v>
      </c>
      <c r="AB132" s="197">
        <f t="shared" si="37"/>
        <v>43583</v>
      </c>
      <c r="AC132" s="426">
        <f>IF(OR(t&lt;Tnet,NoTnet),'2018'!Resal_s+('2018'!Salim-'2018'!Resal_s)*(1-EXP(('2018'!Tnet_s-t)/'2018'!Tau_j)),Resal_s+(Salim-Resal_s)*(1-EXP((Tnet_s-t)/Tau_j)))*Salcycl</f>
        <v>1.810965326495053E-2</v>
      </c>
      <c r="AD132" s="231">
        <f>(INDEX(Models!$BJ132:$BT132,,AH132)*(1-AF132)+INDEX(Models!$BJ132:$BT132,,AH132+1)*AF132-ERP_i)*AE132*Ramure*Pc/MaxiM</f>
        <v>8.7464779206808429E-6</v>
      </c>
      <c r="AE132" s="305">
        <f t="shared" si="38"/>
        <v>0.5</v>
      </c>
      <c r="AF132" s="177">
        <f t="shared" si="39"/>
        <v>0.56976899289810157</v>
      </c>
      <c r="AG132" s="176">
        <f t="shared" si="40"/>
        <v>-2</v>
      </c>
      <c r="AH132" s="176">
        <f t="shared" si="41"/>
        <v>4</v>
      </c>
      <c r="AI132" s="225">
        <f t="shared" si="42"/>
        <v>-1.4302310071018984</v>
      </c>
      <c r="AJ132" s="265" t="b">
        <f t="shared" si="43"/>
        <v>0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7">
        <v>51.405999999999999</v>
      </c>
      <c r="C133" s="390"/>
      <c r="D133" s="393">
        <f t="shared" si="24"/>
        <v>51.773234602572465</v>
      </c>
      <c r="E133" s="385">
        <f t="shared" si="46"/>
        <v>52.731175784133633</v>
      </c>
      <c r="F133" s="385">
        <f t="shared" si="25"/>
        <v>52.731591737433121</v>
      </c>
      <c r="G133" s="110">
        <f t="shared" si="47"/>
        <v>0.85704092819637467</v>
      </c>
      <c r="H133" s="414" t="b">
        <f>Wh_hp&gt;='2018'!Maxi_hp</f>
        <v>1</v>
      </c>
      <c r="I133" s="390">
        <f>IF(H133,Wh_hp,'2018'!Maxi_hp)</f>
        <v>52.731591737433121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7.0931361617923017E-3</v>
      </c>
      <c r="M133" s="845"/>
      <c r="N133" s="845"/>
      <c r="O133" s="48">
        <f>IF(t&lt;Tnet,'2018'!Resal+('2018'!Salim-'2018'!Resal)*(1-EXP(('2018'!Tnet-t)/('2018'!Tau_j))),Resal+(Salim-Resal)*(1-EXP((Tnet-t)/(Tau_j))))*Salcycl</f>
        <v>1.8166505246966447E-2</v>
      </c>
      <c r="P133" s="169">
        <f>(INDEX(Models!$BJ133:$BT133,,T133)*(1-R133)+INDEX(Models!$BJ133:$BT133,,T133+1)*R133-ERP_i)*Q133*Ramure*Pc/MaxiM</f>
        <v>9.912501684584203E-6</v>
      </c>
      <c r="Q133" s="305">
        <f t="shared" si="27"/>
        <v>0.5</v>
      </c>
      <c r="R133" s="177">
        <f t="shared" si="28"/>
        <v>0.57237146265923355</v>
      </c>
      <c r="S133" s="811">
        <f t="shared" si="29"/>
        <v>-2</v>
      </c>
      <c r="T133" s="176">
        <f t="shared" si="30"/>
        <v>4</v>
      </c>
      <c r="U133" s="251">
        <f t="shared" si="31"/>
        <v>-1.4276285373407664</v>
      </c>
      <c r="V133" s="383">
        <f t="shared" si="32"/>
        <v>59.980677984852541</v>
      </c>
      <c r="W133" s="58"/>
      <c r="X133" s="157">
        <f t="shared" si="33"/>
        <v>43584</v>
      </c>
      <c r="Y133" s="385">
        <f t="shared" si="34"/>
        <v>51.405999999999999</v>
      </c>
      <c r="Z133" s="385">
        <f t="shared" si="35"/>
        <v>51.773234602572465</v>
      </c>
      <c r="AA133" s="386">
        <f t="shared" si="36"/>
        <v>52.731175784133633</v>
      </c>
      <c r="AB133" s="197">
        <f t="shared" si="37"/>
        <v>43584</v>
      </c>
      <c r="AC133" s="426">
        <f>IF(OR(t&lt;Tnet,NoTnet),'2018'!Resal_s+('2018'!Salim-'2018'!Resal_s)*(1-EXP(('2018'!Tnet_s-t)/'2018'!Tau_j)),Resal_s+(Salim-Resal_s)*(1-EXP((Tnet_s-t)/Tau_j)))*Salcycl</f>
        <v>1.8166505246966447E-2</v>
      </c>
      <c r="AD133" s="231">
        <f>(INDEX(Models!$BJ133:$BT133,,AH133)*(1-AF133)+INDEX(Models!$BJ133:$BT133,,AH133+1)*AF133-ERP_i)*AE133*Ramure*Pc/MaxiM</f>
        <v>9.912501684584203E-6</v>
      </c>
      <c r="AE133" s="305">
        <f t="shared" si="38"/>
        <v>0.5</v>
      </c>
      <c r="AF133" s="177">
        <f t="shared" si="39"/>
        <v>0.57237146265923355</v>
      </c>
      <c r="AG133" s="176">
        <f t="shared" si="40"/>
        <v>-2</v>
      </c>
      <c r="AH133" s="176">
        <f t="shared" si="41"/>
        <v>4</v>
      </c>
      <c r="AI133" s="225">
        <f t="shared" si="42"/>
        <v>-1.4276285373407664</v>
      </c>
      <c r="AJ133" s="265" t="b">
        <f t="shared" si="43"/>
        <v>0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7">
        <v>60.515999999999998</v>
      </c>
      <c r="C134" s="390"/>
      <c r="D134" s="393">
        <f t="shared" si="24"/>
        <v>60.949649648713596</v>
      </c>
      <c r="E134" s="385">
        <f t="shared" si="46"/>
        <v>62.080989348681548</v>
      </c>
      <c r="F134" s="385">
        <f t="shared" si="25"/>
        <v>62.081683557920357</v>
      </c>
      <c r="G134" s="110">
        <f t="shared" si="47"/>
        <v>1.0066821182063173</v>
      </c>
      <c r="H134" s="414" t="b">
        <f>Wh_hp&gt;='2018'!Maxi_hp</f>
        <v>1</v>
      </c>
      <c r="I134" s="390">
        <f>IF(H134,Wh_hp,'2018'!Maxi_hp)</f>
        <v>62.081683557920357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7.1148833703386094E-3</v>
      </c>
      <c r="M134" s="845"/>
      <c r="N134" s="845"/>
      <c r="O134" s="48">
        <f>IF(t&lt;Tnet,'2018'!Resal+('2018'!Salim-'2018'!Resal)*(1-EXP(('2018'!Tnet-t)/('2018'!Tau_j))),Resal+(Salim-Resal)*(1-EXP((Tnet-t)/(Tau_j))))*Salcycl</f>
        <v>1.8223609382474824E-2</v>
      </c>
      <c r="P134" s="169">
        <f>(INDEX(Models!$BJ134:$BT134,,T134)*(1-R134)+INDEX(Models!$BJ134:$BT134,,T134+1)*R134-ERP_i)*Q134*Ramure*Pc/MaxiM</f>
        <v>1.1182190930083539E-5</v>
      </c>
      <c r="Q134" s="305">
        <f t="shared" si="27"/>
        <v>0.5</v>
      </c>
      <c r="R134" s="177">
        <f t="shared" si="28"/>
        <v>0.57504963831651268</v>
      </c>
      <c r="S134" s="811">
        <f t="shared" si="29"/>
        <v>-2</v>
      </c>
      <c r="T134" s="176">
        <f t="shared" si="30"/>
        <v>4</v>
      </c>
      <c r="U134" s="251">
        <f t="shared" si="31"/>
        <v>-1.4249503616834873</v>
      </c>
      <c r="V134" s="383">
        <f t="shared" si="32"/>
        <v>60.1143090808308</v>
      </c>
      <c r="W134" s="58"/>
      <c r="X134" s="157">
        <f t="shared" si="33"/>
        <v>43585</v>
      </c>
      <c r="Y134" s="385">
        <f t="shared" si="34"/>
        <v>60.515999999999998</v>
      </c>
      <c r="Z134" s="385">
        <f t="shared" si="35"/>
        <v>60.949649648713596</v>
      </c>
      <c r="AA134" s="386">
        <f t="shared" si="36"/>
        <v>62.080989348681548</v>
      </c>
      <c r="AB134" s="197">
        <f t="shared" si="37"/>
        <v>43585</v>
      </c>
      <c r="AC134" s="426">
        <f>IF(OR(t&lt;Tnet,NoTnet),'2018'!Resal_s+('2018'!Salim-'2018'!Resal_s)*(1-EXP(('2018'!Tnet_s-t)/'2018'!Tau_j)),Resal_s+(Salim-Resal_s)*(1-EXP((Tnet_s-t)/Tau_j)))*Salcycl</f>
        <v>1.8223609382474824E-2</v>
      </c>
      <c r="AD134" s="231">
        <f>(INDEX(Models!$BJ134:$BT134,,AH134)*(1-AF134)+INDEX(Models!$BJ134:$BT134,,AH134+1)*AF134-ERP_i)*AE134*Ramure*Pc/MaxiM</f>
        <v>1.1182190930083539E-5</v>
      </c>
      <c r="AE134" s="305">
        <f t="shared" si="38"/>
        <v>0.5</v>
      </c>
      <c r="AF134" s="177">
        <f t="shared" si="39"/>
        <v>0.57504963831651268</v>
      </c>
      <c r="AG134" s="176">
        <f t="shared" si="40"/>
        <v>-2</v>
      </c>
      <c r="AH134" s="176">
        <f t="shared" si="41"/>
        <v>4</v>
      </c>
      <c r="AI134" s="225">
        <f t="shared" si="42"/>
        <v>-1.4249503616834873</v>
      </c>
      <c r="AJ134" s="265" t="b">
        <f t="shared" si="43"/>
        <v>0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7">
        <v>56.468000000000004</v>
      </c>
      <c r="C135" s="390"/>
      <c r="D135" s="393">
        <f t="shared" si="24"/>
        <v>56.873887900440209</v>
      </c>
      <c r="E135" s="385">
        <f t="shared" si="46"/>
        <v>57.932958271243415</v>
      </c>
      <c r="F135" s="385">
        <f t="shared" si="25"/>
        <v>57.93362071879104</v>
      </c>
      <c r="G135" s="110">
        <f t="shared" si="47"/>
        <v>0.93732881385047873</v>
      </c>
      <c r="H135" s="414" t="b">
        <f>Wh_hp&gt;='2018'!Maxi_hp</f>
        <v>1</v>
      </c>
      <c r="I135" s="390">
        <f>IF(H135,Wh_hp,'2018'!Maxi_hp)</f>
        <v>57.93362071879104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7.1366301025652668E-3</v>
      </c>
      <c r="M135" s="845"/>
      <c r="N135" s="845"/>
      <c r="O135" s="48">
        <f>IF(t&lt;Tnet,'2018'!Resal+('2018'!Salim-'2018'!Resal)*(1-EXP(('2018'!Tnet-t)/('2018'!Tau_j))),Resal+(Salim-Resal)*(1-EXP((Tnet-t)/(Tau_j))))*Salcycl</f>
        <v>1.8280964798044919E-2</v>
      </c>
      <c r="P135" s="169">
        <f>(INDEX(Models!$BJ135:$BT135,,T135)*(1-R135)+INDEX(Models!$BJ135:$BT135,,T135+1)*R135-ERP_i)*Q135*Ramure*Pc/MaxiM</f>
        <v>1.2558986489043637E-5</v>
      </c>
      <c r="Q135" s="305">
        <f t="shared" si="27"/>
        <v>0.5</v>
      </c>
      <c r="R135" s="177">
        <f t="shared" si="28"/>
        <v>0.57780451107457265</v>
      </c>
      <c r="S135" s="811">
        <f t="shared" si="29"/>
        <v>-2</v>
      </c>
      <c r="T135" s="176">
        <f t="shared" si="30"/>
        <v>4</v>
      </c>
      <c r="U135" s="251">
        <f t="shared" si="31"/>
        <v>-1.4221954889254274</v>
      </c>
      <c r="V135" s="383">
        <f t="shared" si="32"/>
        <v>60.243465977777397</v>
      </c>
      <c r="W135" s="58"/>
      <c r="X135" s="157">
        <f t="shared" si="33"/>
        <v>43586</v>
      </c>
      <c r="Y135" s="385">
        <f t="shared" si="34"/>
        <v>56.468000000000004</v>
      </c>
      <c r="Z135" s="385">
        <f t="shared" si="35"/>
        <v>56.873887900440209</v>
      </c>
      <c r="AA135" s="386">
        <f t="shared" si="36"/>
        <v>57.932958271243415</v>
      </c>
      <c r="AB135" s="197">
        <f t="shared" si="37"/>
        <v>43586</v>
      </c>
      <c r="AC135" s="426">
        <f>IF(OR(t&lt;Tnet,NoTnet),'2018'!Resal_s+('2018'!Salim-'2018'!Resal_s)*(1-EXP(('2018'!Tnet_s-t)/'2018'!Tau_j)),Resal_s+(Salim-Resal_s)*(1-EXP((Tnet_s-t)/Tau_j)))*Salcycl</f>
        <v>1.8280964798044919E-2</v>
      </c>
      <c r="AD135" s="231">
        <f>(INDEX(Models!$BJ135:$BT135,,AH135)*(1-AF135)+INDEX(Models!$BJ135:$BT135,,AH135+1)*AF135-ERP_i)*AE135*Ramure*Pc/MaxiM</f>
        <v>1.2558986489043637E-5</v>
      </c>
      <c r="AE135" s="305">
        <f t="shared" si="38"/>
        <v>0.5</v>
      </c>
      <c r="AF135" s="177">
        <f t="shared" si="39"/>
        <v>0.57780451107457265</v>
      </c>
      <c r="AG135" s="176">
        <f t="shared" si="40"/>
        <v>-2</v>
      </c>
      <c r="AH135" s="176">
        <f t="shared" si="41"/>
        <v>4</v>
      </c>
      <c r="AI135" s="225">
        <f t="shared" si="42"/>
        <v>-1.4221954889254274</v>
      </c>
      <c r="AJ135" s="265" t="b">
        <f t="shared" si="43"/>
        <v>0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7">
        <v>33.776000000000003</v>
      </c>
      <c r="C136" s="390"/>
      <c r="D136" s="393">
        <f t="shared" si="24"/>
        <v>34.019524560339562</v>
      </c>
      <c r="E136" s="385">
        <f t="shared" si="46"/>
        <v>34.655048596623928</v>
      </c>
      <c r="F136" s="385">
        <f t="shared" si="25"/>
        <v>34.655229664918352</v>
      </c>
      <c r="G136" s="110">
        <f t="shared" si="47"/>
        <v>0.55950315985059007</v>
      </c>
      <c r="H136" s="414" t="b">
        <f>Wh_hp&gt;='2018'!Maxi_hp</f>
        <v>1</v>
      </c>
      <c r="I136" s="390">
        <f>IF(H136,Wh_hp,'2018'!Maxi_hp)</f>
        <v>34.655229664918352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7.1583763584827098E-3</v>
      </c>
      <c r="M136" s="845"/>
      <c r="N136" s="845"/>
      <c r="O136" s="48">
        <f>IF(t&lt;Tnet,'2018'!Resal+('2018'!Salim-'2018'!Resal)*(1-EXP(('2018'!Tnet-t)/('2018'!Tau_j))),Resal+(Salim-Resal)*(1-EXP((Tnet-t)/(Tau_j))))*Salcycl</f>
        <v>1.8338570050260457E-2</v>
      </c>
      <c r="P136" s="169">
        <f>(INDEX(Models!$BJ136:$BT136,,T136)*(1-R136)+INDEX(Models!$BJ136:$BT136,,T136+1)*R136-ERP_i)*Q136*Ramure*Pc/MaxiM</f>
        <v>1.409356019269486E-5</v>
      </c>
      <c r="Q136" s="305">
        <f t="shared" si="27"/>
        <v>0.5</v>
      </c>
      <c r="R136" s="177">
        <f t="shared" si="28"/>
        <v>0.58063699651000777</v>
      </c>
      <c r="S136" s="811">
        <f t="shared" si="29"/>
        <v>-2</v>
      </c>
      <c r="T136" s="176">
        <f t="shared" si="30"/>
        <v>4</v>
      </c>
      <c r="U136" s="251">
        <f t="shared" si="31"/>
        <v>-1.4193630034899922</v>
      </c>
      <c r="V136" s="383">
        <f t="shared" si="32"/>
        <v>60.367309556962461</v>
      </c>
      <c r="W136" s="58"/>
      <c r="X136" s="157">
        <f t="shared" si="33"/>
        <v>43587</v>
      </c>
      <c r="Y136" s="385">
        <f t="shared" si="34"/>
        <v>33.776000000000003</v>
      </c>
      <c r="Z136" s="385">
        <f t="shared" si="35"/>
        <v>34.019524560339562</v>
      </c>
      <c r="AA136" s="386">
        <f t="shared" si="36"/>
        <v>34.655048596623928</v>
      </c>
      <c r="AB136" s="197">
        <f t="shared" si="37"/>
        <v>43587</v>
      </c>
      <c r="AC136" s="426">
        <f>IF(OR(t&lt;Tnet,NoTnet),'2018'!Resal_s+('2018'!Salim-'2018'!Resal_s)*(1-EXP(('2018'!Tnet_s-t)/'2018'!Tau_j)),Resal_s+(Salim-Resal_s)*(1-EXP((Tnet_s-t)/Tau_j)))*Salcycl</f>
        <v>1.8338570050260457E-2</v>
      </c>
      <c r="AD136" s="231">
        <f>(INDEX(Models!$BJ136:$BT136,,AH136)*(1-AF136)+INDEX(Models!$BJ136:$BT136,,AH136+1)*AF136-ERP_i)*AE136*Ramure*Pc/MaxiM</f>
        <v>1.409356019269486E-5</v>
      </c>
      <c r="AE136" s="305">
        <f t="shared" si="38"/>
        <v>0.5</v>
      </c>
      <c r="AF136" s="177">
        <f t="shared" si="39"/>
        <v>0.58063699651000777</v>
      </c>
      <c r="AG136" s="176">
        <f t="shared" si="40"/>
        <v>-2</v>
      </c>
      <c r="AH136" s="176">
        <f t="shared" si="41"/>
        <v>4</v>
      </c>
      <c r="AI136" s="225">
        <f t="shared" si="42"/>
        <v>-1.4193630034899922</v>
      </c>
      <c r="AJ136" s="265" t="b">
        <f t="shared" si="43"/>
        <v>0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7">
        <v>20.010000000000002</v>
      </c>
      <c r="C137" s="390"/>
      <c r="D137" s="393">
        <f t="shared" si="24"/>
        <v>20.154713303175217</v>
      </c>
      <c r="E137" s="385">
        <f t="shared" si="46"/>
        <v>20.532436696007434</v>
      </c>
      <c r="F137" s="385">
        <f t="shared" si="25"/>
        <v>20.532450941234753</v>
      </c>
      <c r="G137" s="110">
        <f t="shared" si="47"/>
        <v>0.33081565924233197</v>
      </c>
      <c r="H137" s="414" t="b">
        <f>Wh_hp&gt;='2018'!Maxi_hp</f>
        <v>1</v>
      </c>
      <c r="I137" s="390">
        <f>IF(H137,Wh_hp,'2018'!Maxi_hp)</f>
        <v>20.532450941234753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7.1801221381013747E-3</v>
      </c>
      <c r="M137" s="845"/>
      <c r="N137" s="845"/>
      <c r="O137" s="48">
        <f>IF(t&lt;Tnet,'2018'!Resal+('2018'!Salim-'2018'!Resal)*(1-EXP(('2018'!Tnet-t)/('2018'!Tau_j))),Resal+(Salim-Resal)*(1-EXP((Tnet-t)/(Tau_j))))*Salcycl</f>
        <v>1.8396423104797187E-2</v>
      </c>
      <c r="P137" s="169">
        <f>(INDEX(Models!$BJ137:$BT137,,T137)*(1-R137)+INDEX(Models!$BJ137:$BT137,,T137+1)*R137-ERP_i)*Q137*Ramure*Pc/MaxiM</f>
        <v>1.5757413823933479E-5</v>
      </c>
      <c r="Q137" s="305">
        <f t="shared" si="27"/>
        <v>0.5</v>
      </c>
      <c r="R137" s="177">
        <f t="shared" si="28"/>
        <v>0.58354792777557152</v>
      </c>
      <c r="S137" s="811">
        <f t="shared" si="29"/>
        <v>-2</v>
      </c>
      <c r="T137" s="176">
        <f t="shared" si="30"/>
        <v>4</v>
      </c>
      <c r="U137" s="251">
        <f t="shared" si="31"/>
        <v>-1.4164520722244285</v>
      </c>
      <c r="V137" s="383">
        <f t="shared" si="32"/>
        <v>60.485947438292804</v>
      </c>
      <c r="W137" s="58"/>
      <c r="X137" s="157">
        <f t="shared" si="33"/>
        <v>43588</v>
      </c>
      <c r="Y137" s="385">
        <f t="shared" si="34"/>
        <v>20.010000000000002</v>
      </c>
      <c r="Z137" s="385">
        <f t="shared" si="35"/>
        <v>20.154713303175217</v>
      </c>
      <c r="AA137" s="386">
        <f t="shared" si="36"/>
        <v>20.532436696007434</v>
      </c>
      <c r="AB137" s="197">
        <f t="shared" si="37"/>
        <v>43588</v>
      </c>
      <c r="AC137" s="426">
        <f>IF(OR(t&lt;Tnet,NoTnet),'2018'!Resal_s+('2018'!Salim-'2018'!Resal_s)*(1-EXP(('2018'!Tnet_s-t)/'2018'!Tau_j)),Resal_s+(Salim-Resal_s)*(1-EXP((Tnet_s-t)/Tau_j)))*Salcycl</f>
        <v>1.8396423104797187E-2</v>
      </c>
      <c r="AD137" s="231">
        <f>(INDEX(Models!$BJ137:$BT137,,AH137)*(1-AF137)+INDEX(Models!$BJ137:$BT137,,AH137+1)*AF137-ERP_i)*AE137*Ramure*Pc/MaxiM</f>
        <v>1.5757413823933479E-5</v>
      </c>
      <c r="AE137" s="305">
        <f t="shared" si="38"/>
        <v>0.5</v>
      </c>
      <c r="AF137" s="177">
        <f t="shared" si="39"/>
        <v>0.58354792777557152</v>
      </c>
      <c r="AG137" s="176">
        <f t="shared" si="40"/>
        <v>-2</v>
      </c>
      <c r="AH137" s="176">
        <f t="shared" si="41"/>
        <v>4</v>
      </c>
      <c r="AI137" s="225">
        <f t="shared" si="42"/>
        <v>-1.4164520722244285</v>
      </c>
      <c r="AJ137" s="265" t="b">
        <f t="shared" si="43"/>
        <v>0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7">
        <v>34.450000000000003</v>
      </c>
      <c r="C138" s="390"/>
      <c r="D138" s="393">
        <f t="shared" si="24"/>
        <v>34.69990410962793</v>
      </c>
      <c r="E138" s="385">
        <f t="shared" si="46"/>
        <v>35.352314144592675</v>
      </c>
      <c r="F138" s="385">
        <f t="shared" si="25"/>
        <v>35.352552182019927</v>
      </c>
      <c r="G138" s="110">
        <f t="shared" si="47"/>
        <v>0.56848052473980559</v>
      </c>
      <c r="H138" s="414" t="b">
        <f>Wh_hp&gt;='2018'!Maxi_hp</f>
        <v>1</v>
      </c>
      <c r="I138" s="390">
        <f>IF(H138,Wh_hp,'2018'!Maxi_hp)</f>
        <v>35.352552182019927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7.2018674414315864E-3</v>
      </c>
      <c r="M138" s="845"/>
      <c r="N138" s="845"/>
      <c r="O138" s="48">
        <f>IF(t&lt;Tnet,'2018'!Resal+('2018'!Salim-'2018'!Resal)*(1-EXP(('2018'!Tnet-t)/('2018'!Tau_j))),Resal+(Salim-Resal)*(1-EXP((Tnet-t)/(Tau_j))))*Salcycl</f>
        <v>1.8454521316379931E-2</v>
      </c>
      <c r="P138" s="169">
        <f>(INDEX(Models!$BJ138:$BT138,,T138)*(1-R138)+INDEX(Models!$BJ138:$BT138,,T138+1)*R138-ERP_i)*Q138*Ramure*Pc/MaxiM</f>
        <v>1.7554957254693869E-5</v>
      </c>
      <c r="Q138" s="305">
        <f t="shared" si="27"/>
        <v>0.5</v>
      </c>
      <c r="R138" s="177">
        <f t="shared" si="28"/>
        <v>0.58653804869186188</v>
      </c>
      <c r="S138" s="811">
        <f t="shared" si="29"/>
        <v>-2</v>
      </c>
      <c r="T138" s="176">
        <f t="shared" si="30"/>
        <v>4</v>
      </c>
      <c r="U138" s="251">
        <f t="shared" si="31"/>
        <v>-1.4134619513081381</v>
      </c>
      <c r="V138" s="383">
        <f t="shared" si="32"/>
        <v>60.599485277532544</v>
      </c>
      <c r="W138" s="58"/>
      <c r="X138" s="157">
        <f t="shared" si="33"/>
        <v>43589</v>
      </c>
      <c r="Y138" s="385">
        <f t="shared" si="34"/>
        <v>34.450000000000003</v>
      </c>
      <c r="Z138" s="385">
        <f t="shared" si="35"/>
        <v>34.69990410962793</v>
      </c>
      <c r="AA138" s="386">
        <f t="shared" si="36"/>
        <v>35.352314144592675</v>
      </c>
      <c r="AB138" s="197">
        <f t="shared" si="37"/>
        <v>43589</v>
      </c>
      <c r="AC138" s="426">
        <f>IF(OR(t&lt;Tnet,NoTnet),'2018'!Resal_s+('2018'!Salim-'2018'!Resal_s)*(1-EXP(('2018'!Tnet_s-t)/'2018'!Tau_j)),Resal_s+(Salim-Resal_s)*(1-EXP((Tnet_s-t)/Tau_j)))*Salcycl</f>
        <v>1.8454521316379931E-2</v>
      </c>
      <c r="AD138" s="231">
        <f>(INDEX(Models!$BJ138:$BT138,,AH138)*(1-AF138)+INDEX(Models!$BJ138:$BT138,,AH138+1)*AF138-ERP_i)*AE138*Ramure*Pc/MaxiM</f>
        <v>1.7554957254693869E-5</v>
      </c>
      <c r="AE138" s="305">
        <f t="shared" si="38"/>
        <v>0.5</v>
      </c>
      <c r="AF138" s="177">
        <f t="shared" si="39"/>
        <v>0.58653804869186188</v>
      </c>
      <c r="AG138" s="176">
        <f t="shared" si="40"/>
        <v>-2</v>
      </c>
      <c r="AH138" s="176">
        <f t="shared" si="41"/>
        <v>4</v>
      </c>
      <c r="AI138" s="225">
        <f t="shared" si="42"/>
        <v>-1.4134619513081381</v>
      </c>
      <c r="AJ138" s="265" t="b">
        <f t="shared" si="43"/>
        <v>0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7">
        <v>50.177</v>
      </c>
      <c r="C139" s="390"/>
      <c r="D139" s="393">
        <f t="shared" si="24"/>
        <v>50.54209650841306</v>
      </c>
      <c r="E139" s="385">
        <f t="shared" si="46"/>
        <v>51.495424159112112</v>
      </c>
      <c r="F139" s="385">
        <f t="shared" si="25"/>
        <v>51.49617913001579</v>
      </c>
      <c r="G139" s="110">
        <f t="shared" si="47"/>
        <v>0.8265258926107194</v>
      </c>
      <c r="H139" s="414" t="b">
        <f>Wh_hp&gt;='2018'!Maxi_hp</f>
        <v>1</v>
      </c>
      <c r="I139" s="390">
        <f>IF(H139,Wh_hp,'2018'!Maxi_hp)</f>
        <v>51.49617913001579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7.2236122684837811E-3</v>
      </c>
      <c r="M139" s="845"/>
      <c r="N139" s="845"/>
      <c r="O139" s="48">
        <f>IF(t&lt;Tnet,'2018'!Resal+('2018'!Salim-'2018'!Resal)*(1-EXP(('2018'!Tnet-t)/('2018'!Tau_j))),Resal+(Salim-Resal)*(1-EXP((Tnet-t)/(Tau_j))))*Salcycl</f>
        <v>1.8512861409849316E-2</v>
      </c>
      <c r="P139" s="169">
        <f>(INDEX(Models!$BJ139:$BT139,,T139)*(1-R139)+INDEX(Models!$BJ139:$BT139,,T139+1)*R139-ERP_i)*Q139*Ramure*Pc/MaxiM</f>
        <v>1.9490824974258558E-5</v>
      </c>
      <c r="Q139" s="305">
        <f t="shared" si="27"/>
        <v>0.5</v>
      </c>
      <c r="R139" s="177">
        <f t="shared" si="28"/>
        <v>0.58960800675843839</v>
      </c>
      <c r="S139" s="811">
        <f t="shared" si="29"/>
        <v>-2</v>
      </c>
      <c r="T139" s="176">
        <f t="shared" si="30"/>
        <v>4</v>
      </c>
      <c r="U139" s="251">
        <f t="shared" si="31"/>
        <v>-1.4103919932415616</v>
      </c>
      <c r="V139" s="383">
        <f t="shared" si="32"/>
        <v>60.708028731710172</v>
      </c>
      <c r="W139" s="58"/>
      <c r="X139" s="157">
        <f t="shared" si="33"/>
        <v>43590</v>
      </c>
      <c r="Y139" s="385">
        <f t="shared" si="34"/>
        <v>50.177</v>
      </c>
      <c r="Z139" s="385">
        <f t="shared" si="35"/>
        <v>50.54209650841306</v>
      </c>
      <c r="AA139" s="386">
        <f t="shared" si="36"/>
        <v>51.495424159112112</v>
      </c>
      <c r="AB139" s="197">
        <f t="shared" si="37"/>
        <v>43590</v>
      </c>
      <c r="AC139" s="426">
        <f>IF(OR(t&lt;Tnet,NoTnet),'2018'!Resal_s+('2018'!Salim-'2018'!Resal_s)*(1-EXP(('2018'!Tnet_s-t)/'2018'!Tau_j)),Resal_s+(Salim-Resal_s)*(1-EXP((Tnet_s-t)/Tau_j)))*Salcycl</f>
        <v>1.8512861409849316E-2</v>
      </c>
      <c r="AD139" s="231">
        <f>(INDEX(Models!$BJ139:$BT139,,AH139)*(1-AF139)+INDEX(Models!$BJ139:$BT139,,AH139+1)*AF139-ERP_i)*AE139*Ramure*Pc/MaxiM</f>
        <v>1.9490824974258558E-5</v>
      </c>
      <c r="AE139" s="305">
        <f t="shared" si="38"/>
        <v>0.5</v>
      </c>
      <c r="AF139" s="177">
        <f t="shared" si="39"/>
        <v>0.58960800675843839</v>
      </c>
      <c r="AG139" s="176">
        <f t="shared" si="40"/>
        <v>-2</v>
      </c>
      <c r="AH139" s="176">
        <f t="shared" si="41"/>
        <v>4</v>
      </c>
      <c r="AI139" s="225">
        <f t="shared" si="42"/>
        <v>-1.4103919932415616</v>
      </c>
      <c r="AJ139" s="265" t="b">
        <f t="shared" si="43"/>
        <v>0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7">
        <v>62.54</v>
      </c>
      <c r="C140" s="390"/>
      <c r="D140" s="393">
        <f t="shared" si="24"/>
        <v>62.996431612775929</v>
      </c>
      <c r="E140" s="385">
        <f t="shared" si="46"/>
        <v>64.188504539015526</v>
      </c>
      <c r="F140" s="385">
        <f t="shared" si="25"/>
        <v>64.189889106761925</v>
      </c>
      <c r="G140" s="110">
        <f t="shared" si="47"/>
        <v>1.0284207974433459</v>
      </c>
      <c r="H140" s="414" t="b">
        <f>Wh_hp&gt;='2018'!Maxi_hp</f>
        <v>1</v>
      </c>
      <c r="I140" s="390">
        <f>IF(H140,Wh_hp,'2018'!Maxi_hp)</f>
        <v>64.189889106761925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7.245356619268617E-3</v>
      </c>
      <c r="M140" s="845"/>
      <c r="N140" s="845"/>
      <c r="O140" s="48">
        <f>IF(t&lt;Tnet,'2018'!Resal+('2018'!Salim-'2018'!Resal)*(1-EXP(('2018'!Tnet-t)/('2018'!Tau_j))),Resal+(Salim-Resal)*(1-EXP((Tnet-t)/(Tau_j))))*Salcycl</f>
        <v>1.8571439462575813E-2</v>
      </c>
      <c r="P140" s="169">
        <f>(INDEX(Models!$BJ140:$BT140,,T140)*(1-R140)+INDEX(Models!$BJ140:$BT140,,T140+1)*R140-ERP_i)*Q140*Ramure*Pc/MaxiM</f>
        <v>2.1569872851686108E-5</v>
      </c>
      <c r="Q140" s="305">
        <f t="shared" si="27"/>
        <v>0.5</v>
      </c>
      <c r="R140" s="177">
        <f t="shared" si="28"/>
        <v>0.59275834611977984</v>
      </c>
      <c r="S140" s="811">
        <f t="shared" si="29"/>
        <v>-2</v>
      </c>
      <c r="T140" s="176">
        <f t="shared" si="30"/>
        <v>4</v>
      </c>
      <c r="U140" s="251">
        <f t="shared" si="31"/>
        <v>-1.4072416538802202</v>
      </c>
      <c r="V140" s="383">
        <f t="shared" si="32"/>
        <v>60.811683462133828</v>
      </c>
      <c r="W140" s="58"/>
      <c r="X140" s="157">
        <f t="shared" si="33"/>
        <v>43591</v>
      </c>
      <c r="Y140" s="385">
        <f t="shared" si="34"/>
        <v>62.54</v>
      </c>
      <c r="Z140" s="385">
        <f t="shared" si="35"/>
        <v>62.996431612775929</v>
      </c>
      <c r="AA140" s="386">
        <f t="shared" si="36"/>
        <v>64.188504539015526</v>
      </c>
      <c r="AB140" s="197">
        <f t="shared" si="37"/>
        <v>43591</v>
      </c>
      <c r="AC140" s="426">
        <f>IF(OR(t&lt;Tnet,NoTnet),'2018'!Resal_s+('2018'!Salim-'2018'!Resal_s)*(1-EXP(('2018'!Tnet_s-t)/'2018'!Tau_j)),Resal_s+(Salim-Resal_s)*(1-EXP((Tnet_s-t)/Tau_j)))*Salcycl</f>
        <v>1.8571439462575813E-2</v>
      </c>
      <c r="AD140" s="231">
        <f>(INDEX(Models!$BJ140:$BT140,,AH140)*(1-AF140)+INDEX(Models!$BJ140:$BT140,,AH140+1)*AF140-ERP_i)*AE140*Ramure*Pc/MaxiM</f>
        <v>2.1569872851686108E-5</v>
      </c>
      <c r="AE140" s="305">
        <f t="shared" si="38"/>
        <v>0.5</v>
      </c>
      <c r="AF140" s="177">
        <f t="shared" si="39"/>
        <v>0.59275834611977984</v>
      </c>
      <c r="AG140" s="176">
        <f t="shared" si="40"/>
        <v>-2</v>
      </c>
      <c r="AH140" s="176">
        <f t="shared" si="41"/>
        <v>4</v>
      </c>
      <c r="AI140" s="225">
        <f t="shared" si="42"/>
        <v>-1.4072416538802202</v>
      </c>
      <c r="AJ140" s="265" t="b">
        <f t="shared" si="43"/>
        <v>0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7">
        <v>47.506</v>
      </c>
      <c r="C141" s="390"/>
      <c r="D141" s="393">
        <f t="shared" si="24"/>
        <v>47.853758068892454</v>
      </c>
      <c r="E141" s="385">
        <f t="shared" si="46"/>
        <v>48.762210280290319</v>
      </c>
      <c r="F141" s="385">
        <f t="shared" si="25"/>
        <v>48.763005882843899</v>
      </c>
      <c r="G141" s="110">
        <f t="shared" si="47"/>
        <v>0.77992466949105155</v>
      </c>
      <c r="H141" s="414" t="b">
        <f>Wh_hp&gt;='2018'!Maxi_hp</f>
        <v>1</v>
      </c>
      <c r="I141" s="390">
        <f>IF(H141,Wh_hp,'2018'!Maxi_hp)</f>
        <v>48.763005882843899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7.2671004937961969E-3</v>
      </c>
      <c r="M141" s="845"/>
      <c r="N141" s="845"/>
      <c r="O141" s="48">
        <f>IF(t&lt;Tnet,'2018'!Resal+('2018'!Salim-'2018'!Resal)*(1-EXP(('2018'!Tnet-t)/('2018'!Tau_j))),Resal+(Salim-Resal)*(1-EXP((Tnet-t)/(Tau_j))))*Salcycl</f>
        <v>1.8630250888464397E-2</v>
      </c>
      <c r="P141" s="169">
        <f>(INDEX(Models!$BJ141:$BT141,,T141)*(1-R141)+INDEX(Models!$BJ141:$BT141,,T141+1)*R141-ERP_i)*Q141*Ramure*Pc/MaxiM</f>
        <v>2.3797173927252476E-5</v>
      </c>
      <c r="Q141" s="305">
        <f t="shared" si="27"/>
        <v>0.5</v>
      </c>
      <c r="R141" s="177">
        <f t="shared" si="28"/>
        <v>0.59598950052493205</v>
      </c>
      <c r="S141" s="811">
        <f t="shared" si="29"/>
        <v>-2</v>
      </c>
      <c r="T141" s="176">
        <f t="shared" si="30"/>
        <v>4</v>
      </c>
      <c r="U141" s="251">
        <f t="shared" si="31"/>
        <v>-1.404010499475068</v>
      </c>
      <c r="V141" s="383">
        <f t="shared" si="32"/>
        <v>60.910555131279615</v>
      </c>
      <c r="W141" s="58"/>
      <c r="X141" s="157">
        <f t="shared" si="33"/>
        <v>43592</v>
      </c>
      <c r="Y141" s="385">
        <f t="shared" si="34"/>
        <v>47.506</v>
      </c>
      <c r="Z141" s="385">
        <f t="shared" si="35"/>
        <v>47.853758068892454</v>
      </c>
      <c r="AA141" s="386">
        <f t="shared" si="36"/>
        <v>48.762210280290319</v>
      </c>
      <c r="AB141" s="197">
        <f t="shared" si="37"/>
        <v>43592</v>
      </c>
      <c r="AC141" s="426">
        <f>IF(OR(t&lt;Tnet,NoTnet),'2018'!Resal_s+('2018'!Salim-'2018'!Resal_s)*(1-EXP(('2018'!Tnet_s-t)/'2018'!Tau_j)),Resal_s+(Salim-Resal_s)*(1-EXP((Tnet_s-t)/Tau_j)))*Salcycl</f>
        <v>1.8630250888464397E-2</v>
      </c>
      <c r="AD141" s="231">
        <f>(INDEX(Models!$BJ141:$BT141,,AH141)*(1-AF141)+INDEX(Models!$BJ141:$BT141,,AH141+1)*AF141-ERP_i)*AE141*Ramure*Pc/MaxiM</f>
        <v>2.3797173927252476E-5</v>
      </c>
      <c r="AE141" s="305">
        <f t="shared" si="38"/>
        <v>0.5</v>
      </c>
      <c r="AF141" s="177">
        <f t="shared" si="39"/>
        <v>0.59598950052493205</v>
      </c>
      <c r="AG141" s="176">
        <f t="shared" si="40"/>
        <v>-2</v>
      </c>
      <c r="AH141" s="176">
        <f t="shared" si="41"/>
        <v>4</v>
      </c>
      <c r="AI141" s="225">
        <f t="shared" si="42"/>
        <v>-1.404010499475068</v>
      </c>
      <c r="AJ141" s="265" t="b">
        <f t="shared" si="43"/>
        <v>0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7">
        <v>32.515999999999998</v>
      </c>
      <c r="C142" s="390"/>
      <c r="D142" s="393">
        <f t="shared" si="24"/>
        <v>32.754744217325005</v>
      </c>
      <c r="E142" s="385">
        <f t="shared" si="46"/>
        <v>33.378565929919041</v>
      </c>
      <c r="F142" s="385">
        <f t="shared" si="25"/>
        <v>33.378855114536535</v>
      </c>
      <c r="G142" s="110">
        <f t="shared" si="47"/>
        <v>0.53299834547074454</v>
      </c>
      <c r="H142" s="414" t="b">
        <f>Wh_hp&gt;='2018'!Maxi_hp</f>
        <v>1</v>
      </c>
      <c r="I142" s="390">
        <f>IF(H142,Wh_hp,'2018'!Maxi_hp)</f>
        <v>33.378855114536535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7.2888438920772902E-3</v>
      </c>
      <c r="M142" s="845"/>
      <c r="N142" s="845"/>
      <c r="O142" s="48">
        <f>IF(t&lt;Tnet,'2018'!Resal+('2018'!Salim-'2018'!Resal)*(1-EXP(('2018'!Tnet-t)/('2018'!Tau_j))),Resal+(Salim-Resal)*(1-EXP((Tnet-t)/(Tau_j))))*Salcycl</f>
        <v>1.8689290423794795E-2</v>
      </c>
      <c r="P142" s="169">
        <f>(INDEX(Models!$BJ142:$BT142,,T142)*(1-R142)+INDEX(Models!$BJ142:$BT142,,T142+1)*R142-ERP_i)*Q142*Ramure*Pc/MaxiM</f>
        <v>2.6027454975997239E-5</v>
      </c>
      <c r="Q142" s="305">
        <f t="shared" si="27"/>
        <v>0.5</v>
      </c>
      <c r="R142" s="177">
        <f t="shared" si="28"/>
        <v>0.59930178632306497</v>
      </c>
      <c r="S142" s="811">
        <f t="shared" si="29"/>
        <v>-2</v>
      </c>
      <c r="T142" s="176">
        <f t="shared" si="30"/>
        <v>4</v>
      </c>
      <c r="U142" s="251">
        <f t="shared" si="31"/>
        <v>-1.400698213676935</v>
      </c>
      <c r="V142" s="383">
        <f t="shared" si="32"/>
        <v>61.004758592183727</v>
      </c>
      <c r="W142" s="58"/>
      <c r="X142" s="157">
        <f t="shared" si="33"/>
        <v>43593</v>
      </c>
      <c r="Y142" s="385">
        <f t="shared" si="34"/>
        <v>32.515999999999998</v>
      </c>
      <c r="Z142" s="385">
        <f t="shared" si="35"/>
        <v>32.754744217325005</v>
      </c>
      <c r="AA142" s="386">
        <f t="shared" si="36"/>
        <v>33.378565929919041</v>
      </c>
      <c r="AB142" s="197">
        <f t="shared" si="37"/>
        <v>43593</v>
      </c>
      <c r="AC142" s="426">
        <f>IF(OR(t&lt;Tnet,NoTnet),'2018'!Resal_s+('2018'!Salim-'2018'!Resal_s)*(1-EXP(('2018'!Tnet_s-t)/'2018'!Tau_j)),Resal_s+(Salim-Resal_s)*(1-EXP((Tnet_s-t)/Tau_j)))*Salcycl</f>
        <v>1.8689290423794795E-2</v>
      </c>
      <c r="AD142" s="231">
        <f>(INDEX(Models!$BJ142:$BT142,,AH142)*(1-AF142)+INDEX(Models!$BJ142:$BT142,,AH142+1)*AF142-ERP_i)*AE142*Ramure*Pc/MaxiM</f>
        <v>2.6027454975997239E-5</v>
      </c>
      <c r="AE142" s="305">
        <f t="shared" si="38"/>
        <v>0.5</v>
      </c>
      <c r="AF142" s="177">
        <f t="shared" si="39"/>
        <v>0.59930178632306497</v>
      </c>
      <c r="AG142" s="176">
        <f t="shared" si="40"/>
        <v>-2</v>
      </c>
      <c r="AH142" s="176">
        <f t="shared" si="41"/>
        <v>4</v>
      </c>
      <c r="AI142" s="225">
        <f t="shared" si="42"/>
        <v>-1.400698213676935</v>
      </c>
      <c r="AJ142" s="265" t="b">
        <f t="shared" si="43"/>
        <v>0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7">
        <v>47.44</v>
      </c>
      <c r="C143" s="390"/>
      <c r="D143" s="393">
        <f t="shared" ref="D143:D206" si="48">Wh/(1-Ppv)</f>
        <v>47.789368325938824</v>
      </c>
      <c r="E143" s="385">
        <f t="shared" si="46"/>
        <v>48.702469106110868</v>
      </c>
      <c r="F143" s="385">
        <f t="shared" ref="F143:F206" si="49">Wh_sa/(1-Pvg*MEDIAN((-Sdif+Wh/Env_an)/Csdif,0,1))</f>
        <v>48.703404254106076</v>
      </c>
      <c r="G143" s="110">
        <f t="shared" si="47"/>
        <v>0.77649621361744703</v>
      </c>
      <c r="H143" s="414" t="b">
        <f>Wh_hp&gt;='2018'!Maxi_hp</f>
        <v>1</v>
      </c>
      <c r="I143" s="390">
        <f>IF(H143,Wh_hp,'2018'!Maxi_hp)</f>
        <v>48.703404254106076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7.3105868141219998E-3</v>
      </c>
      <c r="M143" s="845"/>
      <c r="N143" s="845"/>
      <c r="O143" s="48">
        <f>IF(t&lt;Tnet,'2018'!Resal+('2018'!Salim-'2018'!Resal)*(1-EXP(('2018'!Tnet-t)/('2018'!Tau_j))),Resal+(Salim-Resal)*(1-EXP((Tnet-t)/(Tau_j))))*Salcycl</f>
        <v>1.8748552115142737E-2</v>
      </c>
      <c r="P143" s="169">
        <f>(INDEX(Models!$BJ143:$BT143,,T143)*(1-R143)+INDEX(Models!$BJ143:$BT143,,T143+1)*R143-ERP_i)*Q143*Ramure*Pc/MaxiM</f>
        <v>2.820676244387867E-5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0.60269539554041041</v>
      </c>
      <c r="S143" s="811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-1.3973046044595896</v>
      </c>
      <c r="V143" s="383">
        <f t="shared" ref="V143:V206" si="56">MaxiM*(1-Ppv)*(1-Pvg)*(1-Psa)</f>
        <v>61.094403192911841</v>
      </c>
      <c r="W143" s="58"/>
      <c r="X143" s="157">
        <f t="shared" ref="X143:X206" si="57">t</f>
        <v>43594</v>
      </c>
      <c r="Y143" s="385">
        <f t="shared" ref="Y143:Y206" si="58">Wh_pvt_s*(1-Ppv)</f>
        <v>47.44</v>
      </c>
      <c r="Z143" s="385">
        <f t="shared" ref="Z143:Z206" si="59">Wh_sa_s*(1-Psa_s)</f>
        <v>47.789368325938824</v>
      </c>
      <c r="AA143" s="386">
        <f t="shared" ref="AA143:AA206" si="60">Wh_hp*(1-Pvg_s*MEDIAN((-Sdif+Wh/Env_an)/Csdif,0,1))</f>
        <v>48.702469106110868</v>
      </c>
      <c r="AB143" s="197">
        <f t="shared" ref="AB143:AB206" si="61">t</f>
        <v>43594</v>
      </c>
      <c r="AC143" s="426">
        <f>IF(OR(t&lt;Tnet,NoTnet),'2018'!Resal_s+('2018'!Salim-'2018'!Resal_s)*(1-EXP(('2018'!Tnet_s-t)/'2018'!Tau_j)),Resal_s+(Salim-Resal_s)*(1-EXP((Tnet_s-t)/Tau_j)))*Salcycl</f>
        <v>1.8748552115142737E-2</v>
      </c>
      <c r="AD143" s="231">
        <f>(INDEX(Models!$BJ143:$BT143,,AH143)*(1-AF143)+INDEX(Models!$BJ143:$BT143,,AH143+1)*AF143-ERP_i)*AE143*Ramure*Pc/MaxiM</f>
        <v>2.820676244387867E-5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0.60269539554041041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-1.3973046044595896</v>
      </c>
      <c r="AJ143" s="265" t="b">
        <f t="shared" ref="AJ143:AJ206" si="67">t&lt;Tnet</f>
        <v>0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7">
        <v>38.81</v>
      </c>
      <c r="C144" s="390"/>
      <c r="D144" s="393">
        <f t="shared" si="48"/>
        <v>39.096669654876699</v>
      </c>
      <c r="E144" s="385">
        <f t="shared" ref="E144:E169" si="70">Wh_pvt/(1-Psa)</f>
        <v>39.846096200081945</v>
      </c>
      <c r="F144" s="385">
        <f t="shared" si="49"/>
        <v>39.846673549276389</v>
      </c>
      <c r="G144" s="110">
        <f t="shared" ref="G144:G169" si="71">+Wh_hp/MaxiM</f>
        <v>0.63435178026426531</v>
      </c>
      <c r="H144" s="414" t="b">
        <f>Wh_hp&gt;='2018'!Maxi_hp</f>
        <v>1</v>
      </c>
      <c r="I144" s="390">
        <f>IF(H144,Wh_hp,'2018'!Maxi_hp)</f>
        <v>39.846673549276389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7.3323292599409839E-3</v>
      </c>
      <c r="M144" s="845"/>
      <c r="N144" s="845"/>
      <c r="O144" s="48">
        <f>IF(t&lt;Tnet,'2018'!Resal+('2018'!Salim-'2018'!Resal)*(1-EXP(('2018'!Tnet-t)/('2018'!Tau_j))),Resal+(Salim-Resal)*(1-EXP((Tnet-t)/(Tau_j))))*Salcycl</f>
        <v>1.8808029309624118E-2</v>
      </c>
      <c r="P144" s="169">
        <f>(INDEX(Models!$BJ144:$BT144,,T144)*(1-R144)+INDEX(Models!$BJ144:$BT144,,T144+1)*R144-ERP_i)*Q144*Ramure*Pc/MaxiM</f>
        <v>3.0333871089446823E-5</v>
      </c>
      <c r="Q144" s="305">
        <f t="shared" si="51"/>
        <v>0.5</v>
      </c>
      <c r="R144" s="177">
        <f t="shared" si="52"/>
        <v>0.60617038908712861</v>
      </c>
      <c r="S144" s="811">
        <f t="shared" si="53"/>
        <v>-2</v>
      </c>
      <c r="T144" s="176">
        <f t="shared" si="54"/>
        <v>4</v>
      </c>
      <c r="U144" s="251">
        <f t="shared" si="55"/>
        <v>-1.3938296109128714</v>
      </c>
      <c r="V144" s="383">
        <f t="shared" si="56"/>
        <v>61.179595091444867</v>
      </c>
      <c r="W144" s="58"/>
      <c r="X144" s="157">
        <f t="shared" si="57"/>
        <v>43595</v>
      </c>
      <c r="Y144" s="385">
        <f t="shared" si="58"/>
        <v>38.81</v>
      </c>
      <c r="Z144" s="385">
        <f t="shared" si="59"/>
        <v>39.096669654876699</v>
      </c>
      <c r="AA144" s="386">
        <f t="shared" si="60"/>
        <v>39.846096200081945</v>
      </c>
      <c r="AB144" s="197">
        <f t="shared" si="61"/>
        <v>43595</v>
      </c>
      <c r="AC144" s="426">
        <f>IF(OR(t&lt;Tnet,NoTnet),'2018'!Resal_s+('2018'!Salim-'2018'!Resal_s)*(1-EXP(('2018'!Tnet_s-t)/'2018'!Tau_j)),Resal_s+(Salim-Resal_s)*(1-EXP((Tnet_s-t)/Tau_j)))*Salcycl</f>
        <v>1.8808029309624118E-2</v>
      </c>
      <c r="AD144" s="231">
        <f>(INDEX(Models!$BJ144:$BT144,,AH144)*(1-AF144)+INDEX(Models!$BJ144:$BT144,,AH144+1)*AF144-ERP_i)*AE144*Ramure*Pc/MaxiM</f>
        <v>3.0333871089446823E-5</v>
      </c>
      <c r="AE144" s="305">
        <f t="shared" si="62"/>
        <v>0.5</v>
      </c>
      <c r="AF144" s="177">
        <f t="shared" si="63"/>
        <v>0.60617038908712861</v>
      </c>
      <c r="AG144" s="176">
        <f t="shared" si="64"/>
        <v>-2</v>
      </c>
      <c r="AH144" s="176">
        <f t="shared" si="65"/>
        <v>4</v>
      </c>
      <c r="AI144" s="225">
        <f t="shared" si="66"/>
        <v>-1.3938296109128714</v>
      </c>
      <c r="AJ144" s="265" t="b">
        <f t="shared" si="67"/>
        <v>0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7">
        <v>37.851999999999997</v>
      </c>
      <c r="C145" s="390"/>
      <c r="D145" s="393">
        <f t="shared" si="48"/>
        <v>38.132428596050879</v>
      </c>
      <c r="E145" s="385">
        <f t="shared" si="70"/>
        <v>38.865736216557593</v>
      </c>
      <c r="F145" s="385">
        <f t="shared" si="49"/>
        <v>38.866308209024936</v>
      </c>
      <c r="G145" s="110">
        <f t="shared" si="71"/>
        <v>0.61787558303869228</v>
      </c>
      <c r="H145" s="414" t="b">
        <f>Wh_hp&gt;='2018'!Maxi_hp</f>
        <v>1</v>
      </c>
      <c r="I145" s="390">
        <f>IF(H145,Wh_hp,'2018'!Maxi_hp)</f>
        <v>38.866308209024936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7.3540712295446786E-3</v>
      </c>
      <c r="M145" s="845"/>
      <c r="N145" s="845"/>
      <c r="O145" s="48">
        <f>IF(t&lt;Tnet,'2018'!Resal+('2018'!Salim-'2018'!Resal)*(1-EXP(('2018'!Tnet-t)/('2018'!Tau_j))),Resal+(Salim-Resal)*(1-EXP((Tnet-t)/(Tau_j))))*Salcycl</f>
        <v>1.8867714647698104E-2</v>
      </c>
      <c r="P145" s="169">
        <f>(INDEX(Models!$BJ145:$BT145,,T145)*(1-R145)+INDEX(Models!$BJ145:$BT145,,T145+1)*R145-ERP_i)*Q145*Ramure*Pc/MaxiM</f>
        <v>3.2407307921378652E-5</v>
      </c>
      <c r="Q145" s="305">
        <f t="shared" si="51"/>
        <v>0.5</v>
      </c>
      <c r="R145" s="177">
        <f t="shared" si="52"/>
        <v>0.60972669014549297</v>
      </c>
      <c r="S145" s="811">
        <f t="shared" si="53"/>
        <v>-2</v>
      </c>
      <c r="T145" s="176">
        <f t="shared" si="54"/>
        <v>4</v>
      </c>
      <c r="U145" s="251">
        <f t="shared" si="55"/>
        <v>-1.390273309854507</v>
      </c>
      <c r="V145" s="383">
        <f t="shared" si="56"/>
        <v>61.260440471762237</v>
      </c>
      <c r="W145" s="58"/>
      <c r="X145" s="157">
        <f t="shared" si="57"/>
        <v>43596</v>
      </c>
      <c r="Y145" s="385">
        <f t="shared" si="58"/>
        <v>37.851999999999997</v>
      </c>
      <c r="Z145" s="385">
        <f t="shared" si="59"/>
        <v>38.132428596050879</v>
      </c>
      <c r="AA145" s="386">
        <f t="shared" si="60"/>
        <v>38.865736216557593</v>
      </c>
      <c r="AB145" s="197">
        <f t="shared" si="61"/>
        <v>43596</v>
      </c>
      <c r="AC145" s="426">
        <f>IF(OR(t&lt;Tnet,NoTnet),'2018'!Resal_s+('2018'!Salim-'2018'!Resal_s)*(1-EXP(('2018'!Tnet_s-t)/'2018'!Tau_j)),Resal_s+(Salim-Resal_s)*(1-EXP((Tnet_s-t)/Tau_j)))*Salcycl</f>
        <v>1.8867714647698104E-2</v>
      </c>
      <c r="AD145" s="231">
        <f>(INDEX(Models!$BJ145:$BT145,,AH145)*(1-AF145)+INDEX(Models!$BJ145:$BT145,,AH145+1)*AF145-ERP_i)*AE145*Ramure*Pc/MaxiM</f>
        <v>3.2407307921378652E-5</v>
      </c>
      <c r="AE145" s="305">
        <f t="shared" si="62"/>
        <v>0.5</v>
      </c>
      <c r="AF145" s="177">
        <f t="shared" si="63"/>
        <v>0.60972669014549297</v>
      </c>
      <c r="AG145" s="176">
        <f t="shared" si="64"/>
        <v>-2</v>
      </c>
      <c r="AH145" s="176">
        <f t="shared" si="65"/>
        <v>4</v>
      </c>
      <c r="AI145" s="225">
        <f t="shared" si="66"/>
        <v>-1.390273309854507</v>
      </c>
      <c r="AJ145" s="265" t="b">
        <f t="shared" si="67"/>
        <v>0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7">
        <v>57.686999999999998</v>
      </c>
      <c r="C146" s="390"/>
      <c r="D146" s="393">
        <f t="shared" si="48"/>
        <v>58.115650151791705</v>
      </c>
      <c r="E146" s="385">
        <f t="shared" si="70"/>
        <v>59.236861780305141</v>
      </c>
      <c r="F146" s="385">
        <f t="shared" si="49"/>
        <v>59.238727729135654</v>
      </c>
      <c r="G146" s="110">
        <f t="shared" si="71"/>
        <v>0.94048923694034492</v>
      </c>
      <c r="H146" s="414" t="b">
        <f>Wh_hp&gt;='2018'!Maxi_hp</f>
        <v>1</v>
      </c>
      <c r="I146" s="390">
        <f>IF(H146,Wh_hp,'2018'!Maxi_hp)</f>
        <v>59.238727729135654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7.3758127229432979E-3</v>
      </c>
      <c r="M146" s="845"/>
      <c r="N146" s="845"/>
      <c r="O146" s="48">
        <f>IF(t&lt;Tnet,'2018'!Resal+('2018'!Salim-'2018'!Resal)*(1-EXP(('2018'!Tnet-t)/('2018'!Tau_j))),Resal+(Salim-Resal)*(1-EXP((Tnet-t)/(Tau_j))))*Salcycl</f>
        <v>1.8927600058756194E-2</v>
      </c>
      <c r="P146" s="169">
        <f>(INDEX(Models!$BJ146:$BT146,,T146)*(1-R146)+INDEX(Models!$BJ146:$BT146,,T146+1)*R146-ERP_i)*Q146*Ramure*Pc/MaxiM</f>
        <v>3.4425348462664299E-5</v>
      </c>
      <c r="Q146" s="305">
        <f t="shared" si="51"/>
        <v>0.5</v>
      </c>
      <c r="R146" s="177">
        <f t="shared" si="52"/>
        <v>0.61336407779332158</v>
      </c>
      <c r="S146" s="811">
        <f t="shared" si="53"/>
        <v>-2</v>
      </c>
      <c r="T146" s="176">
        <f t="shared" si="54"/>
        <v>4</v>
      </c>
      <c r="U146" s="251">
        <f t="shared" si="55"/>
        <v>-1.3866359222066784</v>
      </c>
      <c r="V146" s="383">
        <f t="shared" si="56"/>
        <v>61.337045555720358</v>
      </c>
      <c r="W146" s="58"/>
      <c r="X146" s="157">
        <f t="shared" si="57"/>
        <v>43597</v>
      </c>
      <c r="Y146" s="385">
        <f t="shared" si="58"/>
        <v>57.686999999999998</v>
      </c>
      <c r="Z146" s="385">
        <f t="shared" si="59"/>
        <v>58.115650151791705</v>
      </c>
      <c r="AA146" s="386">
        <f t="shared" si="60"/>
        <v>59.236861780305141</v>
      </c>
      <c r="AB146" s="197">
        <f t="shared" si="61"/>
        <v>43597</v>
      </c>
      <c r="AC146" s="426">
        <f>IF(OR(t&lt;Tnet,NoTnet),'2018'!Resal_s+('2018'!Salim-'2018'!Resal_s)*(1-EXP(('2018'!Tnet_s-t)/'2018'!Tau_j)),Resal_s+(Salim-Resal_s)*(1-EXP((Tnet_s-t)/Tau_j)))*Salcycl</f>
        <v>1.8927600058756194E-2</v>
      </c>
      <c r="AD146" s="231">
        <f>(INDEX(Models!$BJ146:$BT146,,AH146)*(1-AF146)+INDEX(Models!$BJ146:$BT146,,AH146+1)*AF146-ERP_i)*AE146*Ramure*Pc/MaxiM</f>
        <v>3.4425348462664299E-5</v>
      </c>
      <c r="AE146" s="305">
        <f t="shared" si="62"/>
        <v>0.5</v>
      </c>
      <c r="AF146" s="177">
        <f t="shared" si="63"/>
        <v>0.61336407779332158</v>
      </c>
      <c r="AG146" s="176">
        <f t="shared" si="64"/>
        <v>-2</v>
      </c>
      <c r="AH146" s="176">
        <f t="shared" si="65"/>
        <v>4</v>
      </c>
      <c r="AI146" s="225">
        <f t="shared" si="66"/>
        <v>-1.3866359222066784</v>
      </c>
      <c r="AJ146" s="265" t="b">
        <f t="shared" si="67"/>
        <v>0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7">
        <v>63.69</v>
      </c>
      <c r="C147" s="390"/>
      <c r="D147" s="393">
        <f t="shared" si="48"/>
        <v>64.164661531900606</v>
      </c>
      <c r="E147" s="385">
        <f t="shared" si="70"/>
        <v>65.40658054117452</v>
      </c>
      <c r="F147" s="385">
        <f t="shared" si="49"/>
        <v>65.408960512497771</v>
      </c>
      <c r="G147" s="110">
        <f t="shared" si="71"/>
        <v>1.0371356677957262</v>
      </c>
      <c r="H147" s="414" t="b">
        <f>Wh_hp&gt;='2018'!Maxi_hp</f>
        <v>1</v>
      </c>
      <c r="I147" s="390">
        <f>IF(H147,Wh_hp,'2018'!Maxi_hp)</f>
        <v>65.408960512497771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7.3975537401475E-3</v>
      </c>
      <c r="M147" s="845"/>
      <c r="N147" s="845"/>
      <c r="O147" s="48">
        <f>IF(t&lt;Tnet,'2018'!Resal+('2018'!Salim-'2018'!Resal)*(1-EXP(('2018'!Tnet-t)/('2018'!Tau_j))),Resal+(Salim-Resal)*(1-EXP((Tnet-t)/(Tau_j))))*Salcycl</f>
        <v>1.898767675971251E-2</v>
      </c>
      <c r="P147" s="169">
        <f>(INDEX(Models!$BJ147:$BT147,,T147)*(1-R147)+INDEX(Models!$BJ147:$BT147,,T147+1)*R147-ERP_i)*Q147*Ramure*Pc/MaxiM</f>
        <v>3.6386013546257988E-5</v>
      </c>
      <c r="Q147" s="305">
        <f t="shared" si="51"/>
        <v>0.5</v>
      </c>
      <c r="R147" s="177">
        <f t="shared" si="52"/>
        <v>0.61708218091877365</v>
      </c>
      <c r="S147" s="811">
        <f t="shared" si="53"/>
        <v>-2</v>
      </c>
      <c r="T147" s="176">
        <f t="shared" si="54"/>
        <v>4</v>
      </c>
      <c r="U147" s="251">
        <f t="shared" si="55"/>
        <v>-1.3829178190812264</v>
      </c>
      <c r="V147" s="383">
        <f t="shared" si="56"/>
        <v>61.409516592331052</v>
      </c>
      <c r="W147" s="58"/>
      <c r="X147" s="157">
        <f t="shared" si="57"/>
        <v>43598</v>
      </c>
      <c r="Y147" s="385">
        <f t="shared" si="58"/>
        <v>63.69</v>
      </c>
      <c r="Z147" s="385">
        <f t="shared" si="59"/>
        <v>64.164661531900606</v>
      </c>
      <c r="AA147" s="386">
        <f t="shared" si="60"/>
        <v>65.40658054117452</v>
      </c>
      <c r="AB147" s="197">
        <f t="shared" si="61"/>
        <v>43598</v>
      </c>
      <c r="AC147" s="426">
        <f>IF(OR(t&lt;Tnet,NoTnet),'2018'!Resal_s+('2018'!Salim-'2018'!Resal_s)*(1-EXP(('2018'!Tnet_s-t)/'2018'!Tau_j)),Resal_s+(Salim-Resal_s)*(1-EXP((Tnet_s-t)/Tau_j)))*Salcycl</f>
        <v>1.898767675971251E-2</v>
      </c>
      <c r="AD147" s="231">
        <f>(INDEX(Models!$BJ147:$BT147,,AH147)*(1-AF147)+INDEX(Models!$BJ147:$BT147,,AH147+1)*AF147-ERP_i)*AE147*Ramure*Pc/MaxiM</f>
        <v>3.6386013546257988E-5</v>
      </c>
      <c r="AE147" s="305">
        <f t="shared" si="62"/>
        <v>0.5</v>
      </c>
      <c r="AF147" s="177">
        <f t="shared" si="63"/>
        <v>0.61708218091877365</v>
      </c>
      <c r="AG147" s="176">
        <f t="shared" si="64"/>
        <v>-2</v>
      </c>
      <c r="AH147" s="176">
        <f t="shared" si="65"/>
        <v>4</v>
      </c>
      <c r="AI147" s="225">
        <f t="shared" si="66"/>
        <v>-1.3829178190812264</v>
      </c>
      <c r="AJ147" s="265" t="b">
        <f t="shared" si="67"/>
        <v>0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7">
        <v>62.15</v>
      </c>
      <c r="C148" s="390"/>
      <c r="D148" s="393">
        <f t="shared" si="48"/>
        <v>62.614555815882625</v>
      </c>
      <c r="E148" s="385">
        <f t="shared" si="70"/>
        <v>63.830393009340355</v>
      </c>
      <c r="F148" s="385">
        <f t="shared" si="49"/>
        <v>63.832836981428784</v>
      </c>
      <c r="G148" s="110">
        <f t="shared" si="71"/>
        <v>1.0109313994161151</v>
      </c>
      <c r="H148" s="414" t="b">
        <f>Wh_hp&gt;='2018'!Maxi_hp</f>
        <v>1</v>
      </c>
      <c r="I148" s="390">
        <f>IF(H148,Wh_hp,'2018'!Maxi_hp)</f>
        <v>63.832836981428784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7.4192942811676099E-3</v>
      </c>
      <c r="M148" s="845"/>
      <c r="N148" s="845"/>
      <c r="O148" s="48">
        <f>IF(t&lt;Tnet,'2018'!Resal+('2018'!Salim-'2018'!Resal)*(1-EXP(('2018'!Tnet-t)/('2018'!Tau_j))),Resal+(Salim-Resal)*(1-EXP((Tnet-t)/(Tau_j))))*Salcycl</f>
        <v>1.9047935256795576E-2</v>
      </c>
      <c r="P148" s="169">
        <f>(INDEX(Models!$BJ148:$BT148,,T148)*(1-R148)+INDEX(Models!$BJ148:$BT148,,T148+1)*R148-ERP_i)*Q148*Ramure*Pc/MaxiM</f>
        <v>3.8287066719898637E-5</v>
      </c>
      <c r="Q148" s="305">
        <f t="shared" si="51"/>
        <v>0.5</v>
      </c>
      <c r="R148" s="177">
        <f t="shared" si="52"/>
        <v>0.62088047248437617</v>
      </c>
      <c r="S148" s="811">
        <f t="shared" si="53"/>
        <v>-2</v>
      </c>
      <c r="T148" s="176">
        <f t="shared" si="54"/>
        <v>4</v>
      </c>
      <c r="U148" s="251">
        <f t="shared" si="55"/>
        <v>-1.3791195275156238</v>
      </c>
      <c r="V148" s="383">
        <f t="shared" si="56"/>
        <v>61.477959865423166</v>
      </c>
      <c r="W148" s="58"/>
      <c r="X148" s="157">
        <f t="shared" si="57"/>
        <v>43599</v>
      </c>
      <c r="Y148" s="385">
        <f t="shared" si="58"/>
        <v>62.15</v>
      </c>
      <c r="Z148" s="385">
        <f t="shared" si="59"/>
        <v>62.614555815882625</v>
      </c>
      <c r="AA148" s="386">
        <f t="shared" si="60"/>
        <v>63.830393009340355</v>
      </c>
      <c r="AB148" s="197">
        <f t="shared" si="61"/>
        <v>43599</v>
      </c>
      <c r="AC148" s="426">
        <f>IF(OR(t&lt;Tnet,NoTnet),'2018'!Resal_s+('2018'!Salim-'2018'!Resal_s)*(1-EXP(('2018'!Tnet_s-t)/'2018'!Tau_j)),Resal_s+(Salim-Resal_s)*(1-EXP((Tnet_s-t)/Tau_j)))*Salcycl</f>
        <v>1.9047935256795576E-2</v>
      </c>
      <c r="AD148" s="231">
        <f>(INDEX(Models!$BJ148:$BT148,,AH148)*(1-AF148)+INDEX(Models!$BJ148:$BT148,,AH148+1)*AF148-ERP_i)*AE148*Ramure*Pc/MaxiM</f>
        <v>3.8287066719898637E-5</v>
      </c>
      <c r="AE148" s="305">
        <f t="shared" si="62"/>
        <v>0.5</v>
      </c>
      <c r="AF148" s="177">
        <f t="shared" si="63"/>
        <v>0.62088047248437617</v>
      </c>
      <c r="AG148" s="176">
        <f t="shared" si="64"/>
        <v>-2</v>
      </c>
      <c r="AH148" s="176">
        <f t="shared" si="65"/>
        <v>4</v>
      </c>
      <c r="AI148" s="225">
        <f t="shared" si="66"/>
        <v>-1.3791195275156238</v>
      </c>
      <c r="AJ148" s="265" t="b">
        <f t="shared" si="67"/>
        <v>0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7">
        <v>62.636000000000003</v>
      </c>
      <c r="C149" s="390"/>
      <c r="D149" s="393">
        <f t="shared" si="48"/>
        <v>63.105570719145994</v>
      </c>
      <c r="E149" s="385">
        <f t="shared" si="70"/>
        <v>64.33490560015818</v>
      </c>
      <c r="F149" s="385">
        <f t="shared" si="49"/>
        <v>64.337487236928794</v>
      </c>
      <c r="G149" s="110">
        <f t="shared" si="71"/>
        <v>1.0177803242356294</v>
      </c>
      <c r="H149" s="414" t="b">
        <f>Wh_hp&gt;='2018'!Maxi_hp</f>
        <v>1</v>
      </c>
      <c r="I149" s="390">
        <f>IF(H149,Wh_hp,'2018'!Maxi_hp)</f>
        <v>64.337487236928794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7.4410343460141748E-3</v>
      </c>
      <c r="M149" s="845"/>
      <c r="N149" s="845"/>
      <c r="O149" s="48">
        <f>IF(t&lt;Tnet,'2018'!Resal+('2018'!Salim-'2018'!Resal)*(1-EXP(('2018'!Tnet-t)/('2018'!Tau_j))),Resal+(Salim-Resal)*(1-EXP((Tnet-t)/(Tau_j))))*Salcycl</f>
        <v>1.9108365350724466E-2</v>
      </c>
      <c r="P149" s="169">
        <f>(INDEX(Models!$BJ149:$BT149,,T149)*(1-R149)+INDEX(Models!$BJ149:$BT149,,T149+1)*R149-ERP_i)*Q149*Ramure*Pc/MaxiM</f>
        <v>4.0126478068677251E-5</v>
      </c>
      <c r="Q149" s="305">
        <f t="shared" si="51"/>
        <v>0.5</v>
      </c>
      <c r="R149" s="177">
        <f t="shared" si="52"/>
        <v>0.62475826419941582</v>
      </c>
      <c r="S149" s="811">
        <f t="shared" si="53"/>
        <v>-2</v>
      </c>
      <c r="T149" s="176">
        <f t="shared" si="54"/>
        <v>4</v>
      </c>
      <c r="U149" s="251">
        <f t="shared" si="55"/>
        <v>-1.3752417358005842</v>
      </c>
      <c r="V149" s="383">
        <f t="shared" si="56"/>
        <v>61.54176742121706</v>
      </c>
      <c r="W149" s="58"/>
      <c r="X149" s="157">
        <f t="shared" si="57"/>
        <v>43600</v>
      </c>
      <c r="Y149" s="385">
        <f t="shared" si="58"/>
        <v>62.635999999999996</v>
      </c>
      <c r="Z149" s="385">
        <f t="shared" si="59"/>
        <v>63.105570719145987</v>
      </c>
      <c r="AA149" s="386">
        <f t="shared" si="60"/>
        <v>64.33490560015818</v>
      </c>
      <c r="AB149" s="197">
        <f t="shared" si="61"/>
        <v>43600</v>
      </c>
      <c r="AC149" s="426">
        <f>IF(OR(t&lt;Tnet,NoTnet),'2018'!Resal_s+('2018'!Salim-'2018'!Resal_s)*(1-EXP(('2018'!Tnet_s-t)/'2018'!Tau_j)),Resal_s+(Salim-Resal_s)*(1-EXP((Tnet_s-t)/Tau_j)))*Salcycl</f>
        <v>1.9108365350724466E-2</v>
      </c>
      <c r="AD149" s="231">
        <f>(INDEX(Models!$BJ149:$BT149,,AH149)*(1-AF149)+INDEX(Models!$BJ149:$BT149,,AH149+1)*AF149-ERP_i)*AE149*Ramure*Pc/MaxiM</f>
        <v>4.0126478068677251E-5</v>
      </c>
      <c r="AE149" s="305">
        <f t="shared" si="62"/>
        <v>0.5</v>
      </c>
      <c r="AF149" s="177">
        <f t="shared" si="63"/>
        <v>0.62475826419941582</v>
      </c>
      <c r="AG149" s="176">
        <f t="shared" si="64"/>
        <v>-2</v>
      </c>
      <c r="AH149" s="176">
        <f t="shared" si="65"/>
        <v>4</v>
      </c>
      <c r="AI149" s="225">
        <f t="shared" si="66"/>
        <v>-1.3752417358005842</v>
      </c>
      <c r="AJ149" s="265" t="b">
        <f t="shared" si="67"/>
        <v>0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7">
        <v>54.280999999999999</v>
      </c>
      <c r="C150" s="390"/>
      <c r="D150" s="393">
        <f t="shared" si="48"/>
        <v>54.689132633528708</v>
      </c>
      <c r="E150" s="385">
        <f t="shared" si="70"/>
        <v>55.757954416497526</v>
      </c>
      <c r="F150" s="385">
        <f t="shared" si="49"/>
        <v>55.759884023555387</v>
      </c>
      <c r="G150" s="110">
        <f t="shared" si="71"/>
        <v>0.88117289535345666</v>
      </c>
      <c r="H150" s="414" t="b">
        <f>Wh_hp&gt;='2018'!Maxi_hp</f>
        <v>1</v>
      </c>
      <c r="I150" s="390">
        <f>IF(H150,Wh_hp,'2018'!Maxi_hp)</f>
        <v>55.759884023555387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7.4627739346974087E-3</v>
      </c>
      <c r="M150" s="845"/>
      <c r="N150" s="845"/>
      <c r="O150" s="48">
        <f>IF(t&lt;Tnet,'2018'!Resal+('2018'!Salim-'2018'!Resal)*(1-EXP(('2018'!Tnet-t)/('2018'!Tau_j))),Resal+(Salim-Resal)*(1-EXP((Tnet-t)/(Tau_j))))*Salcycl</f>
        <v>1.9168956145431706E-2</v>
      </c>
      <c r="P150" s="169">
        <f>(INDEX(Models!$BJ150:$BT150,,T150)*(1-R150)+INDEX(Models!$BJ150:$BT150,,T150+1)*R150-ERP_i)*Q150*Ramure*Pc/MaxiM</f>
        <v>4.1680704096231189E-5</v>
      </c>
      <c r="Q150" s="305">
        <f t="shared" si="51"/>
        <v>0.5</v>
      </c>
      <c r="R150" s="177">
        <f t="shared" si="52"/>
        <v>0.62871470166054189</v>
      </c>
      <c r="S150" s="811">
        <f t="shared" si="53"/>
        <v>-2</v>
      </c>
      <c r="T150" s="176">
        <f t="shared" si="54"/>
        <v>4</v>
      </c>
      <c r="U150" s="251">
        <f t="shared" si="55"/>
        <v>-1.3712852983394581</v>
      </c>
      <c r="V150" s="383">
        <f t="shared" si="56"/>
        <v>61.600414892416381</v>
      </c>
      <c r="W150" s="58"/>
      <c r="X150" s="157">
        <f t="shared" si="57"/>
        <v>43601</v>
      </c>
      <c r="Y150" s="385">
        <f t="shared" si="58"/>
        <v>54.280999999999999</v>
      </c>
      <c r="Z150" s="385">
        <f t="shared" si="59"/>
        <v>54.689132633528708</v>
      </c>
      <c r="AA150" s="386">
        <f t="shared" si="60"/>
        <v>55.757954416497526</v>
      </c>
      <c r="AB150" s="197">
        <f t="shared" si="61"/>
        <v>43601</v>
      </c>
      <c r="AC150" s="426">
        <f>IF(OR(t&lt;Tnet,NoTnet),'2018'!Resal_s+('2018'!Salim-'2018'!Resal_s)*(1-EXP(('2018'!Tnet_s-t)/'2018'!Tau_j)),Resal_s+(Salim-Resal_s)*(1-EXP((Tnet_s-t)/Tau_j)))*Salcycl</f>
        <v>1.9168956145431706E-2</v>
      </c>
      <c r="AD150" s="231">
        <f>(INDEX(Models!$BJ150:$BT150,,AH150)*(1-AF150)+INDEX(Models!$BJ150:$BT150,,AH150+1)*AF150-ERP_i)*AE150*Ramure*Pc/MaxiM</f>
        <v>4.1680704096231189E-5</v>
      </c>
      <c r="AE150" s="305">
        <f t="shared" si="62"/>
        <v>0.5</v>
      </c>
      <c r="AF150" s="177">
        <f t="shared" si="63"/>
        <v>0.62871470166054189</v>
      </c>
      <c r="AG150" s="176">
        <f t="shared" si="64"/>
        <v>-2</v>
      </c>
      <c r="AH150" s="176">
        <f t="shared" si="65"/>
        <v>4</v>
      </c>
      <c r="AI150" s="225">
        <f t="shared" si="66"/>
        <v>-1.3712852983394581</v>
      </c>
      <c r="AJ150" s="265" t="b">
        <f t="shared" si="67"/>
        <v>0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7">
        <v>7.375</v>
      </c>
      <c r="C151" s="390"/>
      <c r="D151" s="393">
        <f t="shared" si="48"/>
        <v>7.4306145314092538</v>
      </c>
      <c r="E151" s="385">
        <f t="shared" si="70"/>
        <v>7.576304565464711</v>
      </c>
      <c r="F151" s="385">
        <f t="shared" si="49"/>
        <v>7.576304565464711</v>
      </c>
      <c r="G151" s="110">
        <f t="shared" si="71"/>
        <v>0.11961380749021008</v>
      </c>
      <c r="H151" s="414" t="b">
        <f>Wh_hp&gt;='2018'!Maxi_hp</f>
        <v>1</v>
      </c>
      <c r="I151" s="390">
        <f>IF(H151,Wh_hp,'2018'!Maxi_hp)</f>
        <v>7.576304565464711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7.4845130472278587E-3</v>
      </c>
      <c r="M151" s="845"/>
      <c r="N151" s="845"/>
      <c r="O151" s="48">
        <f>IF(t&lt;Tnet,'2018'!Resal+('2018'!Salim-'2018'!Resal)*(1-EXP(('2018'!Tnet-t)/('2018'!Tau_j))),Resal+(Salim-Resal)*(1-EXP((Tnet-t)/(Tau_j))))*Salcycl</f>
        <v>1.922969606047252E-2</v>
      </c>
      <c r="P151" s="169">
        <f>(INDEX(Models!$BJ151:$BT151,,T151)*(1-R151)+INDEX(Models!$BJ151:$BT151,,T151+1)*R151-ERP_i)*Q151*Ramure*Pc/MaxiM</f>
        <v>4.2883418951217674E-5</v>
      </c>
      <c r="Q151" s="305">
        <f t="shared" si="51"/>
        <v>0.5</v>
      </c>
      <c r="R151" s="177">
        <f t="shared" si="52"/>
        <v>0.63274876002051572</v>
      </c>
      <c r="S151" s="811">
        <f t="shared" si="53"/>
        <v>-2</v>
      </c>
      <c r="T151" s="176">
        <f t="shared" si="54"/>
        <v>4</v>
      </c>
      <c r="U151" s="251">
        <f t="shared" si="55"/>
        <v>-1.3672512399794843</v>
      </c>
      <c r="V151" s="383">
        <f t="shared" si="56"/>
        <v>61.654117442828031</v>
      </c>
      <c r="W151" s="58"/>
      <c r="X151" s="157">
        <f t="shared" si="57"/>
        <v>43602</v>
      </c>
      <c r="Y151" s="385">
        <f t="shared" si="58"/>
        <v>7.375</v>
      </c>
      <c r="Z151" s="385">
        <f t="shared" si="59"/>
        <v>7.4306145314092538</v>
      </c>
      <c r="AA151" s="386">
        <f t="shared" si="60"/>
        <v>7.576304565464711</v>
      </c>
      <c r="AB151" s="197">
        <f t="shared" si="61"/>
        <v>43602</v>
      </c>
      <c r="AC151" s="426">
        <f>IF(OR(t&lt;Tnet,NoTnet),'2018'!Resal_s+('2018'!Salim-'2018'!Resal_s)*(1-EXP(('2018'!Tnet_s-t)/'2018'!Tau_j)),Resal_s+(Salim-Resal_s)*(1-EXP((Tnet_s-t)/Tau_j)))*Salcycl</f>
        <v>1.922969606047252E-2</v>
      </c>
      <c r="AD151" s="231">
        <f>(INDEX(Models!$BJ151:$BT151,,AH151)*(1-AF151)+INDEX(Models!$BJ151:$BT151,,AH151+1)*AF151-ERP_i)*AE151*Ramure*Pc/MaxiM</f>
        <v>4.2883418951217674E-5</v>
      </c>
      <c r="AE151" s="305">
        <f t="shared" si="62"/>
        <v>0.5</v>
      </c>
      <c r="AF151" s="177">
        <f t="shared" si="63"/>
        <v>0.63274876002051572</v>
      </c>
      <c r="AG151" s="176">
        <f t="shared" si="64"/>
        <v>-2</v>
      </c>
      <c r="AH151" s="176">
        <f t="shared" si="65"/>
        <v>4</v>
      </c>
      <c r="AI151" s="225">
        <f t="shared" si="66"/>
        <v>-1.3672512399794843</v>
      </c>
      <c r="AJ151" s="265" t="b">
        <f t="shared" si="67"/>
        <v>0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7">
        <v>38.4</v>
      </c>
      <c r="C152" s="390"/>
      <c r="D152" s="393">
        <f t="shared" si="48"/>
        <v>38.690420030493698</v>
      </c>
      <c r="E152" s="385">
        <f t="shared" si="70"/>
        <v>39.45146131899768</v>
      </c>
      <c r="F152" s="385">
        <f t="shared" si="49"/>
        <v>39.452255589669797</v>
      </c>
      <c r="G152" s="110">
        <f t="shared" si="71"/>
        <v>0.6223204716260774</v>
      </c>
      <c r="H152" s="414" t="b">
        <f>Wh_hp&gt;='2018'!Maxi_hp</f>
        <v>1</v>
      </c>
      <c r="I152" s="390">
        <f>IF(H152,Wh_hp,'2018'!Maxi_hp)</f>
        <v>39.452255589669797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7.506251683615961E-3</v>
      </c>
      <c r="M152" s="845"/>
      <c r="N152" s="845"/>
      <c r="O152" s="48">
        <f>IF(t&lt;Tnet,'2018'!Resal+('2018'!Salim-'2018'!Resal)*(1-EXP(('2018'!Tnet-t)/('2018'!Tau_j))),Resal+(Salim-Resal)*(1-EXP((Tnet-t)/(Tau_j))))*Salcycl</f>
        <v>1.929057284723459E-2</v>
      </c>
      <c r="P152" s="169">
        <f>(INDEX(Models!$BJ152:$BT152,,T152)*(1-R152)+INDEX(Models!$BJ152:$BT152,,T152+1)*R152-ERP_i)*Q152*Ramure*Pc/MaxiM</f>
        <v>4.3720695246235503E-5</v>
      </c>
      <c r="Q152" s="305">
        <f t="shared" si="51"/>
        <v>0.5</v>
      </c>
      <c r="R152" s="177">
        <f t="shared" si="52"/>
        <v>0.63685924024447282</v>
      </c>
      <c r="S152" s="811">
        <f t="shared" si="53"/>
        <v>-2</v>
      </c>
      <c r="T152" s="176">
        <f t="shared" si="54"/>
        <v>4</v>
      </c>
      <c r="U152" s="251">
        <f t="shared" si="55"/>
        <v>-1.3631407597555272</v>
      </c>
      <c r="V152" s="383">
        <f t="shared" si="56"/>
        <v>61.703086984939759</v>
      </c>
      <c r="W152" s="58"/>
      <c r="X152" s="157">
        <f t="shared" si="57"/>
        <v>43603</v>
      </c>
      <c r="Y152" s="385">
        <f t="shared" si="58"/>
        <v>38.4</v>
      </c>
      <c r="Z152" s="385">
        <f t="shared" si="59"/>
        <v>38.690420030493698</v>
      </c>
      <c r="AA152" s="386">
        <f t="shared" si="60"/>
        <v>39.45146131899768</v>
      </c>
      <c r="AB152" s="197">
        <f t="shared" si="61"/>
        <v>43603</v>
      </c>
      <c r="AC152" s="426">
        <f>IF(OR(t&lt;Tnet,NoTnet),'2018'!Resal_s+('2018'!Salim-'2018'!Resal_s)*(1-EXP(('2018'!Tnet_s-t)/'2018'!Tau_j)),Resal_s+(Salim-Resal_s)*(1-EXP((Tnet_s-t)/Tau_j)))*Salcycl</f>
        <v>1.929057284723459E-2</v>
      </c>
      <c r="AD152" s="231">
        <f>(INDEX(Models!$BJ152:$BT152,,AH152)*(1-AF152)+INDEX(Models!$BJ152:$BT152,,AH152+1)*AF152-ERP_i)*AE152*Ramure*Pc/MaxiM</f>
        <v>4.3720695246235503E-5</v>
      </c>
      <c r="AE152" s="305">
        <f t="shared" si="62"/>
        <v>0.5</v>
      </c>
      <c r="AF152" s="177">
        <f t="shared" si="63"/>
        <v>0.63685924024447282</v>
      </c>
      <c r="AG152" s="176">
        <f t="shared" si="64"/>
        <v>-2</v>
      </c>
      <c r="AH152" s="176">
        <f t="shared" si="65"/>
        <v>4</v>
      </c>
      <c r="AI152" s="225">
        <f t="shared" si="66"/>
        <v>-1.3631407597555272</v>
      </c>
      <c r="AJ152" s="265" t="b">
        <f t="shared" si="67"/>
        <v>0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7">
        <v>27.305</v>
      </c>
      <c r="C153" s="390"/>
      <c r="D153" s="393">
        <f t="shared" si="48"/>
        <v>27.512110891373744</v>
      </c>
      <c r="E153" s="385">
        <f t="shared" si="70"/>
        <v>28.055019669613195</v>
      </c>
      <c r="F153" s="385">
        <f t="shared" si="49"/>
        <v>28.055271456011134</v>
      </c>
      <c r="G153" s="110">
        <f t="shared" si="71"/>
        <v>0.44218831681123399</v>
      </c>
      <c r="H153" s="414" t="b">
        <f>Wh_hp&gt;='2018'!Maxi_hp</f>
        <v>1</v>
      </c>
      <c r="I153" s="390">
        <f>IF(H153,Wh_hp,'2018'!Maxi_hp)</f>
        <v>28.055271456011134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7.5279898438721515E-3</v>
      </c>
      <c r="M153" s="845"/>
      <c r="N153" s="845"/>
      <c r="O153" s="48">
        <f>IF(t&lt;Tnet,'2018'!Resal+('2018'!Salim-'2018'!Resal)*(1-EXP(('2018'!Tnet-t)/('2018'!Tau_j))),Resal+(Salim-Resal)*(1-EXP((Tnet-t)/(Tau_j))))*Salcycl</f>
        <v>1.9351573609035114E-2</v>
      </c>
      <c r="P153" s="169">
        <f>(INDEX(Models!$BJ153:$BT153,,T153)*(1-R153)+INDEX(Models!$BJ153:$BT153,,T153+1)*R153-ERP_i)*Q153*Ramure*Pc/MaxiM</f>
        <v>4.4177829169072081E-5</v>
      </c>
      <c r="Q153" s="305">
        <f t="shared" si="51"/>
        <v>0.5</v>
      </c>
      <c r="R153" s="177">
        <f t="shared" si="52"/>
        <v>0.6410447660117693</v>
      </c>
      <c r="S153" s="811">
        <f t="shared" si="53"/>
        <v>-2</v>
      </c>
      <c r="T153" s="176">
        <f t="shared" si="54"/>
        <v>4</v>
      </c>
      <c r="U153" s="251">
        <f t="shared" si="55"/>
        <v>-1.3589552339882307</v>
      </c>
      <c r="V153" s="383">
        <f t="shared" si="56"/>
        <v>61.747535451900454</v>
      </c>
      <c r="W153" s="58"/>
      <c r="X153" s="157">
        <f t="shared" si="57"/>
        <v>43604</v>
      </c>
      <c r="Y153" s="385">
        <f t="shared" si="58"/>
        <v>27.305</v>
      </c>
      <c r="Z153" s="385">
        <f t="shared" si="59"/>
        <v>27.512110891373744</v>
      </c>
      <c r="AA153" s="386">
        <f t="shared" si="60"/>
        <v>28.055019669613195</v>
      </c>
      <c r="AB153" s="197">
        <f t="shared" si="61"/>
        <v>43604</v>
      </c>
      <c r="AC153" s="426">
        <f>IF(OR(t&lt;Tnet,NoTnet),'2018'!Resal_s+('2018'!Salim-'2018'!Resal_s)*(1-EXP(('2018'!Tnet_s-t)/'2018'!Tau_j)),Resal_s+(Salim-Resal_s)*(1-EXP((Tnet_s-t)/Tau_j)))*Salcycl</f>
        <v>1.9351573609035114E-2</v>
      </c>
      <c r="AD153" s="231">
        <f>(INDEX(Models!$BJ153:$BT153,,AH153)*(1-AF153)+INDEX(Models!$BJ153:$BT153,,AH153+1)*AF153-ERP_i)*AE153*Ramure*Pc/MaxiM</f>
        <v>4.4177829169072081E-5</v>
      </c>
      <c r="AE153" s="305">
        <f t="shared" si="62"/>
        <v>0.5</v>
      </c>
      <c r="AF153" s="177">
        <f t="shared" si="63"/>
        <v>0.6410447660117693</v>
      </c>
      <c r="AG153" s="176">
        <f t="shared" si="64"/>
        <v>-2</v>
      </c>
      <c r="AH153" s="176">
        <f t="shared" si="65"/>
        <v>4</v>
      </c>
      <c r="AI153" s="225">
        <f t="shared" si="66"/>
        <v>-1.3589552339882307</v>
      </c>
      <c r="AJ153" s="265" t="b">
        <f t="shared" si="67"/>
        <v>0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7">
        <v>52.396999999999998</v>
      </c>
      <c r="C154" s="390"/>
      <c r="D154" s="393">
        <f t="shared" si="48"/>
        <v>52.795592336822736</v>
      </c>
      <c r="E154" s="385">
        <f t="shared" si="70"/>
        <v>53.840786556992462</v>
      </c>
      <c r="F154" s="385">
        <f t="shared" si="49"/>
        <v>53.842651353238544</v>
      </c>
      <c r="G154" s="110">
        <f t="shared" si="71"/>
        <v>0.84800887686564974</v>
      </c>
      <c r="H154" s="414" t="b">
        <f>Wh_hp&gt;='2018'!Maxi_hp</f>
        <v>1</v>
      </c>
      <c r="I154" s="390">
        <f>IF(H154,Wh_hp,'2018'!Maxi_hp)</f>
        <v>53.842651353238544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7.5497275280068665E-3</v>
      </c>
      <c r="M154" s="845"/>
      <c r="N154" s="845"/>
      <c r="O154" s="48">
        <f>IF(t&lt;Tnet,'2018'!Resal+('2018'!Salim-'2018'!Resal)*(1-EXP(('2018'!Tnet-t)/('2018'!Tau_j))),Resal+(Salim-Resal)*(1-EXP((Tnet-t)/(Tau_j))))*Salcycl</f>
        <v>1.9412684825162237E-2</v>
      </c>
      <c r="P154" s="169">
        <f>(INDEX(Models!$BJ154:$BT154,,T154)*(1-R154)+INDEX(Models!$BJ154:$BT154,,T154+1)*R154-ERP_i)*Q154*Ramure*Pc/MaxiM</f>
        <v>4.423937064184114E-5</v>
      </c>
      <c r="Q154" s="305">
        <f t="shared" si="51"/>
        <v>0.5</v>
      </c>
      <c r="R154" s="177">
        <f t="shared" si="52"/>
        <v>0.64530378131943</v>
      </c>
      <c r="S154" s="811">
        <f t="shared" si="53"/>
        <v>-2</v>
      </c>
      <c r="T154" s="176">
        <f t="shared" si="54"/>
        <v>4</v>
      </c>
      <c r="U154" s="251">
        <f t="shared" si="55"/>
        <v>-1.35469621868057</v>
      </c>
      <c r="V154" s="383">
        <f t="shared" si="56"/>
        <v>61.787674786166967</v>
      </c>
      <c r="W154" s="58"/>
      <c r="X154" s="157">
        <f t="shared" si="57"/>
        <v>43605</v>
      </c>
      <c r="Y154" s="385">
        <f t="shared" si="58"/>
        <v>52.396999999999998</v>
      </c>
      <c r="Z154" s="385">
        <f t="shared" si="59"/>
        <v>52.795592336822736</v>
      </c>
      <c r="AA154" s="386">
        <f t="shared" si="60"/>
        <v>53.840786556992462</v>
      </c>
      <c r="AB154" s="197">
        <f t="shared" si="61"/>
        <v>43605</v>
      </c>
      <c r="AC154" s="426">
        <f>IF(OR(t&lt;Tnet,NoTnet),'2018'!Resal_s+('2018'!Salim-'2018'!Resal_s)*(1-EXP(('2018'!Tnet_s-t)/'2018'!Tau_j)),Resal_s+(Salim-Resal_s)*(1-EXP((Tnet_s-t)/Tau_j)))*Salcycl</f>
        <v>1.9412684825162237E-2</v>
      </c>
      <c r="AD154" s="231">
        <f>(INDEX(Models!$BJ154:$BT154,,AH154)*(1-AF154)+INDEX(Models!$BJ154:$BT154,,AH154+1)*AF154-ERP_i)*AE154*Ramure*Pc/MaxiM</f>
        <v>4.423937064184114E-5</v>
      </c>
      <c r="AE154" s="305">
        <f t="shared" si="62"/>
        <v>0.5</v>
      </c>
      <c r="AF154" s="177">
        <f t="shared" si="63"/>
        <v>0.64530378131943</v>
      </c>
      <c r="AG154" s="176">
        <f t="shared" si="64"/>
        <v>-2</v>
      </c>
      <c r="AH154" s="176">
        <f t="shared" si="65"/>
        <v>4</v>
      </c>
      <c r="AI154" s="225">
        <f t="shared" si="66"/>
        <v>-1.35469621868057</v>
      </c>
      <c r="AJ154" s="265" t="b">
        <f t="shared" si="67"/>
        <v>0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7">
        <v>50.527000000000001</v>
      </c>
      <c r="C155" s="390"/>
      <c r="D155" s="393">
        <f t="shared" si="48"/>
        <v>50.912482062560457</v>
      </c>
      <c r="E155" s="385">
        <f t="shared" si="70"/>
        <v>51.923637388994081</v>
      </c>
      <c r="F155" s="385">
        <f t="shared" si="49"/>
        <v>51.925321459193036</v>
      </c>
      <c r="G155" s="110">
        <f t="shared" si="71"/>
        <v>0.81726598808176065</v>
      </c>
      <c r="H155" s="414" t="b">
        <f>Wh_hp&gt;='2018'!Maxi_hp</f>
        <v>1</v>
      </c>
      <c r="I155" s="390">
        <f>IF(H155,Wh_hp,'2018'!Maxi_hp)</f>
        <v>51.925321459193036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7.571464736030431E-3</v>
      </c>
      <c r="M155" s="845"/>
      <c r="N155" s="845"/>
      <c r="O155" s="48">
        <f>IF(t&lt;Tnet,'2018'!Resal+('2018'!Salim-'2018'!Resal)*(1-EXP(('2018'!Tnet-t)/('2018'!Tau_j))),Resal+(Salim-Resal)*(1-EXP((Tnet-t)/(Tau_j))))*Salcycl</f>
        <v>1.9473892378886918E-2</v>
      </c>
      <c r="P155" s="169">
        <f>(INDEX(Models!$BJ155:$BT155,,T155)*(1-R155)+INDEX(Models!$BJ155:$BT155,,T155+1)*R155-ERP_i)*Q155*Ramure*Pc/MaxiM</f>
        <v>4.3889158322761266E-5</v>
      </c>
      <c r="Q155" s="305">
        <f t="shared" si="51"/>
        <v>0.5</v>
      </c>
      <c r="R155" s="177">
        <f t="shared" si="52"/>
        <v>0.64963454884037275</v>
      </c>
      <c r="S155" s="811">
        <f t="shared" si="53"/>
        <v>-2</v>
      </c>
      <c r="T155" s="176">
        <f t="shared" si="54"/>
        <v>4</v>
      </c>
      <c r="U155" s="251">
        <f t="shared" si="55"/>
        <v>-1.3503654511596273</v>
      </c>
      <c r="V155" s="383">
        <f t="shared" si="56"/>
        <v>61.823716941156476</v>
      </c>
      <c r="W155" s="58"/>
      <c r="X155" s="157">
        <f t="shared" si="57"/>
        <v>43606</v>
      </c>
      <c r="Y155" s="385">
        <f t="shared" si="58"/>
        <v>50.527000000000001</v>
      </c>
      <c r="Z155" s="385">
        <f t="shared" si="59"/>
        <v>50.912482062560457</v>
      </c>
      <c r="AA155" s="386">
        <f t="shared" si="60"/>
        <v>51.923637388994081</v>
      </c>
      <c r="AB155" s="197">
        <f t="shared" si="61"/>
        <v>43606</v>
      </c>
      <c r="AC155" s="426">
        <f>IF(OR(t&lt;Tnet,NoTnet),'2018'!Resal_s+('2018'!Salim-'2018'!Resal_s)*(1-EXP(('2018'!Tnet_s-t)/'2018'!Tau_j)),Resal_s+(Salim-Resal_s)*(1-EXP((Tnet_s-t)/Tau_j)))*Salcycl</f>
        <v>1.9473892378886918E-2</v>
      </c>
      <c r="AD155" s="231">
        <f>(INDEX(Models!$BJ155:$BT155,,AH155)*(1-AF155)+INDEX(Models!$BJ155:$BT155,,AH155+1)*AF155-ERP_i)*AE155*Ramure*Pc/MaxiM</f>
        <v>4.3889158322761266E-5</v>
      </c>
      <c r="AE155" s="305">
        <f t="shared" si="62"/>
        <v>0.5</v>
      </c>
      <c r="AF155" s="177">
        <f t="shared" si="63"/>
        <v>0.64963454884037275</v>
      </c>
      <c r="AG155" s="176">
        <f t="shared" si="64"/>
        <v>-2</v>
      </c>
      <c r="AH155" s="176">
        <f t="shared" si="65"/>
        <v>4</v>
      </c>
      <c r="AI155" s="225">
        <f t="shared" si="66"/>
        <v>-1.3503654511596273</v>
      </c>
      <c r="AJ155" s="265" t="b">
        <f t="shared" si="67"/>
        <v>0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7">
        <v>61.177</v>
      </c>
      <c r="C156" s="390"/>
      <c r="D156" s="393">
        <f t="shared" si="48"/>
        <v>61.645083538819073</v>
      </c>
      <c r="E156" s="385">
        <f t="shared" si="70"/>
        <v>62.873325366995168</v>
      </c>
      <c r="F156" s="385">
        <f t="shared" si="49"/>
        <v>62.875998222350205</v>
      </c>
      <c r="G156" s="110">
        <f t="shared" si="71"/>
        <v>0.98902431468688479</v>
      </c>
      <c r="H156" s="414" t="b">
        <f>Wh_hp&gt;='2018'!Maxi_hp</f>
        <v>1</v>
      </c>
      <c r="I156" s="390">
        <f>IF(H156,Wh_hp,'2018'!Maxi_hp)</f>
        <v>62.875998222350205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7.5932014679533921E-3</v>
      </c>
      <c r="M156" s="845"/>
      <c r="N156" s="845"/>
      <c r="O156" s="48">
        <f>IF(t&lt;Tnet,'2018'!Resal+('2018'!Salim-'2018'!Resal)*(1-EXP(('2018'!Tnet-t)/('2018'!Tau_j))),Resal+(Salim-Resal)*(1-EXP((Tnet-t)/(Tau_j))))*Salcycl</f>
        <v>1.9535181589438511E-2</v>
      </c>
      <c r="P156" s="169">
        <f>(INDEX(Models!$BJ156:$BT156,,T156)*(1-R156)+INDEX(Models!$BJ156:$BT156,,T156+1)*R156-ERP_i)*Q156*Ramure*Pc/MaxiM</f>
        <v>4.3187059406574147E-5</v>
      </c>
      <c r="Q156" s="305">
        <f t="shared" si="51"/>
        <v>0.5</v>
      </c>
      <c r="R156" s="177">
        <f t="shared" si="52"/>
        <v>0.65403514908592841</v>
      </c>
      <c r="S156" s="811">
        <f t="shared" si="53"/>
        <v>-2</v>
      </c>
      <c r="T156" s="176">
        <f t="shared" si="54"/>
        <v>4</v>
      </c>
      <c r="U156" s="251">
        <f t="shared" si="55"/>
        <v>-1.3459648509140716</v>
      </c>
      <c r="V156" s="383">
        <f t="shared" si="56"/>
        <v>61.855869128863908</v>
      </c>
      <c r="W156" s="58"/>
      <c r="X156" s="157">
        <f t="shared" si="57"/>
        <v>43607</v>
      </c>
      <c r="Y156" s="385">
        <f t="shared" si="58"/>
        <v>61.177</v>
      </c>
      <c r="Z156" s="385">
        <f t="shared" si="59"/>
        <v>61.645083538819073</v>
      </c>
      <c r="AA156" s="386">
        <f t="shared" si="60"/>
        <v>62.873325366995168</v>
      </c>
      <c r="AB156" s="197">
        <f t="shared" si="61"/>
        <v>43607</v>
      </c>
      <c r="AC156" s="426">
        <f>IF(OR(t&lt;Tnet,NoTnet),'2018'!Resal_s+('2018'!Salim-'2018'!Resal_s)*(1-EXP(('2018'!Tnet_s-t)/'2018'!Tau_j)),Resal_s+(Salim-Resal_s)*(1-EXP((Tnet_s-t)/Tau_j)))*Salcycl</f>
        <v>1.9535181589438511E-2</v>
      </c>
      <c r="AD156" s="231">
        <f>(INDEX(Models!$BJ156:$BT156,,AH156)*(1-AF156)+INDEX(Models!$BJ156:$BT156,,AH156+1)*AF156-ERP_i)*AE156*Ramure*Pc/MaxiM</f>
        <v>4.3187059406574147E-5</v>
      </c>
      <c r="AE156" s="305">
        <f t="shared" si="62"/>
        <v>0.5</v>
      </c>
      <c r="AF156" s="177">
        <f t="shared" si="63"/>
        <v>0.65403514908592841</v>
      </c>
      <c r="AG156" s="176">
        <f t="shared" si="64"/>
        <v>-2</v>
      </c>
      <c r="AH156" s="176">
        <f t="shared" si="65"/>
        <v>4</v>
      </c>
      <c r="AI156" s="225">
        <f t="shared" si="66"/>
        <v>-1.3459648509140716</v>
      </c>
      <c r="AJ156" s="265" t="b">
        <f t="shared" si="67"/>
        <v>0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7">
        <v>53.005000000000003</v>
      </c>
      <c r="C157" s="390"/>
      <c r="D157" s="393">
        <f t="shared" si="48"/>
        <v>53.411726974631691</v>
      </c>
      <c r="E157" s="385">
        <f t="shared" si="70"/>
        <v>54.479333258064301</v>
      </c>
      <c r="F157" s="385">
        <f t="shared" si="49"/>
        <v>54.48116536843888</v>
      </c>
      <c r="G157" s="110">
        <f t="shared" si="71"/>
        <v>0.85650985841939808</v>
      </c>
      <c r="H157" s="414" t="b">
        <f>Wh_hp&gt;='2018'!Maxi_hp</f>
        <v>1</v>
      </c>
      <c r="I157" s="390">
        <f>IF(H157,Wh_hp,'2018'!Maxi_hp)</f>
        <v>54.48116536843888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7.6149377237861859E-3</v>
      </c>
      <c r="M157" s="845"/>
      <c r="N157" s="845"/>
      <c r="O157" s="48">
        <f>IF(t&lt;Tnet,'2018'!Resal+('2018'!Salim-'2018'!Resal)*(1-EXP(('2018'!Tnet-t)/('2018'!Tau_j))),Resal+(Salim-Resal)*(1-EXP((Tnet-t)/(Tau_j))))*Salcycl</f>
        <v>1.9596537247903608E-2</v>
      </c>
      <c r="P157" s="169">
        <f>(INDEX(Models!$BJ157:$BT157,,T157)*(1-R157)+INDEX(Models!$BJ157:$BT157,,T157+1)*R157-ERP_i)*Q157*Ramure*Pc/MaxiM</f>
        <v>4.2298466995944187E-5</v>
      </c>
      <c r="Q157" s="305">
        <f t="shared" si="51"/>
        <v>0.5</v>
      </c>
      <c r="R157" s="177">
        <f t="shared" si="52"/>
        <v>0.65850348041770079</v>
      </c>
      <c r="S157" s="811">
        <f t="shared" si="53"/>
        <v>-2</v>
      </c>
      <c r="T157" s="176">
        <f t="shared" si="54"/>
        <v>4</v>
      </c>
      <c r="U157" s="251">
        <f t="shared" si="55"/>
        <v>-1.3414965195822992</v>
      </c>
      <c r="V157" s="383">
        <f t="shared" si="56"/>
        <v>61.884331981328678</v>
      </c>
      <c r="W157" s="58"/>
      <c r="X157" s="157">
        <f t="shared" si="57"/>
        <v>43608</v>
      </c>
      <c r="Y157" s="385">
        <f t="shared" si="58"/>
        <v>53.005000000000003</v>
      </c>
      <c r="Z157" s="385">
        <f t="shared" si="59"/>
        <v>53.411726974631691</v>
      </c>
      <c r="AA157" s="386">
        <f t="shared" si="60"/>
        <v>54.479333258064301</v>
      </c>
      <c r="AB157" s="197">
        <f t="shared" si="61"/>
        <v>43608</v>
      </c>
      <c r="AC157" s="426">
        <f>IF(OR(t&lt;Tnet,NoTnet),'2018'!Resal_s+('2018'!Salim-'2018'!Resal_s)*(1-EXP(('2018'!Tnet_s-t)/'2018'!Tau_j)),Resal_s+(Salim-Resal_s)*(1-EXP((Tnet_s-t)/Tau_j)))*Salcycl</f>
        <v>1.9596537247903608E-2</v>
      </c>
      <c r="AD157" s="231">
        <f>(INDEX(Models!$BJ157:$BT157,,AH157)*(1-AF157)+INDEX(Models!$BJ157:$BT157,,AH157+1)*AF157-ERP_i)*AE157*Ramure*Pc/MaxiM</f>
        <v>4.2298466995944187E-5</v>
      </c>
      <c r="AE157" s="305">
        <f t="shared" si="62"/>
        <v>0.5</v>
      </c>
      <c r="AF157" s="177">
        <f t="shared" si="63"/>
        <v>0.65850348041770079</v>
      </c>
      <c r="AG157" s="176">
        <f t="shared" si="64"/>
        <v>-2</v>
      </c>
      <c r="AH157" s="176">
        <f t="shared" si="65"/>
        <v>4</v>
      </c>
      <c r="AI157" s="225">
        <f t="shared" si="66"/>
        <v>-1.3414965195822992</v>
      </c>
      <c r="AJ157" s="265" t="b">
        <f t="shared" si="67"/>
        <v>0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7">
        <v>12.631</v>
      </c>
      <c r="C158" s="390"/>
      <c r="D158" s="393">
        <f t="shared" si="48"/>
        <v>12.728201116211892</v>
      </c>
      <c r="E158" s="385">
        <f t="shared" si="70"/>
        <v>12.983428624588381</v>
      </c>
      <c r="F158" s="385">
        <f t="shared" si="49"/>
        <v>12.983428624588381</v>
      </c>
      <c r="G158" s="110">
        <f t="shared" si="71"/>
        <v>0.20401580989727588</v>
      </c>
      <c r="H158" s="414" t="b">
        <f>Wh_hp&gt;='2018'!Maxi_hp</f>
        <v>1</v>
      </c>
      <c r="I158" s="390">
        <f>IF(H158,Wh_hp,'2018'!Maxi_hp)</f>
        <v>12.983428624588381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7.6366735035391375E-3</v>
      </c>
      <c r="M158" s="845"/>
      <c r="N158" s="845"/>
      <c r="O158" s="48">
        <f>IF(t&lt;Tnet,'2018'!Resal+('2018'!Salim-'2018'!Resal)*(1-EXP(('2018'!Tnet-t)/('2018'!Tau_j))),Resal+(Salim-Resal)*(1-EXP((Tnet-t)/(Tau_j))))*Salcycl</f>
        <v>1.9657943656973077E-2</v>
      </c>
      <c r="P158" s="169">
        <f>(INDEX(Models!$BJ158:$BT158,,T158)*(1-R158)+INDEX(Models!$BJ158:$BT158,,T158+1)*R158-ERP_i)*Q158*Ramure*Pc/MaxiM</f>
        <v>4.1215349072108273E-5</v>
      </c>
      <c r="Q158" s="305">
        <f t="shared" si="51"/>
        <v>0.5</v>
      </c>
      <c r="R158" s="177">
        <f t="shared" si="52"/>
        <v>0.66303725994853013</v>
      </c>
      <c r="S158" s="811">
        <f t="shared" si="53"/>
        <v>-2</v>
      </c>
      <c r="T158" s="176">
        <f t="shared" si="54"/>
        <v>4</v>
      </c>
      <c r="U158" s="251">
        <f t="shared" si="55"/>
        <v>-1.3369627400514699</v>
      </c>
      <c r="V158" s="383">
        <f t="shared" si="56"/>
        <v>61.909316808758348</v>
      </c>
      <c r="W158" s="58"/>
      <c r="X158" s="157">
        <f t="shared" si="57"/>
        <v>43609</v>
      </c>
      <c r="Y158" s="385">
        <f t="shared" si="58"/>
        <v>12.631</v>
      </c>
      <c r="Z158" s="385">
        <f t="shared" si="59"/>
        <v>12.728201116211892</v>
      </c>
      <c r="AA158" s="386">
        <f t="shared" si="60"/>
        <v>12.983428624588381</v>
      </c>
      <c r="AB158" s="197">
        <f t="shared" si="61"/>
        <v>43609</v>
      </c>
      <c r="AC158" s="426">
        <f>IF(OR(t&lt;Tnet,NoTnet),'2018'!Resal_s+('2018'!Salim-'2018'!Resal_s)*(1-EXP(('2018'!Tnet_s-t)/'2018'!Tau_j)),Resal_s+(Salim-Resal_s)*(1-EXP((Tnet_s-t)/Tau_j)))*Salcycl</f>
        <v>1.9657943656973077E-2</v>
      </c>
      <c r="AD158" s="231">
        <f>(INDEX(Models!$BJ158:$BT158,,AH158)*(1-AF158)+INDEX(Models!$BJ158:$BT158,,AH158+1)*AF158-ERP_i)*AE158*Ramure*Pc/MaxiM</f>
        <v>4.1215349072108273E-5</v>
      </c>
      <c r="AE158" s="305">
        <f t="shared" si="62"/>
        <v>0.5</v>
      </c>
      <c r="AF158" s="177">
        <f t="shared" si="63"/>
        <v>0.66303725994853013</v>
      </c>
      <c r="AG158" s="176">
        <f t="shared" si="64"/>
        <v>-2</v>
      </c>
      <c r="AH158" s="176">
        <f t="shared" si="65"/>
        <v>4</v>
      </c>
      <c r="AI158" s="225">
        <f t="shared" si="66"/>
        <v>-1.3369627400514699</v>
      </c>
      <c r="AJ158" s="265" t="b">
        <f t="shared" si="67"/>
        <v>0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7">
        <v>25.462</v>
      </c>
      <c r="C159" s="390"/>
      <c r="D159" s="393">
        <f t="shared" si="48"/>
        <v>25.658503307711936</v>
      </c>
      <c r="E159" s="385">
        <f t="shared" si="70"/>
        <v>26.174651325926895</v>
      </c>
      <c r="F159" s="385">
        <f t="shared" si="49"/>
        <v>26.174817258680864</v>
      </c>
      <c r="G159" s="110">
        <f t="shared" si="71"/>
        <v>0.41112093103731046</v>
      </c>
      <c r="H159" s="414" t="b">
        <f>Wh_hp&gt;='2018'!Maxi_hp</f>
        <v>1</v>
      </c>
      <c r="I159" s="390">
        <f>IF(H159,Wh_hp,'2018'!Maxi_hp)</f>
        <v>26.174817258680864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7.658408807222794E-3</v>
      </c>
      <c r="M159" s="845"/>
      <c r="N159" s="845"/>
      <c r="O159" s="48">
        <f>IF(t&lt;Tnet,'2018'!Resal+('2018'!Salim-'2018'!Resal)*(1-EXP(('2018'!Tnet-t)/('2018'!Tau_j))),Resal+(Salim-Resal)*(1-EXP((Tnet-t)/(Tau_j))))*Salcycl</f>
        <v>1.9719384674427187E-2</v>
      </c>
      <c r="P159" s="169">
        <f>(INDEX(Models!$BJ159:$BT159,,T159)*(1-R159)+INDEX(Models!$BJ159:$BT159,,T159+1)*R159-ERP_i)*Q159*Ramure*Pc/MaxiM</f>
        <v>3.9929756342256034E-5</v>
      </c>
      <c r="Q159" s="305">
        <f t="shared" si="51"/>
        <v>0.5</v>
      </c>
      <c r="R159" s="177">
        <f t="shared" si="52"/>
        <v>0.66763402536624739</v>
      </c>
      <c r="S159" s="811">
        <f t="shared" si="53"/>
        <v>-2</v>
      </c>
      <c r="T159" s="176">
        <f t="shared" si="54"/>
        <v>4</v>
      </c>
      <c r="U159" s="251">
        <f t="shared" si="55"/>
        <v>-1.3323659746337526</v>
      </c>
      <c r="V159" s="383">
        <f t="shared" si="56"/>
        <v>61.931034872871493</v>
      </c>
      <c r="W159" s="58"/>
      <c r="X159" s="157">
        <f t="shared" si="57"/>
        <v>43610</v>
      </c>
      <c r="Y159" s="385">
        <f t="shared" si="58"/>
        <v>25.462</v>
      </c>
      <c r="Z159" s="385">
        <f t="shared" si="59"/>
        <v>25.658503307711936</v>
      </c>
      <c r="AA159" s="386">
        <f t="shared" si="60"/>
        <v>26.174651325926895</v>
      </c>
      <c r="AB159" s="197">
        <f t="shared" si="61"/>
        <v>43610</v>
      </c>
      <c r="AC159" s="426">
        <f>IF(OR(t&lt;Tnet,NoTnet),'2018'!Resal_s+('2018'!Salim-'2018'!Resal_s)*(1-EXP(('2018'!Tnet_s-t)/'2018'!Tau_j)),Resal_s+(Salim-Resal_s)*(1-EXP((Tnet_s-t)/Tau_j)))*Salcycl</f>
        <v>1.9719384674427187E-2</v>
      </c>
      <c r="AD159" s="231">
        <f>(INDEX(Models!$BJ159:$BT159,,AH159)*(1-AF159)+INDEX(Models!$BJ159:$BT159,,AH159+1)*AF159-ERP_i)*AE159*Ramure*Pc/MaxiM</f>
        <v>3.9929756342256034E-5</v>
      </c>
      <c r="AE159" s="305">
        <f t="shared" si="62"/>
        <v>0.5</v>
      </c>
      <c r="AF159" s="177">
        <f t="shared" si="63"/>
        <v>0.66763402536624739</v>
      </c>
      <c r="AG159" s="176">
        <f t="shared" si="64"/>
        <v>-2</v>
      </c>
      <c r="AH159" s="176">
        <f t="shared" si="65"/>
        <v>4</v>
      </c>
      <c r="AI159" s="225">
        <f t="shared" si="66"/>
        <v>-1.3323659746337526</v>
      </c>
      <c r="AJ159" s="265" t="b">
        <f t="shared" si="67"/>
        <v>0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7">
        <v>25.443999999999999</v>
      </c>
      <c r="C160" s="390"/>
      <c r="D160" s="393">
        <f t="shared" si="48"/>
        <v>25.640925994568782</v>
      </c>
      <c r="E160" s="385">
        <f t="shared" si="70"/>
        <v>26.158360435364074</v>
      </c>
      <c r="F160" s="385">
        <f t="shared" si="49"/>
        <v>26.158519455950707</v>
      </c>
      <c r="G160" s="110">
        <f t="shared" si="71"/>
        <v>0.41070703869743586</v>
      </c>
      <c r="H160" s="414" t="b">
        <f>Wh_hp&gt;='2018'!Maxi_hp</f>
        <v>1</v>
      </c>
      <c r="I160" s="390">
        <f>IF(H160,Wh_hp,'2018'!Maxi_hp)</f>
        <v>26.158519455950707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7.6801436348474805E-3</v>
      </c>
      <c r="M160" s="845"/>
      <c r="N160" s="845"/>
      <c r="O160" s="48">
        <f>IF(t&lt;Tnet,'2018'!Resal+('2018'!Salim-'2018'!Resal)*(1-EXP(('2018'!Tnet-t)/('2018'!Tau_j))),Resal+(Salim-Resal)*(1-EXP((Tnet-t)/(Tau_j))))*Salcycl</f>
        <v>1.9780843760213575E-2</v>
      </c>
      <c r="P160" s="169">
        <f>(INDEX(Models!$BJ160:$BT160,,T160)*(1-R160)+INDEX(Models!$BJ160:$BT160,,T160+1)*R160-ERP_i)*Q160*Ramure*Pc/MaxiM</f>
        <v>3.8433582676664367E-5</v>
      </c>
      <c r="Q160" s="305">
        <f t="shared" si="51"/>
        <v>0.5</v>
      </c>
      <c r="R160" s="177">
        <f t="shared" si="52"/>
        <v>0.67229113770707971</v>
      </c>
      <c r="S160" s="811">
        <f t="shared" si="53"/>
        <v>-2</v>
      </c>
      <c r="T160" s="176">
        <f t="shared" si="54"/>
        <v>4</v>
      </c>
      <c r="U160" s="251">
        <f t="shared" si="55"/>
        <v>-1.3277088622929203</v>
      </c>
      <c r="V160" s="383">
        <f t="shared" si="56"/>
        <v>61.949697401227105</v>
      </c>
      <c r="W160" s="58"/>
      <c r="X160" s="157">
        <f t="shared" si="57"/>
        <v>43611</v>
      </c>
      <c r="Y160" s="385">
        <f t="shared" si="58"/>
        <v>25.443999999999999</v>
      </c>
      <c r="Z160" s="385">
        <f t="shared" si="59"/>
        <v>25.640925994568782</v>
      </c>
      <c r="AA160" s="386">
        <f t="shared" si="60"/>
        <v>26.158360435364074</v>
      </c>
      <c r="AB160" s="197">
        <f t="shared" si="61"/>
        <v>43611</v>
      </c>
      <c r="AC160" s="426">
        <f>IF(OR(t&lt;Tnet,NoTnet),'2018'!Resal_s+('2018'!Salim-'2018'!Resal_s)*(1-EXP(('2018'!Tnet_s-t)/'2018'!Tau_j)),Resal_s+(Salim-Resal_s)*(1-EXP((Tnet_s-t)/Tau_j)))*Salcycl</f>
        <v>1.9780843760213575E-2</v>
      </c>
      <c r="AD160" s="231">
        <f>(INDEX(Models!$BJ160:$BT160,,AH160)*(1-AF160)+INDEX(Models!$BJ160:$BT160,,AH160+1)*AF160-ERP_i)*AE160*Ramure*Pc/MaxiM</f>
        <v>3.8433582676664367E-5</v>
      </c>
      <c r="AE160" s="305">
        <f t="shared" si="62"/>
        <v>0.5</v>
      </c>
      <c r="AF160" s="177">
        <f t="shared" si="63"/>
        <v>0.67229113770707971</v>
      </c>
      <c r="AG160" s="176">
        <f t="shared" si="64"/>
        <v>-2</v>
      </c>
      <c r="AH160" s="176">
        <f t="shared" si="65"/>
        <v>4</v>
      </c>
      <c r="AI160" s="225">
        <f t="shared" si="66"/>
        <v>-1.3277088622929203</v>
      </c>
      <c r="AJ160" s="265" t="b">
        <f t="shared" si="67"/>
        <v>0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7">
        <v>29.888999999999999</v>
      </c>
      <c r="C161" s="390"/>
      <c r="D161" s="393">
        <f t="shared" si="48"/>
        <v>30.120988175760214</v>
      </c>
      <c r="E161" s="385">
        <f t="shared" si="70"/>
        <v>30.730757203163392</v>
      </c>
      <c r="F161" s="385">
        <f t="shared" si="49"/>
        <v>30.731051149875494</v>
      </c>
      <c r="G161" s="110">
        <f t="shared" si="71"/>
        <v>0.48233583022421855</v>
      </c>
      <c r="H161" s="414" t="b">
        <f>Wh_hp&gt;='2018'!Maxi_hp</f>
        <v>1</v>
      </c>
      <c r="I161" s="390">
        <f>IF(H161,Wh_hp,'2018'!Maxi_hp)</f>
        <v>30.731051149875494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7.7018779864236331E-3</v>
      </c>
      <c r="M161" s="845"/>
      <c r="N161" s="845"/>
      <c r="O161" s="48">
        <f>IF(t&lt;Tnet,'2018'!Resal+('2018'!Salim-'2018'!Resal)*(1-EXP(('2018'!Tnet-t)/('2018'!Tau_j))),Resal+(Salim-Resal)*(1-EXP((Tnet-t)/(Tau_j))))*Salcycl</f>
        <v>1.9842304026937874E-2</v>
      </c>
      <c r="P161" s="169">
        <f>(INDEX(Models!$BJ161:$BT161,,T161)*(1-R161)+INDEX(Models!$BJ161:$BT161,,T161+1)*R161-ERP_i)*Q161*Ramure*Pc/MaxiM</f>
        <v>3.6718591816242391E-5</v>
      </c>
      <c r="Q161" s="305">
        <f t="shared" si="51"/>
        <v>0.5</v>
      </c>
      <c r="R161" s="177">
        <f t="shared" si="52"/>
        <v>0.67700578509805553</v>
      </c>
      <c r="S161" s="811">
        <f t="shared" si="53"/>
        <v>-2</v>
      </c>
      <c r="T161" s="176">
        <f t="shared" si="54"/>
        <v>4</v>
      </c>
      <c r="U161" s="251">
        <f t="shared" si="55"/>
        <v>-1.3229942149019445</v>
      </c>
      <c r="V161" s="383">
        <f t="shared" si="56"/>
        <v>61.965515580150665</v>
      </c>
      <c r="W161" s="58"/>
      <c r="X161" s="157">
        <f t="shared" si="57"/>
        <v>43612</v>
      </c>
      <c r="Y161" s="385">
        <f t="shared" si="58"/>
        <v>29.888999999999999</v>
      </c>
      <c r="Z161" s="385">
        <f t="shared" si="59"/>
        <v>30.120988175760214</v>
      </c>
      <c r="AA161" s="386">
        <f t="shared" si="60"/>
        <v>30.730757203163392</v>
      </c>
      <c r="AB161" s="197">
        <f t="shared" si="61"/>
        <v>43612</v>
      </c>
      <c r="AC161" s="426">
        <f>IF(OR(t&lt;Tnet,NoTnet),'2018'!Resal_s+('2018'!Salim-'2018'!Resal_s)*(1-EXP(('2018'!Tnet_s-t)/'2018'!Tau_j)),Resal_s+(Salim-Resal_s)*(1-EXP((Tnet_s-t)/Tau_j)))*Salcycl</f>
        <v>1.9842304026937874E-2</v>
      </c>
      <c r="AD161" s="231">
        <f>(INDEX(Models!$BJ161:$BT161,,AH161)*(1-AF161)+INDEX(Models!$BJ161:$BT161,,AH161+1)*AF161-ERP_i)*AE161*Ramure*Pc/MaxiM</f>
        <v>3.6718591816242391E-5</v>
      </c>
      <c r="AE161" s="305">
        <f t="shared" si="62"/>
        <v>0.5</v>
      </c>
      <c r="AF161" s="177">
        <f t="shared" si="63"/>
        <v>0.67700578509805553</v>
      </c>
      <c r="AG161" s="176">
        <f t="shared" si="64"/>
        <v>-2</v>
      </c>
      <c r="AH161" s="176">
        <f t="shared" si="65"/>
        <v>4</v>
      </c>
      <c r="AI161" s="225">
        <f t="shared" si="66"/>
        <v>-1.3229942149019445</v>
      </c>
      <c r="AJ161" s="265" t="b">
        <f t="shared" si="67"/>
        <v>0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7">
        <v>28.161000000000001</v>
      </c>
      <c r="C162" s="390"/>
      <c r="D162" s="393">
        <f t="shared" si="48"/>
        <v>28.380197631068135</v>
      </c>
      <c r="E162" s="385">
        <f t="shared" si="70"/>
        <v>28.956541341378784</v>
      </c>
      <c r="F162" s="385">
        <f t="shared" si="49"/>
        <v>28.95676341050228</v>
      </c>
      <c r="G162" s="110">
        <f t="shared" si="71"/>
        <v>0.45435345322905729</v>
      </c>
      <c r="H162" s="414" t="b">
        <f>Wh_hp&gt;='2018'!Maxi_hp</f>
        <v>1</v>
      </c>
      <c r="I162" s="390">
        <f>IF(H162,Wh_hp,'2018'!Maxi_hp)</f>
        <v>28.95676341050228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7.7236118619616878E-3</v>
      </c>
      <c r="M162" s="845"/>
      <c r="N162" s="845"/>
      <c r="O162" s="48">
        <f>IF(t&lt;Tnet,'2018'!Resal+('2018'!Salim-'2018'!Resal)*(1-EXP(('2018'!Tnet-t)/('2018'!Tau_j))),Resal+(Salim-Resal)*(1-EXP((Tnet-t)/(Tau_j))))*Salcycl</f>
        <v>1.9903748293552466E-2</v>
      </c>
      <c r="P162" s="169">
        <f>(INDEX(Models!$BJ162:$BT162,,T162)*(1-R162)+INDEX(Models!$BJ162:$BT162,,T162+1)*R162-ERP_i)*Q162*Ramure*Pc/MaxiM</f>
        <v>3.4776446005135595E-5</v>
      </c>
      <c r="Q162" s="305">
        <f t="shared" si="51"/>
        <v>0.5</v>
      </c>
      <c r="R162" s="177">
        <f t="shared" si="52"/>
        <v>0.68177498747959797</v>
      </c>
      <c r="S162" s="811">
        <f t="shared" si="53"/>
        <v>-2</v>
      </c>
      <c r="T162" s="176">
        <f t="shared" si="54"/>
        <v>4</v>
      </c>
      <c r="U162" s="251">
        <f t="shared" si="55"/>
        <v>-1.318225012520402</v>
      </c>
      <c r="V162" s="383">
        <f t="shared" si="56"/>
        <v>61.978700548964554</v>
      </c>
      <c r="W162" s="58"/>
      <c r="X162" s="157">
        <f t="shared" si="57"/>
        <v>43613</v>
      </c>
      <c r="Y162" s="385">
        <f t="shared" si="58"/>
        <v>28.161000000000001</v>
      </c>
      <c r="Z162" s="385">
        <f t="shared" si="59"/>
        <v>28.380197631068135</v>
      </c>
      <c r="AA162" s="386">
        <f t="shared" si="60"/>
        <v>28.956541341378784</v>
      </c>
      <c r="AB162" s="197">
        <f t="shared" si="61"/>
        <v>43613</v>
      </c>
      <c r="AC162" s="426">
        <f>IF(OR(t&lt;Tnet,NoTnet),'2018'!Resal_s+('2018'!Salim-'2018'!Resal_s)*(1-EXP(('2018'!Tnet_s-t)/'2018'!Tau_j)),Resal_s+(Salim-Resal_s)*(1-EXP((Tnet_s-t)/Tau_j)))*Salcycl</f>
        <v>1.9903748293552466E-2</v>
      </c>
      <c r="AD162" s="231">
        <f>(INDEX(Models!$BJ162:$BT162,,AH162)*(1-AF162)+INDEX(Models!$BJ162:$BT162,,AH162+1)*AF162-ERP_i)*AE162*Ramure*Pc/MaxiM</f>
        <v>3.4776446005135595E-5</v>
      </c>
      <c r="AE162" s="305">
        <f t="shared" si="62"/>
        <v>0.5</v>
      </c>
      <c r="AF162" s="177">
        <f t="shared" si="63"/>
        <v>0.68177498747959797</v>
      </c>
      <c r="AG162" s="176">
        <f t="shared" si="64"/>
        <v>-2</v>
      </c>
      <c r="AH162" s="176">
        <f t="shared" si="65"/>
        <v>4</v>
      </c>
      <c r="AI162" s="225">
        <f t="shared" si="66"/>
        <v>-1.318225012520402</v>
      </c>
      <c r="AJ162" s="265" t="b">
        <f t="shared" si="67"/>
        <v>0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7">
        <v>37.738</v>
      </c>
      <c r="C163" s="390"/>
      <c r="D163" s="393">
        <f t="shared" si="48"/>
        <v>38.032575427871848</v>
      </c>
      <c r="E163" s="385">
        <f t="shared" si="70"/>
        <v>38.807370760997593</v>
      </c>
      <c r="F163" s="385">
        <f t="shared" si="49"/>
        <v>38.807928819525117</v>
      </c>
      <c r="G163" s="110">
        <f t="shared" si="71"/>
        <v>0.60877269230218334</v>
      </c>
      <c r="H163" s="414" t="b">
        <f>Wh_hp&gt;='2018'!Maxi_hp</f>
        <v>1</v>
      </c>
      <c r="I163" s="390">
        <f>IF(H163,Wh_hp,'2018'!Maxi_hp)</f>
        <v>38.807928819525117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7.7453452614721918E-3</v>
      </c>
      <c r="M163" s="845"/>
      <c r="N163" s="845"/>
      <c r="O163" s="48">
        <f>IF(t&lt;Tnet,'2018'!Resal+('2018'!Salim-'2018'!Resal)*(1-EXP(('2018'!Tnet-t)/('2018'!Tau_j))),Resal+(Salim-Resal)*(1-EXP((Tnet-t)/(Tau_j))))*Salcycl</f>
        <v>1.9965159141995637E-2</v>
      </c>
      <c r="P163" s="169">
        <f>(INDEX(Models!$BJ163:$BT163,,T163)*(1-R163)+INDEX(Models!$BJ163:$BT163,,T163+1)*R163-ERP_i)*Q163*Ramure*Pc/MaxiM</f>
        <v>3.2598891996584365E-5</v>
      </c>
      <c r="Q163" s="305">
        <f t="shared" si="51"/>
        <v>0.5</v>
      </c>
      <c r="R163" s="177">
        <f t="shared" si="52"/>
        <v>0.68659560231081995</v>
      </c>
      <c r="S163" s="811">
        <f t="shared" si="53"/>
        <v>-2</v>
      </c>
      <c r="T163" s="176">
        <f t="shared" si="54"/>
        <v>4</v>
      </c>
      <c r="U163" s="251">
        <f t="shared" si="55"/>
        <v>-1.31340439768918</v>
      </c>
      <c r="V163" s="383">
        <f t="shared" si="56"/>
        <v>61.989167587910977</v>
      </c>
      <c r="W163" s="58"/>
      <c r="X163" s="157">
        <f t="shared" si="57"/>
        <v>43614</v>
      </c>
      <c r="Y163" s="385">
        <f t="shared" si="58"/>
        <v>37.738</v>
      </c>
      <c r="Z163" s="385">
        <f t="shared" si="59"/>
        <v>38.032575427871848</v>
      </c>
      <c r="AA163" s="386">
        <f t="shared" si="60"/>
        <v>38.807370760997593</v>
      </c>
      <c r="AB163" s="197">
        <f t="shared" si="61"/>
        <v>43614</v>
      </c>
      <c r="AC163" s="426">
        <f>IF(OR(t&lt;Tnet,NoTnet),'2018'!Resal_s+('2018'!Salim-'2018'!Resal_s)*(1-EXP(('2018'!Tnet_s-t)/'2018'!Tau_j)),Resal_s+(Salim-Resal_s)*(1-EXP((Tnet_s-t)/Tau_j)))*Salcycl</f>
        <v>1.9965159141995637E-2</v>
      </c>
      <c r="AD163" s="231">
        <f>(INDEX(Models!$BJ163:$BT163,,AH163)*(1-AF163)+INDEX(Models!$BJ163:$BT163,,AH163+1)*AF163-ERP_i)*AE163*Ramure*Pc/MaxiM</f>
        <v>3.2598891996584365E-5</v>
      </c>
      <c r="AE163" s="305">
        <f t="shared" si="62"/>
        <v>0.5</v>
      </c>
      <c r="AF163" s="177">
        <f t="shared" si="63"/>
        <v>0.68659560231081995</v>
      </c>
      <c r="AG163" s="176">
        <f t="shared" si="64"/>
        <v>-2</v>
      </c>
      <c r="AH163" s="176">
        <f t="shared" si="65"/>
        <v>4</v>
      </c>
      <c r="AI163" s="225">
        <f t="shared" si="66"/>
        <v>-1.31340439768918</v>
      </c>
      <c r="AJ163" s="265" t="b">
        <f t="shared" si="67"/>
        <v>0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7">
        <v>55.640999999999998</v>
      </c>
      <c r="C164" s="390"/>
      <c r="D164" s="393">
        <f t="shared" si="48"/>
        <v>56.07655095561546</v>
      </c>
      <c r="E164" s="385">
        <f t="shared" si="70"/>
        <v>57.222518814538006</v>
      </c>
      <c r="F164" s="385">
        <f t="shared" si="49"/>
        <v>57.223999787813696</v>
      </c>
      <c r="G164" s="110">
        <f t="shared" si="71"/>
        <v>0.89748050753229636</v>
      </c>
      <c r="H164" s="414" t="b">
        <f>Wh_hp&gt;='2018'!Maxi_hp</f>
        <v>1</v>
      </c>
      <c r="I164" s="390">
        <f>IF(H164,Wh_hp,'2018'!Maxi_hp)</f>
        <v>57.223999787813696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7.7670781849653592E-3</v>
      </c>
      <c r="M164" s="845"/>
      <c r="N164" s="845"/>
      <c r="O164" s="48">
        <f>IF(t&lt;Tnet,'2018'!Resal+('2018'!Salim-'2018'!Resal)*(1-EXP(('2018'!Tnet-t)/('2018'!Tau_j))),Resal+(Salim-Resal)*(1-EXP((Tnet-t)/(Tau_j))))*Salcycl</f>
        <v>2.0026518976501286E-2</v>
      </c>
      <c r="P164" s="169">
        <f>(INDEX(Models!$BJ164:$BT164,,T164)*(1-R164)+INDEX(Models!$BJ164:$BT164,,T164+1)*R164-ERP_i)*Q164*Ramure*Pc/MaxiM</f>
        <v>3.0320783063943699E-5</v>
      </c>
      <c r="Q164" s="305">
        <f t="shared" si="51"/>
        <v>0.5</v>
      </c>
      <c r="R164" s="177">
        <f t="shared" si="52"/>
        <v>0.69146433125090745</v>
      </c>
      <c r="S164" s="811">
        <f t="shared" si="53"/>
        <v>-2</v>
      </c>
      <c r="T164" s="176">
        <f t="shared" si="54"/>
        <v>4</v>
      </c>
      <c r="U164" s="251">
        <f t="shared" si="55"/>
        <v>-1.3085356687490926</v>
      </c>
      <c r="V164" s="383">
        <f t="shared" si="56"/>
        <v>61.996614358453776</v>
      </c>
      <c r="W164" s="58"/>
      <c r="X164" s="157">
        <f t="shared" si="57"/>
        <v>43615</v>
      </c>
      <c r="Y164" s="385">
        <f t="shared" si="58"/>
        <v>55.640999999999998</v>
      </c>
      <c r="Z164" s="385">
        <f t="shared" si="59"/>
        <v>56.07655095561546</v>
      </c>
      <c r="AA164" s="386">
        <f t="shared" si="60"/>
        <v>57.222518814538006</v>
      </c>
      <c r="AB164" s="197">
        <f t="shared" si="61"/>
        <v>43615</v>
      </c>
      <c r="AC164" s="426">
        <f>IF(OR(t&lt;Tnet,NoTnet),'2018'!Resal_s+('2018'!Salim-'2018'!Resal_s)*(1-EXP(('2018'!Tnet_s-t)/'2018'!Tau_j)),Resal_s+(Salim-Resal_s)*(1-EXP((Tnet_s-t)/Tau_j)))*Salcycl</f>
        <v>2.0026518976501286E-2</v>
      </c>
      <c r="AD164" s="231">
        <f>(INDEX(Models!$BJ164:$BT164,,AH164)*(1-AF164)+INDEX(Models!$BJ164:$BT164,,AH164+1)*AF164-ERP_i)*AE164*Ramure*Pc/MaxiM</f>
        <v>3.0320783063943699E-5</v>
      </c>
      <c r="AE164" s="305">
        <f t="shared" si="62"/>
        <v>0.5</v>
      </c>
      <c r="AF164" s="177">
        <f t="shared" si="63"/>
        <v>0.69146433125090745</v>
      </c>
      <c r="AG164" s="176">
        <f t="shared" si="64"/>
        <v>-2</v>
      </c>
      <c r="AH164" s="176">
        <f t="shared" si="65"/>
        <v>4</v>
      </c>
      <c r="AI164" s="225">
        <f t="shared" si="66"/>
        <v>-1.3085356687490926</v>
      </c>
      <c r="AJ164" s="265" t="b">
        <f t="shared" si="67"/>
        <v>0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7">
        <v>61.375</v>
      </c>
      <c r="C165" s="390"/>
      <c r="D165" s="393">
        <f t="shared" si="48"/>
        <v>61.856790830106888</v>
      </c>
      <c r="E165" s="385">
        <f t="shared" si="70"/>
        <v>63.124830435561265</v>
      </c>
      <c r="F165" s="385">
        <f t="shared" si="49"/>
        <v>63.126585406149495</v>
      </c>
      <c r="G165" s="110">
        <f t="shared" si="71"/>
        <v>0.98990423308055853</v>
      </c>
      <c r="H165" s="414" t="b">
        <f>Wh_hp&gt;='2018'!Maxi_hp</f>
        <v>1</v>
      </c>
      <c r="I165" s="390">
        <f>IF(H165,Wh_hp,'2018'!Maxi_hp)</f>
        <v>63.126585406149495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7.788810632451848E-3</v>
      </c>
      <c r="M165" s="845"/>
      <c r="N165" s="845"/>
      <c r="O165" s="48">
        <f>IF(t&lt;Tnet,'2018'!Resal+('2018'!Salim-'2018'!Resal)*(1-EXP(('2018'!Tnet-t)/('2018'!Tau_j))),Resal+(Salim-Resal)*(1-EXP((Tnet-t)/(Tau_j))))*Salcycl</f>
        <v>2.0087810085269116E-2</v>
      </c>
      <c r="P165" s="169">
        <f>(INDEX(Models!$BJ165:$BT165,,T165)*(1-R165)+INDEX(Models!$BJ165:$BT165,,T165+1)*R165-ERP_i)*Q165*Ramure*Pc/MaxiM</f>
        <v>2.8207624966824402E-5</v>
      </c>
      <c r="Q165" s="305">
        <f t="shared" si="51"/>
        <v>0.5</v>
      </c>
      <c r="R165" s="177">
        <f t="shared" si="52"/>
        <v>0.69637772780053409</v>
      </c>
      <c r="S165" s="811">
        <f t="shared" si="53"/>
        <v>-2</v>
      </c>
      <c r="T165" s="176">
        <f t="shared" si="54"/>
        <v>4</v>
      </c>
      <c r="U165" s="251">
        <f t="shared" si="55"/>
        <v>-1.3036222721994659</v>
      </c>
      <c r="V165" s="383">
        <f t="shared" si="56"/>
        <v>62.000921887575551</v>
      </c>
      <c r="W165" s="58"/>
      <c r="X165" s="157">
        <f t="shared" si="57"/>
        <v>43616</v>
      </c>
      <c r="Y165" s="385">
        <f t="shared" si="58"/>
        <v>61.375</v>
      </c>
      <c r="Z165" s="385">
        <f t="shared" si="59"/>
        <v>61.856790830106888</v>
      </c>
      <c r="AA165" s="386">
        <f t="shared" si="60"/>
        <v>63.124830435561265</v>
      </c>
      <c r="AB165" s="197">
        <f t="shared" si="61"/>
        <v>43616</v>
      </c>
      <c r="AC165" s="426">
        <f>IF(OR(t&lt;Tnet,NoTnet),'2018'!Resal_s+('2018'!Salim-'2018'!Resal_s)*(1-EXP(('2018'!Tnet_s-t)/'2018'!Tau_j)),Resal_s+(Salim-Resal_s)*(1-EXP((Tnet_s-t)/Tau_j)))*Salcycl</f>
        <v>2.0087810085269116E-2</v>
      </c>
      <c r="AD165" s="231">
        <f>(INDEX(Models!$BJ165:$BT165,,AH165)*(1-AF165)+INDEX(Models!$BJ165:$BT165,,AH165+1)*AF165-ERP_i)*AE165*Ramure*Pc/MaxiM</f>
        <v>2.8207624966824402E-5</v>
      </c>
      <c r="AE165" s="305">
        <f t="shared" si="62"/>
        <v>0.5</v>
      </c>
      <c r="AF165" s="177">
        <f t="shared" si="63"/>
        <v>0.69637772780053409</v>
      </c>
      <c r="AG165" s="176">
        <f t="shared" si="64"/>
        <v>-2</v>
      </c>
      <c r="AH165" s="176">
        <f t="shared" si="65"/>
        <v>4</v>
      </c>
      <c r="AI165" s="225">
        <f t="shared" si="66"/>
        <v>-1.3036222721994659</v>
      </c>
      <c r="AJ165" s="265" t="b">
        <f t="shared" si="67"/>
        <v>0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7">
        <v>62.927999999999997</v>
      </c>
      <c r="C166" s="390"/>
      <c r="D166" s="393">
        <f t="shared" si="48"/>
        <v>63.42337094081887</v>
      </c>
      <c r="E166" s="385">
        <f t="shared" si="70"/>
        <v>64.727567653228078</v>
      </c>
      <c r="F166" s="385">
        <f t="shared" si="49"/>
        <v>64.729267905613341</v>
      </c>
      <c r="G166" s="110">
        <f t="shared" si="71"/>
        <v>1.0149352112957413</v>
      </c>
      <c r="H166" s="414" t="b">
        <f>Wh_hp&gt;='2018'!Maxi_hp</f>
        <v>1</v>
      </c>
      <c r="I166" s="390">
        <f>IF(H166,Wh_hp,'2018'!Maxi_hp)</f>
        <v>64.729267905613341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7.8105426039418724E-3</v>
      </c>
      <c r="M166" s="845"/>
      <c r="N166" s="845"/>
      <c r="O166" s="48">
        <f>IF(t&lt;Tnet,'2018'!Resal+('2018'!Salim-'2018'!Resal)*(1-EXP(('2018'!Tnet-t)/('2018'!Tau_j))),Resal+(Salim-Resal)*(1-EXP((Tnet-t)/(Tau_j))))*Salcycl</f>
        <v>2.0149014704157045E-2</v>
      </c>
      <c r="P166" s="169">
        <f>(INDEX(Models!$BJ166:$BT166,,T166)*(1-R166)+INDEX(Models!$BJ166:$BT166,,T166+1)*R166-ERP_i)*Q166*Ramure*Pc/MaxiM</f>
        <v>2.6267134486208639E-5</v>
      </c>
      <c r="Q166" s="305">
        <f t="shared" si="51"/>
        <v>0.5</v>
      </c>
      <c r="R166" s="177">
        <f t="shared" si="52"/>
        <v>0.70133220587761635</v>
      </c>
      <c r="S166" s="811">
        <f t="shared" si="53"/>
        <v>-2</v>
      </c>
      <c r="T166" s="176">
        <f t="shared" si="54"/>
        <v>4</v>
      </c>
      <c r="U166" s="251">
        <f t="shared" si="55"/>
        <v>-1.2986677941223836</v>
      </c>
      <c r="V166" s="383">
        <f t="shared" si="56"/>
        <v>62.001987220111758</v>
      </c>
      <c r="W166" s="58"/>
      <c r="X166" s="157">
        <f t="shared" si="57"/>
        <v>43617</v>
      </c>
      <c r="Y166" s="385">
        <f t="shared" si="58"/>
        <v>62.92799999999999</v>
      </c>
      <c r="Z166" s="385">
        <f t="shared" si="59"/>
        <v>63.423370940818863</v>
      </c>
      <c r="AA166" s="386">
        <f t="shared" si="60"/>
        <v>64.727567653228078</v>
      </c>
      <c r="AB166" s="197">
        <f t="shared" si="61"/>
        <v>43617</v>
      </c>
      <c r="AC166" s="426">
        <f>IF(OR(t&lt;Tnet,NoTnet),'2018'!Resal_s+('2018'!Salim-'2018'!Resal_s)*(1-EXP(('2018'!Tnet_s-t)/'2018'!Tau_j)),Resal_s+(Salim-Resal_s)*(1-EXP((Tnet_s-t)/Tau_j)))*Salcycl</f>
        <v>2.0149014704157045E-2</v>
      </c>
      <c r="AD166" s="231">
        <f>(INDEX(Models!$BJ166:$BT166,,AH166)*(1-AF166)+INDEX(Models!$BJ166:$BT166,,AH166+1)*AF166-ERP_i)*AE166*Ramure*Pc/MaxiM</f>
        <v>2.6267134486208639E-5</v>
      </c>
      <c r="AE166" s="305">
        <f t="shared" si="62"/>
        <v>0.5</v>
      </c>
      <c r="AF166" s="177">
        <f t="shared" si="63"/>
        <v>0.70133220587761635</v>
      </c>
      <c r="AG166" s="176">
        <f t="shared" si="64"/>
        <v>-2</v>
      </c>
      <c r="AH166" s="176">
        <f t="shared" si="65"/>
        <v>4</v>
      </c>
      <c r="AI166" s="225">
        <f t="shared" si="66"/>
        <v>-1.2986677941223836</v>
      </c>
      <c r="AJ166" s="265" t="b">
        <f t="shared" si="67"/>
        <v>0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7">
        <v>61.960999999999999</v>
      </c>
      <c r="C167" s="390"/>
      <c r="D167" s="393">
        <f t="shared" si="48"/>
        <v>62.450126508358537</v>
      </c>
      <c r="E167" s="385">
        <f t="shared" si="70"/>
        <v>63.738284574745421</v>
      </c>
      <c r="F167" s="385">
        <f t="shared" si="49"/>
        <v>63.739845271535835</v>
      </c>
      <c r="G167" s="110">
        <f t="shared" si="71"/>
        <v>0.9993756619590034</v>
      </c>
      <c r="H167" s="414" t="b">
        <f>Wh_hp&gt;='2018'!Maxi_hp</f>
        <v>1</v>
      </c>
      <c r="I167" s="390">
        <f>IF(H167,Wh_hp,'2018'!Maxi_hp)</f>
        <v>63.739845271535835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7.8322740994459794E-3</v>
      </c>
      <c r="M167" s="845"/>
      <c r="N167" s="845"/>
      <c r="O167" s="48">
        <f>IF(t&lt;Tnet,'2018'!Resal+('2018'!Salim-'2018'!Resal)*(1-EXP(('2018'!Tnet-t)/('2018'!Tau_j))),Resal+(Salim-Resal)*(1-EXP((Tnet-t)/(Tau_j))))*Salcycl</f>
        <v>2.0210115082031622E-2</v>
      </c>
      <c r="P167" s="169">
        <f>(INDEX(Models!$BJ167:$BT167,,T167)*(1-R167)+INDEX(Models!$BJ167:$BT167,,T167+1)*R167-ERP_i)*Q167*Ramure*Pc/MaxiM</f>
        <v>2.4507276116130395E-5</v>
      </c>
      <c r="Q167" s="305">
        <f t="shared" si="51"/>
        <v>0.5</v>
      </c>
      <c r="R167" s="177">
        <f t="shared" si="52"/>
        <v>0.70632404929202908</v>
      </c>
      <c r="S167" s="811">
        <f t="shared" si="53"/>
        <v>-2</v>
      </c>
      <c r="T167" s="176">
        <f t="shared" si="54"/>
        <v>4</v>
      </c>
      <c r="U167" s="251">
        <f t="shared" si="55"/>
        <v>-1.2936759507079709</v>
      </c>
      <c r="V167" s="383">
        <f t="shared" si="56"/>
        <v>61.999707421524704</v>
      </c>
      <c r="W167" s="58"/>
      <c r="X167" s="157">
        <f t="shared" si="57"/>
        <v>43618</v>
      </c>
      <c r="Y167" s="385">
        <f t="shared" si="58"/>
        <v>61.960999999999999</v>
      </c>
      <c r="Z167" s="385">
        <f t="shared" si="59"/>
        <v>62.450126508358537</v>
      </c>
      <c r="AA167" s="386">
        <f t="shared" si="60"/>
        <v>63.738284574745421</v>
      </c>
      <c r="AB167" s="197">
        <f t="shared" si="61"/>
        <v>43618</v>
      </c>
      <c r="AC167" s="426">
        <f>IF(OR(t&lt;Tnet,NoTnet),'2018'!Resal_s+('2018'!Salim-'2018'!Resal_s)*(1-EXP(('2018'!Tnet_s-t)/'2018'!Tau_j)),Resal_s+(Salim-Resal_s)*(1-EXP((Tnet_s-t)/Tau_j)))*Salcycl</f>
        <v>2.0210115082031622E-2</v>
      </c>
      <c r="AD167" s="231">
        <f>(INDEX(Models!$BJ167:$BT167,,AH167)*(1-AF167)+INDEX(Models!$BJ167:$BT167,,AH167+1)*AF167-ERP_i)*AE167*Ramure*Pc/MaxiM</f>
        <v>2.4507276116130395E-5</v>
      </c>
      <c r="AE167" s="305">
        <f t="shared" si="62"/>
        <v>0.5</v>
      </c>
      <c r="AF167" s="177">
        <f t="shared" si="63"/>
        <v>0.70632404929202908</v>
      </c>
      <c r="AG167" s="176">
        <f t="shared" si="64"/>
        <v>-2</v>
      </c>
      <c r="AH167" s="176">
        <f t="shared" si="65"/>
        <v>4</v>
      </c>
      <c r="AI167" s="225">
        <f t="shared" si="66"/>
        <v>-1.2936759507079709</v>
      </c>
      <c r="AJ167" s="265" t="b">
        <f t="shared" si="67"/>
        <v>0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7">
        <v>46.795000000000002</v>
      </c>
      <c r="C168" s="390"/>
      <c r="D168" s="393">
        <f t="shared" si="48"/>
        <v>47.165437588256843</v>
      </c>
      <c r="E168" s="385">
        <f t="shared" si="70"/>
        <v>48.141314681663125</v>
      </c>
      <c r="F168" s="385">
        <f t="shared" si="49"/>
        <v>48.142032143987791</v>
      </c>
      <c r="G168" s="110">
        <f t="shared" si="71"/>
        <v>0.7548252975933345</v>
      </c>
      <c r="H168" s="414" t="b">
        <f>Wh_hp&gt;='2018'!Maxi_hp</f>
        <v>1</v>
      </c>
      <c r="I168" s="390">
        <f>IF(H168,Wh_hp,'2018'!Maxi_hp)</f>
        <v>48.142032143987791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7.8540051189744942E-3</v>
      </c>
      <c r="M168" s="845"/>
      <c r="N168" s="845"/>
      <c r="O168" s="48">
        <f>IF(t&lt;Tnet,'2018'!Resal+('2018'!Salim-'2018'!Resal)*(1-EXP(('2018'!Tnet-t)/('2018'!Tau_j))),Resal+(Salim-Resal)*(1-EXP((Tnet-t)/(Tau_j))))*Salcycl</f>
        <v>2.0271093547389013E-2</v>
      </c>
      <c r="P168" s="169">
        <f>(INDEX(Models!$BJ168:$BT168,,T168)*(1-R168)+INDEX(Models!$BJ168:$BT168,,T168+1)*R168-ERP_i)*Q168*Ramure*Pc/MaxiM</f>
        <v>2.2936245024163846E-5</v>
      </c>
      <c r="Q168" s="305">
        <f t="shared" si="51"/>
        <v>0.5</v>
      </c>
      <c r="R168" s="177">
        <f t="shared" si="52"/>
        <v>0.71134942207430085</v>
      </c>
      <c r="S168" s="811">
        <f t="shared" si="53"/>
        <v>-2</v>
      </c>
      <c r="T168" s="176">
        <f t="shared" si="54"/>
        <v>4</v>
      </c>
      <c r="U168" s="251">
        <f t="shared" si="55"/>
        <v>-1.2886505779256991</v>
      </c>
      <c r="V168" s="383">
        <f t="shared" si="56"/>
        <v>61.993979573114238</v>
      </c>
      <c r="W168" s="58"/>
      <c r="X168" s="157">
        <f t="shared" si="57"/>
        <v>43619</v>
      </c>
      <c r="Y168" s="385">
        <f t="shared" si="58"/>
        <v>46.795000000000002</v>
      </c>
      <c r="Z168" s="385">
        <f t="shared" si="59"/>
        <v>47.165437588256843</v>
      </c>
      <c r="AA168" s="386">
        <f t="shared" si="60"/>
        <v>48.141314681663125</v>
      </c>
      <c r="AB168" s="197">
        <f t="shared" si="61"/>
        <v>43619</v>
      </c>
      <c r="AC168" s="426">
        <f>IF(OR(t&lt;Tnet,NoTnet),'2018'!Resal_s+('2018'!Salim-'2018'!Resal_s)*(1-EXP(('2018'!Tnet_s-t)/'2018'!Tau_j)),Resal_s+(Salim-Resal_s)*(1-EXP((Tnet_s-t)/Tau_j)))*Salcycl</f>
        <v>2.0271093547389013E-2</v>
      </c>
      <c r="AD168" s="231">
        <f>(INDEX(Models!$BJ168:$BT168,,AH168)*(1-AF168)+INDEX(Models!$BJ168:$BT168,,AH168+1)*AF168-ERP_i)*AE168*Ramure*Pc/MaxiM</f>
        <v>2.2936245024163846E-5</v>
      </c>
      <c r="AE168" s="305">
        <f t="shared" si="62"/>
        <v>0.5</v>
      </c>
      <c r="AF168" s="177">
        <f t="shared" si="63"/>
        <v>0.71134942207430085</v>
      </c>
      <c r="AG168" s="176">
        <f t="shared" si="64"/>
        <v>-2</v>
      </c>
      <c r="AH168" s="176">
        <f t="shared" si="65"/>
        <v>4</v>
      </c>
      <c r="AI168" s="225">
        <f t="shared" si="66"/>
        <v>-1.2886505779256991</v>
      </c>
      <c r="AJ168" s="265" t="b">
        <f t="shared" si="67"/>
        <v>0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7">
        <v>58.271000000000001</v>
      </c>
      <c r="C169" s="390"/>
      <c r="D169" s="393">
        <f t="shared" si="48"/>
        <v>58.733570072407431</v>
      </c>
      <c r="E169" s="385">
        <f t="shared" si="70"/>
        <v>59.952520680637754</v>
      </c>
      <c r="F169" s="385">
        <f t="shared" si="49"/>
        <v>59.953702782585943</v>
      </c>
      <c r="G169" s="110">
        <f t="shared" si="71"/>
        <v>0.94008508118180589</v>
      </c>
      <c r="H169" s="414" t="b">
        <f>Wh_hp&gt;='2018'!Maxi_hp</f>
        <v>1</v>
      </c>
      <c r="I169" s="390">
        <f>IF(H169,Wh_hp,'2018'!Maxi_hp)</f>
        <v>59.953702782585943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7.8757356625379638E-3</v>
      </c>
      <c r="M169" s="845"/>
      <c r="N169" s="845"/>
      <c r="O169" s="48">
        <f>IF(t&lt;Tnet,'2018'!Resal+('2018'!Salim-'2018'!Resal)*(1-EXP(('2018'!Tnet-t)/('2018'!Tau_j))),Resal+(Salim-Resal)*(1-EXP((Tnet-t)/(Tau_j))))*Salcycl</f>
        <v>2.0331932575838988E-2</v>
      </c>
      <c r="P169" s="169">
        <f>(INDEX(Models!$BJ169:$BT169,,T169)*(1-R169)+INDEX(Models!$BJ169:$BT169,,T169+1)*R169-ERP_i)*Q169*Ramure*Pc/MaxiM</f>
        <v>2.1562448758154112E-5</v>
      </c>
      <c r="Q169" s="305">
        <f t="shared" si="51"/>
        <v>0.5</v>
      </c>
      <c r="R169" s="177">
        <f t="shared" si="52"/>
        <v>0.71640437960396075</v>
      </c>
      <c r="S169" s="811">
        <f t="shared" si="53"/>
        <v>-2</v>
      </c>
      <c r="T169" s="176">
        <f t="shared" si="54"/>
        <v>4</v>
      </c>
      <c r="U169" s="251">
        <f t="shared" si="55"/>
        <v>-1.2835956203960392</v>
      </c>
      <c r="V169" s="383">
        <f t="shared" si="56"/>
        <v>61.984700771357574</v>
      </c>
      <c r="W169" s="58"/>
      <c r="X169" s="157">
        <f t="shared" si="57"/>
        <v>43620</v>
      </c>
      <c r="Y169" s="385">
        <f t="shared" si="58"/>
        <v>58.271000000000001</v>
      </c>
      <c r="Z169" s="385">
        <f t="shared" si="59"/>
        <v>58.733570072407431</v>
      </c>
      <c r="AA169" s="386">
        <f t="shared" si="60"/>
        <v>59.952520680637754</v>
      </c>
      <c r="AB169" s="197">
        <f t="shared" si="61"/>
        <v>43620</v>
      </c>
      <c r="AC169" s="426">
        <f>IF(OR(t&lt;Tnet,NoTnet),'2018'!Resal_s+('2018'!Salim-'2018'!Resal_s)*(1-EXP(('2018'!Tnet_s-t)/'2018'!Tau_j)),Resal_s+(Salim-Resal_s)*(1-EXP((Tnet_s-t)/Tau_j)))*Salcycl</f>
        <v>2.0331932575838988E-2</v>
      </c>
      <c r="AD169" s="231">
        <f>(INDEX(Models!$BJ169:$BT169,,AH169)*(1-AF169)+INDEX(Models!$BJ169:$BT169,,AH169+1)*AF169-ERP_i)*AE169*Ramure*Pc/MaxiM</f>
        <v>2.1562448758154112E-5</v>
      </c>
      <c r="AE169" s="305">
        <f t="shared" si="62"/>
        <v>0.5</v>
      </c>
      <c r="AF169" s="177">
        <f t="shared" si="63"/>
        <v>0.71640437960396075</v>
      </c>
      <c r="AG169" s="176">
        <f t="shared" si="64"/>
        <v>-2</v>
      </c>
      <c r="AH169" s="176">
        <f t="shared" si="65"/>
        <v>4</v>
      </c>
      <c r="AI169" s="225">
        <f t="shared" si="66"/>
        <v>-1.2835956203960392</v>
      </c>
      <c r="AJ169" s="265" t="b">
        <f t="shared" si="67"/>
        <v>0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7">
        <v>11.000999999999999</v>
      </c>
      <c r="C170" s="390"/>
      <c r="D170" s="393">
        <f t="shared" si="48"/>
        <v>11.088571614320372</v>
      </c>
      <c r="E170" s="385">
        <f t="shared" ref="E170:E232" si="73">Wh_pvt/(1-Psa)</f>
        <v>11.319403857611103</v>
      </c>
      <c r="F170" s="385">
        <f t="shared" si="49"/>
        <v>11.319403857611103</v>
      </c>
      <c r="G170" s="110">
        <f t="shared" ref="G170:G232" si="74">+Wh_hp/MaxiM</f>
        <v>0.17751269608491077</v>
      </c>
      <c r="H170" s="414" t="b">
        <f>Wh_hp&gt;='2018'!Maxi_hp</f>
        <v>1</v>
      </c>
      <c r="I170" s="390">
        <f>IF(H170,Wh_hp,'2018'!Maxi_hp)</f>
        <v>11.319403857611103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7.8974657301467133E-3</v>
      </c>
      <c r="M170" s="845"/>
      <c r="N170" s="845"/>
      <c r="O170" s="48">
        <f>IF(t&lt;Tnet,'2018'!Resal+('2018'!Salim-'2018'!Resal)*(1-EXP(('2018'!Tnet-t)/('2018'!Tau_j))),Resal+(Salim-Resal)*(1-EXP((Tnet-t)/(Tau_j))))*Salcycl</f>
        <v>2.0392614858027219E-2</v>
      </c>
      <c r="P170" s="169">
        <f>(INDEX(Models!$BJ170:$BT170,,T170)*(1-R170)+INDEX(Models!$BJ170:$BT170,,T170+1)*R170-ERP_i)*Q170*Ramure*Pc/MaxiM</f>
        <v>2.0412011792723672E-5</v>
      </c>
      <c r="Q170" s="305">
        <f t="shared" si="51"/>
        <v>0.5</v>
      </c>
      <c r="R170" s="177">
        <f t="shared" si="52"/>
        <v>0.72148488047423265</v>
      </c>
      <c r="S170" s="811">
        <f t="shared" si="53"/>
        <v>-2</v>
      </c>
      <c r="T170" s="176">
        <f t="shared" si="54"/>
        <v>4</v>
      </c>
      <c r="U170" s="251">
        <f t="shared" si="55"/>
        <v>-1.2785151195257674</v>
      </c>
      <c r="V170" s="383">
        <f t="shared" si="56"/>
        <v>61.971767034602394</v>
      </c>
      <c r="W170" s="58"/>
      <c r="X170" s="157">
        <f t="shared" si="57"/>
        <v>43621</v>
      </c>
      <c r="Y170" s="385">
        <f t="shared" si="58"/>
        <v>11.000999999999999</v>
      </c>
      <c r="Z170" s="385">
        <f t="shared" si="59"/>
        <v>11.088571614320372</v>
      </c>
      <c r="AA170" s="386">
        <f t="shared" si="60"/>
        <v>11.319403857611103</v>
      </c>
      <c r="AB170" s="197">
        <f t="shared" si="61"/>
        <v>43621</v>
      </c>
      <c r="AC170" s="426">
        <f>IF(OR(t&lt;Tnet,NoTnet),'2018'!Resal_s+('2018'!Salim-'2018'!Resal_s)*(1-EXP(('2018'!Tnet_s-t)/'2018'!Tau_j)),Resal_s+(Salim-Resal_s)*(1-EXP((Tnet_s-t)/Tau_j)))*Salcycl</f>
        <v>2.0392614858027219E-2</v>
      </c>
      <c r="AD170" s="231">
        <f>(INDEX(Models!$BJ170:$BT170,,AH170)*(1-AF170)+INDEX(Models!$BJ170:$BT170,,AH170+1)*AF170-ERP_i)*AE170*Ramure*Pc/MaxiM</f>
        <v>2.0412011792723672E-5</v>
      </c>
      <c r="AE170" s="305">
        <f t="shared" si="62"/>
        <v>0.5</v>
      </c>
      <c r="AF170" s="177">
        <f t="shared" si="63"/>
        <v>0.72148488047423265</v>
      </c>
      <c r="AG170" s="176">
        <f t="shared" si="64"/>
        <v>-2</v>
      </c>
      <c r="AH170" s="176">
        <f t="shared" si="65"/>
        <v>4</v>
      </c>
      <c r="AI170" s="225">
        <f t="shared" si="66"/>
        <v>-1.2785151195257674</v>
      </c>
      <c r="AJ170" s="265" t="b">
        <f t="shared" si="67"/>
        <v>0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7">
        <v>60.584000000000003</v>
      </c>
      <c r="C171" s="390"/>
      <c r="D171" s="393">
        <f t="shared" si="48"/>
        <v>61.067606302142138</v>
      </c>
      <c r="E171" s="385">
        <f t="shared" si="73"/>
        <v>62.34270942916465</v>
      </c>
      <c r="F171" s="385">
        <f t="shared" si="49"/>
        <v>62.343880742671914</v>
      </c>
      <c r="G171" s="110">
        <f t="shared" si="74"/>
        <v>0.97786915400565155</v>
      </c>
      <c r="H171" s="414" t="b">
        <f>Wh_hp&gt;='2018'!Maxi_hp</f>
        <v>1</v>
      </c>
      <c r="I171" s="390">
        <f>IF(H171,Wh_hp,'2018'!Maxi_hp)</f>
        <v>62.343880742671914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7.9191953218112898E-3</v>
      </c>
      <c r="M171" s="845"/>
      <c r="N171" s="845"/>
      <c r="O171" s="48">
        <f>IF(t&lt;Tnet,'2018'!Resal+('2018'!Salim-'2018'!Resal)*(1-EXP(('2018'!Tnet-t)/('2018'!Tau_j))),Resal+(Salim-Resal)*(1-EXP((Tnet-t)/(Tau_j))))*Salcycl</f>
        <v>2.0453123367557755E-2</v>
      </c>
      <c r="P171" s="169">
        <f>(INDEX(Models!$BJ171:$BT171,,T171)*(1-R171)+INDEX(Models!$BJ171:$BT171,,T171+1)*R171-ERP_i)*Q171*Ramure*Pc/MaxiM</f>
        <v>1.9401312129132656E-5</v>
      </c>
      <c r="Q171" s="305">
        <f t="shared" si="51"/>
        <v>0.5</v>
      </c>
      <c r="R171" s="177">
        <f t="shared" si="52"/>
        <v>0.72658679902137258</v>
      </c>
      <c r="S171" s="811">
        <f t="shared" si="53"/>
        <v>-2</v>
      </c>
      <c r="T171" s="176">
        <f t="shared" si="54"/>
        <v>4</v>
      </c>
      <c r="U171" s="251">
        <f t="shared" si="55"/>
        <v>-1.2734132009786274</v>
      </c>
      <c r="V171" s="383">
        <f t="shared" si="56"/>
        <v>61.955081199768934</v>
      </c>
      <c r="W171" s="58"/>
      <c r="X171" s="157">
        <f t="shared" si="57"/>
        <v>43622</v>
      </c>
      <c r="Y171" s="385">
        <f t="shared" si="58"/>
        <v>60.584000000000003</v>
      </c>
      <c r="Z171" s="385">
        <f t="shared" si="59"/>
        <v>61.067606302142138</v>
      </c>
      <c r="AA171" s="386">
        <f t="shared" si="60"/>
        <v>62.34270942916465</v>
      </c>
      <c r="AB171" s="197">
        <f t="shared" si="61"/>
        <v>43622</v>
      </c>
      <c r="AC171" s="426">
        <f>IF(OR(t&lt;Tnet,NoTnet),'2018'!Resal_s+('2018'!Salim-'2018'!Resal_s)*(1-EXP(('2018'!Tnet_s-t)/'2018'!Tau_j)),Resal_s+(Salim-Resal_s)*(1-EXP((Tnet_s-t)/Tau_j)))*Salcycl</f>
        <v>2.0453123367557755E-2</v>
      </c>
      <c r="AD171" s="231">
        <f>(INDEX(Models!$BJ171:$BT171,,AH171)*(1-AF171)+INDEX(Models!$BJ171:$BT171,,AH171+1)*AF171-ERP_i)*AE171*Ramure*Pc/MaxiM</f>
        <v>1.9401312129132656E-5</v>
      </c>
      <c r="AE171" s="305">
        <f t="shared" si="62"/>
        <v>0.5</v>
      </c>
      <c r="AF171" s="177">
        <f t="shared" si="63"/>
        <v>0.72658679902137258</v>
      </c>
      <c r="AG171" s="176">
        <f t="shared" si="64"/>
        <v>-2</v>
      </c>
      <c r="AH171" s="176">
        <f t="shared" si="65"/>
        <v>4</v>
      </c>
      <c r="AI171" s="225">
        <f t="shared" si="66"/>
        <v>-1.2734132009786274</v>
      </c>
      <c r="AJ171" s="265" t="b">
        <f t="shared" si="67"/>
        <v>0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7">
        <v>21.207000000000001</v>
      </c>
      <c r="C172" s="390"/>
      <c r="D172" s="393">
        <f t="shared" si="48"/>
        <v>21.376751165727178</v>
      </c>
      <c r="E172" s="385">
        <f t="shared" si="73"/>
        <v>21.824445653345862</v>
      </c>
      <c r="F172" s="385">
        <f t="shared" si="49"/>
        <v>21.82447016313106</v>
      </c>
      <c r="G172" s="110">
        <f t="shared" si="74"/>
        <v>0.34240394009363134</v>
      </c>
      <c r="H172" s="414" t="b">
        <f>Wh_hp&gt;='2018'!Maxi_hp</f>
        <v>1</v>
      </c>
      <c r="I172" s="390">
        <f>IF(H172,Wh_hp,'2018'!Maxi_hp)</f>
        <v>21.82447016313106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7.9409244375420185E-3</v>
      </c>
      <c r="M172" s="845"/>
      <c r="N172" s="845"/>
      <c r="O172" s="48">
        <f>IF(t&lt;Tnet,'2018'!Resal+('2018'!Salim-'2018'!Resal)*(1-EXP(('2018'!Tnet-t)/('2018'!Tau_j))),Resal+(Salim-Resal)*(1-EXP((Tnet-t)/(Tau_j))))*Salcycl</f>
        <v>2.0513441428467508E-2</v>
      </c>
      <c r="P172" s="169">
        <f>(INDEX(Models!$BJ172:$BT172,,T172)*(1-R172)+INDEX(Models!$BJ172:$BT172,,T172+1)*R172-ERP_i)*Q172*Ramure*Pc/MaxiM</f>
        <v>1.8536449863683225E-5</v>
      </c>
      <c r="Q172" s="305">
        <f t="shared" si="51"/>
        <v>0.5</v>
      </c>
      <c r="R172" s="177">
        <f t="shared" si="52"/>
        <v>0.73170593843919862</v>
      </c>
      <c r="S172" s="811">
        <f t="shared" si="53"/>
        <v>-2</v>
      </c>
      <c r="T172" s="176">
        <f t="shared" si="54"/>
        <v>4</v>
      </c>
      <c r="U172" s="251">
        <f t="shared" si="55"/>
        <v>-1.2682940615608014</v>
      </c>
      <c r="V172" s="383">
        <f t="shared" si="56"/>
        <v>61.93454055357715</v>
      </c>
      <c r="W172" s="58"/>
      <c r="X172" s="157">
        <f t="shared" si="57"/>
        <v>43623</v>
      </c>
      <c r="Y172" s="385">
        <f t="shared" si="58"/>
        <v>21.207000000000001</v>
      </c>
      <c r="Z172" s="385">
        <f t="shared" si="59"/>
        <v>21.376751165727178</v>
      </c>
      <c r="AA172" s="386">
        <f t="shared" si="60"/>
        <v>21.824445653345862</v>
      </c>
      <c r="AB172" s="197">
        <f t="shared" si="61"/>
        <v>43623</v>
      </c>
      <c r="AC172" s="426">
        <f>IF(OR(t&lt;Tnet,NoTnet),'2018'!Resal_s+('2018'!Salim-'2018'!Resal_s)*(1-EXP(('2018'!Tnet_s-t)/'2018'!Tau_j)),Resal_s+(Salim-Resal_s)*(1-EXP((Tnet_s-t)/Tau_j)))*Salcycl</f>
        <v>2.0513441428467508E-2</v>
      </c>
      <c r="AD172" s="231">
        <f>(INDEX(Models!$BJ172:$BT172,,AH172)*(1-AF172)+INDEX(Models!$BJ172:$BT172,,AH172+1)*AF172-ERP_i)*AE172*Ramure*Pc/MaxiM</f>
        <v>1.8536449863683225E-5</v>
      </c>
      <c r="AE172" s="305">
        <f t="shared" si="62"/>
        <v>0.5</v>
      </c>
      <c r="AF172" s="177">
        <f t="shared" si="63"/>
        <v>0.73170593843919862</v>
      </c>
      <c r="AG172" s="176">
        <f t="shared" si="64"/>
        <v>-2</v>
      </c>
      <c r="AH172" s="176">
        <f t="shared" si="65"/>
        <v>4</v>
      </c>
      <c r="AI172" s="225">
        <f t="shared" si="66"/>
        <v>-1.2682940615608014</v>
      </c>
      <c r="AJ172" s="265" t="b">
        <f t="shared" si="67"/>
        <v>0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7">
        <v>62.639000000000003</v>
      </c>
      <c r="C173" s="390"/>
      <c r="D173" s="393">
        <f t="shared" si="48"/>
        <v>63.141776057433027</v>
      </c>
      <c r="E173" s="385">
        <f t="shared" si="73"/>
        <v>64.468114207830851</v>
      </c>
      <c r="F173" s="385">
        <f t="shared" si="49"/>
        <v>64.469263284236831</v>
      </c>
      <c r="G173" s="110">
        <f t="shared" si="74"/>
        <v>1.01177446484976</v>
      </c>
      <c r="H173" s="414" t="b">
        <f>Wh_hp&gt;='2018'!Maxi_hp</f>
        <v>1</v>
      </c>
      <c r="I173" s="390">
        <f>IF(H173,Wh_hp,'2018'!Maxi_hp)</f>
        <v>64.469263284236831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7.9626530773493354E-3</v>
      </c>
      <c r="M173" s="845"/>
      <c r="N173" s="845"/>
      <c r="O173" s="48">
        <f>IF(t&lt;Tnet,'2018'!Resal+('2018'!Salim-'2018'!Resal)*(1-EXP(('2018'!Tnet-t)/('2018'!Tau_j))),Resal+(Salim-Resal)*(1-EXP((Tnet-t)/(Tau_j))))*Salcycl</f>
        <v>2.0573552781798628E-2</v>
      </c>
      <c r="P173" s="169">
        <f>(INDEX(Models!$BJ173:$BT173,,T173)*(1-R173)+INDEX(Models!$BJ173:$BT173,,T173+1)*R173-ERP_i)*Q173*Ramure*Pc/MaxiM</f>
        <v>1.7823631719168253E-5</v>
      </c>
      <c r="Q173" s="305">
        <f t="shared" si="51"/>
        <v>0.5</v>
      </c>
      <c r="R173" s="177">
        <f t="shared" si="52"/>
        <v>0.73683804439246514</v>
      </c>
      <c r="S173" s="811">
        <f t="shared" si="53"/>
        <v>-2</v>
      </c>
      <c r="T173" s="176">
        <f t="shared" si="54"/>
        <v>4</v>
      </c>
      <c r="U173" s="251">
        <f t="shared" si="55"/>
        <v>-1.2631619556075349</v>
      </c>
      <c r="V173" s="383">
        <f t="shared" si="56"/>
        <v>61.91004238212453</v>
      </c>
      <c r="W173" s="58"/>
      <c r="X173" s="157">
        <f t="shared" si="57"/>
        <v>43624</v>
      </c>
      <c r="Y173" s="385">
        <f t="shared" si="58"/>
        <v>62.638999999999996</v>
      </c>
      <c r="Z173" s="385">
        <f t="shared" si="59"/>
        <v>63.14177605743302</v>
      </c>
      <c r="AA173" s="386">
        <f t="shared" si="60"/>
        <v>64.468114207830851</v>
      </c>
      <c r="AB173" s="197">
        <f t="shared" si="61"/>
        <v>43624</v>
      </c>
      <c r="AC173" s="426">
        <f>IF(OR(t&lt;Tnet,NoTnet),'2018'!Resal_s+('2018'!Salim-'2018'!Resal_s)*(1-EXP(('2018'!Tnet_s-t)/'2018'!Tau_j)),Resal_s+(Salim-Resal_s)*(1-EXP((Tnet_s-t)/Tau_j)))*Salcycl</f>
        <v>2.0573552781798628E-2</v>
      </c>
      <c r="AD173" s="231">
        <f>(INDEX(Models!$BJ173:$BT173,,AH173)*(1-AF173)+INDEX(Models!$BJ173:$BT173,,AH173+1)*AF173-ERP_i)*AE173*Ramure*Pc/MaxiM</f>
        <v>1.7823631719168253E-5</v>
      </c>
      <c r="AE173" s="305">
        <f t="shared" si="62"/>
        <v>0.5</v>
      </c>
      <c r="AF173" s="177">
        <f t="shared" si="63"/>
        <v>0.73683804439246514</v>
      </c>
      <c r="AG173" s="176">
        <f t="shared" si="64"/>
        <v>-2</v>
      </c>
      <c r="AH173" s="176">
        <f t="shared" si="65"/>
        <v>4</v>
      </c>
      <c r="AI173" s="225">
        <f t="shared" si="66"/>
        <v>-1.2631619556075349</v>
      </c>
      <c r="AJ173" s="265" t="b">
        <f t="shared" si="67"/>
        <v>0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7">
        <v>49.168999999999997</v>
      </c>
      <c r="C174" s="390"/>
      <c r="D174" s="393">
        <f t="shared" si="48"/>
        <v>49.564743810709274</v>
      </c>
      <c r="E174" s="385">
        <f t="shared" si="73"/>
        <v>50.608981272808826</v>
      </c>
      <c r="F174" s="385">
        <f t="shared" si="49"/>
        <v>50.609598764783627</v>
      </c>
      <c r="G174" s="110">
        <f t="shared" si="74"/>
        <v>0.79456321427926757</v>
      </c>
      <c r="H174" s="414" t="b">
        <f>Wh_hp&gt;='2018'!Maxi_hp</f>
        <v>1</v>
      </c>
      <c r="I174" s="390">
        <f>IF(H174,Wh_hp,'2018'!Maxi_hp)</f>
        <v>50.609598764783627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7.9843812412436765E-3</v>
      </c>
      <c r="M174" s="845"/>
      <c r="N174" s="845"/>
      <c r="O174" s="48">
        <f>IF(t&lt;Tnet,'2018'!Resal+('2018'!Salim-'2018'!Resal)*(1-EXP(('2018'!Tnet-t)/('2018'!Tau_j))),Resal+(Salim-Resal)*(1-EXP((Tnet-t)/(Tau_j))))*Salcycl</f>
        <v>2.0633441650812295E-2</v>
      </c>
      <c r="P174" s="169">
        <f>(INDEX(Models!$BJ174:$BT174,,T174)*(1-R174)+INDEX(Models!$BJ174:$BT174,,T174+1)*R174-ERP_i)*Q174*Ramure*Pc/MaxiM</f>
        <v>1.7269156169184013E-5</v>
      </c>
      <c r="Q174" s="305">
        <f t="shared" si="51"/>
        <v>0.5</v>
      </c>
      <c r="R174" s="177">
        <f t="shared" si="52"/>
        <v>0.74197881903677088</v>
      </c>
      <c r="S174" s="811">
        <f t="shared" si="53"/>
        <v>-2</v>
      </c>
      <c r="T174" s="176">
        <f t="shared" si="54"/>
        <v>4</v>
      </c>
      <c r="U174" s="251">
        <f t="shared" si="55"/>
        <v>-1.2580211809632291</v>
      </c>
      <c r="V174" s="383">
        <f t="shared" si="56"/>
        <v>61.881483966669485</v>
      </c>
      <c r="W174" s="58"/>
      <c r="X174" s="157">
        <f t="shared" si="57"/>
        <v>43625</v>
      </c>
      <c r="Y174" s="385">
        <f t="shared" si="58"/>
        <v>49.168999999999997</v>
      </c>
      <c r="Z174" s="385">
        <f t="shared" si="59"/>
        <v>49.564743810709274</v>
      </c>
      <c r="AA174" s="386">
        <f t="shared" si="60"/>
        <v>50.608981272808826</v>
      </c>
      <c r="AB174" s="197">
        <f t="shared" si="61"/>
        <v>43625</v>
      </c>
      <c r="AC174" s="426">
        <f>IF(OR(t&lt;Tnet,NoTnet),'2018'!Resal_s+('2018'!Salim-'2018'!Resal_s)*(1-EXP(('2018'!Tnet_s-t)/'2018'!Tau_j)),Resal_s+(Salim-Resal_s)*(1-EXP((Tnet_s-t)/Tau_j)))*Salcycl</f>
        <v>2.0633441650812295E-2</v>
      </c>
      <c r="AD174" s="231">
        <f>(INDEX(Models!$BJ174:$BT174,,AH174)*(1-AF174)+INDEX(Models!$BJ174:$BT174,,AH174+1)*AF174-ERP_i)*AE174*Ramure*Pc/MaxiM</f>
        <v>1.7269156169184013E-5</v>
      </c>
      <c r="AE174" s="305">
        <f t="shared" si="62"/>
        <v>0.5</v>
      </c>
      <c r="AF174" s="177">
        <f t="shared" si="63"/>
        <v>0.74197881903677088</v>
      </c>
      <c r="AG174" s="176">
        <f t="shared" si="64"/>
        <v>-2</v>
      </c>
      <c r="AH174" s="176">
        <f t="shared" si="65"/>
        <v>4</v>
      </c>
      <c r="AI174" s="225">
        <f t="shared" si="66"/>
        <v>-1.2580211809632291</v>
      </c>
      <c r="AJ174" s="265" t="b">
        <f t="shared" si="67"/>
        <v>0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7">
        <v>21.582000000000001</v>
      </c>
      <c r="C175" s="390"/>
      <c r="D175" s="393">
        <f t="shared" si="48"/>
        <v>21.756182365905754</v>
      </c>
      <c r="E175" s="385">
        <f t="shared" si="73"/>
        <v>22.215898005057262</v>
      </c>
      <c r="F175" s="385">
        <f t="shared" si="49"/>
        <v>22.21592422658404</v>
      </c>
      <c r="G175" s="110">
        <f t="shared" si="74"/>
        <v>0.34894248941000044</v>
      </c>
      <c r="H175" s="414" t="b">
        <f>Wh_hp&gt;='2018'!Maxi_hp</f>
        <v>1</v>
      </c>
      <c r="I175" s="390">
        <f>IF(H175,Wh_hp,'2018'!Maxi_hp)</f>
        <v>22.21592422658404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8.0061089292354781E-3</v>
      </c>
      <c r="M175" s="845"/>
      <c r="N175" s="845"/>
      <c r="O175" s="48">
        <f>IF(t&lt;Tnet,'2018'!Resal+('2018'!Salim-'2018'!Resal)*(1-EXP(('2018'!Tnet-t)/('2018'!Tau_j))),Resal+(Salim-Resal)*(1-EXP((Tnet-t)/(Tau_j))))*Salcycl</f>
        <v>2.0693092804389749E-2</v>
      </c>
      <c r="P175" s="169">
        <f>(INDEX(Models!$BJ175:$BT175,,T175)*(1-R175)+INDEX(Models!$BJ175:$BT175,,T175+1)*R175-ERP_i)*Q175*Ramure*Pc/MaxiM</f>
        <v>1.687939849097469E-5</v>
      </c>
      <c r="Q175" s="305">
        <f t="shared" si="51"/>
        <v>0.5</v>
      </c>
      <c r="R175" s="177">
        <f t="shared" si="52"/>
        <v>0.74712393534778254</v>
      </c>
      <c r="S175" s="811">
        <f t="shared" si="53"/>
        <v>-2</v>
      </c>
      <c r="T175" s="176">
        <f t="shared" si="54"/>
        <v>4</v>
      </c>
      <c r="U175" s="251">
        <f t="shared" si="55"/>
        <v>-1.2528760646522175</v>
      </c>
      <c r="V175" s="383">
        <f t="shared" si="56"/>
        <v>61.848762580379876</v>
      </c>
      <c r="W175" s="58"/>
      <c r="X175" s="157">
        <f t="shared" si="57"/>
        <v>43626</v>
      </c>
      <c r="Y175" s="385">
        <f t="shared" si="58"/>
        <v>21.582000000000001</v>
      </c>
      <c r="Z175" s="385">
        <f t="shared" si="59"/>
        <v>21.756182365905754</v>
      </c>
      <c r="AA175" s="386">
        <f t="shared" si="60"/>
        <v>22.215898005057262</v>
      </c>
      <c r="AB175" s="197">
        <f t="shared" si="61"/>
        <v>43626</v>
      </c>
      <c r="AC175" s="426">
        <f>IF(OR(t&lt;Tnet,NoTnet),'2018'!Resal_s+('2018'!Salim-'2018'!Resal_s)*(1-EXP(('2018'!Tnet_s-t)/'2018'!Tau_j)),Resal_s+(Salim-Resal_s)*(1-EXP((Tnet_s-t)/Tau_j)))*Salcycl</f>
        <v>2.0693092804389749E-2</v>
      </c>
      <c r="AD175" s="231">
        <f>(INDEX(Models!$BJ175:$BT175,,AH175)*(1-AF175)+INDEX(Models!$BJ175:$BT175,,AH175+1)*AF175-ERP_i)*AE175*Ramure*Pc/MaxiM</f>
        <v>1.687939849097469E-5</v>
      </c>
      <c r="AE175" s="305">
        <f t="shared" si="62"/>
        <v>0.5</v>
      </c>
      <c r="AF175" s="177">
        <f t="shared" si="63"/>
        <v>0.74712393534778254</v>
      </c>
      <c r="AG175" s="176">
        <f t="shared" si="64"/>
        <v>-2</v>
      </c>
      <c r="AH175" s="176">
        <f t="shared" si="65"/>
        <v>4</v>
      </c>
      <c r="AI175" s="225">
        <f t="shared" si="66"/>
        <v>-1.2528760646522175</v>
      </c>
      <c r="AJ175" s="265" t="b">
        <f t="shared" si="67"/>
        <v>0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7">
        <v>32.923999999999999</v>
      </c>
      <c r="C176" s="390"/>
      <c r="D176" s="393">
        <f t="shared" si="48"/>
        <v>33.190447473777077</v>
      </c>
      <c r="E176" s="385">
        <f t="shared" si="73"/>
        <v>33.89382887337964</v>
      </c>
      <c r="F176" s="385">
        <f t="shared" si="49"/>
        <v>33.894016555337053</v>
      </c>
      <c r="G176" s="110">
        <f t="shared" si="74"/>
        <v>0.53264339209445144</v>
      </c>
      <c r="H176" s="414" t="b">
        <f>Wh_hp&gt;='2018'!Maxi_hp</f>
        <v>1</v>
      </c>
      <c r="I176" s="390">
        <f>IF(H176,Wh_hp,'2018'!Maxi_hp)</f>
        <v>33.894016555337053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8.0278361413351762E-3</v>
      </c>
      <c r="M176" s="845"/>
      <c r="N176" s="845"/>
      <c r="O176" s="48">
        <f>IF(t&lt;Tnet,'2018'!Resal+('2018'!Salim-'2018'!Resal)*(1-EXP(('2018'!Tnet-t)/('2018'!Tau_j))),Resal+(Salim-Resal)*(1-EXP((Tnet-t)/(Tau_j))))*Salcycl</f>
        <v>2.075249161817189E-2</v>
      </c>
      <c r="P176" s="169">
        <f>(INDEX(Models!$BJ176:$BT176,,T176)*(1-R176)+INDEX(Models!$BJ176:$BT176,,T176+1)*R176-ERP_i)*Q176*Ramure*Pc/MaxiM</f>
        <v>1.6660795933006471E-5</v>
      </c>
      <c r="Q176" s="305">
        <f t="shared" si="51"/>
        <v>0.5</v>
      </c>
      <c r="R176" s="177">
        <f t="shared" si="52"/>
        <v>0.75226905165879399</v>
      </c>
      <c r="S176" s="811">
        <f t="shared" si="53"/>
        <v>-2</v>
      </c>
      <c r="T176" s="176">
        <f t="shared" si="54"/>
        <v>4</v>
      </c>
      <c r="U176" s="251">
        <f t="shared" si="55"/>
        <v>-1.247730948341206</v>
      </c>
      <c r="V176" s="383">
        <f t="shared" si="56"/>
        <v>61.811775490412089</v>
      </c>
      <c r="W176" s="58"/>
      <c r="X176" s="157">
        <f t="shared" si="57"/>
        <v>43627</v>
      </c>
      <c r="Y176" s="385">
        <f t="shared" si="58"/>
        <v>32.923999999999999</v>
      </c>
      <c r="Z176" s="385">
        <f t="shared" si="59"/>
        <v>33.190447473777077</v>
      </c>
      <c r="AA176" s="386">
        <f t="shared" si="60"/>
        <v>33.89382887337964</v>
      </c>
      <c r="AB176" s="197">
        <f t="shared" si="61"/>
        <v>43627</v>
      </c>
      <c r="AC176" s="426">
        <f>IF(OR(t&lt;Tnet,NoTnet),'2018'!Resal_s+('2018'!Salim-'2018'!Resal_s)*(1-EXP(('2018'!Tnet_s-t)/'2018'!Tau_j)),Resal_s+(Salim-Resal_s)*(1-EXP((Tnet_s-t)/Tau_j)))*Salcycl</f>
        <v>2.075249161817189E-2</v>
      </c>
      <c r="AD176" s="231">
        <f>(INDEX(Models!$BJ176:$BT176,,AH176)*(1-AF176)+INDEX(Models!$BJ176:$BT176,,AH176+1)*AF176-ERP_i)*AE176*Ramure*Pc/MaxiM</f>
        <v>1.6660795933006471E-5</v>
      </c>
      <c r="AE176" s="305">
        <f t="shared" si="62"/>
        <v>0.5</v>
      </c>
      <c r="AF176" s="177">
        <f t="shared" si="63"/>
        <v>0.75226905165879399</v>
      </c>
      <c r="AG176" s="176">
        <f t="shared" si="64"/>
        <v>-2</v>
      </c>
      <c r="AH176" s="176">
        <f t="shared" si="65"/>
        <v>4</v>
      </c>
      <c r="AI176" s="225">
        <f t="shared" si="66"/>
        <v>-1.247730948341206</v>
      </c>
      <c r="AJ176" s="265" t="b">
        <f t="shared" si="67"/>
        <v>0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7">
        <v>56.572000000000003</v>
      </c>
      <c r="C177" s="390"/>
      <c r="D177" s="393">
        <f t="shared" si="48"/>
        <v>57.031075226006202</v>
      </c>
      <c r="E177" s="385">
        <f t="shared" si="73"/>
        <v>58.243211042522113</v>
      </c>
      <c r="F177" s="385">
        <f t="shared" si="49"/>
        <v>58.244062693126686</v>
      </c>
      <c r="G177" s="110">
        <f t="shared" si="74"/>
        <v>0.91585059605308805</v>
      </c>
      <c r="H177" s="414" t="b">
        <f>Wh_hp&gt;='2018'!Maxi_hp</f>
        <v>1</v>
      </c>
      <c r="I177" s="390">
        <f>IF(H177,Wh_hp,'2018'!Maxi_hp)</f>
        <v>58.244062693126686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8.0495628775530959E-3</v>
      </c>
      <c r="M177" s="845"/>
      <c r="N177" s="845"/>
      <c r="O177" s="48">
        <f>IF(t&lt;Tnet,'2018'!Resal+('2018'!Salim-'2018'!Resal)*(1-EXP(('2018'!Tnet-t)/('2018'!Tau_j))),Resal+(Salim-Resal)*(1-EXP((Tnet-t)/(Tau_j))))*Salcycl</f>
        <v>2.0811624132999092E-2</v>
      </c>
      <c r="P177" s="169">
        <f>(INDEX(Models!$BJ177:$BT177,,T177)*(1-R177)+INDEX(Models!$BJ177:$BT177,,T177+1)*R177-ERP_i)*Q177*Ramure*Pc/MaxiM</f>
        <v>1.6620006218214691E-5</v>
      </c>
      <c r="Q177" s="305">
        <f t="shared" si="51"/>
        <v>0.5</v>
      </c>
      <c r="R177" s="177">
        <f t="shared" si="52"/>
        <v>0.75740982630309994</v>
      </c>
      <c r="S177" s="811">
        <f t="shared" si="53"/>
        <v>-2</v>
      </c>
      <c r="T177" s="176">
        <f t="shared" si="54"/>
        <v>4</v>
      </c>
      <c r="U177" s="251">
        <f t="shared" si="55"/>
        <v>-1.2425901736969001</v>
      </c>
      <c r="V177" s="383">
        <f t="shared" si="56"/>
        <v>61.769776879208614</v>
      </c>
      <c r="W177" s="58"/>
      <c r="X177" s="157">
        <f t="shared" si="57"/>
        <v>43628</v>
      </c>
      <c r="Y177" s="385">
        <f t="shared" si="58"/>
        <v>56.572000000000003</v>
      </c>
      <c r="Z177" s="385">
        <f t="shared" si="59"/>
        <v>57.031075226006202</v>
      </c>
      <c r="AA177" s="386">
        <f t="shared" si="60"/>
        <v>58.243211042522113</v>
      </c>
      <c r="AB177" s="197">
        <f t="shared" si="61"/>
        <v>43628</v>
      </c>
      <c r="AC177" s="426">
        <f>IF(OR(t&lt;Tnet,NoTnet),'2018'!Resal_s+('2018'!Salim-'2018'!Resal_s)*(1-EXP(('2018'!Tnet_s-t)/'2018'!Tau_j)),Resal_s+(Salim-Resal_s)*(1-EXP((Tnet_s-t)/Tau_j)))*Salcycl</f>
        <v>2.0811624132999092E-2</v>
      </c>
      <c r="AD177" s="231">
        <f>(INDEX(Models!$BJ177:$BT177,,AH177)*(1-AF177)+INDEX(Models!$BJ177:$BT177,,AH177+1)*AF177-ERP_i)*AE177*Ramure*Pc/MaxiM</f>
        <v>1.6620006218214691E-5</v>
      </c>
      <c r="AE177" s="305">
        <f t="shared" si="62"/>
        <v>0.5</v>
      </c>
      <c r="AF177" s="177">
        <f t="shared" si="63"/>
        <v>0.75740982630309994</v>
      </c>
      <c r="AG177" s="176">
        <f t="shared" si="64"/>
        <v>-2</v>
      </c>
      <c r="AH177" s="176">
        <f t="shared" si="65"/>
        <v>4</v>
      </c>
      <c r="AI177" s="225">
        <f t="shared" si="66"/>
        <v>-1.2425901736969001</v>
      </c>
      <c r="AJ177" s="265" t="b">
        <f t="shared" si="67"/>
        <v>0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7">
        <v>64.212000000000003</v>
      </c>
      <c r="C178" s="390"/>
      <c r="D178" s="393">
        <f t="shared" si="48"/>
        <v>64.734490792380015</v>
      </c>
      <c r="E178" s="385">
        <f t="shared" si="73"/>
        <v>66.11432836926889</v>
      </c>
      <c r="F178" s="385">
        <f t="shared" si="49"/>
        <v>66.115436428019962</v>
      </c>
      <c r="G178" s="110">
        <f t="shared" si="74"/>
        <v>1.0403359606082312</v>
      </c>
      <c r="H178" s="414" t="b">
        <f>Wh_hp&gt;='2018'!Maxi_hp</f>
        <v>1</v>
      </c>
      <c r="I178" s="390">
        <f>IF(H178,Wh_hp,'2018'!Maxi_hp)</f>
        <v>66.115436428019962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8.0712891378997842E-3</v>
      </c>
      <c r="M178" s="845"/>
      <c r="N178" s="845"/>
      <c r="O178" s="48">
        <f>IF(t&lt;Tnet,'2018'!Resal+('2018'!Salim-'2018'!Resal)*(1-EXP(('2018'!Tnet-t)/('2018'!Tau_j))),Resal+(Salim-Resal)*(1-EXP((Tnet-t)/(Tau_j))))*Salcycl</f>
        <v>2.0870477110227124E-2</v>
      </c>
      <c r="P178" s="169">
        <f>(INDEX(Models!$BJ178:$BT178,,T178)*(1-R178)+INDEX(Models!$BJ178:$BT178,,T178+1)*R178-ERP_i)*Q178*Ramure*Pc/MaxiM</f>
        <v>1.675945605049279E-5</v>
      </c>
      <c r="Q178" s="305">
        <f t="shared" si="51"/>
        <v>0.5</v>
      </c>
      <c r="R178" s="177">
        <f t="shared" si="52"/>
        <v>0.76254193225636646</v>
      </c>
      <c r="S178" s="811">
        <f t="shared" si="53"/>
        <v>-2</v>
      </c>
      <c r="T178" s="176">
        <f t="shared" si="54"/>
        <v>4</v>
      </c>
      <c r="U178" s="251">
        <f t="shared" si="55"/>
        <v>-1.2374580677436335</v>
      </c>
      <c r="V178" s="383">
        <f t="shared" si="56"/>
        <v>61.722368957099725</v>
      </c>
      <c r="W178" s="58"/>
      <c r="X178" s="157">
        <f t="shared" si="57"/>
        <v>43629</v>
      </c>
      <c r="Y178" s="385">
        <f t="shared" si="58"/>
        <v>64.212000000000003</v>
      </c>
      <c r="Z178" s="385">
        <f t="shared" si="59"/>
        <v>64.734490792380015</v>
      </c>
      <c r="AA178" s="386">
        <f t="shared" si="60"/>
        <v>66.11432836926889</v>
      </c>
      <c r="AB178" s="197">
        <f t="shared" si="61"/>
        <v>43629</v>
      </c>
      <c r="AC178" s="426">
        <f>IF(OR(t&lt;Tnet,NoTnet),'2018'!Resal_s+('2018'!Salim-'2018'!Resal_s)*(1-EXP(('2018'!Tnet_s-t)/'2018'!Tau_j)),Resal_s+(Salim-Resal_s)*(1-EXP((Tnet_s-t)/Tau_j)))*Salcycl</f>
        <v>2.0870477110227124E-2</v>
      </c>
      <c r="AD178" s="231">
        <f>(INDEX(Models!$BJ178:$BT178,,AH178)*(1-AF178)+INDEX(Models!$BJ178:$BT178,,AH178+1)*AF178-ERP_i)*AE178*Ramure*Pc/MaxiM</f>
        <v>1.675945605049279E-5</v>
      </c>
      <c r="AE178" s="305">
        <f t="shared" si="62"/>
        <v>0.5</v>
      </c>
      <c r="AF178" s="177">
        <f t="shared" si="63"/>
        <v>0.76254193225636646</v>
      </c>
      <c r="AG178" s="176">
        <f t="shared" si="64"/>
        <v>-2</v>
      </c>
      <c r="AH178" s="176">
        <f t="shared" si="65"/>
        <v>4</v>
      </c>
      <c r="AI178" s="225">
        <f t="shared" si="66"/>
        <v>-1.2374580677436335</v>
      </c>
      <c r="AJ178" s="265" t="b">
        <f t="shared" si="67"/>
        <v>0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7">
        <v>23.989000000000001</v>
      </c>
      <c r="C179" s="390"/>
      <c r="D179" s="393">
        <f t="shared" si="48"/>
        <v>24.184727359413561</v>
      </c>
      <c r="E179" s="385">
        <f t="shared" si="73"/>
        <v>24.70171039704114</v>
      </c>
      <c r="F179" s="385">
        <f t="shared" si="49"/>
        <v>24.701763508999733</v>
      </c>
      <c r="G179" s="110">
        <f t="shared" si="74"/>
        <v>0.38898416074100861</v>
      </c>
      <c r="H179" s="414" t="b">
        <f>Wh_hp&gt;='2018'!Maxi_hp</f>
        <v>1</v>
      </c>
      <c r="I179" s="390">
        <f>IF(H179,Wh_hp,'2018'!Maxi_hp)</f>
        <v>24.701763508999733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8.0930149223855663E-3</v>
      </c>
      <c r="M179" s="845"/>
      <c r="N179" s="845"/>
      <c r="O179" s="48">
        <f>IF(t&lt;Tnet,'2018'!Resal+('2018'!Salim-'2018'!Resal)*(1-EXP(('2018'!Tnet-t)/('2018'!Tau_j))),Resal+(Salim-Resal)*(1-EXP((Tnet-t)/(Tau_j))))*Salcycl</f>
        <v>2.0929038083512836E-2</v>
      </c>
      <c r="P179" s="169">
        <f>(INDEX(Models!$BJ179:$BT179,,T179)*(1-R179)+INDEX(Models!$BJ179:$BT179,,T179+1)*R179-ERP_i)*Q179*Ramure*Pc/MaxiM</f>
        <v>1.6913039467314754E-5</v>
      </c>
      <c r="Q179" s="305">
        <f t="shared" si="51"/>
        <v>0.5</v>
      </c>
      <c r="R179" s="177">
        <f t="shared" si="52"/>
        <v>0.76766107167419229</v>
      </c>
      <c r="S179" s="811">
        <f t="shared" si="53"/>
        <v>-2</v>
      </c>
      <c r="T179" s="176">
        <f t="shared" si="54"/>
        <v>4</v>
      </c>
      <c r="U179" s="251">
        <f t="shared" si="55"/>
        <v>-1.2323389283258077</v>
      </c>
      <c r="V179" s="383">
        <f t="shared" si="56"/>
        <v>61.669981127412569</v>
      </c>
      <c r="W179" s="58"/>
      <c r="X179" s="157">
        <f t="shared" si="57"/>
        <v>43630</v>
      </c>
      <c r="Y179" s="385">
        <f t="shared" si="58"/>
        <v>23.989000000000001</v>
      </c>
      <c r="Z179" s="385">
        <f t="shared" si="59"/>
        <v>24.184727359413561</v>
      </c>
      <c r="AA179" s="386">
        <f t="shared" si="60"/>
        <v>24.70171039704114</v>
      </c>
      <c r="AB179" s="197">
        <f t="shared" si="61"/>
        <v>43630</v>
      </c>
      <c r="AC179" s="426">
        <f>IF(OR(t&lt;Tnet,NoTnet),'2018'!Resal_s+('2018'!Salim-'2018'!Resal_s)*(1-EXP(('2018'!Tnet_s-t)/'2018'!Tau_j)),Resal_s+(Salim-Resal_s)*(1-EXP((Tnet_s-t)/Tau_j)))*Salcycl</f>
        <v>2.0929038083512836E-2</v>
      </c>
      <c r="AD179" s="231">
        <f>(INDEX(Models!$BJ179:$BT179,,AH179)*(1-AF179)+INDEX(Models!$BJ179:$BT179,,AH179+1)*AF179-ERP_i)*AE179*Ramure*Pc/MaxiM</f>
        <v>1.6913039467314754E-5</v>
      </c>
      <c r="AE179" s="305">
        <f t="shared" si="62"/>
        <v>0.5</v>
      </c>
      <c r="AF179" s="177">
        <f t="shared" si="63"/>
        <v>0.76766107167419229</v>
      </c>
      <c r="AG179" s="176">
        <f t="shared" si="64"/>
        <v>-2</v>
      </c>
      <c r="AH179" s="176">
        <f t="shared" si="65"/>
        <v>4</v>
      </c>
      <c r="AI179" s="225">
        <f t="shared" si="66"/>
        <v>-1.2323389283258077</v>
      </c>
      <c r="AJ179" s="265" t="b">
        <f t="shared" si="67"/>
        <v>0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7">
        <v>25.198</v>
      </c>
      <c r="C180" s="390"/>
      <c r="D180" s="393">
        <f t="shared" si="48"/>
        <v>25.404148062316089</v>
      </c>
      <c r="E180" s="385">
        <f t="shared" si="73"/>
        <v>25.948741975589648</v>
      </c>
      <c r="F180" s="385">
        <f t="shared" si="49"/>
        <v>25.948810975463328</v>
      </c>
      <c r="G180" s="110">
        <f t="shared" si="74"/>
        <v>0.40896601986991038</v>
      </c>
      <c r="H180" s="414" t="b">
        <f>Wh_hp&gt;='2018'!Maxi_hp</f>
        <v>1</v>
      </c>
      <c r="I180" s="390">
        <f>IF(H180,Wh_hp,'2018'!Maxi_hp)</f>
        <v>25.948810975463328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8.1147402310209893E-3</v>
      </c>
      <c r="M180" s="845"/>
      <c r="N180" s="845"/>
      <c r="O180" s="48">
        <f>IF(t&lt;Tnet,'2018'!Resal+('2018'!Salim-'2018'!Resal)*(1-EXP(('2018'!Tnet-t)/('2018'!Tau_j))),Resal+(Salim-Resal)*(1-EXP((Tnet-t)/(Tau_j))))*Salcycl</f>
        <v>2.0987295406685477E-2</v>
      </c>
      <c r="P180" s="169">
        <f>(INDEX(Models!$BJ180:$BT180,,T180)*(1-R180)+INDEX(Models!$BJ180:$BT180,,T180+1)*R180-ERP_i)*Q180*Ramure*Pc/MaxiM</f>
        <v>1.7081038756011629E-5</v>
      </c>
      <c r="Q180" s="305">
        <f t="shared" si="51"/>
        <v>0.5</v>
      </c>
      <c r="R180" s="177">
        <f t="shared" si="52"/>
        <v>0.77276299022133244</v>
      </c>
      <c r="S180" s="811">
        <f t="shared" si="53"/>
        <v>-2</v>
      </c>
      <c r="T180" s="176">
        <f t="shared" si="54"/>
        <v>4</v>
      </c>
      <c r="U180" s="251">
        <f t="shared" si="55"/>
        <v>-1.2272370097786676</v>
      </c>
      <c r="V180" s="383">
        <f t="shared" si="56"/>
        <v>61.61303230631281</v>
      </c>
      <c r="W180" s="58"/>
      <c r="X180" s="157">
        <f t="shared" si="57"/>
        <v>43631</v>
      </c>
      <c r="Y180" s="385">
        <f t="shared" si="58"/>
        <v>25.198</v>
      </c>
      <c r="Z180" s="385">
        <f t="shared" si="59"/>
        <v>25.404148062316089</v>
      </c>
      <c r="AA180" s="386">
        <f t="shared" si="60"/>
        <v>25.948741975589648</v>
      </c>
      <c r="AB180" s="197">
        <f t="shared" si="61"/>
        <v>43631</v>
      </c>
      <c r="AC180" s="426">
        <f>IF(OR(t&lt;Tnet,NoTnet),'2018'!Resal_s+('2018'!Salim-'2018'!Resal_s)*(1-EXP(('2018'!Tnet_s-t)/'2018'!Tau_j)),Resal_s+(Salim-Resal_s)*(1-EXP((Tnet_s-t)/Tau_j)))*Salcycl</f>
        <v>2.0987295406685477E-2</v>
      </c>
      <c r="AD180" s="231">
        <f>(INDEX(Models!$BJ180:$BT180,,AH180)*(1-AF180)+INDEX(Models!$BJ180:$BT180,,AH180+1)*AF180-ERP_i)*AE180*Ramure*Pc/MaxiM</f>
        <v>1.7081038756011629E-5</v>
      </c>
      <c r="AE180" s="305">
        <f t="shared" si="62"/>
        <v>0.5</v>
      </c>
      <c r="AF180" s="177">
        <f t="shared" si="63"/>
        <v>0.77276299022133244</v>
      </c>
      <c r="AG180" s="176">
        <f t="shared" si="64"/>
        <v>-2</v>
      </c>
      <c r="AH180" s="176">
        <f t="shared" si="65"/>
        <v>4</v>
      </c>
      <c r="AI180" s="225">
        <f t="shared" si="66"/>
        <v>-1.2272370097786676</v>
      </c>
      <c r="AJ180" s="265" t="b">
        <f t="shared" si="67"/>
        <v>0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7">
        <v>62.881999999999998</v>
      </c>
      <c r="C181" s="390"/>
      <c r="D181" s="393">
        <f t="shared" si="48"/>
        <v>63.397834263607457</v>
      </c>
      <c r="E181" s="385">
        <f t="shared" si="73"/>
        <v>64.76073945780935</v>
      </c>
      <c r="F181" s="385">
        <f t="shared" si="49"/>
        <v>64.761857489550721</v>
      </c>
      <c r="G181" s="110">
        <f t="shared" si="74"/>
        <v>1.0216087220702732</v>
      </c>
      <c r="H181" s="414" t="b">
        <f>Wh_hp&gt;='2018'!Maxi_hp</f>
        <v>1</v>
      </c>
      <c r="I181" s="390">
        <f>IF(H181,Wh_hp,'2018'!Maxi_hp)</f>
        <v>64.761857489550721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8.1364650638162672E-3</v>
      </c>
      <c r="M181" s="845"/>
      <c r="N181" s="845"/>
      <c r="O181" s="48">
        <f>IF(t&lt;Tnet,'2018'!Resal+('2018'!Salim-'2018'!Resal)*(1-EXP(('2018'!Tnet-t)/('2018'!Tau_j))),Resal+(Salim-Resal)*(1-EXP((Tnet-t)/(Tau_j))))*Salcycl</f>
        <v>2.1045238297345253E-2</v>
      </c>
      <c r="P181" s="169">
        <f>(INDEX(Models!$BJ181:$BT181,,T181)*(1-R181)+INDEX(Models!$BJ181:$BT181,,T181+1)*R181-ERP_i)*Q181*Ramure*Pc/MaxiM</f>
        <v>1.7263738019719536E-5</v>
      </c>
      <c r="Q181" s="305">
        <f t="shared" si="51"/>
        <v>0.5</v>
      </c>
      <c r="R181" s="177">
        <f t="shared" si="52"/>
        <v>0.77784349109160433</v>
      </c>
      <c r="S181" s="811">
        <f t="shared" si="53"/>
        <v>-2</v>
      </c>
      <c r="T181" s="176">
        <f t="shared" si="54"/>
        <v>4</v>
      </c>
      <c r="U181" s="251">
        <f t="shared" si="55"/>
        <v>-1.2221565089083957</v>
      </c>
      <c r="V181" s="383">
        <f t="shared" si="56"/>
        <v>61.551941209517743</v>
      </c>
      <c r="W181" s="58"/>
      <c r="X181" s="157">
        <f t="shared" si="57"/>
        <v>43632</v>
      </c>
      <c r="Y181" s="385">
        <f t="shared" si="58"/>
        <v>62.882000000000005</v>
      </c>
      <c r="Z181" s="385">
        <f t="shared" si="59"/>
        <v>63.397834263607464</v>
      </c>
      <c r="AA181" s="386">
        <f t="shared" si="60"/>
        <v>64.76073945780935</v>
      </c>
      <c r="AB181" s="197">
        <f t="shared" si="61"/>
        <v>43632</v>
      </c>
      <c r="AC181" s="426">
        <f>IF(OR(t&lt;Tnet,NoTnet),'2018'!Resal_s+('2018'!Salim-'2018'!Resal_s)*(1-EXP(('2018'!Tnet_s-t)/'2018'!Tau_j)),Resal_s+(Salim-Resal_s)*(1-EXP((Tnet_s-t)/Tau_j)))*Salcycl</f>
        <v>2.1045238297345253E-2</v>
      </c>
      <c r="AD181" s="231">
        <f>(INDEX(Models!$BJ181:$BT181,,AH181)*(1-AF181)+INDEX(Models!$BJ181:$BT181,,AH181+1)*AF181-ERP_i)*AE181*Ramure*Pc/MaxiM</f>
        <v>1.7263738019719536E-5</v>
      </c>
      <c r="AE181" s="305">
        <f t="shared" si="62"/>
        <v>0.5</v>
      </c>
      <c r="AF181" s="177">
        <f t="shared" si="63"/>
        <v>0.77784349109160433</v>
      </c>
      <c r="AG181" s="176">
        <f t="shared" si="64"/>
        <v>-2</v>
      </c>
      <c r="AH181" s="176">
        <f t="shared" si="65"/>
        <v>4</v>
      </c>
      <c r="AI181" s="225">
        <f t="shared" si="66"/>
        <v>-1.2221565089083957</v>
      </c>
      <c r="AJ181" s="265" t="b">
        <f t="shared" si="67"/>
        <v>0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7">
        <v>60.857999999999997</v>
      </c>
      <c r="C182" s="390"/>
      <c r="D182" s="393">
        <f t="shared" si="48"/>
        <v>61.358574876431163</v>
      </c>
      <c r="E182" s="385">
        <f t="shared" si="73"/>
        <v>62.681330012472898</v>
      </c>
      <c r="F182" s="385">
        <f t="shared" si="49"/>
        <v>62.682408537874828</v>
      </c>
      <c r="G182" s="110">
        <f t="shared" si="74"/>
        <v>0.98976790881805687</v>
      </c>
      <c r="H182" s="414" t="b">
        <f>Wh_hp&gt;='2018'!Maxi_hp</f>
        <v>1</v>
      </c>
      <c r="I182" s="390">
        <f>IF(H182,Wh_hp,'2018'!Maxi_hp)</f>
        <v>62.682408537874828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8.1581894207820582E-3</v>
      </c>
      <c r="M182" s="845"/>
      <c r="N182" s="845"/>
      <c r="O182" s="48">
        <f>IF(t&lt;Tnet,'2018'!Resal+('2018'!Salim-'2018'!Resal)*(1-EXP(('2018'!Tnet-t)/('2018'!Tau_j))),Resal+(Salim-Resal)*(1-EXP((Tnet-t)/(Tau_j))))*Salcycl</f>
        <v>2.1102856875859506E-2</v>
      </c>
      <c r="P182" s="169">
        <f>(INDEX(Models!$BJ182:$BT182,,T182)*(1-R182)+INDEX(Models!$BJ182:$BT182,,T182+1)*R182-ERP_i)*Q182*Ramure*Pc/MaxiM</f>
        <v>1.7461421603725809E-5</v>
      </c>
      <c r="Q182" s="305">
        <f t="shared" si="51"/>
        <v>0.5</v>
      </c>
      <c r="R182" s="177">
        <f t="shared" si="52"/>
        <v>0.78289844862126401</v>
      </c>
      <c r="S182" s="811">
        <f t="shared" si="53"/>
        <v>-2</v>
      </c>
      <c r="T182" s="176">
        <f t="shared" si="54"/>
        <v>4</v>
      </c>
      <c r="U182" s="251">
        <f t="shared" si="55"/>
        <v>-1.217101551378736</v>
      </c>
      <c r="V182" s="383">
        <f t="shared" si="56"/>
        <v>61.48712635015</v>
      </c>
      <c r="W182" s="58"/>
      <c r="X182" s="157">
        <f t="shared" si="57"/>
        <v>43633</v>
      </c>
      <c r="Y182" s="385">
        <f t="shared" si="58"/>
        <v>60.857999999999997</v>
      </c>
      <c r="Z182" s="385">
        <f t="shared" si="59"/>
        <v>61.358574876431163</v>
      </c>
      <c r="AA182" s="386">
        <f t="shared" si="60"/>
        <v>62.681330012472898</v>
      </c>
      <c r="AB182" s="197">
        <f t="shared" si="61"/>
        <v>43633</v>
      </c>
      <c r="AC182" s="426">
        <f>IF(OR(t&lt;Tnet,NoTnet),'2018'!Resal_s+('2018'!Salim-'2018'!Resal_s)*(1-EXP(('2018'!Tnet_s-t)/'2018'!Tau_j)),Resal_s+(Salim-Resal_s)*(1-EXP((Tnet_s-t)/Tau_j)))*Salcycl</f>
        <v>2.1102856875859506E-2</v>
      </c>
      <c r="AD182" s="231">
        <f>(INDEX(Models!$BJ182:$BT182,,AH182)*(1-AF182)+INDEX(Models!$BJ182:$BT182,,AH182+1)*AF182-ERP_i)*AE182*Ramure*Pc/MaxiM</f>
        <v>1.7461421603725809E-5</v>
      </c>
      <c r="AE182" s="305">
        <f t="shared" si="62"/>
        <v>0.5</v>
      </c>
      <c r="AF182" s="177">
        <f t="shared" si="63"/>
        <v>0.78289844862126401</v>
      </c>
      <c r="AG182" s="176">
        <f t="shared" si="64"/>
        <v>-2</v>
      </c>
      <c r="AH182" s="176">
        <f t="shared" si="65"/>
        <v>4</v>
      </c>
      <c r="AI182" s="225">
        <f t="shared" si="66"/>
        <v>-1.217101551378736</v>
      </c>
      <c r="AJ182" s="265" t="b">
        <f t="shared" si="67"/>
        <v>0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7">
        <v>59.127000000000002</v>
      </c>
      <c r="C183" s="390"/>
      <c r="D183" s="393">
        <f t="shared" si="48"/>
        <v>59.614642608059391</v>
      </c>
      <c r="E183" s="385">
        <f t="shared" si="73"/>
        <v>60.90336650370358</v>
      </c>
      <c r="F183" s="385">
        <f t="shared" si="49"/>
        <v>60.904385564297691</v>
      </c>
      <c r="G183" s="110">
        <f t="shared" si="74"/>
        <v>0.96268155576941017</v>
      </c>
      <c r="H183" s="414" t="b">
        <f>Wh_hp&gt;='2018'!Maxi_hp</f>
        <v>1</v>
      </c>
      <c r="I183" s="390">
        <f>IF(H183,Wh_hp,'2018'!Maxi_hp)</f>
        <v>60.904385564297691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8.1799133019286874E-3</v>
      </c>
      <c r="M183" s="845"/>
      <c r="N183" s="845"/>
      <c r="O183" s="48">
        <f>IF(t&lt;Tnet,'2018'!Resal+('2018'!Salim-'2018'!Resal)*(1-EXP(('2018'!Tnet-t)/('2018'!Tau_j))),Resal+(Salim-Resal)*(1-EXP((Tnet-t)/(Tau_j))))*Salcycl</f>
        <v>2.1160142199459837E-2</v>
      </c>
      <c r="P183" s="169">
        <f>(INDEX(Models!$BJ183:$BT183,,T183)*(1-R183)+INDEX(Models!$BJ183:$BT183,,T183+1)*R183-ERP_i)*Q183*Ramure*Pc/MaxiM</f>
        <v>1.7674372526604451E-5</v>
      </c>
      <c r="Q183" s="305">
        <f t="shared" si="51"/>
        <v>0.5</v>
      </c>
      <c r="R183" s="177">
        <f t="shared" si="52"/>
        <v>0.78792382140353601</v>
      </c>
      <c r="S183" s="811">
        <f t="shared" si="53"/>
        <v>-2</v>
      </c>
      <c r="T183" s="176">
        <f t="shared" si="54"/>
        <v>4</v>
      </c>
      <c r="U183" s="251">
        <f t="shared" si="55"/>
        <v>-1.212076178596464</v>
      </c>
      <c r="V183" s="383">
        <f t="shared" si="56"/>
        <v>61.419006039146872</v>
      </c>
      <c r="W183" s="58"/>
      <c r="X183" s="157">
        <f t="shared" si="57"/>
        <v>43634</v>
      </c>
      <c r="Y183" s="385">
        <f t="shared" si="58"/>
        <v>59.127000000000002</v>
      </c>
      <c r="Z183" s="385">
        <f t="shared" si="59"/>
        <v>59.614642608059391</v>
      </c>
      <c r="AA183" s="386">
        <f t="shared" si="60"/>
        <v>60.90336650370358</v>
      </c>
      <c r="AB183" s="197">
        <f t="shared" si="61"/>
        <v>43634</v>
      </c>
      <c r="AC183" s="426">
        <f>IF(OR(t&lt;Tnet,NoTnet),'2018'!Resal_s+('2018'!Salim-'2018'!Resal_s)*(1-EXP(('2018'!Tnet_s-t)/'2018'!Tau_j)),Resal_s+(Salim-Resal_s)*(1-EXP((Tnet_s-t)/Tau_j)))*Salcycl</f>
        <v>2.1160142199459837E-2</v>
      </c>
      <c r="AD183" s="231">
        <f>(INDEX(Models!$BJ183:$BT183,,AH183)*(1-AF183)+INDEX(Models!$BJ183:$BT183,,AH183+1)*AF183-ERP_i)*AE183*Ramure*Pc/MaxiM</f>
        <v>1.7674372526604451E-5</v>
      </c>
      <c r="AE183" s="305">
        <f t="shared" si="62"/>
        <v>0.5</v>
      </c>
      <c r="AF183" s="177">
        <f t="shared" si="63"/>
        <v>0.78792382140353601</v>
      </c>
      <c r="AG183" s="176">
        <f t="shared" si="64"/>
        <v>-2</v>
      </c>
      <c r="AH183" s="176">
        <f t="shared" si="65"/>
        <v>4</v>
      </c>
      <c r="AI183" s="225">
        <f t="shared" si="66"/>
        <v>-1.212076178596464</v>
      </c>
      <c r="AJ183" s="265" t="b">
        <f t="shared" si="67"/>
        <v>0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7">
        <v>50.161000000000001</v>
      </c>
      <c r="C184" s="390"/>
      <c r="D184" s="393">
        <f t="shared" si="48"/>
        <v>50.575804373650463</v>
      </c>
      <c r="E184" s="385">
        <f t="shared" si="73"/>
        <v>51.672136553761177</v>
      </c>
      <c r="F184" s="385">
        <f t="shared" si="49"/>
        <v>51.67282048424785</v>
      </c>
      <c r="G184" s="110">
        <f t="shared" si="74"/>
        <v>0.81764307254171964</v>
      </c>
      <c r="H184" s="414" t="b">
        <f>Wh_hp&gt;='2018'!Maxi_hp</f>
        <v>1</v>
      </c>
      <c r="I184" s="390">
        <f>IF(H184,Wh_hp,'2018'!Maxi_hp)</f>
        <v>51.67282048424785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8.2016367072664798E-3</v>
      </c>
      <c r="M184" s="845"/>
      <c r="N184" s="845"/>
      <c r="O184" s="48">
        <f>IF(t&lt;Tnet,'2018'!Resal+('2018'!Salim-'2018'!Resal)*(1-EXP(('2018'!Tnet-t)/('2018'!Tau_j))),Resal+(Salim-Resal)*(1-EXP((Tnet-t)/(Tau_j))))*Salcycl</f>
        <v>2.1217086291178622E-2</v>
      </c>
      <c r="P184" s="169">
        <f>(INDEX(Models!$BJ184:$BT184,,T184)*(1-R184)+INDEX(Models!$BJ184:$BT184,,T184+1)*R184-ERP_i)*Q184*Ramure*Pc/MaxiM</f>
        <v>1.7898400869880598E-5</v>
      </c>
      <c r="Q184" s="305">
        <f t="shared" si="51"/>
        <v>0.5</v>
      </c>
      <c r="R184" s="177">
        <f t="shared" si="52"/>
        <v>0.79291566481794851</v>
      </c>
      <c r="S184" s="811">
        <f t="shared" si="53"/>
        <v>-2</v>
      </c>
      <c r="T184" s="176">
        <f t="shared" si="54"/>
        <v>4</v>
      </c>
      <c r="U184" s="251">
        <f t="shared" si="55"/>
        <v>-1.2070843351820515</v>
      </c>
      <c r="V184" s="383">
        <f t="shared" si="56"/>
        <v>61.347998656235752</v>
      </c>
      <c r="W184" s="58"/>
      <c r="X184" s="157">
        <f t="shared" si="57"/>
        <v>43635</v>
      </c>
      <c r="Y184" s="385">
        <f t="shared" si="58"/>
        <v>50.161000000000001</v>
      </c>
      <c r="Z184" s="385">
        <f t="shared" si="59"/>
        <v>50.575804373650463</v>
      </c>
      <c r="AA184" s="386">
        <f t="shared" si="60"/>
        <v>51.672136553761177</v>
      </c>
      <c r="AB184" s="197">
        <f t="shared" si="61"/>
        <v>43635</v>
      </c>
      <c r="AC184" s="426">
        <f>IF(OR(t&lt;Tnet,NoTnet),'2018'!Resal_s+('2018'!Salim-'2018'!Resal_s)*(1-EXP(('2018'!Tnet_s-t)/'2018'!Tau_j)),Resal_s+(Salim-Resal_s)*(1-EXP((Tnet_s-t)/Tau_j)))*Salcycl</f>
        <v>2.1217086291178622E-2</v>
      </c>
      <c r="AD184" s="231">
        <f>(INDEX(Models!$BJ184:$BT184,,AH184)*(1-AF184)+INDEX(Models!$BJ184:$BT184,,AH184+1)*AF184-ERP_i)*AE184*Ramure*Pc/MaxiM</f>
        <v>1.7898400869880598E-5</v>
      </c>
      <c r="AE184" s="305">
        <f t="shared" si="62"/>
        <v>0.5</v>
      </c>
      <c r="AF184" s="177">
        <f t="shared" si="63"/>
        <v>0.79291566481794851</v>
      </c>
      <c r="AG184" s="176">
        <f t="shared" si="64"/>
        <v>-2</v>
      </c>
      <c r="AH184" s="176">
        <f t="shared" si="65"/>
        <v>4</v>
      </c>
      <c r="AI184" s="225">
        <f t="shared" si="66"/>
        <v>-1.2070843351820515</v>
      </c>
      <c r="AJ184" s="265" t="b">
        <f t="shared" si="67"/>
        <v>0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7">
        <v>29.835000000000001</v>
      </c>
      <c r="C185" s="390"/>
      <c r="D185" s="393">
        <f t="shared" si="48"/>
        <v>30.082378214790641</v>
      </c>
      <c r="E185" s="385">
        <f t="shared" si="73"/>
        <v>30.736251459228651</v>
      </c>
      <c r="F185" s="385">
        <f t="shared" si="49"/>
        <v>30.736400109243171</v>
      </c>
      <c r="G185" s="110">
        <f t="shared" si="74"/>
        <v>0.48690062760334207</v>
      </c>
      <c r="H185" s="414" t="b">
        <f>Wh_hp&gt;='2018'!Maxi_hp</f>
        <v>1</v>
      </c>
      <c r="I185" s="390">
        <f>IF(H185,Wh_hp,'2018'!Maxi_hp)</f>
        <v>30.736400109243171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8.2233596368059825E-3</v>
      </c>
      <c r="M185" s="845"/>
      <c r="N185" s="845"/>
      <c r="O185" s="48">
        <f>IF(t&lt;Tnet,'2018'!Resal+('2018'!Salim-'2018'!Resal)*(1-EXP(('2018'!Tnet-t)/('2018'!Tau_j))),Resal+(Salim-Resal)*(1-EXP((Tnet-t)/(Tau_j))))*Salcycl</f>
        <v>2.1273682163401322E-2</v>
      </c>
      <c r="P185" s="169">
        <f>(INDEX(Models!$BJ185:$BT185,,T185)*(1-R185)+INDEX(Models!$BJ185:$BT185,,T185+1)*R185-ERP_i)*Q185*Ramure*Pc/MaxiM</f>
        <v>1.8112742557031199E-5</v>
      </c>
      <c r="Q185" s="305">
        <f t="shared" si="51"/>
        <v>0.5</v>
      </c>
      <c r="R185" s="177">
        <f t="shared" si="52"/>
        <v>0.79787014289503078</v>
      </c>
      <c r="S185" s="811">
        <f t="shared" si="53"/>
        <v>-2</v>
      </c>
      <c r="T185" s="176">
        <f t="shared" si="54"/>
        <v>4</v>
      </c>
      <c r="U185" s="251">
        <f t="shared" si="55"/>
        <v>-1.2021298571049692</v>
      </c>
      <c r="V185" s="383">
        <f t="shared" si="56"/>
        <v>61.274523390635586</v>
      </c>
      <c r="W185" s="58"/>
      <c r="X185" s="157">
        <f t="shared" si="57"/>
        <v>43636</v>
      </c>
      <c r="Y185" s="385">
        <f t="shared" si="58"/>
        <v>29.835000000000001</v>
      </c>
      <c r="Z185" s="385">
        <f t="shared" si="59"/>
        <v>30.082378214790641</v>
      </c>
      <c r="AA185" s="386">
        <f t="shared" si="60"/>
        <v>30.736251459228651</v>
      </c>
      <c r="AB185" s="197">
        <f t="shared" si="61"/>
        <v>43636</v>
      </c>
      <c r="AC185" s="426">
        <f>IF(OR(t&lt;Tnet,NoTnet),'2018'!Resal_s+('2018'!Salim-'2018'!Resal_s)*(1-EXP(('2018'!Tnet_s-t)/'2018'!Tau_j)),Resal_s+(Salim-Resal_s)*(1-EXP((Tnet_s-t)/Tau_j)))*Salcycl</f>
        <v>2.1273682163401322E-2</v>
      </c>
      <c r="AD185" s="231">
        <f>(INDEX(Models!$BJ185:$BT185,,AH185)*(1-AF185)+INDEX(Models!$BJ185:$BT185,,AH185+1)*AF185-ERP_i)*AE185*Ramure*Pc/MaxiM</f>
        <v>1.8112742557031199E-5</v>
      </c>
      <c r="AE185" s="305">
        <f t="shared" si="62"/>
        <v>0.5</v>
      </c>
      <c r="AF185" s="177">
        <f t="shared" si="63"/>
        <v>0.79787014289503078</v>
      </c>
      <c r="AG185" s="176">
        <f t="shared" si="64"/>
        <v>-2</v>
      </c>
      <c r="AH185" s="176">
        <f t="shared" si="65"/>
        <v>4</v>
      </c>
      <c r="AI185" s="225">
        <f t="shared" si="66"/>
        <v>-1.2021298571049692</v>
      </c>
      <c r="AJ185" s="265" t="b">
        <f t="shared" si="67"/>
        <v>0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7">
        <v>11.11</v>
      </c>
      <c r="C186" s="390"/>
      <c r="D186" s="393">
        <f t="shared" si="48"/>
        <v>11.202364414203448</v>
      </c>
      <c r="E186" s="385">
        <f t="shared" si="73"/>
        <v>11.446517766345323</v>
      </c>
      <c r="F186" s="385">
        <f t="shared" si="49"/>
        <v>11.446517766345323</v>
      </c>
      <c r="G186" s="110">
        <f t="shared" si="74"/>
        <v>0.18153559478653403</v>
      </c>
      <c r="H186" s="414" t="b">
        <f>Wh_hp&gt;='2018'!Maxi_hp</f>
        <v>1</v>
      </c>
      <c r="I186" s="390">
        <f>IF(H186,Wh_hp,'2018'!Maxi_hp)</f>
        <v>11.446517766345323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8.2450820905576316E-3</v>
      </c>
      <c r="M186" s="845"/>
      <c r="N186" s="845"/>
      <c r="O186" s="48">
        <f>IF(t&lt;Tnet,'2018'!Resal+('2018'!Salim-'2018'!Resal)*(1-EXP(('2018'!Tnet-t)/('2018'!Tau_j))),Resal+(Salim-Resal)*(1-EXP((Tnet-t)/(Tau_j))))*Salcycl</f>
        <v>2.1329923835852166E-2</v>
      </c>
      <c r="P186" s="169">
        <f>(INDEX(Models!$BJ186:$BT186,,T186)*(1-R186)+INDEX(Models!$BJ186:$BT186,,T186+1)*R186-ERP_i)*Q186*Ramure*Pc/MaxiM</f>
        <v>1.8316865249385926E-5</v>
      </c>
      <c r="Q186" s="305">
        <f t="shared" si="51"/>
        <v>0.5</v>
      </c>
      <c r="R186" s="177">
        <f t="shared" si="52"/>
        <v>0.80278353944465763</v>
      </c>
      <c r="S186" s="811">
        <f t="shared" si="53"/>
        <v>-2</v>
      </c>
      <c r="T186" s="176">
        <f t="shared" si="54"/>
        <v>4</v>
      </c>
      <c r="U186" s="251">
        <f t="shared" si="55"/>
        <v>-1.1972164605553424</v>
      </c>
      <c r="V186" s="383">
        <f t="shared" si="56"/>
        <v>61.198997985441821</v>
      </c>
      <c r="W186" s="58"/>
      <c r="X186" s="157">
        <f t="shared" si="57"/>
        <v>43637</v>
      </c>
      <c r="Y186" s="385">
        <f t="shared" si="58"/>
        <v>11.11</v>
      </c>
      <c r="Z186" s="385">
        <f t="shared" si="59"/>
        <v>11.202364414203448</v>
      </c>
      <c r="AA186" s="386">
        <f t="shared" si="60"/>
        <v>11.446517766345323</v>
      </c>
      <c r="AB186" s="197">
        <f t="shared" si="61"/>
        <v>43637</v>
      </c>
      <c r="AC186" s="426">
        <f>IF(OR(t&lt;Tnet,NoTnet),'2018'!Resal_s+('2018'!Salim-'2018'!Resal_s)*(1-EXP(('2018'!Tnet_s-t)/'2018'!Tau_j)),Resal_s+(Salim-Resal_s)*(1-EXP((Tnet_s-t)/Tau_j)))*Salcycl</f>
        <v>2.1329923835852166E-2</v>
      </c>
      <c r="AD186" s="231">
        <f>(INDEX(Models!$BJ186:$BT186,,AH186)*(1-AF186)+INDEX(Models!$BJ186:$BT186,,AH186+1)*AF186-ERP_i)*AE186*Ramure*Pc/MaxiM</f>
        <v>1.8316865249385926E-5</v>
      </c>
      <c r="AE186" s="305">
        <f t="shared" si="62"/>
        <v>0.5</v>
      </c>
      <c r="AF186" s="177">
        <f t="shared" si="63"/>
        <v>0.80278353944465763</v>
      </c>
      <c r="AG186" s="176">
        <f t="shared" si="64"/>
        <v>-2</v>
      </c>
      <c r="AH186" s="176">
        <f t="shared" si="65"/>
        <v>4</v>
      </c>
      <c r="AI186" s="225">
        <f t="shared" si="66"/>
        <v>-1.1972164605553424</v>
      </c>
      <c r="AJ186" s="265" t="b">
        <f t="shared" si="67"/>
        <v>0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7">
        <v>52.521999999999998</v>
      </c>
      <c r="C187" s="390"/>
      <c r="D187" s="393">
        <f t="shared" si="48"/>
        <v>52.959808359212602</v>
      </c>
      <c r="E187" s="385">
        <f t="shared" si="73"/>
        <v>54.117147189097949</v>
      </c>
      <c r="F187" s="385">
        <f t="shared" si="49"/>
        <v>54.11794757658614</v>
      </c>
      <c r="G187" s="110">
        <f t="shared" si="74"/>
        <v>0.85929685041512638</v>
      </c>
      <c r="H187" s="414" t="b">
        <f>Wh_hp&gt;='2018'!Maxi_hp</f>
        <v>1</v>
      </c>
      <c r="I187" s="390">
        <f>IF(H187,Wh_hp,'2018'!Maxi_hp)</f>
        <v>54.11794757658614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8.2668040685317523E-3</v>
      </c>
      <c r="M187" s="845"/>
      <c r="N187" s="845"/>
      <c r="O187" s="48">
        <f>IF(t&lt;Tnet,'2018'!Resal+('2018'!Salim-'2018'!Resal)*(1-EXP(('2018'!Tnet-t)/('2018'!Tau_j))),Resal+(Salim-Resal)*(1-EXP((Tnet-t)/(Tau_j))))*Salcycl</f>
        <v>2.1385806347872214E-2</v>
      </c>
      <c r="P187" s="169">
        <f>(INDEX(Models!$BJ187:$BT187,,T187)*(1-R187)+INDEX(Models!$BJ187:$BT187,,T187+1)*R187-ERP_i)*Q187*Ramure*Pc/MaxiM</f>
        <v>1.8510244579016193E-5</v>
      </c>
      <c r="Q187" s="305">
        <f t="shared" si="51"/>
        <v>0.5</v>
      </c>
      <c r="R187" s="177">
        <f t="shared" si="52"/>
        <v>0.80765226838474513</v>
      </c>
      <c r="S187" s="811">
        <f t="shared" si="53"/>
        <v>-2</v>
      </c>
      <c r="T187" s="176">
        <f t="shared" si="54"/>
        <v>4</v>
      </c>
      <c r="U187" s="251">
        <f t="shared" si="55"/>
        <v>-1.1923477316152549</v>
      </c>
      <c r="V187" s="383">
        <f t="shared" si="56"/>
        <v>61.121839979506973</v>
      </c>
      <c r="W187" s="58"/>
      <c r="X187" s="157">
        <f t="shared" si="57"/>
        <v>43638</v>
      </c>
      <c r="Y187" s="385">
        <f t="shared" si="58"/>
        <v>52.521999999999998</v>
      </c>
      <c r="Z187" s="385">
        <f t="shared" si="59"/>
        <v>52.959808359212602</v>
      </c>
      <c r="AA187" s="386">
        <f t="shared" si="60"/>
        <v>54.117147189097949</v>
      </c>
      <c r="AB187" s="197">
        <f t="shared" si="61"/>
        <v>43638</v>
      </c>
      <c r="AC187" s="426">
        <f>IF(OR(t&lt;Tnet,NoTnet),'2018'!Resal_s+('2018'!Salim-'2018'!Resal_s)*(1-EXP(('2018'!Tnet_s-t)/'2018'!Tau_j)),Resal_s+(Salim-Resal_s)*(1-EXP((Tnet_s-t)/Tau_j)))*Salcycl</f>
        <v>2.1385806347872214E-2</v>
      </c>
      <c r="AD187" s="231">
        <f>(INDEX(Models!$BJ187:$BT187,,AH187)*(1-AF187)+INDEX(Models!$BJ187:$BT187,,AH187+1)*AF187-ERP_i)*AE187*Ramure*Pc/MaxiM</f>
        <v>1.8510244579016193E-5</v>
      </c>
      <c r="AE187" s="305">
        <f t="shared" si="62"/>
        <v>0.5</v>
      </c>
      <c r="AF187" s="177">
        <f t="shared" si="63"/>
        <v>0.80765226838474513</v>
      </c>
      <c r="AG187" s="176">
        <f t="shared" si="64"/>
        <v>-2</v>
      </c>
      <c r="AH187" s="176">
        <f t="shared" si="65"/>
        <v>4</v>
      </c>
      <c r="AI187" s="225">
        <f t="shared" si="66"/>
        <v>-1.1923477316152549</v>
      </c>
      <c r="AJ187" s="265" t="b">
        <f t="shared" si="67"/>
        <v>0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7">
        <v>53.749000000000002</v>
      </c>
      <c r="C188" s="390"/>
      <c r="D188" s="393">
        <f t="shared" si="48"/>
        <v>54.19822336020971</v>
      </c>
      <c r="E188" s="385">
        <f t="shared" si="73"/>
        <v>55.385767647069244</v>
      </c>
      <c r="F188" s="385">
        <f t="shared" si="49"/>
        <v>55.386626209177535</v>
      </c>
      <c r="G188" s="110">
        <f t="shared" si="74"/>
        <v>0.88050091807535236</v>
      </c>
      <c r="H188" s="414" t="b">
        <f>Wh_hp&gt;='2018'!Maxi_hp</f>
        <v>1</v>
      </c>
      <c r="I188" s="390">
        <f>IF(H188,Wh_hp,'2018'!Maxi_hp)</f>
        <v>55.386626209177535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8.2885255707387806E-3</v>
      </c>
      <c r="M188" s="845"/>
      <c r="N188" s="845"/>
      <c r="O188" s="48">
        <f>IF(t&lt;Tnet,'2018'!Resal+('2018'!Salim-'2018'!Resal)*(1-EXP(('2018'!Tnet-t)/('2018'!Tau_j))),Resal+(Salim-Resal)*(1-EXP((Tnet-t)/(Tau_j))))*Salcycl</f>
        <v>2.1441325764893829E-2</v>
      </c>
      <c r="P188" s="169">
        <f>(INDEX(Models!$BJ188:$BT188,,T188)*(1-R188)+INDEX(Models!$BJ188:$BT188,,T188+1)*R188-ERP_i)*Q188*Ramure*Pc/MaxiM</f>
        <v>1.8692174769068432E-5</v>
      </c>
      <c r="Q188" s="305">
        <f t="shared" si="51"/>
        <v>0.5</v>
      </c>
      <c r="R188" s="177">
        <f t="shared" si="52"/>
        <v>0.81247288321596711</v>
      </c>
      <c r="S188" s="811">
        <f t="shared" si="53"/>
        <v>-2</v>
      </c>
      <c r="T188" s="176">
        <f t="shared" si="54"/>
        <v>4</v>
      </c>
      <c r="U188" s="251">
        <f t="shared" si="55"/>
        <v>-1.1875271167840329</v>
      </c>
      <c r="V188" s="383">
        <f t="shared" si="56"/>
        <v>61.043466718895523</v>
      </c>
      <c r="W188" s="58"/>
      <c r="X188" s="157">
        <f t="shared" si="57"/>
        <v>43639</v>
      </c>
      <c r="Y188" s="385">
        <f t="shared" si="58"/>
        <v>53.749000000000002</v>
      </c>
      <c r="Z188" s="385">
        <f t="shared" si="59"/>
        <v>54.19822336020971</v>
      </c>
      <c r="AA188" s="386">
        <f t="shared" si="60"/>
        <v>55.385767647069244</v>
      </c>
      <c r="AB188" s="197">
        <f t="shared" si="61"/>
        <v>43639</v>
      </c>
      <c r="AC188" s="426">
        <f>IF(OR(t&lt;Tnet,NoTnet),'2018'!Resal_s+('2018'!Salim-'2018'!Resal_s)*(1-EXP(('2018'!Tnet_s-t)/'2018'!Tau_j)),Resal_s+(Salim-Resal_s)*(1-EXP((Tnet_s-t)/Tau_j)))*Salcycl</f>
        <v>2.1441325764893829E-2</v>
      </c>
      <c r="AD188" s="231">
        <f>(INDEX(Models!$BJ188:$BT188,,AH188)*(1-AF188)+INDEX(Models!$BJ188:$BT188,,AH188+1)*AF188-ERP_i)*AE188*Ramure*Pc/MaxiM</f>
        <v>1.8692174769068432E-5</v>
      </c>
      <c r="AE188" s="305">
        <f t="shared" si="62"/>
        <v>0.5</v>
      </c>
      <c r="AF188" s="177">
        <f t="shared" si="63"/>
        <v>0.81247288321596711</v>
      </c>
      <c r="AG188" s="176">
        <f t="shared" si="64"/>
        <v>-2</v>
      </c>
      <c r="AH188" s="176">
        <f t="shared" si="65"/>
        <v>4</v>
      </c>
      <c r="AI188" s="225">
        <f t="shared" si="66"/>
        <v>-1.1875271167840329</v>
      </c>
      <c r="AJ188" s="265" t="b">
        <f t="shared" si="67"/>
        <v>0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7">
        <v>40.631999999999998</v>
      </c>
      <c r="C189" s="390"/>
      <c r="D189" s="393">
        <f t="shared" si="48"/>
        <v>40.972491508133828</v>
      </c>
      <c r="E189" s="385">
        <f t="shared" si="73"/>
        <v>41.8726050916597</v>
      </c>
      <c r="F189" s="385">
        <f t="shared" si="49"/>
        <v>41.873018598792463</v>
      </c>
      <c r="G189" s="110">
        <f t="shared" si="74"/>
        <v>0.66648248150448286</v>
      </c>
      <c r="H189" s="414" t="b">
        <f>Wh_hp&gt;='2018'!Maxi_hp</f>
        <v>1</v>
      </c>
      <c r="I189" s="390">
        <f>IF(H189,Wh_hp,'2018'!Maxi_hp)</f>
        <v>41.873018598792463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8.3102465971891526E-3</v>
      </c>
      <c r="M189" s="845"/>
      <c r="N189" s="845"/>
      <c r="O189" s="48">
        <f>IF(t&lt;Tnet,'2018'!Resal+('2018'!Salim-'2018'!Resal)*(1-EXP(('2018'!Tnet-t)/('2018'!Tau_j))),Resal+(Salim-Resal)*(1-EXP((Tnet-t)/(Tau_j))))*Salcycl</f>
        <v>2.1496479179060186E-2</v>
      </c>
      <c r="P189" s="169">
        <f>(INDEX(Models!$BJ189:$BT189,,T189)*(1-R189)+INDEX(Models!$BJ189:$BT189,,T189+1)*R189-ERP_i)*Q189*Ramure*Pc/MaxiM</f>
        <v>1.886194429967633E-5</v>
      </c>
      <c r="Q189" s="305">
        <f t="shared" si="51"/>
        <v>0.5</v>
      </c>
      <c r="R189" s="177">
        <f t="shared" si="52"/>
        <v>0.81724208559750933</v>
      </c>
      <c r="S189" s="811">
        <f t="shared" si="53"/>
        <v>-2</v>
      </c>
      <c r="T189" s="176">
        <f t="shared" si="54"/>
        <v>4</v>
      </c>
      <c r="U189" s="251">
        <f t="shared" si="55"/>
        <v>-1.1827579144024907</v>
      </c>
      <c r="V189" s="383">
        <f t="shared" si="56"/>
        <v>60.964295352369057</v>
      </c>
      <c r="W189" s="58"/>
      <c r="X189" s="157">
        <f t="shared" si="57"/>
        <v>43640</v>
      </c>
      <c r="Y189" s="385">
        <f t="shared" si="58"/>
        <v>40.631999999999998</v>
      </c>
      <c r="Z189" s="385">
        <f t="shared" si="59"/>
        <v>40.972491508133828</v>
      </c>
      <c r="AA189" s="386">
        <f t="shared" si="60"/>
        <v>41.8726050916597</v>
      </c>
      <c r="AB189" s="197">
        <f t="shared" si="61"/>
        <v>43640</v>
      </c>
      <c r="AC189" s="426">
        <f>IF(OR(t&lt;Tnet,NoTnet),'2018'!Resal_s+('2018'!Salim-'2018'!Resal_s)*(1-EXP(('2018'!Tnet_s-t)/'2018'!Tau_j)),Resal_s+(Salim-Resal_s)*(1-EXP((Tnet_s-t)/Tau_j)))*Salcycl</f>
        <v>2.1496479179060186E-2</v>
      </c>
      <c r="AD189" s="231">
        <f>(INDEX(Models!$BJ189:$BT189,,AH189)*(1-AF189)+INDEX(Models!$BJ189:$BT189,,AH189+1)*AF189-ERP_i)*AE189*Ramure*Pc/MaxiM</f>
        <v>1.886194429967633E-5</v>
      </c>
      <c r="AE189" s="305">
        <f t="shared" si="62"/>
        <v>0.5</v>
      </c>
      <c r="AF189" s="177">
        <f t="shared" si="63"/>
        <v>0.81724208559750933</v>
      </c>
      <c r="AG189" s="176">
        <f t="shared" si="64"/>
        <v>-2</v>
      </c>
      <c r="AH189" s="176">
        <f t="shared" si="65"/>
        <v>4</v>
      </c>
      <c r="AI189" s="225">
        <f t="shared" si="66"/>
        <v>-1.1827579144024907</v>
      </c>
      <c r="AJ189" s="265" t="b">
        <f t="shared" si="67"/>
        <v>0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7">
        <v>54.634999999999998</v>
      </c>
      <c r="C190" s="390"/>
      <c r="D190" s="393">
        <f t="shared" si="48"/>
        <v>55.094041745871266</v>
      </c>
      <c r="E190" s="385">
        <f t="shared" si="73"/>
        <v>56.307540455048347</v>
      </c>
      <c r="F190" s="385">
        <f t="shared" si="49"/>
        <v>56.30845434497148</v>
      </c>
      <c r="G190" s="110">
        <f t="shared" si="74"/>
        <v>0.89734874605712189</v>
      </c>
      <c r="H190" s="414" t="b">
        <f>Wh_hp&gt;='2018'!Maxi_hp</f>
        <v>1</v>
      </c>
      <c r="I190" s="390">
        <f>IF(H190,Wh_hp,'2018'!Maxi_hp)</f>
        <v>56.30845434497148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8.3319671478934154E-3</v>
      </c>
      <c r="M190" s="845"/>
      <c r="N190" s="845"/>
      <c r="O190" s="48">
        <f>IF(t&lt;Tnet,'2018'!Resal+('2018'!Salim-'2018'!Resal)*(1-EXP(('2018'!Tnet-t)/('2018'!Tau_j))),Resal+(Salim-Resal)*(1-EXP((Tnet-t)/(Tau_j))))*Salcycl</f>
        <v>2.1551264703984805E-2</v>
      </c>
      <c r="P190" s="169">
        <f>(INDEX(Models!$BJ190:$BT190,,T190)*(1-R190)+INDEX(Models!$BJ190:$BT190,,T190+1)*R190-ERP_i)*Q190*Ramure*Pc/MaxiM</f>
        <v>1.9019038016624369E-5</v>
      </c>
      <c r="Q190" s="305">
        <f t="shared" si="51"/>
        <v>0.5</v>
      </c>
      <c r="R190" s="177">
        <f t="shared" si="52"/>
        <v>0.82195673298848537</v>
      </c>
      <c r="S190" s="811">
        <f t="shared" si="53"/>
        <v>-2</v>
      </c>
      <c r="T190" s="176">
        <f t="shared" si="54"/>
        <v>4</v>
      </c>
      <c r="U190" s="251">
        <f t="shared" si="55"/>
        <v>-1.1780432670115146</v>
      </c>
      <c r="V190" s="383">
        <f t="shared" si="56"/>
        <v>60.884742818324376</v>
      </c>
      <c r="W190" s="58"/>
      <c r="X190" s="157">
        <f t="shared" si="57"/>
        <v>43641</v>
      </c>
      <c r="Y190" s="385">
        <f t="shared" si="58"/>
        <v>54.634999999999998</v>
      </c>
      <c r="Z190" s="385">
        <f t="shared" si="59"/>
        <v>55.094041745871266</v>
      </c>
      <c r="AA190" s="386">
        <f t="shared" si="60"/>
        <v>56.307540455048347</v>
      </c>
      <c r="AB190" s="197">
        <f t="shared" si="61"/>
        <v>43641</v>
      </c>
      <c r="AC190" s="426">
        <f>IF(OR(t&lt;Tnet,NoTnet),'2018'!Resal_s+('2018'!Salim-'2018'!Resal_s)*(1-EXP(('2018'!Tnet_s-t)/'2018'!Tau_j)),Resal_s+(Salim-Resal_s)*(1-EXP((Tnet_s-t)/Tau_j)))*Salcycl</f>
        <v>2.1551264703984805E-2</v>
      </c>
      <c r="AD190" s="231">
        <f>(INDEX(Models!$BJ190:$BT190,,AH190)*(1-AF190)+INDEX(Models!$BJ190:$BT190,,AH190+1)*AF190-ERP_i)*AE190*Ramure*Pc/MaxiM</f>
        <v>1.9019038016624369E-5</v>
      </c>
      <c r="AE190" s="305">
        <f t="shared" si="62"/>
        <v>0.5</v>
      </c>
      <c r="AF190" s="177">
        <f t="shared" si="63"/>
        <v>0.82195673298848537</v>
      </c>
      <c r="AG190" s="176">
        <f t="shared" si="64"/>
        <v>-2</v>
      </c>
      <c r="AH190" s="176">
        <f t="shared" si="65"/>
        <v>4</v>
      </c>
      <c r="AI190" s="225">
        <f t="shared" si="66"/>
        <v>-1.1780432670115146</v>
      </c>
      <c r="AJ190" s="265" t="b">
        <f t="shared" si="67"/>
        <v>0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7">
        <v>59.722999999999999</v>
      </c>
      <c r="C191" s="390"/>
      <c r="D191" s="393">
        <f t="shared" si="48"/>
        <v>60.226110086310676</v>
      </c>
      <c r="E191" s="385">
        <f t="shared" si="73"/>
        <v>61.556070947355686</v>
      </c>
      <c r="F191" s="385">
        <f t="shared" si="49"/>
        <v>61.557220620707511</v>
      </c>
      <c r="G191" s="110">
        <f t="shared" si="74"/>
        <v>0.98221811043825213</v>
      </c>
      <c r="H191" s="414" t="b">
        <f>Wh_hp&gt;='2018'!Maxi_hp</f>
        <v>1</v>
      </c>
      <c r="I191" s="390">
        <f>IF(H191,Wh_hp,'2018'!Maxi_hp)</f>
        <v>61.557220620707511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8.3536872228617831E-3</v>
      </c>
      <c r="M191" s="845"/>
      <c r="N191" s="845"/>
      <c r="O191" s="48">
        <f>IF(t&lt;Tnet,'2018'!Resal+('2018'!Salim-'2018'!Resal)*(1-EXP(('2018'!Tnet-t)/('2018'!Tau_j))),Resal+(Salim-Resal)*(1-EXP((Tnet-t)/(Tau_j))))*Salcycl</f>
        <v>2.1605681463692263E-2</v>
      </c>
      <c r="P191" s="169">
        <f>(INDEX(Models!$BJ191:$BT191,,T191)*(1-R191)+INDEX(Models!$BJ191:$BT191,,T191+1)*R191-ERP_i)*Q191*Ramure*Pc/MaxiM</f>
        <v>1.9163284787949339E-5</v>
      </c>
      <c r="Q191" s="305">
        <f t="shared" si="51"/>
        <v>0.5</v>
      </c>
      <c r="R191" s="177">
        <f t="shared" si="52"/>
        <v>0.8266138453293177</v>
      </c>
      <c r="S191" s="811">
        <f t="shared" si="53"/>
        <v>-2</v>
      </c>
      <c r="T191" s="176">
        <f t="shared" si="54"/>
        <v>4</v>
      </c>
      <c r="U191" s="251">
        <f t="shared" si="55"/>
        <v>-1.1733861546706823</v>
      </c>
      <c r="V191" s="383">
        <f t="shared" si="56"/>
        <v>60.804184215749011</v>
      </c>
      <c r="W191" s="58"/>
      <c r="X191" s="157">
        <f t="shared" si="57"/>
        <v>43642</v>
      </c>
      <c r="Y191" s="385">
        <f t="shared" si="58"/>
        <v>59.722999999999999</v>
      </c>
      <c r="Z191" s="385">
        <f t="shared" si="59"/>
        <v>60.226110086310676</v>
      </c>
      <c r="AA191" s="386">
        <f t="shared" si="60"/>
        <v>61.556070947355686</v>
      </c>
      <c r="AB191" s="197">
        <f t="shared" si="61"/>
        <v>43642</v>
      </c>
      <c r="AC191" s="426">
        <f>IF(OR(t&lt;Tnet,NoTnet),'2018'!Resal_s+('2018'!Salim-'2018'!Resal_s)*(1-EXP(('2018'!Tnet_s-t)/'2018'!Tau_j)),Resal_s+(Salim-Resal_s)*(1-EXP((Tnet_s-t)/Tau_j)))*Salcycl</f>
        <v>2.1605681463692263E-2</v>
      </c>
      <c r="AD191" s="231">
        <f>(INDEX(Models!$BJ191:$BT191,,AH191)*(1-AF191)+INDEX(Models!$BJ191:$BT191,,AH191+1)*AF191-ERP_i)*AE191*Ramure*Pc/MaxiM</f>
        <v>1.9163284787949339E-5</v>
      </c>
      <c r="AE191" s="305">
        <f t="shared" si="62"/>
        <v>0.5</v>
      </c>
      <c r="AF191" s="177">
        <f t="shared" si="63"/>
        <v>0.8266138453293177</v>
      </c>
      <c r="AG191" s="176">
        <f t="shared" si="64"/>
        <v>-2</v>
      </c>
      <c r="AH191" s="176">
        <f t="shared" si="65"/>
        <v>4</v>
      </c>
      <c r="AI191" s="225">
        <f t="shared" si="66"/>
        <v>-1.1733861546706823</v>
      </c>
      <c r="AJ191" s="265" t="b">
        <f t="shared" si="67"/>
        <v>0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7">
        <v>59.49</v>
      </c>
      <c r="C192" s="390"/>
      <c r="D192" s="393">
        <f t="shared" si="48"/>
        <v>59.992461269390503</v>
      </c>
      <c r="E192" s="385">
        <f t="shared" si="73"/>
        <v>61.320649965047409</v>
      </c>
      <c r="F192" s="385">
        <f t="shared" si="49"/>
        <v>61.321800192772599</v>
      </c>
      <c r="G192" s="110">
        <f t="shared" si="74"/>
        <v>0.97971485244424861</v>
      </c>
      <c r="H192" s="414" t="b">
        <f>Wh_hp&gt;='2018'!Maxi_hp</f>
        <v>1</v>
      </c>
      <c r="I192" s="390">
        <f>IF(H192,Wh_hp,'2018'!Maxi_hp)</f>
        <v>61.321800192772599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8.3754068221046918E-3</v>
      </c>
      <c r="M192" s="845"/>
      <c r="N192" s="845"/>
      <c r="O192" s="48">
        <f>IF(t&lt;Tnet,'2018'!Resal+('2018'!Salim-'2018'!Resal)*(1-EXP(('2018'!Tnet-t)/('2018'!Tau_j))),Resal+(Salim-Resal)*(1-EXP((Tnet-t)/(Tau_j))))*Salcycl</f>
        <v>2.1659729575827555E-2</v>
      </c>
      <c r="P192" s="169">
        <f>(INDEX(Models!$BJ192:$BT192,,T192)*(1-R192)+INDEX(Models!$BJ192:$BT192,,T192+1)*R192-ERP_i)*Q192*Ramure*Pc/MaxiM</f>
        <v>1.9317008270109144E-5</v>
      </c>
      <c r="Q192" s="305">
        <f t="shared" si="51"/>
        <v>0.5</v>
      </c>
      <c r="R192" s="177">
        <f t="shared" si="52"/>
        <v>0.83121061074703473</v>
      </c>
      <c r="S192" s="811">
        <f t="shared" si="53"/>
        <v>-2</v>
      </c>
      <c r="T192" s="176">
        <f t="shared" si="54"/>
        <v>4</v>
      </c>
      <c r="U192" s="251">
        <f t="shared" si="55"/>
        <v>-1.1687893892529653</v>
      </c>
      <c r="V192" s="383">
        <f t="shared" si="56"/>
        <v>60.721715660779971</v>
      </c>
      <c r="W192" s="58"/>
      <c r="X192" s="157">
        <f t="shared" si="57"/>
        <v>43643</v>
      </c>
      <c r="Y192" s="385">
        <f t="shared" si="58"/>
        <v>59.49</v>
      </c>
      <c r="Z192" s="385">
        <f t="shared" si="59"/>
        <v>59.992461269390503</v>
      </c>
      <c r="AA192" s="386">
        <f t="shared" si="60"/>
        <v>61.320649965047409</v>
      </c>
      <c r="AB192" s="197">
        <f t="shared" si="61"/>
        <v>43643</v>
      </c>
      <c r="AC192" s="426">
        <f>IF(OR(t&lt;Tnet,NoTnet),'2018'!Resal_s+('2018'!Salim-'2018'!Resal_s)*(1-EXP(('2018'!Tnet_s-t)/'2018'!Tau_j)),Resal_s+(Salim-Resal_s)*(1-EXP((Tnet_s-t)/Tau_j)))*Salcycl</f>
        <v>2.1659729575827555E-2</v>
      </c>
      <c r="AD192" s="231">
        <f>(INDEX(Models!$BJ192:$BT192,,AH192)*(1-AF192)+INDEX(Models!$BJ192:$BT192,,AH192+1)*AF192-ERP_i)*AE192*Ramure*Pc/MaxiM</f>
        <v>1.9317008270109144E-5</v>
      </c>
      <c r="AE192" s="305">
        <f t="shared" si="62"/>
        <v>0.5</v>
      </c>
      <c r="AF192" s="177">
        <f t="shared" si="63"/>
        <v>0.83121061074703473</v>
      </c>
      <c r="AG192" s="176">
        <f t="shared" si="64"/>
        <v>-2</v>
      </c>
      <c r="AH192" s="176">
        <f t="shared" si="65"/>
        <v>4</v>
      </c>
      <c r="AI192" s="225">
        <f t="shared" si="66"/>
        <v>-1.1687893892529653</v>
      </c>
      <c r="AJ192" s="265" t="b">
        <f t="shared" si="67"/>
        <v>0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7">
        <v>56.537999999999997</v>
      </c>
      <c r="C193" s="390"/>
      <c r="D193" s="393">
        <f t="shared" si="48"/>
        <v>57.016777057969833</v>
      </c>
      <c r="E193" s="385">
        <f t="shared" si="73"/>
        <v>58.282284198032222</v>
      </c>
      <c r="F193" s="385">
        <f t="shared" si="49"/>
        <v>58.28331019002183</v>
      </c>
      <c r="G193" s="110">
        <f t="shared" si="74"/>
        <v>0.93239407057263701</v>
      </c>
      <c r="H193" s="414" t="b">
        <f>Wh_hp&gt;='2018'!Maxi_hp</f>
        <v>1</v>
      </c>
      <c r="I193" s="390">
        <f>IF(H193,Wh_hp,'2018'!Maxi_hp)</f>
        <v>58.28331019002183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8.3971259456327996E-3</v>
      </c>
      <c r="M193" s="845"/>
      <c r="N193" s="845"/>
      <c r="O193" s="48">
        <f>IF(t&lt;Tnet,'2018'!Resal+('2018'!Salim-'2018'!Resal)*(1-EXP(('2018'!Tnet-t)/('2018'!Tau_j))),Resal+(Salim-Resal)*(1-EXP((Tnet-t)/(Tau_j))))*Salcycl</f>
        <v>2.1713410129267363E-2</v>
      </c>
      <c r="P193" s="169">
        <f>(INDEX(Models!$BJ193:$BT193,,T193)*(1-R193)+INDEX(Models!$BJ193:$BT193,,T193+1)*R193-ERP_i)*Q193*Ramure*Pc/MaxiM</f>
        <v>1.9485376706188521E-5</v>
      </c>
      <c r="Q193" s="305">
        <f t="shared" si="51"/>
        <v>0.5</v>
      </c>
      <c r="R193" s="177">
        <f t="shared" si="52"/>
        <v>0.83574439027786429</v>
      </c>
      <c r="S193" s="811">
        <f t="shared" si="53"/>
        <v>-2</v>
      </c>
      <c r="T193" s="176">
        <f t="shared" si="54"/>
        <v>4</v>
      </c>
      <c r="U193" s="251">
        <f t="shared" si="55"/>
        <v>-1.1642556097221357</v>
      </c>
      <c r="V193" s="383">
        <f t="shared" si="56"/>
        <v>60.637337137445797</v>
      </c>
      <c r="W193" s="58"/>
      <c r="X193" s="157">
        <f t="shared" si="57"/>
        <v>43644</v>
      </c>
      <c r="Y193" s="385">
        <f t="shared" si="58"/>
        <v>56.537999999999997</v>
      </c>
      <c r="Z193" s="385">
        <f t="shared" si="59"/>
        <v>57.016777057969833</v>
      </c>
      <c r="AA193" s="386">
        <f t="shared" si="60"/>
        <v>58.282284198032222</v>
      </c>
      <c r="AB193" s="197">
        <f t="shared" si="61"/>
        <v>43644</v>
      </c>
      <c r="AC193" s="426">
        <f>IF(OR(t&lt;Tnet,NoTnet),'2018'!Resal_s+('2018'!Salim-'2018'!Resal_s)*(1-EXP(('2018'!Tnet_s-t)/'2018'!Tau_j)),Resal_s+(Salim-Resal_s)*(1-EXP((Tnet_s-t)/Tau_j)))*Salcycl</f>
        <v>2.1713410129267363E-2</v>
      </c>
      <c r="AD193" s="231">
        <f>(INDEX(Models!$BJ193:$BT193,,AH193)*(1-AF193)+INDEX(Models!$BJ193:$BT193,,AH193+1)*AF193-ERP_i)*AE193*Ramure*Pc/MaxiM</f>
        <v>1.9485376706188521E-5</v>
      </c>
      <c r="AE193" s="305">
        <f t="shared" si="62"/>
        <v>0.5</v>
      </c>
      <c r="AF193" s="177">
        <f t="shared" si="63"/>
        <v>0.83574439027786429</v>
      </c>
      <c r="AG193" s="176">
        <f t="shared" si="64"/>
        <v>-2</v>
      </c>
      <c r="AH193" s="176">
        <f t="shared" si="65"/>
        <v>4</v>
      </c>
      <c r="AI193" s="225">
        <f t="shared" si="66"/>
        <v>-1.1642556097221357</v>
      </c>
      <c r="AJ193" s="265" t="b">
        <f t="shared" si="67"/>
        <v>0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7">
        <v>56.514000000000003</v>
      </c>
      <c r="C194" s="390"/>
      <c r="D194" s="393">
        <f t="shared" si="48"/>
        <v>56.993822131310594</v>
      </c>
      <c r="E194" s="385">
        <f t="shared" si="73"/>
        <v>58.26199496272254</v>
      </c>
      <c r="F194" s="385">
        <f t="shared" si="49"/>
        <v>58.263031779023748</v>
      </c>
      <c r="G194" s="110">
        <f t="shared" si="74"/>
        <v>0.9333264278079304</v>
      </c>
      <c r="H194" s="414" t="b">
        <f>Wh_hp&gt;='2018'!Maxi_hp</f>
        <v>1</v>
      </c>
      <c r="I194" s="390">
        <f>IF(H194,Wh_hp,'2018'!Maxi_hp)</f>
        <v>58.263031779023748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8.4188445934562095E-3</v>
      </c>
      <c r="M194" s="845"/>
      <c r="N194" s="845"/>
      <c r="O194" s="48">
        <f>IF(t&lt;Tnet,'2018'!Resal+('2018'!Salim-'2018'!Resal)*(1-EXP(('2018'!Tnet-t)/('2018'!Tau_j))),Resal+(Salim-Resal)*(1-EXP((Tnet-t)/(Tau_j))))*Salcycl</f>
        <v>2.1766725156310854E-2</v>
      </c>
      <c r="P194" s="169">
        <f>(INDEX(Models!$BJ194:$BT194,,T194)*(1-R194)+INDEX(Models!$BJ194:$BT194,,T194+1)*R194-ERP_i)*Q194*Ramure*Pc/MaxiM</f>
        <v>1.9668804651242984E-5</v>
      </c>
      <c r="Q194" s="305">
        <f t="shared" si="51"/>
        <v>0.5</v>
      </c>
      <c r="R194" s="177">
        <f t="shared" si="52"/>
        <v>0.84021272160963667</v>
      </c>
      <c r="S194" s="811">
        <f t="shared" si="53"/>
        <v>-2</v>
      </c>
      <c r="T194" s="176">
        <f t="shared" si="54"/>
        <v>4</v>
      </c>
      <c r="U194" s="251">
        <f t="shared" si="55"/>
        <v>-1.1597872783903633</v>
      </c>
      <c r="V194" s="383">
        <f t="shared" si="56"/>
        <v>60.551048853864209</v>
      </c>
      <c r="W194" s="58"/>
      <c r="X194" s="157">
        <f t="shared" si="57"/>
        <v>43645</v>
      </c>
      <c r="Y194" s="385">
        <f t="shared" si="58"/>
        <v>56.514000000000003</v>
      </c>
      <c r="Z194" s="385">
        <f t="shared" si="59"/>
        <v>56.993822131310594</v>
      </c>
      <c r="AA194" s="386">
        <f t="shared" si="60"/>
        <v>58.26199496272254</v>
      </c>
      <c r="AB194" s="197">
        <f t="shared" si="61"/>
        <v>43645</v>
      </c>
      <c r="AC194" s="426">
        <f>IF(OR(t&lt;Tnet,NoTnet),'2018'!Resal_s+('2018'!Salim-'2018'!Resal_s)*(1-EXP(('2018'!Tnet_s-t)/'2018'!Tau_j)),Resal_s+(Salim-Resal_s)*(1-EXP((Tnet_s-t)/Tau_j)))*Salcycl</f>
        <v>2.1766725156310854E-2</v>
      </c>
      <c r="AD194" s="231">
        <f>(INDEX(Models!$BJ194:$BT194,,AH194)*(1-AF194)+INDEX(Models!$BJ194:$BT194,,AH194+1)*AF194-ERP_i)*AE194*Ramure*Pc/MaxiM</f>
        <v>1.9668804651242984E-5</v>
      </c>
      <c r="AE194" s="305">
        <f t="shared" si="62"/>
        <v>0.5</v>
      </c>
      <c r="AF194" s="177">
        <f t="shared" si="63"/>
        <v>0.84021272160963667</v>
      </c>
      <c r="AG194" s="176">
        <f t="shared" si="64"/>
        <v>-2</v>
      </c>
      <c r="AH194" s="176">
        <f t="shared" si="65"/>
        <v>4</v>
      </c>
      <c r="AI194" s="225">
        <f t="shared" si="66"/>
        <v>-1.1597872783903633</v>
      </c>
      <c r="AJ194" s="265" t="b">
        <f t="shared" si="67"/>
        <v>0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7">
        <v>50.889000000000003</v>
      </c>
      <c r="C195" s="390"/>
      <c r="D195" s="393">
        <f t="shared" si="48"/>
        <v>51.322188150350229</v>
      </c>
      <c r="E195" s="385">
        <f t="shared" si="73"/>
        <v>52.467001201181574</v>
      </c>
      <c r="F195" s="385">
        <f t="shared" si="49"/>
        <v>52.467807817786799</v>
      </c>
      <c r="G195" s="110">
        <f t="shared" si="74"/>
        <v>0.84165351923900666</v>
      </c>
      <c r="H195" s="414" t="b">
        <f>Wh_hp&gt;='2018'!Maxi_hp</f>
        <v>1</v>
      </c>
      <c r="I195" s="390">
        <f>IF(H195,Wh_hp,'2018'!Maxi_hp)</f>
        <v>52.467807817786799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8.4405627655855797E-3</v>
      </c>
      <c r="M195" s="845"/>
      <c r="N195" s="845"/>
      <c r="O195" s="48">
        <f>IF(t&lt;Tnet,'2018'!Resal+('2018'!Salim-'2018'!Resal)*(1-EXP(('2018'!Tnet-t)/('2018'!Tau_j))),Resal+(Salim-Resal)*(1-EXP((Tnet-t)/(Tau_j))))*Salcycl</f>
        <v>2.1819677599671208E-2</v>
      </c>
      <c r="P195" s="169">
        <f>(INDEX(Models!$BJ195:$BT195,,T195)*(1-R195)+INDEX(Models!$BJ195:$BT195,,T195+1)*R195-ERP_i)*Q195*Ramure*Pc/MaxiM</f>
        <v>1.9867703821946628E-5</v>
      </c>
      <c r="Q195" s="305">
        <f t="shared" si="51"/>
        <v>0.5</v>
      </c>
      <c r="R195" s="177">
        <f t="shared" si="52"/>
        <v>0.84461332185519211</v>
      </c>
      <c r="S195" s="811">
        <f t="shared" si="53"/>
        <v>-2</v>
      </c>
      <c r="T195" s="176">
        <f t="shared" si="54"/>
        <v>4</v>
      </c>
      <c r="U195" s="251">
        <f t="shared" si="55"/>
        <v>-1.1553866781448079</v>
      </c>
      <c r="V195" s="383">
        <f t="shared" si="56"/>
        <v>60.462850959901111</v>
      </c>
      <c r="W195" s="58"/>
      <c r="X195" s="157">
        <f t="shared" si="57"/>
        <v>43646</v>
      </c>
      <c r="Y195" s="385">
        <f t="shared" si="58"/>
        <v>50.889000000000003</v>
      </c>
      <c r="Z195" s="385">
        <f t="shared" si="59"/>
        <v>51.322188150350229</v>
      </c>
      <c r="AA195" s="386">
        <f t="shared" si="60"/>
        <v>52.467001201181574</v>
      </c>
      <c r="AB195" s="197">
        <f t="shared" si="61"/>
        <v>43646</v>
      </c>
      <c r="AC195" s="426">
        <f>IF(OR(t&lt;Tnet,NoTnet),'2018'!Resal_s+('2018'!Salim-'2018'!Resal_s)*(1-EXP(('2018'!Tnet_s-t)/'2018'!Tau_j)),Resal_s+(Salim-Resal_s)*(1-EXP((Tnet_s-t)/Tau_j)))*Salcycl</f>
        <v>2.1819677599671208E-2</v>
      </c>
      <c r="AD195" s="231">
        <f>(INDEX(Models!$BJ195:$BT195,,AH195)*(1-AF195)+INDEX(Models!$BJ195:$BT195,,AH195+1)*AF195-ERP_i)*AE195*Ramure*Pc/MaxiM</f>
        <v>1.9867703821946628E-5</v>
      </c>
      <c r="AE195" s="305">
        <f t="shared" si="62"/>
        <v>0.5</v>
      </c>
      <c r="AF195" s="177">
        <f t="shared" si="63"/>
        <v>0.84461332185519211</v>
      </c>
      <c r="AG195" s="176">
        <f t="shared" si="64"/>
        <v>-2</v>
      </c>
      <c r="AH195" s="176">
        <f t="shared" si="65"/>
        <v>4</v>
      </c>
      <c r="AI195" s="225">
        <f t="shared" si="66"/>
        <v>-1.1553866781448079</v>
      </c>
      <c r="AJ195" s="265" t="b">
        <f t="shared" si="67"/>
        <v>0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7">
        <v>18.844000000000001</v>
      </c>
      <c r="C196" s="390"/>
      <c r="D196" s="393">
        <f t="shared" si="48"/>
        <v>19.004824152106714</v>
      </c>
      <c r="E196" s="385">
        <f t="shared" si="73"/>
        <v>19.429797963984299</v>
      </c>
      <c r="F196" s="385">
        <f t="shared" si="49"/>
        <v>19.429804724236973</v>
      </c>
      <c r="G196" s="110">
        <f t="shared" si="74"/>
        <v>0.31212144775783374</v>
      </c>
      <c r="H196" s="414" t="b">
        <f>Wh_hp&gt;='2018'!Maxi_hp</f>
        <v>1</v>
      </c>
      <c r="I196" s="390">
        <f>IF(H196,Wh_hp,'2018'!Maxi_hp)</f>
        <v>19.429804724236973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8.4622804620312353E-3</v>
      </c>
      <c r="M196" s="845"/>
      <c r="N196" s="845"/>
      <c r="O196" s="48">
        <f>IF(t&lt;Tnet,'2018'!Resal+('2018'!Salim-'2018'!Resal)*(1-EXP(('2018'!Tnet-t)/('2018'!Tau_j))),Resal+(Salim-Resal)*(1-EXP((Tnet-t)/(Tau_j))))*Salcycl</f>
        <v>2.1872271274530477E-2</v>
      </c>
      <c r="P196" s="169">
        <f>(INDEX(Models!$BJ196:$BT196,,T196)*(1-R196)+INDEX(Models!$BJ196:$BT196,,T196+1)*R196-ERP_i)*Q196*Ramure*Pc/MaxiM</f>
        <v>2.0082482697669821E-5</v>
      </c>
      <c r="Q196" s="305">
        <f t="shared" si="51"/>
        <v>0.5</v>
      </c>
      <c r="R196" s="177">
        <f t="shared" si="52"/>
        <v>0.84894408937613508</v>
      </c>
      <c r="S196" s="811">
        <f t="shared" si="53"/>
        <v>-2</v>
      </c>
      <c r="T196" s="176">
        <f t="shared" si="54"/>
        <v>4</v>
      </c>
      <c r="U196" s="251">
        <f t="shared" si="55"/>
        <v>-1.1510559106238649</v>
      </c>
      <c r="V196" s="383">
        <f t="shared" si="56"/>
        <v>60.372743550194315</v>
      </c>
      <c r="W196" s="58"/>
      <c r="X196" s="157">
        <f t="shared" si="57"/>
        <v>43647</v>
      </c>
      <c r="Y196" s="385">
        <f t="shared" si="58"/>
        <v>18.844000000000001</v>
      </c>
      <c r="Z196" s="385">
        <f t="shared" si="59"/>
        <v>19.004824152106714</v>
      </c>
      <c r="AA196" s="386">
        <f t="shared" si="60"/>
        <v>19.429797963984299</v>
      </c>
      <c r="AB196" s="197">
        <f t="shared" si="61"/>
        <v>43647</v>
      </c>
      <c r="AC196" s="426">
        <f>IF(OR(t&lt;Tnet,NoTnet),'2018'!Resal_s+('2018'!Salim-'2018'!Resal_s)*(1-EXP(('2018'!Tnet_s-t)/'2018'!Tau_j)),Resal_s+(Salim-Resal_s)*(1-EXP((Tnet_s-t)/Tau_j)))*Salcycl</f>
        <v>2.1872271274530477E-2</v>
      </c>
      <c r="AD196" s="231">
        <f>(INDEX(Models!$BJ196:$BT196,,AH196)*(1-AF196)+INDEX(Models!$BJ196:$BT196,,AH196+1)*AF196-ERP_i)*AE196*Ramure*Pc/MaxiM</f>
        <v>2.0082482697669821E-5</v>
      </c>
      <c r="AE196" s="305">
        <f t="shared" si="62"/>
        <v>0.5</v>
      </c>
      <c r="AF196" s="177">
        <f t="shared" si="63"/>
        <v>0.84894408937613508</v>
      </c>
      <c r="AG196" s="176">
        <f t="shared" si="64"/>
        <v>-2</v>
      </c>
      <c r="AH196" s="176">
        <f t="shared" si="65"/>
        <v>4</v>
      </c>
      <c r="AI196" s="225">
        <f t="shared" si="66"/>
        <v>-1.1510559106238649</v>
      </c>
      <c r="AJ196" s="265" t="b">
        <f t="shared" si="67"/>
        <v>0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7">
        <v>31.425999999999998</v>
      </c>
      <c r="C197" s="390"/>
      <c r="D197" s="393">
        <f t="shared" si="48"/>
        <v>31.69489945352036</v>
      </c>
      <c r="E197" s="385">
        <f t="shared" si="73"/>
        <v>32.405371368917415</v>
      </c>
      <c r="F197" s="385">
        <f t="shared" si="49"/>
        <v>32.405579502835508</v>
      </c>
      <c r="G197" s="110">
        <f t="shared" si="74"/>
        <v>0.5213202495278948</v>
      </c>
      <c r="H197" s="414" t="b">
        <f>Wh_hp&gt;='2018'!Maxi_hp</f>
        <v>1</v>
      </c>
      <c r="I197" s="390">
        <f>IF(H197,Wh_hp,'2018'!Maxi_hp)</f>
        <v>32.405579502835508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8.4839976828036123E-3</v>
      </c>
      <c r="M197" s="845"/>
      <c r="N197" s="845"/>
      <c r="O197" s="48">
        <f>IF(t&lt;Tnet,'2018'!Resal+('2018'!Salim-'2018'!Resal)*(1-EXP(('2018'!Tnet-t)/('2018'!Tau_j))),Resal+(Salim-Resal)*(1-EXP((Tnet-t)/(Tau_j))))*Salcycl</f>
        <v>2.1924510825959042E-2</v>
      </c>
      <c r="P197" s="169">
        <f>(INDEX(Models!$BJ197:$BT197,,T197)*(1-R197)+INDEX(Models!$BJ197:$BT197,,T197+1)*R197-ERP_i)*Q197*Ramure*Pc/MaxiM</f>
        <v>2.0313546208066536E-5</v>
      </c>
      <c r="Q197" s="305">
        <f t="shared" si="51"/>
        <v>0.5</v>
      </c>
      <c r="R197" s="177">
        <f t="shared" si="52"/>
        <v>0.85320310468379557</v>
      </c>
      <c r="S197" s="811">
        <f t="shared" si="53"/>
        <v>-2</v>
      </c>
      <c r="T197" s="176">
        <f t="shared" si="54"/>
        <v>4</v>
      </c>
      <c r="U197" s="251">
        <f t="shared" si="55"/>
        <v>-1.1467968953162044</v>
      </c>
      <c r="V197" s="383">
        <f t="shared" si="56"/>
        <v>60.280726663593249</v>
      </c>
      <c r="W197" s="58"/>
      <c r="X197" s="157">
        <f t="shared" si="57"/>
        <v>43648</v>
      </c>
      <c r="Y197" s="385">
        <f t="shared" si="58"/>
        <v>31.425999999999998</v>
      </c>
      <c r="Z197" s="385">
        <f t="shared" si="59"/>
        <v>31.69489945352036</v>
      </c>
      <c r="AA197" s="386">
        <f t="shared" si="60"/>
        <v>32.405371368917415</v>
      </c>
      <c r="AB197" s="197">
        <f t="shared" si="61"/>
        <v>43648</v>
      </c>
      <c r="AC197" s="426">
        <f>IF(OR(t&lt;Tnet,NoTnet),'2018'!Resal_s+('2018'!Salim-'2018'!Resal_s)*(1-EXP(('2018'!Tnet_s-t)/'2018'!Tau_j)),Resal_s+(Salim-Resal_s)*(1-EXP((Tnet_s-t)/Tau_j)))*Salcycl</f>
        <v>2.1924510825959042E-2</v>
      </c>
      <c r="AD197" s="231">
        <f>(INDEX(Models!$BJ197:$BT197,,AH197)*(1-AF197)+INDEX(Models!$BJ197:$BT197,,AH197+1)*AF197-ERP_i)*AE197*Ramure*Pc/MaxiM</f>
        <v>2.0313546208066536E-5</v>
      </c>
      <c r="AE197" s="305">
        <f t="shared" si="62"/>
        <v>0.5</v>
      </c>
      <c r="AF197" s="177">
        <f t="shared" si="63"/>
        <v>0.85320310468379557</v>
      </c>
      <c r="AG197" s="176">
        <f t="shared" si="64"/>
        <v>-2</v>
      </c>
      <c r="AH197" s="176">
        <f t="shared" si="65"/>
        <v>4</v>
      </c>
      <c r="AI197" s="225">
        <f t="shared" si="66"/>
        <v>-1.1467968953162044</v>
      </c>
      <c r="AJ197" s="265" t="b">
        <f t="shared" si="67"/>
        <v>0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7">
        <v>52.134</v>
      </c>
      <c r="C198" s="390"/>
      <c r="D198" s="393">
        <f t="shared" si="48"/>
        <v>52.58124102038466</v>
      </c>
      <c r="E198" s="385">
        <f t="shared" si="73"/>
        <v>53.762752873055064</v>
      </c>
      <c r="F198" s="385">
        <f t="shared" si="49"/>
        <v>53.763656051916264</v>
      </c>
      <c r="G198" s="110">
        <f t="shared" si="74"/>
        <v>0.86619995755369716</v>
      </c>
      <c r="H198" s="414" t="b">
        <f>Wh_hp&gt;='2018'!Maxi_hp</f>
        <v>1</v>
      </c>
      <c r="I198" s="390">
        <f>IF(H198,Wh_hp,'2018'!Maxi_hp)</f>
        <v>53.763656051916264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8.5057144279130359E-3</v>
      </c>
      <c r="M198" s="845"/>
      <c r="N198" s="845"/>
      <c r="O198" s="48">
        <f>IF(t&lt;Tnet,'2018'!Resal+('2018'!Salim-'2018'!Resal)*(1-EXP(('2018'!Tnet-t)/('2018'!Tau_j))),Resal+(Salim-Resal)*(1-EXP((Tnet-t)/(Tau_j))))*Salcycl</f>
        <v>2.197640168203803E-2</v>
      </c>
      <c r="P198" s="169">
        <f>(INDEX(Models!$BJ198:$BT198,,T198)*(1-R198)+INDEX(Models!$BJ198:$BT198,,T198+1)*R198-ERP_i)*Q198*Ramure*Pc/MaxiM</f>
        <v>2.0768758691050887E-5</v>
      </c>
      <c r="Q198" s="305">
        <f t="shared" si="51"/>
        <v>0.5</v>
      </c>
      <c r="R198" s="177">
        <f t="shared" si="52"/>
        <v>0.85738863045109204</v>
      </c>
      <c r="S198" s="811">
        <f t="shared" si="53"/>
        <v>-2</v>
      </c>
      <c r="T198" s="176">
        <f t="shared" si="54"/>
        <v>4</v>
      </c>
      <c r="U198" s="251">
        <f t="shared" si="55"/>
        <v>-1.142611369548908</v>
      </c>
      <c r="V198" s="383">
        <f t="shared" si="56"/>
        <v>60.186787802974351</v>
      </c>
      <c r="W198" s="58"/>
      <c r="X198" s="157">
        <f t="shared" si="57"/>
        <v>43649</v>
      </c>
      <c r="Y198" s="385">
        <f t="shared" si="58"/>
        <v>52.134</v>
      </c>
      <c r="Z198" s="385">
        <f t="shared" si="59"/>
        <v>52.58124102038466</v>
      </c>
      <c r="AA198" s="386">
        <f t="shared" si="60"/>
        <v>53.762752873055064</v>
      </c>
      <c r="AB198" s="197">
        <f t="shared" si="61"/>
        <v>43649</v>
      </c>
      <c r="AC198" s="426">
        <f>IF(OR(t&lt;Tnet,NoTnet),'2018'!Resal_s+('2018'!Salim-'2018'!Resal_s)*(1-EXP(('2018'!Tnet_s-t)/'2018'!Tau_j)),Resal_s+(Salim-Resal_s)*(1-EXP((Tnet_s-t)/Tau_j)))*Salcycl</f>
        <v>2.197640168203803E-2</v>
      </c>
      <c r="AD198" s="231">
        <f>(INDEX(Models!$BJ198:$BT198,,AH198)*(1-AF198)+INDEX(Models!$BJ198:$BT198,,AH198+1)*AF198-ERP_i)*AE198*Ramure*Pc/MaxiM</f>
        <v>2.0768758691050887E-5</v>
      </c>
      <c r="AE198" s="305">
        <f t="shared" si="62"/>
        <v>0.5</v>
      </c>
      <c r="AF198" s="177">
        <f t="shared" si="63"/>
        <v>0.85738863045109204</v>
      </c>
      <c r="AG198" s="176">
        <f t="shared" si="64"/>
        <v>-2</v>
      </c>
      <c r="AH198" s="176">
        <f t="shared" si="65"/>
        <v>4</v>
      </c>
      <c r="AI198" s="225">
        <f t="shared" si="66"/>
        <v>-1.142611369548908</v>
      </c>
      <c r="AJ198" s="265" t="b">
        <f t="shared" si="67"/>
        <v>0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7">
        <v>57.203000000000003</v>
      </c>
      <c r="C199" s="390"/>
      <c r="D199" s="393">
        <f t="shared" si="48"/>
        <v>57.69499002905826</v>
      </c>
      <c r="E199" s="385">
        <f t="shared" si="73"/>
        <v>58.994518329269795</v>
      </c>
      <c r="F199" s="385">
        <f t="shared" si="49"/>
        <v>58.995697367701958</v>
      </c>
      <c r="G199" s="110">
        <f t="shared" si="74"/>
        <v>0.95193932217810484</v>
      </c>
      <c r="H199" s="414" t="b">
        <f>Wh_hp&gt;='2018'!Maxi_hp</f>
        <v>1</v>
      </c>
      <c r="I199" s="390">
        <f>IF(H199,Wh_hp,'2018'!Maxi_hp)</f>
        <v>58.995697367701958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8.5274306973701641E-3</v>
      </c>
      <c r="M199" s="845"/>
      <c r="N199" s="845"/>
      <c r="O199" s="48">
        <f>IF(t&lt;Tnet,'2018'!Resal+('2018'!Salim-'2018'!Resal)*(1-EXP(('2018'!Tnet-t)/('2018'!Tau_j))),Resal+(Salim-Resal)*(1-EXP((Tnet-t)/(Tau_j))))*Salcycl</f>
        <v>2.2027950003056081E-2</v>
      </c>
      <c r="P199" s="169">
        <f>(INDEX(Models!$BJ199:$BT199,,T199)*(1-R199)+INDEX(Models!$BJ199:$BT199,,T199+1)*R199-ERP_i)*Q199*Ramure*Pc/MaxiM</f>
        <v>2.1458410627070009E-5</v>
      </c>
      <c r="Q199" s="305">
        <f t="shared" si="51"/>
        <v>0.5</v>
      </c>
      <c r="R199" s="177">
        <f t="shared" si="52"/>
        <v>0.86149911067504936</v>
      </c>
      <c r="S199" s="811">
        <f t="shared" si="53"/>
        <v>-2</v>
      </c>
      <c r="T199" s="176">
        <f t="shared" si="54"/>
        <v>4</v>
      </c>
      <c r="U199" s="251">
        <f t="shared" si="55"/>
        <v>-1.1385008893249506</v>
      </c>
      <c r="V199" s="383">
        <f t="shared" si="56"/>
        <v>60.090926376543955</v>
      </c>
      <c r="W199" s="58"/>
      <c r="X199" s="157">
        <f t="shared" si="57"/>
        <v>43650</v>
      </c>
      <c r="Y199" s="385">
        <f t="shared" si="58"/>
        <v>57.203000000000003</v>
      </c>
      <c r="Z199" s="385">
        <f t="shared" si="59"/>
        <v>57.69499002905826</v>
      </c>
      <c r="AA199" s="386">
        <f t="shared" si="60"/>
        <v>58.994518329269795</v>
      </c>
      <c r="AB199" s="197">
        <f t="shared" si="61"/>
        <v>43650</v>
      </c>
      <c r="AC199" s="426">
        <f>IF(OR(t&lt;Tnet,NoTnet),'2018'!Resal_s+('2018'!Salim-'2018'!Resal_s)*(1-EXP(('2018'!Tnet_s-t)/'2018'!Tau_j)),Resal_s+(Salim-Resal_s)*(1-EXP((Tnet_s-t)/Tau_j)))*Salcycl</f>
        <v>2.2027950003056081E-2</v>
      </c>
      <c r="AD199" s="231">
        <f>(INDEX(Models!$BJ199:$BT199,,AH199)*(1-AF199)+INDEX(Models!$BJ199:$BT199,,AH199+1)*AF199-ERP_i)*AE199*Ramure*Pc/MaxiM</f>
        <v>2.1458410627070009E-5</v>
      </c>
      <c r="AE199" s="305">
        <f t="shared" si="62"/>
        <v>0.5</v>
      </c>
      <c r="AF199" s="177">
        <f t="shared" si="63"/>
        <v>0.86149911067504936</v>
      </c>
      <c r="AG199" s="176">
        <f t="shared" si="64"/>
        <v>-2</v>
      </c>
      <c r="AH199" s="176">
        <f t="shared" si="65"/>
        <v>4</v>
      </c>
      <c r="AI199" s="225">
        <f t="shared" si="66"/>
        <v>-1.1385008893249506</v>
      </c>
      <c r="AJ199" s="265" t="b">
        <f t="shared" si="67"/>
        <v>0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7">
        <v>56.540999999999997</v>
      </c>
      <c r="C200" s="390"/>
      <c r="D200" s="393">
        <f t="shared" si="48"/>
        <v>57.028545388707251</v>
      </c>
      <c r="E200" s="385">
        <f t="shared" si="73"/>
        <v>58.316116406635018</v>
      </c>
      <c r="F200" s="385">
        <f t="shared" si="49"/>
        <v>58.317314668186953</v>
      </c>
      <c r="G200" s="110">
        <f t="shared" si="74"/>
        <v>0.9424559873925189</v>
      </c>
      <c r="H200" s="414" t="b">
        <f>Wh_hp&gt;='2018'!Maxi_hp</f>
        <v>1</v>
      </c>
      <c r="I200" s="390">
        <f>IF(H200,Wh_hp,'2018'!Maxi_hp)</f>
        <v>58.317314668186953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8.5491464911851001E-3</v>
      </c>
      <c r="M200" s="845"/>
      <c r="N200" s="845"/>
      <c r="O200" s="48">
        <f>IF(t&lt;Tnet,'2018'!Resal+('2018'!Salim-'2018'!Resal)*(1-EXP(('2018'!Tnet-t)/('2018'!Tau_j))),Resal+(Salim-Resal)*(1-EXP((Tnet-t)/(Tau_j))))*Salcycl</f>
        <v>2.2079162627181955E-2</v>
      </c>
      <c r="P200" s="169">
        <f>(INDEX(Models!$BJ200:$BT200,,T200)*(1-R200)+INDEX(Models!$BJ200:$BT200,,T200+1)*R200-ERP_i)*Q200*Ramure*Pc/MaxiM</f>
        <v>2.2387602812723062E-5</v>
      </c>
      <c r="Q200" s="305">
        <f t="shared" si="51"/>
        <v>0.5</v>
      </c>
      <c r="R200" s="177">
        <f t="shared" si="52"/>
        <v>0.86553316903502298</v>
      </c>
      <c r="S200" s="811">
        <f t="shared" si="53"/>
        <v>-2</v>
      </c>
      <c r="T200" s="176">
        <f t="shared" si="54"/>
        <v>4</v>
      </c>
      <c r="U200" s="251">
        <f t="shared" si="55"/>
        <v>-1.134466830964977</v>
      </c>
      <c r="V200" s="383">
        <f t="shared" si="56"/>
        <v>59.993142067014588</v>
      </c>
      <c r="W200" s="58"/>
      <c r="X200" s="157">
        <f t="shared" si="57"/>
        <v>43651</v>
      </c>
      <c r="Y200" s="385">
        <f t="shared" si="58"/>
        <v>56.540999999999997</v>
      </c>
      <c r="Z200" s="385">
        <f t="shared" si="59"/>
        <v>57.028545388707251</v>
      </c>
      <c r="AA200" s="386">
        <f t="shared" si="60"/>
        <v>58.316116406635018</v>
      </c>
      <c r="AB200" s="197">
        <f t="shared" si="61"/>
        <v>43651</v>
      </c>
      <c r="AC200" s="426">
        <f>IF(OR(t&lt;Tnet,NoTnet),'2018'!Resal_s+('2018'!Salim-'2018'!Resal_s)*(1-EXP(('2018'!Tnet_s-t)/'2018'!Tau_j)),Resal_s+(Salim-Resal_s)*(1-EXP((Tnet_s-t)/Tau_j)))*Salcycl</f>
        <v>2.2079162627181955E-2</v>
      </c>
      <c r="AD200" s="231">
        <f>(INDEX(Models!$BJ200:$BT200,,AH200)*(1-AF200)+INDEX(Models!$BJ200:$BT200,,AH200+1)*AF200-ERP_i)*AE200*Ramure*Pc/MaxiM</f>
        <v>2.2387602812723062E-5</v>
      </c>
      <c r="AE200" s="305">
        <f t="shared" si="62"/>
        <v>0.5</v>
      </c>
      <c r="AF200" s="177">
        <f t="shared" si="63"/>
        <v>0.86553316903502298</v>
      </c>
      <c r="AG200" s="176">
        <f t="shared" si="64"/>
        <v>-2</v>
      </c>
      <c r="AH200" s="176">
        <f t="shared" si="65"/>
        <v>4</v>
      </c>
      <c r="AI200" s="225">
        <f t="shared" si="66"/>
        <v>-1.134466830964977</v>
      </c>
      <c r="AJ200" s="265" t="b">
        <f t="shared" si="67"/>
        <v>0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7">
        <v>54.552999999999997</v>
      </c>
      <c r="C201" s="390"/>
      <c r="D201" s="393">
        <f t="shared" si="48"/>
        <v>55.024608313973694</v>
      </c>
      <c r="E201" s="385">
        <f t="shared" si="73"/>
        <v>56.269863028205265</v>
      </c>
      <c r="F201" s="385">
        <f t="shared" si="49"/>
        <v>56.271019962523255</v>
      </c>
      <c r="G201" s="110">
        <f t="shared" si="74"/>
        <v>0.91083165786082454</v>
      </c>
      <c r="H201" s="414" t="b">
        <f>Wh_hp&gt;='2018'!Maxi_hp</f>
        <v>1</v>
      </c>
      <c r="I201" s="390">
        <f>IF(H201,Wh_hp,'2018'!Maxi_hp)</f>
        <v>56.271019962523255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8.5708618093685018E-3</v>
      </c>
      <c r="M201" s="845"/>
      <c r="N201" s="845"/>
      <c r="O201" s="48">
        <f>IF(t&lt;Tnet,'2018'!Resal+('2018'!Salim-'2018'!Resal)*(1-EXP(('2018'!Tnet-t)/('2018'!Tau_j))),Resal+(Salim-Resal)*(1-EXP((Tnet-t)/(Tau_j))))*Salcycl</f>
        <v>2.213004701304121E-2</v>
      </c>
      <c r="P201" s="169">
        <f>(INDEX(Models!$BJ201:$BT201,,T201)*(1-R201)+INDEX(Models!$BJ201:$BT201,,T201+1)*R201-ERP_i)*Q201*Ramure*Pc/MaxiM</f>
        <v>2.3561258034507071E-5</v>
      </c>
      <c r="Q201" s="305">
        <f t="shared" si="51"/>
        <v>0.5</v>
      </c>
      <c r="R201" s="177">
        <f t="shared" si="52"/>
        <v>0.86948960649614926</v>
      </c>
      <c r="S201" s="811">
        <f t="shared" si="53"/>
        <v>-2</v>
      </c>
      <c r="T201" s="176">
        <f t="shared" si="54"/>
        <v>4</v>
      </c>
      <c r="U201" s="251">
        <f t="shared" si="55"/>
        <v>-1.1305103935038507</v>
      </c>
      <c r="V201" s="383">
        <f t="shared" si="56"/>
        <v>59.893434533455647</v>
      </c>
      <c r="W201" s="58"/>
      <c r="X201" s="157">
        <f t="shared" si="57"/>
        <v>43652</v>
      </c>
      <c r="Y201" s="385">
        <f t="shared" si="58"/>
        <v>54.552999999999997</v>
      </c>
      <c r="Z201" s="385">
        <f t="shared" si="59"/>
        <v>55.024608313973694</v>
      </c>
      <c r="AA201" s="386">
        <f t="shared" si="60"/>
        <v>56.269863028205265</v>
      </c>
      <c r="AB201" s="197">
        <f t="shared" si="61"/>
        <v>43652</v>
      </c>
      <c r="AC201" s="426">
        <f>IF(OR(t&lt;Tnet,NoTnet),'2018'!Resal_s+('2018'!Salim-'2018'!Resal_s)*(1-EXP(('2018'!Tnet_s-t)/'2018'!Tau_j)),Resal_s+(Salim-Resal_s)*(1-EXP((Tnet_s-t)/Tau_j)))*Salcycl</f>
        <v>2.213004701304121E-2</v>
      </c>
      <c r="AD201" s="231">
        <f>(INDEX(Models!$BJ201:$BT201,,AH201)*(1-AF201)+INDEX(Models!$BJ201:$BT201,,AH201+1)*AF201-ERP_i)*AE201*Ramure*Pc/MaxiM</f>
        <v>2.3561258034507071E-5</v>
      </c>
      <c r="AE201" s="305">
        <f t="shared" si="62"/>
        <v>0.5</v>
      </c>
      <c r="AF201" s="177">
        <f t="shared" si="63"/>
        <v>0.86948960649614926</v>
      </c>
      <c r="AG201" s="176">
        <f t="shared" si="64"/>
        <v>-2</v>
      </c>
      <c r="AH201" s="176">
        <f t="shared" si="65"/>
        <v>4</v>
      </c>
      <c r="AI201" s="225">
        <f t="shared" si="66"/>
        <v>-1.1305103935038507</v>
      </c>
      <c r="AJ201" s="265" t="b">
        <f t="shared" si="67"/>
        <v>0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7">
        <v>52.55</v>
      </c>
      <c r="C202" s="390"/>
      <c r="D202" s="393">
        <f t="shared" si="48"/>
        <v>53.005453421494529</v>
      </c>
      <c r="E202" s="385">
        <f t="shared" si="73"/>
        <v>54.207815909071542</v>
      </c>
      <c r="F202" s="385">
        <f t="shared" si="49"/>
        <v>54.208935934270478</v>
      </c>
      <c r="G202" s="110">
        <f t="shared" si="74"/>
        <v>0.87887920800712938</v>
      </c>
      <c r="H202" s="414" t="b">
        <f>Wh_hp&gt;='2018'!Maxi_hp</f>
        <v>1</v>
      </c>
      <c r="I202" s="390">
        <f>IF(H202,Wh_hp,'2018'!Maxi_hp)</f>
        <v>54.208935934270478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8.5925766519306945E-3</v>
      </c>
      <c r="M202" s="845"/>
      <c r="N202" s="845"/>
      <c r="O202" s="48">
        <f>IF(t&lt;Tnet,'2018'!Resal+('2018'!Salim-'2018'!Resal)*(1-EXP(('2018'!Tnet-t)/('2018'!Tau_j))),Resal+(Salim-Resal)*(1-EXP((Tnet-t)/(Tau_j))))*Salcycl</f>
        <v>2.218061117964721E-2</v>
      </c>
      <c r="P202" s="169">
        <f>(INDEX(Models!$BJ202:$BT202,,T202)*(1-R202)+INDEX(Models!$BJ202:$BT202,,T202+1)*R202-ERP_i)*Q202*Ramure*Pc/MaxiM</f>
        <v>2.4984125327721569E-5</v>
      </c>
      <c r="Q202" s="305">
        <f t="shared" si="51"/>
        <v>0.5</v>
      </c>
      <c r="R202" s="177">
        <f t="shared" si="52"/>
        <v>0.87336739821118892</v>
      </c>
      <c r="S202" s="811">
        <f t="shared" si="53"/>
        <v>-2</v>
      </c>
      <c r="T202" s="176">
        <f t="shared" si="54"/>
        <v>4</v>
      </c>
      <c r="U202" s="251">
        <f t="shared" si="55"/>
        <v>-1.1266326017888111</v>
      </c>
      <c r="V202" s="383">
        <f t="shared" si="56"/>
        <v>59.791803413078163</v>
      </c>
      <c r="W202" s="58"/>
      <c r="X202" s="157">
        <f t="shared" si="57"/>
        <v>43653</v>
      </c>
      <c r="Y202" s="385">
        <f t="shared" si="58"/>
        <v>52.55</v>
      </c>
      <c r="Z202" s="385">
        <f t="shared" si="59"/>
        <v>53.005453421494529</v>
      </c>
      <c r="AA202" s="386">
        <f t="shared" si="60"/>
        <v>54.207815909071542</v>
      </c>
      <c r="AB202" s="197">
        <f t="shared" si="61"/>
        <v>43653</v>
      </c>
      <c r="AC202" s="426">
        <f>IF(OR(t&lt;Tnet,NoTnet),'2018'!Resal_s+('2018'!Salim-'2018'!Resal_s)*(1-EXP(('2018'!Tnet_s-t)/'2018'!Tau_j)),Resal_s+(Salim-Resal_s)*(1-EXP((Tnet_s-t)/Tau_j)))*Salcycl</f>
        <v>2.218061117964721E-2</v>
      </c>
      <c r="AD202" s="231">
        <f>(INDEX(Models!$BJ202:$BT202,,AH202)*(1-AF202)+INDEX(Models!$BJ202:$BT202,,AH202+1)*AF202-ERP_i)*AE202*Ramure*Pc/MaxiM</f>
        <v>2.4984125327721569E-5</v>
      </c>
      <c r="AE202" s="305">
        <f t="shared" si="62"/>
        <v>0.5</v>
      </c>
      <c r="AF202" s="177">
        <f t="shared" si="63"/>
        <v>0.87336739821118892</v>
      </c>
      <c r="AG202" s="176">
        <f t="shared" si="64"/>
        <v>-2</v>
      </c>
      <c r="AH202" s="176">
        <f t="shared" si="65"/>
        <v>4</v>
      </c>
      <c r="AI202" s="225">
        <f t="shared" si="66"/>
        <v>-1.1266326017888111</v>
      </c>
      <c r="AJ202" s="265" t="b">
        <f t="shared" si="67"/>
        <v>0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7">
        <v>36.337000000000003</v>
      </c>
      <c r="C203" s="390"/>
      <c r="D203" s="393">
        <f t="shared" si="48"/>
        <v>36.652737346138288</v>
      </c>
      <c r="E203" s="385">
        <f t="shared" si="73"/>
        <v>37.486085399201095</v>
      </c>
      <c r="F203" s="385">
        <f t="shared" si="49"/>
        <v>37.486526257466686</v>
      </c>
      <c r="G203" s="110">
        <f t="shared" si="74"/>
        <v>0.60877073086994582</v>
      </c>
      <c r="H203" s="414" t="b">
        <f>Wh_hp&gt;='2018'!Maxi_hp</f>
        <v>1</v>
      </c>
      <c r="I203" s="390">
        <f>IF(H203,Wh_hp,'2018'!Maxi_hp)</f>
        <v>37.486526257466686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8.6142910188821142E-3</v>
      </c>
      <c r="M203" s="845"/>
      <c r="N203" s="845"/>
      <c r="O203" s="48">
        <f>IF(t&lt;Tnet,'2018'!Resal+('2018'!Salim-'2018'!Resal)*(1-EXP(('2018'!Tnet-t)/('2018'!Tau_j))),Resal+(Salim-Resal)*(1-EXP((Tnet-t)/(Tau_j))))*Salcycl</f>
        <v>2.2230863644155465E-2</v>
      </c>
      <c r="P203" s="169">
        <f>(INDEX(Models!$BJ203:$BT203,,T203)*(1-R203)+INDEX(Models!$BJ203:$BT203,,T203+1)*R203-ERP_i)*Q203*Ramure*Pc/MaxiM</f>
        <v>2.6660785795570118E-5</v>
      </c>
      <c r="Q203" s="305">
        <f t="shared" si="51"/>
        <v>0.5</v>
      </c>
      <c r="R203" s="177">
        <f t="shared" si="52"/>
        <v>0.87716568977679121</v>
      </c>
      <c r="S203" s="811">
        <f t="shared" si="53"/>
        <v>-2</v>
      </c>
      <c r="T203" s="176">
        <f t="shared" si="54"/>
        <v>4</v>
      </c>
      <c r="U203" s="251">
        <f t="shared" si="55"/>
        <v>-1.1228343102232088</v>
      </c>
      <c r="V203" s="383">
        <f t="shared" si="56"/>
        <v>59.688248329642285</v>
      </c>
      <c r="W203" s="58"/>
      <c r="X203" s="157">
        <f t="shared" si="57"/>
        <v>43654</v>
      </c>
      <c r="Y203" s="385">
        <f t="shared" si="58"/>
        <v>36.337000000000003</v>
      </c>
      <c r="Z203" s="385">
        <f t="shared" si="59"/>
        <v>36.652737346138288</v>
      </c>
      <c r="AA203" s="386">
        <f t="shared" si="60"/>
        <v>37.486085399201095</v>
      </c>
      <c r="AB203" s="197">
        <f t="shared" si="61"/>
        <v>43654</v>
      </c>
      <c r="AC203" s="426">
        <f>IF(OR(t&lt;Tnet,NoTnet),'2018'!Resal_s+('2018'!Salim-'2018'!Resal_s)*(1-EXP(('2018'!Tnet_s-t)/'2018'!Tau_j)),Resal_s+(Salim-Resal_s)*(1-EXP((Tnet_s-t)/Tau_j)))*Salcycl</f>
        <v>2.2230863644155465E-2</v>
      </c>
      <c r="AD203" s="231">
        <f>(INDEX(Models!$BJ203:$BT203,,AH203)*(1-AF203)+INDEX(Models!$BJ203:$BT203,,AH203+1)*AF203-ERP_i)*AE203*Ramure*Pc/MaxiM</f>
        <v>2.6660785795570118E-5</v>
      </c>
      <c r="AE203" s="305">
        <f t="shared" si="62"/>
        <v>0.5</v>
      </c>
      <c r="AF203" s="177">
        <f t="shared" si="63"/>
        <v>0.87716568977679121</v>
      </c>
      <c r="AG203" s="176">
        <f t="shared" si="64"/>
        <v>-2</v>
      </c>
      <c r="AH203" s="176">
        <f t="shared" si="65"/>
        <v>4</v>
      </c>
      <c r="AI203" s="225">
        <f t="shared" si="66"/>
        <v>-1.1228343102232088</v>
      </c>
      <c r="AJ203" s="265" t="b">
        <f t="shared" si="67"/>
        <v>0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7">
        <v>20.405000000000001</v>
      </c>
      <c r="C204" s="390"/>
      <c r="D204" s="393">
        <f t="shared" si="48"/>
        <v>20.58275275384835</v>
      </c>
      <c r="E204" s="385">
        <f t="shared" si="73"/>
        <v>21.051804071206487</v>
      </c>
      <c r="F204" s="385">
        <f t="shared" si="49"/>
        <v>21.051840590390182</v>
      </c>
      <c r="G204" s="110">
        <f t="shared" si="74"/>
        <v>0.34245558374204077</v>
      </c>
      <c r="H204" s="414" t="b">
        <f>Wh_hp&gt;='2018'!Maxi_hp</f>
        <v>1</v>
      </c>
      <c r="I204" s="390">
        <f>IF(H204,Wh_hp,'2018'!Maxi_hp)</f>
        <v>21.051840590390182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8.636004910233086E-3</v>
      </c>
      <c r="M204" s="845"/>
      <c r="N204" s="845"/>
      <c r="O204" s="48">
        <f>IF(t&lt;Tnet,'2018'!Resal+('2018'!Salim-'2018'!Resal)*(1-EXP(('2018'!Tnet-t)/('2018'!Tau_j))),Resal+(Salim-Resal)*(1-EXP((Tnet-t)/(Tau_j))))*Salcycl</f>
        <v>2.2280813357924031E-2</v>
      </c>
      <c r="P204" s="169">
        <f>(INDEX(Models!$BJ204:$BT204,,T204)*(1-R204)+INDEX(Models!$BJ204:$BT204,,T204+1)*R204-ERP_i)*Q204*Ramure*Pc/MaxiM</f>
        <v>2.8595659863502045E-5</v>
      </c>
      <c r="Q204" s="305">
        <f t="shared" si="51"/>
        <v>0.5</v>
      </c>
      <c r="R204" s="177">
        <f t="shared" si="52"/>
        <v>0.88088379290224328</v>
      </c>
      <c r="S204" s="811">
        <f t="shared" si="53"/>
        <v>-2</v>
      </c>
      <c r="T204" s="176">
        <f t="shared" si="54"/>
        <v>4</v>
      </c>
      <c r="U204" s="251">
        <f t="shared" si="55"/>
        <v>-1.1191162070977567</v>
      </c>
      <c r="V204" s="383">
        <f t="shared" si="56"/>
        <v>59.58276889148889</v>
      </c>
      <c r="W204" s="58"/>
      <c r="X204" s="157">
        <f t="shared" si="57"/>
        <v>43655</v>
      </c>
      <c r="Y204" s="385">
        <f t="shared" si="58"/>
        <v>20.405000000000001</v>
      </c>
      <c r="Z204" s="385">
        <f t="shared" si="59"/>
        <v>20.58275275384835</v>
      </c>
      <c r="AA204" s="386">
        <f t="shared" si="60"/>
        <v>21.051804071206487</v>
      </c>
      <c r="AB204" s="197">
        <f t="shared" si="61"/>
        <v>43655</v>
      </c>
      <c r="AC204" s="426">
        <f>IF(OR(t&lt;Tnet,NoTnet),'2018'!Resal_s+('2018'!Salim-'2018'!Resal_s)*(1-EXP(('2018'!Tnet_s-t)/'2018'!Tau_j)),Resal_s+(Salim-Resal_s)*(1-EXP((Tnet_s-t)/Tau_j)))*Salcycl</f>
        <v>2.2280813357924031E-2</v>
      </c>
      <c r="AD204" s="231">
        <f>(INDEX(Models!$BJ204:$BT204,,AH204)*(1-AF204)+INDEX(Models!$BJ204:$BT204,,AH204+1)*AF204-ERP_i)*AE204*Ramure*Pc/MaxiM</f>
        <v>2.8595659863502045E-5</v>
      </c>
      <c r="AE204" s="305">
        <f t="shared" si="62"/>
        <v>0.5</v>
      </c>
      <c r="AF204" s="177">
        <f t="shared" si="63"/>
        <v>0.88088379290224328</v>
      </c>
      <c r="AG204" s="176">
        <f t="shared" si="64"/>
        <v>-2</v>
      </c>
      <c r="AH204" s="176">
        <f t="shared" si="65"/>
        <v>4</v>
      </c>
      <c r="AI204" s="225">
        <f t="shared" si="66"/>
        <v>-1.1191162070977567</v>
      </c>
      <c r="AJ204" s="265" t="b">
        <f t="shared" si="67"/>
        <v>0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7">
        <v>58.134</v>
      </c>
      <c r="C205" s="390"/>
      <c r="D205" s="393">
        <f t="shared" si="48"/>
        <v>58.641703349758728</v>
      </c>
      <c r="E205" s="385">
        <f t="shared" si="73"/>
        <v>59.981109698946881</v>
      </c>
      <c r="F205" s="385">
        <f t="shared" si="49"/>
        <v>59.982897259607313</v>
      </c>
      <c r="G205" s="110">
        <f t="shared" si="74"/>
        <v>0.97744945311123188</v>
      </c>
      <c r="H205" s="414" t="b">
        <f>Wh_hp&gt;='2018'!Maxi_hp</f>
        <v>1</v>
      </c>
      <c r="I205" s="390">
        <f>IF(H205,Wh_hp,'2018'!Maxi_hp)</f>
        <v>59.982897259607313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8.657718325994268E-3</v>
      </c>
      <c r="M205" s="845"/>
      <c r="N205" s="845"/>
      <c r="O205" s="48">
        <f>IF(t&lt;Tnet,'2018'!Resal+('2018'!Salim-'2018'!Resal)*(1-EXP(('2018'!Tnet-t)/('2018'!Tau_j))),Resal+(Salim-Resal)*(1-EXP((Tnet-t)/(Tau_j))))*Salcycl</f>
        <v>2.233046964137236E-2</v>
      </c>
      <c r="P205" s="169">
        <f>(INDEX(Models!$BJ205:$BT205,,T205)*(1-R205)+INDEX(Models!$BJ205:$BT205,,T205+1)*R205-ERP_i)*Q205*Ramure*Pc/MaxiM</f>
        <v>3.0793132542821582E-5</v>
      </c>
      <c r="Q205" s="305">
        <f t="shared" si="51"/>
        <v>0.5</v>
      </c>
      <c r="R205" s="177">
        <f t="shared" si="52"/>
        <v>0.88452118055007212</v>
      </c>
      <c r="S205" s="811">
        <f t="shared" si="53"/>
        <v>-2</v>
      </c>
      <c r="T205" s="176">
        <f t="shared" si="54"/>
        <v>4</v>
      </c>
      <c r="U205" s="251">
        <f t="shared" si="55"/>
        <v>-1.1154788194499279</v>
      </c>
      <c r="V205" s="383">
        <f t="shared" si="56"/>
        <v>59.475139247996637</v>
      </c>
      <c r="W205" s="58"/>
      <c r="X205" s="157">
        <f t="shared" si="57"/>
        <v>43656</v>
      </c>
      <c r="Y205" s="385">
        <f t="shared" si="58"/>
        <v>58.134</v>
      </c>
      <c r="Z205" s="385">
        <f t="shared" si="59"/>
        <v>58.641703349758728</v>
      </c>
      <c r="AA205" s="386">
        <f t="shared" si="60"/>
        <v>59.981109698946881</v>
      </c>
      <c r="AB205" s="197">
        <f t="shared" si="61"/>
        <v>43656</v>
      </c>
      <c r="AC205" s="426">
        <f>IF(OR(t&lt;Tnet,NoTnet),'2018'!Resal_s+('2018'!Salim-'2018'!Resal_s)*(1-EXP(('2018'!Tnet_s-t)/'2018'!Tau_j)),Resal_s+(Salim-Resal_s)*(1-EXP((Tnet_s-t)/Tau_j)))*Salcycl</f>
        <v>2.233046964137236E-2</v>
      </c>
      <c r="AD205" s="231">
        <f>(INDEX(Models!$BJ205:$BT205,,AH205)*(1-AF205)+INDEX(Models!$BJ205:$BT205,,AH205+1)*AF205-ERP_i)*AE205*Ramure*Pc/MaxiM</f>
        <v>3.0793132542821582E-5</v>
      </c>
      <c r="AE205" s="305">
        <f t="shared" si="62"/>
        <v>0.5</v>
      </c>
      <c r="AF205" s="177">
        <f t="shared" si="63"/>
        <v>0.88452118055007212</v>
      </c>
      <c r="AG205" s="176">
        <f t="shared" si="64"/>
        <v>-2</v>
      </c>
      <c r="AH205" s="176">
        <f t="shared" si="65"/>
        <v>4</v>
      </c>
      <c r="AI205" s="225">
        <f t="shared" si="66"/>
        <v>-1.1154788194499279</v>
      </c>
      <c r="AJ205" s="265" t="b">
        <f t="shared" si="67"/>
        <v>0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7">
        <v>59.554000000000002</v>
      </c>
      <c r="C206" s="390"/>
      <c r="D206" s="393">
        <f t="shared" si="48"/>
        <v>60.075420482867656</v>
      </c>
      <c r="E206" s="385">
        <f t="shared" si="73"/>
        <v>61.450676930627665</v>
      </c>
      <c r="F206" s="385">
        <f t="shared" si="49"/>
        <v>61.452728703103304</v>
      </c>
      <c r="G206" s="110">
        <f t="shared" si="74"/>
        <v>1.0031803949602056</v>
      </c>
      <c r="H206" s="414" t="b">
        <f>Wh_hp&gt;='2018'!Maxi_hp</f>
        <v>1</v>
      </c>
      <c r="I206" s="390">
        <f>IF(H206,Wh_hp,'2018'!Maxi_hp)</f>
        <v>61.452728703103304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8.6794312661757633E-3</v>
      </c>
      <c r="M206" s="845"/>
      <c r="N206" s="845"/>
      <c r="O206" s="48">
        <f>IF(t&lt;Tnet,'2018'!Resal+('2018'!Salim-'2018'!Resal)*(1-EXP(('2018'!Tnet-t)/('2018'!Tau_j))),Resal+(Salim-Resal)*(1-EXP((Tnet-t)/(Tau_j))))*Salcycl</f>
        <v>2.23798421181357E-2</v>
      </c>
      <c r="P206" s="169">
        <f>(INDEX(Models!$BJ206:$BT206,,T206)*(1-R206)+INDEX(Models!$BJ206:$BT206,,T206+1)*R206-ERP_i)*Q206*Ramure*Pc/MaxiM</f>
        <v>3.3387817253051952E-5</v>
      </c>
      <c r="Q206" s="305">
        <f t="shared" si="51"/>
        <v>0.5</v>
      </c>
      <c r="R206" s="177">
        <f t="shared" si="52"/>
        <v>0.88807748160843625</v>
      </c>
      <c r="S206" s="811">
        <f t="shared" si="53"/>
        <v>-2</v>
      </c>
      <c r="T206" s="176">
        <f t="shared" si="54"/>
        <v>4</v>
      </c>
      <c r="U206" s="251">
        <f t="shared" si="55"/>
        <v>-1.1119225183915638</v>
      </c>
      <c r="V206" s="383">
        <f t="shared" si="56"/>
        <v>59.36519523227166</v>
      </c>
      <c r="W206" s="58"/>
      <c r="X206" s="157">
        <f t="shared" si="57"/>
        <v>43657</v>
      </c>
      <c r="Y206" s="385">
        <f t="shared" si="58"/>
        <v>59.554000000000002</v>
      </c>
      <c r="Z206" s="385">
        <f t="shared" si="59"/>
        <v>60.075420482867656</v>
      </c>
      <c r="AA206" s="386">
        <f t="shared" si="60"/>
        <v>61.450676930627665</v>
      </c>
      <c r="AB206" s="197">
        <f t="shared" si="61"/>
        <v>43657</v>
      </c>
      <c r="AC206" s="426">
        <f>IF(OR(t&lt;Tnet,NoTnet),'2018'!Resal_s+('2018'!Salim-'2018'!Resal_s)*(1-EXP(('2018'!Tnet_s-t)/'2018'!Tau_j)),Resal_s+(Salim-Resal_s)*(1-EXP((Tnet_s-t)/Tau_j)))*Salcycl</f>
        <v>2.23798421181357E-2</v>
      </c>
      <c r="AD206" s="231">
        <f>(INDEX(Models!$BJ206:$BT206,,AH206)*(1-AF206)+INDEX(Models!$BJ206:$BT206,,AH206+1)*AF206-ERP_i)*AE206*Ramure*Pc/MaxiM</f>
        <v>3.3387817253051952E-5</v>
      </c>
      <c r="AE206" s="305">
        <f t="shared" si="62"/>
        <v>0.5</v>
      </c>
      <c r="AF206" s="177">
        <f t="shared" si="63"/>
        <v>0.88807748160843625</v>
      </c>
      <c r="AG206" s="176">
        <f t="shared" si="64"/>
        <v>-2</v>
      </c>
      <c r="AH206" s="176">
        <f t="shared" si="65"/>
        <v>4</v>
      </c>
      <c r="AI206" s="225">
        <f t="shared" si="66"/>
        <v>-1.1119225183915638</v>
      </c>
      <c r="AJ206" s="265" t="b">
        <f t="shared" si="67"/>
        <v>0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7">
        <v>59.959000000000003</v>
      </c>
      <c r="C207" s="390"/>
      <c r="D207" s="393">
        <f t="shared" ref="D207:D270" si="75">Wh/(1-Ppv)</f>
        <v>60.485291212438007</v>
      </c>
      <c r="E207" s="385">
        <f t="shared" si="73"/>
        <v>61.873037907438039</v>
      </c>
      <c r="F207" s="385">
        <f t="shared" ref="F207:F270" si="76">Wh_sa/(1-Pvg*MEDIAN((-Sdif+Wh/Env_an)/Csdif,0,1))</f>
        <v>61.87528776158792</v>
      </c>
      <c r="G207" s="110">
        <f t="shared" si="74"/>
        <v>1.0119142921741808</v>
      </c>
      <c r="H207" s="414" t="b">
        <f>Wh_hp&gt;='2018'!Maxi_hp</f>
        <v>1</v>
      </c>
      <c r="I207" s="390">
        <f>IF(H207,Wh_hp,'2018'!Maxi_hp)</f>
        <v>61.87528776158792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8.70114373078823E-3</v>
      </c>
      <c r="M207" s="845"/>
      <c r="N207" s="845"/>
      <c r="O207" s="48">
        <f>IF(t&lt;Tnet,'2018'!Resal+('2018'!Salim-'2018'!Resal)*(1-EXP(('2018'!Tnet-t)/('2018'!Tau_j))),Resal+(Salim-Resal)*(1-EXP((Tnet-t)/(Tau_j))))*Salcycl</f>
        <v>2.2428940649012619E-2</v>
      </c>
      <c r="P207" s="169">
        <f>(INDEX(Models!$BJ207:$BT207,,T207)*(1-R207)+INDEX(Models!$BJ207:$BT207,,T207+1)*R207-ERP_i)*Q207*Ramure*Pc/MaxiM</f>
        <v>3.6361110085592341E-5</v>
      </c>
      <c r="Q207" s="305">
        <f t="shared" ref="Q207:Q270" si="78">IF(OR(t&lt;Ttai,Notai),Dd+PousD*Croivg,Dens+PousD*(Croivg-Croi_tai))</f>
        <v>0.5</v>
      </c>
      <c r="R207" s="177">
        <f t="shared" ref="R207:R270" si="79">(Hp_vg-S207)/(INDEX(Echel_vg,T207+1)-S207)</f>
        <v>0.89155247515515446</v>
      </c>
      <c r="S207" s="811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-1.1084475248448455</v>
      </c>
      <c r="V207" s="383">
        <f t="shared" ref="V207:V270" si="83">MaxiM*(1-Ppv)*(1-Pvg)*(1-Psa)</f>
        <v>59.253041946045819</v>
      </c>
      <c r="W207" s="58"/>
      <c r="X207" s="157">
        <f t="shared" ref="X207:X270" si="84">t</f>
        <v>43658</v>
      </c>
      <c r="Y207" s="385">
        <f t="shared" ref="Y207:Y270" si="85">Wh_pvt_s*(1-Ppv)</f>
        <v>59.959000000000003</v>
      </c>
      <c r="Z207" s="385">
        <f t="shared" ref="Z207:Z270" si="86">Wh_sa_s*(1-Psa_s)</f>
        <v>60.485291212438007</v>
      </c>
      <c r="AA207" s="386">
        <f t="shared" ref="AA207:AA270" si="87">Wh_hp*(1-Pvg_s*MEDIAN((-Sdif+Wh/Env_an)/Csdif,0,1))</f>
        <v>61.873037907438039</v>
      </c>
      <c r="AB207" s="197">
        <f t="shared" ref="AB207:AB270" si="88">t</f>
        <v>43658</v>
      </c>
      <c r="AC207" s="426">
        <f>IF(OR(t&lt;Tnet,NoTnet),'2018'!Resal_s+('2018'!Salim-'2018'!Resal_s)*(1-EXP(('2018'!Tnet_s-t)/'2018'!Tau_j)),Resal_s+(Salim-Resal_s)*(1-EXP((Tnet_s-t)/Tau_j)))*Salcycl</f>
        <v>2.2428940649012619E-2</v>
      </c>
      <c r="AD207" s="231">
        <f>(INDEX(Models!$BJ207:$BT207,,AH207)*(1-AF207)+INDEX(Models!$BJ207:$BT207,,AH207+1)*AF207-ERP_i)*AE207*Ramure*Pc/MaxiM</f>
        <v>3.6361110085592341E-5</v>
      </c>
      <c r="AE207" s="305">
        <f t="shared" ref="AE207:AE270" si="89">IF(OR(t&lt;Ttai,Notai),Dd_s+PousD*Croivg,Dens_s+PousD*(Croivg-Croi_tai))</f>
        <v>0.5</v>
      </c>
      <c r="AF207" s="177">
        <f t="shared" ref="AF207:AF270" si="90">(Hp_vg_s-AG207)/(INDEX(Echel_vg,AH207+1)-AG207)</f>
        <v>0.89155247515515446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-1.1084475248448455</v>
      </c>
      <c r="AJ207" s="265" t="b">
        <f t="shared" ref="AJ207:AJ270" si="94">t&lt;Tnet</f>
        <v>0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7">
        <v>51.207999999999998</v>
      </c>
      <c r="C208" s="390"/>
      <c r="D208" s="393">
        <f t="shared" si="75"/>
        <v>51.65861060701247</v>
      </c>
      <c r="E208" s="385">
        <f t="shared" si="73"/>
        <v>52.846481951937342</v>
      </c>
      <c r="F208" s="385">
        <f t="shared" si="76"/>
        <v>52.848178882001989</v>
      </c>
      <c r="G208" s="110">
        <f t="shared" si="74"/>
        <v>0.86588880818613656</v>
      </c>
      <c r="H208" s="414" t="b">
        <f>Wh_hp&gt;='2018'!Maxi_hp</f>
        <v>1</v>
      </c>
      <c r="I208" s="390">
        <f>IF(H208,Wh_hp,'2018'!Maxi_hp)</f>
        <v>52.848178882001989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8.7228557198419931E-3</v>
      </c>
      <c r="M208" s="845"/>
      <c r="N208" s="845"/>
      <c r="O208" s="48">
        <f>IF(t&lt;Tnet,'2018'!Resal+('2018'!Salim-'2018'!Resal)*(1-EXP(('2018'!Tnet-t)/('2018'!Tau_j))),Resal+(Salim-Resal)*(1-EXP((Tnet-t)/(Tau_j))))*Salcycl</f>
        <v>2.2477775266198683E-2</v>
      </c>
      <c r="P208" s="169">
        <f>(INDEX(Models!$BJ208:$BT208,,T208)*(1-R208)+INDEX(Models!$BJ208:$BT208,,T208+1)*R208-ERP_i)*Q208*Ramure*Pc/MaxiM</f>
        <v>3.97187704891264E-5</v>
      </c>
      <c r="Q208" s="305">
        <f t="shared" si="78"/>
        <v>0.5</v>
      </c>
      <c r="R208" s="177">
        <f t="shared" si="79"/>
        <v>0.89494608437249989</v>
      </c>
      <c r="S208" s="811">
        <f t="shared" si="80"/>
        <v>-2</v>
      </c>
      <c r="T208" s="176">
        <f t="shared" si="81"/>
        <v>4</v>
      </c>
      <c r="U208" s="251">
        <f t="shared" si="82"/>
        <v>-1.1050539156275001</v>
      </c>
      <c r="V208" s="383">
        <f t="shared" si="83"/>
        <v>59.138783004545161</v>
      </c>
      <c r="W208" s="58"/>
      <c r="X208" s="157">
        <f t="shared" si="84"/>
        <v>43659</v>
      </c>
      <c r="Y208" s="385">
        <f t="shared" si="85"/>
        <v>51.207999999999998</v>
      </c>
      <c r="Z208" s="385">
        <f t="shared" si="86"/>
        <v>51.65861060701247</v>
      </c>
      <c r="AA208" s="386">
        <f t="shared" si="87"/>
        <v>52.846481951937342</v>
      </c>
      <c r="AB208" s="197">
        <f t="shared" si="88"/>
        <v>43659</v>
      </c>
      <c r="AC208" s="426">
        <f>IF(OR(t&lt;Tnet,NoTnet),'2018'!Resal_s+('2018'!Salim-'2018'!Resal_s)*(1-EXP(('2018'!Tnet_s-t)/'2018'!Tau_j)),Resal_s+(Salim-Resal_s)*(1-EXP((Tnet_s-t)/Tau_j)))*Salcycl</f>
        <v>2.2477775266198683E-2</v>
      </c>
      <c r="AD208" s="231">
        <f>(INDEX(Models!$BJ208:$BT208,,AH208)*(1-AF208)+INDEX(Models!$BJ208:$BT208,,AH208+1)*AF208-ERP_i)*AE208*Ramure*Pc/MaxiM</f>
        <v>3.97187704891264E-5</v>
      </c>
      <c r="AE208" s="305">
        <f t="shared" si="89"/>
        <v>0.5</v>
      </c>
      <c r="AF208" s="177">
        <f t="shared" si="90"/>
        <v>0.89494608437249989</v>
      </c>
      <c r="AG208" s="176">
        <f t="shared" si="91"/>
        <v>-2</v>
      </c>
      <c r="AH208" s="176">
        <f t="shared" si="92"/>
        <v>4</v>
      </c>
      <c r="AI208" s="225">
        <f t="shared" si="93"/>
        <v>-1.1050539156275001</v>
      </c>
      <c r="AJ208" s="265" t="b">
        <f t="shared" si="94"/>
        <v>0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7">
        <v>59.984000000000002</v>
      </c>
      <c r="C209" s="390"/>
      <c r="D209" s="393">
        <f t="shared" si="75"/>
        <v>60.513161408438492</v>
      </c>
      <c r="E209" s="385">
        <f t="shared" si="73"/>
        <v>61.907716680228468</v>
      </c>
      <c r="F209" s="385">
        <f t="shared" si="76"/>
        <v>61.910407700916835</v>
      </c>
      <c r="G209" s="110">
        <f t="shared" si="74"/>
        <v>1.0162900188421986</v>
      </c>
      <c r="H209" s="414" t="b">
        <f>Wh_hp&gt;='2018'!Maxi_hp</f>
        <v>1</v>
      </c>
      <c r="I209" s="390">
        <f>IF(H209,Wh_hp,'2018'!Maxi_hp)</f>
        <v>61.910407700916835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8.7445672333473778E-3</v>
      </c>
      <c r="M209" s="845"/>
      <c r="N209" s="845"/>
      <c r="O209" s="48">
        <f>IF(t&lt;Tnet,'2018'!Resal+('2018'!Salim-'2018'!Resal)*(1-EXP(('2018'!Tnet-t)/('2018'!Tau_j))),Resal+(Salim-Resal)*(1-EXP((Tnet-t)/(Tau_j))))*Salcycl</f>
        <v>2.2526356108290339E-2</v>
      </c>
      <c r="P209" s="169">
        <f>(INDEX(Models!$BJ209:$BT209,,T209)*(1-R209)+INDEX(Models!$BJ209:$BT209,,T209+1)*R209-ERP_i)*Q209*Ramure*Pc/MaxiM</f>
        <v>4.3466370006300006E-5</v>
      </c>
      <c r="Q209" s="305">
        <f t="shared" si="78"/>
        <v>0.5</v>
      </c>
      <c r="R209" s="177">
        <f t="shared" si="79"/>
        <v>0.89825837017063281</v>
      </c>
      <c r="S209" s="811">
        <f t="shared" si="80"/>
        <v>-2</v>
      </c>
      <c r="T209" s="176">
        <f t="shared" si="81"/>
        <v>4</v>
      </c>
      <c r="U209" s="251">
        <f t="shared" si="82"/>
        <v>-1.1017416298293672</v>
      </c>
      <c r="V209" s="383">
        <f t="shared" si="83"/>
        <v>59.022522004433689</v>
      </c>
      <c r="W209" s="58"/>
      <c r="X209" s="157">
        <f t="shared" si="84"/>
        <v>43660</v>
      </c>
      <c r="Y209" s="385">
        <f t="shared" si="85"/>
        <v>59.984000000000002</v>
      </c>
      <c r="Z209" s="385">
        <f t="shared" si="86"/>
        <v>60.513161408438492</v>
      </c>
      <c r="AA209" s="386">
        <f t="shared" si="87"/>
        <v>61.907716680228468</v>
      </c>
      <c r="AB209" s="197">
        <f t="shared" si="88"/>
        <v>43660</v>
      </c>
      <c r="AC209" s="426">
        <f>IF(OR(t&lt;Tnet,NoTnet),'2018'!Resal_s+('2018'!Salim-'2018'!Resal_s)*(1-EXP(('2018'!Tnet_s-t)/'2018'!Tau_j)),Resal_s+(Salim-Resal_s)*(1-EXP((Tnet_s-t)/Tau_j)))*Salcycl</f>
        <v>2.2526356108290339E-2</v>
      </c>
      <c r="AD209" s="231">
        <f>(INDEX(Models!$BJ209:$BT209,,AH209)*(1-AF209)+INDEX(Models!$BJ209:$BT209,,AH209+1)*AF209-ERP_i)*AE209*Ramure*Pc/MaxiM</f>
        <v>4.3466370006300006E-5</v>
      </c>
      <c r="AE209" s="305">
        <f t="shared" si="89"/>
        <v>0.5</v>
      </c>
      <c r="AF209" s="177">
        <f t="shared" si="90"/>
        <v>0.89825837017063281</v>
      </c>
      <c r="AG209" s="176">
        <f t="shared" si="91"/>
        <v>-2</v>
      </c>
      <c r="AH209" s="176">
        <f t="shared" si="92"/>
        <v>4</v>
      </c>
      <c r="AI209" s="225">
        <f t="shared" si="93"/>
        <v>-1.1017416298293672</v>
      </c>
      <c r="AJ209" s="265" t="b">
        <f t="shared" si="94"/>
        <v>0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7">
        <v>61.366</v>
      </c>
      <c r="C210" s="390"/>
      <c r="D210" s="393">
        <f t="shared" si="75"/>
        <v>61.908708970251077</v>
      </c>
      <c r="E210" s="385">
        <f t="shared" si="73"/>
        <v>63.33855748307645</v>
      </c>
      <c r="F210" s="385">
        <f t="shared" si="76"/>
        <v>63.341573131215071</v>
      </c>
      <c r="G210" s="110">
        <f t="shared" si="74"/>
        <v>1.0417904101662807</v>
      </c>
      <c r="H210" s="414" t="b">
        <f>Wh_hp&gt;='2018'!Maxi_hp</f>
        <v>1</v>
      </c>
      <c r="I210" s="390">
        <f>IF(H210,Wh_hp,'2018'!Maxi_hp)</f>
        <v>63.341573131215071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8.7662782713150422E-3</v>
      </c>
      <c r="M210" s="845"/>
      <c r="N210" s="845"/>
      <c r="O210" s="48">
        <f>IF(t&lt;Tnet,'2018'!Resal+('2018'!Salim-'2018'!Resal)*(1-EXP(('2018'!Tnet-t)/('2018'!Tau_j))),Resal+(Salim-Resal)*(1-EXP((Tnet-t)/(Tau_j))))*Salcycl</f>
        <v>2.257469335652959E-2</v>
      </c>
      <c r="P210" s="169">
        <f>(INDEX(Models!$BJ210:$BT210,,T210)*(1-R210)+INDEX(Models!$BJ210:$BT210,,T210+1)*R210-ERP_i)*Q210*Ramure*Pc/MaxiM</f>
        <v>4.760930285659491E-5</v>
      </c>
      <c r="Q210" s="305">
        <f t="shared" si="78"/>
        <v>0.5</v>
      </c>
      <c r="R210" s="177">
        <f t="shared" si="79"/>
        <v>0.90148952457578524</v>
      </c>
      <c r="S210" s="811">
        <f t="shared" si="80"/>
        <v>-2</v>
      </c>
      <c r="T210" s="176">
        <f t="shared" si="81"/>
        <v>4</v>
      </c>
      <c r="U210" s="251">
        <f t="shared" si="82"/>
        <v>-1.0985104754242148</v>
      </c>
      <c r="V210" s="383">
        <f t="shared" si="83"/>
        <v>58.904362529316558</v>
      </c>
      <c r="W210" s="58"/>
      <c r="X210" s="157">
        <f t="shared" si="84"/>
        <v>43661</v>
      </c>
      <c r="Y210" s="385">
        <f t="shared" si="85"/>
        <v>61.366</v>
      </c>
      <c r="Z210" s="385">
        <f t="shared" si="86"/>
        <v>61.908708970251077</v>
      </c>
      <c r="AA210" s="386">
        <f t="shared" si="87"/>
        <v>63.33855748307645</v>
      </c>
      <c r="AB210" s="197">
        <f t="shared" si="88"/>
        <v>43661</v>
      </c>
      <c r="AC210" s="426">
        <f>IF(OR(t&lt;Tnet,NoTnet),'2018'!Resal_s+('2018'!Salim-'2018'!Resal_s)*(1-EXP(('2018'!Tnet_s-t)/'2018'!Tau_j)),Resal_s+(Salim-Resal_s)*(1-EXP((Tnet_s-t)/Tau_j)))*Salcycl</f>
        <v>2.257469335652959E-2</v>
      </c>
      <c r="AD210" s="231">
        <f>(INDEX(Models!$BJ210:$BT210,,AH210)*(1-AF210)+INDEX(Models!$BJ210:$BT210,,AH210+1)*AF210-ERP_i)*AE210*Ramure*Pc/MaxiM</f>
        <v>4.760930285659491E-5</v>
      </c>
      <c r="AE210" s="305">
        <f t="shared" si="89"/>
        <v>0.5</v>
      </c>
      <c r="AF210" s="177">
        <f t="shared" si="90"/>
        <v>0.90148952457578524</v>
      </c>
      <c r="AG210" s="176">
        <f t="shared" si="91"/>
        <v>-2</v>
      </c>
      <c r="AH210" s="176">
        <f t="shared" si="92"/>
        <v>4</v>
      </c>
      <c r="AI210" s="225">
        <f t="shared" si="93"/>
        <v>-1.0985104754242148</v>
      </c>
      <c r="AJ210" s="265" t="b">
        <f t="shared" si="94"/>
        <v>0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7">
        <v>59.423000000000002</v>
      </c>
      <c r="C211" s="390"/>
      <c r="D211" s="393">
        <f t="shared" si="75"/>
        <v>59.94983851142382</v>
      </c>
      <c r="E211" s="385">
        <f t="shared" si="73"/>
        <v>61.337463507443182</v>
      </c>
      <c r="F211" s="385">
        <f t="shared" si="76"/>
        <v>61.340662594559738</v>
      </c>
      <c r="G211" s="110">
        <f t="shared" si="74"/>
        <v>1.0108632862054205</v>
      </c>
      <c r="H211" s="414" t="b">
        <f>Wh_hp&gt;='2018'!Maxi_hp</f>
        <v>1</v>
      </c>
      <c r="I211" s="390">
        <f>IF(H211,Wh_hp,'2018'!Maxi_hp)</f>
        <v>61.340662594559738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8.7879888337552003E-3</v>
      </c>
      <c r="M211" s="845"/>
      <c r="N211" s="845"/>
      <c r="O211" s="48">
        <f>IF(t&lt;Tnet,'2018'!Resal+('2018'!Salim-'2018'!Resal)*(1-EXP(('2018'!Tnet-t)/('2018'!Tau_j))),Resal+(Salim-Resal)*(1-EXP((Tnet-t)/(Tau_j))))*Salcycl</f>
        <v>2.2622797172742147E-2</v>
      </c>
      <c r="P211" s="169">
        <f>(INDEX(Models!$BJ211:$BT211,,T211)*(1-R211)+INDEX(Models!$BJ211:$BT211,,T211+1)*R211-ERP_i)*Q211*Ramure*Pc/MaxiM</f>
        <v>5.2152796876465115E-5</v>
      </c>
      <c r="Q211" s="305">
        <f t="shared" si="78"/>
        <v>0.5</v>
      </c>
      <c r="R211" s="177">
        <f t="shared" si="79"/>
        <v>0.9046398639371267</v>
      </c>
      <c r="S211" s="811">
        <f t="shared" si="80"/>
        <v>-2</v>
      </c>
      <c r="T211" s="176">
        <f t="shared" si="81"/>
        <v>4</v>
      </c>
      <c r="U211" s="251">
        <f t="shared" si="82"/>
        <v>-1.0953601360628733</v>
      </c>
      <c r="V211" s="383">
        <f t="shared" si="83"/>
        <v>58.784408149851906</v>
      </c>
      <c r="W211" s="58"/>
      <c r="X211" s="157">
        <f t="shared" si="84"/>
        <v>43662</v>
      </c>
      <c r="Y211" s="385">
        <f t="shared" si="85"/>
        <v>59.423000000000002</v>
      </c>
      <c r="Z211" s="385">
        <f t="shared" si="86"/>
        <v>59.94983851142382</v>
      </c>
      <c r="AA211" s="386">
        <f t="shared" si="87"/>
        <v>61.337463507443182</v>
      </c>
      <c r="AB211" s="197">
        <f t="shared" si="88"/>
        <v>43662</v>
      </c>
      <c r="AC211" s="426">
        <f>IF(OR(t&lt;Tnet,NoTnet),'2018'!Resal_s+('2018'!Salim-'2018'!Resal_s)*(1-EXP(('2018'!Tnet_s-t)/'2018'!Tau_j)),Resal_s+(Salim-Resal_s)*(1-EXP((Tnet_s-t)/Tau_j)))*Salcycl</f>
        <v>2.2622797172742147E-2</v>
      </c>
      <c r="AD211" s="231">
        <f>(INDEX(Models!$BJ211:$BT211,,AH211)*(1-AF211)+INDEX(Models!$BJ211:$BT211,,AH211+1)*AF211-ERP_i)*AE211*Ramure*Pc/MaxiM</f>
        <v>5.2152796876465115E-5</v>
      </c>
      <c r="AE211" s="305">
        <f t="shared" si="89"/>
        <v>0.5</v>
      </c>
      <c r="AF211" s="177">
        <f t="shared" si="90"/>
        <v>0.9046398639371267</v>
      </c>
      <c r="AG211" s="176">
        <f t="shared" si="91"/>
        <v>-2</v>
      </c>
      <c r="AH211" s="176">
        <f t="shared" si="92"/>
        <v>4</v>
      </c>
      <c r="AI211" s="225">
        <f t="shared" si="93"/>
        <v>-1.0953601360628733</v>
      </c>
      <c r="AJ211" s="265" t="b">
        <f t="shared" si="94"/>
        <v>0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7">
        <v>51.502000000000002</v>
      </c>
      <c r="C212" s="390"/>
      <c r="D212" s="393">
        <f t="shared" si="75"/>
        <v>51.959749751302766</v>
      </c>
      <c r="E212" s="385">
        <f t="shared" si="73"/>
        <v>53.165037170686084</v>
      </c>
      <c r="F212" s="385">
        <f t="shared" si="76"/>
        <v>53.167525253576699</v>
      </c>
      <c r="G212" s="110">
        <f t="shared" si="74"/>
        <v>0.87792437861373696</v>
      </c>
      <c r="H212" s="414" t="b">
        <f>Wh_hp&gt;='2018'!Maxi_hp</f>
        <v>1</v>
      </c>
      <c r="I212" s="390">
        <f>IF(H212,Wh_hp,'2018'!Maxi_hp)</f>
        <v>53.167525253576699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8.8096989206782883E-3</v>
      </c>
      <c r="M212" s="845"/>
      <c r="N212" s="845"/>
      <c r="O212" s="48">
        <f>IF(t&lt;Tnet,'2018'!Resal+('2018'!Salim-'2018'!Resal)*(1-EXP(('2018'!Tnet-t)/('2018'!Tau_j))),Resal+(Salim-Resal)*(1-EXP((Tnet-t)/(Tau_j))))*Salcycl</f>
        <v>2.2670677639399572E-2</v>
      </c>
      <c r="P212" s="169">
        <f>(INDEX(Models!$BJ212:$BT212,,T212)*(1-R212)+INDEX(Models!$BJ212:$BT212,,T212+1)*R212-ERP_i)*Q212*Ramure*Pc/MaxiM</f>
        <v>5.6681182600882225E-5</v>
      </c>
      <c r="Q212" s="305">
        <f t="shared" si="78"/>
        <v>0.5</v>
      </c>
      <c r="R212" s="177">
        <f t="shared" si="79"/>
        <v>0.90770982200370298</v>
      </c>
      <c r="S212" s="811">
        <f t="shared" si="80"/>
        <v>-2</v>
      </c>
      <c r="T212" s="176">
        <f t="shared" si="81"/>
        <v>4</v>
      </c>
      <c r="U212" s="251">
        <f t="shared" si="82"/>
        <v>-1.092290177996297</v>
      </c>
      <c r="V212" s="383">
        <f t="shared" si="83"/>
        <v>58.662787112106976</v>
      </c>
      <c r="W212" s="58"/>
      <c r="X212" s="157">
        <f t="shared" si="84"/>
        <v>43663</v>
      </c>
      <c r="Y212" s="385">
        <f t="shared" si="85"/>
        <v>51.502000000000002</v>
      </c>
      <c r="Z212" s="385">
        <f t="shared" si="86"/>
        <v>51.959749751302766</v>
      </c>
      <c r="AA212" s="386">
        <f t="shared" si="87"/>
        <v>53.165037170686084</v>
      </c>
      <c r="AB212" s="197">
        <f t="shared" si="88"/>
        <v>43663</v>
      </c>
      <c r="AC212" s="426">
        <f>IF(OR(t&lt;Tnet,NoTnet),'2018'!Resal_s+('2018'!Salim-'2018'!Resal_s)*(1-EXP(('2018'!Tnet_s-t)/'2018'!Tau_j)),Resal_s+(Salim-Resal_s)*(1-EXP((Tnet_s-t)/Tau_j)))*Salcycl</f>
        <v>2.2670677639399572E-2</v>
      </c>
      <c r="AD212" s="231">
        <f>(INDEX(Models!$BJ212:$BT212,,AH212)*(1-AF212)+INDEX(Models!$BJ212:$BT212,,AH212+1)*AF212-ERP_i)*AE212*Ramure*Pc/MaxiM</f>
        <v>5.6681182600882225E-5</v>
      </c>
      <c r="AE212" s="305">
        <f t="shared" si="89"/>
        <v>0.5</v>
      </c>
      <c r="AF212" s="177">
        <f t="shared" si="90"/>
        <v>0.90770982200370298</v>
      </c>
      <c r="AG212" s="176">
        <f t="shared" si="91"/>
        <v>-2</v>
      </c>
      <c r="AH212" s="176">
        <f t="shared" si="92"/>
        <v>4</v>
      </c>
      <c r="AI212" s="225">
        <f t="shared" si="93"/>
        <v>-1.092290177996297</v>
      </c>
      <c r="AJ212" s="265" t="b">
        <f t="shared" si="94"/>
        <v>0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7">
        <v>39.661999999999999</v>
      </c>
      <c r="C213" s="390"/>
      <c r="D213" s="393">
        <f t="shared" si="75"/>
        <v>40.015392276768168</v>
      </c>
      <c r="E213" s="385">
        <f t="shared" si="73"/>
        <v>40.945608729936687</v>
      </c>
      <c r="F213" s="385">
        <f t="shared" si="76"/>
        <v>40.946955028301232</v>
      </c>
      <c r="G213" s="110">
        <f t="shared" si="74"/>
        <v>0.67750505323525811</v>
      </c>
      <c r="H213" s="414" t="b">
        <f>Wh_hp&gt;='2018'!Maxi_hp</f>
        <v>1</v>
      </c>
      <c r="I213" s="390">
        <f>IF(H213,Wh_hp,'2018'!Maxi_hp)</f>
        <v>40.946955028301232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8.8314085320947422E-3</v>
      </c>
      <c r="M213" s="845"/>
      <c r="N213" s="845"/>
      <c r="O213" s="48">
        <f>IF(t&lt;Tnet,'2018'!Resal+('2018'!Salim-'2018'!Resal)*(1-EXP(('2018'!Tnet-t)/('2018'!Tau_j))),Resal+(Salim-Resal)*(1-EXP((Tnet-t)/(Tau_j))))*Salcycl</f>
        <v>2.2718344702210028E-2</v>
      </c>
      <c r="P213" s="169">
        <f>(INDEX(Models!$BJ213:$BT213,,T213)*(1-R213)+INDEX(Models!$BJ213:$BT213,,T213+1)*R213-ERP_i)*Q213*Ramure*Pc/MaxiM</f>
        <v>6.0963948354857838E-5</v>
      </c>
      <c r="Q213" s="305">
        <f t="shared" si="78"/>
        <v>0.5</v>
      </c>
      <c r="R213" s="177">
        <f t="shared" si="79"/>
        <v>0.91069994291999334</v>
      </c>
      <c r="S213" s="811">
        <f t="shared" si="80"/>
        <v>-2</v>
      </c>
      <c r="T213" s="176">
        <f t="shared" si="81"/>
        <v>4</v>
      </c>
      <c r="U213" s="251">
        <f t="shared" si="82"/>
        <v>-1.0893000570800067</v>
      </c>
      <c r="V213" s="383">
        <f t="shared" si="83"/>
        <v>58.539616600768994</v>
      </c>
      <c r="W213" s="58"/>
      <c r="X213" s="157">
        <f t="shared" si="84"/>
        <v>43664</v>
      </c>
      <c r="Y213" s="385">
        <f t="shared" si="85"/>
        <v>39.661999999999999</v>
      </c>
      <c r="Z213" s="385">
        <f t="shared" si="86"/>
        <v>40.015392276768168</v>
      </c>
      <c r="AA213" s="386">
        <f t="shared" si="87"/>
        <v>40.945608729936687</v>
      </c>
      <c r="AB213" s="197">
        <f t="shared" si="88"/>
        <v>43664</v>
      </c>
      <c r="AC213" s="426">
        <f>IF(OR(t&lt;Tnet,NoTnet),'2018'!Resal_s+('2018'!Salim-'2018'!Resal_s)*(1-EXP(('2018'!Tnet_s-t)/'2018'!Tau_j)),Resal_s+(Salim-Resal_s)*(1-EXP((Tnet_s-t)/Tau_j)))*Salcycl</f>
        <v>2.2718344702210028E-2</v>
      </c>
      <c r="AD213" s="231">
        <f>(INDEX(Models!$BJ213:$BT213,,AH213)*(1-AF213)+INDEX(Models!$BJ213:$BT213,,AH213+1)*AF213-ERP_i)*AE213*Ramure*Pc/MaxiM</f>
        <v>6.0963948354857838E-5</v>
      </c>
      <c r="AE213" s="305">
        <f t="shared" si="89"/>
        <v>0.5</v>
      </c>
      <c r="AF213" s="177">
        <f t="shared" si="90"/>
        <v>0.91069994291999334</v>
      </c>
      <c r="AG213" s="176">
        <f t="shared" si="91"/>
        <v>-2</v>
      </c>
      <c r="AH213" s="176">
        <f t="shared" si="92"/>
        <v>4</v>
      </c>
      <c r="AI213" s="225">
        <f t="shared" si="93"/>
        <v>-1.0893000570800067</v>
      </c>
      <c r="AJ213" s="265" t="b">
        <f t="shared" si="94"/>
        <v>0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7">
        <v>57.97</v>
      </c>
      <c r="C214" s="390"/>
      <c r="D214" s="393">
        <f t="shared" si="75"/>
        <v>58.487799369965558</v>
      </c>
      <c r="E214" s="385">
        <f t="shared" si="73"/>
        <v>59.850340742974119</v>
      </c>
      <c r="F214" s="385">
        <f t="shared" si="76"/>
        <v>59.854188661420928</v>
      </c>
      <c r="G214" s="110">
        <f t="shared" si="74"/>
        <v>0.99238138269496645</v>
      </c>
      <c r="H214" s="414" t="b">
        <f>Wh_hp&gt;='2018'!Maxi_hp</f>
        <v>1</v>
      </c>
      <c r="I214" s="390">
        <f>IF(H214,Wh_hp,'2018'!Maxi_hp)</f>
        <v>59.854188661420928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8.8531176680149981E-3</v>
      </c>
      <c r="M214" s="845"/>
      <c r="N214" s="845"/>
      <c r="O214" s="48">
        <f>IF(t&lt;Tnet,'2018'!Resal+('2018'!Salim-'2018'!Resal)*(1-EXP(('2018'!Tnet-t)/('2018'!Tau_j))),Resal+(Salim-Resal)*(1-EXP((Tnet-t)/(Tau_j))))*Salcycl</f>
        <v>2.2765808115612254E-2</v>
      </c>
      <c r="P214" s="169">
        <f>(INDEX(Models!$BJ214:$BT214,,T214)*(1-R214)+INDEX(Models!$BJ214:$BT214,,T214+1)*R214-ERP_i)*Q214*Ramure*Pc/MaxiM</f>
        <v>6.4995535873569148E-5</v>
      </c>
      <c r="Q214" s="305">
        <f t="shared" si="78"/>
        <v>0.5</v>
      </c>
      <c r="R214" s="177">
        <f t="shared" si="79"/>
        <v>0.91361087418555709</v>
      </c>
      <c r="S214" s="811">
        <f t="shared" si="80"/>
        <v>-2</v>
      </c>
      <c r="T214" s="176">
        <f t="shared" si="81"/>
        <v>4</v>
      </c>
      <c r="U214" s="251">
        <f t="shared" si="82"/>
        <v>-1.0863891258144429</v>
      </c>
      <c r="V214" s="383">
        <f t="shared" si="83"/>
        <v>58.415000527377458</v>
      </c>
      <c r="W214" s="58"/>
      <c r="X214" s="157">
        <f t="shared" si="84"/>
        <v>43665</v>
      </c>
      <c r="Y214" s="385">
        <f t="shared" si="85"/>
        <v>57.97</v>
      </c>
      <c r="Z214" s="385">
        <f t="shared" si="86"/>
        <v>58.487799369965558</v>
      </c>
      <c r="AA214" s="386">
        <f t="shared" si="87"/>
        <v>59.850340742974119</v>
      </c>
      <c r="AB214" s="197">
        <f t="shared" si="88"/>
        <v>43665</v>
      </c>
      <c r="AC214" s="426">
        <f>IF(OR(t&lt;Tnet,NoTnet),'2018'!Resal_s+('2018'!Salim-'2018'!Resal_s)*(1-EXP(('2018'!Tnet_s-t)/'2018'!Tau_j)),Resal_s+(Salim-Resal_s)*(1-EXP((Tnet_s-t)/Tau_j)))*Salcycl</f>
        <v>2.2765808115612254E-2</v>
      </c>
      <c r="AD214" s="231">
        <f>(INDEX(Models!$BJ214:$BT214,,AH214)*(1-AF214)+INDEX(Models!$BJ214:$BT214,,AH214+1)*AF214-ERP_i)*AE214*Ramure*Pc/MaxiM</f>
        <v>6.4995535873569148E-5</v>
      </c>
      <c r="AE214" s="305">
        <f t="shared" si="89"/>
        <v>0.5</v>
      </c>
      <c r="AF214" s="177">
        <f t="shared" si="90"/>
        <v>0.91361087418555709</v>
      </c>
      <c r="AG214" s="176">
        <f t="shared" si="91"/>
        <v>-2</v>
      </c>
      <c r="AH214" s="176">
        <f t="shared" si="92"/>
        <v>4</v>
      </c>
      <c r="AI214" s="225">
        <f t="shared" si="93"/>
        <v>-1.0863891258144429</v>
      </c>
      <c r="AJ214" s="265" t="b">
        <f t="shared" si="94"/>
        <v>0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7">
        <v>27.257000000000001</v>
      </c>
      <c r="C215" s="390"/>
      <c r="D215" s="393">
        <f t="shared" si="75"/>
        <v>27.50106719520446</v>
      </c>
      <c r="E215" s="385">
        <f t="shared" si="73"/>
        <v>28.143097864831834</v>
      </c>
      <c r="F215" s="385">
        <f t="shared" si="76"/>
        <v>28.143561316152542</v>
      </c>
      <c r="G215" s="110">
        <f t="shared" si="74"/>
        <v>0.46759344555762183</v>
      </c>
      <c r="H215" s="414" t="b">
        <f>Wh_hp&gt;='2018'!Maxi_hp</f>
        <v>1</v>
      </c>
      <c r="I215" s="390">
        <f>IF(H215,Wh_hp,'2018'!Maxi_hp)</f>
        <v>28.143561316152542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8.8748263284494922E-3</v>
      </c>
      <c r="M215" s="845"/>
      <c r="N215" s="845"/>
      <c r="O215" s="48">
        <f>IF(t&lt;Tnet,'2018'!Resal+('2018'!Salim-'2018'!Resal)*(1-EXP(('2018'!Tnet-t)/('2018'!Tau_j))),Resal+(Salim-Resal)*(1-EXP((Tnet-t)/(Tau_j))))*Salcycl</f>
        <v>2.2813077391514551E-2</v>
      </c>
      <c r="P215" s="169">
        <f>(INDEX(Models!$BJ215:$BT215,,T215)*(1-R215)+INDEX(Models!$BJ215:$BT215,,T215+1)*R215-ERP_i)*Q215*Ramure*Pc/MaxiM</f>
        <v>6.8770583013389242E-5</v>
      </c>
      <c r="Q215" s="305">
        <f t="shared" si="78"/>
        <v>0.5</v>
      </c>
      <c r="R215" s="177">
        <f t="shared" si="79"/>
        <v>0.91644335962099222</v>
      </c>
      <c r="S215" s="811">
        <f t="shared" si="80"/>
        <v>-2</v>
      </c>
      <c r="T215" s="176">
        <f t="shared" si="81"/>
        <v>4</v>
      </c>
      <c r="U215" s="251">
        <f t="shared" si="82"/>
        <v>-1.0835566403790078</v>
      </c>
      <c r="V215" s="383">
        <f t="shared" si="83"/>
        <v>58.289042773468417</v>
      </c>
      <c r="W215" s="58"/>
      <c r="X215" s="157">
        <f t="shared" si="84"/>
        <v>43666</v>
      </c>
      <c r="Y215" s="385">
        <f t="shared" si="85"/>
        <v>27.257000000000001</v>
      </c>
      <c r="Z215" s="385">
        <f t="shared" si="86"/>
        <v>27.50106719520446</v>
      </c>
      <c r="AA215" s="386">
        <f t="shared" si="87"/>
        <v>28.143097864831834</v>
      </c>
      <c r="AB215" s="197">
        <f t="shared" si="88"/>
        <v>43666</v>
      </c>
      <c r="AC215" s="426">
        <f>IF(OR(t&lt;Tnet,NoTnet),'2018'!Resal_s+('2018'!Salim-'2018'!Resal_s)*(1-EXP(('2018'!Tnet_s-t)/'2018'!Tau_j)),Resal_s+(Salim-Resal_s)*(1-EXP((Tnet_s-t)/Tau_j)))*Salcycl</f>
        <v>2.2813077391514551E-2</v>
      </c>
      <c r="AD215" s="231">
        <f>(INDEX(Models!$BJ215:$BT215,,AH215)*(1-AF215)+INDEX(Models!$BJ215:$BT215,,AH215+1)*AF215-ERP_i)*AE215*Ramure*Pc/MaxiM</f>
        <v>6.8770583013389242E-5</v>
      </c>
      <c r="AE215" s="305">
        <f t="shared" si="89"/>
        <v>0.5</v>
      </c>
      <c r="AF215" s="177">
        <f t="shared" si="90"/>
        <v>0.91644335962099222</v>
      </c>
      <c r="AG215" s="176">
        <f t="shared" si="91"/>
        <v>-2</v>
      </c>
      <c r="AH215" s="176">
        <f t="shared" si="92"/>
        <v>4</v>
      </c>
      <c r="AI215" s="225">
        <f t="shared" si="93"/>
        <v>-1.0835566403790078</v>
      </c>
      <c r="AJ215" s="265" t="b">
        <f t="shared" si="94"/>
        <v>0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7">
        <v>45.609000000000002</v>
      </c>
      <c r="C216" s="390"/>
      <c r="D216" s="393">
        <f t="shared" si="75"/>
        <v>46.018404322305386</v>
      </c>
      <c r="E216" s="385">
        <f t="shared" si="73"/>
        <v>47.095003725153859</v>
      </c>
      <c r="F216" s="385">
        <f t="shared" si="76"/>
        <v>47.09735845725158</v>
      </c>
      <c r="G216" s="110">
        <f t="shared" si="74"/>
        <v>0.78415637863872456</v>
      </c>
      <c r="H216" s="414" t="b">
        <f>Wh_hp&gt;='2018'!Maxi_hp</f>
        <v>1</v>
      </c>
      <c r="I216" s="390">
        <f>IF(H216,Wh_hp,'2018'!Maxi_hp)</f>
        <v>47.09735845725158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8.8965345134086604E-3</v>
      </c>
      <c r="M216" s="845"/>
      <c r="N216" s="845"/>
      <c r="O216" s="48">
        <f>IF(t&lt;Tnet,'2018'!Resal+('2018'!Salim-'2018'!Resal)*(1-EXP(('2018'!Tnet-t)/('2018'!Tau_j))),Resal+(Salim-Resal)*(1-EXP((Tnet-t)/(Tau_j))))*Salcycl</f>
        <v>2.2860161751584101E-2</v>
      </c>
      <c r="P216" s="169">
        <f>(INDEX(Models!$BJ216:$BT216,,T216)*(1-R216)+INDEX(Models!$BJ216:$BT216,,T216+1)*R216-ERP_i)*Q216*Ramure*Pc/MaxiM</f>
        <v>7.2283913729074905E-5</v>
      </c>
      <c r="Q216" s="305">
        <f t="shared" si="78"/>
        <v>0.5</v>
      </c>
      <c r="R216" s="177">
        <f t="shared" si="79"/>
        <v>0.91919823237905218</v>
      </c>
      <c r="S216" s="811">
        <f t="shared" si="80"/>
        <v>-2</v>
      </c>
      <c r="T216" s="176">
        <f t="shared" si="81"/>
        <v>4</v>
      </c>
      <c r="U216" s="251">
        <f t="shared" si="82"/>
        <v>-1.0808017676209478</v>
      </c>
      <c r="V216" s="383">
        <f t="shared" si="83"/>
        <v>58.161847194046501</v>
      </c>
      <c r="W216" s="58"/>
      <c r="X216" s="157">
        <f t="shared" si="84"/>
        <v>43667</v>
      </c>
      <c r="Y216" s="385">
        <f t="shared" si="85"/>
        <v>45.609000000000002</v>
      </c>
      <c r="Z216" s="385">
        <f t="shared" si="86"/>
        <v>46.018404322305386</v>
      </c>
      <c r="AA216" s="386">
        <f t="shared" si="87"/>
        <v>47.095003725153859</v>
      </c>
      <c r="AB216" s="197">
        <f t="shared" si="88"/>
        <v>43667</v>
      </c>
      <c r="AC216" s="426">
        <f>IF(OR(t&lt;Tnet,NoTnet),'2018'!Resal_s+('2018'!Salim-'2018'!Resal_s)*(1-EXP(('2018'!Tnet_s-t)/'2018'!Tau_j)),Resal_s+(Salim-Resal_s)*(1-EXP((Tnet_s-t)/Tau_j)))*Salcycl</f>
        <v>2.2860161751584101E-2</v>
      </c>
      <c r="AD216" s="231">
        <f>(INDEX(Models!$BJ216:$BT216,,AH216)*(1-AF216)+INDEX(Models!$BJ216:$BT216,,AH216+1)*AF216-ERP_i)*AE216*Ramure*Pc/MaxiM</f>
        <v>7.2283913729074905E-5</v>
      </c>
      <c r="AE216" s="305">
        <f t="shared" si="89"/>
        <v>0.5</v>
      </c>
      <c r="AF216" s="177">
        <f t="shared" si="90"/>
        <v>0.91919823237905218</v>
      </c>
      <c r="AG216" s="176">
        <f t="shared" si="91"/>
        <v>-2</v>
      </c>
      <c r="AH216" s="176">
        <f t="shared" si="92"/>
        <v>4</v>
      </c>
      <c r="AI216" s="225">
        <f t="shared" si="93"/>
        <v>-1.0808017676209478</v>
      </c>
      <c r="AJ216" s="265" t="b">
        <f t="shared" si="94"/>
        <v>0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7">
        <v>48.156999999999996</v>
      </c>
      <c r="C217" s="390"/>
      <c r="D217" s="393">
        <f t="shared" si="75"/>
        <v>48.590340425608886</v>
      </c>
      <c r="E217" s="385">
        <f t="shared" si="73"/>
        <v>49.729497510286969</v>
      </c>
      <c r="F217" s="385">
        <f t="shared" si="76"/>
        <v>49.732340573058359</v>
      </c>
      <c r="G217" s="110">
        <f t="shared" si="74"/>
        <v>0.82979832352416294</v>
      </c>
      <c r="H217" s="414" t="b">
        <f>Wh_hp&gt;='2018'!Maxi_hp</f>
        <v>1</v>
      </c>
      <c r="I217" s="390">
        <f>IF(H217,Wh_hp,'2018'!Maxi_hp)</f>
        <v>49.732340573058359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8.918242222902828E-3</v>
      </c>
      <c r="M217" s="845"/>
      <c r="N217" s="845"/>
      <c r="O217" s="48">
        <f>IF(t&lt;Tnet,'2018'!Resal+('2018'!Salim-'2018'!Resal)*(1-EXP(('2018'!Tnet-t)/('2018'!Tau_j))),Resal+(Salim-Resal)*(1-EXP((Tnet-t)/(Tau_j))))*Salcycl</f>
        <v>2.2907070083353197E-2</v>
      </c>
      <c r="P217" s="169">
        <f>(INDEX(Models!$BJ217:$BT217,,T217)*(1-R217)+INDEX(Models!$BJ217:$BT217,,T217+1)*R217-ERP_i)*Q217*Ramure*Pc/MaxiM</f>
        <v>7.5530527536912473E-5</v>
      </c>
      <c r="Q217" s="305">
        <f t="shared" si="78"/>
        <v>0.5</v>
      </c>
      <c r="R217" s="177">
        <f t="shared" si="79"/>
        <v>0.92187640803633131</v>
      </c>
      <c r="S217" s="811">
        <f t="shared" si="80"/>
        <v>-2</v>
      </c>
      <c r="T217" s="176">
        <f t="shared" si="81"/>
        <v>4</v>
      </c>
      <c r="U217" s="251">
        <f t="shared" si="82"/>
        <v>-1.0781235919636687</v>
      </c>
      <c r="V217" s="383">
        <f t="shared" si="83"/>
        <v>58.033517621655804</v>
      </c>
      <c r="W217" s="58"/>
      <c r="X217" s="157">
        <f t="shared" si="84"/>
        <v>43668</v>
      </c>
      <c r="Y217" s="385">
        <f t="shared" si="85"/>
        <v>48.156999999999996</v>
      </c>
      <c r="Z217" s="385">
        <f t="shared" si="86"/>
        <v>48.590340425608886</v>
      </c>
      <c r="AA217" s="386">
        <f t="shared" si="87"/>
        <v>49.729497510286969</v>
      </c>
      <c r="AB217" s="197">
        <f t="shared" si="88"/>
        <v>43668</v>
      </c>
      <c r="AC217" s="426">
        <f>IF(OR(t&lt;Tnet,NoTnet),'2018'!Resal_s+('2018'!Salim-'2018'!Resal_s)*(1-EXP(('2018'!Tnet_s-t)/'2018'!Tau_j)),Resal_s+(Salim-Resal_s)*(1-EXP((Tnet_s-t)/Tau_j)))*Salcycl</f>
        <v>2.2907070083353197E-2</v>
      </c>
      <c r="AD217" s="231">
        <f>(INDEX(Models!$BJ217:$BT217,,AH217)*(1-AF217)+INDEX(Models!$BJ217:$BT217,,AH217+1)*AF217-ERP_i)*AE217*Ramure*Pc/MaxiM</f>
        <v>7.5530527536912473E-5</v>
      </c>
      <c r="AE217" s="305">
        <f t="shared" si="89"/>
        <v>0.5</v>
      </c>
      <c r="AF217" s="177">
        <f t="shared" si="90"/>
        <v>0.92187640803633131</v>
      </c>
      <c r="AG217" s="176">
        <f t="shared" si="91"/>
        <v>-2</v>
      </c>
      <c r="AH217" s="176">
        <f t="shared" si="92"/>
        <v>4</v>
      </c>
      <c r="AI217" s="225">
        <f t="shared" si="93"/>
        <v>-1.0781235919636687</v>
      </c>
      <c r="AJ217" s="265" t="b">
        <f t="shared" si="94"/>
        <v>0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7">
        <v>56.097000000000001</v>
      </c>
      <c r="C218" s="390"/>
      <c r="D218" s="393">
        <f t="shared" si="75"/>
        <v>56.603028211319078</v>
      </c>
      <c r="E218" s="385">
        <f t="shared" si="73"/>
        <v>57.932806905966153</v>
      </c>
      <c r="F218" s="385">
        <f t="shared" si="76"/>
        <v>57.937152506467669</v>
      </c>
      <c r="G218" s="110">
        <f t="shared" si="74"/>
        <v>0.96878714239874464</v>
      </c>
      <c r="H218" s="414" t="b">
        <f>Wh_hp&gt;='2018'!Maxi_hp</f>
        <v>1</v>
      </c>
      <c r="I218" s="390">
        <f>IF(H218,Wh_hp,'2018'!Maxi_hp)</f>
        <v>57.937152506467669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8.9399494569424309E-3</v>
      </c>
      <c r="M218" s="845"/>
      <c r="N218" s="845"/>
      <c r="O218" s="48">
        <f>IF(t&lt;Tnet,'2018'!Resal+('2018'!Salim-'2018'!Resal)*(1-EXP(('2018'!Tnet-t)/('2018'!Tau_j))),Resal+(Salim-Resal)*(1-EXP((Tnet-t)/(Tau_j))))*Salcycl</f>
        <v>2.2953810900367938E-2</v>
      </c>
      <c r="P218" s="169">
        <f>(INDEX(Models!$BJ218:$BT218,,T218)*(1-R218)+INDEX(Models!$BJ218:$BT218,,T218+1)*R218-ERP_i)*Q218*Ramure*Pc/MaxiM</f>
        <v>7.8505588666705558E-5</v>
      </c>
      <c r="Q218" s="305">
        <f t="shared" si="78"/>
        <v>0.5</v>
      </c>
      <c r="R218" s="177">
        <f t="shared" si="79"/>
        <v>0.92447887779746352</v>
      </c>
      <c r="S218" s="811">
        <f t="shared" si="80"/>
        <v>-2</v>
      </c>
      <c r="T218" s="176">
        <f t="shared" si="81"/>
        <v>4</v>
      </c>
      <c r="U218" s="251">
        <f t="shared" si="82"/>
        <v>-1.0755211222025365</v>
      </c>
      <c r="V218" s="383">
        <f t="shared" si="83"/>
        <v>57.904157870484767</v>
      </c>
      <c r="W218" s="58"/>
      <c r="X218" s="157">
        <f t="shared" si="84"/>
        <v>43669</v>
      </c>
      <c r="Y218" s="385">
        <f t="shared" si="85"/>
        <v>56.097000000000001</v>
      </c>
      <c r="Z218" s="385">
        <f t="shared" si="86"/>
        <v>56.603028211319078</v>
      </c>
      <c r="AA218" s="386">
        <f t="shared" si="87"/>
        <v>57.932806905966153</v>
      </c>
      <c r="AB218" s="197">
        <f t="shared" si="88"/>
        <v>43669</v>
      </c>
      <c r="AC218" s="426">
        <f>IF(OR(t&lt;Tnet,NoTnet),'2018'!Resal_s+('2018'!Salim-'2018'!Resal_s)*(1-EXP(('2018'!Tnet_s-t)/'2018'!Tau_j)),Resal_s+(Salim-Resal_s)*(1-EXP((Tnet_s-t)/Tau_j)))*Salcycl</f>
        <v>2.2953810900367938E-2</v>
      </c>
      <c r="AD218" s="231">
        <f>(INDEX(Models!$BJ218:$BT218,,AH218)*(1-AF218)+INDEX(Models!$BJ218:$BT218,,AH218+1)*AF218-ERP_i)*AE218*Ramure*Pc/MaxiM</f>
        <v>7.8505588666705558E-5</v>
      </c>
      <c r="AE218" s="305">
        <f t="shared" si="89"/>
        <v>0.5</v>
      </c>
      <c r="AF218" s="177">
        <f t="shared" si="90"/>
        <v>0.92447887779746352</v>
      </c>
      <c r="AG218" s="176">
        <f t="shared" si="91"/>
        <v>-2</v>
      </c>
      <c r="AH218" s="176">
        <f t="shared" si="92"/>
        <v>4</v>
      </c>
      <c r="AI218" s="225">
        <f t="shared" si="93"/>
        <v>-1.0755211222025365</v>
      </c>
      <c r="AJ218" s="265" t="b">
        <f t="shared" si="94"/>
        <v>0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7">
        <v>56.081000000000003</v>
      </c>
      <c r="C219" s="390"/>
      <c r="D219" s="393">
        <f t="shared" si="75"/>
        <v>56.588123306959439</v>
      </c>
      <c r="E219" s="385">
        <f t="shared" si="73"/>
        <v>57.920313233857094</v>
      </c>
      <c r="F219" s="385">
        <f t="shared" si="76"/>
        <v>57.924820130429069</v>
      </c>
      <c r="G219" s="110">
        <f t="shared" si="74"/>
        <v>0.97069938286253277</v>
      </c>
      <c r="H219" s="414" t="b">
        <f>Wh_hp&gt;='2018'!Maxi_hp</f>
        <v>1</v>
      </c>
      <c r="I219" s="390">
        <f>IF(H219,Wh_hp,'2018'!Maxi_hp)</f>
        <v>57.924820130429069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8.9616562155379054E-3</v>
      </c>
      <c r="M219" s="845"/>
      <c r="N219" s="845"/>
      <c r="O219" s="48">
        <f>IF(t&lt;Tnet,'2018'!Resal+('2018'!Salim-'2018'!Resal)*(1-EXP(('2018'!Tnet-t)/('2018'!Tau_j))),Resal+(Salim-Resal)*(1-EXP((Tnet-t)/(Tau_j))))*Salcycl</f>
        <v>2.3000392306561819E-2</v>
      </c>
      <c r="P219" s="169">
        <f>(INDEX(Models!$BJ219:$BT219,,T219)*(1-R219)+INDEX(Models!$BJ219:$BT219,,T219+1)*R219-ERP_i)*Q219*Ramure*Pc/MaxiM</f>
        <v>8.1204649210494517E-5</v>
      </c>
      <c r="Q219" s="305">
        <f t="shared" si="78"/>
        <v>0.5</v>
      </c>
      <c r="R219" s="177">
        <f t="shared" si="79"/>
        <v>0.92700670184034073</v>
      </c>
      <c r="S219" s="811">
        <f t="shared" si="80"/>
        <v>-2</v>
      </c>
      <c r="T219" s="176">
        <f t="shared" si="81"/>
        <v>4</v>
      </c>
      <c r="U219" s="251">
        <f t="shared" si="82"/>
        <v>-1.0729932981596593</v>
      </c>
      <c r="V219" s="383">
        <f t="shared" si="83"/>
        <v>57.773611865522888</v>
      </c>
      <c r="W219" s="58"/>
      <c r="X219" s="157">
        <f t="shared" si="84"/>
        <v>43670</v>
      </c>
      <c r="Y219" s="385">
        <f t="shared" si="85"/>
        <v>56.081000000000003</v>
      </c>
      <c r="Z219" s="385">
        <f t="shared" si="86"/>
        <v>56.588123306959439</v>
      </c>
      <c r="AA219" s="386">
        <f t="shared" si="87"/>
        <v>57.920313233857094</v>
      </c>
      <c r="AB219" s="197">
        <f t="shared" si="88"/>
        <v>43670</v>
      </c>
      <c r="AC219" s="426">
        <f>IF(OR(t&lt;Tnet,NoTnet),'2018'!Resal_s+('2018'!Salim-'2018'!Resal_s)*(1-EXP(('2018'!Tnet_s-t)/'2018'!Tau_j)),Resal_s+(Salim-Resal_s)*(1-EXP((Tnet_s-t)/Tau_j)))*Salcycl</f>
        <v>2.3000392306561819E-2</v>
      </c>
      <c r="AD219" s="231">
        <f>(INDEX(Models!$BJ219:$BT219,,AH219)*(1-AF219)+INDEX(Models!$BJ219:$BT219,,AH219+1)*AF219-ERP_i)*AE219*Ramure*Pc/MaxiM</f>
        <v>8.1204649210494517E-5</v>
      </c>
      <c r="AE219" s="305">
        <f t="shared" si="89"/>
        <v>0.5</v>
      </c>
      <c r="AF219" s="177">
        <f t="shared" si="90"/>
        <v>0.92700670184034073</v>
      </c>
      <c r="AG219" s="176">
        <f t="shared" si="91"/>
        <v>-2</v>
      </c>
      <c r="AH219" s="176">
        <f t="shared" si="92"/>
        <v>4</v>
      </c>
      <c r="AI219" s="225">
        <f t="shared" si="93"/>
        <v>-1.0729932981596593</v>
      </c>
      <c r="AJ219" s="265" t="b">
        <f t="shared" si="94"/>
        <v>0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7">
        <v>56.749000000000002</v>
      </c>
      <c r="C220" s="390"/>
      <c r="D220" s="393">
        <f t="shared" si="75"/>
        <v>57.263418042187546</v>
      </c>
      <c r="E220" s="385">
        <f t="shared" si="73"/>
        <v>58.614291175513841</v>
      </c>
      <c r="F220" s="385">
        <f t="shared" si="76"/>
        <v>58.619065963281635</v>
      </c>
      <c r="G220" s="110">
        <f t="shared" si="74"/>
        <v>0.98451159312676451</v>
      </c>
      <c r="H220" s="414" t="b">
        <f>Wh_hp&gt;='2018'!Maxi_hp</f>
        <v>1</v>
      </c>
      <c r="I220" s="390">
        <f>IF(H220,Wh_hp,'2018'!Maxi_hp)</f>
        <v>58.619065963281635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8.9833624986995764E-3</v>
      </c>
      <c r="M220" s="845"/>
      <c r="N220" s="845"/>
      <c r="O220" s="48">
        <f>IF(t&lt;Tnet,'2018'!Resal+('2018'!Salim-'2018'!Resal)*(1-EXP(('2018'!Tnet-t)/('2018'!Tau_j))),Resal+(Salim-Resal)*(1-EXP((Tnet-t)/(Tau_j))))*Salcycl</f>
        <v>2.3046821964992397E-2</v>
      </c>
      <c r="P220" s="169">
        <f>(INDEX(Models!$BJ220:$BT220,,T220)*(1-R220)+INDEX(Models!$BJ220:$BT220,,T220+1)*R220-ERP_i)*Q220*Ramure*Pc/MaxiM</f>
        <v>8.3297364256145658E-5</v>
      </c>
      <c r="Q220" s="305">
        <f t="shared" si="78"/>
        <v>0.5</v>
      </c>
      <c r="R220" s="177">
        <f t="shared" si="79"/>
        <v>0.92946100282747568</v>
      </c>
      <c r="S220" s="811">
        <f t="shared" si="80"/>
        <v>-2</v>
      </c>
      <c r="T220" s="176">
        <f t="shared" si="81"/>
        <v>4</v>
      </c>
      <c r="U220" s="251">
        <f t="shared" si="82"/>
        <v>-1.0705389971725243</v>
      </c>
      <c r="V220" s="383">
        <f t="shared" si="83"/>
        <v>57.641673097592182</v>
      </c>
      <c r="W220" s="58"/>
      <c r="X220" s="157">
        <f t="shared" si="84"/>
        <v>43671</v>
      </c>
      <c r="Y220" s="385">
        <f t="shared" si="85"/>
        <v>56.749000000000002</v>
      </c>
      <c r="Z220" s="385">
        <f t="shared" si="86"/>
        <v>57.263418042187546</v>
      </c>
      <c r="AA220" s="386">
        <f t="shared" si="87"/>
        <v>58.614291175513841</v>
      </c>
      <c r="AB220" s="197">
        <f t="shared" si="88"/>
        <v>43671</v>
      </c>
      <c r="AC220" s="426">
        <f>IF(OR(t&lt;Tnet,NoTnet),'2018'!Resal_s+('2018'!Salim-'2018'!Resal_s)*(1-EXP(('2018'!Tnet_s-t)/'2018'!Tau_j)),Resal_s+(Salim-Resal_s)*(1-EXP((Tnet_s-t)/Tau_j)))*Salcycl</f>
        <v>2.3046821964992397E-2</v>
      </c>
      <c r="AD220" s="231">
        <f>(INDEX(Models!$BJ220:$BT220,,AH220)*(1-AF220)+INDEX(Models!$BJ220:$BT220,,AH220+1)*AF220-ERP_i)*AE220*Ramure*Pc/MaxiM</f>
        <v>8.3297364256145658E-5</v>
      </c>
      <c r="AE220" s="305">
        <f t="shared" si="89"/>
        <v>0.5</v>
      </c>
      <c r="AF220" s="177">
        <f t="shared" si="90"/>
        <v>0.92946100282747568</v>
      </c>
      <c r="AG220" s="176">
        <f t="shared" si="91"/>
        <v>-2</v>
      </c>
      <c r="AH220" s="176">
        <f t="shared" si="92"/>
        <v>4</v>
      </c>
      <c r="AI220" s="225">
        <f t="shared" si="93"/>
        <v>-1.0705389971725243</v>
      </c>
      <c r="AJ220" s="265" t="b">
        <f t="shared" si="94"/>
        <v>0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7">
        <v>20.655999999999999</v>
      </c>
      <c r="C221" s="390"/>
      <c r="D221" s="393">
        <f t="shared" si="75"/>
        <v>20.843698932647317</v>
      </c>
      <c r="E221" s="385">
        <f t="shared" si="73"/>
        <v>21.336423239018881</v>
      </c>
      <c r="F221" s="385">
        <f t="shared" si="76"/>
        <v>21.336575912466561</v>
      </c>
      <c r="G221" s="110">
        <f t="shared" si="74"/>
        <v>0.35915479537008077</v>
      </c>
      <c r="H221" s="414" t="b">
        <f>Wh_hp&gt;='2018'!Maxi_hp</f>
        <v>0</v>
      </c>
      <c r="I221" s="390">
        <f>IF(H221,Wh_hp,'2018'!Maxi_hp)</f>
        <v>56.688146923000261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9.0050683064379911E-3</v>
      </c>
      <c r="M221" s="845"/>
      <c r="N221" s="845"/>
      <c r="O221" s="48">
        <f>IF(t&lt;Tnet,'2018'!Resal+('2018'!Salim-'2018'!Resal)*(1-EXP(('2018'!Tnet-t)/('2018'!Tau_j))),Resal+(Salim-Resal)*(1-EXP((Tnet-t)/(Tau_j))))*Salcycl</f>
        <v>2.3093107071034128E-2</v>
      </c>
      <c r="P221" s="169">
        <f>(INDEX(Models!$BJ221:$BT221,,T221)*(1-R221)+INDEX(Models!$BJ221:$BT221,,T221+1)*R221-ERP_i)*Q221*Ramure*Pc/MaxiM</f>
        <v>8.4633559840683212E-5</v>
      </c>
      <c r="Q221" s="305">
        <f t="shared" si="78"/>
        <v>0.5</v>
      </c>
      <c r="R221" s="177">
        <f t="shared" si="79"/>
        <v>0.93184295960533459</v>
      </c>
      <c r="S221" s="811">
        <f t="shared" si="80"/>
        <v>-2</v>
      </c>
      <c r="T221" s="176">
        <f t="shared" si="81"/>
        <v>4</v>
      </c>
      <c r="U221" s="251">
        <f t="shared" si="82"/>
        <v>-1.0681570403946654</v>
      </c>
      <c r="V221" s="383">
        <f t="shared" si="83"/>
        <v>57.508349791219544</v>
      </c>
      <c r="W221" s="58"/>
      <c r="X221" s="157">
        <f t="shared" si="84"/>
        <v>43672</v>
      </c>
      <c r="Y221" s="385">
        <f t="shared" si="85"/>
        <v>20.655999999999999</v>
      </c>
      <c r="Z221" s="385">
        <f t="shared" si="86"/>
        <v>20.843698932647317</v>
      </c>
      <c r="AA221" s="386">
        <f t="shared" si="87"/>
        <v>21.336423239018881</v>
      </c>
      <c r="AB221" s="197">
        <f t="shared" si="88"/>
        <v>43672</v>
      </c>
      <c r="AC221" s="426">
        <f>IF(OR(t&lt;Tnet,NoTnet),'2018'!Resal_s+('2018'!Salim-'2018'!Resal_s)*(1-EXP(('2018'!Tnet_s-t)/'2018'!Tau_j)),Resal_s+(Salim-Resal_s)*(1-EXP((Tnet_s-t)/Tau_j)))*Salcycl</f>
        <v>2.3093107071034128E-2</v>
      </c>
      <c r="AD221" s="231">
        <f>(INDEX(Models!$BJ221:$BT221,,AH221)*(1-AF221)+INDEX(Models!$BJ221:$BT221,,AH221+1)*AF221-ERP_i)*AE221*Ramure*Pc/MaxiM</f>
        <v>8.4633559840683212E-5</v>
      </c>
      <c r="AE221" s="305">
        <f t="shared" si="89"/>
        <v>0.5</v>
      </c>
      <c r="AF221" s="177">
        <f t="shared" si="90"/>
        <v>0.93184295960533459</v>
      </c>
      <c r="AG221" s="176">
        <f t="shared" si="91"/>
        <v>-2</v>
      </c>
      <c r="AH221" s="176">
        <f t="shared" si="92"/>
        <v>4</v>
      </c>
      <c r="AI221" s="225">
        <f t="shared" si="93"/>
        <v>-1.0681570403946654</v>
      </c>
      <c r="AJ221" s="265" t="b">
        <f t="shared" si="94"/>
        <v>0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7">
        <v>13.117000000000001</v>
      </c>
      <c r="C222" s="390"/>
      <c r="D222" s="393">
        <f t="shared" si="75"/>
        <v>13.236482733407877</v>
      </c>
      <c r="E222" s="385">
        <f t="shared" si="73"/>
        <v>13.55002009455337</v>
      </c>
      <c r="F222" s="385">
        <f t="shared" si="76"/>
        <v>13.55002009455337</v>
      </c>
      <c r="G222" s="110">
        <f t="shared" si="74"/>
        <v>0.22860466784335037</v>
      </c>
      <c r="H222" s="414" t="b">
        <f>Wh_hp&gt;='2018'!Maxi_hp</f>
        <v>0</v>
      </c>
      <c r="I222" s="390">
        <f>IF(H222,Wh_hp,'2018'!Maxi_hp)</f>
        <v>50.330259368541505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9.0267736387635855E-3</v>
      </c>
      <c r="M222" s="845"/>
      <c r="N222" s="845"/>
      <c r="O222" s="48">
        <f>IF(t&lt;Tnet,'2018'!Resal+('2018'!Salim-'2018'!Resal)*(1-EXP(('2018'!Tnet-t)/('2018'!Tau_j))),Resal+(Salim-Resal)*(1-EXP((Tnet-t)/(Tau_j))))*Salcycl</f>
        <v>2.3139254330074611E-2</v>
      </c>
      <c r="P222" s="169">
        <f>(INDEX(Models!$BJ222:$BT222,,T222)*(1-R222)+INDEX(Models!$BJ222:$BT222,,T222+1)*R222-ERP_i)*Q222*Ramure*Pc/MaxiM</f>
        <v>8.5202646888603111E-5</v>
      </c>
      <c r="Q222" s="305">
        <f t="shared" si="78"/>
        <v>0.5</v>
      </c>
      <c r="R222" s="177">
        <f t="shared" si="79"/>
        <v>0.93415380111030055</v>
      </c>
      <c r="S222" s="811">
        <f t="shared" si="80"/>
        <v>-2</v>
      </c>
      <c r="T222" s="176">
        <f t="shared" si="81"/>
        <v>4</v>
      </c>
      <c r="U222" s="251">
        <f t="shared" si="82"/>
        <v>-1.0658461988896994</v>
      </c>
      <c r="V222" s="383">
        <f t="shared" si="83"/>
        <v>57.373642107204581</v>
      </c>
      <c r="W222" s="58"/>
      <c r="X222" s="157">
        <f t="shared" si="84"/>
        <v>43673</v>
      </c>
      <c r="Y222" s="385">
        <f t="shared" si="85"/>
        <v>13.117000000000001</v>
      </c>
      <c r="Z222" s="385">
        <f t="shared" si="86"/>
        <v>13.236482733407877</v>
      </c>
      <c r="AA222" s="386">
        <f t="shared" si="87"/>
        <v>13.55002009455337</v>
      </c>
      <c r="AB222" s="197">
        <f t="shared" si="88"/>
        <v>43673</v>
      </c>
      <c r="AC222" s="426">
        <f>IF(OR(t&lt;Tnet,NoTnet),'2018'!Resal_s+('2018'!Salim-'2018'!Resal_s)*(1-EXP(('2018'!Tnet_s-t)/'2018'!Tau_j)),Resal_s+(Salim-Resal_s)*(1-EXP((Tnet_s-t)/Tau_j)))*Salcycl</f>
        <v>2.3139254330074611E-2</v>
      </c>
      <c r="AD222" s="231">
        <f>(INDEX(Models!$BJ222:$BT222,,AH222)*(1-AF222)+INDEX(Models!$BJ222:$BT222,,AH222+1)*AF222-ERP_i)*AE222*Ramure*Pc/MaxiM</f>
        <v>8.5202646888603111E-5</v>
      </c>
      <c r="AE222" s="305">
        <f t="shared" si="89"/>
        <v>0.5</v>
      </c>
      <c r="AF222" s="177">
        <f t="shared" si="90"/>
        <v>0.93415380111030055</v>
      </c>
      <c r="AG222" s="176">
        <f t="shared" si="91"/>
        <v>-2</v>
      </c>
      <c r="AH222" s="176">
        <f t="shared" si="92"/>
        <v>4</v>
      </c>
      <c r="AI222" s="225">
        <f t="shared" si="93"/>
        <v>-1.0658461988896994</v>
      </c>
      <c r="AJ222" s="265" t="b">
        <f t="shared" si="94"/>
        <v>0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7">
        <v>52.652000000000001</v>
      </c>
      <c r="C223" s="390"/>
      <c r="D223" s="393">
        <f t="shared" si="75"/>
        <v>53.132770733397393</v>
      </c>
      <c r="E223" s="385">
        <f t="shared" si="73"/>
        <v>54.393908177570481</v>
      </c>
      <c r="F223" s="385">
        <f t="shared" si="76"/>
        <v>54.398002538827562</v>
      </c>
      <c r="G223" s="110">
        <f t="shared" si="74"/>
        <v>0.91987668223596086</v>
      </c>
      <c r="H223" s="414" t="b">
        <f>Wh_hp&gt;='2018'!Maxi_hp</f>
        <v>1</v>
      </c>
      <c r="I223" s="390">
        <f>IF(H223,Wh_hp,'2018'!Maxi_hp)</f>
        <v>54.398002538827562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9.0484784956865738E-3</v>
      </c>
      <c r="M223" s="845"/>
      <c r="N223" s="845"/>
      <c r="O223" s="48">
        <f>IF(t&lt;Tnet,'2018'!Resal+('2018'!Salim-'2018'!Resal)*(1-EXP(('2018'!Tnet-t)/('2018'!Tau_j))),Resal+(Salim-Resal)*(1-EXP((Tnet-t)/(Tau_j))))*Salcycl</f>
        <v>2.3185269939715866E-2</v>
      </c>
      <c r="P223" s="169">
        <f>(INDEX(Models!$BJ223:$BT223,,T223)*(1-R223)+INDEX(Models!$BJ223:$BT223,,T223+1)*R223-ERP_i)*Q223*Ramure*Pc/MaxiM</f>
        <v>8.4994275550615087E-5</v>
      </c>
      <c r="Q223" s="305">
        <f t="shared" si="78"/>
        <v>0.5</v>
      </c>
      <c r="R223" s="177">
        <f t="shared" si="79"/>
        <v>0.93639480049688206</v>
      </c>
      <c r="S223" s="811">
        <f t="shared" si="80"/>
        <v>-2</v>
      </c>
      <c r="T223" s="176">
        <f t="shared" si="81"/>
        <v>4</v>
      </c>
      <c r="U223" s="251">
        <f t="shared" si="82"/>
        <v>-1.0636051995031179</v>
      </c>
      <c r="V223" s="383">
        <f t="shared" si="83"/>
        <v>57.237550211815275</v>
      </c>
      <c r="W223" s="58"/>
      <c r="X223" s="157">
        <f t="shared" si="84"/>
        <v>43674</v>
      </c>
      <c r="Y223" s="385">
        <f t="shared" si="85"/>
        <v>52.652000000000001</v>
      </c>
      <c r="Z223" s="385">
        <f t="shared" si="86"/>
        <v>53.132770733397393</v>
      </c>
      <c r="AA223" s="386">
        <f t="shared" si="87"/>
        <v>54.393908177570481</v>
      </c>
      <c r="AB223" s="197">
        <f t="shared" si="88"/>
        <v>43674</v>
      </c>
      <c r="AC223" s="426">
        <f>IF(OR(t&lt;Tnet,NoTnet),'2018'!Resal_s+('2018'!Salim-'2018'!Resal_s)*(1-EXP(('2018'!Tnet_s-t)/'2018'!Tau_j)),Resal_s+(Salim-Resal_s)*(1-EXP((Tnet_s-t)/Tau_j)))*Salcycl</f>
        <v>2.3185269939715866E-2</v>
      </c>
      <c r="AD223" s="231">
        <f>(INDEX(Models!$BJ223:$BT223,,AH223)*(1-AF223)+INDEX(Models!$BJ223:$BT223,,AH223+1)*AF223-ERP_i)*AE223*Ramure*Pc/MaxiM</f>
        <v>8.4994275550615087E-5</v>
      </c>
      <c r="AE223" s="305">
        <f t="shared" si="89"/>
        <v>0.5</v>
      </c>
      <c r="AF223" s="177">
        <f t="shared" si="90"/>
        <v>0.93639480049688206</v>
      </c>
      <c r="AG223" s="176">
        <f t="shared" si="91"/>
        <v>-2</v>
      </c>
      <c r="AH223" s="176">
        <f t="shared" si="92"/>
        <v>4</v>
      </c>
      <c r="AI223" s="225">
        <f t="shared" si="93"/>
        <v>-1.0636051995031179</v>
      </c>
      <c r="AJ223" s="265" t="b">
        <f t="shared" si="94"/>
        <v>0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7">
        <v>57.725000000000001</v>
      </c>
      <c r="C224" s="390"/>
      <c r="D224" s="393">
        <f t="shared" si="75"/>
        <v>58.253368707390017</v>
      </c>
      <c r="E224" s="385">
        <f t="shared" si="73"/>
        <v>59.638848309421128</v>
      </c>
      <c r="F224" s="385">
        <f t="shared" si="76"/>
        <v>59.643858292588483</v>
      </c>
      <c r="G224" s="110">
        <f t="shared" si="74"/>
        <v>1.0109443941648826</v>
      </c>
      <c r="H224" s="414" t="b">
        <f>Wh_hp&gt;='2018'!Maxi_hp</f>
        <v>1</v>
      </c>
      <c r="I224" s="390">
        <f>IF(H224,Wh_hp,'2018'!Maxi_hp)</f>
        <v>59.643858292588483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9.0701828772176141E-3</v>
      </c>
      <c r="M224" s="845"/>
      <c r="N224" s="845"/>
      <c r="O224" s="48">
        <f>IF(t&lt;Tnet,'2018'!Resal+('2018'!Salim-'2018'!Resal)*(1-EXP(('2018'!Tnet-t)/('2018'!Tau_j))),Resal+(Salim-Resal)*(1-EXP((Tnet-t)/(Tau_j))))*Salcycl</f>
        <v>2.323115957643752E-2</v>
      </c>
      <c r="P224" s="169">
        <f>(INDEX(Models!$BJ224:$BT224,,T224)*(1-R224)+INDEX(Models!$BJ224:$BT224,,T224+1)*R224-ERP_i)*Q224*Ramure*Pc/MaxiM</f>
        <v>8.3998307801972215E-5</v>
      </c>
      <c r="Q224" s="305">
        <f t="shared" si="78"/>
        <v>0.5</v>
      </c>
      <c r="R224" s="177">
        <f t="shared" si="79"/>
        <v>0.93856726950091529</v>
      </c>
      <c r="S224" s="811">
        <f t="shared" si="80"/>
        <v>-2</v>
      </c>
      <c r="T224" s="176">
        <f t="shared" si="81"/>
        <v>4</v>
      </c>
      <c r="U224" s="251">
        <f t="shared" si="82"/>
        <v>-1.0614327304990847</v>
      </c>
      <c r="V224" s="383">
        <f t="shared" si="83"/>
        <v>57.100074280233066</v>
      </c>
      <c r="W224" s="58"/>
      <c r="X224" s="157">
        <f t="shared" si="84"/>
        <v>43675</v>
      </c>
      <c r="Y224" s="385">
        <f t="shared" si="85"/>
        <v>57.725000000000001</v>
      </c>
      <c r="Z224" s="385">
        <f t="shared" si="86"/>
        <v>58.253368707390017</v>
      </c>
      <c r="AA224" s="386">
        <f t="shared" si="87"/>
        <v>59.638848309421128</v>
      </c>
      <c r="AB224" s="197">
        <f t="shared" si="88"/>
        <v>43675</v>
      </c>
      <c r="AC224" s="426">
        <f>IF(OR(t&lt;Tnet,NoTnet),'2018'!Resal_s+('2018'!Salim-'2018'!Resal_s)*(1-EXP(('2018'!Tnet_s-t)/'2018'!Tau_j)),Resal_s+(Salim-Resal_s)*(1-EXP((Tnet_s-t)/Tau_j)))*Salcycl</f>
        <v>2.323115957643752E-2</v>
      </c>
      <c r="AD224" s="231">
        <f>(INDEX(Models!$BJ224:$BT224,,AH224)*(1-AF224)+INDEX(Models!$BJ224:$BT224,,AH224+1)*AF224-ERP_i)*AE224*Ramure*Pc/MaxiM</f>
        <v>8.3998307801972215E-5</v>
      </c>
      <c r="AE224" s="305">
        <f t="shared" si="89"/>
        <v>0.5</v>
      </c>
      <c r="AF224" s="177">
        <f t="shared" si="90"/>
        <v>0.93856726950091529</v>
      </c>
      <c r="AG224" s="176">
        <f t="shared" si="91"/>
        <v>-2</v>
      </c>
      <c r="AH224" s="176">
        <f t="shared" si="92"/>
        <v>4</v>
      </c>
      <c r="AI224" s="225">
        <f t="shared" si="93"/>
        <v>-1.0614327304990847</v>
      </c>
      <c r="AJ224" s="265" t="b">
        <f t="shared" si="94"/>
        <v>0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7">
        <v>28.071000000000002</v>
      </c>
      <c r="C225" s="390"/>
      <c r="D225" s="393">
        <f t="shared" si="75"/>
        <v>28.328560060808684</v>
      </c>
      <c r="E225" s="385">
        <f t="shared" si="73"/>
        <v>29.00367656311747</v>
      </c>
      <c r="F225" s="385">
        <f t="shared" si="76"/>
        <v>29.004333296836958</v>
      </c>
      <c r="G225" s="110">
        <f t="shared" si="74"/>
        <v>0.49277966138256596</v>
      </c>
      <c r="H225" s="414" t="b">
        <f>Wh_hp&gt;='2018'!Maxi_hp</f>
        <v>0</v>
      </c>
      <c r="I225" s="390">
        <f>IF(H225,Wh_hp,'2018'!Maxi_hp)</f>
        <v>55.994393253662331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9.0918867833669204E-3</v>
      </c>
      <c r="M225" s="845"/>
      <c r="N225" s="845"/>
      <c r="O225" s="48">
        <f>IF(t&lt;Tnet,'2018'!Resal+('2018'!Salim-'2018'!Resal)*(1-EXP(('2018'!Tnet-t)/('2018'!Tau_j))),Resal+(Salim-Resal)*(1-EXP((Tnet-t)/(Tau_j))))*Salcycl</f>
        <v>2.3276928386634196E-2</v>
      </c>
      <c r="P225" s="169">
        <f>(INDEX(Models!$BJ225:$BT225,,T225)*(1-R225)+INDEX(Models!$BJ225:$BT225,,T225+1)*R225-ERP_i)*Q225*Ramure*Pc/MaxiM</f>
        <v>8.2204791608923175E-5</v>
      </c>
      <c r="Q225" s="305">
        <f t="shared" si="78"/>
        <v>0.5</v>
      </c>
      <c r="R225" s="177">
        <f t="shared" si="79"/>
        <v>0.94067255304779795</v>
      </c>
      <c r="S225" s="811">
        <f t="shared" si="80"/>
        <v>-2</v>
      </c>
      <c r="T225" s="176">
        <f t="shared" si="81"/>
        <v>4</v>
      </c>
      <c r="U225" s="251">
        <f t="shared" si="82"/>
        <v>-1.059327446952202</v>
      </c>
      <c r="V225" s="383">
        <f t="shared" si="83"/>
        <v>56.961214497578823</v>
      </c>
      <c r="W225" s="58"/>
      <c r="X225" s="157">
        <f t="shared" si="84"/>
        <v>43676</v>
      </c>
      <c r="Y225" s="385">
        <f t="shared" si="85"/>
        <v>28.071000000000002</v>
      </c>
      <c r="Z225" s="385">
        <f t="shared" si="86"/>
        <v>28.328560060808684</v>
      </c>
      <c r="AA225" s="386">
        <f t="shared" si="87"/>
        <v>29.00367656311747</v>
      </c>
      <c r="AB225" s="197">
        <f t="shared" si="88"/>
        <v>43676</v>
      </c>
      <c r="AC225" s="426">
        <f>IF(OR(t&lt;Tnet,NoTnet),'2018'!Resal_s+('2018'!Salim-'2018'!Resal_s)*(1-EXP(('2018'!Tnet_s-t)/'2018'!Tau_j)),Resal_s+(Salim-Resal_s)*(1-EXP((Tnet_s-t)/Tau_j)))*Salcycl</f>
        <v>2.3276928386634196E-2</v>
      </c>
      <c r="AD225" s="231">
        <f>(INDEX(Models!$BJ225:$BT225,,AH225)*(1-AF225)+INDEX(Models!$BJ225:$BT225,,AH225+1)*AF225-ERP_i)*AE225*Ramure*Pc/MaxiM</f>
        <v>8.2204791608923175E-5</v>
      </c>
      <c r="AE225" s="305">
        <f t="shared" si="89"/>
        <v>0.5</v>
      </c>
      <c r="AF225" s="177">
        <f t="shared" si="90"/>
        <v>0.94067255304779795</v>
      </c>
      <c r="AG225" s="176">
        <f t="shared" si="91"/>
        <v>-2</v>
      </c>
      <c r="AH225" s="176">
        <f t="shared" si="92"/>
        <v>4</v>
      </c>
      <c r="AI225" s="225">
        <f t="shared" si="93"/>
        <v>-1.059327446952202</v>
      </c>
      <c r="AJ225" s="265" t="b">
        <f t="shared" si="94"/>
        <v>0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7">
        <v>56.369</v>
      </c>
      <c r="C226" s="390"/>
      <c r="D226" s="393">
        <f t="shared" si="75"/>
        <v>56.887448897580668</v>
      </c>
      <c r="E226" s="385">
        <f t="shared" si="73"/>
        <v>58.245893464775875</v>
      </c>
      <c r="F226" s="385">
        <f t="shared" si="76"/>
        <v>58.250484133448317</v>
      </c>
      <c r="G226" s="110">
        <f t="shared" si="74"/>
        <v>0.99204491125279404</v>
      </c>
      <c r="H226" s="414" t="b">
        <f>Wh_hp&gt;='2018'!Maxi_hp</f>
        <v>1</v>
      </c>
      <c r="I226" s="390">
        <f>IF(H226,Wh_hp,'2018'!Maxi_hp)</f>
        <v>58.250484133448317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9.1135902141450398E-3</v>
      </c>
      <c r="M226" s="845"/>
      <c r="N226" s="845"/>
      <c r="O226" s="48">
        <f>IF(t&lt;Tnet,'2018'!Resal+('2018'!Salim-'2018'!Resal)*(1-EXP(('2018'!Tnet-t)/('2018'!Tau_j))),Resal+(Salim-Resal)*(1-EXP((Tnet-t)/(Tau_j))))*Salcycl</f>
        <v>2.3322580981897385E-2</v>
      </c>
      <c r="P226" s="169">
        <f>(INDEX(Models!$BJ226:$BT226,,T226)*(1-R226)+INDEX(Models!$BJ226:$BT226,,T226+1)*R226-ERP_i)*Q226*Ramure*Pc/MaxiM</f>
        <v>7.9714918486424073E-5</v>
      </c>
      <c r="Q226" s="305">
        <f t="shared" si="78"/>
        <v>0.5</v>
      </c>
      <c r="R226" s="177">
        <f t="shared" si="79"/>
        <v>0.94271202411327093</v>
      </c>
      <c r="S226" s="811">
        <f t="shared" si="80"/>
        <v>-2</v>
      </c>
      <c r="T226" s="176">
        <f t="shared" si="81"/>
        <v>4</v>
      </c>
      <c r="U226" s="251">
        <f t="shared" si="82"/>
        <v>-1.0572879758867291</v>
      </c>
      <c r="V226" s="383">
        <f t="shared" si="83"/>
        <v>56.820964753639522</v>
      </c>
      <c r="W226" s="58"/>
      <c r="X226" s="157">
        <f t="shared" si="84"/>
        <v>43677</v>
      </c>
      <c r="Y226" s="385">
        <f t="shared" si="85"/>
        <v>56.369</v>
      </c>
      <c r="Z226" s="385">
        <f t="shared" si="86"/>
        <v>56.887448897580668</v>
      </c>
      <c r="AA226" s="386">
        <f t="shared" si="87"/>
        <v>58.245893464775875</v>
      </c>
      <c r="AB226" s="197">
        <f t="shared" si="88"/>
        <v>43677</v>
      </c>
      <c r="AC226" s="426">
        <f>IF(OR(t&lt;Tnet,NoTnet),'2018'!Resal_s+('2018'!Salim-'2018'!Resal_s)*(1-EXP(('2018'!Tnet_s-t)/'2018'!Tau_j)),Resal_s+(Salim-Resal_s)*(1-EXP((Tnet_s-t)/Tau_j)))*Salcycl</f>
        <v>2.3322580981897385E-2</v>
      </c>
      <c r="AD226" s="231">
        <f>(INDEX(Models!$BJ226:$BT226,,AH226)*(1-AF226)+INDEX(Models!$BJ226:$BT226,,AH226+1)*AF226-ERP_i)*AE226*Ramure*Pc/MaxiM</f>
        <v>7.9714918486424073E-5</v>
      </c>
      <c r="AE226" s="305">
        <f t="shared" si="89"/>
        <v>0.5</v>
      </c>
      <c r="AF226" s="177">
        <f t="shared" si="90"/>
        <v>0.94271202411327093</v>
      </c>
      <c r="AG226" s="176">
        <f t="shared" si="91"/>
        <v>-2</v>
      </c>
      <c r="AH226" s="176">
        <f t="shared" si="92"/>
        <v>4</v>
      </c>
      <c r="AI226" s="225">
        <f t="shared" si="93"/>
        <v>-1.0572879758867291</v>
      </c>
      <c r="AJ226" s="265" t="b">
        <f t="shared" si="94"/>
        <v>0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7">
        <v>47.819000000000003</v>
      </c>
      <c r="C227" s="390"/>
      <c r="D227" s="393">
        <f t="shared" si="75"/>
        <v>48.259868042896251</v>
      </c>
      <c r="E227" s="385">
        <f t="shared" si="73"/>
        <v>49.414594282927538</v>
      </c>
      <c r="F227" s="385">
        <f t="shared" si="76"/>
        <v>49.417548619689114</v>
      </c>
      <c r="G227" s="110">
        <f t="shared" si="74"/>
        <v>0.84366211846185901</v>
      </c>
      <c r="H227" s="414" t="b">
        <f>Wh_hp&gt;='2018'!Maxi_hp</f>
        <v>0</v>
      </c>
      <c r="I227" s="390">
        <f>IF(H227,Wh_hp,'2018'!Maxi_hp)</f>
        <v>54.762972636889117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9.1352931695622974E-3</v>
      </c>
      <c r="M227" s="845"/>
      <c r="N227" s="845"/>
      <c r="O227" s="48">
        <f>IF(t&lt;Tnet,'2018'!Resal+('2018'!Salim-'2018'!Resal)*(1-EXP(('2018'!Tnet-t)/('2018'!Tau_j))),Resal+(Salim-Resal)*(1-EXP((Tnet-t)/(Tau_j))))*Salcycl</f>
        <v>2.3368121438371057E-2</v>
      </c>
      <c r="P227" s="169">
        <f>(INDEX(Models!$BJ227:$BT227,,T227)*(1-R227)+INDEX(Models!$BJ227:$BT227,,T227+1)*R227-ERP_i)*Q227*Ramure*Pc/MaxiM</f>
        <v>7.6972604478589167E-5</v>
      </c>
      <c r="Q227" s="305">
        <f t="shared" si="78"/>
        <v>0.5</v>
      </c>
      <c r="R227" s="177">
        <f t="shared" si="79"/>
        <v>0.94468707884194014</v>
      </c>
      <c r="S227" s="811">
        <f t="shared" si="80"/>
        <v>-2</v>
      </c>
      <c r="T227" s="176">
        <f t="shared" si="81"/>
        <v>4</v>
      </c>
      <c r="U227" s="251">
        <f t="shared" si="82"/>
        <v>-1.0553129211580599</v>
      </c>
      <c r="V227" s="383">
        <f t="shared" si="83"/>
        <v>56.679299593955847</v>
      </c>
      <c r="W227" s="58"/>
      <c r="X227" s="157">
        <f t="shared" si="84"/>
        <v>43678</v>
      </c>
      <c r="Y227" s="385">
        <f t="shared" si="85"/>
        <v>47.819000000000003</v>
      </c>
      <c r="Z227" s="385">
        <f t="shared" si="86"/>
        <v>48.259868042896251</v>
      </c>
      <c r="AA227" s="386">
        <f t="shared" si="87"/>
        <v>49.414594282927538</v>
      </c>
      <c r="AB227" s="197">
        <f t="shared" si="88"/>
        <v>43678</v>
      </c>
      <c r="AC227" s="426">
        <f>IF(OR(t&lt;Tnet,NoTnet),'2018'!Resal_s+('2018'!Salim-'2018'!Resal_s)*(1-EXP(('2018'!Tnet_s-t)/'2018'!Tau_j)),Resal_s+(Salim-Resal_s)*(1-EXP((Tnet_s-t)/Tau_j)))*Salcycl</f>
        <v>2.3368121438371057E-2</v>
      </c>
      <c r="AD227" s="231">
        <f>(INDEX(Models!$BJ227:$BT227,,AH227)*(1-AF227)+INDEX(Models!$BJ227:$BT227,,AH227+1)*AF227-ERP_i)*AE227*Ramure*Pc/MaxiM</f>
        <v>7.6972604478589167E-5</v>
      </c>
      <c r="AE227" s="305">
        <f t="shared" si="89"/>
        <v>0.5</v>
      </c>
      <c r="AF227" s="177">
        <f t="shared" si="90"/>
        <v>0.94468707884194014</v>
      </c>
      <c r="AG227" s="176">
        <f t="shared" si="91"/>
        <v>-2</v>
      </c>
      <c r="AH227" s="176">
        <f t="shared" si="92"/>
        <v>4</v>
      </c>
      <c r="AI227" s="225">
        <f t="shared" si="93"/>
        <v>-1.0553129211580599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7">
        <v>55.002000000000002</v>
      </c>
      <c r="C228" s="390"/>
      <c r="D228" s="393">
        <f t="shared" si="75"/>
        <v>55.510307645620514</v>
      </c>
      <c r="E228" s="385">
        <f t="shared" si="73"/>
        <v>56.841161203081164</v>
      </c>
      <c r="F228" s="385">
        <f t="shared" si="76"/>
        <v>56.845203333586923</v>
      </c>
      <c r="G228" s="110">
        <f t="shared" si="74"/>
        <v>0.9728602858564277</v>
      </c>
      <c r="H228" s="414" t="b">
        <f>Wh_hp&gt;='2018'!Maxi_hp</f>
        <v>1</v>
      </c>
      <c r="I228" s="390">
        <f>IF(H228,Wh_hp,'2018'!Maxi_hp)</f>
        <v>56.845203333586923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9.1569956496290184E-3</v>
      </c>
      <c r="M228" s="845"/>
      <c r="N228" s="845"/>
      <c r="O228" s="48">
        <f>IF(t&lt;Tnet,'2018'!Resal+('2018'!Salim-'2018'!Resal)*(1-EXP(('2018'!Tnet-t)/('2018'!Tau_j))),Resal+(Salim-Resal)*(1-EXP((Tnet-t)/(Tau_j))))*Salcycl</f>
        <v>2.3413553299972151E-2</v>
      </c>
      <c r="P228" s="169">
        <f>(INDEX(Models!$BJ228:$BT228,,T228)*(1-R228)+INDEX(Models!$BJ228:$BT228,,T228+1)*R228-ERP_i)*Q228*Ramure*Pc/MaxiM</f>
        <v>7.397548995662083E-5</v>
      </c>
      <c r="Q228" s="305">
        <f t="shared" si="78"/>
        <v>0.5</v>
      </c>
      <c r="R228" s="177">
        <f t="shared" si="79"/>
        <v>0.94659913192657696</v>
      </c>
      <c r="S228" s="811">
        <f t="shared" si="80"/>
        <v>-2</v>
      </c>
      <c r="T228" s="176">
        <f t="shared" si="81"/>
        <v>4</v>
      </c>
      <c r="U228" s="251">
        <f t="shared" si="82"/>
        <v>-1.053400868073423</v>
      </c>
      <c r="V228" s="383">
        <f t="shared" si="83"/>
        <v>56.536219078013758</v>
      </c>
      <c r="W228" s="58"/>
      <c r="X228" s="157">
        <f t="shared" si="84"/>
        <v>43679</v>
      </c>
      <c r="Y228" s="385">
        <f t="shared" si="85"/>
        <v>55.002000000000002</v>
      </c>
      <c r="Z228" s="385">
        <f t="shared" si="86"/>
        <v>55.510307645620514</v>
      </c>
      <c r="AA228" s="386">
        <f t="shared" si="87"/>
        <v>56.841161203081164</v>
      </c>
      <c r="AB228" s="197">
        <f t="shared" si="88"/>
        <v>43679</v>
      </c>
      <c r="AC228" s="426">
        <f>IF(OR(t&lt;Tnet,NoTnet),'2018'!Resal_s+('2018'!Salim-'2018'!Resal_s)*(1-EXP(('2018'!Tnet_s-t)/'2018'!Tau_j)),Resal_s+(Salim-Resal_s)*(1-EXP((Tnet_s-t)/Tau_j)))*Salcycl</f>
        <v>2.3413553299972151E-2</v>
      </c>
      <c r="AD228" s="231">
        <f>(INDEX(Models!$BJ228:$BT228,,AH228)*(1-AF228)+INDEX(Models!$BJ228:$BT228,,AH228+1)*AF228-ERP_i)*AE228*Ramure*Pc/MaxiM</f>
        <v>7.397548995662083E-5</v>
      </c>
      <c r="AE228" s="305">
        <f t="shared" si="89"/>
        <v>0.5</v>
      </c>
      <c r="AF228" s="177">
        <f t="shared" si="90"/>
        <v>0.94659913192657696</v>
      </c>
      <c r="AG228" s="176">
        <f t="shared" si="91"/>
        <v>-2</v>
      </c>
      <c r="AH228" s="176">
        <f t="shared" si="92"/>
        <v>4</v>
      </c>
      <c r="AI228" s="225">
        <f t="shared" si="93"/>
        <v>-1.053400868073423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7">
        <v>55.662999999999997</v>
      </c>
      <c r="C229" s="390"/>
      <c r="D229" s="393">
        <f t="shared" si="75"/>
        <v>56.178646813734105</v>
      </c>
      <c r="E229" s="385">
        <f t="shared" si="73"/>
        <v>57.528193784480102</v>
      </c>
      <c r="F229" s="385">
        <f t="shared" si="76"/>
        <v>57.532187418566849</v>
      </c>
      <c r="G229" s="110">
        <f t="shared" si="74"/>
        <v>0.98707618907742922</v>
      </c>
      <c r="H229" s="414" t="b">
        <f>Wh_hp&gt;='2018'!Maxi_hp</f>
        <v>1</v>
      </c>
      <c r="I229" s="390">
        <f>IF(H229,Wh_hp,'2018'!Maxi_hp)</f>
        <v>57.532187418566849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9.1786976543558607E-3</v>
      </c>
      <c r="M229" s="845"/>
      <c r="N229" s="845"/>
      <c r="O229" s="48">
        <f>IF(t&lt;Tnet,'2018'!Resal+('2018'!Salim-'2018'!Resal)*(1-EXP(('2018'!Tnet-t)/('2018'!Tau_j))),Resal+(Salim-Resal)*(1-EXP((Tnet-t)/(Tau_j))))*Salcycl</f>
        <v>2.3458879585231737E-2</v>
      </c>
      <c r="P229" s="169">
        <f>(INDEX(Models!$BJ229:$BT229,,T229)*(1-R229)+INDEX(Models!$BJ229:$BT229,,T229+1)*R229-ERP_i)*Q229*Ramure*Pc/MaxiM</f>
        <v>7.0721214656386527E-5</v>
      </c>
      <c r="Q229" s="305">
        <f t="shared" si="78"/>
        <v>0.5</v>
      </c>
      <c r="R229" s="177">
        <f t="shared" si="79"/>
        <v>0.9484496122492998</v>
      </c>
      <c r="S229" s="811">
        <f t="shared" si="80"/>
        <v>-2</v>
      </c>
      <c r="T229" s="176">
        <f t="shared" si="81"/>
        <v>4</v>
      </c>
      <c r="U229" s="251">
        <f t="shared" si="82"/>
        <v>-1.0515503877507002</v>
      </c>
      <c r="V229" s="383">
        <f t="shared" si="83"/>
        <v>56.391723292646098</v>
      </c>
      <c r="W229" s="58"/>
      <c r="X229" s="157">
        <f t="shared" si="84"/>
        <v>43680</v>
      </c>
      <c r="Y229" s="385">
        <f t="shared" si="85"/>
        <v>55.662999999999997</v>
      </c>
      <c r="Z229" s="385">
        <f t="shared" si="86"/>
        <v>56.178646813734105</v>
      </c>
      <c r="AA229" s="386">
        <f t="shared" si="87"/>
        <v>57.528193784480102</v>
      </c>
      <c r="AB229" s="197">
        <f t="shared" si="88"/>
        <v>43680</v>
      </c>
      <c r="AC229" s="426">
        <f>IF(OR(t&lt;Tnet,NoTnet),'2018'!Resal_s+('2018'!Salim-'2018'!Resal_s)*(1-EXP(('2018'!Tnet_s-t)/'2018'!Tau_j)),Resal_s+(Salim-Resal_s)*(1-EXP((Tnet_s-t)/Tau_j)))*Salcycl</f>
        <v>2.3458879585231737E-2</v>
      </c>
      <c r="AD229" s="231">
        <f>(INDEX(Models!$BJ229:$BT229,,AH229)*(1-AF229)+INDEX(Models!$BJ229:$BT229,,AH229+1)*AF229-ERP_i)*AE229*Ramure*Pc/MaxiM</f>
        <v>7.0721214656386527E-5</v>
      </c>
      <c r="AE229" s="305">
        <f t="shared" si="89"/>
        <v>0.5</v>
      </c>
      <c r="AF229" s="177">
        <f t="shared" si="90"/>
        <v>0.9484496122492998</v>
      </c>
      <c r="AG229" s="176">
        <f t="shared" si="91"/>
        <v>-2</v>
      </c>
      <c r="AH229" s="176">
        <f t="shared" si="92"/>
        <v>4</v>
      </c>
      <c r="AI229" s="225">
        <f t="shared" si="93"/>
        <v>-1.0515503877507002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7">
        <v>53.036000000000001</v>
      </c>
      <c r="C230" s="390"/>
      <c r="D230" s="393">
        <f t="shared" si="75"/>
        <v>53.528483415120007</v>
      </c>
      <c r="E230" s="385">
        <f t="shared" si="73"/>
        <v>54.816905599367296</v>
      </c>
      <c r="F230" s="385">
        <f t="shared" si="76"/>
        <v>54.820289563876685</v>
      </c>
      <c r="G230" s="110">
        <f t="shared" si="74"/>
        <v>0.94292725404737499</v>
      </c>
      <c r="H230" s="414" t="b">
        <f>Wh_hp&gt;='2018'!Maxi_hp</f>
        <v>1</v>
      </c>
      <c r="I230" s="390">
        <f>IF(H230,Wh_hp,'2018'!Maxi_hp)</f>
        <v>54.820289563876685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9.2003991837530386E-3</v>
      </c>
      <c r="M230" s="845"/>
      <c r="N230" s="845"/>
      <c r="O230" s="48">
        <f>IF(t&lt;Tnet,'2018'!Resal+('2018'!Salim-'2018'!Resal)*(1-EXP(('2018'!Tnet-t)/('2018'!Tau_j))),Resal+(Salim-Resal)*(1-EXP((Tnet-t)/(Tau_j))))*Salcycl</f>
        <v>2.3504102797480071E-2</v>
      </c>
      <c r="P230" s="169">
        <f>(INDEX(Models!$BJ230:$BT230,,T230)*(1-R230)+INDEX(Models!$BJ230:$BT230,,T230+1)*R230-ERP_i)*Q230*Ramure*Pc/MaxiM</f>
        <v>6.7207414493109617E-5</v>
      </c>
      <c r="Q230" s="305">
        <f t="shared" si="78"/>
        <v>0.5</v>
      </c>
      <c r="R230" s="177">
        <f t="shared" si="79"/>
        <v>0.95023995878397671</v>
      </c>
      <c r="S230" s="811">
        <f t="shared" si="80"/>
        <v>-2</v>
      </c>
      <c r="T230" s="176">
        <f t="shared" si="81"/>
        <v>4</v>
      </c>
      <c r="U230" s="251">
        <f t="shared" si="82"/>
        <v>-1.0497600412160233</v>
      </c>
      <c r="V230" s="383">
        <f t="shared" si="83"/>
        <v>56.245812352210912</v>
      </c>
      <c r="W230" s="58"/>
      <c r="X230" s="157">
        <f t="shared" si="84"/>
        <v>43681</v>
      </c>
      <c r="Y230" s="385">
        <f t="shared" si="85"/>
        <v>53.036000000000001</v>
      </c>
      <c r="Z230" s="385">
        <f t="shared" si="86"/>
        <v>53.528483415120007</v>
      </c>
      <c r="AA230" s="386">
        <f t="shared" si="87"/>
        <v>54.816905599367296</v>
      </c>
      <c r="AB230" s="197">
        <f t="shared" si="88"/>
        <v>43681</v>
      </c>
      <c r="AC230" s="426">
        <f>IF(OR(t&lt;Tnet,NoTnet),'2018'!Resal_s+('2018'!Salim-'2018'!Resal_s)*(1-EXP(('2018'!Tnet_s-t)/'2018'!Tau_j)),Resal_s+(Salim-Resal_s)*(1-EXP((Tnet_s-t)/Tau_j)))*Salcycl</f>
        <v>2.3504102797480071E-2</v>
      </c>
      <c r="AD230" s="231">
        <f>(INDEX(Models!$BJ230:$BT230,,AH230)*(1-AF230)+INDEX(Models!$BJ230:$BT230,,AH230+1)*AF230-ERP_i)*AE230*Ramure*Pc/MaxiM</f>
        <v>6.7207414493109617E-5</v>
      </c>
      <c r="AE230" s="305">
        <f t="shared" si="89"/>
        <v>0.5</v>
      </c>
      <c r="AF230" s="177">
        <f t="shared" si="90"/>
        <v>0.95023995878397671</v>
      </c>
      <c r="AG230" s="176">
        <f t="shared" si="91"/>
        <v>-2</v>
      </c>
      <c r="AH230" s="176">
        <f t="shared" si="92"/>
        <v>4</v>
      </c>
      <c r="AI230" s="225">
        <f t="shared" si="93"/>
        <v>-1.0497600412160233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7">
        <v>53.048999999999999</v>
      </c>
      <c r="C231" s="390"/>
      <c r="D231" s="393">
        <f t="shared" si="75"/>
        <v>53.542776855170203</v>
      </c>
      <c r="E231" s="385">
        <f t="shared" si="73"/>
        <v>54.834076865548433</v>
      </c>
      <c r="F231" s="385">
        <f t="shared" si="76"/>
        <v>54.837285166822504</v>
      </c>
      <c r="G231" s="110">
        <f t="shared" si="74"/>
        <v>0.94563582868098561</v>
      </c>
      <c r="H231" s="414" t="b">
        <f>Wh_hp&gt;='2018'!Maxi_hp</f>
        <v>1</v>
      </c>
      <c r="I231" s="390">
        <f>IF(H231,Wh_hp,'2018'!Maxi_hp)</f>
        <v>54.837285166822504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9.222100237831099E-3</v>
      </c>
      <c r="M231" s="845"/>
      <c r="N231" s="845"/>
      <c r="O231" s="48">
        <f>IF(t&lt;Tnet,'2018'!Resal+('2018'!Salim-'2018'!Resal)*(1-EXP(('2018'!Tnet-t)/('2018'!Tau_j))),Resal+(Salim-Resal)*(1-EXP((Tnet-t)/(Tau_j))))*Salcycl</f>
        <v>2.3549224938070237E-2</v>
      </c>
      <c r="P231" s="169">
        <f>(INDEX(Models!$BJ231:$BT231,,T231)*(1-R231)+INDEX(Models!$BJ231:$BT231,,T231+1)*R231-ERP_i)*Q231*Ramure*Pc/MaxiM</f>
        <v>6.3431719051653082E-5</v>
      </c>
      <c r="Q231" s="305">
        <f t="shared" si="78"/>
        <v>0.5</v>
      </c>
      <c r="R231" s="177">
        <f t="shared" si="79"/>
        <v>0.9519716167576191</v>
      </c>
      <c r="S231" s="811">
        <f t="shared" si="80"/>
        <v>-2</v>
      </c>
      <c r="T231" s="176">
        <f t="shared" si="81"/>
        <v>4</v>
      </c>
      <c r="U231" s="251">
        <f t="shared" si="82"/>
        <v>-1.0480283832423809</v>
      </c>
      <c r="V231" s="383">
        <f t="shared" si="83"/>
        <v>56.098486396813954</v>
      </c>
      <c r="W231" s="58"/>
      <c r="X231" s="157">
        <f t="shared" si="84"/>
        <v>43682</v>
      </c>
      <c r="Y231" s="385">
        <f t="shared" si="85"/>
        <v>53.048999999999999</v>
      </c>
      <c r="Z231" s="385">
        <f t="shared" si="86"/>
        <v>53.542776855170203</v>
      </c>
      <c r="AA231" s="386">
        <f t="shared" si="87"/>
        <v>54.834076865548433</v>
      </c>
      <c r="AB231" s="197">
        <f t="shared" si="88"/>
        <v>43682</v>
      </c>
      <c r="AC231" s="426">
        <f>IF(OR(t&lt;Tnet,NoTnet),'2018'!Resal_s+('2018'!Salim-'2018'!Resal_s)*(1-EXP(('2018'!Tnet_s-t)/'2018'!Tau_j)),Resal_s+(Salim-Resal_s)*(1-EXP((Tnet_s-t)/Tau_j)))*Salcycl</f>
        <v>2.3549224938070237E-2</v>
      </c>
      <c r="AD231" s="231">
        <f>(INDEX(Models!$BJ231:$BT231,,AH231)*(1-AF231)+INDEX(Models!$BJ231:$BT231,,AH231+1)*AF231-ERP_i)*AE231*Ramure*Pc/MaxiM</f>
        <v>6.3431719051653082E-5</v>
      </c>
      <c r="AE231" s="305">
        <f t="shared" si="89"/>
        <v>0.5</v>
      </c>
      <c r="AF231" s="177">
        <f t="shared" si="90"/>
        <v>0.9519716167576191</v>
      </c>
      <c r="AG231" s="176">
        <f t="shared" si="91"/>
        <v>-2</v>
      </c>
      <c r="AH231" s="176">
        <f t="shared" si="92"/>
        <v>4</v>
      </c>
      <c r="AI231" s="225">
        <f t="shared" si="93"/>
        <v>-1.0480283832423809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7">
        <v>40.968000000000004</v>
      </c>
      <c r="C232" s="390"/>
      <c r="D232" s="393">
        <f t="shared" si="75"/>
        <v>41.350233320534983</v>
      </c>
      <c r="E232" s="385">
        <f t="shared" si="73"/>
        <v>42.349436405517075</v>
      </c>
      <c r="F232" s="385">
        <f t="shared" si="76"/>
        <v>42.350989525732196</v>
      </c>
      <c r="G232" s="110">
        <f t="shared" si="74"/>
        <v>0.7322118943310475</v>
      </c>
      <c r="H232" s="414" t="b">
        <f>Wh_hp&gt;='2018'!Maxi_hp</f>
        <v>0</v>
      </c>
      <c r="I232" s="390">
        <f>IF(H232,Wh_hp,'2018'!Maxi_hp)</f>
        <v>54.183969884065412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9.2438008166003671E-3</v>
      </c>
      <c r="M232" s="845"/>
      <c r="N232" s="845"/>
      <c r="O232" s="48">
        <f>IF(t&lt;Tnet,'2018'!Resal+('2018'!Salim-'2018'!Resal)*(1-EXP(('2018'!Tnet-t)/('2018'!Tau_j))),Resal+(Salim-Resal)*(1-EXP((Tnet-t)/(Tau_j))))*Salcycl</f>
        <v>2.3594247522309982E-2</v>
      </c>
      <c r="P232" s="169">
        <f>(INDEX(Models!$BJ232:$BT232,,T232)*(1-R232)+INDEX(Models!$BJ232:$BT232,,T232+1)*R232-ERP_i)*Q232*Ramure*Pc/MaxiM</f>
        <v>5.9391749710658139E-5</v>
      </c>
      <c r="Q232" s="305">
        <f t="shared" si="78"/>
        <v>0.5</v>
      </c>
      <c r="R232" s="177">
        <f t="shared" si="79"/>
        <v>0.95364603406715065</v>
      </c>
      <c r="S232" s="811">
        <f t="shared" si="80"/>
        <v>-2</v>
      </c>
      <c r="T232" s="176">
        <f t="shared" si="81"/>
        <v>4</v>
      </c>
      <c r="U232" s="251">
        <f t="shared" si="82"/>
        <v>-1.0463539659328494</v>
      </c>
      <c r="V232" s="383">
        <f t="shared" si="83"/>
        <v>55.949745591754898</v>
      </c>
      <c r="W232" s="58"/>
      <c r="X232" s="157">
        <f t="shared" si="84"/>
        <v>43683</v>
      </c>
      <c r="Y232" s="385">
        <f t="shared" si="85"/>
        <v>40.968000000000004</v>
      </c>
      <c r="Z232" s="385">
        <f t="shared" si="86"/>
        <v>41.350233320534983</v>
      </c>
      <c r="AA232" s="386">
        <f t="shared" si="87"/>
        <v>42.349436405517075</v>
      </c>
      <c r="AB232" s="197">
        <f t="shared" si="88"/>
        <v>43683</v>
      </c>
      <c r="AC232" s="426">
        <f>IF(OR(t&lt;Tnet,NoTnet),'2018'!Resal_s+('2018'!Salim-'2018'!Resal_s)*(1-EXP(('2018'!Tnet_s-t)/'2018'!Tau_j)),Resal_s+(Salim-Resal_s)*(1-EXP((Tnet_s-t)/Tau_j)))*Salcycl</f>
        <v>2.3594247522309982E-2</v>
      </c>
      <c r="AD232" s="231">
        <f>(INDEX(Models!$BJ232:$BT232,,AH232)*(1-AF232)+INDEX(Models!$BJ232:$BT232,,AH232+1)*AF232-ERP_i)*AE232*Ramure*Pc/MaxiM</f>
        <v>5.9391749710658139E-5</v>
      </c>
      <c r="AE232" s="305">
        <f t="shared" si="89"/>
        <v>0.5</v>
      </c>
      <c r="AF232" s="177">
        <f t="shared" si="90"/>
        <v>0.95364603406715065</v>
      </c>
      <c r="AG232" s="176">
        <f t="shared" si="91"/>
        <v>-2</v>
      </c>
      <c r="AH232" s="176">
        <f t="shared" si="92"/>
        <v>4</v>
      </c>
      <c r="AI232" s="225">
        <f t="shared" si="93"/>
        <v>-1.0463539659328494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7">
        <v>42.311</v>
      </c>
      <c r="C233" s="390"/>
      <c r="D233" s="393">
        <f t="shared" si="75"/>
        <v>42.706698958493121</v>
      </c>
      <c r="E233" s="385">
        <f t="shared" ref="E233:E296" si="97">Wh_pvt/(1-Psa)</f>
        <v>43.740692699009472</v>
      </c>
      <c r="F233" s="385">
        <f t="shared" si="76"/>
        <v>43.742270134864029</v>
      </c>
      <c r="G233" s="110">
        <f t="shared" ref="G233:G296" si="98">+Wh_hp/MaxiM</f>
        <v>0.75824973595239831</v>
      </c>
      <c r="H233" s="414" t="b">
        <f>Wh_hp&gt;='2018'!Maxi_hp</f>
        <v>1</v>
      </c>
      <c r="I233" s="390">
        <f>IF(H233,Wh_hp,'2018'!Maxi_hp)</f>
        <v>43.742270134864029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9.265500920071168E-3</v>
      </c>
      <c r="M233" s="845"/>
      <c r="N233" s="845"/>
      <c r="O233" s="48">
        <f>IF(t&lt;Tnet,'2018'!Resal+('2018'!Salim-'2018'!Resal)*(1-EXP(('2018'!Tnet-t)/('2018'!Tau_j))),Resal+(Salim-Resal)*(1-EXP((Tnet-t)/(Tau_j))))*Salcycl</f>
        <v>2.3639171597750419E-2</v>
      </c>
      <c r="P233" s="169">
        <f>(INDEX(Models!$BJ233:$BT233,,T233)*(1-R233)+INDEX(Models!$BJ233:$BT233,,T233+1)*R233-ERP_i)*Q233*Ramure*Pc/MaxiM</f>
        <v>5.5084896240278061E-5</v>
      </c>
      <c r="Q233" s="305">
        <f t="shared" si="78"/>
        <v>0.5</v>
      </c>
      <c r="R233" s="177">
        <f t="shared" si="79"/>
        <v>0.95526465794671411</v>
      </c>
      <c r="S233" s="811">
        <f t="shared" si="80"/>
        <v>-2</v>
      </c>
      <c r="T233" s="176">
        <f t="shared" si="81"/>
        <v>4</v>
      </c>
      <c r="U233" s="251">
        <f t="shared" si="82"/>
        <v>-1.0447353420532859</v>
      </c>
      <c r="V233" s="383">
        <f t="shared" si="83"/>
        <v>55.79981513888292</v>
      </c>
      <c r="W233" s="58"/>
      <c r="X233" s="157">
        <f t="shared" si="84"/>
        <v>43684</v>
      </c>
      <c r="Y233" s="385">
        <f t="shared" si="85"/>
        <v>42.311</v>
      </c>
      <c r="Z233" s="385">
        <f t="shared" si="86"/>
        <v>42.706698958493121</v>
      </c>
      <c r="AA233" s="386">
        <f t="shared" si="87"/>
        <v>43.740692699009472</v>
      </c>
      <c r="AB233" s="197">
        <f t="shared" si="88"/>
        <v>43684</v>
      </c>
      <c r="AC233" s="426">
        <f>IF(OR(t&lt;Tnet,NoTnet),'2018'!Resal_s+('2018'!Salim-'2018'!Resal_s)*(1-EXP(('2018'!Tnet_s-t)/'2018'!Tau_j)),Resal_s+(Salim-Resal_s)*(1-EXP((Tnet_s-t)/Tau_j)))*Salcycl</f>
        <v>2.3639171597750419E-2</v>
      </c>
      <c r="AD233" s="231">
        <f>(INDEX(Models!$BJ233:$BT233,,AH233)*(1-AF233)+INDEX(Models!$BJ233:$BT233,,AH233+1)*AF233-ERP_i)*AE233*Ramure*Pc/MaxiM</f>
        <v>5.5084896240278061E-5</v>
      </c>
      <c r="AE233" s="305">
        <f t="shared" si="89"/>
        <v>0.5</v>
      </c>
      <c r="AF233" s="177">
        <f t="shared" si="90"/>
        <v>0.95526465794671411</v>
      </c>
      <c r="AG233" s="176">
        <f t="shared" si="91"/>
        <v>-2</v>
      </c>
      <c r="AH233" s="176">
        <f t="shared" si="92"/>
        <v>4</v>
      </c>
      <c r="AI233" s="225">
        <f t="shared" si="93"/>
        <v>-1.0447353420532859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7">
        <v>53.247999999999998</v>
      </c>
      <c r="C234" s="390"/>
      <c r="D234" s="393">
        <f t="shared" si="75"/>
        <v>53.747160659948172</v>
      </c>
      <c r="E234" s="385">
        <f t="shared" si="97"/>
        <v>55.050988139987155</v>
      </c>
      <c r="F234" s="385">
        <f t="shared" si="76"/>
        <v>55.053603871117858</v>
      </c>
      <c r="G234" s="110">
        <f t="shared" si="98"/>
        <v>0.95685426598375733</v>
      </c>
      <c r="H234" s="414" t="b">
        <f>Wh_hp&gt;='2018'!Maxi_hp</f>
        <v>1</v>
      </c>
      <c r="I234" s="390">
        <f>IF(H234,Wh_hp,'2018'!Maxi_hp)</f>
        <v>55.053603871117858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9.2872005482541597E-3</v>
      </c>
      <c r="M234" s="845"/>
      <c r="N234" s="845"/>
      <c r="O234" s="48">
        <f>IF(t&lt;Tnet,'2018'!Resal+('2018'!Salim-'2018'!Resal)*(1-EXP(('2018'!Tnet-t)/('2018'!Tau_j))),Resal+(Salim-Resal)*(1-EXP((Tnet-t)/(Tau_j))))*Salcycl</f>
        <v>2.3683997764463872E-2</v>
      </c>
      <c r="P234" s="169">
        <f>(INDEX(Models!$BJ234:$BT234,,T234)*(1-R234)+INDEX(Models!$BJ234:$BT234,,T234+1)*R234-ERP_i)*Q234*Ramure*Pc/MaxiM</f>
        <v>5.0633084903788509E-5</v>
      </c>
      <c r="Q234" s="305">
        <f t="shared" si="78"/>
        <v>0.5</v>
      </c>
      <c r="R234" s="177">
        <f t="shared" si="79"/>
        <v>0.95682893187963569</v>
      </c>
      <c r="S234" s="811">
        <f t="shared" si="80"/>
        <v>-2</v>
      </c>
      <c r="T234" s="176">
        <f t="shared" si="81"/>
        <v>4</v>
      </c>
      <c r="U234" s="251">
        <f t="shared" si="82"/>
        <v>-1.0431710681203643</v>
      </c>
      <c r="V234" s="383">
        <f t="shared" si="83"/>
        <v>55.64884404767443</v>
      </c>
      <c r="W234" s="58"/>
      <c r="X234" s="157">
        <f t="shared" si="84"/>
        <v>43685</v>
      </c>
      <c r="Y234" s="385">
        <f t="shared" si="85"/>
        <v>53.247999999999998</v>
      </c>
      <c r="Z234" s="385">
        <f t="shared" si="86"/>
        <v>53.747160659948172</v>
      </c>
      <c r="AA234" s="386">
        <f t="shared" si="87"/>
        <v>55.050988139987155</v>
      </c>
      <c r="AB234" s="197">
        <f t="shared" si="88"/>
        <v>43685</v>
      </c>
      <c r="AC234" s="426">
        <f>IF(OR(t&lt;Tnet,NoTnet),'2018'!Resal_s+('2018'!Salim-'2018'!Resal_s)*(1-EXP(('2018'!Tnet_s-t)/'2018'!Tau_j)),Resal_s+(Salim-Resal_s)*(1-EXP((Tnet_s-t)/Tau_j)))*Salcycl</f>
        <v>2.3683997764463872E-2</v>
      </c>
      <c r="AD234" s="231">
        <f>(INDEX(Models!$BJ234:$BT234,,AH234)*(1-AF234)+INDEX(Models!$BJ234:$BT234,,AH234+1)*AF234-ERP_i)*AE234*Ramure*Pc/MaxiM</f>
        <v>5.0633084903788509E-5</v>
      </c>
      <c r="AE234" s="305">
        <f t="shared" si="89"/>
        <v>0.5</v>
      </c>
      <c r="AF234" s="177">
        <f t="shared" si="90"/>
        <v>0.95682893187963569</v>
      </c>
      <c r="AG234" s="176">
        <f t="shared" si="91"/>
        <v>-2</v>
      </c>
      <c r="AH234" s="176">
        <f t="shared" si="92"/>
        <v>4</v>
      </c>
      <c r="AI234" s="225">
        <f t="shared" si="93"/>
        <v>-1.0431710681203643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7">
        <v>51.384</v>
      </c>
      <c r="C235" s="390"/>
      <c r="D235" s="393">
        <f t="shared" si="75"/>
        <v>51.866823053623975</v>
      </c>
      <c r="E235" s="385">
        <f t="shared" si="97"/>
        <v>53.127470248690749</v>
      </c>
      <c r="F235" s="385">
        <f t="shared" si="76"/>
        <v>53.129673681331845</v>
      </c>
      <c r="G235" s="110">
        <f t="shared" si="98"/>
        <v>0.925888188748201</v>
      </c>
      <c r="H235" s="414" t="b">
        <f>Wh_hp&gt;='2018'!Maxi_hp</f>
        <v>1</v>
      </c>
      <c r="I235" s="390">
        <f>IF(H235,Wh_hp,'2018'!Maxi_hp)</f>
        <v>53.129673681331845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9.3088997011595565E-3</v>
      </c>
      <c r="M235" s="845"/>
      <c r="N235" s="845"/>
      <c r="O235" s="48">
        <f>IF(t&lt;Tnet,'2018'!Resal+('2018'!Salim-'2018'!Resal)*(1-EXP(('2018'!Tnet-t)/('2018'!Tau_j))),Resal+(Salim-Resal)*(1-EXP((Tnet-t)/(Tau_j))))*Salcycl</f>
        <v>2.3728726196930845E-2</v>
      </c>
      <c r="P235" s="169">
        <f>(INDEX(Models!$BJ235:$BT235,,T235)*(1-R235)+INDEX(Models!$BJ235:$BT235,,T235+1)*R235-ERP_i)*Q235*Ramure*Pc/MaxiM</f>
        <v>4.6383205526891309E-5</v>
      </c>
      <c r="Q235" s="305">
        <f t="shared" si="78"/>
        <v>0.5</v>
      </c>
      <c r="R235" s="177">
        <f t="shared" si="79"/>
        <v>0.95834029274826404</v>
      </c>
      <c r="S235" s="811">
        <f t="shared" si="80"/>
        <v>-2</v>
      </c>
      <c r="T235" s="176">
        <f t="shared" si="81"/>
        <v>4</v>
      </c>
      <c r="U235" s="251">
        <f t="shared" si="82"/>
        <v>-1.041659707251736</v>
      </c>
      <c r="V235" s="383">
        <f t="shared" si="83"/>
        <v>55.49670931558159</v>
      </c>
      <c r="W235" s="58"/>
      <c r="X235" s="157">
        <f t="shared" si="84"/>
        <v>43686</v>
      </c>
      <c r="Y235" s="385">
        <f t="shared" si="85"/>
        <v>51.384</v>
      </c>
      <c r="Z235" s="385">
        <f t="shared" si="86"/>
        <v>51.866823053623975</v>
      </c>
      <c r="AA235" s="386">
        <f t="shared" si="87"/>
        <v>53.127470248690749</v>
      </c>
      <c r="AB235" s="197">
        <f t="shared" si="88"/>
        <v>43686</v>
      </c>
      <c r="AC235" s="426">
        <f>IF(OR(t&lt;Tnet,NoTnet),'2018'!Resal_s+('2018'!Salim-'2018'!Resal_s)*(1-EXP(('2018'!Tnet_s-t)/'2018'!Tau_j)),Resal_s+(Salim-Resal_s)*(1-EXP((Tnet_s-t)/Tau_j)))*Salcycl</f>
        <v>2.3728726196930845E-2</v>
      </c>
      <c r="AD235" s="231">
        <f>(INDEX(Models!$BJ235:$BT235,,AH235)*(1-AF235)+INDEX(Models!$BJ235:$BT235,,AH235+1)*AF235-ERP_i)*AE235*Ramure*Pc/MaxiM</f>
        <v>4.6383205526891309E-5</v>
      </c>
      <c r="AE235" s="305">
        <f t="shared" si="89"/>
        <v>0.5</v>
      </c>
      <c r="AF235" s="177">
        <f t="shared" si="90"/>
        <v>0.95834029274826404</v>
      </c>
      <c r="AG235" s="176">
        <f t="shared" si="91"/>
        <v>-2</v>
      </c>
      <c r="AH235" s="176">
        <f t="shared" si="92"/>
        <v>4</v>
      </c>
      <c r="AI235" s="225">
        <f t="shared" si="93"/>
        <v>-1.041659707251736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7">
        <v>39.244</v>
      </c>
      <c r="C236" s="390"/>
      <c r="D236" s="393">
        <f t="shared" si="75"/>
        <v>39.613618767046113</v>
      </c>
      <c r="E236" s="385">
        <f t="shared" si="97"/>
        <v>40.57830119428484</v>
      </c>
      <c r="F236" s="385">
        <f t="shared" si="76"/>
        <v>40.579305285135696</v>
      </c>
      <c r="G236" s="110">
        <f t="shared" si="98"/>
        <v>0.70908862286680729</v>
      </c>
      <c r="H236" s="414" t="b">
        <f>Wh_hp&gt;='2018'!Maxi_hp</f>
        <v>0</v>
      </c>
      <c r="I236" s="390">
        <f>IF(H236,Wh_hp,'2018'!Maxi_hp)</f>
        <v>52.024091924029669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9.3305983787976832E-3</v>
      </c>
      <c r="M236" s="845"/>
      <c r="N236" s="845"/>
      <c r="O236" s="48">
        <f>IF(t&lt;Tnet,'2018'!Resal+('2018'!Salim-'2018'!Resal)*(1-EXP(('2018'!Tnet-t)/('2018'!Tau_j))),Resal+(Salim-Resal)*(1-EXP((Tnet-t)/(Tau_j))))*Salcycl</f>
        <v>2.3773356667148939E-2</v>
      </c>
      <c r="P236" s="169">
        <f>(INDEX(Models!$BJ236:$BT236,,T236)*(1-R236)+INDEX(Models!$BJ236:$BT236,,T236+1)*R236-ERP_i)*Q236*Ramure*Pc/MaxiM</f>
        <v>4.2338531976844486E-5</v>
      </c>
      <c r="Q236" s="305">
        <f t="shared" si="78"/>
        <v>0.5</v>
      </c>
      <c r="R236" s="177">
        <f t="shared" si="79"/>
        <v>0.95980016821416125</v>
      </c>
      <c r="S236" s="811">
        <f t="shared" si="80"/>
        <v>-2</v>
      </c>
      <c r="T236" s="176">
        <f t="shared" si="81"/>
        <v>4</v>
      </c>
      <c r="U236" s="251">
        <f t="shared" si="82"/>
        <v>-1.0401998317858387</v>
      </c>
      <c r="V236" s="383">
        <f t="shared" si="83"/>
        <v>55.343307217478952</v>
      </c>
      <c r="W236" s="58"/>
      <c r="X236" s="157">
        <f t="shared" si="84"/>
        <v>43687</v>
      </c>
      <c r="Y236" s="385">
        <f t="shared" si="85"/>
        <v>39.244</v>
      </c>
      <c r="Z236" s="385">
        <f t="shared" si="86"/>
        <v>39.613618767046113</v>
      </c>
      <c r="AA236" s="386">
        <f t="shared" si="87"/>
        <v>40.57830119428484</v>
      </c>
      <c r="AB236" s="197">
        <f t="shared" si="88"/>
        <v>43687</v>
      </c>
      <c r="AC236" s="426">
        <f>IF(OR(t&lt;Tnet,NoTnet),'2018'!Resal_s+('2018'!Salim-'2018'!Resal_s)*(1-EXP(('2018'!Tnet_s-t)/'2018'!Tau_j)),Resal_s+(Salim-Resal_s)*(1-EXP((Tnet_s-t)/Tau_j)))*Salcycl</f>
        <v>2.3773356667148939E-2</v>
      </c>
      <c r="AD236" s="231">
        <f>(INDEX(Models!$BJ236:$BT236,,AH236)*(1-AF236)+INDEX(Models!$BJ236:$BT236,,AH236+1)*AF236-ERP_i)*AE236*Ramure*Pc/MaxiM</f>
        <v>4.2338531976844486E-5</v>
      </c>
      <c r="AE236" s="305">
        <f t="shared" si="89"/>
        <v>0.5</v>
      </c>
      <c r="AF236" s="177">
        <f t="shared" si="90"/>
        <v>0.95980016821416125</v>
      </c>
      <c r="AG236" s="176">
        <f t="shared" si="91"/>
        <v>-2</v>
      </c>
      <c r="AH236" s="176">
        <f t="shared" si="92"/>
        <v>4</v>
      </c>
      <c r="AI236" s="225">
        <f t="shared" si="93"/>
        <v>-1.0401998317858387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7">
        <v>27.021999999999998</v>
      </c>
      <c r="C237" s="390"/>
      <c r="D237" s="393">
        <f t="shared" si="75"/>
        <v>27.277103562391019</v>
      </c>
      <c r="E237" s="385">
        <f t="shared" si="97"/>
        <v>27.942638205481131</v>
      </c>
      <c r="F237" s="385">
        <f t="shared" si="76"/>
        <v>27.942929658558946</v>
      </c>
      <c r="G237" s="110">
        <f t="shared" si="98"/>
        <v>0.48961694453260035</v>
      </c>
      <c r="H237" s="414" t="b">
        <f>Wh_hp&gt;='2018'!Maxi_hp</f>
        <v>0</v>
      </c>
      <c r="I237" s="390">
        <f>IF(H237,Wh_hp,'2018'!Maxi_hp)</f>
        <v>54.934751797677123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9.352296581179198E-3</v>
      </c>
      <c r="M237" s="845"/>
      <c r="N237" s="845"/>
      <c r="O237" s="48">
        <f>IF(t&lt;Tnet,'2018'!Resal+('2018'!Salim-'2018'!Resal)*(1-EXP(('2018'!Tnet-t)/('2018'!Tau_j))),Resal+(Salim-Resal)*(1-EXP((Tnet-t)/(Tau_j))))*Salcycl</f>
        <v>2.3817888568573371E-2</v>
      </c>
      <c r="P237" s="169">
        <f>(INDEX(Models!$BJ237:$BT237,,T237)*(1-R237)+INDEX(Models!$BJ237:$BT237,,T237+1)*R237-ERP_i)*Q237*Ramure*Pc/MaxiM</f>
        <v>3.8502251289313378E-5</v>
      </c>
      <c r="Q237" s="305">
        <f t="shared" si="78"/>
        <v>0.5</v>
      </c>
      <c r="R237" s="177">
        <f t="shared" si="79"/>
        <v>0.96120997432050359</v>
      </c>
      <c r="S237" s="811">
        <f t="shared" si="80"/>
        <v>-2</v>
      </c>
      <c r="T237" s="176">
        <f t="shared" si="81"/>
        <v>4</v>
      </c>
      <c r="U237" s="251">
        <f t="shared" si="82"/>
        <v>-1.0387900256794964</v>
      </c>
      <c r="V237" s="383">
        <f t="shared" si="83"/>
        <v>55.188534084652417</v>
      </c>
      <c r="W237" s="58"/>
      <c r="X237" s="157">
        <f t="shared" si="84"/>
        <v>43688</v>
      </c>
      <c r="Y237" s="385">
        <f t="shared" si="85"/>
        <v>27.021999999999998</v>
      </c>
      <c r="Z237" s="385">
        <f t="shared" si="86"/>
        <v>27.277103562391019</v>
      </c>
      <c r="AA237" s="386">
        <f t="shared" si="87"/>
        <v>27.942638205481131</v>
      </c>
      <c r="AB237" s="197">
        <f t="shared" si="88"/>
        <v>43688</v>
      </c>
      <c r="AC237" s="426">
        <f>IF(OR(t&lt;Tnet,NoTnet),'2018'!Resal_s+('2018'!Salim-'2018'!Resal_s)*(1-EXP(('2018'!Tnet_s-t)/'2018'!Tau_j)),Resal_s+(Salim-Resal_s)*(1-EXP((Tnet_s-t)/Tau_j)))*Salcycl</f>
        <v>2.3817888568573371E-2</v>
      </c>
      <c r="AD237" s="231">
        <f>(INDEX(Models!$BJ237:$BT237,,AH237)*(1-AF237)+INDEX(Models!$BJ237:$BT237,,AH237+1)*AF237-ERP_i)*AE237*Ramure*Pc/MaxiM</f>
        <v>3.8502251289313378E-5</v>
      </c>
      <c r="AE237" s="305">
        <f t="shared" si="89"/>
        <v>0.5</v>
      </c>
      <c r="AF237" s="177">
        <f t="shared" si="90"/>
        <v>0.96120997432050359</v>
      </c>
      <c r="AG237" s="176">
        <f t="shared" si="91"/>
        <v>-2</v>
      </c>
      <c r="AH237" s="176">
        <f t="shared" si="92"/>
        <v>4</v>
      </c>
      <c r="AI237" s="225">
        <f t="shared" si="93"/>
        <v>-1.0387900256794964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7">
        <v>28.064</v>
      </c>
      <c r="C238" s="390"/>
      <c r="D238" s="393">
        <f t="shared" si="75"/>
        <v>28.329561144929617</v>
      </c>
      <c r="E238" s="385">
        <f t="shared" si="97"/>
        <v>29.022095707057364</v>
      </c>
      <c r="F238" s="385">
        <f t="shared" si="76"/>
        <v>29.022399310644996</v>
      </c>
      <c r="G238" s="110">
        <f t="shared" si="98"/>
        <v>0.50994273826593106</v>
      </c>
      <c r="H238" s="414" t="b">
        <f>Wh_hp&gt;='2018'!Maxi_hp</f>
        <v>0</v>
      </c>
      <c r="I238" s="390">
        <f>IF(H238,Wh_hp,'2018'!Maxi_hp)</f>
        <v>52.198759439863373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9.3739943083144261E-3</v>
      </c>
      <c r="M238" s="845"/>
      <c r="N238" s="845"/>
      <c r="O238" s="48">
        <f>IF(t&lt;Tnet,'2018'!Resal+('2018'!Salim-'2018'!Resal)*(1-EXP(('2018'!Tnet-t)/('2018'!Tau_j))),Resal+(Salim-Resal)*(1-EXP((Tnet-t)/(Tau_j))))*Salcycl</f>
        <v>2.386232094050126E-2</v>
      </c>
      <c r="P238" s="169">
        <f>(INDEX(Models!$BJ238:$BT238,,T238)*(1-R238)+INDEX(Models!$BJ238:$BT238,,T238+1)*R238-ERP_i)*Q238*Ramure*Pc/MaxiM</f>
        <v>3.4877473070327938E-5</v>
      </c>
      <c r="Q238" s="305">
        <f t="shared" si="78"/>
        <v>0.5</v>
      </c>
      <c r="R238" s="177">
        <f t="shared" si="79"/>
        <v>0.96257111330806966</v>
      </c>
      <c r="S238" s="811">
        <f t="shared" si="80"/>
        <v>-2</v>
      </c>
      <c r="T238" s="176">
        <f t="shared" si="81"/>
        <v>4</v>
      </c>
      <c r="U238" s="251">
        <f t="shared" si="82"/>
        <v>-1.0374288866919303</v>
      </c>
      <c r="V238" s="383">
        <f t="shared" si="83"/>
        <v>55.032286300655855</v>
      </c>
      <c r="W238" s="58"/>
      <c r="X238" s="157">
        <f t="shared" si="84"/>
        <v>43689</v>
      </c>
      <c r="Y238" s="385">
        <f t="shared" si="85"/>
        <v>28.064</v>
      </c>
      <c r="Z238" s="385">
        <f t="shared" si="86"/>
        <v>28.329561144929617</v>
      </c>
      <c r="AA238" s="386">
        <f t="shared" si="87"/>
        <v>29.022095707057364</v>
      </c>
      <c r="AB238" s="197">
        <f t="shared" si="88"/>
        <v>43689</v>
      </c>
      <c r="AC238" s="426">
        <f>IF(OR(t&lt;Tnet,NoTnet),'2018'!Resal_s+('2018'!Salim-'2018'!Resal_s)*(1-EXP(('2018'!Tnet_s-t)/'2018'!Tau_j)),Resal_s+(Salim-Resal_s)*(1-EXP((Tnet_s-t)/Tau_j)))*Salcycl</f>
        <v>2.386232094050126E-2</v>
      </c>
      <c r="AD238" s="231">
        <f>(INDEX(Models!$BJ238:$BT238,,AH238)*(1-AF238)+INDEX(Models!$BJ238:$BT238,,AH238+1)*AF238-ERP_i)*AE238*Ramure*Pc/MaxiM</f>
        <v>3.4877473070327938E-5</v>
      </c>
      <c r="AE238" s="305">
        <f t="shared" si="89"/>
        <v>0.5</v>
      </c>
      <c r="AF238" s="177">
        <f t="shared" si="90"/>
        <v>0.96257111330806966</v>
      </c>
      <c r="AG238" s="176">
        <f t="shared" si="91"/>
        <v>-2</v>
      </c>
      <c r="AH238" s="176">
        <f t="shared" si="92"/>
        <v>4</v>
      </c>
      <c r="AI238" s="225">
        <f t="shared" si="93"/>
        <v>-1.0374288866919303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7">
        <v>47.930999999999997</v>
      </c>
      <c r="C239" s="390"/>
      <c r="D239" s="393">
        <f t="shared" si="75"/>
        <v>48.385616326958946</v>
      </c>
      <c r="E239" s="385">
        <f t="shared" si="97"/>
        <v>49.570685478509589</v>
      </c>
      <c r="F239" s="385">
        <f t="shared" si="76"/>
        <v>49.571963401626377</v>
      </c>
      <c r="G239" s="110">
        <f t="shared" si="98"/>
        <v>0.87346148090256859</v>
      </c>
      <c r="H239" s="414" t="b">
        <f>Wh_hp&gt;='2018'!Maxi_hp</f>
        <v>1</v>
      </c>
      <c r="I239" s="390">
        <f>IF(H239,Wh_hp,'2018'!Maxi_hp)</f>
        <v>49.571963401626377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9.3956915602136926E-3</v>
      </c>
      <c r="M239" s="845"/>
      <c r="N239" s="845"/>
      <c r="O239" s="48">
        <f>IF(t&lt;Tnet,'2018'!Resal+('2018'!Salim-'2018'!Resal)*(1-EXP(('2018'!Tnet-t)/('2018'!Tau_j))),Resal+(Salim-Resal)*(1-EXP((Tnet-t)/(Tau_j))))*Salcycl</f>
        <v>2.3906652492518072E-2</v>
      </c>
      <c r="P239" s="169">
        <f>(INDEX(Models!$BJ239:$BT239,,T239)*(1-R239)+INDEX(Models!$BJ239:$BT239,,T239+1)*R239-ERP_i)*Q239*Ramure*Pc/MaxiM</f>
        <v>3.1467238465683034E-5</v>
      </c>
      <c r="Q239" s="305">
        <f t="shared" si="78"/>
        <v>0.5</v>
      </c>
      <c r="R239" s="177">
        <f t="shared" si="79"/>
        <v>0.96388497163581333</v>
      </c>
      <c r="S239" s="811">
        <f t="shared" si="80"/>
        <v>-2</v>
      </c>
      <c r="T239" s="176">
        <f t="shared" si="81"/>
        <v>4</v>
      </c>
      <c r="U239" s="251">
        <f t="shared" si="82"/>
        <v>-1.0361150283641867</v>
      </c>
      <c r="V239" s="383">
        <f t="shared" si="83"/>
        <v>54.874460299852657</v>
      </c>
      <c r="W239" s="58"/>
      <c r="X239" s="157">
        <f t="shared" si="84"/>
        <v>43690</v>
      </c>
      <c r="Y239" s="385">
        <f t="shared" si="85"/>
        <v>47.930999999999997</v>
      </c>
      <c r="Z239" s="385">
        <f t="shared" si="86"/>
        <v>48.385616326958946</v>
      </c>
      <c r="AA239" s="386">
        <f t="shared" si="87"/>
        <v>49.570685478509589</v>
      </c>
      <c r="AB239" s="197">
        <f t="shared" si="88"/>
        <v>43690</v>
      </c>
      <c r="AC239" s="426">
        <f>IF(OR(t&lt;Tnet,NoTnet),'2018'!Resal_s+('2018'!Salim-'2018'!Resal_s)*(1-EXP(('2018'!Tnet_s-t)/'2018'!Tau_j)),Resal_s+(Salim-Resal_s)*(1-EXP((Tnet_s-t)/Tau_j)))*Salcycl</f>
        <v>2.3906652492518072E-2</v>
      </c>
      <c r="AD239" s="231">
        <f>(INDEX(Models!$BJ239:$BT239,,AH239)*(1-AF239)+INDEX(Models!$BJ239:$BT239,,AH239+1)*AF239-ERP_i)*AE239*Ramure*Pc/MaxiM</f>
        <v>3.1467238465683034E-5</v>
      </c>
      <c r="AE239" s="305">
        <f t="shared" si="89"/>
        <v>0.5</v>
      </c>
      <c r="AF239" s="177">
        <f t="shared" si="90"/>
        <v>0.96388497163581333</v>
      </c>
      <c r="AG239" s="176">
        <f t="shared" si="91"/>
        <v>-2</v>
      </c>
      <c r="AH239" s="176">
        <f t="shared" si="92"/>
        <v>4</v>
      </c>
      <c r="AI239" s="225">
        <f t="shared" si="93"/>
        <v>-1.0361150283641867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7">
        <v>55.481999999999999</v>
      </c>
      <c r="C240" s="390"/>
      <c r="D240" s="393">
        <f t="shared" si="75"/>
        <v>56.009462862314891</v>
      </c>
      <c r="E240" s="385">
        <f t="shared" si="97"/>
        <v>57.383856824513408</v>
      </c>
      <c r="F240" s="385">
        <f t="shared" si="76"/>
        <v>57.385484130512104</v>
      </c>
      <c r="G240" s="110">
        <f t="shared" si="98"/>
        <v>1.0140190569077845</v>
      </c>
      <c r="H240" s="414" t="b">
        <f>Wh_hp&gt;='2018'!Maxi_hp</f>
        <v>1</v>
      </c>
      <c r="I240" s="390">
        <f>IF(H240,Wh_hp,'2018'!Maxi_hp)</f>
        <v>57.385484130512104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9.4173883368874334E-3</v>
      </c>
      <c r="M240" s="845"/>
      <c r="N240" s="845"/>
      <c r="O240" s="48">
        <f>IF(t&lt;Tnet,'2018'!Resal+('2018'!Salim-'2018'!Resal)*(1-EXP(('2018'!Tnet-t)/('2018'!Tau_j))),Resal+(Salim-Resal)*(1-EXP((Tnet-t)/(Tau_j))))*Salcycl</f>
        <v>2.3950881628636018E-2</v>
      </c>
      <c r="P240" s="169">
        <f>(INDEX(Models!$BJ240:$BT240,,T240)*(1-R240)+INDEX(Models!$BJ240:$BT240,,T240+1)*R240-ERP_i)*Q240*Ramure*Pc/MaxiM</f>
        <v>2.8357450030265355E-5</v>
      </c>
      <c r="Q240" s="305">
        <f t="shared" si="78"/>
        <v>0.5</v>
      </c>
      <c r="R240" s="177">
        <f t="shared" si="79"/>
        <v>0.96515291819676219</v>
      </c>
      <c r="S240" s="811">
        <f t="shared" si="80"/>
        <v>-2</v>
      </c>
      <c r="T240" s="176">
        <f t="shared" si="81"/>
        <v>4</v>
      </c>
      <c r="U240" s="251">
        <f t="shared" si="82"/>
        <v>-1.0348470818032378</v>
      </c>
      <c r="V240" s="383">
        <f t="shared" si="83"/>
        <v>54.714948029862882</v>
      </c>
      <c r="W240" s="58"/>
      <c r="X240" s="157">
        <f t="shared" si="84"/>
        <v>43691</v>
      </c>
      <c r="Y240" s="385">
        <f t="shared" si="85"/>
        <v>55.481999999999999</v>
      </c>
      <c r="Z240" s="385">
        <f t="shared" si="86"/>
        <v>56.009462862314891</v>
      </c>
      <c r="AA240" s="386">
        <f t="shared" si="87"/>
        <v>57.383856824513408</v>
      </c>
      <c r="AB240" s="197">
        <f t="shared" si="88"/>
        <v>43691</v>
      </c>
      <c r="AC240" s="426">
        <f>IF(OR(t&lt;Tnet,NoTnet),'2018'!Resal_s+('2018'!Salim-'2018'!Resal_s)*(1-EXP(('2018'!Tnet_s-t)/'2018'!Tau_j)),Resal_s+(Salim-Resal_s)*(1-EXP((Tnet_s-t)/Tau_j)))*Salcycl</f>
        <v>2.3950881628636018E-2</v>
      </c>
      <c r="AD240" s="231">
        <f>(INDEX(Models!$BJ240:$BT240,,AH240)*(1-AF240)+INDEX(Models!$BJ240:$BT240,,AH240+1)*AF240-ERP_i)*AE240*Ramure*Pc/MaxiM</f>
        <v>2.8357450030265355E-5</v>
      </c>
      <c r="AE240" s="305">
        <f t="shared" si="89"/>
        <v>0.5</v>
      </c>
      <c r="AF240" s="177">
        <f t="shared" si="90"/>
        <v>0.96515291819676219</v>
      </c>
      <c r="AG240" s="176">
        <f t="shared" si="91"/>
        <v>-2</v>
      </c>
      <c r="AH240" s="176">
        <f t="shared" si="92"/>
        <v>4</v>
      </c>
      <c r="AI240" s="225">
        <f t="shared" si="93"/>
        <v>-1.0348470818032378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7">
        <v>28.876000000000001</v>
      </c>
      <c r="C241" s="390"/>
      <c r="D241" s="393">
        <f t="shared" si="75"/>
        <v>29.151160269085896</v>
      </c>
      <c r="E241" s="385">
        <f t="shared" si="97"/>
        <v>29.867839265530218</v>
      </c>
      <c r="F241" s="385">
        <f t="shared" si="76"/>
        <v>29.868088126300982</v>
      </c>
      <c r="G241" s="110">
        <f t="shared" si="98"/>
        <v>0.52930472779909832</v>
      </c>
      <c r="H241" s="414" t="b">
        <f>Wh_hp&gt;='2018'!Maxi_hp</f>
        <v>0</v>
      </c>
      <c r="I241" s="390">
        <f>IF(H241,Wh_hp,'2018'!Maxi_hp)</f>
        <v>56.300151621417385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9.4390846383460847E-3</v>
      </c>
      <c r="M241" s="845"/>
      <c r="N241" s="845"/>
      <c r="O241" s="48">
        <f>IF(t&lt;Tnet,'2018'!Resal+('2018'!Salim-'2018'!Resal)*(1-EXP(('2018'!Tnet-t)/('2018'!Tau_j))),Resal+(Salim-Resal)*(1-EXP((Tnet-t)/(Tau_j))))*Salcycl</f>
        <v>2.3995006470770259E-2</v>
      </c>
      <c r="P241" s="169">
        <f>(INDEX(Models!$BJ241:$BT241,,T241)*(1-R241)+INDEX(Models!$BJ241:$BT241,,T241+1)*R241-ERP_i)*Q241*Ramure*Pc/MaxiM</f>
        <v>2.5434131013346175E-5</v>
      </c>
      <c r="Q241" s="305">
        <f t="shared" si="78"/>
        <v>0.5</v>
      </c>
      <c r="R241" s="177">
        <f t="shared" si="79"/>
        <v>0.96637630271980246</v>
      </c>
      <c r="S241" s="811">
        <f t="shared" si="80"/>
        <v>-2</v>
      </c>
      <c r="T241" s="176">
        <f t="shared" si="81"/>
        <v>4</v>
      </c>
      <c r="U241" s="251">
        <f t="shared" si="82"/>
        <v>-1.0336236972801975</v>
      </c>
      <c r="V241" s="383">
        <f t="shared" si="83"/>
        <v>54.553652438893742</v>
      </c>
      <c r="W241" s="58"/>
      <c r="X241" s="157">
        <f t="shared" si="84"/>
        <v>43692</v>
      </c>
      <c r="Y241" s="385">
        <f t="shared" si="85"/>
        <v>28.876000000000001</v>
      </c>
      <c r="Z241" s="385">
        <f t="shared" si="86"/>
        <v>29.151160269085896</v>
      </c>
      <c r="AA241" s="386">
        <f t="shared" si="87"/>
        <v>29.867839265530218</v>
      </c>
      <c r="AB241" s="197">
        <f t="shared" si="88"/>
        <v>43692</v>
      </c>
      <c r="AC241" s="426">
        <f>IF(OR(t&lt;Tnet,NoTnet),'2018'!Resal_s+('2018'!Salim-'2018'!Resal_s)*(1-EXP(('2018'!Tnet_s-t)/'2018'!Tau_j)),Resal_s+(Salim-Resal_s)*(1-EXP((Tnet_s-t)/Tau_j)))*Salcycl</f>
        <v>2.3995006470770259E-2</v>
      </c>
      <c r="AD241" s="231">
        <f>(INDEX(Models!$BJ241:$BT241,,AH241)*(1-AF241)+INDEX(Models!$BJ241:$BT241,,AH241+1)*AF241-ERP_i)*AE241*Ramure*Pc/MaxiM</f>
        <v>2.5434131013346175E-5</v>
      </c>
      <c r="AE241" s="305">
        <f t="shared" si="89"/>
        <v>0.5</v>
      </c>
      <c r="AF241" s="177">
        <f t="shared" si="90"/>
        <v>0.96637630271980246</v>
      </c>
      <c r="AG241" s="176">
        <f t="shared" si="91"/>
        <v>-2</v>
      </c>
      <c r="AH241" s="176">
        <f t="shared" si="92"/>
        <v>4</v>
      </c>
      <c r="AI241" s="225">
        <f t="shared" si="93"/>
        <v>-1.0336236972801975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7">
        <v>54.542999999999999</v>
      </c>
      <c r="C242" s="390"/>
      <c r="D242" s="393">
        <f t="shared" si="75"/>
        <v>55.063947922811892</v>
      </c>
      <c r="E242" s="385">
        <f t="shared" si="97"/>
        <v>56.420235364544375</v>
      </c>
      <c r="F242" s="385">
        <f t="shared" si="76"/>
        <v>56.421516120211891</v>
      </c>
      <c r="G242" s="110">
        <f t="shared" si="98"/>
        <v>1.0028043495664432</v>
      </c>
      <c r="H242" s="414" t="b">
        <f>Wh_hp&gt;='2018'!Maxi_hp</f>
        <v>1</v>
      </c>
      <c r="I242" s="390">
        <f>IF(H242,Wh_hp,'2018'!Maxi_hp)</f>
        <v>56.421516120211891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9.4607804646000826E-3</v>
      </c>
      <c r="M242" s="845"/>
      <c r="N242" s="845"/>
      <c r="O242" s="48">
        <f>IF(t&lt;Tnet,'2018'!Resal+('2018'!Salim-'2018'!Resal)*(1-EXP(('2018'!Tnet-t)/('2018'!Tau_j))),Resal+(Salim-Resal)*(1-EXP((Tnet-t)/(Tau_j))))*Salcycl</f>
        <v>2.4039024881218472E-2</v>
      </c>
      <c r="P242" s="169">
        <f>(INDEX(Models!$BJ242:$BT242,,T242)*(1-R242)+INDEX(Models!$BJ242:$BT242,,T242+1)*R242-ERP_i)*Q242*Ramure*Pc/MaxiM</f>
        <v>2.2699774050488871E-5</v>
      </c>
      <c r="Q242" s="305">
        <f t="shared" si="78"/>
        <v>0.5</v>
      </c>
      <c r="R242" s="177">
        <f t="shared" si="79"/>
        <v>0.96755645434782123</v>
      </c>
      <c r="S242" s="811">
        <f t="shared" si="80"/>
        <v>-2</v>
      </c>
      <c r="T242" s="176">
        <f t="shared" si="81"/>
        <v>4</v>
      </c>
      <c r="U242" s="251">
        <f t="shared" si="82"/>
        <v>-1.0324435456521788</v>
      </c>
      <c r="V242" s="383">
        <f t="shared" si="83"/>
        <v>54.390470108731932</v>
      </c>
      <c r="W242" s="58"/>
      <c r="X242" s="157">
        <f t="shared" si="84"/>
        <v>43693</v>
      </c>
      <c r="Y242" s="385">
        <f t="shared" si="85"/>
        <v>54.542999999999999</v>
      </c>
      <c r="Z242" s="385">
        <f t="shared" si="86"/>
        <v>55.063947922811892</v>
      </c>
      <c r="AA242" s="386">
        <f t="shared" si="87"/>
        <v>56.420235364544375</v>
      </c>
      <c r="AB242" s="197">
        <f t="shared" si="88"/>
        <v>43693</v>
      </c>
      <c r="AC242" s="426">
        <f>IF(OR(t&lt;Tnet,NoTnet),'2018'!Resal_s+('2018'!Salim-'2018'!Resal_s)*(1-EXP(('2018'!Tnet_s-t)/'2018'!Tau_j)),Resal_s+(Salim-Resal_s)*(1-EXP((Tnet_s-t)/Tau_j)))*Salcycl</f>
        <v>2.4039024881218472E-2</v>
      </c>
      <c r="AD242" s="231">
        <f>(INDEX(Models!$BJ242:$BT242,,AH242)*(1-AF242)+INDEX(Models!$BJ242:$BT242,,AH242+1)*AF242-ERP_i)*AE242*Ramure*Pc/MaxiM</f>
        <v>2.2699774050488871E-5</v>
      </c>
      <c r="AE242" s="305">
        <f t="shared" si="89"/>
        <v>0.5</v>
      </c>
      <c r="AF242" s="177">
        <f t="shared" si="90"/>
        <v>0.96755645434782123</v>
      </c>
      <c r="AG242" s="176">
        <f t="shared" si="91"/>
        <v>-2</v>
      </c>
      <c r="AH242" s="176">
        <f t="shared" si="92"/>
        <v>4</v>
      </c>
      <c r="AI242" s="225">
        <f t="shared" si="93"/>
        <v>-1.0324435456521788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7">
        <v>53.448999999999998</v>
      </c>
      <c r="C243" s="390"/>
      <c r="D243" s="393">
        <f t="shared" si="75"/>
        <v>53.960680851167737</v>
      </c>
      <c r="E243" s="385">
        <f t="shared" si="97"/>
        <v>55.292281237676413</v>
      </c>
      <c r="F243" s="385">
        <f t="shared" si="76"/>
        <v>55.293372982977111</v>
      </c>
      <c r="G243" s="110">
        <f t="shared" si="98"/>
        <v>0.98568344055234092</v>
      </c>
      <c r="H243" s="414" t="b">
        <f>Wh_hp&gt;='2018'!Maxi_hp</f>
        <v>1</v>
      </c>
      <c r="I243" s="390">
        <f>IF(H243,Wh_hp,'2018'!Maxi_hp)</f>
        <v>55.293372982977111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9.4824758156598632E-3</v>
      </c>
      <c r="M243" s="845"/>
      <c r="N243" s="845"/>
      <c r="O243" s="48">
        <f>IF(t&lt;Tnet,'2018'!Resal+('2018'!Salim-'2018'!Resal)*(1-EXP(('2018'!Tnet-t)/('2018'!Tau_j))),Resal+(Salim-Resal)*(1-EXP((Tnet-t)/(Tau_j))))*Salcycl</f>
        <v>2.4082934483833862E-2</v>
      </c>
      <c r="P243" s="169">
        <f>(INDEX(Models!$BJ243:$BT243,,T243)*(1-R243)+INDEX(Models!$BJ243:$BT243,,T243+1)*R243-ERP_i)*Q243*Ramure*Pc/MaxiM</f>
        <v>2.0156836320010201E-5</v>
      </c>
      <c r="Q243" s="305">
        <f t="shared" si="78"/>
        <v>0.5</v>
      </c>
      <c r="R243" s="177">
        <f t="shared" si="79"/>
        <v>0.96869468038267392</v>
      </c>
      <c r="S243" s="811">
        <f t="shared" si="80"/>
        <v>-2</v>
      </c>
      <c r="T243" s="176">
        <f t="shared" si="81"/>
        <v>4</v>
      </c>
      <c r="U243" s="251">
        <f t="shared" si="82"/>
        <v>-1.0313053196173261</v>
      </c>
      <c r="V243" s="383">
        <f t="shared" si="83"/>
        <v>54.225297663285531</v>
      </c>
      <c r="W243" s="58"/>
      <c r="X243" s="157">
        <f t="shared" si="84"/>
        <v>43694</v>
      </c>
      <c r="Y243" s="385">
        <f t="shared" si="85"/>
        <v>53.448999999999998</v>
      </c>
      <c r="Z243" s="385">
        <f t="shared" si="86"/>
        <v>53.960680851167737</v>
      </c>
      <c r="AA243" s="386">
        <f t="shared" si="87"/>
        <v>55.292281237676413</v>
      </c>
      <c r="AB243" s="197">
        <f t="shared" si="88"/>
        <v>43694</v>
      </c>
      <c r="AC243" s="426">
        <f>IF(OR(t&lt;Tnet,NoTnet),'2018'!Resal_s+('2018'!Salim-'2018'!Resal_s)*(1-EXP(('2018'!Tnet_s-t)/'2018'!Tau_j)),Resal_s+(Salim-Resal_s)*(1-EXP((Tnet_s-t)/Tau_j)))*Salcycl</f>
        <v>2.4082934483833862E-2</v>
      </c>
      <c r="AD243" s="231">
        <f>(INDEX(Models!$BJ243:$BT243,,AH243)*(1-AF243)+INDEX(Models!$BJ243:$BT243,,AH243+1)*AF243-ERP_i)*AE243*Ramure*Pc/MaxiM</f>
        <v>2.0156836320010201E-5</v>
      </c>
      <c r="AE243" s="305">
        <f t="shared" si="89"/>
        <v>0.5</v>
      </c>
      <c r="AF243" s="177">
        <f t="shared" si="90"/>
        <v>0.96869468038267392</v>
      </c>
      <c r="AG243" s="176">
        <f t="shared" si="91"/>
        <v>-2</v>
      </c>
      <c r="AH243" s="176">
        <f t="shared" si="92"/>
        <v>4</v>
      </c>
      <c r="AI243" s="225">
        <f t="shared" si="93"/>
        <v>-1.0313053196173261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7">
        <v>37.186</v>
      </c>
      <c r="C244" s="390"/>
      <c r="D244" s="393">
        <f t="shared" si="75"/>
        <v>37.542813305899728</v>
      </c>
      <c r="E244" s="385">
        <f t="shared" si="97"/>
        <v>38.470992661927141</v>
      </c>
      <c r="F244" s="385">
        <f t="shared" si="76"/>
        <v>38.471372289365526</v>
      </c>
      <c r="G244" s="110">
        <f t="shared" si="98"/>
        <v>0.68788491784529693</v>
      </c>
      <c r="H244" s="414" t="b">
        <f>Wh_hp&gt;='2018'!Maxi_hp</f>
        <v>1</v>
      </c>
      <c r="I244" s="390">
        <f>IF(H244,Wh_hp,'2018'!Maxi_hp)</f>
        <v>38.471372289365526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9.5041706915357516E-3</v>
      </c>
      <c r="M244" s="845"/>
      <c r="N244" s="845"/>
      <c r="O244" s="48">
        <f>IF(t&lt;Tnet,'2018'!Resal+('2018'!Salim-'2018'!Resal)*(1-EXP(('2018'!Tnet-t)/('2018'!Tau_j))),Resal+(Salim-Resal)*(1-EXP((Tnet-t)/(Tau_j))))*Salcycl</f>
        <v>2.4126732683609448E-2</v>
      </c>
      <c r="P244" s="169">
        <f>(INDEX(Models!$BJ244:$BT244,,T244)*(1-R244)+INDEX(Models!$BJ244:$BT244,,T244+1)*R244-ERP_i)*Q244*Ramure*Pc/MaxiM</f>
        <v>1.7807745810192261E-5</v>
      </c>
      <c r="Q244" s="305">
        <f t="shared" si="78"/>
        <v>0.5</v>
      </c>
      <c r="R244" s="177">
        <f t="shared" si="79"/>
        <v>0.96979226518748751</v>
      </c>
      <c r="S244" s="811">
        <f t="shared" si="80"/>
        <v>-2</v>
      </c>
      <c r="T244" s="176">
        <f t="shared" si="81"/>
        <v>4</v>
      </c>
      <c r="U244" s="251">
        <f t="shared" si="82"/>
        <v>-1.0302077348125125</v>
      </c>
      <c r="V244" s="383">
        <f t="shared" si="83"/>
        <v>54.058031768429821</v>
      </c>
      <c r="W244" s="58"/>
      <c r="X244" s="157">
        <f t="shared" si="84"/>
        <v>43695</v>
      </c>
      <c r="Y244" s="385">
        <f t="shared" si="85"/>
        <v>37.186</v>
      </c>
      <c r="Z244" s="385">
        <f t="shared" si="86"/>
        <v>37.542813305899728</v>
      </c>
      <c r="AA244" s="386">
        <f t="shared" si="87"/>
        <v>38.470992661927141</v>
      </c>
      <c r="AB244" s="197">
        <f t="shared" si="88"/>
        <v>43695</v>
      </c>
      <c r="AC244" s="426">
        <f>IF(OR(t&lt;Tnet,NoTnet),'2018'!Resal_s+('2018'!Salim-'2018'!Resal_s)*(1-EXP(('2018'!Tnet_s-t)/'2018'!Tau_j)),Resal_s+(Salim-Resal_s)*(1-EXP((Tnet_s-t)/Tau_j)))*Salcycl</f>
        <v>2.4126732683609448E-2</v>
      </c>
      <c r="AD244" s="231">
        <f>(INDEX(Models!$BJ244:$BT244,,AH244)*(1-AF244)+INDEX(Models!$BJ244:$BT244,,AH244+1)*AF244-ERP_i)*AE244*Ramure*Pc/MaxiM</f>
        <v>1.7807745810192261E-5</v>
      </c>
      <c r="AE244" s="305">
        <f t="shared" si="89"/>
        <v>0.5</v>
      </c>
      <c r="AF244" s="177">
        <f t="shared" si="90"/>
        <v>0.96979226518748751</v>
      </c>
      <c r="AG244" s="176">
        <f t="shared" si="91"/>
        <v>-2</v>
      </c>
      <c r="AH244" s="176">
        <f t="shared" si="92"/>
        <v>4</v>
      </c>
      <c r="AI244" s="225">
        <f t="shared" si="93"/>
        <v>-1.0302077348125125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7">
        <v>34.682000000000002</v>
      </c>
      <c r="C245" s="390"/>
      <c r="D245" s="393">
        <f t="shared" si="75"/>
        <v>35.015553438182181</v>
      </c>
      <c r="E245" s="385">
        <f t="shared" si="97"/>
        <v>35.882857044782149</v>
      </c>
      <c r="F245" s="385">
        <f t="shared" si="76"/>
        <v>35.883132772195509</v>
      </c>
      <c r="G245" s="110">
        <f t="shared" si="98"/>
        <v>0.6435821939915316</v>
      </c>
      <c r="H245" s="414" t="b">
        <f>Wh_hp&gt;='2018'!Maxi_hp</f>
        <v>0</v>
      </c>
      <c r="I245" s="390">
        <f>IF(H245,Wh_hp,'2018'!Maxi_hp)</f>
        <v>53.076716411968974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9.5258650922380728E-3</v>
      </c>
      <c r="M245" s="845"/>
      <c r="N245" s="845"/>
      <c r="O245" s="48">
        <f>IF(t&lt;Tnet,'2018'!Resal+('2018'!Salim-'2018'!Resal)*(1-EXP(('2018'!Tnet-t)/('2018'!Tau_j))),Resal+(Salim-Resal)*(1-EXP((Tnet-t)/(Tau_j))))*Salcycl</f>
        <v>2.4170416684423098E-2</v>
      </c>
      <c r="P245" s="169">
        <f>(INDEX(Models!$BJ245:$BT245,,T245)*(1-R245)+INDEX(Models!$BJ245:$BT245,,T245+1)*R245-ERP_i)*Q245*Ramure*Pc/MaxiM</f>
        <v>1.5654907349083529E-5</v>
      </c>
      <c r="Q245" s="305">
        <f t="shared" si="78"/>
        <v>0.5</v>
      </c>
      <c r="R245" s="177">
        <f t="shared" si="79"/>
        <v>0.97085046923692686</v>
      </c>
      <c r="S245" s="811">
        <f t="shared" si="80"/>
        <v>-2</v>
      </c>
      <c r="T245" s="176">
        <f t="shared" si="81"/>
        <v>4</v>
      </c>
      <c r="U245" s="251">
        <f t="shared" si="82"/>
        <v>-1.0291495307630731</v>
      </c>
      <c r="V245" s="383">
        <f t="shared" si="83"/>
        <v>53.888569130762811</v>
      </c>
      <c r="W245" s="58"/>
      <c r="X245" s="157">
        <f t="shared" si="84"/>
        <v>43696</v>
      </c>
      <c r="Y245" s="385">
        <f t="shared" si="85"/>
        <v>34.682000000000002</v>
      </c>
      <c r="Z245" s="385">
        <f t="shared" si="86"/>
        <v>35.015553438182181</v>
      </c>
      <c r="AA245" s="386">
        <f t="shared" si="87"/>
        <v>35.882857044782149</v>
      </c>
      <c r="AB245" s="197">
        <f t="shared" si="88"/>
        <v>43696</v>
      </c>
      <c r="AC245" s="426">
        <f>IF(OR(t&lt;Tnet,NoTnet),'2018'!Resal_s+('2018'!Salim-'2018'!Resal_s)*(1-EXP(('2018'!Tnet_s-t)/'2018'!Tau_j)),Resal_s+(Salim-Resal_s)*(1-EXP((Tnet_s-t)/Tau_j)))*Salcycl</f>
        <v>2.4170416684423098E-2</v>
      </c>
      <c r="AD245" s="231">
        <f>(INDEX(Models!$BJ245:$BT245,,AH245)*(1-AF245)+INDEX(Models!$BJ245:$BT245,,AH245+1)*AF245-ERP_i)*AE245*Ramure*Pc/MaxiM</f>
        <v>1.5654907349083529E-5</v>
      </c>
      <c r="AE245" s="305">
        <f t="shared" si="89"/>
        <v>0.5</v>
      </c>
      <c r="AF245" s="177">
        <f t="shared" si="90"/>
        <v>0.97085046923692686</v>
      </c>
      <c r="AG245" s="176">
        <f t="shared" si="91"/>
        <v>-2</v>
      </c>
      <c r="AH245" s="176">
        <f t="shared" si="92"/>
        <v>4</v>
      </c>
      <c r="AI245" s="225">
        <f t="shared" si="93"/>
        <v>-1.0291495307630731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7">
        <v>32.069000000000003</v>
      </c>
      <c r="C246" s="390"/>
      <c r="D246" s="393">
        <f t="shared" si="75"/>
        <v>32.378132127371479</v>
      </c>
      <c r="E246" s="385">
        <f t="shared" si="97"/>
        <v>33.181590615188263</v>
      </c>
      <c r="F246" s="385">
        <f t="shared" si="76"/>
        <v>33.181783502193191</v>
      </c>
      <c r="G246" s="110">
        <f t="shared" si="98"/>
        <v>0.59699652943857429</v>
      </c>
      <c r="H246" s="414" t="b">
        <f>Wh_hp&gt;='2018'!Maxi_hp</f>
        <v>0</v>
      </c>
      <c r="I246" s="390">
        <f>IF(H246,Wh_hp,'2018'!Maxi_hp)</f>
        <v>53.656818151544883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9.5475590177774849E-3</v>
      </c>
      <c r="M246" s="845"/>
      <c r="N246" s="845"/>
      <c r="O246" s="48">
        <f>IF(t&lt;Tnet,'2018'!Resal+('2018'!Salim-'2018'!Resal)*(1-EXP(('2018'!Tnet-t)/('2018'!Tau_j))),Resal+(Salim-Resal)*(1-EXP((Tnet-t)/(Tau_j))))*Salcycl</f>
        <v>2.4213983504727372E-2</v>
      </c>
      <c r="P246" s="169">
        <f>(INDEX(Models!$BJ246:$BT246,,T246)*(1-R246)+INDEX(Models!$BJ246:$BT246,,T246+1)*R246-ERP_i)*Q246*Ramure*Pc/MaxiM</f>
        <v>1.3700708428845555E-5</v>
      </c>
      <c r="Q246" s="305">
        <f t="shared" si="78"/>
        <v>0.5</v>
      </c>
      <c r="R246" s="177">
        <f t="shared" si="79"/>
        <v>0.97187052830621212</v>
      </c>
      <c r="S246" s="811">
        <f t="shared" si="80"/>
        <v>-2</v>
      </c>
      <c r="T246" s="176">
        <f t="shared" si="81"/>
        <v>4</v>
      </c>
      <c r="U246" s="251">
        <f t="shared" si="82"/>
        <v>-1.0281294716937879</v>
      </c>
      <c r="V246" s="383">
        <f t="shared" si="83"/>
        <v>53.716806493029196</v>
      </c>
      <c r="W246" s="58"/>
      <c r="X246" s="157">
        <f t="shared" si="84"/>
        <v>43697</v>
      </c>
      <c r="Y246" s="385">
        <f t="shared" si="85"/>
        <v>32.069000000000003</v>
      </c>
      <c r="Z246" s="385">
        <f t="shared" si="86"/>
        <v>32.378132127371479</v>
      </c>
      <c r="AA246" s="386">
        <f t="shared" si="87"/>
        <v>33.181590615188263</v>
      </c>
      <c r="AB246" s="197">
        <f t="shared" si="88"/>
        <v>43697</v>
      </c>
      <c r="AC246" s="426">
        <f>IF(OR(t&lt;Tnet,NoTnet),'2018'!Resal_s+('2018'!Salim-'2018'!Resal_s)*(1-EXP(('2018'!Tnet_s-t)/'2018'!Tau_j)),Resal_s+(Salim-Resal_s)*(1-EXP((Tnet_s-t)/Tau_j)))*Salcycl</f>
        <v>2.4213983504727372E-2</v>
      </c>
      <c r="AD246" s="231">
        <f>(INDEX(Models!$BJ246:$BT246,,AH246)*(1-AF246)+INDEX(Models!$BJ246:$BT246,,AH246+1)*AF246-ERP_i)*AE246*Ramure*Pc/MaxiM</f>
        <v>1.3700708428845555E-5</v>
      </c>
      <c r="AE246" s="305">
        <f t="shared" si="89"/>
        <v>0.5</v>
      </c>
      <c r="AF246" s="177">
        <f t="shared" si="90"/>
        <v>0.97187052830621212</v>
      </c>
      <c r="AG246" s="176">
        <f t="shared" si="91"/>
        <v>-2</v>
      </c>
      <c r="AH246" s="176">
        <f t="shared" si="92"/>
        <v>4</v>
      </c>
      <c r="AI246" s="225">
        <f t="shared" si="93"/>
        <v>-1.0281294716937879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7">
        <v>49.094999999999999</v>
      </c>
      <c r="C247" s="390"/>
      <c r="D247" s="393">
        <f t="shared" si="75"/>
        <v>49.569341543914369</v>
      </c>
      <c r="E247" s="385">
        <f t="shared" si="97"/>
        <v>50.801659236264982</v>
      </c>
      <c r="F247" s="385">
        <f t="shared" si="76"/>
        <v>50.802194119135478</v>
      </c>
      <c r="G247" s="110">
        <f t="shared" si="98"/>
        <v>0.91689619693377244</v>
      </c>
      <c r="H247" s="414" t="b">
        <f>Wh_hp&gt;='2018'!Maxi_hp</f>
        <v>0</v>
      </c>
      <c r="I247" s="390">
        <f>IF(H247,Wh_hp,'2018'!Maxi_hp)</f>
        <v>52.817898849662711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9.5692524681640911E-3</v>
      </c>
      <c r="M247" s="845"/>
      <c r="N247" s="845"/>
      <c r="O247" s="48">
        <f>IF(t&lt;Tnet,'2018'!Resal+('2018'!Salim-'2018'!Resal)*(1-EXP(('2018'!Tnet-t)/('2018'!Tau_j))),Resal+(Salim-Resal)*(1-EXP((Tnet-t)/(Tau_j))))*Salcycl</f>
        <v>2.4257429991005486E-2</v>
      </c>
      <c r="P247" s="169">
        <f>(INDEX(Models!$BJ247:$BT247,,T247)*(1-R247)+INDEX(Models!$BJ247:$BT247,,T247+1)*R247-ERP_i)*Q247*Ramure*Pc/MaxiM</f>
        <v>1.1947065696998642E-5</v>
      </c>
      <c r="Q247" s="305">
        <f t="shared" si="78"/>
        <v>0.5</v>
      </c>
      <c r="R247" s="177">
        <f t="shared" si="79"/>
        <v>0.97285365278987634</v>
      </c>
      <c r="S247" s="811">
        <f t="shared" si="80"/>
        <v>-2</v>
      </c>
      <c r="T247" s="176">
        <f t="shared" si="81"/>
        <v>4</v>
      </c>
      <c r="U247" s="251">
        <f t="shared" si="82"/>
        <v>-1.0271463472101237</v>
      </c>
      <c r="V247" s="383">
        <f t="shared" si="83"/>
        <v>53.544698440817676</v>
      </c>
      <c r="W247" s="58"/>
      <c r="X247" s="157">
        <f t="shared" si="84"/>
        <v>43698</v>
      </c>
      <c r="Y247" s="385">
        <f t="shared" si="85"/>
        <v>49.094999999999999</v>
      </c>
      <c r="Z247" s="385">
        <f t="shared" si="86"/>
        <v>49.569341543914369</v>
      </c>
      <c r="AA247" s="386">
        <f t="shared" si="87"/>
        <v>50.801659236264982</v>
      </c>
      <c r="AB247" s="197">
        <f t="shared" si="88"/>
        <v>43698</v>
      </c>
      <c r="AC247" s="426">
        <f>IF(OR(t&lt;Tnet,NoTnet),'2018'!Resal_s+('2018'!Salim-'2018'!Resal_s)*(1-EXP(('2018'!Tnet_s-t)/'2018'!Tau_j)),Resal_s+(Salim-Resal_s)*(1-EXP((Tnet_s-t)/Tau_j)))*Salcycl</f>
        <v>2.4257429991005486E-2</v>
      </c>
      <c r="AD247" s="231">
        <f>(INDEX(Models!$BJ247:$BT247,,AH247)*(1-AF247)+INDEX(Models!$BJ247:$BT247,,AH247+1)*AF247-ERP_i)*AE247*Ramure*Pc/MaxiM</f>
        <v>1.1947065696998642E-5</v>
      </c>
      <c r="AE247" s="305">
        <f t="shared" si="89"/>
        <v>0.5</v>
      </c>
      <c r="AF247" s="177">
        <f t="shared" si="90"/>
        <v>0.97285365278987634</v>
      </c>
      <c r="AG247" s="176">
        <f t="shared" si="91"/>
        <v>-2</v>
      </c>
      <c r="AH247" s="176">
        <f t="shared" si="92"/>
        <v>4</v>
      </c>
      <c r="AI247" s="225">
        <f t="shared" si="93"/>
        <v>-1.0271463472101237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7">
        <v>54.921999999999997</v>
      </c>
      <c r="C248" s="390"/>
      <c r="D248" s="393">
        <f t="shared" si="75"/>
        <v>55.453854896943277</v>
      </c>
      <c r="E248" s="385">
        <f t="shared" si="97"/>
        <v>56.834987889681358</v>
      </c>
      <c r="F248" s="385">
        <f t="shared" si="76"/>
        <v>56.835581680919191</v>
      </c>
      <c r="G248" s="110">
        <f t="shared" si="98"/>
        <v>1.0290084347657977</v>
      </c>
      <c r="H248" s="414" t="b">
        <f>Wh_hp&gt;='2018'!Maxi_hp</f>
        <v>1</v>
      </c>
      <c r="I248" s="390">
        <f>IF(H248,Wh_hp,'2018'!Maxi_hp)</f>
        <v>56.835581680919191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9.5909454434085495E-3</v>
      </c>
      <c r="M248" s="845"/>
      <c r="N248" s="845"/>
      <c r="O248" s="48">
        <f>IF(t&lt;Tnet,'2018'!Resal+('2018'!Salim-'2018'!Resal)*(1-EXP(('2018'!Tnet-t)/('2018'!Tau_j))),Resal+(Salim-Resal)*(1-EXP((Tnet-t)/(Tau_j))))*Salcycl</f>
        <v>2.4300752828854459E-2</v>
      </c>
      <c r="P248" s="169">
        <f>(INDEX(Models!$BJ248:$BT248,,T248)*(1-R248)+INDEX(Models!$BJ248:$BT248,,T248+1)*R248-ERP_i)*Q248*Ramure*Pc/MaxiM</f>
        <v>1.0447526360567212E-5</v>
      </c>
      <c r="Q248" s="305">
        <f t="shared" si="78"/>
        <v>0.5</v>
      </c>
      <c r="R248" s="177">
        <f t="shared" si="79"/>
        <v>0.97380102714149475</v>
      </c>
      <c r="S248" s="811">
        <f t="shared" si="80"/>
        <v>-2</v>
      </c>
      <c r="T248" s="176">
        <f t="shared" si="81"/>
        <v>4</v>
      </c>
      <c r="U248" s="251">
        <f t="shared" si="82"/>
        <v>-1.0261989728585053</v>
      </c>
      <c r="V248" s="383">
        <f t="shared" si="83"/>
        <v>53.373712152806831</v>
      </c>
      <c r="W248" s="58"/>
      <c r="X248" s="157">
        <f t="shared" si="84"/>
        <v>43699</v>
      </c>
      <c r="Y248" s="385">
        <f t="shared" si="85"/>
        <v>54.921999999999997</v>
      </c>
      <c r="Z248" s="385">
        <f t="shared" si="86"/>
        <v>55.453854896943277</v>
      </c>
      <c r="AA248" s="386">
        <f t="shared" si="87"/>
        <v>56.834987889681358</v>
      </c>
      <c r="AB248" s="197">
        <f t="shared" si="88"/>
        <v>43699</v>
      </c>
      <c r="AC248" s="426">
        <f>IF(OR(t&lt;Tnet,NoTnet),'2018'!Resal_s+('2018'!Salim-'2018'!Resal_s)*(1-EXP(('2018'!Tnet_s-t)/'2018'!Tau_j)),Resal_s+(Salim-Resal_s)*(1-EXP((Tnet_s-t)/Tau_j)))*Salcycl</f>
        <v>2.4300752828854459E-2</v>
      </c>
      <c r="AD248" s="231">
        <f>(INDEX(Models!$BJ248:$BT248,,AH248)*(1-AF248)+INDEX(Models!$BJ248:$BT248,,AH248+1)*AF248-ERP_i)*AE248*Ramure*Pc/MaxiM</f>
        <v>1.0447526360567212E-5</v>
      </c>
      <c r="AE248" s="305">
        <f t="shared" si="89"/>
        <v>0.5</v>
      </c>
      <c r="AF248" s="177">
        <f t="shared" si="90"/>
        <v>0.97380102714149475</v>
      </c>
      <c r="AG248" s="176">
        <f t="shared" si="91"/>
        <v>-2</v>
      </c>
      <c r="AH248" s="176">
        <f t="shared" si="92"/>
        <v>4</v>
      </c>
      <c r="AI248" s="225">
        <f t="shared" si="93"/>
        <v>-1.0261989728585053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7">
        <v>52.311999999999998</v>
      </c>
      <c r="C249" s="390"/>
      <c r="D249" s="393">
        <f t="shared" si="75"/>
        <v>52.81973700813117</v>
      </c>
      <c r="E249" s="385">
        <f t="shared" si="97"/>
        <v>54.137661453252989</v>
      </c>
      <c r="F249" s="385">
        <f t="shared" si="76"/>
        <v>54.138140935976416</v>
      </c>
      <c r="G249" s="110">
        <f t="shared" si="98"/>
        <v>0.98325215642308172</v>
      </c>
      <c r="H249" s="414" t="b">
        <f>Wh_hp&gt;='2018'!Maxi_hp</f>
        <v>1</v>
      </c>
      <c r="I249" s="390">
        <f>IF(H249,Wh_hp,'2018'!Maxi_hp)</f>
        <v>54.138140935976416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9.6126379435211851E-3</v>
      </c>
      <c r="M249" s="845"/>
      <c r="N249" s="845"/>
      <c r="O249" s="48">
        <f>IF(t&lt;Tnet,'2018'!Resal+('2018'!Salim-'2018'!Resal)*(1-EXP(('2018'!Tnet-t)/('2018'!Tau_j))),Resal+(Salim-Resal)*(1-EXP((Tnet-t)/(Tau_j))))*Salcycl</f>
        <v>2.4343948551597942E-2</v>
      </c>
      <c r="P249" s="169">
        <f>(INDEX(Models!$BJ249:$BT249,,T249)*(1-R249)+INDEX(Models!$BJ249:$BT249,,T249+1)*R249-ERP_i)*Q249*Ramure*Pc/MaxiM</f>
        <v>9.0737439193922718E-6</v>
      </c>
      <c r="Q249" s="305">
        <f t="shared" si="78"/>
        <v>0.5</v>
      </c>
      <c r="R249" s="177">
        <f t="shared" si="79"/>
        <v>0.97471380942588093</v>
      </c>
      <c r="S249" s="811">
        <f t="shared" si="80"/>
        <v>-2</v>
      </c>
      <c r="T249" s="176">
        <f t="shared" si="81"/>
        <v>4</v>
      </c>
      <c r="U249" s="251">
        <f t="shared" si="82"/>
        <v>-1.0252861905741191</v>
      </c>
      <c r="V249" s="383">
        <f t="shared" si="83"/>
        <v>53.20302457686681</v>
      </c>
      <c r="W249" s="58"/>
      <c r="X249" s="157">
        <f t="shared" si="84"/>
        <v>43700</v>
      </c>
      <c r="Y249" s="385">
        <f t="shared" si="85"/>
        <v>52.311999999999998</v>
      </c>
      <c r="Z249" s="385">
        <f t="shared" si="86"/>
        <v>52.81973700813117</v>
      </c>
      <c r="AA249" s="386">
        <f t="shared" si="87"/>
        <v>54.137661453252989</v>
      </c>
      <c r="AB249" s="197">
        <f t="shared" si="88"/>
        <v>43700</v>
      </c>
      <c r="AC249" s="426">
        <f>IF(OR(t&lt;Tnet,NoTnet),'2018'!Resal_s+('2018'!Salim-'2018'!Resal_s)*(1-EXP(('2018'!Tnet_s-t)/'2018'!Tau_j)),Resal_s+(Salim-Resal_s)*(1-EXP((Tnet_s-t)/Tau_j)))*Salcycl</f>
        <v>2.4343948551597942E-2</v>
      </c>
      <c r="AD249" s="231">
        <f>(INDEX(Models!$BJ249:$BT249,,AH249)*(1-AF249)+INDEX(Models!$BJ249:$BT249,,AH249+1)*AF249-ERP_i)*AE249*Ramure*Pc/MaxiM</f>
        <v>9.0737439193922718E-6</v>
      </c>
      <c r="AE249" s="305">
        <f t="shared" si="89"/>
        <v>0.5</v>
      </c>
      <c r="AF249" s="177">
        <f t="shared" si="90"/>
        <v>0.97471380942588093</v>
      </c>
      <c r="AG249" s="176">
        <f t="shared" si="91"/>
        <v>-2</v>
      </c>
      <c r="AH249" s="176">
        <f t="shared" si="92"/>
        <v>4</v>
      </c>
      <c r="AI249" s="225">
        <f t="shared" si="93"/>
        <v>-1.0252861905741191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7">
        <v>52.639000000000003</v>
      </c>
      <c r="C250" s="390"/>
      <c r="D250" s="393">
        <f t="shared" si="75"/>
        <v>53.151074994679902</v>
      </c>
      <c r="E250" s="385">
        <f t="shared" si="97"/>
        <v>54.47967148109128</v>
      </c>
      <c r="F250" s="385">
        <f t="shared" si="76"/>
        <v>54.480093410292213</v>
      </c>
      <c r="G250" s="110">
        <f t="shared" si="98"/>
        <v>0.99259293086775779</v>
      </c>
      <c r="H250" s="414" t="b">
        <f>Wh_hp&gt;='2018'!Maxi_hp</f>
        <v>1</v>
      </c>
      <c r="I250" s="390">
        <f>IF(H250,Wh_hp,'2018'!Maxi_hp)</f>
        <v>54.480093410292213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9.634329968512434E-3</v>
      </c>
      <c r="M250" s="845"/>
      <c r="N250" s="845"/>
      <c r="O250" s="48">
        <f>IF(t&lt;Tnet,'2018'!Resal+('2018'!Salim-'2018'!Resal)*(1-EXP(('2018'!Tnet-t)/('2018'!Tau_j))),Resal+(Salim-Resal)*(1-EXP((Tnet-t)/(Tau_j))))*Salcycl</f>
        <v>2.4387013546373962E-2</v>
      </c>
      <c r="P250" s="169">
        <f>(INDEX(Models!$BJ250:$BT250,,T250)*(1-R250)+INDEX(Models!$BJ250:$BT250,,T250+1)*R250-ERP_i)*Q250*Ramure*Pc/MaxiM</f>
        <v>7.8274747180709136E-6</v>
      </c>
      <c r="Q250" s="305">
        <f t="shared" si="78"/>
        <v>0.5</v>
      </c>
      <c r="R250" s="177">
        <f t="shared" si="79"/>
        <v>0.97559313097554523</v>
      </c>
      <c r="S250" s="811">
        <f t="shared" si="80"/>
        <v>-2</v>
      </c>
      <c r="T250" s="176">
        <f t="shared" si="81"/>
        <v>4</v>
      </c>
      <c r="U250" s="251">
        <f t="shared" si="82"/>
        <v>-1.0244068690244548</v>
      </c>
      <c r="V250" s="383">
        <f t="shared" si="83"/>
        <v>53.031805892557067</v>
      </c>
      <c r="W250" s="58"/>
      <c r="X250" s="157">
        <f t="shared" si="84"/>
        <v>43701</v>
      </c>
      <c r="Y250" s="385">
        <f t="shared" si="85"/>
        <v>52.639000000000003</v>
      </c>
      <c r="Z250" s="385">
        <f t="shared" si="86"/>
        <v>53.151074994679902</v>
      </c>
      <c r="AA250" s="386">
        <f t="shared" si="87"/>
        <v>54.47967148109128</v>
      </c>
      <c r="AB250" s="197">
        <f t="shared" si="88"/>
        <v>43701</v>
      </c>
      <c r="AC250" s="426">
        <f>IF(OR(t&lt;Tnet,NoTnet),'2018'!Resal_s+('2018'!Salim-'2018'!Resal_s)*(1-EXP(('2018'!Tnet_s-t)/'2018'!Tau_j)),Resal_s+(Salim-Resal_s)*(1-EXP((Tnet_s-t)/Tau_j)))*Salcycl</f>
        <v>2.4387013546373962E-2</v>
      </c>
      <c r="AD250" s="231">
        <f>(INDEX(Models!$BJ250:$BT250,,AH250)*(1-AF250)+INDEX(Models!$BJ250:$BT250,,AH250+1)*AF250-ERP_i)*AE250*Ramure*Pc/MaxiM</f>
        <v>7.8274747180709136E-6</v>
      </c>
      <c r="AE250" s="305">
        <f t="shared" si="89"/>
        <v>0.5</v>
      </c>
      <c r="AF250" s="177">
        <f t="shared" si="90"/>
        <v>0.97559313097554523</v>
      </c>
      <c r="AG250" s="176">
        <f t="shared" si="91"/>
        <v>-2</v>
      </c>
      <c r="AH250" s="176">
        <f t="shared" si="92"/>
        <v>4</v>
      </c>
      <c r="AI250" s="225">
        <f t="shared" si="93"/>
        <v>-1.0244068690244548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7">
        <v>44.978000000000002</v>
      </c>
      <c r="C251" s="390"/>
      <c r="D251" s="393">
        <f t="shared" si="75"/>
        <v>45.416543117634887</v>
      </c>
      <c r="E251" s="385">
        <f t="shared" si="97"/>
        <v>46.553851095569534</v>
      </c>
      <c r="F251" s="385">
        <f t="shared" si="76"/>
        <v>46.554096951446645</v>
      </c>
      <c r="G251" s="110">
        <f t="shared" si="98"/>
        <v>0.85090037604831192</v>
      </c>
      <c r="H251" s="414" t="b">
        <f>Wh_hp&gt;='2018'!Maxi_hp</f>
        <v>1</v>
      </c>
      <c r="I251" s="390">
        <f>IF(H251,Wh_hp,'2018'!Maxi_hp)</f>
        <v>46.554096951446645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9.6560215183926212E-3</v>
      </c>
      <c r="M251" s="845"/>
      <c r="N251" s="845"/>
      <c r="O251" s="48">
        <f>IF(t&lt;Tnet,'2018'!Resal+('2018'!Salim-'2018'!Resal)*(1-EXP(('2018'!Tnet-t)/('2018'!Tau_j))),Resal+(Salim-Resal)*(1-EXP((Tnet-t)/(Tau_j))))*Salcycl</f>
        <v>2.4429944057686819E-2</v>
      </c>
      <c r="P251" s="169">
        <f>(INDEX(Models!$BJ251:$BT251,,T251)*(1-R251)+INDEX(Models!$BJ251:$BT251,,T251+1)*R251-ERP_i)*Q251*Ramure*Pc/MaxiM</f>
        <v>6.7103735995444649E-6</v>
      </c>
      <c r="Q251" s="305">
        <f t="shared" si="78"/>
        <v>0.5</v>
      </c>
      <c r="R251" s="177">
        <f t="shared" si="79"/>
        <v>0.97644009614350979</v>
      </c>
      <c r="S251" s="811">
        <f t="shared" si="80"/>
        <v>-2</v>
      </c>
      <c r="T251" s="176">
        <f t="shared" si="81"/>
        <v>4</v>
      </c>
      <c r="U251" s="251">
        <f t="shared" si="82"/>
        <v>-1.0235599038564902</v>
      </c>
      <c r="V251" s="383">
        <f t="shared" si="83"/>
        <v>52.85922650750733</v>
      </c>
      <c r="W251" s="58"/>
      <c r="X251" s="157">
        <f t="shared" si="84"/>
        <v>43702</v>
      </c>
      <c r="Y251" s="385">
        <f t="shared" si="85"/>
        <v>44.978000000000002</v>
      </c>
      <c r="Z251" s="385">
        <f t="shared" si="86"/>
        <v>45.416543117634887</v>
      </c>
      <c r="AA251" s="386">
        <f t="shared" si="87"/>
        <v>46.553851095569534</v>
      </c>
      <c r="AB251" s="197">
        <f t="shared" si="88"/>
        <v>43702</v>
      </c>
      <c r="AC251" s="426">
        <f>IF(OR(t&lt;Tnet,NoTnet),'2018'!Resal_s+('2018'!Salim-'2018'!Resal_s)*(1-EXP(('2018'!Tnet_s-t)/'2018'!Tau_j)),Resal_s+(Salim-Resal_s)*(1-EXP((Tnet_s-t)/Tau_j)))*Salcycl</f>
        <v>2.4429944057686819E-2</v>
      </c>
      <c r="AD251" s="231">
        <f>(INDEX(Models!$BJ251:$BT251,,AH251)*(1-AF251)+INDEX(Models!$BJ251:$BT251,,AH251+1)*AF251-ERP_i)*AE251*Ramure*Pc/MaxiM</f>
        <v>6.7103735995444649E-6</v>
      </c>
      <c r="AE251" s="305">
        <f t="shared" si="89"/>
        <v>0.5</v>
      </c>
      <c r="AF251" s="177">
        <f t="shared" si="90"/>
        <v>0.97644009614350979</v>
      </c>
      <c r="AG251" s="176">
        <f t="shared" si="91"/>
        <v>-2</v>
      </c>
      <c r="AH251" s="176">
        <f t="shared" si="92"/>
        <v>4</v>
      </c>
      <c r="AI251" s="225">
        <f t="shared" si="93"/>
        <v>-1.0235599038564902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7">
        <v>44.438000000000002</v>
      </c>
      <c r="C252" s="390"/>
      <c r="D252" s="393">
        <f t="shared" si="75"/>
        <v>44.872260843852665</v>
      </c>
      <c r="E252" s="385">
        <f t="shared" si="97"/>
        <v>45.997956703464574</v>
      </c>
      <c r="F252" s="385">
        <f t="shared" si="76"/>
        <v>45.998161122716255</v>
      </c>
      <c r="G252" s="110">
        <f t="shared" si="98"/>
        <v>0.84347349496801238</v>
      </c>
      <c r="H252" s="414" t="b">
        <f>Wh_hp&gt;='2018'!Maxi_hp</f>
        <v>0</v>
      </c>
      <c r="I252" s="390">
        <f>IF(H252,Wh_hp,'2018'!Maxi_hp)</f>
        <v>54.589001673677714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9.677712593172183E-3</v>
      </c>
      <c r="M252" s="845"/>
      <c r="N252" s="845"/>
      <c r="O252" s="48">
        <f>IF(t&lt;Tnet,'2018'!Resal+('2018'!Salim-'2018'!Resal)*(1-EXP(('2018'!Tnet-t)/('2018'!Tau_j))),Resal+(Salim-Resal)*(1-EXP((Tnet-t)/(Tau_j))))*Salcycl</f>
        <v>2.4472736188455954E-2</v>
      </c>
      <c r="P252" s="169">
        <f>(INDEX(Models!$BJ252:$BT252,,T252)*(1-R252)+INDEX(Models!$BJ252:$BT252,,T252+1)*R252-ERP_i)*Q252*Ramure*Pc/MaxiM</f>
        <v>5.7240066908531672E-6</v>
      </c>
      <c r="Q252" s="305">
        <f t="shared" si="78"/>
        <v>0.5</v>
      </c>
      <c r="R252" s="177">
        <f t="shared" si="79"/>
        <v>0.97725578214491349</v>
      </c>
      <c r="S252" s="811">
        <f t="shared" si="80"/>
        <v>-2</v>
      </c>
      <c r="T252" s="176">
        <f t="shared" si="81"/>
        <v>4</v>
      </c>
      <c r="U252" s="251">
        <f t="shared" si="82"/>
        <v>-1.0227442178550865</v>
      </c>
      <c r="V252" s="383">
        <f t="shared" si="83"/>
        <v>52.68445705434133</v>
      </c>
      <c r="W252" s="58"/>
      <c r="X252" s="157">
        <f t="shared" si="84"/>
        <v>43703</v>
      </c>
      <c r="Y252" s="385">
        <f t="shared" si="85"/>
        <v>44.438000000000002</v>
      </c>
      <c r="Z252" s="385">
        <f t="shared" si="86"/>
        <v>44.872260843852665</v>
      </c>
      <c r="AA252" s="386">
        <f t="shared" si="87"/>
        <v>45.997956703464574</v>
      </c>
      <c r="AB252" s="197">
        <f t="shared" si="88"/>
        <v>43703</v>
      </c>
      <c r="AC252" s="426">
        <f>IF(OR(t&lt;Tnet,NoTnet),'2018'!Resal_s+('2018'!Salim-'2018'!Resal_s)*(1-EXP(('2018'!Tnet_s-t)/'2018'!Tau_j)),Resal_s+(Salim-Resal_s)*(1-EXP((Tnet_s-t)/Tau_j)))*Salcycl</f>
        <v>2.4472736188455954E-2</v>
      </c>
      <c r="AD252" s="231">
        <f>(INDEX(Models!$BJ252:$BT252,,AH252)*(1-AF252)+INDEX(Models!$BJ252:$BT252,,AH252+1)*AF252-ERP_i)*AE252*Ramure*Pc/MaxiM</f>
        <v>5.7240066908531672E-6</v>
      </c>
      <c r="AE252" s="305">
        <f t="shared" si="89"/>
        <v>0.5</v>
      </c>
      <c r="AF252" s="177">
        <f t="shared" si="90"/>
        <v>0.97725578214491349</v>
      </c>
      <c r="AG252" s="176">
        <f t="shared" si="91"/>
        <v>-2</v>
      </c>
      <c r="AH252" s="176">
        <f t="shared" si="92"/>
        <v>4</v>
      </c>
      <c r="AI252" s="225">
        <f t="shared" si="93"/>
        <v>-1.0227442178550865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7">
        <v>31.416</v>
      </c>
      <c r="C253" s="390"/>
      <c r="D253" s="393">
        <f t="shared" si="75"/>
        <v>31.723700966443307</v>
      </c>
      <c r="E253" s="385">
        <f t="shared" si="97"/>
        <v>32.520964972541272</v>
      </c>
      <c r="F253" s="385">
        <f t="shared" si="76"/>
        <v>32.521032467695917</v>
      </c>
      <c r="G253" s="110">
        <f t="shared" si="98"/>
        <v>0.59832233071937335</v>
      </c>
      <c r="H253" s="414" t="b">
        <f>Wh_hp&gt;='2018'!Maxi_hp</f>
        <v>0</v>
      </c>
      <c r="I253" s="390">
        <f>IF(H253,Wh_hp,'2018'!Maxi_hp)</f>
        <v>52.049973436944512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9.6994031928615554E-3</v>
      </c>
      <c r="M253" s="845"/>
      <c r="N253" s="845"/>
      <c r="O253" s="48">
        <f>IF(t&lt;Tnet,'2018'!Resal+('2018'!Salim-'2018'!Resal)*(1-EXP(('2018'!Tnet-t)/('2018'!Tau_j))),Resal+(Salim-Resal)*(1-EXP((Tnet-t)/(Tau_j))))*Salcycl</f>
        <v>2.4515385898638928E-2</v>
      </c>
      <c r="P253" s="169">
        <f>(INDEX(Models!$BJ253:$BT253,,T253)*(1-R253)+INDEX(Models!$BJ253:$BT253,,T253+1)*R253-ERP_i)*Q253*Ramure*Pc/MaxiM</f>
        <v>4.8698783688153785E-6</v>
      </c>
      <c r="Q253" s="305">
        <f t="shared" si="78"/>
        <v>0.5</v>
      </c>
      <c r="R253" s="177">
        <f t="shared" si="79"/>
        <v>0.97804123898016071</v>
      </c>
      <c r="S253" s="811">
        <f t="shared" si="80"/>
        <v>-2</v>
      </c>
      <c r="T253" s="176">
        <f t="shared" si="81"/>
        <v>4</v>
      </c>
      <c r="U253" s="251">
        <f t="shared" si="82"/>
        <v>-1.0219587610198393</v>
      </c>
      <c r="V253" s="383">
        <f t="shared" si="83"/>
        <v>52.506668390068633</v>
      </c>
      <c r="W253" s="58"/>
      <c r="X253" s="157">
        <f t="shared" si="84"/>
        <v>43704</v>
      </c>
      <c r="Y253" s="385">
        <f t="shared" si="85"/>
        <v>31.415999999999997</v>
      </c>
      <c r="Z253" s="385">
        <f t="shared" si="86"/>
        <v>31.723700966443303</v>
      </c>
      <c r="AA253" s="386">
        <f t="shared" si="87"/>
        <v>32.520964972541272</v>
      </c>
      <c r="AB253" s="197">
        <f t="shared" si="88"/>
        <v>43704</v>
      </c>
      <c r="AC253" s="426">
        <f>IF(OR(t&lt;Tnet,NoTnet),'2018'!Resal_s+('2018'!Salim-'2018'!Resal_s)*(1-EXP(('2018'!Tnet_s-t)/'2018'!Tau_j)),Resal_s+(Salim-Resal_s)*(1-EXP((Tnet_s-t)/Tau_j)))*Salcycl</f>
        <v>2.4515385898638928E-2</v>
      </c>
      <c r="AD253" s="231">
        <f>(INDEX(Models!$BJ253:$BT253,,AH253)*(1-AF253)+INDEX(Models!$BJ253:$BT253,,AH253+1)*AF253-ERP_i)*AE253*Ramure*Pc/MaxiM</f>
        <v>4.8698783688153785E-6</v>
      </c>
      <c r="AE253" s="305">
        <f t="shared" si="89"/>
        <v>0.5</v>
      </c>
      <c r="AF253" s="177">
        <f t="shared" si="90"/>
        <v>0.97804123898016071</v>
      </c>
      <c r="AG253" s="176">
        <f t="shared" si="91"/>
        <v>-2</v>
      </c>
      <c r="AH253" s="176">
        <f t="shared" si="92"/>
        <v>4</v>
      </c>
      <c r="AI253" s="225">
        <f t="shared" si="93"/>
        <v>-1.0219587610198393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7">
        <v>37.887999999999998</v>
      </c>
      <c r="C254" s="390"/>
      <c r="D254" s="393">
        <f t="shared" si="75"/>
        <v>38.259928333651175</v>
      </c>
      <c r="E254" s="385">
        <f t="shared" si="97"/>
        <v>39.223166502919113</v>
      </c>
      <c r="F254" s="385">
        <f t="shared" si="76"/>
        <v>39.223265501484377</v>
      </c>
      <c r="G254" s="110">
        <f t="shared" si="98"/>
        <v>0.72408820901249793</v>
      </c>
      <c r="H254" s="414" t="b">
        <f>Wh_hp&gt;='2018'!Maxi_hp</f>
        <v>0</v>
      </c>
      <c r="I254" s="390">
        <f>IF(H254,Wh_hp,'2018'!Maxi_hp)</f>
        <v>42.53568926066756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9.7210933174710634E-3</v>
      </c>
      <c r="M254" s="845"/>
      <c r="N254" s="845"/>
      <c r="O254" s="48">
        <f>IF(t&lt;Tnet,'2018'!Resal+('2018'!Salim-'2018'!Resal)*(1-EXP(('2018'!Tnet-t)/('2018'!Tau_j))),Resal+(Salim-Resal)*(1-EXP((Tnet-t)/(Tau_j))))*Salcycl</f>
        <v>2.4557889001548362E-2</v>
      </c>
      <c r="P254" s="169">
        <f>(INDEX(Models!$BJ254:$BT254,,T254)*(1-R254)+INDEX(Models!$BJ254:$BT254,,T254+1)*R254-ERP_i)*Q254*Ramure*Pc/MaxiM</f>
        <v>4.1660624659553468E-6</v>
      </c>
      <c r="Q254" s="305">
        <f t="shared" si="78"/>
        <v>0.5</v>
      </c>
      <c r="R254" s="177">
        <f t="shared" si="79"/>
        <v>0.97879748943272049</v>
      </c>
      <c r="S254" s="811">
        <f t="shared" si="80"/>
        <v>-2</v>
      </c>
      <c r="T254" s="176">
        <f t="shared" si="81"/>
        <v>4</v>
      </c>
      <c r="U254" s="251">
        <f t="shared" si="82"/>
        <v>-1.0212025105672795</v>
      </c>
      <c r="V254" s="383">
        <f t="shared" si="83"/>
        <v>52.32503072536845</v>
      </c>
      <c r="W254" s="58"/>
      <c r="X254" s="157">
        <f t="shared" si="84"/>
        <v>43705</v>
      </c>
      <c r="Y254" s="385">
        <f t="shared" si="85"/>
        <v>37.887999999999998</v>
      </c>
      <c r="Z254" s="385">
        <f t="shared" si="86"/>
        <v>38.259928333651175</v>
      </c>
      <c r="AA254" s="386">
        <f t="shared" si="87"/>
        <v>39.223166502919113</v>
      </c>
      <c r="AB254" s="197">
        <f t="shared" si="88"/>
        <v>43705</v>
      </c>
      <c r="AC254" s="426">
        <f>IF(OR(t&lt;Tnet,NoTnet),'2018'!Resal_s+('2018'!Salim-'2018'!Resal_s)*(1-EXP(('2018'!Tnet_s-t)/'2018'!Tau_j)),Resal_s+(Salim-Resal_s)*(1-EXP((Tnet_s-t)/Tau_j)))*Salcycl</f>
        <v>2.4557889001548362E-2</v>
      </c>
      <c r="AD254" s="231">
        <f>(INDEX(Models!$BJ254:$BT254,,AH254)*(1-AF254)+INDEX(Models!$BJ254:$BT254,,AH254+1)*AF254-ERP_i)*AE254*Ramure*Pc/MaxiM</f>
        <v>4.1660624659553468E-6</v>
      </c>
      <c r="AE254" s="305">
        <f t="shared" si="89"/>
        <v>0.5</v>
      </c>
      <c r="AF254" s="177">
        <f t="shared" si="90"/>
        <v>0.97879748943272049</v>
      </c>
      <c r="AG254" s="176">
        <f t="shared" si="91"/>
        <v>-2</v>
      </c>
      <c r="AH254" s="176">
        <f t="shared" si="92"/>
        <v>4</v>
      </c>
      <c r="AI254" s="225">
        <f t="shared" si="93"/>
        <v>-1.0212025105672795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7">
        <v>49.3</v>
      </c>
      <c r="C255" s="390"/>
      <c r="D255" s="393">
        <f t="shared" si="75"/>
        <v>49.78504488734027</v>
      </c>
      <c r="E255" s="385">
        <f t="shared" si="97"/>
        <v>51.040657367443508</v>
      </c>
      <c r="F255" s="385">
        <f t="shared" si="76"/>
        <v>51.040823369252443</v>
      </c>
      <c r="G255" s="110">
        <f t="shared" si="98"/>
        <v>0.94555421664408557</v>
      </c>
      <c r="H255" s="414" t="b">
        <f>Wh_hp&gt;='2018'!Maxi_hp</f>
        <v>1</v>
      </c>
      <c r="I255" s="390">
        <f>IF(H255,Wh_hp,'2018'!Maxi_hp)</f>
        <v>51.040823369252443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9.7427829670112542E-3</v>
      </c>
      <c r="M255" s="845"/>
      <c r="N255" s="845"/>
      <c r="O255" s="48">
        <f>IF(t&lt;Tnet,'2018'!Resal+('2018'!Salim-'2018'!Resal)*(1-EXP(('2018'!Tnet-t)/('2018'!Tau_j))),Resal+(Salim-Resal)*(1-EXP((Tnet-t)/(Tau_j))))*Salcycl</f>
        <v>2.460024115802506E-2</v>
      </c>
      <c r="P255" s="169">
        <f>(INDEX(Models!$BJ255:$BT255,,T255)*(1-R255)+INDEX(Models!$BJ255:$BT255,,T255+1)*R255-ERP_i)*Q255*Ramure*Pc/MaxiM</f>
        <v>3.5266332050613772E-6</v>
      </c>
      <c r="Q255" s="305">
        <f t="shared" si="78"/>
        <v>0.5</v>
      </c>
      <c r="R255" s="177">
        <f t="shared" si="79"/>
        <v>0.97952552913501512</v>
      </c>
      <c r="S255" s="811">
        <f t="shared" si="80"/>
        <v>-2</v>
      </c>
      <c r="T255" s="176">
        <f t="shared" si="81"/>
        <v>4</v>
      </c>
      <c r="U255" s="251">
        <f t="shared" si="82"/>
        <v>-1.0204744708649849</v>
      </c>
      <c r="V255" s="383">
        <f t="shared" si="83"/>
        <v>52.138719926586411</v>
      </c>
      <c r="W255" s="58"/>
      <c r="X255" s="157">
        <f t="shared" si="84"/>
        <v>43706</v>
      </c>
      <c r="Y255" s="385">
        <f t="shared" si="85"/>
        <v>49.3</v>
      </c>
      <c r="Z255" s="385">
        <f t="shared" si="86"/>
        <v>49.78504488734027</v>
      </c>
      <c r="AA255" s="386">
        <f t="shared" si="87"/>
        <v>51.040657367443508</v>
      </c>
      <c r="AB255" s="197">
        <f t="shared" si="88"/>
        <v>43706</v>
      </c>
      <c r="AC255" s="426">
        <f>IF(OR(t&lt;Tnet,NoTnet),'2018'!Resal_s+('2018'!Salim-'2018'!Resal_s)*(1-EXP(('2018'!Tnet_s-t)/'2018'!Tau_j)),Resal_s+(Salim-Resal_s)*(1-EXP((Tnet_s-t)/Tau_j)))*Salcycl</f>
        <v>2.460024115802506E-2</v>
      </c>
      <c r="AD255" s="231">
        <f>(INDEX(Models!$BJ255:$BT255,,AH255)*(1-AF255)+INDEX(Models!$BJ255:$BT255,,AH255+1)*AF255-ERP_i)*AE255*Ramure*Pc/MaxiM</f>
        <v>3.5266332050613772E-6</v>
      </c>
      <c r="AE255" s="305">
        <f t="shared" si="89"/>
        <v>0.5</v>
      </c>
      <c r="AF255" s="177">
        <f t="shared" si="90"/>
        <v>0.97952552913501512</v>
      </c>
      <c r="AG255" s="176">
        <f t="shared" si="91"/>
        <v>-2</v>
      </c>
      <c r="AH255" s="176">
        <f t="shared" si="92"/>
        <v>4</v>
      </c>
      <c r="AI255" s="225">
        <f t="shared" si="93"/>
        <v>-1.0204744708649849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7">
        <v>48.89</v>
      </c>
      <c r="C256" s="390"/>
      <c r="D256" s="393">
        <f t="shared" si="75"/>
        <v>49.372092421012162</v>
      </c>
      <c r="E256" s="385">
        <f t="shared" si="97"/>
        <v>50.619479807103062</v>
      </c>
      <c r="F256" s="385">
        <f t="shared" si="76"/>
        <v>50.619616686697206</v>
      </c>
      <c r="G256" s="110">
        <f t="shared" si="98"/>
        <v>0.94115300034484028</v>
      </c>
      <c r="H256" s="414" t="b">
        <f>Wh_hp&gt;='2018'!Maxi_hp</f>
        <v>1</v>
      </c>
      <c r="I256" s="390">
        <f>IF(H256,Wh_hp,'2018'!Maxi_hp)</f>
        <v>50.619616686697206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9.7644721414924529E-3</v>
      </c>
      <c r="M256" s="845"/>
      <c r="N256" s="845"/>
      <c r="O256" s="48">
        <f>IF(t&lt;Tnet,'2018'!Resal+('2018'!Salim-'2018'!Resal)*(1-EXP(('2018'!Tnet-t)/('2018'!Tau_j))),Resal+(Salim-Resal)*(1-EXP((Tnet-t)/(Tau_j))))*Salcycl</f>
        <v>2.4642437868669344E-2</v>
      </c>
      <c r="P256" s="169">
        <f>(INDEX(Models!$BJ256:$BT256,,T256)*(1-R256)+INDEX(Models!$BJ256:$BT256,,T256+1)*R256-ERP_i)*Q256*Ramure*Pc/MaxiM</f>
        <v>2.9522699056254903E-6</v>
      </c>
      <c r="Q256" s="305">
        <f t="shared" si="78"/>
        <v>0.5</v>
      </c>
      <c r="R256" s="177">
        <f t="shared" si="79"/>
        <v>0.98022632669618992</v>
      </c>
      <c r="S256" s="811">
        <f t="shared" si="80"/>
        <v>-2</v>
      </c>
      <c r="T256" s="176">
        <f t="shared" si="81"/>
        <v>4</v>
      </c>
      <c r="U256" s="251">
        <f t="shared" si="82"/>
        <v>-1.0197736733038101</v>
      </c>
      <c r="V256" s="383">
        <f t="shared" si="83"/>
        <v>51.946907514662243</v>
      </c>
      <c r="W256" s="58"/>
      <c r="X256" s="157">
        <f t="shared" si="84"/>
        <v>43707</v>
      </c>
      <c r="Y256" s="385">
        <f t="shared" si="85"/>
        <v>48.89</v>
      </c>
      <c r="Z256" s="385">
        <f t="shared" si="86"/>
        <v>49.372092421012162</v>
      </c>
      <c r="AA256" s="386">
        <f t="shared" si="87"/>
        <v>50.619479807103062</v>
      </c>
      <c r="AB256" s="197">
        <f t="shared" si="88"/>
        <v>43707</v>
      </c>
      <c r="AC256" s="426">
        <f>IF(OR(t&lt;Tnet,NoTnet),'2018'!Resal_s+('2018'!Salim-'2018'!Resal_s)*(1-EXP(('2018'!Tnet_s-t)/'2018'!Tau_j)),Resal_s+(Salim-Resal_s)*(1-EXP((Tnet_s-t)/Tau_j)))*Salcycl</f>
        <v>2.4642437868669344E-2</v>
      </c>
      <c r="AD256" s="231">
        <f>(INDEX(Models!$BJ256:$BT256,,AH256)*(1-AF256)+INDEX(Models!$BJ256:$BT256,,AH256+1)*AF256-ERP_i)*AE256*Ramure*Pc/MaxiM</f>
        <v>2.9522699056254903E-6</v>
      </c>
      <c r="AE256" s="305">
        <f t="shared" si="89"/>
        <v>0.5</v>
      </c>
      <c r="AF256" s="177">
        <f t="shared" si="90"/>
        <v>0.98022632669618992</v>
      </c>
      <c r="AG256" s="176">
        <f t="shared" si="91"/>
        <v>-2</v>
      </c>
      <c r="AH256" s="176">
        <f t="shared" si="92"/>
        <v>4</v>
      </c>
      <c r="AI256" s="225">
        <f t="shared" si="93"/>
        <v>-1.0197736733038101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7">
        <v>46.273000000000003</v>
      </c>
      <c r="C257" s="390"/>
      <c r="D257" s="393">
        <f t="shared" si="75"/>
        <v>46.730310333065724</v>
      </c>
      <c r="E257" s="385">
        <f t="shared" si="97"/>
        <v>47.913018002458344</v>
      </c>
      <c r="F257" s="385">
        <f t="shared" si="76"/>
        <v>47.913117386310404</v>
      </c>
      <c r="G257" s="110">
        <f t="shared" si="98"/>
        <v>0.89418525643441915</v>
      </c>
      <c r="H257" s="414" t="b">
        <f>Wh_hp&gt;='2018'!Maxi_hp</f>
        <v>1</v>
      </c>
      <c r="I257" s="390">
        <f>IF(H257,Wh_hp,'2018'!Maxi_hp)</f>
        <v>47.913117386310404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9.7861608409249845E-3</v>
      </c>
      <c r="M257" s="845"/>
      <c r="N257" s="845"/>
      <c r="O257" s="48">
        <f>IF(t&lt;Tnet,'2018'!Resal+('2018'!Salim-'2018'!Resal)*(1-EXP(('2018'!Tnet-t)/('2018'!Tau_j))),Resal+(Salim-Resal)*(1-EXP((Tnet-t)/(Tau_j))))*Salcycl</f>
        <v>2.4684474464370783E-2</v>
      </c>
      <c r="P257" s="169">
        <f>(INDEX(Models!$BJ257:$BT257,,T257)*(1-R257)+INDEX(Models!$BJ257:$BT257,,T257+1)*R257-ERP_i)*Q257*Ramure*Pc/MaxiM</f>
        <v>2.4436405570911274E-6</v>
      </c>
      <c r="Q257" s="305">
        <f t="shared" si="78"/>
        <v>0.5</v>
      </c>
      <c r="R257" s="177">
        <f t="shared" si="79"/>
        <v>0.98090082388589006</v>
      </c>
      <c r="S257" s="811">
        <f t="shared" si="80"/>
        <v>-2</v>
      </c>
      <c r="T257" s="176">
        <f t="shared" si="81"/>
        <v>4</v>
      </c>
      <c r="U257" s="251">
        <f t="shared" si="82"/>
        <v>-1.0190991761141099</v>
      </c>
      <c r="V257" s="383">
        <f t="shared" si="83"/>
        <v>51.748765229853696</v>
      </c>
      <c r="W257" s="58"/>
      <c r="X257" s="157">
        <f t="shared" si="84"/>
        <v>43708</v>
      </c>
      <c r="Y257" s="385">
        <f t="shared" si="85"/>
        <v>46.273000000000003</v>
      </c>
      <c r="Z257" s="385">
        <f t="shared" si="86"/>
        <v>46.730310333065724</v>
      </c>
      <c r="AA257" s="386">
        <f t="shared" si="87"/>
        <v>47.913018002458344</v>
      </c>
      <c r="AB257" s="197">
        <f t="shared" si="88"/>
        <v>43708</v>
      </c>
      <c r="AC257" s="426">
        <f>IF(OR(t&lt;Tnet,NoTnet),'2018'!Resal_s+('2018'!Salim-'2018'!Resal_s)*(1-EXP(('2018'!Tnet_s-t)/'2018'!Tau_j)),Resal_s+(Salim-Resal_s)*(1-EXP((Tnet_s-t)/Tau_j)))*Salcycl</f>
        <v>2.4684474464370783E-2</v>
      </c>
      <c r="AD257" s="231">
        <f>(INDEX(Models!$BJ257:$BT257,,AH257)*(1-AF257)+INDEX(Models!$BJ257:$BT257,,AH257+1)*AF257-ERP_i)*AE257*Ramure*Pc/MaxiM</f>
        <v>2.4436405570911274E-6</v>
      </c>
      <c r="AE257" s="305">
        <f t="shared" si="89"/>
        <v>0.5</v>
      </c>
      <c r="AF257" s="177">
        <f t="shared" si="90"/>
        <v>0.98090082388589006</v>
      </c>
      <c r="AG257" s="176">
        <f t="shared" si="91"/>
        <v>-2</v>
      </c>
      <c r="AH257" s="176">
        <f t="shared" si="92"/>
        <v>4</v>
      </c>
      <c r="AI257" s="225">
        <f t="shared" si="93"/>
        <v>-1.0190991761141099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7">
        <v>17.157</v>
      </c>
      <c r="C258" s="390"/>
      <c r="D258" s="393">
        <f t="shared" si="75"/>
        <v>17.326940012405515</v>
      </c>
      <c r="E258" s="385">
        <f t="shared" si="97"/>
        <v>17.766234064701418</v>
      </c>
      <c r="F258" s="385">
        <f t="shared" si="76"/>
        <v>17.766235734114236</v>
      </c>
      <c r="G258" s="110">
        <f t="shared" si="98"/>
        <v>0.33286406462641832</v>
      </c>
      <c r="H258" s="414" t="b">
        <f>Wh_hp&gt;='2018'!Maxi_hp</f>
        <v>0</v>
      </c>
      <c r="I258" s="390">
        <f>IF(H258,Wh_hp,'2018'!Maxi_hp)</f>
        <v>53.475031417285187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9.8078490653193962E-3</v>
      </c>
      <c r="M258" s="845"/>
      <c r="N258" s="845"/>
      <c r="O258" s="48">
        <f>IF(t&lt;Tnet,'2018'!Resal+('2018'!Salim-'2018'!Resal)*(1-EXP(('2018'!Tnet-t)/('2018'!Tau_j))),Resal+(Salim-Resal)*(1-EXP((Tnet-t)/(Tau_j))))*Salcycl</f>
        <v>2.4726346095411831E-2</v>
      </c>
      <c r="P258" s="169">
        <f>(INDEX(Models!$BJ258:$BT258,,T258)*(1-R258)+INDEX(Models!$BJ258:$BT258,,T258+1)*R258-ERP_i)*Q258*Ramure*Pc/MaxiM</f>
        <v>2.0014129089136718E-6</v>
      </c>
      <c r="Q258" s="305">
        <f t="shared" si="78"/>
        <v>0.5</v>
      </c>
      <c r="R258" s="177">
        <f t="shared" si="79"/>
        <v>0.98154993586851158</v>
      </c>
      <c r="S258" s="811">
        <f t="shared" si="80"/>
        <v>-2</v>
      </c>
      <c r="T258" s="176">
        <f t="shared" si="81"/>
        <v>4</v>
      </c>
      <c r="U258" s="251">
        <f t="shared" si="82"/>
        <v>-1.0184500641314884</v>
      </c>
      <c r="V258" s="383">
        <f t="shared" si="83"/>
        <v>51.543465027313871</v>
      </c>
      <c r="W258" s="58"/>
      <c r="X258" s="157">
        <f t="shared" si="84"/>
        <v>43709</v>
      </c>
      <c r="Y258" s="385">
        <f t="shared" si="85"/>
        <v>17.157</v>
      </c>
      <c r="Z258" s="385">
        <f t="shared" si="86"/>
        <v>17.326940012405515</v>
      </c>
      <c r="AA258" s="386">
        <f t="shared" si="87"/>
        <v>17.766234064701418</v>
      </c>
      <c r="AB258" s="197">
        <f t="shared" si="88"/>
        <v>43709</v>
      </c>
      <c r="AC258" s="426">
        <f>IF(OR(t&lt;Tnet,NoTnet),'2018'!Resal_s+('2018'!Salim-'2018'!Resal_s)*(1-EXP(('2018'!Tnet_s-t)/'2018'!Tau_j)),Resal_s+(Salim-Resal_s)*(1-EXP((Tnet_s-t)/Tau_j)))*Salcycl</f>
        <v>2.4726346095411831E-2</v>
      </c>
      <c r="AD258" s="231">
        <f>(INDEX(Models!$BJ258:$BT258,,AH258)*(1-AF258)+INDEX(Models!$BJ258:$BT258,,AH258+1)*AF258-ERP_i)*AE258*Ramure*Pc/MaxiM</f>
        <v>2.0014129089136718E-6</v>
      </c>
      <c r="AE258" s="305">
        <f t="shared" si="89"/>
        <v>0.5</v>
      </c>
      <c r="AF258" s="177">
        <f t="shared" si="90"/>
        <v>0.98154993586851158</v>
      </c>
      <c r="AG258" s="176">
        <f t="shared" si="91"/>
        <v>-2</v>
      </c>
      <c r="AH258" s="176">
        <f t="shared" si="92"/>
        <v>4</v>
      </c>
      <c r="AI258" s="225">
        <f t="shared" si="93"/>
        <v>-1.0184500641314884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7">
        <v>49.661000000000001</v>
      </c>
      <c r="C259" s="390"/>
      <c r="D259" s="393">
        <f t="shared" si="75"/>
        <v>50.153990495983685</v>
      </c>
      <c r="E259" s="385">
        <f t="shared" si="97"/>
        <v>51.427755600808865</v>
      </c>
      <c r="F259" s="385">
        <f t="shared" si="76"/>
        <v>51.427835350869806</v>
      </c>
      <c r="G259" s="110">
        <f t="shared" si="98"/>
        <v>0.96748145318133938</v>
      </c>
      <c r="H259" s="414" t="b">
        <f>Wh_hp&gt;='2018'!Maxi_hp</f>
        <v>1</v>
      </c>
      <c r="I259" s="390">
        <f>IF(H259,Wh_hp,'2018'!Maxi_hp)</f>
        <v>51.427835350869806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9.8295368146860129E-3</v>
      </c>
      <c r="M259" s="845"/>
      <c r="N259" s="845"/>
      <c r="O259" s="48">
        <f>IF(t&lt;Tnet,'2018'!Resal+('2018'!Salim-'2018'!Resal)*(1-EXP(('2018'!Tnet-t)/('2018'!Tau_j))),Resal+(Salim-Resal)*(1-EXP((Tnet-t)/(Tau_j))))*Salcycl</f>
        <v>2.4768047719452672E-2</v>
      </c>
      <c r="P259" s="169">
        <f>(INDEX(Models!$BJ259:$BT259,,T259)*(1-R259)+INDEX(Models!$BJ259:$BT259,,T259+1)*R259-ERP_i)*Q259*Ramure*Pc/MaxiM</f>
        <v>1.6262659477834047E-6</v>
      </c>
      <c r="Q259" s="305">
        <f t="shared" si="78"/>
        <v>0.5</v>
      </c>
      <c r="R259" s="177">
        <f t="shared" si="79"/>
        <v>0.98217455148271826</v>
      </c>
      <c r="S259" s="811">
        <f t="shared" si="80"/>
        <v>-2</v>
      </c>
      <c r="T259" s="176">
        <f t="shared" si="81"/>
        <v>4</v>
      </c>
      <c r="U259" s="251">
        <f t="shared" si="82"/>
        <v>-1.0178254485172817</v>
      </c>
      <c r="V259" s="383">
        <f t="shared" si="83"/>
        <v>51.330179079816048</v>
      </c>
      <c r="W259" s="58"/>
      <c r="X259" s="157">
        <f t="shared" si="84"/>
        <v>43710</v>
      </c>
      <c r="Y259" s="385">
        <f t="shared" si="85"/>
        <v>49.661000000000001</v>
      </c>
      <c r="Z259" s="385">
        <f t="shared" si="86"/>
        <v>50.153990495983685</v>
      </c>
      <c r="AA259" s="386">
        <f t="shared" si="87"/>
        <v>51.427755600808865</v>
      </c>
      <c r="AB259" s="197">
        <f t="shared" si="88"/>
        <v>43710</v>
      </c>
      <c r="AC259" s="426">
        <f>IF(OR(t&lt;Tnet,NoTnet),'2018'!Resal_s+('2018'!Salim-'2018'!Resal_s)*(1-EXP(('2018'!Tnet_s-t)/'2018'!Tau_j)),Resal_s+(Salim-Resal_s)*(1-EXP((Tnet_s-t)/Tau_j)))*Salcycl</f>
        <v>2.4768047719452672E-2</v>
      </c>
      <c r="AD259" s="231">
        <f>(INDEX(Models!$BJ259:$BT259,,AH259)*(1-AF259)+INDEX(Models!$BJ259:$BT259,,AH259+1)*AF259-ERP_i)*AE259*Ramure*Pc/MaxiM</f>
        <v>1.6262659477834047E-6</v>
      </c>
      <c r="AE259" s="305">
        <f t="shared" si="89"/>
        <v>0.5</v>
      </c>
      <c r="AF259" s="177">
        <f t="shared" si="90"/>
        <v>0.98217455148271826</v>
      </c>
      <c r="AG259" s="176">
        <f t="shared" si="91"/>
        <v>-2</v>
      </c>
      <c r="AH259" s="176">
        <f t="shared" si="92"/>
        <v>4</v>
      </c>
      <c r="AI259" s="225">
        <f t="shared" si="93"/>
        <v>-1.0178254485172817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7">
        <v>51.9</v>
      </c>
      <c r="C260" s="390"/>
      <c r="D260" s="393">
        <f t="shared" si="75"/>
        <v>52.416365361104987</v>
      </c>
      <c r="E260" s="385">
        <f t="shared" si="97"/>
        <v>53.749876914680051</v>
      </c>
      <c r="F260" s="385">
        <f t="shared" si="76"/>
        <v>53.749947805583197</v>
      </c>
      <c r="G260" s="110">
        <f t="shared" si="98"/>
        <v>1.015495010462617</v>
      </c>
      <c r="H260" s="414" t="b">
        <f>Wh_hp&gt;='2018'!Maxi_hp</f>
        <v>1</v>
      </c>
      <c r="I260" s="390">
        <f>IF(H260,Wh_hp,'2018'!Maxi_hp)</f>
        <v>53.749947805583197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9.8512240890352709E-3</v>
      </c>
      <c r="M260" s="845"/>
      <c r="N260" s="845"/>
      <c r="O260" s="48">
        <f>IF(t&lt;Tnet,'2018'!Resal+('2018'!Salim-'2018'!Resal)*(1-EXP(('2018'!Tnet-t)/('2018'!Tau_j))),Resal+(Salim-Resal)*(1-EXP((Tnet-t)/(Tau_j))))*Salcycl</f>
        <v>2.4809574088733532E-2</v>
      </c>
      <c r="P260" s="169">
        <f>(INDEX(Models!$BJ260:$BT260,,T260)*(1-R260)+INDEX(Models!$BJ260:$BT260,,T260+1)*R260-ERP_i)*Q260*Ramure*Pc/MaxiM</f>
        <v>1.3189018043123199E-6</v>
      </c>
      <c r="Q260" s="305">
        <f t="shared" si="78"/>
        <v>0.5</v>
      </c>
      <c r="R260" s="177">
        <f t="shared" si="79"/>
        <v>0.98277553356134373</v>
      </c>
      <c r="S260" s="811">
        <f t="shared" si="80"/>
        <v>-2</v>
      </c>
      <c r="T260" s="176">
        <f t="shared" si="81"/>
        <v>4</v>
      </c>
      <c r="U260" s="251">
        <f t="shared" si="82"/>
        <v>-1.0172244664386563</v>
      </c>
      <c r="V260" s="383">
        <f t="shared" si="83"/>
        <v>51.108079769251191</v>
      </c>
      <c r="W260" s="58"/>
      <c r="X260" s="157">
        <f t="shared" si="84"/>
        <v>43711</v>
      </c>
      <c r="Y260" s="385">
        <f t="shared" si="85"/>
        <v>51.9</v>
      </c>
      <c r="Z260" s="385">
        <f t="shared" si="86"/>
        <v>52.416365361104987</v>
      </c>
      <c r="AA260" s="386">
        <f t="shared" si="87"/>
        <v>53.749876914680051</v>
      </c>
      <c r="AB260" s="197">
        <f t="shared" si="88"/>
        <v>43711</v>
      </c>
      <c r="AC260" s="426">
        <f>IF(OR(t&lt;Tnet,NoTnet),'2018'!Resal_s+('2018'!Salim-'2018'!Resal_s)*(1-EXP(('2018'!Tnet_s-t)/'2018'!Tau_j)),Resal_s+(Salim-Resal_s)*(1-EXP((Tnet_s-t)/Tau_j)))*Salcycl</f>
        <v>2.4809574088733532E-2</v>
      </c>
      <c r="AD260" s="231">
        <f>(INDEX(Models!$BJ260:$BT260,,AH260)*(1-AF260)+INDEX(Models!$BJ260:$BT260,,AH260+1)*AF260-ERP_i)*AE260*Ramure*Pc/MaxiM</f>
        <v>1.3189018043123199E-6</v>
      </c>
      <c r="AE260" s="305">
        <f t="shared" si="89"/>
        <v>0.5</v>
      </c>
      <c r="AF260" s="177">
        <f t="shared" si="90"/>
        <v>0.98277553356134373</v>
      </c>
      <c r="AG260" s="176">
        <f t="shared" si="91"/>
        <v>-2</v>
      </c>
      <c r="AH260" s="176">
        <f t="shared" si="92"/>
        <v>4</v>
      </c>
      <c r="AI260" s="225">
        <f t="shared" si="93"/>
        <v>-1.0172244664386563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7">
        <v>51.445999999999998</v>
      </c>
      <c r="C261" s="390"/>
      <c r="D261" s="393">
        <f t="shared" si="75"/>
        <v>51.958986443002182</v>
      </c>
      <c r="E261" s="385">
        <f t="shared" si="97"/>
        <v>53.28312100646292</v>
      </c>
      <c r="F261" s="385">
        <f t="shared" si="76"/>
        <v>53.283178554064911</v>
      </c>
      <c r="G261" s="110">
        <f t="shared" si="98"/>
        <v>1.0111736097050568</v>
      </c>
      <c r="H261" s="414" t="b">
        <f>Wh_hp&gt;='2018'!Maxi_hp</f>
        <v>1</v>
      </c>
      <c r="I261" s="390">
        <f>IF(H261,Wh_hp,'2018'!Maxi_hp)</f>
        <v>53.283178554064911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9.8729108883776062E-3</v>
      </c>
      <c r="M261" s="845"/>
      <c r="N261" s="845"/>
      <c r="O261" s="48">
        <f>IF(t&lt;Tnet,'2018'!Resal+('2018'!Salim-'2018'!Resal)*(1-EXP(('2018'!Tnet-t)/('2018'!Tau_j))),Resal+(Salim-Resal)*(1-EXP((Tnet-t)/(Tau_j))))*Salcycl</f>
        <v>2.4850919736854979E-2</v>
      </c>
      <c r="P261" s="169">
        <f>(INDEX(Models!$BJ261:$BT261,,T261)*(1-R261)+INDEX(Models!$BJ261:$BT261,,T261+1)*R261-ERP_i)*Q261*Ramure*Pc/MaxiM</f>
        <v>1.0800332027575147E-6</v>
      </c>
      <c r="Q261" s="305">
        <f t="shared" si="78"/>
        <v>0.5</v>
      </c>
      <c r="R261" s="177">
        <f t="shared" si="79"/>
        <v>0.9833537192871078</v>
      </c>
      <c r="S261" s="811">
        <f t="shared" si="80"/>
        <v>-2</v>
      </c>
      <c r="T261" s="176">
        <f t="shared" si="81"/>
        <v>4</v>
      </c>
      <c r="U261" s="251">
        <f t="shared" si="82"/>
        <v>-1.0166462807128922</v>
      </c>
      <c r="V261" s="383">
        <f t="shared" si="83"/>
        <v>50.877514510100774</v>
      </c>
      <c r="W261" s="58"/>
      <c r="X261" s="157">
        <f t="shared" si="84"/>
        <v>43712</v>
      </c>
      <c r="Y261" s="385">
        <f t="shared" si="85"/>
        <v>51.445999999999998</v>
      </c>
      <c r="Z261" s="385">
        <f t="shared" si="86"/>
        <v>51.958986443002182</v>
      </c>
      <c r="AA261" s="386">
        <f t="shared" si="87"/>
        <v>53.28312100646292</v>
      </c>
      <c r="AB261" s="197">
        <f t="shared" si="88"/>
        <v>43712</v>
      </c>
      <c r="AC261" s="426">
        <f>IF(OR(t&lt;Tnet,NoTnet),'2018'!Resal_s+('2018'!Salim-'2018'!Resal_s)*(1-EXP(('2018'!Tnet_s-t)/'2018'!Tau_j)),Resal_s+(Salim-Resal_s)*(1-EXP((Tnet_s-t)/Tau_j)))*Salcycl</f>
        <v>2.4850919736854979E-2</v>
      </c>
      <c r="AD261" s="231">
        <f>(INDEX(Models!$BJ261:$BT261,,AH261)*(1-AF261)+INDEX(Models!$BJ261:$BT261,,AH261+1)*AF261-ERP_i)*AE261*Ramure*Pc/MaxiM</f>
        <v>1.0800332027575147E-6</v>
      </c>
      <c r="AE261" s="305">
        <f t="shared" si="89"/>
        <v>0.5</v>
      </c>
      <c r="AF261" s="177">
        <f t="shared" si="90"/>
        <v>0.9833537192871078</v>
      </c>
      <c r="AG261" s="176">
        <f t="shared" si="91"/>
        <v>-2</v>
      </c>
      <c r="AH261" s="176">
        <f t="shared" si="92"/>
        <v>4</v>
      </c>
      <c r="AI261" s="225">
        <f t="shared" si="93"/>
        <v>-1.0166462807128922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7">
        <v>38.332999999999998</v>
      </c>
      <c r="C262" s="390"/>
      <c r="D262" s="393">
        <f t="shared" si="75"/>
        <v>38.716080017428013</v>
      </c>
      <c r="E262" s="385">
        <f t="shared" si="97"/>
        <v>39.704405207122598</v>
      </c>
      <c r="F262" s="385">
        <f t="shared" si="76"/>
        <v>39.704429035063079</v>
      </c>
      <c r="G262" s="110">
        <f t="shared" si="98"/>
        <v>0.75697562394109408</v>
      </c>
      <c r="H262" s="414" t="b">
        <f>Wh_hp&gt;='2018'!Maxi_hp</f>
        <v>0</v>
      </c>
      <c r="I262" s="390">
        <f>IF(H262,Wh_hp,'2018'!Maxi_hp)</f>
        <v>43.306810025682772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9.8945972127233439E-3</v>
      </c>
      <c r="M262" s="845"/>
      <c r="N262" s="845"/>
      <c r="O262" s="48">
        <f>IF(t&lt;Tnet,'2018'!Resal+('2018'!Salim-'2018'!Resal)*(1-EXP(('2018'!Tnet-t)/('2018'!Tau_j))),Resal+(Salim-Resal)*(1-EXP((Tnet-t)/(Tau_j))))*Salcycl</f>
        <v>2.4892078965517046E-2</v>
      </c>
      <c r="P262" s="169">
        <f>(INDEX(Models!$BJ262:$BT262,,T262)*(1-R262)+INDEX(Models!$BJ262:$BT262,,T262+1)*R262-ERP_i)*Q262*Ramure*Pc/MaxiM</f>
        <v>9.1928955889131134E-7</v>
      </c>
      <c r="Q262" s="305">
        <f t="shared" si="78"/>
        <v>0.5</v>
      </c>
      <c r="R262" s="177">
        <f t="shared" si="79"/>
        <v>0.9839099205798798</v>
      </c>
      <c r="S262" s="811">
        <f t="shared" si="80"/>
        <v>-2</v>
      </c>
      <c r="T262" s="176">
        <f t="shared" si="81"/>
        <v>4</v>
      </c>
      <c r="U262" s="251">
        <f t="shared" si="82"/>
        <v>-1.0160900794201202</v>
      </c>
      <c r="V262" s="383">
        <f t="shared" si="83"/>
        <v>50.639659393774018</v>
      </c>
      <c r="W262" s="58"/>
      <c r="X262" s="157">
        <f t="shared" si="84"/>
        <v>43713</v>
      </c>
      <c r="Y262" s="385">
        <f t="shared" si="85"/>
        <v>38.332999999999998</v>
      </c>
      <c r="Z262" s="385">
        <f t="shared" si="86"/>
        <v>38.716080017428013</v>
      </c>
      <c r="AA262" s="386">
        <f t="shared" si="87"/>
        <v>39.704405207122598</v>
      </c>
      <c r="AB262" s="197">
        <f t="shared" si="88"/>
        <v>43713</v>
      </c>
      <c r="AC262" s="426">
        <f>IF(OR(t&lt;Tnet,NoTnet),'2018'!Resal_s+('2018'!Salim-'2018'!Resal_s)*(1-EXP(('2018'!Tnet_s-t)/'2018'!Tau_j)),Resal_s+(Salim-Resal_s)*(1-EXP((Tnet_s-t)/Tau_j)))*Salcycl</f>
        <v>2.4892078965517046E-2</v>
      </c>
      <c r="AD262" s="231">
        <f>(INDEX(Models!$BJ262:$BT262,,AH262)*(1-AF262)+INDEX(Models!$BJ262:$BT262,,AH262+1)*AF262-ERP_i)*AE262*Ramure*Pc/MaxiM</f>
        <v>9.1928955889131134E-7</v>
      </c>
      <c r="AE262" s="305">
        <f t="shared" si="89"/>
        <v>0.5</v>
      </c>
      <c r="AF262" s="177">
        <f t="shared" si="90"/>
        <v>0.9839099205798798</v>
      </c>
      <c r="AG262" s="176">
        <f t="shared" si="91"/>
        <v>-2</v>
      </c>
      <c r="AH262" s="176">
        <f t="shared" si="92"/>
        <v>4</v>
      </c>
      <c r="AI262" s="225">
        <f t="shared" si="93"/>
        <v>-1.0160900794201202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7">
        <v>52.781999999999996</v>
      </c>
      <c r="C263" s="390"/>
      <c r="D263" s="393">
        <f t="shared" si="75"/>
        <v>53.310643430478393</v>
      </c>
      <c r="E263" s="385">
        <f t="shared" si="97"/>
        <v>54.673828502316447</v>
      </c>
      <c r="F263" s="385">
        <f t="shared" si="76"/>
        <v>54.673871330579189</v>
      </c>
      <c r="G263" s="110">
        <f t="shared" si="98"/>
        <v>1.0473671957278603</v>
      </c>
      <c r="H263" s="414" t="b">
        <f>Wh_hp&gt;='2018'!Maxi_hp</f>
        <v>1</v>
      </c>
      <c r="I263" s="390">
        <f>IF(H263,Wh_hp,'2018'!Maxi_hp)</f>
        <v>54.673871330579189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9.9162830620829201E-3</v>
      </c>
      <c r="M263" s="845"/>
      <c r="N263" s="845"/>
      <c r="O263" s="48">
        <f>IF(t&lt;Tnet,'2018'!Resal+('2018'!Salim-'2018'!Resal)*(1-EXP(('2018'!Tnet-t)/('2018'!Tau_j))),Resal+(Salim-Resal)*(1-EXP((Tnet-t)/(Tau_j))))*Salcycl</f>
        <v>2.4933045831613931E-2</v>
      </c>
      <c r="P263" s="169">
        <f>(INDEX(Models!$BJ263:$BT263,,T263)*(1-R263)+INDEX(Models!$BJ263:$BT263,,T263+1)*R263-ERP_i)*Q263*Ramure*Pc/MaxiM</f>
        <v>7.8334059215834662E-7</v>
      </c>
      <c r="Q263" s="305">
        <f t="shared" si="78"/>
        <v>0.5</v>
      </c>
      <c r="R263" s="177">
        <f t="shared" si="79"/>
        <v>0.98444492451151144</v>
      </c>
      <c r="S263" s="811">
        <f t="shared" si="80"/>
        <v>-2</v>
      </c>
      <c r="T263" s="176">
        <f t="shared" si="81"/>
        <v>4</v>
      </c>
      <c r="U263" s="251">
        <f t="shared" si="82"/>
        <v>-1.0155550754884886</v>
      </c>
      <c r="V263" s="383">
        <f t="shared" si="83"/>
        <v>50.394933329298638</v>
      </c>
      <c r="W263" s="58"/>
      <c r="X263" s="157">
        <f t="shared" si="84"/>
        <v>43714</v>
      </c>
      <c r="Y263" s="385">
        <f t="shared" si="85"/>
        <v>52.781999999999996</v>
      </c>
      <c r="Z263" s="385">
        <f t="shared" si="86"/>
        <v>53.310643430478393</v>
      </c>
      <c r="AA263" s="386">
        <f t="shared" si="87"/>
        <v>54.673828502316447</v>
      </c>
      <c r="AB263" s="197">
        <f t="shared" si="88"/>
        <v>43714</v>
      </c>
      <c r="AC263" s="426">
        <f>IF(OR(t&lt;Tnet,NoTnet),'2018'!Resal_s+('2018'!Salim-'2018'!Resal_s)*(1-EXP(('2018'!Tnet_s-t)/'2018'!Tau_j)),Resal_s+(Salim-Resal_s)*(1-EXP((Tnet_s-t)/Tau_j)))*Salcycl</f>
        <v>2.4933045831613931E-2</v>
      </c>
      <c r="AD263" s="231">
        <f>(INDEX(Models!$BJ263:$BT263,,AH263)*(1-AF263)+INDEX(Models!$BJ263:$BT263,,AH263+1)*AF263-ERP_i)*AE263*Ramure*Pc/MaxiM</f>
        <v>7.8334059215834662E-7</v>
      </c>
      <c r="AE263" s="305">
        <f t="shared" si="89"/>
        <v>0.5</v>
      </c>
      <c r="AF263" s="177">
        <f t="shared" si="90"/>
        <v>0.98444492451151144</v>
      </c>
      <c r="AG263" s="176">
        <f t="shared" si="91"/>
        <v>-2</v>
      </c>
      <c r="AH263" s="176">
        <f t="shared" si="92"/>
        <v>4</v>
      </c>
      <c r="AI263" s="225">
        <f t="shared" si="93"/>
        <v>-1.0155550754884886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7">
        <v>48.402000000000001</v>
      </c>
      <c r="C264" s="390"/>
      <c r="D264" s="393">
        <f t="shared" si="75"/>
        <v>48.887845869174711</v>
      </c>
      <c r="E264" s="385">
        <f t="shared" si="97"/>
        <v>50.140033752845497</v>
      </c>
      <c r="F264" s="385">
        <f t="shared" si="76"/>
        <v>50.140065797662274</v>
      </c>
      <c r="G264" s="110">
        <f t="shared" si="98"/>
        <v>0.96526478562610996</v>
      </c>
      <c r="H264" s="414" t="b">
        <f>Wh_hp&gt;='2018'!Maxi_hp</f>
        <v>1</v>
      </c>
      <c r="I264" s="390">
        <f>IF(H264,Wh_hp,'2018'!Maxi_hp)</f>
        <v>50.140065797662274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9.9379684364667709E-3</v>
      </c>
      <c r="M264" s="845"/>
      <c r="N264" s="845"/>
      <c r="O264" s="48">
        <f>IF(t&lt;Tnet,'2018'!Resal+('2018'!Salim-'2018'!Resal)*(1-EXP(('2018'!Tnet-t)/('2018'!Tau_j))),Resal+(Salim-Resal)*(1-EXP((Tnet-t)/(Tau_j))))*Salcycl</f>
        <v>2.4973814135091567E-2</v>
      </c>
      <c r="P264" s="169">
        <f>(INDEX(Models!$BJ264:$BT264,,T264)*(1-R264)+INDEX(Models!$BJ264:$BT264,,T264+1)*R264-ERP_i)*Q264*Ramure*Pc/MaxiM</f>
        <v>6.7247536081043244E-7</v>
      </c>
      <c r="Q264" s="305">
        <f t="shared" si="78"/>
        <v>0.5</v>
      </c>
      <c r="R264" s="177">
        <f t="shared" si="79"/>
        <v>0.98495949374454894</v>
      </c>
      <c r="S264" s="811">
        <f t="shared" si="80"/>
        <v>-2</v>
      </c>
      <c r="T264" s="176">
        <f t="shared" si="81"/>
        <v>4</v>
      </c>
      <c r="U264" s="251">
        <f t="shared" si="82"/>
        <v>-1.0150405062554511</v>
      </c>
      <c r="V264" s="383">
        <f t="shared" si="83"/>
        <v>50.143752373044002</v>
      </c>
      <c r="W264" s="58"/>
      <c r="X264" s="157">
        <f t="shared" si="84"/>
        <v>43715</v>
      </c>
      <c r="Y264" s="385">
        <f t="shared" si="85"/>
        <v>48.402000000000001</v>
      </c>
      <c r="Z264" s="385">
        <f t="shared" si="86"/>
        <v>48.887845869174711</v>
      </c>
      <c r="AA264" s="386">
        <f t="shared" si="87"/>
        <v>50.140033752845497</v>
      </c>
      <c r="AB264" s="197">
        <f t="shared" si="88"/>
        <v>43715</v>
      </c>
      <c r="AC264" s="426">
        <f>IF(OR(t&lt;Tnet,NoTnet),'2018'!Resal_s+('2018'!Salim-'2018'!Resal_s)*(1-EXP(('2018'!Tnet_s-t)/'2018'!Tau_j)),Resal_s+(Salim-Resal_s)*(1-EXP((Tnet_s-t)/Tau_j)))*Salcycl</f>
        <v>2.4973814135091567E-2</v>
      </c>
      <c r="AD264" s="231">
        <f>(INDEX(Models!$BJ264:$BT264,,AH264)*(1-AF264)+INDEX(Models!$BJ264:$BT264,,AH264+1)*AF264-ERP_i)*AE264*Ramure*Pc/MaxiM</f>
        <v>6.7247536081043244E-7</v>
      </c>
      <c r="AE264" s="305">
        <f t="shared" si="89"/>
        <v>0.5</v>
      </c>
      <c r="AF264" s="177">
        <f t="shared" si="90"/>
        <v>0.98495949374454894</v>
      </c>
      <c r="AG264" s="176">
        <f t="shared" si="91"/>
        <v>-2</v>
      </c>
      <c r="AH264" s="176">
        <f t="shared" si="92"/>
        <v>4</v>
      </c>
      <c r="AI264" s="225">
        <f t="shared" si="93"/>
        <v>-1.0150405062554511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7">
        <v>45.802</v>
      </c>
      <c r="C265" s="390"/>
      <c r="D265" s="393">
        <f t="shared" si="75"/>
        <v>46.262761062543824</v>
      </c>
      <c r="E265" s="385">
        <f t="shared" si="97"/>
        <v>47.449685401055824</v>
      </c>
      <c r="F265" s="385">
        <f t="shared" si="76"/>
        <v>47.449709996286849</v>
      </c>
      <c r="G265" s="110">
        <f t="shared" si="98"/>
        <v>0.91812348098638963</v>
      </c>
      <c r="H265" s="414" t="b">
        <f>Wh_hp&gt;='2018'!Maxi_hp</f>
        <v>0</v>
      </c>
      <c r="I265" s="390">
        <f>IF(H265,Wh_hp,'2018'!Maxi_hp)</f>
        <v>49.195092920557293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9.9596533358852213E-3</v>
      </c>
      <c r="M265" s="845"/>
      <c r="N265" s="845"/>
      <c r="O265" s="48">
        <f>IF(t&lt;Tnet,'2018'!Resal+('2018'!Salim-'2018'!Resal)*(1-EXP(('2018'!Tnet-t)/('2018'!Tau_j))),Resal+(Salim-Resal)*(1-EXP((Tnet-t)/(Tau_j))))*Salcycl</f>
        <v>2.5014377407981493E-2</v>
      </c>
      <c r="P265" s="169">
        <f>(INDEX(Models!$BJ265:$BT265,,T265)*(1-R265)+INDEX(Models!$BJ265:$BT265,,T265+1)*R265-ERP_i)*Q265*Ramure*Pc/MaxiM</f>
        <v>5.8700269863121403E-7</v>
      </c>
      <c r="Q265" s="305">
        <f t="shared" si="78"/>
        <v>0.5</v>
      </c>
      <c r="R265" s="177">
        <f t="shared" si="79"/>
        <v>0.98545436699139488</v>
      </c>
      <c r="S265" s="811">
        <f t="shared" si="80"/>
        <v>-2</v>
      </c>
      <c r="T265" s="176">
        <f t="shared" si="81"/>
        <v>4</v>
      </c>
      <c r="U265" s="251">
        <f t="shared" si="82"/>
        <v>-1.0145456330086051</v>
      </c>
      <c r="V265" s="383">
        <f t="shared" si="83"/>
        <v>49.886532480407837</v>
      </c>
      <c r="W265" s="58"/>
      <c r="X265" s="157">
        <f t="shared" si="84"/>
        <v>43716</v>
      </c>
      <c r="Y265" s="385">
        <f t="shared" si="85"/>
        <v>45.802</v>
      </c>
      <c r="Z265" s="385">
        <f t="shared" si="86"/>
        <v>46.262761062543824</v>
      </c>
      <c r="AA265" s="386">
        <f t="shared" si="87"/>
        <v>47.449685401055824</v>
      </c>
      <c r="AB265" s="197">
        <f t="shared" si="88"/>
        <v>43716</v>
      </c>
      <c r="AC265" s="426">
        <f>IF(OR(t&lt;Tnet,NoTnet),'2018'!Resal_s+('2018'!Salim-'2018'!Resal_s)*(1-EXP(('2018'!Tnet_s-t)/'2018'!Tau_j)),Resal_s+(Salim-Resal_s)*(1-EXP((Tnet_s-t)/Tau_j)))*Salcycl</f>
        <v>2.5014377407981493E-2</v>
      </c>
      <c r="AD265" s="231">
        <f>(INDEX(Models!$BJ265:$BT265,,AH265)*(1-AF265)+INDEX(Models!$BJ265:$BT265,,AH265+1)*AF265-ERP_i)*AE265*Ramure*Pc/MaxiM</f>
        <v>5.8700269863121403E-7</v>
      </c>
      <c r="AE265" s="305">
        <f t="shared" si="89"/>
        <v>0.5</v>
      </c>
      <c r="AF265" s="177">
        <f t="shared" si="90"/>
        <v>0.98545436699139488</v>
      </c>
      <c r="AG265" s="176">
        <f t="shared" si="91"/>
        <v>-2</v>
      </c>
      <c r="AH265" s="176">
        <f t="shared" si="92"/>
        <v>4</v>
      </c>
      <c r="AI265" s="225">
        <f t="shared" si="93"/>
        <v>-1.0145456330086051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7">
        <v>40.838000000000001</v>
      </c>
      <c r="C266" s="390"/>
      <c r="D266" s="393">
        <f t="shared" si="75"/>
        <v>41.24972746232379</v>
      </c>
      <c r="E266" s="385">
        <f t="shared" si="97"/>
        <v>42.30978772377204</v>
      </c>
      <c r="F266" s="385">
        <f t="shared" si="76"/>
        <v>42.309804389436295</v>
      </c>
      <c r="G266" s="110">
        <f t="shared" si="98"/>
        <v>0.82295361283907742</v>
      </c>
      <c r="H266" s="414" t="b">
        <f>Wh_hp&gt;='2018'!Maxi_hp</f>
        <v>1</v>
      </c>
      <c r="I266" s="390">
        <f>IF(H266,Wh_hp,'2018'!Maxi_hp)</f>
        <v>42.309804389436295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9.9813377603487075E-3</v>
      </c>
      <c r="M266" s="845"/>
      <c r="N266" s="845"/>
      <c r="O266" s="48">
        <f>IF(t&lt;Tnet,'2018'!Resal+('2018'!Salim-'2018'!Resal)*(1-EXP(('2018'!Tnet-t)/('2018'!Tau_j))),Resal+(Salim-Resal)*(1-EXP((Tnet-t)/(Tau_j))))*Salcycl</f>
        <v>2.5054728905024734E-2</v>
      </c>
      <c r="P266" s="169">
        <f>(INDEX(Models!$BJ266:$BT266,,T266)*(1-R266)+INDEX(Models!$BJ266:$BT266,,T266+1)*R266-ERP_i)*Q266*Ramure*Pc/MaxiM</f>
        <v>5.2724976167007315E-7</v>
      </c>
      <c r="Q266" s="305">
        <f t="shared" si="78"/>
        <v>0.5</v>
      </c>
      <c r="R266" s="177">
        <f t="shared" si="79"/>
        <v>0.98593025949074997</v>
      </c>
      <c r="S266" s="811">
        <f t="shared" si="80"/>
        <v>-2</v>
      </c>
      <c r="T266" s="176">
        <f t="shared" si="81"/>
        <v>4</v>
      </c>
      <c r="U266" s="251">
        <f t="shared" si="82"/>
        <v>-1.01406974050925</v>
      </c>
      <c r="V266" s="383">
        <f t="shared" si="83"/>
        <v>49.623689497167319</v>
      </c>
      <c r="W266" s="58"/>
      <c r="X266" s="157">
        <f t="shared" si="84"/>
        <v>43717</v>
      </c>
      <c r="Y266" s="385">
        <f t="shared" si="85"/>
        <v>40.838000000000001</v>
      </c>
      <c r="Z266" s="385">
        <f t="shared" si="86"/>
        <v>41.24972746232379</v>
      </c>
      <c r="AA266" s="386">
        <f t="shared" si="87"/>
        <v>42.30978772377204</v>
      </c>
      <c r="AB266" s="197">
        <f t="shared" si="88"/>
        <v>43717</v>
      </c>
      <c r="AC266" s="426">
        <f>IF(OR(t&lt;Tnet,NoTnet),'2018'!Resal_s+('2018'!Salim-'2018'!Resal_s)*(1-EXP(('2018'!Tnet_s-t)/'2018'!Tau_j)),Resal_s+(Salim-Resal_s)*(1-EXP((Tnet_s-t)/Tau_j)))*Salcycl</f>
        <v>2.5054728905024734E-2</v>
      </c>
      <c r="AD266" s="231">
        <f>(INDEX(Models!$BJ266:$BT266,,AH266)*(1-AF266)+INDEX(Models!$BJ266:$BT266,,AH266+1)*AF266-ERP_i)*AE266*Ramure*Pc/MaxiM</f>
        <v>5.2724976167007315E-7</v>
      </c>
      <c r="AE266" s="305">
        <f t="shared" si="89"/>
        <v>0.5</v>
      </c>
      <c r="AF266" s="177">
        <f t="shared" si="90"/>
        <v>0.98593025949074997</v>
      </c>
      <c r="AG266" s="176">
        <f t="shared" si="91"/>
        <v>-2</v>
      </c>
      <c r="AH266" s="176">
        <f t="shared" si="92"/>
        <v>4</v>
      </c>
      <c r="AI266" s="225">
        <f t="shared" si="93"/>
        <v>-1.01406974050925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7">
        <v>13.752000000000001</v>
      </c>
      <c r="C267" s="390"/>
      <c r="D267" s="393">
        <f t="shared" si="75"/>
        <v>13.89095148931837</v>
      </c>
      <c r="E267" s="385">
        <f t="shared" si="97"/>
        <v>14.248516026967719</v>
      </c>
      <c r="F267" s="385">
        <f t="shared" si="76"/>
        <v>14.248516026967719</v>
      </c>
      <c r="G267" s="110">
        <f t="shared" si="98"/>
        <v>0.27863063763539048</v>
      </c>
      <c r="H267" s="414" t="b">
        <f>Wh_hp&gt;='2018'!Maxi_hp</f>
        <v>0</v>
      </c>
      <c r="I267" s="390">
        <f>IF(H267,Wh_hp,'2018'!Maxi_hp)</f>
        <v>39.947514243105942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1.0003021709867665E-2</v>
      </c>
      <c r="M267" s="845"/>
      <c r="N267" s="845"/>
      <c r="O267" s="48">
        <f>IF(t&lt;Tnet,'2018'!Resal+('2018'!Salim-'2018'!Resal)*(1-EXP(('2018'!Tnet-t)/('2018'!Tau_j))),Resal+(Salim-Resal)*(1-EXP((Tnet-t)/(Tau_j))))*Salcycl</f>
        <v>2.5094861596295228E-2</v>
      </c>
      <c r="P267" s="169">
        <f>(INDEX(Models!$BJ267:$BT267,,T267)*(1-R267)+INDEX(Models!$BJ267:$BT267,,T267+1)*R267-ERP_i)*Q267*Ramure*Pc/MaxiM</f>
        <v>4.9356046806000232E-7</v>
      </c>
      <c r="Q267" s="305">
        <f t="shared" si="78"/>
        <v>0.5</v>
      </c>
      <c r="R267" s="177">
        <f t="shared" si="79"/>
        <v>0.9863878634984149</v>
      </c>
      <c r="S267" s="811">
        <f t="shared" si="80"/>
        <v>-2</v>
      </c>
      <c r="T267" s="176">
        <f t="shared" si="81"/>
        <v>4</v>
      </c>
      <c r="U267" s="251">
        <f t="shared" si="82"/>
        <v>-1.0136121365015851</v>
      </c>
      <c r="V267" s="383">
        <f t="shared" si="83"/>
        <v>49.355639168984638</v>
      </c>
      <c r="W267" s="58"/>
      <c r="X267" s="157">
        <f t="shared" si="84"/>
        <v>43718</v>
      </c>
      <c r="Y267" s="385">
        <f t="shared" si="85"/>
        <v>13.752000000000001</v>
      </c>
      <c r="Z267" s="385">
        <f t="shared" si="86"/>
        <v>13.89095148931837</v>
      </c>
      <c r="AA267" s="386">
        <f t="shared" si="87"/>
        <v>14.248516026967719</v>
      </c>
      <c r="AB267" s="197">
        <f t="shared" si="88"/>
        <v>43718</v>
      </c>
      <c r="AC267" s="426">
        <f>IF(OR(t&lt;Tnet,NoTnet),'2018'!Resal_s+('2018'!Salim-'2018'!Resal_s)*(1-EXP(('2018'!Tnet_s-t)/'2018'!Tau_j)),Resal_s+(Salim-Resal_s)*(1-EXP((Tnet_s-t)/Tau_j)))*Salcycl</f>
        <v>2.5094861596295228E-2</v>
      </c>
      <c r="AD267" s="231">
        <f>(INDEX(Models!$BJ267:$BT267,,AH267)*(1-AF267)+INDEX(Models!$BJ267:$BT267,,AH267+1)*AF267-ERP_i)*AE267*Ramure*Pc/MaxiM</f>
        <v>4.9356046806000232E-7</v>
      </c>
      <c r="AE267" s="305">
        <f t="shared" si="89"/>
        <v>0.5</v>
      </c>
      <c r="AF267" s="177">
        <f t="shared" si="90"/>
        <v>0.9863878634984149</v>
      </c>
      <c r="AG267" s="176">
        <f t="shared" si="91"/>
        <v>-2</v>
      </c>
      <c r="AH267" s="176">
        <f t="shared" si="92"/>
        <v>4</v>
      </c>
      <c r="AI267" s="225">
        <f t="shared" si="93"/>
        <v>-1.0136121365015851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7">
        <v>44.582000000000001</v>
      </c>
      <c r="C268" s="390"/>
      <c r="D268" s="393">
        <f t="shared" si="75"/>
        <v>45.033447029914555</v>
      </c>
      <c r="E268" s="385">
        <f t="shared" si="97"/>
        <v>46.194535982188278</v>
      </c>
      <c r="F268" s="385">
        <f t="shared" si="76"/>
        <v>46.194555757298346</v>
      </c>
      <c r="G268" s="110">
        <f t="shared" si="98"/>
        <v>0.90830189007405182</v>
      </c>
      <c r="H268" s="414" t="b">
        <f>Wh_hp&gt;='2018'!Maxi_hp</f>
        <v>0</v>
      </c>
      <c r="I268" s="390">
        <f>IF(H268,Wh_hp,'2018'!Maxi_hp)</f>
        <v>46.653482601520295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1.0024705184452531E-2</v>
      </c>
      <c r="M268" s="845"/>
      <c r="N268" s="845"/>
      <c r="O268" s="48">
        <f>IF(t&lt;Tnet,'2018'!Resal+('2018'!Salim-'2018'!Resal)*(1-EXP(('2018'!Tnet-t)/('2018'!Tau_j))),Resal+(Salim-Resal)*(1-EXP((Tnet-t)/(Tau_j))))*Salcycl</f>
        <v>2.513476816222189E-2</v>
      </c>
      <c r="P268" s="169">
        <f>(INDEX(Models!$BJ268:$BT268,,T268)*(1-R268)+INDEX(Models!$BJ268:$BT268,,T268+1)*R268-ERP_i)*Q268*Ramure*Pc/MaxiM</f>
        <v>4.926142230736226E-7</v>
      </c>
      <c r="Q268" s="305">
        <f t="shared" si="78"/>
        <v>0.5</v>
      </c>
      <c r="R268" s="177">
        <f t="shared" si="79"/>
        <v>0.98682784878975172</v>
      </c>
      <c r="S268" s="811">
        <f t="shared" si="80"/>
        <v>-2</v>
      </c>
      <c r="T268" s="176">
        <f t="shared" si="81"/>
        <v>4</v>
      </c>
      <c r="U268" s="251">
        <f t="shared" si="82"/>
        <v>-1.0131721512102483</v>
      </c>
      <c r="V268" s="383">
        <f t="shared" si="83"/>
        <v>49.082796821482958</v>
      </c>
      <c r="W268" s="58"/>
      <c r="X268" s="157">
        <f t="shared" si="84"/>
        <v>43719</v>
      </c>
      <c r="Y268" s="385">
        <f t="shared" si="85"/>
        <v>44.582000000000001</v>
      </c>
      <c r="Z268" s="385">
        <f t="shared" si="86"/>
        <v>45.033447029914555</v>
      </c>
      <c r="AA268" s="386">
        <f t="shared" si="87"/>
        <v>46.194535982188278</v>
      </c>
      <c r="AB268" s="197">
        <f t="shared" si="88"/>
        <v>43719</v>
      </c>
      <c r="AC268" s="426">
        <f>IF(OR(t&lt;Tnet,NoTnet),'2018'!Resal_s+('2018'!Salim-'2018'!Resal_s)*(1-EXP(('2018'!Tnet_s-t)/'2018'!Tau_j)),Resal_s+(Salim-Resal_s)*(1-EXP((Tnet_s-t)/Tau_j)))*Salcycl</f>
        <v>2.513476816222189E-2</v>
      </c>
      <c r="AD268" s="231">
        <f>(INDEX(Models!$BJ268:$BT268,,AH268)*(1-AF268)+INDEX(Models!$BJ268:$BT268,,AH268+1)*AF268-ERP_i)*AE268*Ramure*Pc/MaxiM</f>
        <v>4.926142230736226E-7</v>
      </c>
      <c r="AE268" s="305">
        <f t="shared" si="89"/>
        <v>0.5</v>
      </c>
      <c r="AF268" s="177">
        <f t="shared" si="90"/>
        <v>0.98682784878975172</v>
      </c>
      <c r="AG268" s="176">
        <f t="shared" si="91"/>
        <v>-2</v>
      </c>
      <c r="AH268" s="176">
        <f t="shared" si="92"/>
        <v>4</v>
      </c>
      <c r="AI268" s="225">
        <f t="shared" si="93"/>
        <v>-1.0131721512102483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7">
        <v>48.985999999999997</v>
      </c>
      <c r="C269" s="390"/>
      <c r="D269" s="393">
        <f t="shared" si="75"/>
        <v>49.4831266993857</v>
      </c>
      <c r="E269" s="385">
        <f t="shared" si="97"/>
        <v>50.761006666372019</v>
      </c>
      <c r="F269" s="385">
        <f t="shared" si="76"/>
        <v>50.761032411385656</v>
      </c>
      <c r="G269" s="110">
        <f t="shared" si="98"/>
        <v>1.003696731989391</v>
      </c>
      <c r="H269" s="414" t="b">
        <f>Wh_hp&gt;='2018'!Maxi_hp</f>
        <v>1</v>
      </c>
      <c r="I269" s="390">
        <f>IF(H269,Wh_hp,'2018'!Maxi_hp)</f>
        <v>50.761032411385656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1.0046388184113519E-2</v>
      </c>
      <c r="M269" s="845"/>
      <c r="N269" s="845"/>
      <c r="O269" s="48">
        <f>IF(t&lt;Tnet,'2018'!Resal+('2018'!Salim-'2018'!Resal)*(1-EXP(('2018'!Tnet-t)/('2018'!Tau_j))),Resal+(Salim-Resal)*(1-EXP((Tnet-t)/(Tau_j))))*Salcycl</f>
        <v>2.5174440991393709E-2</v>
      </c>
      <c r="P269" s="169">
        <f>(INDEX(Models!$BJ269:$BT269,,T269)*(1-R269)+INDEX(Models!$BJ269:$BT269,,T269+1)*R269-ERP_i)*Q269*Ramure*Pc/MaxiM</f>
        <v>5.0718065447107548E-7</v>
      </c>
      <c r="Q269" s="305">
        <f t="shared" si="78"/>
        <v>0.5</v>
      </c>
      <c r="R269" s="177">
        <f t="shared" si="79"/>
        <v>0.98725086317133859</v>
      </c>
      <c r="S269" s="811">
        <f t="shared" si="80"/>
        <v>-2</v>
      </c>
      <c r="T269" s="176">
        <f t="shared" si="81"/>
        <v>4</v>
      </c>
      <c r="U269" s="251">
        <f t="shared" si="82"/>
        <v>-1.0127491368286614</v>
      </c>
      <c r="V269" s="383">
        <f t="shared" si="83"/>
        <v>48.805578855384546</v>
      </c>
      <c r="W269" s="58"/>
      <c r="X269" s="157">
        <f t="shared" si="84"/>
        <v>43720</v>
      </c>
      <c r="Y269" s="385">
        <f t="shared" si="85"/>
        <v>48.985999999999997</v>
      </c>
      <c r="Z269" s="385">
        <f t="shared" si="86"/>
        <v>49.4831266993857</v>
      </c>
      <c r="AA269" s="386">
        <f t="shared" si="87"/>
        <v>50.761006666372019</v>
      </c>
      <c r="AB269" s="197">
        <f t="shared" si="88"/>
        <v>43720</v>
      </c>
      <c r="AC269" s="426">
        <f>IF(OR(t&lt;Tnet,NoTnet),'2018'!Resal_s+('2018'!Salim-'2018'!Resal_s)*(1-EXP(('2018'!Tnet_s-t)/'2018'!Tau_j)),Resal_s+(Salim-Resal_s)*(1-EXP((Tnet_s-t)/Tau_j)))*Salcycl</f>
        <v>2.5174440991393709E-2</v>
      </c>
      <c r="AD269" s="231">
        <f>(INDEX(Models!$BJ269:$BT269,,AH269)*(1-AF269)+INDEX(Models!$BJ269:$BT269,,AH269+1)*AF269-ERP_i)*AE269*Ramure*Pc/MaxiM</f>
        <v>5.0718065447107548E-7</v>
      </c>
      <c r="AE269" s="305">
        <f t="shared" si="89"/>
        <v>0.5</v>
      </c>
      <c r="AF269" s="177">
        <f t="shared" si="90"/>
        <v>0.98725086317133859</v>
      </c>
      <c r="AG269" s="176">
        <f t="shared" si="91"/>
        <v>-2</v>
      </c>
      <c r="AH269" s="176">
        <f t="shared" si="92"/>
        <v>4</v>
      </c>
      <c r="AI269" s="225">
        <f t="shared" si="93"/>
        <v>-1.0127491368286614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7">
        <v>39.640999999999998</v>
      </c>
      <c r="C270" s="390"/>
      <c r="D270" s="393">
        <f t="shared" si="75"/>
        <v>40.044167509967842</v>
      </c>
      <c r="E270" s="385">
        <f t="shared" si="97"/>
        <v>41.07995217328773</v>
      </c>
      <c r="F270" s="385">
        <f t="shared" si="76"/>
        <v>41.079968478465787</v>
      </c>
      <c r="G270" s="110">
        <f t="shared" si="98"/>
        <v>0.81692908838134948</v>
      </c>
      <c r="H270" s="414" t="b">
        <f>Wh_hp&gt;='2018'!Maxi_hp</f>
        <v>1</v>
      </c>
      <c r="I270" s="390">
        <f>IF(H270,Wh_hp,'2018'!Maxi_hp)</f>
        <v>41.079968478465787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1.0068070708861288E-2</v>
      </c>
      <c r="M270" s="845"/>
      <c r="N270" s="845"/>
      <c r="O270" s="48">
        <f>IF(t&lt;Tnet,'2018'!Resal+('2018'!Salim-'2018'!Resal)*(1-EXP(('2018'!Tnet-t)/('2018'!Tau_j))),Resal+(Salim-Resal)*(1-EXP((Tnet-t)/(Tau_j))))*Salcycl</f>
        <v>2.5213872181511589E-2</v>
      </c>
      <c r="P270" s="169">
        <f>(INDEX(Models!$BJ270:$BT270,,T270)*(1-R270)+INDEX(Models!$BJ270:$BT270,,T270+1)*R270-ERP_i)*Q270*Ramure*Pc/MaxiM</f>
        <v>5.374801335333259E-7</v>
      </c>
      <c r="Q270" s="305">
        <f t="shared" si="78"/>
        <v>0.5</v>
      </c>
      <c r="R270" s="177">
        <f t="shared" si="79"/>
        <v>0.98765753299954873</v>
      </c>
      <c r="S270" s="811">
        <f t="shared" si="80"/>
        <v>-2</v>
      </c>
      <c r="T270" s="176">
        <f t="shared" si="81"/>
        <v>4</v>
      </c>
      <c r="U270" s="251">
        <f t="shared" si="82"/>
        <v>-1.0123424670004513</v>
      </c>
      <c r="V270" s="383">
        <f t="shared" si="83"/>
        <v>48.52440069960597</v>
      </c>
      <c r="W270" s="58"/>
      <c r="X270" s="157">
        <f t="shared" si="84"/>
        <v>43721</v>
      </c>
      <c r="Y270" s="385">
        <f t="shared" si="85"/>
        <v>39.640999999999998</v>
      </c>
      <c r="Z270" s="385">
        <f t="shared" si="86"/>
        <v>40.044167509967842</v>
      </c>
      <c r="AA270" s="386">
        <f t="shared" si="87"/>
        <v>41.07995217328773</v>
      </c>
      <c r="AB270" s="197">
        <f t="shared" si="88"/>
        <v>43721</v>
      </c>
      <c r="AC270" s="426">
        <f>IF(OR(t&lt;Tnet,NoTnet),'2018'!Resal_s+('2018'!Salim-'2018'!Resal_s)*(1-EXP(('2018'!Tnet_s-t)/'2018'!Tau_j)),Resal_s+(Salim-Resal_s)*(1-EXP((Tnet_s-t)/Tau_j)))*Salcycl</f>
        <v>2.5213872181511589E-2</v>
      </c>
      <c r="AD270" s="231">
        <f>(INDEX(Models!$BJ270:$BT270,,AH270)*(1-AF270)+INDEX(Models!$BJ270:$BT270,,AH270+1)*AF270-ERP_i)*AE270*Ramure*Pc/MaxiM</f>
        <v>5.374801335333259E-7</v>
      </c>
      <c r="AE270" s="305">
        <f t="shared" si="89"/>
        <v>0.5</v>
      </c>
      <c r="AF270" s="177">
        <f t="shared" si="90"/>
        <v>0.98765753299954873</v>
      </c>
      <c r="AG270" s="176">
        <f t="shared" si="91"/>
        <v>-2</v>
      </c>
      <c r="AH270" s="176">
        <f t="shared" si="92"/>
        <v>4</v>
      </c>
      <c r="AI270" s="225">
        <f t="shared" si="93"/>
        <v>-1.0123424670004513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7">
        <v>40.052999999999997</v>
      </c>
      <c r="C271" s="390"/>
      <c r="D271" s="393">
        <f t="shared" ref="D271:D334" si="99">Wh/(1-Ppv)</f>
        <v>40.461243947742418</v>
      </c>
      <c r="E271" s="385">
        <f t="shared" si="97"/>
        <v>41.509485200076575</v>
      </c>
      <c r="F271" s="385">
        <f t="shared" ref="F271:F334" si="100">Wh_sa/(1-Pvg*MEDIAN((-Sdif+Wh/Env_an)/Csdif,0,1))</f>
        <v>41.509503556258394</v>
      </c>
      <c r="G271" s="110">
        <f t="shared" si="98"/>
        <v>0.83029149982326667</v>
      </c>
      <c r="H271" s="414" t="b">
        <f>Wh_hp&gt;='2018'!Maxi_hp</f>
        <v>1</v>
      </c>
      <c r="I271" s="390">
        <f>IF(H271,Wh_hp,'2018'!Maxi_hp)</f>
        <v>41.509503556258394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1.0089752758706161E-2</v>
      </c>
      <c r="M271" s="845"/>
      <c r="N271" s="845"/>
      <c r="O271" s="48">
        <f>IF(t&lt;Tnet,'2018'!Resal+('2018'!Salim-'2018'!Resal)*(1-EXP(('2018'!Tnet-t)/('2018'!Tau_j))),Resal+(Salim-Resal)*(1-EXP((Tnet-t)/(Tau_j))))*Salcycl</f>
        <v>2.5253053543825302E-2</v>
      </c>
      <c r="P271" s="169">
        <f>(INDEX(Models!$BJ271:$BT271,,T271)*(1-R271)+INDEX(Models!$BJ271:$BT271,,T271+1)*R271-ERP_i)*Q271*Ramure*Pc/MaxiM</f>
        <v>5.8373816615854496E-7</v>
      </c>
      <c r="Q271" s="305">
        <f t="shared" ref="Q271:Q334" si="102">IF(OR(t&lt;Ttai,Notai),Dd+PousD*Croivg,Dens+PousD*(Croivg-Croi_tai))</f>
        <v>0.5</v>
      </c>
      <c r="R271" s="177">
        <f t="shared" ref="R271:R334" si="103">(Hp_vg-S271)/(INDEX(Echel_vg,T271+1)-S271)</f>
        <v>0.98804846370398414</v>
      </c>
      <c r="S271" s="811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-1.0119515362960159</v>
      </c>
      <c r="V271" s="383">
        <f t="shared" ref="V271:V334" si="107">MaxiM*(1-Ppv)*(1-Pvg)*(1-Psa)</f>
        <v>48.239677679646718</v>
      </c>
      <c r="W271" s="58"/>
      <c r="X271" s="157">
        <f t="shared" ref="X271:X334" si="108">t</f>
        <v>43722</v>
      </c>
      <c r="Y271" s="385">
        <f t="shared" ref="Y271:Y334" si="109">Wh_pvt_s*(1-Ppv)</f>
        <v>40.052999999999997</v>
      </c>
      <c r="Z271" s="385">
        <f t="shared" ref="Z271:Z334" si="110">Wh_sa_s*(1-Psa_s)</f>
        <v>40.461243947742418</v>
      </c>
      <c r="AA271" s="386">
        <f t="shared" ref="AA271:AA334" si="111">Wh_hp*(1-Pvg_s*MEDIAN((-Sdif+Wh/Env_an)/Csdif,0,1))</f>
        <v>41.509485200076575</v>
      </c>
      <c r="AB271" s="197">
        <f t="shared" ref="AB271:AB334" si="112">t</f>
        <v>43722</v>
      </c>
      <c r="AC271" s="426">
        <f>IF(OR(t&lt;Tnet,NoTnet),'2018'!Resal_s+('2018'!Salim-'2018'!Resal_s)*(1-EXP(('2018'!Tnet_s-t)/'2018'!Tau_j)),Resal_s+(Salim-Resal_s)*(1-EXP((Tnet_s-t)/Tau_j)))*Salcycl</f>
        <v>2.5253053543825302E-2</v>
      </c>
      <c r="AD271" s="231">
        <f>(INDEX(Models!$BJ271:$BT271,,AH271)*(1-AF271)+INDEX(Models!$BJ271:$BT271,,AH271+1)*AF271-ERP_i)*AE271*Ramure*Pc/MaxiM</f>
        <v>5.8373816615854496E-7</v>
      </c>
      <c r="AE271" s="305">
        <f t="shared" ref="AE271:AE334" si="113">IF(OR(t&lt;Ttai,Notai),Dd_s+PousD*Croivg,Dens_s+PousD*(Croivg-Croi_tai))</f>
        <v>0.5</v>
      </c>
      <c r="AF271" s="177">
        <f t="shared" ref="AF271:AF334" si="114">(Hp_vg_s-AG271)/(INDEX(Echel_vg,AH271+1)-AG271)</f>
        <v>0.98804846370398414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-1.0119515362960159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7">
        <v>41.899000000000001</v>
      </c>
      <c r="C272" s="390"/>
      <c r="D272" s="393">
        <f t="shared" si="99"/>
        <v>42.326986544991321</v>
      </c>
      <c r="E272" s="385">
        <f t="shared" si="97"/>
        <v>43.425298170665286</v>
      </c>
      <c r="F272" s="385">
        <f t="shared" si="100"/>
        <v>43.42532117137236</v>
      </c>
      <c r="G272" s="110">
        <f t="shared" si="98"/>
        <v>0.87377268963612176</v>
      </c>
      <c r="H272" s="414" t="b">
        <f>Wh_hp&gt;='2018'!Maxi_hp</f>
        <v>1</v>
      </c>
      <c r="I272" s="390">
        <f>IF(H272,Wh_hp,'2018'!Maxi_hp)</f>
        <v>43.42532117137236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1.0111434333658353E-2</v>
      </c>
      <c r="M272" s="845"/>
      <c r="N272" s="845"/>
      <c r="O272" s="48">
        <f>IF(t&lt;Tnet,'2018'!Resal+('2018'!Salim-'2018'!Resal)*(1-EXP(('2018'!Tnet-t)/('2018'!Tau_j))),Resal+(Salim-Resal)*(1-EXP((Tnet-t)/(Tau_j))))*Salcycl</f>
        <v>2.5291976611363797E-2</v>
      </c>
      <c r="P272" s="169">
        <f>(INDEX(Models!$BJ272:$BT272,,T272)*(1-R272)+INDEX(Models!$BJ272:$BT272,,T272+1)*R272-ERP_i)*Q272*Ramure*Pc/MaxiM</f>
        <v>6.461840560257979E-7</v>
      </c>
      <c r="Q272" s="305">
        <f t="shared" si="102"/>
        <v>0.5</v>
      </c>
      <c r="R272" s="177">
        <f t="shared" si="103"/>
        <v>0.98842424031388232</v>
      </c>
      <c r="S272" s="811">
        <f t="shared" si="104"/>
        <v>-2</v>
      </c>
      <c r="T272" s="176">
        <f t="shared" si="105"/>
        <v>4</v>
      </c>
      <c r="U272" s="251">
        <f t="shared" si="106"/>
        <v>-1.0115757596861177</v>
      </c>
      <c r="V272" s="383">
        <f t="shared" si="107"/>
        <v>47.951825016703452</v>
      </c>
      <c r="W272" s="58"/>
      <c r="X272" s="157">
        <f t="shared" si="108"/>
        <v>43723</v>
      </c>
      <c r="Y272" s="385">
        <f t="shared" si="109"/>
        <v>41.899000000000001</v>
      </c>
      <c r="Z272" s="385">
        <f t="shared" si="110"/>
        <v>42.326986544991321</v>
      </c>
      <c r="AA272" s="386">
        <f t="shared" si="111"/>
        <v>43.425298170665286</v>
      </c>
      <c r="AB272" s="197">
        <f t="shared" si="112"/>
        <v>43723</v>
      </c>
      <c r="AC272" s="426">
        <f>IF(OR(t&lt;Tnet,NoTnet),'2018'!Resal_s+('2018'!Salim-'2018'!Resal_s)*(1-EXP(('2018'!Tnet_s-t)/'2018'!Tau_j)),Resal_s+(Salim-Resal_s)*(1-EXP((Tnet_s-t)/Tau_j)))*Salcycl</f>
        <v>2.5291976611363797E-2</v>
      </c>
      <c r="AD272" s="231">
        <f>(INDEX(Models!$BJ272:$BT272,,AH272)*(1-AF272)+INDEX(Models!$BJ272:$BT272,,AH272+1)*AF272-ERP_i)*AE272*Ramure*Pc/MaxiM</f>
        <v>6.461840560257979E-7</v>
      </c>
      <c r="AE272" s="305">
        <f t="shared" si="113"/>
        <v>0.5</v>
      </c>
      <c r="AF272" s="177">
        <f t="shared" si="114"/>
        <v>0.98842424031388232</v>
      </c>
      <c r="AG272" s="176">
        <f t="shared" si="115"/>
        <v>-2</v>
      </c>
      <c r="AH272" s="176">
        <f t="shared" si="116"/>
        <v>4</v>
      </c>
      <c r="AI272" s="225">
        <f t="shared" si="117"/>
        <v>-1.0115757596861177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7">
        <v>42.637999999999998</v>
      </c>
      <c r="C273" s="390"/>
      <c r="D273" s="393">
        <f t="shared" si="99"/>
        <v>43.074478664555613</v>
      </c>
      <c r="E273" s="385">
        <f t="shared" si="97"/>
        <v>44.19393910134265</v>
      </c>
      <c r="F273" s="385">
        <f t="shared" si="100"/>
        <v>44.193966319651537</v>
      </c>
      <c r="G273" s="110">
        <f t="shared" si="98"/>
        <v>0.89460491159702749</v>
      </c>
      <c r="H273" s="414" t="b">
        <f>Wh_hp&gt;='2018'!Maxi_hp</f>
        <v>0</v>
      </c>
      <c r="I273" s="390">
        <f>IF(H273,Wh_hp,'2018'!Maxi_hp)</f>
        <v>46.225866499783969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1.0133115433728523E-2</v>
      </c>
      <c r="M273" s="845"/>
      <c r="N273" s="845"/>
      <c r="O273" s="48">
        <f>IF(t&lt;Tnet,'2018'!Resal+('2018'!Salim-'2018'!Resal)*(1-EXP(('2018'!Tnet-t)/('2018'!Tau_j))),Resal+(Salim-Resal)*(1-EXP((Tnet-t)/(Tau_j))))*Salcycl</f>
        <v>2.5330632651232188E-2</v>
      </c>
      <c r="P273" s="169">
        <f>(INDEX(Models!$BJ273:$BT273,,T273)*(1-R273)+INDEX(Models!$BJ273:$BT273,,T273+1)*R273-ERP_i)*Q273*Ramure*Pc/MaxiM</f>
        <v>7.2504946158154572E-7</v>
      </c>
      <c r="Q273" s="305">
        <f t="shared" si="102"/>
        <v>0.5</v>
      </c>
      <c r="R273" s="177">
        <f t="shared" si="103"/>
        <v>0.98878542798577795</v>
      </c>
      <c r="S273" s="811">
        <f t="shared" si="104"/>
        <v>-2</v>
      </c>
      <c r="T273" s="176">
        <f t="shared" si="105"/>
        <v>4</v>
      </c>
      <c r="U273" s="251">
        <f t="shared" si="106"/>
        <v>-1.011214572014222</v>
      </c>
      <c r="V273" s="383">
        <f t="shared" si="107"/>
        <v>47.661257827477897</v>
      </c>
      <c r="W273" s="58"/>
      <c r="X273" s="157">
        <f t="shared" si="108"/>
        <v>43724</v>
      </c>
      <c r="Y273" s="385">
        <f t="shared" si="109"/>
        <v>42.637999999999998</v>
      </c>
      <c r="Z273" s="385">
        <f t="shared" si="110"/>
        <v>43.074478664555613</v>
      </c>
      <c r="AA273" s="386">
        <f t="shared" si="111"/>
        <v>44.19393910134265</v>
      </c>
      <c r="AB273" s="197">
        <f t="shared" si="112"/>
        <v>43724</v>
      </c>
      <c r="AC273" s="426">
        <f>IF(OR(t&lt;Tnet,NoTnet),'2018'!Resal_s+('2018'!Salim-'2018'!Resal_s)*(1-EXP(('2018'!Tnet_s-t)/'2018'!Tau_j)),Resal_s+(Salim-Resal_s)*(1-EXP((Tnet_s-t)/Tau_j)))*Salcycl</f>
        <v>2.5330632651232188E-2</v>
      </c>
      <c r="AD273" s="231">
        <f>(INDEX(Models!$BJ273:$BT273,,AH273)*(1-AF273)+INDEX(Models!$BJ273:$BT273,,AH273+1)*AF273-ERP_i)*AE273*Ramure*Pc/MaxiM</f>
        <v>7.2504946158154572E-7</v>
      </c>
      <c r="AE273" s="305">
        <f t="shared" si="113"/>
        <v>0.5</v>
      </c>
      <c r="AF273" s="177">
        <f t="shared" si="114"/>
        <v>0.98878542798577795</v>
      </c>
      <c r="AG273" s="176">
        <f t="shared" si="115"/>
        <v>-2</v>
      </c>
      <c r="AH273" s="176">
        <f t="shared" si="116"/>
        <v>4</v>
      </c>
      <c r="AI273" s="225">
        <f t="shared" si="117"/>
        <v>-1.011214572014222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7">
        <v>41.603999999999999</v>
      </c>
      <c r="C274" s="390"/>
      <c r="D274" s="393">
        <f t="shared" si="99"/>
        <v>42.030814347893475</v>
      </c>
      <c r="E274" s="385">
        <f t="shared" si="97"/>
        <v>43.124849193970569</v>
      </c>
      <c r="F274" s="385">
        <f t="shared" si="100"/>
        <v>43.124878428925108</v>
      </c>
      <c r="G274" s="110">
        <f t="shared" si="98"/>
        <v>0.87830709631212034</v>
      </c>
      <c r="H274" s="414" t="b">
        <f>Wh_hp&gt;='2018'!Maxi_hp</f>
        <v>0</v>
      </c>
      <c r="I274" s="390">
        <f>IF(H274,Wh_hp,'2018'!Maxi_hp)</f>
        <v>43.928763597128906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1.0154796058926885E-2</v>
      </c>
      <c r="M274" s="845"/>
      <c r="N274" s="845"/>
      <c r="O274" s="48">
        <f>IF(t&lt;Tnet,'2018'!Resal+('2018'!Salim-'2018'!Resal)*(1-EXP(('2018'!Tnet-t)/('2018'!Tau_j))),Resal+(Salim-Resal)*(1-EXP((Tnet-t)/(Tau_j))))*Salcycl</f>
        <v>2.5369012681209665E-2</v>
      </c>
      <c r="P274" s="169">
        <f>(INDEX(Models!$BJ274:$BT274,,T274)*(1-R274)+INDEX(Models!$BJ274:$BT274,,T274+1)*R274-ERP_i)*Q274*Ramure*Pc/MaxiM</f>
        <v>8.2056684146602538E-7</v>
      </c>
      <c r="Q274" s="305">
        <f t="shared" si="102"/>
        <v>0.5</v>
      </c>
      <c r="R274" s="177">
        <f t="shared" si="103"/>
        <v>0.98913257253087616</v>
      </c>
      <c r="S274" s="811">
        <f t="shared" si="104"/>
        <v>-2</v>
      </c>
      <c r="T274" s="176">
        <f t="shared" si="105"/>
        <v>4</v>
      </c>
      <c r="U274" s="251">
        <f t="shared" si="106"/>
        <v>-1.0108674274691238</v>
      </c>
      <c r="V274" s="383">
        <f t="shared" si="107"/>
        <v>47.368391123961025</v>
      </c>
      <c r="W274" s="58"/>
      <c r="X274" s="157">
        <f t="shared" si="108"/>
        <v>43725</v>
      </c>
      <c r="Y274" s="385">
        <f t="shared" si="109"/>
        <v>41.603999999999999</v>
      </c>
      <c r="Z274" s="385">
        <f t="shared" si="110"/>
        <v>42.030814347893475</v>
      </c>
      <c r="AA274" s="386">
        <f t="shared" si="111"/>
        <v>43.124849193970569</v>
      </c>
      <c r="AB274" s="197">
        <f t="shared" si="112"/>
        <v>43725</v>
      </c>
      <c r="AC274" s="426">
        <f>IF(OR(t&lt;Tnet,NoTnet),'2018'!Resal_s+('2018'!Salim-'2018'!Resal_s)*(1-EXP(('2018'!Tnet_s-t)/'2018'!Tau_j)),Resal_s+(Salim-Resal_s)*(1-EXP((Tnet_s-t)/Tau_j)))*Salcycl</f>
        <v>2.5369012681209665E-2</v>
      </c>
      <c r="AD274" s="231">
        <f>(INDEX(Models!$BJ274:$BT274,,AH274)*(1-AF274)+INDEX(Models!$BJ274:$BT274,,AH274+1)*AF274-ERP_i)*AE274*Ramure*Pc/MaxiM</f>
        <v>8.2056684146602538E-7</v>
      </c>
      <c r="AE274" s="305">
        <f t="shared" si="113"/>
        <v>0.5</v>
      </c>
      <c r="AF274" s="177">
        <f t="shared" si="114"/>
        <v>0.98913257253087616</v>
      </c>
      <c r="AG274" s="176">
        <f t="shared" si="115"/>
        <v>-2</v>
      </c>
      <c r="AH274" s="176">
        <f t="shared" si="116"/>
        <v>4</v>
      </c>
      <c r="AI274" s="225">
        <f t="shared" si="117"/>
        <v>-1.0108674274691238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7">
        <v>27.244</v>
      </c>
      <c r="C275" s="390"/>
      <c r="D275" s="393">
        <f t="shared" si="99"/>
        <v>27.524098331855569</v>
      </c>
      <c r="E275" s="385">
        <f t="shared" si="97"/>
        <v>28.241636629416387</v>
      </c>
      <c r="F275" s="385">
        <f t="shared" si="100"/>
        <v>28.241647123830155</v>
      </c>
      <c r="G275" s="110">
        <f t="shared" si="98"/>
        <v>0.57878726378843814</v>
      </c>
      <c r="H275" s="414" t="b">
        <f>Wh_hp&gt;='2018'!Maxi_hp</f>
        <v>0</v>
      </c>
      <c r="I275" s="390">
        <f>IF(H275,Wh_hp,'2018'!Maxi_hp)</f>
        <v>42.23353390254551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1.0176476209263985E-2</v>
      </c>
      <c r="M275" s="845"/>
      <c r="N275" s="845"/>
      <c r="O275" s="48">
        <f>IF(t&lt;Tnet,'2018'!Resal+('2018'!Salim-'2018'!Resal)*(1-EXP(('2018'!Tnet-t)/('2018'!Tau_j))),Resal+(Salim-Resal)*(1-EXP((Tnet-t)/(Tau_j))))*Salcycl</f>
        <v>2.5407107490839746E-2</v>
      </c>
      <c r="P275" s="169">
        <f>(INDEX(Models!$BJ275:$BT275,,T275)*(1-R275)+INDEX(Models!$BJ275:$BT275,,T275+1)*R275-ERP_i)*Q275*Ramure*Pc/MaxiM</f>
        <v>9.33023893403511E-7</v>
      </c>
      <c r="Q275" s="305">
        <f t="shared" si="102"/>
        <v>0.5</v>
      </c>
      <c r="R275" s="177">
        <f t="shared" si="103"/>
        <v>0.98946620094073401</v>
      </c>
      <c r="S275" s="811">
        <f t="shared" si="104"/>
        <v>-2</v>
      </c>
      <c r="T275" s="176">
        <f t="shared" si="105"/>
        <v>4</v>
      </c>
      <c r="U275" s="251">
        <f t="shared" si="106"/>
        <v>-1.010533799059266</v>
      </c>
      <c r="V275" s="383">
        <f t="shared" si="107"/>
        <v>47.070808929106441</v>
      </c>
      <c r="W275" s="58"/>
      <c r="X275" s="157">
        <f t="shared" si="108"/>
        <v>43726</v>
      </c>
      <c r="Y275" s="385">
        <f t="shared" si="109"/>
        <v>27.244</v>
      </c>
      <c r="Z275" s="385">
        <f t="shared" si="110"/>
        <v>27.524098331855569</v>
      </c>
      <c r="AA275" s="386">
        <f t="shared" si="111"/>
        <v>28.241636629416387</v>
      </c>
      <c r="AB275" s="197">
        <f t="shared" si="112"/>
        <v>43726</v>
      </c>
      <c r="AC275" s="426">
        <f>IF(OR(t&lt;Tnet,NoTnet),'2018'!Resal_s+('2018'!Salim-'2018'!Resal_s)*(1-EXP(('2018'!Tnet_s-t)/'2018'!Tau_j)),Resal_s+(Salim-Resal_s)*(1-EXP((Tnet_s-t)/Tau_j)))*Salcycl</f>
        <v>2.5407107490839746E-2</v>
      </c>
      <c r="AD275" s="231">
        <f>(INDEX(Models!$BJ275:$BT275,,AH275)*(1-AF275)+INDEX(Models!$BJ275:$BT275,,AH275+1)*AF275-ERP_i)*AE275*Ramure*Pc/MaxiM</f>
        <v>9.33023893403511E-7</v>
      </c>
      <c r="AE275" s="305">
        <f t="shared" si="113"/>
        <v>0.5</v>
      </c>
      <c r="AF275" s="177">
        <f t="shared" si="114"/>
        <v>0.98946620094073401</v>
      </c>
      <c r="AG275" s="176">
        <f t="shared" si="115"/>
        <v>-2</v>
      </c>
      <c r="AH275" s="176">
        <f t="shared" si="116"/>
        <v>4</v>
      </c>
      <c r="AI275" s="225">
        <f t="shared" si="117"/>
        <v>-1.010533799059266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7">
        <v>40.912999999999997</v>
      </c>
      <c r="C276" s="390"/>
      <c r="D276" s="393">
        <f t="shared" si="99"/>
        <v>41.334536041979923</v>
      </c>
      <c r="E276" s="385">
        <f t="shared" si="97"/>
        <v>42.413749994405478</v>
      </c>
      <c r="F276" s="385">
        <f t="shared" si="100"/>
        <v>42.413786815005437</v>
      </c>
      <c r="G276" s="110">
        <f t="shared" si="98"/>
        <v>0.87483784346870441</v>
      </c>
      <c r="H276" s="414" t="b">
        <f>Wh_hp&gt;='2018'!Maxi_hp</f>
        <v>1</v>
      </c>
      <c r="I276" s="390">
        <f>IF(H276,Wh_hp,'2018'!Maxi_hp)</f>
        <v>42.413786815005437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1.0198155884750038E-2</v>
      </c>
      <c r="M276" s="845"/>
      <c r="N276" s="845"/>
      <c r="O276" s="48">
        <f>IF(t&lt;Tnet,'2018'!Resal+('2018'!Salim-'2018'!Resal)*(1-EXP(('2018'!Tnet-t)/('2018'!Tau_j))),Resal+(Salim-Resal)*(1-EXP((Tnet-t)/(Tau_j))))*Salcycl</f>
        <v>2.5444907667157585E-2</v>
      </c>
      <c r="P276" s="169">
        <f>(INDEX(Models!$BJ276:$BT276,,T276)*(1-R276)+INDEX(Models!$BJ276:$BT276,,T276+1)*R276-ERP_i)*Q276*Ramure*Pc/MaxiM</f>
        <v>1.0571494182976143E-6</v>
      </c>
      <c r="Q276" s="305">
        <f t="shared" si="102"/>
        <v>0.5</v>
      </c>
      <c r="R276" s="177">
        <f t="shared" si="103"/>
        <v>0.98978682190999567</v>
      </c>
      <c r="S276" s="811">
        <f t="shared" si="104"/>
        <v>-2</v>
      </c>
      <c r="T276" s="176">
        <f t="shared" si="105"/>
        <v>4</v>
      </c>
      <c r="U276" s="251">
        <f t="shared" si="106"/>
        <v>-1.0102131780900043</v>
      </c>
      <c r="V276" s="383">
        <f t="shared" si="107"/>
        <v>46.766372273454898</v>
      </c>
      <c r="W276" s="58"/>
      <c r="X276" s="157">
        <f t="shared" si="108"/>
        <v>43727</v>
      </c>
      <c r="Y276" s="385">
        <f t="shared" si="109"/>
        <v>40.912999999999997</v>
      </c>
      <c r="Z276" s="385">
        <f t="shared" si="110"/>
        <v>41.334536041979923</v>
      </c>
      <c r="AA276" s="386">
        <f t="shared" si="111"/>
        <v>42.413749994405478</v>
      </c>
      <c r="AB276" s="197">
        <f t="shared" si="112"/>
        <v>43727</v>
      </c>
      <c r="AC276" s="426">
        <f>IF(OR(t&lt;Tnet,NoTnet),'2018'!Resal_s+('2018'!Salim-'2018'!Resal_s)*(1-EXP(('2018'!Tnet_s-t)/'2018'!Tau_j)),Resal_s+(Salim-Resal_s)*(1-EXP((Tnet_s-t)/Tau_j)))*Salcycl</f>
        <v>2.5444907667157585E-2</v>
      </c>
      <c r="AD276" s="231">
        <f>(INDEX(Models!$BJ276:$BT276,,AH276)*(1-AF276)+INDEX(Models!$BJ276:$BT276,,AH276+1)*AF276-ERP_i)*AE276*Ramure*Pc/MaxiM</f>
        <v>1.0571494182976143E-6</v>
      </c>
      <c r="AE276" s="305">
        <f t="shared" si="113"/>
        <v>0.5</v>
      </c>
      <c r="AF276" s="177">
        <f t="shared" si="114"/>
        <v>0.98978682190999567</v>
      </c>
      <c r="AG276" s="176">
        <f t="shared" si="115"/>
        <v>-2</v>
      </c>
      <c r="AH276" s="176">
        <f t="shared" si="116"/>
        <v>4</v>
      </c>
      <c r="AI276" s="225">
        <f t="shared" si="117"/>
        <v>-1.0102131780900043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7">
        <v>46.457000000000001</v>
      </c>
      <c r="C277" s="390"/>
      <c r="D277" s="393">
        <f t="shared" si="99"/>
        <v>46.936685182015331</v>
      </c>
      <c r="E277" s="385">
        <f t="shared" si="97"/>
        <v>48.164020184568365</v>
      </c>
      <c r="F277" s="385">
        <f t="shared" si="100"/>
        <v>48.16407719164706</v>
      </c>
      <c r="G277" s="110">
        <f t="shared" si="98"/>
        <v>1.0000234309450107</v>
      </c>
      <c r="H277" s="414" t="b">
        <f>Wh_hp&gt;='2018'!Maxi_hp</f>
        <v>1</v>
      </c>
      <c r="I277" s="390">
        <f>IF(H277,Wh_hp,'2018'!Maxi_hp)</f>
        <v>48.16407719164706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1.0219835085395701E-2</v>
      </c>
      <c r="M277" s="845"/>
      <c r="N277" s="845"/>
      <c r="O277" s="48">
        <f>IF(t&lt;Tnet,'2018'!Resal+('2018'!Salim-'2018'!Resal)*(1-EXP(('2018'!Tnet-t)/('2018'!Tau_j))),Resal+(Salim-Resal)*(1-EXP((Tnet-t)/(Tau_j))))*Salcycl</f>
        <v>2.5482403625149891E-2</v>
      </c>
      <c r="P277" s="169">
        <f>(INDEX(Models!$BJ277:$BT277,,T277)*(1-R277)+INDEX(Models!$BJ277:$BT277,,T277+1)*R277-ERP_i)*Q277*Ramure*Pc/MaxiM</f>
        <v>1.1836015973224709E-6</v>
      </c>
      <c r="Q277" s="305">
        <f t="shared" si="102"/>
        <v>0.5</v>
      </c>
      <c r="R277" s="177">
        <f t="shared" si="103"/>
        <v>0.99009492635505447</v>
      </c>
      <c r="S277" s="811">
        <f t="shared" si="104"/>
        <v>-2</v>
      </c>
      <c r="T277" s="176">
        <f t="shared" si="105"/>
        <v>4</v>
      </c>
      <c r="U277" s="251">
        <f t="shared" si="106"/>
        <v>-1.0099050736449455</v>
      </c>
      <c r="V277" s="383">
        <f t="shared" si="107"/>
        <v>46.455911494092355</v>
      </c>
      <c r="W277" s="58"/>
      <c r="X277" s="157">
        <f t="shared" si="108"/>
        <v>43728</v>
      </c>
      <c r="Y277" s="385">
        <f t="shared" si="109"/>
        <v>46.457000000000001</v>
      </c>
      <c r="Z277" s="385">
        <f t="shared" si="110"/>
        <v>46.936685182015331</v>
      </c>
      <c r="AA277" s="386">
        <f t="shared" si="111"/>
        <v>48.164020184568365</v>
      </c>
      <c r="AB277" s="197">
        <f t="shared" si="112"/>
        <v>43728</v>
      </c>
      <c r="AC277" s="426">
        <f>IF(OR(t&lt;Tnet,NoTnet),'2018'!Resal_s+('2018'!Salim-'2018'!Resal_s)*(1-EXP(('2018'!Tnet_s-t)/'2018'!Tau_j)),Resal_s+(Salim-Resal_s)*(1-EXP((Tnet_s-t)/Tau_j)))*Salcycl</f>
        <v>2.5482403625149891E-2</v>
      </c>
      <c r="AD277" s="231">
        <f>(INDEX(Models!$BJ277:$BT277,,AH277)*(1-AF277)+INDEX(Models!$BJ277:$BT277,,AH277+1)*AF277-ERP_i)*AE277*Ramure*Pc/MaxiM</f>
        <v>1.1836015973224709E-6</v>
      </c>
      <c r="AE277" s="305">
        <f t="shared" si="113"/>
        <v>0.5</v>
      </c>
      <c r="AF277" s="177">
        <f t="shared" si="114"/>
        <v>0.99009492635505447</v>
      </c>
      <c r="AG277" s="176">
        <f t="shared" si="115"/>
        <v>-2</v>
      </c>
      <c r="AH277" s="176">
        <f t="shared" si="116"/>
        <v>4</v>
      </c>
      <c r="AI277" s="225">
        <f t="shared" si="117"/>
        <v>-1.0099050736449455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7">
        <v>33.671999999999997</v>
      </c>
      <c r="C278" s="390"/>
      <c r="D278" s="393">
        <f t="shared" si="99"/>
        <v>34.020420607515071</v>
      </c>
      <c r="E278" s="385">
        <f t="shared" si="97"/>
        <v>34.911343631223957</v>
      </c>
      <c r="F278" s="385">
        <f t="shared" si="100"/>
        <v>34.911371761935094</v>
      </c>
      <c r="G278" s="110">
        <f t="shared" si="98"/>
        <v>0.72977451076367161</v>
      </c>
      <c r="H278" s="414" t="b">
        <f>Wh_hp&gt;='2018'!Maxi_hp</f>
        <v>1</v>
      </c>
      <c r="I278" s="390">
        <f>IF(H278,Wh_hp,'2018'!Maxi_hp)</f>
        <v>34.911371761935094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1.0241513811211078E-2</v>
      </c>
      <c r="M278" s="845"/>
      <c r="N278" s="845"/>
      <c r="O278" s="48">
        <f>IF(t&lt;Tnet,'2018'!Resal+('2018'!Salim-'2018'!Resal)*(1-EXP(('2018'!Tnet-t)/('2018'!Tau_j))),Resal+(Salim-Resal)*(1-EXP((Tnet-t)/(Tau_j))))*Salcycl</f>
        <v>2.5519585642990446E-2</v>
      </c>
      <c r="P278" s="169">
        <f>(INDEX(Models!$BJ278:$BT278,,T278)*(1-R278)+INDEX(Models!$BJ278:$BT278,,T278+1)*R278-ERP_i)*Q278*Ramure*Pc/MaxiM</f>
        <v>1.3124138629083334E-6</v>
      </c>
      <c r="Q278" s="305">
        <f t="shared" si="102"/>
        <v>0.5</v>
      </c>
      <c r="R278" s="177">
        <f t="shared" si="103"/>
        <v>0.99039098792764202</v>
      </c>
      <c r="S278" s="811">
        <f t="shared" si="104"/>
        <v>-2</v>
      </c>
      <c r="T278" s="176">
        <f t="shared" si="105"/>
        <v>4</v>
      </c>
      <c r="U278" s="251">
        <f t="shared" si="106"/>
        <v>-1.009609012072358</v>
      </c>
      <c r="V278" s="383">
        <f t="shared" si="107"/>
        <v>46.140256262454258</v>
      </c>
      <c r="W278" s="58"/>
      <c r="X278" s="157">
        <f t="shared" si="108"/>
        <v>43729</v>
      </c>
      <c r="Y278" s="385">
        <f t="shared" si="109"/>
        <v>33.671999999999997</v>
      </c>
      <c r="Z278" s="385">
        <f t="shared" si="110"/>
        <v>34.020420607515071</v>
      </c>
      <c r="AA278" s="386">
        <f t="shared" si="111"/>
        <v>34.911343631223957</v>
      </c>
      <c r="AB278" s="197">
        <f t="shared" si="112"/>
        <v>43729</v>
      </c>
      <c r="AC278" s="426">
        <f>IF(OR(t&lt;Tnet,NoTnet),'2018'!Resal_s+('2018'!Salim-'2018'!Resal_s)*(1-EXP(('2018'!Tnet_s-t)/'2018'!Tau_j)),Resal_s+(Salim-Resal_s)*(1-EXP((Tnet_s-t)/Tau_j)))*Salcycl</f>
        <v>2.5519585642990446E-2</v>
      </c>
      <c r="AD278" s="231">
        <f>(INDEX(Models!$BJ278:$BT278,,AH278)*(1-AF278)+INDEX(Models!$BJ278:$BT278,,AH278+1)*AF278-ERP_i)*AE278*Ramure*Pc/MaxiM</f>
        <v>1.3124138629083334E-6</v>
      </c>
      <c r="AE278" s="305">
        <f t="shared" si="113"/>
        <v>0.5</v>
      </c>
      <c r="AF278" s="177">
        <f t="shared" si="114"/>
        <v>0.99039098792764202</v>
      </c>
      <c r="AG278" s="176">
        <f t="shared" si="115"/>
        <v>-2</v>
      </c>
      <c r="AH278" s="176">
        <f t="shared" si="116"/>
        <v>4</v>
      </c>
      <c r="AI278" s="225">
        <f t="shared" si="117"/>
        <v>-1.009609012072358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7">
        <v>8.7050000000000001</v>
      </c>
      <c r="C279" s="390"/>
      <c r="D279" s="393">
        <f t="shared" si="99"/>
        <v>8.7952675197941375</v>
      </c>
      <c r="E279" s="385">
        <f t="shared" si="97"/>
        <v>9.02593840839147</v>
      </c>
      <c r="F279" s="385">
        <f t="shared" si="100"/>
        <v>9.02593840839147</v>
      </c>
      <c r="G279" s="110">
        <f t="shared" si="98"/>
        <v>0.1899812874521252</v>
      </c>
      <c r="H279" s="414" t="b">
        <f>Wh_hp&gt;='2018'!Maxi_hp</f>
        <v>0</v>
      </c>
      <c r="I279" s="390">
        <f>IF(H279,Wh_hp,'2018'!Maxi_hp)</f>
        <v>43.945672735997164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1.0263192062206827E-2</v>
      </c>
      <c r="M279" s="845"/>
      <c r="N279" s="845"/>
      <c r="O279" s="48">
        <f>IF(t&lt;Tnet,'2018'!Resal+('2018'!Salim-'2018'!Resal)*(1-EXP(('2018'!Tnet-t)/('2018'!Tau_j))),Resal+(Salim-Resal)*(1-EXP((Tnet-t)/(Tau_j))))*Salcycl</f>
        <v>2.555644390204086E-2</v>
      </c>
      <c r="P279" s="169">
        <f>(INDEX(Models!$BJ279:$BT279,,T279)*(1-R279)+INDEX(Models!$BJ279:$BT279,,T279+1)*R279-ERP_i)*Q279*Ramure*Pc/MaxiM</f>
        <v>1.4436112214830696E-6</v>
      </c>
      <c r="Q279" s="305">
        <f t="shared" si="102"/>
        <v>0.5</v>
      </c>
      <c r="R279" s="177">
        <f t="shared" si="103"/>
        <v>0.99067546352245239</v>
      </c>
      <c r="S279" s="811">
        <f t="shared" si="104"/>
        <v>-2</v>
      </c>
      <c r="T279" s="176">
        <f t="shared" si="105"/>
        <v>4</v>
      </c>
      <c r="U279" s="251">
        <f t="shared" si="106"/>
        <v>-1.0093245364775476</v>
      </c>
      <c r="V279" s="383">
        <f t="shared" si="107"/>
        <v>45.820236035393499</v>
      </c>
      <c r="W279" s="58"/>
      <c r="X279" s="157">
        <f t="shared" si="108"/>
        <v>43730</v>
      </c>
      <c r="Y279" s="385">
        <f t="shared" si="109"/>
        <v>8.7050000000000001</v>
      </c>
      <c r="Z279" s="385">
        <f t="shared" si="110"/>
        <v>8.7952675197941375</v>
      </c>
      <c r="AA279" s="386">
        <f t="shared" si="111"/>
        <v>9.02593840839147</v>
      </c>
      <c r="AB279" s="197">
        <f t="shared" si="112"/>
        <v>43730</v>
      </c>
      <c r="AC279" s="426">
        <f>IF(OR(t&lt;Tnet,NoTnet),'2018'!Resal_s+('2018'!Salim-'2018'!Resal_s)*(1-EXP(('2018'!Tnet_s-t)/'2018'!Tau_j)),Resal_s+(Salim-Resal_s)*(1-EXP((Tnet_s-t)/Tau_j)))*Salcycl</f>
        <v>2.555644390204086E-2</v>
      </c>
      <c r="AD279" s="231">
        <f>(INDEX(Models!$BJ279:$BT279,,AH279)*(1-AF279)+INDEX(Models!$BJ279:$BT279,,AH279+1)*AF279-ERP_i)*AE279*Ramure*Pc/MaxiM</f>
        <v>1.4436112214830696E-6</v>
      </c>
      <c r="AE279" s="305">
        <f t="shared" si="113"/>
        <v>0.5</v>
      </c>
      <c r="AF279" s="177">
        <f t="shared" si="114"/>
        <v>0.99067546352245239</v>
      </c>
      <c r="AG279" s="176">
        <f t="shared" si="115"/>
        <v>-2</v>
      </c>
      <c r="AH279" s="176">
        <f t="shared" si="116"/>
        <v>4</v>
      </c>
      <c r="AI279" s="225">
        <f t="shared" si="117"/>
        <v>-1.0093245364775476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7">
        <v>40.462000000000003</v>
      </c>
      <c r="C280" s="390"/>
      <c r="D280" s="393">
        <f t="shared" si="99"/>
        <v>40.882470891794007</v>
      </c>
      <c r="E280" s="385">
        <f t="shared" si="97"/>
        <v>41.956256032125857</v>
      </c>
      <c r="F280" s="385">
        <f t="shared" si="100"/>
        <v>41.956311745133924</v>
      </c>
      <c r="G280" s="110">
        <f t="shared" si="98"/>
        <v>0.88933939501291881</v>
      </c>
      <c r="H280" s="414" t="b">
        <f>Wh_hp&gt;='2018'!Maxi_hp</f>
        <v>0</v>
      </c>
      <c r="I280" s="390">
        <f>IF(H280,Wh_hp,'2018'!Maxi_hp)</f>
        <v>44.303472000025792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1.0284869838393274E-2</v>
      </c>
      <c r="M280" s="845"/>
      <c r="N280" s="845"/>
      <c r="O280" s="48">
        <f>IF(t&lt;Tnet,'2018'!Resal+('2018'!Salim-'2018'!Resal)*(1-EXP(('2018'!Tnet-t)/('2018'!Tau_j))),Resal+(Salim-Resal)*(1-EXP((Tnet-t)/(Tau_j))))*Salcycl</f>
        <v>2.5592968531549912E-2</v>
      </c>
      <c r="P280" s="169">
        <f>(INDEX(Models!$BJ280:$BT280,,T280)*(1-R280)+INDEX(Models!$BJ280:$BT280,,T280+1)*R280-ERP_i)*Q280*Ramure*Pc/MaxiM</f>
        <v>1.577217937392919E-6</v>
      </c>
      <c r="Q280" s="305">
        <f t="shared" si="102"/>
        <v>0.5</v>
      </c>
      <c r="R280" s="177">
        <f t="shared" si="103"/>
        <v>0.99094879377801748</v>
      </c>
      <c r="S280" s="811">
        <f t="shared" si="104"/>
        <v>-2</v>
      </c>
      <c r="T280" s="176">
        <f t="shared" si="105"/>
        <v>4</v>
      </c>
      <c r="U280" s="251">
        <f t="shared" si="106"/>
        <v>-1.0090512062219825</v>
      </c>
      <c r="V280" s="383">
        <f t="shared" si="107"/>
        <v>45.496680050641281</v>
      </c>
      <c r="W280" s="58"/>
      <c r="X280" s="157">
        <f t="shared" si="108"/>
        <v>43731</v>
      </c>
      <c r="Y280" s="385">
        <f t="shared" si="109"/>
        <v>40.462000000000003</v>
      </c>
      <c r="Z280" s="385">
        <f t="shared" si="110"/>
        <v>40.882470891794007</v>
      </c>
      <c r="AA280" s="386">
        <f t="shared" si="111"/>
        <v>41.956256032125857</v>
      </c>
      <c r="AB280" s="197">
        <f t="shared" si="112"/>
        <v>43731</v>
      </c>
      <c r="AC280" s="426">
        <f>IF(OR(t&lt;Tnet,NoTnet),'2018'!Resal_s+('2018'!Salim-'2018'!Resal_s)*(1-EXP(('2018'!Tnet_s-t)/'2018'!Tau_j)),Resal_s+(Salim-Resal_s)*(1-EXP((Tnet_s-t)/Tau_j)))*Salcycl</f>
        <v>2.5592968531549912E-2</v>
      </c>
      <c r="AD280" s="231">
        <f>(INDEX(Models!$BJ280:$BT280,,AH280)*(1-AF280)+INDEX(Models!$BJ280:$BT280,,AH280+1)*AF280-ERP_i)*AE280*Ramure*Pc/MaxiM</f>
        <v>1.577217937392919E-6</v>
      </c>
      <c r="AE280" s="305">
        <f t="shared" si="113"/>
        <v>0.5</v>
      </c>
      <c r="AF280" s="177">
        <f t="shared" si="114"/>
        <v>0.99094879377801748</v>
      </c>
      <c r="AG280" s="176">
        <f t="shared" si="115"/>
        <v>-2</v>
      </c>
      <c r="AH280" s="176">
        <f t="shared" si="116"/>
        <v>4</v>
      </c>
      <c r="AI280" s="225">
        <f t="shared" si="117"/>
        <v>-1.0090512062219825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7">
        <v>27.86</v>
      </c>
      <c r="C281" s="390"/>
      <c r="D281" s="393">
        <f t="shared" si="99"/>
        <v>28.150130648519958</v>
      </c>
      <c r="E281" s="385">
        <f t="shared" si="97"/>
        <v>28.890571427334194</v>
      </c>
      <c r="F281" s="385">
        <f t="shared" si="100"/>
        <v>28.890593826390468</v>
      </c>
      <c r="G281" s="110">
        <f t="shared" si="98"/>
        <v>0.61677477245245227</v>
      </c>
      <c r="H281" s="414" t="b">
        <f>Wh_hp&gt;='2018'!Maxi_hp</f>
        <v>0</v>
      </c>
      <c r="I281" s="390">
        <f>IF(H281,Wh_hp,'2018'!Maxi_hp)</f>
        <v>40.084162591234495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1.0306547139780742E-2</v>
      </c>
      <c r="M281" s="845"/>
      <c r="N281" s="845"/>
      <c r="O281" s="48">
        <f>IF(t&lt;Tnet,'2018'!Resal+('2018'!Salim-'2018'!Resal)*(1-EXP(('2018'!Tnet-t)/('2018'!Tau_j))),Resal+(Salim-Resal)*(1-EXP((Tnet-t)/(Tau_j))))*Salcycl</f>
        <v>2.5629149657929007E-2</v>
      </c>
      <c r="P281" s="169">
        <f>(INDEX(Models!$BJ281:$BT281,,T281)*(1-R281)+INDEX(Models!$BJ281:$BT281,,T281+1)*R281-ERP_i)*Q281*Ramure*Pc/MaxiM</f>
        <v>1.7132467297604793E-6</v>
      </c>
      <c r="Q281" s="305">
        <f t="shared" si="102"/>
        <v>0.5</v>
      </c>
      <c r="R281" s="177">
        <f t="shared" si="103"/>
        <v>0.99121140357015358</v>
      </c>
      <c r="S281" s="811">
        <f t="shared" si="104"/>
        <v>-2</v>
      </c>
      <c r="T281" s="176">
        <f t="shared" si="105"/>
        <v>4</v>
      </c>
      <c r="U281" s="251">
        <f t="shared" si="106"/>
        <v>-1.0087885964298464</v>
      </c>
      <c r="V281" s="383">
        <f t="shared" si="107"/>
        <v>45.170417327832752</v>
      </c>
      <c r="W281" s="58"/>
      <c r="X281" s="157">
        <f t="shared" si="108"/>
        <v>43732</v>
      </c>
      <c r="Y281" s="385">
        <f t="shared" si="109"/>
        <v>27.86</v>
      </c>
      <c r="Z281" s="385">
        <f t="shared" si="110"/>
        <v>28.150130648519958</v>
      </c>
      <c r="AA281" s="386">
        <f t="shared" si="111"/>
        <v>28.890571427334194</v>
      </c>
      <c r="AB281" s="197">
        <f t="shared" si="112"/>
        <v>43732</v>
      </c>
      <c r="AC281" s="426">
        <f>IF(OR(t&lt;Tnet,NoTnet),'2018'!Resal_s+('2018'!Salim-'2018'!Resal_s)*(1-EXP(('2018'!Tnet_s-t)/'2018'!Tau_j)),Resal_s+(Salim-Resal_s)*(1-EXP((Tnet_s-t)/Tau_j)))*Salcycl</f>
        <v>2.5629149657929007E-2</v>
      </c>
      <c r="AD281" s="231">
        <f>(INDEX(Models!$BJ281:$BT281,,AH281)*(1-AF281)+INDEX(Models!$BJ281:$BT281,,AH281+1)*AF281-ERP_i)*AE281*Ramure*Pc/MaxiM</f>
        <v>1.7132467297604793E-6</v>
      </c>
      <c r="AE281" s="305">
        <f t="shared" si="113"/>
        <v>0.5</v>
      </c>
      <c r="AF281" s="177">
        <f t="shared" si="114"/>
        <v>0.99121140357015358</v>
      </c>
      <c r="AG281" s="176">
        <f t="shared" si="115"/>
        <v>-2</v>
      </c>
      <c r="AH281" s="176">
        <f t="shared" si="116"/>
        <v>4</v>
      </c>
      <c r="AI281" s="225">
        <f t="shared" si="117"/>
        <v>-1.0087885964298464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7">
        <v>29.43</v>
      </c>
      <c r="C282" s="390"/>
      <c r="D282" s="393">
        <f t="shared" si="99"/>
        <v>29.737131756903036</v>
      </c>
      <c r="E282" s="385">
        <f t="shared" si="97"/>
        <v>30.520438113096898</v>
      </c>
      <c r="F282" s="385">
        <f t="shared" si="100"/>
        <v>30.520470967672125</v>
      </c>
      <c r="G282" s="110">
        <f t="shared" si="98"/>
        <v>0.65629979943172023</v>
      </c>
      <c r="H282" s="414" t="b">
        <f>Wh_hp&gt;='2018'!Maxi_hp</f>
        <v>0</v>
      </c>
      <c r="I282" s="390">
        <f>IF(H282,Wh_hp,'2018'!Maxi_hp)</f>
        <v>46.514117854235721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1.0328223966379668E-2</v>
      </c>
      <c r="M282" s="845"/>
      <c r="N282" s="845"/>
      <c r="O282" s="48">
        <f>IF(t&lt;Tnet,'2018'!Resal+('2018'!Salim-'2018'!Resal)*(1-EXP(('2018'!Tnet-t)/('2018'!Tau_j))),Resal+(Salim-Resal)*(1-EXP((Tnet-t)/(Tau_j))))*Salcycl</f>
        <v>2.566497745842412E-2</v>
      </c>
      <c r="P282" s="169">
        <f>(INDEX(Models!$BJ282:$BT282,,T282)*(1-R282)+INDEX(Models!$BJ282:$BT282,,T282+1)*R282-ERP_i)*Q282*Ramure*Pc/MaxiM</f>
        <v>2.1148825655096428E-6</v>
      </c>
      <c r="Q282" s="305">
        <f t="shared" si="102"/>
        <v>0.5</v>
      </c>
      <c r="R282" s="177">
        <f t="shared" si="103"/>
        <v>0.99146370249737181</v>
      </c>
      <c r="S282" s="811">
        <f t="shared" si="104"/>
        <v>-2</v>
      </c>
      <c r="T282" s="176">
        <f t="shared" si="105"/>
        <v>4</v>
      </c>
      <c r="U282" s="251">
        <f t="shared" si="106"/>
        <v>-1.0085362975026282</v>
      </c>
      <c r="V282" s="383">
        <f t="shared" si="107"/>
        <v>44.842264869141843</v>
      </c>
      <c r="W282" s="58"/>
      <c r="X282" s="157">
        <f t="shared" si="108"/>
        <v>43733</v>
      </c>
      <c r="Y282" s="385">
        <f t="shared" si="109"/>
        <v>29.43</v>
      </c>
      <c r="Z282" s="385">
        <f t="shared" si="110"/>
        <v>29.737131756903036</v>
      </c>
      <c r="AA282" s="386">
        <f t="shared" si="111"/>
        <v>30.520438113096898</v>
      </c>
      <c r="AB282" s="197">
        <f t="shared" si="112"/>
        <v>43733</v>
      </c>
      <c r="AC282" s="426">
        <f>IF(OR(t&lt;Tnet,NoTnet),'2018'!Resal_s+('2018'!Salim-'2018'!Resal_s)*(1-EXP(('2018'!Tnet_s-t)/'2018'!Tau_j)),Resal_s+(Salim-Resal_s)*(1-EXP((Tnet_s-t)/Tau_j)))*Salcycl</f>
        <v>2.566497745842412E-2</v>
      </c>
      <c r="AD282" s="231">
        <f>(INDEX(Models!$BJ282:$BT282,,AH282)*(1-AF282)+INDEX(Models!$BJ282:$BT282,,AH282+1)*AF282-ERP_i)*AE282*Ramure*Pc/MaxiM</f>
        <v>2.1148825655096428E-6</v>
      </c>
      <c r="AE282" s="305">
        <f t="shared" si="113"/>
        <v>0.5</v>
      </c>
      <c r="AF282" s="177">
        <f t="shared" si="114"/>
        <v>0.99146370249737181</v>
      </c>
      <c r="AG282" s="176">
        <f t="shared" si="115"/>
        <v>-2</v>
      </c>
      <c r="AH282" s="176">
        <f t="shared" si="116"/>
        <v>4</v>
      </c>
      <c r="AI282" s="225">
        <f t="shared" si="117"/>
        <v>-1.0085362975026282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7">
        <v>36.067999999999998</v>
      </c>
      <c r="C283" s="390"/>
      <c r="D283" s="393">
        <f t="shared" si="99"/>
        <v>36.445204230865919</v>
      </c>
      <c r="E283" s="385">
        <f t="shared" si="97"/>
        <v>37.406569611782615</v>
      </c>
      <c r="F283" s="385">
        <f t="shared" si="100"/>
        <v>37.406645403180605</v>
      </c>
      <c r="G283" s="110">
        <f t="shared" si="98"/>
        <v>0.81027859250335665</v>
      </c>
      <c r="H283" s="414" t="b">
        <f>Wh_hp&gt;='2018'!Maxi_hp</f>
        <v>0</v>
      </c>
      <c r="I283" s="390">
        <f>IF(H283,Wh_hp,'2018'!Maxi_hp)</f>
        <v>46.475483095151723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1.0349900318200489E-2</v>
      </c>
      <c r="M283" s="845"/>
      <c r="N283" s="845"/>
      <c r="O283" s="48">
        <f>IF(t&lt;Tnet,'2018'!Resal+('2018'!Salim-'2018'!Resal)*(1-EXP(('2018'!Tnet-t)/('2018'!Tau_j))),Resal+(Salim-Resal)*(1-EXP((Tnet-t)/(Tau_j))))*Salcycl</f>
        <v>2.5700442218948519E-2</v>
      </c>
      <c r="P283" s="169">
        <f>(INDEX(Models!$BJ283:$BT283,,T283)*(1-R283)+INDEX(Models!$BJ283:$BT283,,T283+1)*R283-ERP_i)*Q283*Ramure*Pc/MaxiM</f>
        <v>2.779465748378263E-6</v>
      </c>
      <c r="Q283" s="305">
        <f t="shared" si="102"/>
        <v>0.5</v>
      </c>
      <c r="R283" s="177">
        <f t="shared" si="103"/>
        <v>0.99170608535774973</v>
      </c>
      <c r="S283" s="811">
        <f t="shared" si="104"/>
        <v>-2</v>
      </c>
      <c r="T283" s="176">
        <f t="shared" si="105"/>
        <v>4</v>
      </c>
      <c r="U283" s="251">
        <f t="shared" si="106"/>
        <v>-1.0082939146422503</v>
      </c>
      <c r="V283" s="383">
        <f t="shared" si="107"/>
        <v>44.513051638013337</v>
      </c>
      <c r="W283" s="58"/>
      <c r="X283" s="157">
        <f t="shared" si="108"/>
        <v>43734</v>
      </c>
      <c r="Y283" s="385">
        <f t="shared" si="109"/>
        <v>36.067999999999998</v>
      </c>
      <c r="Z283" s="385">
        <f t="shared" si="110"/>
        <v>36.445204230865919</v>
      </c>
      <c r="AA283" s="386">
        <f t="shared" si="111"/>
        <v>37.406569611782615</v>
      </c>
      <c r="AB283" s="197">
        <f t="shared" si="112"/>
        <v>43734</v>
      </c>
      <c r="AC283" s="426">
        <f>IF(OR(t&lt;Tnet,NoTnet),'2018'!Resal_s+('2018'!Salim-'2018'!Resal_s)*(1-EXP(('2018'!Tnet_s-t)/'2018'!Tau_j)),Resal_s+(Salim-Resal_s)*(1-EXP((Tnet_s-t)/Tau_j)))*Salcycl</f>
        <v>2.5700442218948519E-2</v>
      </c>
      <c r="AD283" s="231">
        <f>(INDEX(Models!$BJ283:$BT283,,AH283)*(1-AF283)+INDEX(Models!$BJ283:$BT283,,AH283+1)*AF283-ERP_i)*AE283*Ramure*Pc/MaxiM</f>
        <v>2.779465748378263E-6</v>
      </c>
      <c r="AE283" s="305">
        <f t="shared" si="113"/>
        <v>0.5</v>
      </c>
      <c r="AF283" s="177">
        <f t="shared" si="114"/>
        <v>0.99170608535774973</v>
      </c>
      <c r="AG283" s="176">
        <f t="shared" si="115"/>
        <v>-2</v>
      </c>
      <c r="AH283" s="176">
        <f t="shared" si="116"/>
        <v>4</v>
      </c>
      <c r="AI283" s="225">
        <f t="shared" si="117"/>
        <v>-1.0082939146422503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7">
        <v>36.637</v>
      </c>
      <c r="C284" s="390"/>
      <c r="D284" s="393">
        <f t="shared" si="99"/>
        <v>37.02096576727719</v>
      </c>
      <c r="E284" s="385">
        <f t="shared" si="97"/>
        <v>37.998887442043461</v>
      </c>
      <c r="F284" s="385">
        <f t="shared" si="100"/>
        <v>37.998994048795808</v>
      </c>
      <c r="G284" s="110">
        <f t="shared" si="98"/>
        <v>0.8291982043384204</v>
      </c>
      <c r="H284" s="414" t="b">
        <f>Wh_hp&gt;='2018'!Maxi_hp</f>
        <v>0</v>
      </c>
      <c r="I284" s="390">
        <f>IF(H284,Wh_hp,'2018'!Maxi_hp)</f>
        <v>45.12039737403196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1.0371576195253529E-2</v>
      </c>
      <c r="M284" s="845"/>
      <c r="N284" s="845"/>
      <c r="O284" s="48">
        <f>IF(t&lt;Tnet,'2018'!Resal+('2018'!Salim-'2018'!Resal)*(1-EXP(('2018'!Tnet-t)/('2018'!Tau_j))),Resal+(Salim-Resal)*(1-EXP((Tnet-t)/(Tau_j))))*Salcycl</f>
        <v>2.5735534395785017E-2</v>
      </c>
      <c r="P284" s="169">
        <f>(INDEX(Models!$BJ284:$BT284,,T284)*(1-R284)+INDEX(Models!$BJ284:$BT284,,T284+1)*R284-ERP_i)*Q284*Ramure*Pc/MaxiM</f>
        <v>3.7110061628060504E-6</v>
      </c>
      <c r="Q284" s="305">
        <f t="shared" si="102"/>
        <v>0.5</v>
      </c>
      <c r="R284" s="177">
        <f t="shared" si="103"/>
        <v>0.99193893261681909</v>
      </c>
      <c r="S284" s="811">
        <f t="shared" si="104"/>
        <v>-2</v>
      </c>
      <c r="T284" s="176">
        <f t="shared" si="105"/>
        <v>4</v>
      </c>
      <c r="U284" s="251">
        <f t="shared" si="106"/>
        <v>-1.0080610673831809</v>
      </c>
      <c r="V284" s="383">
        <f t="shared" si="107"/>
        <v>44.183606083255526</v>
      </c>
      <c r="W284" s="58"/>
      <c r="X284" s="157">
        <f t="shared" si="108"/>
        <v>43735</v>
      </c>
      <c r="Y284" s="385">
        <f t="shared" si="109"/>
        <v>36.637</v>
      </c>
      <c r="Z284" s="385">
        <f t="shared" si="110"/>
        <v>37.02096576727719</v>
      </c>
      <c r="AA284" s="386">
        <f t="shared" si="111"/>
        <v>37.998887442043461</v>
      </c>
      <c r="AB284" s="197">
        <f t="shared" si="112"/>
        <v>43735</v>
      </c>
      <c r="AC284" s="426">
        <f>IF(OR(t&lt;Tnet,NoTnet),'2018'!Resal_s+('2018'!Salim-'2018'!Resal_s)*(1-EXP(('2018'!Tnet_s-t)/'2018'!Tau_j)),Resal_s+(Salim-Resal_s)*(1-EXP((Tnet_s-t)/Tau_j)))*Salcycl</f>
        <v>2.5735534395785017E-2</v>
      </c>
      <c r="AD284" s="231">
        <f>(INDEX(Models!$BJ284:$BT284,,AH284)*(1-AF284)+INDEX(Models!$BJ284:$BT284,,AH284+1)*AF284-ERP_i)*AE284*Ramure*Pc/MaxiM</f>
        <v>3.7110061628060504E-6</v>
      </c>
      <c r="AE284" s="305">
        <f t="shared" si="113"/>
        <v>0.5</v>
      </c>
      <c r="AF284" s="177">
        <f t="shared" si="114"/>
        <v>0.99193893261681909</v>
      </c>
      <c r="AG284" s="176">
        <f t="shared" si="115"/>
        <v>-2</v>
      </c>
      <c r="AH284" s="176">
        <f t="shared" si="116"/>
        <v>4</v>
      </c>
      <c r="AI284" s="225">
        <f t="shared" si="117"/>
        <v>-1.0080610673831809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7">
        <v>32.487000000000002</v>
      </c>
      <c r="C285" s="390"/>
      <c r="D285" s="393">
        <f t="shared" si="99"/>
        <v>32.828191655366794</v>
      </c>
      <c r="E285" s="385">
        <f t="shared" si="97"/>
        <v>33.696560258120286</v>
      </c>
      <c r="F285" s="385">
        <f t="shared" si="100"/>
        <v>33.696664513876591</v>
      </c>
      <c r="G285" s="110">
        <f t="shared" si="98"/>
        <v>0.74078488914530882</v>
      </c>
      <c r="H285" s="414" t="b">
        <f>Wh_hp&gt;='2018'!Maxi_hp</f>
        <v>0</v>
      </c>
      <c r="I285" s="390">
        <f>IF(H285,Wh_hp,'2018'!Maxi_hp)</f>
        <v>42.169880552957594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1.0393251597549225E-2</v>
      </c>
      <c r="M285" s="845"/>
      <c r="N285" s="845"/>
      <c r="O285" s="48">
        <f>IF(t&lt;Tnet,'2018'!Resal+('2018'!Salim-'2018'!Resal)*(1-EXP(('2018'!Tnet-t)/('2018'!Tau_j))),Resal+(Salim-Resal)*(1-EXP((Tnet-t)/(Tau_j))))*Salcycl</f>
        <v>2.577024468081214E-2</v>
      </c>
      <c r="P285" s="169">
        <f>(INDEX(Models!$BJ285:$BT285,,T285)*(1-R285)+INDEX(Models!$BJ285:$BT285,,T285+1)*R285-ERP_i)*Q285*Ramure*Pc/MaxiM</f>
        <v>4.9134115605919149E-6</v>
      </c>
      <c r="Q285" s="305">
        <f t="shared" si="102"/>
        <v>0.5</v>
      </c>
      <c r="R285" s="177">
        <f t="shared" si="103"/>
        <v>0.99216261086610569</v>
      </c>
      <c r="S285" s="811">
        <f t="shared" si="104"/>
        <v>-2</v>
      </c>
      <c r="T285" s="176">
        <f t="shared" si="105"/>
        <v>4</v>
      </c>
      <c r="U285" s="251">
        <f t="shared" si="106"/>
        <v>-1.0078373891338943</v>
      </c>
      <c r="V285" s="383">
        <f t="shared" si="107"/>
        <v>43.85475644409297</v>
      </c>
      <c r="W285" s="58"/>
      <c r="X285" s="157">
        <f t="shared" si="108"/>
        <v>43736</v>
      </c>
      <c r="Y285" s="385">
        <f t="shared" si="109"/>
        <v>32.487000000000002</v>
      </c>
      <c r="Z285" s="385">
        <f t="shared" si="110"/>
        <v>32.828191655366794</v>
      </c>
      <c r="AA285" s="386">
        <f t="shared" si="111"/>
        <v>33.696560258120286</v>
      </c>
      <c r="AB285" s="197">
        <f t="shared" si="112"/>
        <v>43736</v>
      </c>
      <c r="AC285" s="426">
        <f>IF(OR(t&lt;Tnet,NoTnet),'2018'!Resal_s+('2018'!Salim-'2018'!Resal_s)*(1-EXP(('2018'!Tnet_s-t)/'2018'!Tau_j)),Resal_s+(Salim-Resal_s)*(1-EXP((Tnet_s-t)/Tau_j)))*Salcycl</f>
        <v>2.577024468081214E-2</v>
      </c>
      <c r="AD285" s="231">
        <f>(INDEX(Models!$BJ285:$BT285,,AH285)*(1-AF285)+INDEX(Models!$BJ285:$BT285,,AH285+1)*AF285-ERP_i)*AE285*Ramure*Pc/MaxiM</f>
        <v>4.9134115605919149E-6</v>
      </c>
      <c r="AE285" s="305">
        <f t="shared" si="113"/>
        <v>0.5</v>
      </c>
      <c r="AF285" s="177">
        <f t="shared" si="114"/>
        <v>0.99216261086610569</v>
      </c>
      <c r="AG285" s="176">
        <f t="shared" si="115"/>
        <v>-2</v>
      </c>
      <c r="AH285" s="176">
        <f t="shared" si="116"/>
        <v>4</v>
      </c>
      <c r="AI285" s="225">
        <f t="shared" si="117"/>
        <v>-1.0078373891338943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7">
        <v>42.859000000000002</v>
      </c>
      <c r="C286" s="390"/>
      <c r="D286" s="393">
        <f t="shared" si="99"/>
        <v>43.310071209443116</v>
      </c>
      <c r="E286" s="385">
        <f t="shared" si="97"/>
        <v>44.45727172606955</v>
      </c>
      <c r="F286" s="385">
        <f t="shared" si="100"/>
        <v>44.457549596928516</v>
      </c>
      <c r="G286" s="110">
        <f t="shared" si="98"/>
        <v>0.98464558363487931</v>
      </c>
      <c r="H286" s="414" t="b">
        <f>Wh_hp&gt;='2018'!Maxi_hp</f>
        <v>1</v>
      </c>
      <c r="I286" s="390">
        <f>IF(H286,Wh_hp,'2018'!Maxi_hp)</f>
        <v>44.457549596928516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1.0414926525098012E-2</v>
      </c>
      <c r="M286" s="845"/>
      <c r="N286" s="845"/>
      <c r="O286" s="48">
        <f>IF(t&lt;Tnet,'2018'!Resal+('2018'!Salim-'2018'!Resal)*(1-EXP(('2018'!Tnet-t)/('2018'!Tau_j))),Resal+(Salim-Resal)*(1-EXP((Tnet-t)/(Tau_j))))*Salcycl</f>
        <v>2.5804564069857629E-2</v>
      </c>
      <c r="P286" s="169">
        <f>(INDEX(Models!$BJ286:$BT286,,T286)*(1-R286)+INDEX(Models!$BJ286:$BT286,,T286+1)*R286-ERP_i)*Q286*Ramure*Pc/MaxiM</f>
        <v>6.3904232509887764E-6</v>
      </c>
      <c r="Q286" s="305">
        <f t="shared" si="102"/>
        <v>0.5</v>
      </c>
      <c r="R286" s="177">
        <f t="shared" si="103"/>
        <v>0.99237747327201586</v>
      </c>
      <c r="S286" s="811">
        <f t="shared" si="104"/>
        <v>-2</v>
      </c>
      <c r="T286" s="176">
        <f t="shared" si="105"/>
        <v>4</v>
      </c>
      <c r="U286" s="251">
        <f t="shared" si="106"/>
        <v>-1.0076225267279841</v>
      </c>
      <c r="V286" s="383">
        <f t="shared" si="107"/>
        <v>43.527330751962502</v>
      </c>
      <c r="W286" s="58"/>
      <c r="X286" s="157">
        <f t="shared" si="108"/>
        <v>43737</v>
      </c>
      <c r="Y286" s="385">
        <f t="shared" si="109"/>
        <v>42.859000000000002</v>
      </c>
      <c r="Z286" s="385">
        <f t="shared" si="110"/>
        <v>43.310071209443116</v>
      </c>
      <c r="AA286" s="386">
        <f t="shared" si="111"/>
        <v>44.45727172606955</v>
      </c>
      <c r="AB286" s="197">
        <f t="shared" si="112"/>
        <v>43737</v>
      </c>
      <c r="AC286" s="426">
        <f>IF(OR(t&lt;Tnet,NoTnet),'2018'!Resal_s+('2018'!Salim-'2018'!Resal_s)*(1-EXP(('2018'!Tnet_s-t)/'2018'!Tau_j)),Resal_s+(Salim-Resal_s)*(1-EXP((Tnet_s-t)/Tau_j)))*Salcycl</f>
        <v>2.5804564069857629E-2</v>
      </c>
      <c r="AD286" s="231">
        <f>(INDEX(Models!$BJ286:$BT286,,AH286)*(1-AF286)+INDEX(Models!$BJ286:$BT286,,AH286+1)*AF286-ERP_i)*AE286*Ramure*Pc/MaxiM</f>
        <v>6.3904232509887764E-6</v>
      </c>
      <c r="AE286" s="305">
        <f t="shared" si="113"/>
        <v>0.5</v>
      </c>
      <c r="AF286" s="177">
        <f t="shared" si="114"/>
        <v>0.99237747327201586</v>
      </c>
      <c r="AG286" s="176">
        <f t="shared" si="115"/>
        <v>-2</v>
      </c>
      <c r="AH286" s="176">
        <f t="shared" si="116"/>
        <v>4</v>
      </c>
      <c r="AI286" s="225">
        <f t="shared" si="117"/>
        <v>-1.0076225267279841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7">
        <v>27.280999999999999</v>
      </c>
      <c r="C287" s="390"/>
      <c r="D287" s="393">
        <f t="shared" si="99"/>
        <v>27.568723769451999</v>
      </c>
      <c r="E287" s="385">
        <f t="shared" si="97"/>
        <v>28.299951614570492</v>
      </c>
      <c r="F287" s="385">
        <f t="shared" si="100"/>
        <v>28.300060773163633</v>
      </c>
      <c r="G287" s="110">
        <f t="shared" si="98"/>
        <v>0.63147039429638663</v>
      </c>
      <c r="H287" s="414" t="b">
        <f>Wh_hp&gt;='2018'!Maxi_hp</f>
        <v>0</v>
      </c>
      <c r="I287" s="390">
        <f>IF(H287,Wh_hp,'2018'!Maxi_hp)</f>
        <v>41.406216750872005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1.0436600977910215E-2</v>
      </c>
      <c r="M287" s="845"/>
      <c r="N287" s="845"/>
      <c r="O287" s="48">
        <f>IF(t&lt;Tnet,'2018'!Resal+('2018'!Salim-'2018'!Resal)*(1-EXP(('2018'!Tnet-t)/('2018'!Tau_j))),Resal+(Salim-Resal)*(1-EXP((Tnet-t)/(Tau_j))))*Salcycl</f>
        <v>2.5838483933732694E-2</v>
      </c>
      <c r="P287" s="169">
        <f>(INDEX(Models!$BJ287:$BT287,,T287)*(1-R287)+INDEX(Models!$BJ287:$BT287,,T287+1)*R287-ERP_i)*Q287*Ramure*Pc/MaxiM</f>
        <v>8.1455480274706962E-6</v>
      </c>
      <c r="Q287" s="305">
        <f t="shared" si="102"/>
        <v>0.5</v>
      </c>
      <c r="R287" s="177">
        <f t="shared" si="103"/>
        <v>0.9925838600148249</v>
      </c>
      <c r="S287" s="811">
        <f t="shared" si="104"/>
        <v>-2</v>
      </c>
      <c r="T287" s="176">
        <f t="shared" si="105"/>
        <v>4</v>
      </c>
      <c r="U287" s="251">
        <f t="shared" si="106"/>
        <v>-1.0074161399851751</v>
      </c>
      <c r="V287" s="383">
        <f t="shared" si="107"/>
        <v>43.202156831338073</v>
      </c>
      <c r="W287" s="58"/>
      <c r="X287" s="157">
        <f t="shared" si="108"/>
        <v>43738</v>
      </c>
      <c r="Y287" s="385">
        <f t="shared" si="109"/>
        <v>27.280999999999999</v>
      </c>
      <c r="Z287" s="385">
        <f t="shared" si="110"/>
        <v>27.568723769451999</v>
      </c>
      <c r="AA287" s="386">
        <f t="shared" si="111"/>
        <v>28.299951614570492</v>
      </c>
      <c r="AB287" s="197">
        <f t="shared" si="112"/>
        <v>43738</v>
      </c>
      <c r="AC287" s="426">
        <f>IF(OR(t&lt;Tnet,NoTnet),'2018'!Resal_s+('2018'!Salim-'2018'!Resal_s)*(1-EXP(('2018'!Tnet_s-t)/'2018'!Tau_j)),Resal_s+(Salim-Resal_s)*(1-EXP((Tnet_s-t)/Tau_j)))*Salcycl</f>
        <v>2.5838483933732694E-2</v>
      </c>
      <c r="AD287" s="231">
        <f>(INDEX(Models!$BJ287:$BT287,,AH287)*(1-AF287)+INDEX(Models!$BJ287:$BT287,,AH287+1)*AF287-ERP_i)*AE287*Ramure*Pc/MaxiM</f>
        <v>8.1455480274706962E-6</v>
      </c>
      <c r="AE287" s="305">
        <f t="shared" si="113"/>
        <v>0.5</v>
      </c>
      <c r="AF287" s="177">
        <f t="shared" si="114"/>
        <v>0.9925838600148249</v>
      </c>
      <c r="AG287" s="176">
        <f t="shared" si="115"/>
        <v>-2</v>
      </c>
      <c r="AH287" s="176">
        <f t="shared" si="116"/>
        <v>4</v>
      </c>
      <c r="AI287" s="225">
        <f t="shared" si="117"/>
        <v>-1.0074161399851751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7">
        <v>33.765999999999998</v>
      </c>
      <c r="C288" s="390"/>
      <c r="D288" s="393">
        <f t="shared" si="99"/>
        <v>34.122866318242892</v>
      </c>
      <c r="E288" s="385">
        <f t="shared" si="97"/>
        <v>35.029140093837704</v>
      </c>
      <c r="F288" s="385">
        <f t="shared" si="100"/>
        <v>35.0293884638035</v>
      </c>
      <c r="G288" s="110">
        <f t="shared" si="98"/>
        <v>0.78744977955976336</v>
      </c>
      <c r="H288" s="414" t="b">
        <f>Wh_hp&gt;='2018'!Maxi_hp</f>
        <v>1</v>
      </c>
      <c r="I288" s="390">
        <f>IF(H288,Wh_hp,'2018'!Maxi_hp)</f>
        <v>35.0293884638035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1.0458274955996383E-2</v>
      </c>
      <c r="M288" s="845"/>
      <c r="N288" s="845"/>
      <c r="O288" s="48">
        <f>IF(t&lt;Tnet,'2018'!Resal+('2018'!Salim-'2018'!Resal)*(1-EXP(('2018'!Tnet-t)/('2018'!Tau_j))),Resal+(Salim-Resal)*(1-EXP((Tnet-t)/(Tau_j))))*Salcycl</f>
        <v>2.5871996091455334E-2</v>
      </c>
      <c r="P288" s="169">
        <f>(INDEX(Models!$BJ288:$BT288,,T288)*(1-R288)+INDEX(Models!$BJ288:$BT288,,T288+1)*R288-ERP_i)*Q288*Ramure*Pc/MaxiM</f>
        <v>1.0181986445904615E-5</v>
      </c>
      <c r="Q288" s="305">
        <f t="shared" si="102"/>
        <v>0.5</v>
      </c>
      <c r="R288" s="177">
        <f t="shared" si="103"/>
        <v>0.99278209871757328</v>
      </c>
      <c r="S288" s="811">
        <f t="shared" si="104"/>
        <v>-2</v>
      </c>
      <c r="T288" s="176">
        <f t="shared" si="105"/>
        <v>4</v>
      </c>
      <c r="U288" s="251">
        <f t="shared" si="106"/>
        <v>-1.0072179012824267</v>
      </c>
      <c r="V288" s="383">
        <f t="shared" si="107"/>
        <v>42.880062300996542</v>
      </c>
      <c r="W288" s="58"/>
      <c r="X288" s="157">
        <f t="shared" si="108"/>
        <v>43739</v>
      </c>
      <c r="Y288" s="385">
        <f t="shared" si="109"/>
        <v>33.765999999999998</v>
      </c>
      <c r="Z288" s="385">
        <f t="shared" si="110"/>
        <v>34.122866318242892</v>
      </c>
      <c r="AA288" s="386">
        <f t="shared" si="111"/>
        <v>35.029140093837704</v>
      </c>
      <c r="AB288" s="197">
        <f t="shared" si="112"/>
        <v>43739</v>
      </c>
      <c r="AC288" s="426">
        <f>IF(OR(t&lt;Tnet,NoTnet),'2018'!Resal_s+('2018'!Salim-'2018'!Resal_s)*(1-EXP(('2018'!Tnet_s-t)/'2018'!Tau_j)),Resal_s+(Salim-Resal_s)*(1-EXP((Tnet_s-t)/Tau_j)))*Salcycl</f>
        <v>2.5871996091455334E-2</v>
      </c>
      <c r="AD288" s="231">
        <f>(INDEX(Models!$BJ288:$BT288,,AH288)*(1-AF288)+INDEX(Models!$BJ288:$BT288,,AH288+1)*AF288-ERP_i)*AE288*Ramure*Pc/MaxiM</f>
        <v>1.0181986445904615E-5</v>
      </c>
      <c r="AE288" s="305">
        <f t="shared" si="113"/>
        <v>0.5</v>
      </c>
      <c r="AF288" s="177">
        <f t="shared" si="114"/>
        <v>0.99278209871757328</v>
      </c>
      <c r="AG288" s="176">
        <f t="shared" si="115"/>
        <v>-2</v>
      </c>
      <c r="AH288" s="176">
        <f t="shared" si="116"/>
        <v>4</v>
      </c>
      <c r="AI288" s="225">
        <f t="shared" si="117"/>
        <v>-1.0072179012824267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7">
        <v>22.747</v>
      </c>
      <c r="C289" s="390"/>
      <c r="D289" s="393">
        <f t="shared" si="99"/>
        <v>22.987912134356506</v>
      </c>
      <c r="E289" s="385">
        <f t="shared" si="97"/>
        <v>23.599252974685381</v>
      </c>
      <c r="F289" s="385">
        <f t="shared" si="100"/>
        <v>23.599351809957287</v>
      </c>
      <c r="G289" s="110">
        <f t="shared" si="98"/>
        <v>0.53446699096752659</v>
      </c>
      <c r="H289" s="414" t="b">
        <f>Wh_hp&gt;='2018'!Maxi_hp</f>
        <v>0</v>
      </c>
      <c r="I289" s="390">
        <f>IF(H289,Wh_hp,'2018'!Maxi_hp)</f>
        <v>44.550821163435508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1.0479948459366728E-2</v>
      </c>
      <c r="M289" s="845"/>
      <c r="N289" s="845"/>
      <c r="O289" s="48">
        <f>IF(t&lt;Tnet,'2018'!Resal+('2018'!Salim-'2018'!Resal)*(1-EXP(('2018'!Tnet-t)/('2018'!Tau_j))),Resal+(Salim-Resal)*(1-EXP((Tnet-t)/(Tau_j))))*Salcycl</f>
        <v>2.590509288512869E-2</v>
      </c>
      <c r="P289" s="169">
        <f>(INDEX(Models!$BJ289:$BT289,,T289)*(1-R289)+INDEX(Models!$BJ289:$BT289,,T289+1)*R289-ERP_i)*Q289*Ramure*Pc/MaxiM</f>
        <v>1.2503165651229152E-5</v>
      </c>
      <c r="Q289" s="305">
        <f t="shared" si="102"/>
        <v>0.5</v>
      </c>
      <c r="R289" s="177">
        <f t="shared" si="103"/>
        <v>0.99297250486472954</v>
      </c>
      <c r="S289" s="811">
        <f t="shared" si="104"/>
        <v>-2</v>
      </c>
      <c r="T289" s="176">
        <f t="shared" si="105"/>
        <v>4</v>
      </c>
      <c r="U289" s="251">
        <f t="shared" si="106"/>
        <v>-1.0070274951352705</v>
      </c>
      <c r="V289" s="383">
        <f t="shared" si="107"/>
        <v>42.55980488916763</v>
      </c>
      <c r="W289" s="58"/>
      <c r="X289" s="157">
        <f t="shared" si="108"/>
        <v>43740</v>
      </c>
      <c r="Y289" s="385">
        <f t="shared" si="109"/>
        <v>22.747</v>
      </c>
      <c r="Z289" s="385">
        <f t="shared" si="110"/>
        <v>22.987912134356506</v>
      </c>
      <c r="AA289" s="386">
        <f t="shared" si="111"/>
        <v>23.599252974685381</v>
      </c>
      <c r="AB289" s="197">
        <f t="shared" si="112"/>
        <v>43740</v>
      </c>
      <c r="AC289" s="426">
        <f>IF(OR(t&lt;Tnet,NoTnet),'2018'!Resal_s+('2018'!Salim-'2018'!Resal_s)*(1-EXP(('2018'!Tnet_s-t)/'2018'!Tau_j)),Resal_s+(Salim-Resal_s)*(1-EXP((Tnet_s-t)/Tau_j)))*Salcycl</f>
        <v>2.590509288512869E-2</v>
      </c>
      <c r="AD289" s="231">
        <f>(INDEX(Models!$BJ289:$BT289,,AH289)*(1-AF289)+INDEX(Models!$BJ289:$BT289,,AH289+1)*AF289-ERP_i)*AE289*Ramure*Pc/MaxiM</f>
        <v>1.2503165651229152E-5</v>
      </c>
      <c r="AE289" s="305">
        <f t="shared" si="113"/>
        <v>0.5</v>
      </c>
      <c r="AF289" s="177">
        <f t="shared" si="114"/>
        <v>0.99297250486472954</v>
      </c>
      <c r="AG289" s="176">
        <f t="shared" si="115"/>
        <v>-2</v>
      </c>
      <c r="AH289" s="176">
        <f t="shared" si="116"/>
        <v>4</v>
      </c>
      <c r="AI289" s="225">
        <f t="shared" si="117"/>
        <v>-1.0070274951352705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7">
        <v>33.405999999999999</v>
      </c>
      <c r="C290" s="390"/>
      <c r="D290" s="393">
        <f t="shared" si="99"/>
        <v>33.760540416687448</v>
      </c>
      <c r="E290" s="385">
        <f t="shared" si="97"/>
        <v>34.659531272019784</v>
      </c>
      <c r="F290" s="385">
        <f t="shared" si="100"/>
        <v>34.659903047096897</v>
      </c>
      <c r="G290" s="110">
        <f t="shared" si="98"/>
        <v>0.7908659368299028</v>
      </c>
      <c r="H290" s="414" t="b">
        <f>Wh_hp&gt;='2018'!Maxi_hp</f>
        <v>0</v>
      </c>
      <c r="I290" s="390">
        <f>IF(H290,Wh_hp,'2018'!Maxi_hp)</f>
        <v>42.516161138689995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1.0501621488031687E-2</v>
      </c>
      <c r="M290" s="845"/>
      <c r="N290" s="845"/>
      <c r="O290" s="48">
        <f>IF(t&lt;Tnet,'2018'!Resal+('2018'!Salim-'2018'!Resal)*(1-EXP(('2018'!Tnet-t)/('2018'!Tau_j))),Resal+(Salim-Resal)*(1-EXP((Tnet-t)/(Tau_j))))*Salcycl</f>
        <v>2.5937767255902942E-2</v>
      </c>
      <c r="P290" s="169">
        <f>(INDEX(Models!$BJ290:$BT290,,T290)*(1-R290)+INDEX(Models!$BJ290:$BT290,,T290+1)*R290-ERP_i)*Q290*Ramure*Pc/MaxiM</f>
        <v>1.5296246563845686E-5</v>
      </c>
      <c r="Q290" s="305">
        <f t="shared" si="102"/>
        <v>0.5</v>
      </c>
      <c r="R290" s="177">
        <f t="shared" si="103"/>
        <v>0.99315538221051769</v>
      </c>
      <c r="S290" s="811">
        <f t="shared" si="104"/>
        <v>-2</v>
      </c>
      <c r="T290" s="176">
        <f t="shared" si="105"/>
        <v>4</v>
      </c>
      <c r="U290" s="251">
        <f t="shared" si="106"/>
        <v>-1.0068446177894823</v>
      </c>
      <c r="V290" s="383">
        <f t="shared" si="107"/>
        <v>42.239582945116638</v>
      </c>
      <c r="W290" s="58"/>
      <c r="X290" s="157">
        <f t="shared" si="108"/>
        <v>43741</v>
      </c>
      <c r="Y290" s="385">
        <f t="shared" si="109"/>
        <v>33.405999999999999</v>
      </c>
      <c r="Z290" s="385">
        <f t="shared" si="110"/>
        <v>33.760540416687448</v>
      </c>
      <c r="AA290" s="386">
        <f t="shared" si="111"/>
        <v>34.659531272019784</v>
      </c>
      <c r="AB290" s="197">
        <f t="shared" si="112"/>
        <v>43741</v>
      </c>
      <c r="AC290" s="426">
        <f>IF(OR(t&lt;Tnet,NoTnet),'2018'!Resal_s+('2018'!Salim-'2018'!Resal_s)*(1-EXP(('2018'!Tnet_s-t)/'2018'!Tau_j)),Resal_s+(Salim-Resal_s)*(1-EXP((Tnet_s-t)/Tau_j)))*Salcycl</f>
        <v>2.5937767255902942E-2</v>
      </c>
      <c r="AD290" s="231">
        <f>(INDEX(Models!$BJ290:$BT290,,AH290)*(1-AF290)+INDEX(Models!$BJ290:$BT290,,AH290+1)*AF290-ERP_i)*AE290*Ramure*Pc/MaxiM</f>
        <v>1.5296246563845686E-5</v>
      </c>
      <c r="AE290" s="305">
        <f t="shared" si="113"/>
        <v>0.5</v>
      </c>
      <c r="AF290" s="177">
        <f t="shared" si="114"/>
        <v>0.99315538221051769</v>
      </c>
      <c r="AG290" s="176">
        <f t="shared" si="115"/>
        <v>-2</v>
      </c>
      <c r="AH290" s="176">
        <f t="shared" si="116"/>
        <v>4</v>
      </c>
      <c r="AI290" s="225">
        <f t="shared" si="117"/>
        <v>-1.0068446177894823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7">
        <v>10.093999999999999</v>
      </c>
      <c r="C291" s="390"/>
      <c r="D291" s="393">
        <f t="shared" si="99"/>
        <v>10.201351824879113</v>
      </c>
      <c r="E291" s="385">
        <f t="shared" si="97"/>
        <v>10.473344721570951</v>
      </c>
      <c r="F291" s="385">
        <f t="shared" si="100"/>
        <v>10.473344721570951</v>
      </c>
      <c r="G291" s="110">
        <f t="shared" si="98"/>
        <v>0.24079098027024867</v>
      </c>
      <c r="H291" s="414" t="b">
        <f>Wh_hp&gt;='2018'!Maxi_hp</f>
        <v>0</v>
      </c>
      <c r="I291" s="390">
        <f>IF(H291,Wh_hp,'2018'!Maxi_hp)</f>
        <v>42.093320826448114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1.0523294042001807E-2</v>
      </c>
      <c r="M291" s="845"/>
      <c r="N291" s="845"/>
      <c r="O291" s="48">
        <f>IF(t&lt;Tnet,'2018'!Resal+('2018'!Salim-'2018'!Resal)*(1-EXP(('2018'!Tnet-t)/('2018'!Tau_j))),Resal+(Salim-Resal)*(1-EXP((Tnet-t)/(Tau_j))))*Salcycl</f>
        <v>2.5970012820416451E-2</v>
      </c>
      <c r="P291" s="169">
        <f>(INDEX(Models!$BJ291:$BT291,,T291)*(1-R291)+INDEX(Models!$BJ291:$BT291,,T291+1)*R291-ERP_i)*Q291*Ramure*Pc/MaxiM</f>
        <v>1.8572995205106385E-5</v>
      </c>
      <c r="Q291" s="305">
        <f t="shared" si="102"/>
        <v>0.5</v>
      </c>
      <c r="R291" s="177">
        <f t="shared" si="103"/>
        <v>0.99333102317684796</v>
      </c>
      <c r="S291" s="811">
        <f t="shared" si="104"/>
        <v>-2</v>
      </c>
      <c r="T291" s="176">
        <f t="shared" si="105"/>
        <v>4</v>
      </c>
      <c r="U291" s="251">
        <f t="shared" si="106"/>
        <v>-1.006668976823152</v>
      </c>
      <c r="V291" s="383">
        <f t="shared" si="107"/>
        <v>41.919396286595692</v>
      </c>
      <c r="W291" s="58"/>
      <c r="X291" s="157">
        <f t="shared" si="108"/>
        <v>43742</v>
      </c>
      <c r="Y291" s="385">
        <f t="shared" si="109"/>
        <v>10.093999999999999</v>
      </c>
      <c r="Z291" s="385">
        <f t="shared" si="110"/>
        <v>10.201351824879113</v>
      </c>
      <c r="AA291" s="386">
        <f t="shared" si="111"/>
        <v>10.473344721570951</v>
      </c>
      <c r="AB291" s="197">
        <f t="shared" si="112"/>
        <v>43742</v>
      </c>
      <c r="AC291" s="426">
        <f>IF(OR(t&lt;Tnet,NoTnet),'2018'!Resal_s+('2018'!Salim-'2018'!Resal_s)*(1-EXP(('2018'!Tnet_s-t)/'2018'!Tau_j)),Resal_s+(Salim-Resal_s)*(1-EXP((Tnet_s-t)/Tau_j)))*Salcycl</f>
        <v>2.5970012820416451E-2</v>
      </c>
      <c r="AD291" s="231">
        <f>(INDEX(Models!$BJ291:$BT291,,AH291)*(1-AF291)+INDEX(Models!$BJ291:$BT291,,AH291+1)*AF291-ERP_i)*AE291*Ramure*Pc/MaxiM</f>
        <v>1.8572995205106385E-5</v>
      </c>
      <c r="AE291" s="305">
        <f t="shared" si="113"/>
        <v>0.5</v>
      </c>
      <c r="AF291" s="177">
        <f t="shared" si="114"/>
        <v>0.99333102317684796</v>
      </c>
      <c r="AG291" s="176">
        <f t="shared" si="115"/>
        <v>-2</v>
      </c>
      <c r="AH291" s="176">
        <f t="shared" si="116"/>
        <v>4</v>
      </c>
      <c r="AI291" s="225">
        <f t="shared" si="117"/>
        <v>-1.006668976823152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7">
        <v>36.823</v>
      </c>
      <c r="C292" s="390"/>
      <c r="D292" s="393">
        <f t="shared" si="99"/>
        <v>37.215435506606113</v>
      </c>
      <c r="E292" s="385">
        <f t="shared" si="97"/>
        <v>38.208937574626688</v>
      </c>
      <c r="F292" s="385">
        <f t="shared" si="100"/>
        <v>38.209651137394687</v>
      </c>
      <c r="G292" s="110">
        <f t="shared" si="98"/>
        <v>0.88518109183295079</v>
      </c>
      <c r="H292" s="414" t="b">
        <f>Wh_hp&gt;='2018'!Maxi_hp</f>
        <v>0</v>
      </c>
      <c r="I292" s="390">
        <f>IF(H292,Wh_hp,'2018'!Maxi_hp)</f>
        <v>42.281588278704412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1.0544966121287302E-2</v>
      </c>
      <c r="M292" s="845"/>
      <c r="N292" s="845"/>
      <c r="O292" s="48">
        <f>IF(t&lt;Tnet,'2018'!Resal+('2018'!Salim-'2018'!Resal)*(1-EXP(('2018'!Tnet-t)/('2018'!Tau_j))),Resal+(Salim-Resal)*(1-EXP((Tnet-t)/(Tau_j))))*Salcycl</f>
        <v>2.6001823947084196E-2</v>
      </c>
      <c r="P292" s="169">
        <f>(INDEX(Models!$BJ292:$BT292,,T292)*(1-R292)+INDEX(Models!$BJ292:$BT292,,T292+1)*R292-ERP_i)*Q292*Ramure*Pc/MaxiM</f>
        <v>2.233903748999234E-5</v>
      </c>
      <c r="Q292" s="305">
        <f t="shared" si="102"/>
        <v>0.5</v>
      </c>
      <c r="R292" s="177">
        <f t="shared" si="103"/>
        <v>0.99349970924082975</v>
      </c>
      <c r="S292" s="811">
        <f t="shared" si="104"/>
        <v>-2</v>
      </c>
      <c r="T292" s="176">
        <f t="shared" si="105"/>
        <v>4</v>
      </c>
      <c r="U292" s="251">
        <f t="shared" si="106"/>
        <v>-1.0065002907591702</v>
      </c>
      <c r="V292" s="383">
        <f t="shared" si="107"/>
        <v>41.599244961277861</v>
      </c>
      <c r="W292" s="58"/>
      <c r="X292" s="157">
        <f t="shared" si="108"/>
        <v>43743</v>
      </c>
      <c r="Y292" s="385">
        <f t="shared" si="109"/>
        <v>36.823</v>
      </c>
      <c r="Z292" s="385">
        <f t="shared" si="110"/>
        <v>37.215435506606113</v>
      </c>
      <c r="AA292" s="386">
        <f t="shared" si="111"/>
        <v>38.208937574626688</v>
      </c>
      <c r="AB292" s="197">
        <f t="shared" si="112"/>
        <v>43743</v>
      </c>
      <c r="AC292" s="426">
        <f>IF(OR(t&lt;Tnet,NoTnet),'2018'!Resal_s+('2018'!Salim-'2018'!Resal_s)*(1-EXP(('2018'!Tnet_s-t)/'2018'!Tau_j)),Resal_s+(Salim-Resal_s)*(1-EXP((Tnet_s-t)/Tau_j)))*Salcycl</f>
        <v>2.6001823947084196E-2</v>
      </c>
      <c r="AD292" s="231">
        <f>(INDEX(Models!$BJ292:$BT292,,AH292)*(1-AF292)+INDEX(Models!$BJ292:$BT292,,AH292+1)*AF292-ERP_i)*AE292*Ramure*Pc/MaxiM</f>
        <v>2.233903748999234E-5</v>
      </c>
      <c r="AE292" s="305">
        <f t="shared" si="113"/>
        <v>0.5</v>
      </c>
      <c r="AF292" s="177">
        <f t="shared" si="114"/>
        <v>0.99349970924082975</v>
      </c>
      <c r="AG292" s="176">
        <f t="shared" si="115"/>
        <v>-2</v>
      </c>
      <c r="AH292" s="176">
        <f t="shared" si="116"/>
        <v>4</v>
      </c>
      <c r="AI292" s="225">
        <f t="shared" si="117"/>
        <v>-1.0065002907591702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7">
        <v>18.936</v>
      </c>
      <c r="C293" s="390"/>
      <c r="D293" s="393">
        <f t="shared" si="99"/>
        <v>19.138226708343179</v>
      </c>
      <c r="E293" s="385">
        <f t="shared" si="97"/>
        <v>19.649773099488264</v>
      </c>
      <c r="F293" s="385">
        <f t="shared" si="100"/>
        <v>19.649891622021556</v>
      </c>
      <c r="G293" s="110">
        <f t="shared" si="98"/>
        <v>0.4587211742064693</v>
      </c>
      <c r="H293" s="414" t="b">
        <f>Wh_hp&gt;='2018'!Maxi_hp</f>
        <v>0</v>
      </c>
      <c r="I293" s="390">
        <f>IF(H293,Wh_hp,'2018'!Maxi_hp)</f>
        <v>39.638043153684698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1.0566637725898609E-2</v>
      </c>
      <c r="M293" s="845"/>
      <c r="N293" s="845"/>
      <c r="O293" s="48">
        <f>IF(t&lt;Tnet,'2018'!Resal+('2018'!Salim-'2018'!Resal)*(1-EXP(('2018'!Tnet-t)/('2018'!Tau_j))),Resal+(Salim-Resal)*(1-EXP((Tnet-t)/(Tau_j))))*Salcycl</f>
        <v>2.6033195831579686E-2</v>
      </c>
      <c r="P293" s="169">
        <f>(INDEX(Models!$BJ293:$BT293,,T293)*(1-R293)+INDEX(Models!$BJ293:$BT293,,T293+1)*R293-ERP_i)*Q293*Ramure*Pc/MaxiM</f>
        <v>2.6599784753767056E-5</v>
      </c>
      <c r="Q293" s="305">
        <f t="shared" si="102"/>
        <v>0.5</v>
      </c>
      <c r="R293" s="177">
        <f t="shared" si="103"/>
        <v>0.99366171131186887</v>
      </c>
      <c r="S293" s="811">
        <f t="shared" si="104"/>
        <v>-2</v>
      </c>
      <c r="T293" s="176">
        <f t="shared" si="105"/>
        <v>4</v>
      </c>
      <c r="U293" s="251">
        <f t="shared" si="106"/>
        <v>-1.0063382886881311</v>
      </c>
      <c r="V293" s="383">
        <f t="shared" si="107"/>
        <v>41.279128990341206</v>
      </c>
      <c r="W293" s="58"/>
      <c r="X293" s="157">
        <f t="shared" si="108"/>
        <v>43744</v>
      </c>
      <c r="Y293" s="385">
        <f t="shared" si="109"/>
        <v>18.936</v>
      </c>
      <c r="Z293" s="385">
        <f t="shared" si="110"/>
        <v>19.138226708343179</v>
      </c>
      <c r="AA293" s="386">
        <f t="shared" si="111"/>
        <v>19.649773099488264</v>
      </c>
      <c r="AB293" s="197">
        <f t="shared" si="112"/>
        <v>43744</v>
      </c>
      <c r="AC293" s="426">
        <f>IF(OR(t&lt;Tnet,NoTnet),'2018'!Resal_s+('2018'!Salim-'2018'!Resal_s)*(1-EXP(('2018'!Tnet_s-t)/'2018'!Tau_j)),Resal_s+(Salim-Resal_s)*(1-EXP((Tnet_s-t)/Tau_j)))*Salcycl</f>
        <v>2.6033195831579686E-2</v>
      </c>
      <c r="AD293" s="231">
        <f>(INDEX(Models!$BJ293:$BT293,,AH293)*(1-AF293)+INDEX(Models!$BJ293:$BT293,,AH293+1)*AF293-ERP_i)*AE293*Ramure*Pc/MaxiM</f>
        <v>2.6599784753767056E-5</v>
      </c>
      <c r="AE293" s="305">
        <f t="shared" si="113"/>
        <v>0.5</v>
      </c>
      <c r="AF293" s="177">
        <f t="shared" si="114"/>
        <v>0.99366171131186887</v>
      </c>
      <c r="AG293" s="176">
        <f t="shared" si="115"/>
        <v>-2</v>
      </c>
      <c r="AH293" s="176">
        <f t="shared" si="116"/>
        <v>4</v>
      </c>
      <c r="AI293" s="225">
        <f t="shared" si="117"/>
        <v>-1.0063382886881311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7">
        <v>31.305</v>
      </c>
      <c r="C294" s="390"/>
      <c r="D294" s="393">
        <f t="shared" si="99"/>
        <v>31.640014243008345</v>
      </c>
      <c r="E294" s="385">
        <f t="shared" si="97"/>
        <v>32.48675302064045</v>
      </c>
      <c r="F294" s="385">
        <f t="shared" si="100"/>
        <v>32.487428789010735</v>
      </c>
      <c r="G294" s="110">
        <f t="shared" si="98"/>
        <v>0.76429191292465037</v>
      </c>
      <c r="H294" s="414" t="b">
        <f>Wh_hp&gt;='2018'!Maxi_hp</f>
        <v>1</v>
      </c>
      <c r="I294" s="390">
        <f>IF(H294,Wh_hp,'2018'!Maxi_hp)</f>
        <v>32.487428789010735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1.0588308855846162E-2</v>
      </c>
      <c r="M294" s="845"/>
      <c r="N294" s="845"/>
      <c r="O294" s="48">
        <f>IF(t&lt;Tnet,'2018'!Resal+('2018'!Salim-'2018'!Resal)*(1-EXP(('2018'!Tnet-t)/('2018'!Tau_j))),Resal+(Salim-Resal)*(1-EXP((Tnet-t)/(Tau_j))))*Salcycl</f>
        <v>2.6064124570840581E-2</v>
      </c>
      <c r="P294" s="169">
        <f>(INDEX(Models!$BJ294:$BT294,,T294)*(1-R294)+INDEX(Models!$BJ294:$BT294,,T294+1)*R294-ERP_i)*Q294*Ramure*Pc/MaxiM</f>
        <v>3.1360421525086454E-5</v>
      </c>
      <c r="Q294" s="305">
        <f t="shared" si="102"/>
        <v>0.5</v>
      </c>
      <c r="R294" s="177">
        <f t="shared" si="103"/>
        <v>0.9938172900983917</v>
      </c>
      <c r="S294" s="811">
        <f t="shared" si="104"/>
        <v>-2</v>
      </c>
      <c r="T294" s="176">
        <f t="shared" si="105"/>
        <v>4</v>
      </c>
      <c r="U294" s="251">
        <f t="shared" si="106"/>
        <v>-1.0061827099016083</v>
      </c>
      <c r="V294" s="383">
        <f t="shared" si="107"/>
        <v>40.959048366876004</v>
      </c>
      <c r="W294" s="58"/>
      <c r="X294" s="157">
        <f t="shared" si="108"/>
        <v>43745</v>
      </c>
      <c r="Y294" s="385">
        <f t="shared" si="109"/>
        <v>31.305</v>
      </c>
      <c r="Z294" s="385">
        <f t="shared" si="110"/>
        <v>31.640014243008345</v>
      </c>
      <c r="AA294" s="386">
        <f t="shared" si="111"/>
        <v>32.48675302064045</v>
      </c>
      <c r="AB294" s="197">
        <f t="shared" si="112"/>
        <v>43745</v>
      </c>
      <c r="AC294" s="426">
        <f>IF(OR(t&lt;Tnet,NoTnet),'2018'!Resal_s+('2018'!Salim-'2018'!Resal_s)*(1-EXP(('2018'!Tnet_s-t)/'2018'!Tau_j)),Resal_s+(Salim-Resal_s)*(1-EXP((Tnet_s-t)/Tau_j)))*Salcycl</f>
        <v>2.6064124570840581E-2</v>
      </c>
      <c r="AD294" s="231">
        <f>(INDEX(Models!$BJ294:$BT294,,AH294)*(1-AF294)+INDEX(Models!$BJ294:$BT294,,AH294+1)*AF294-ERP_i)*AE294*Ramure*Pc/MaxiM</f>
        <v>3.1360421525086454E-5</v>
      </c>
      <c r="AE294" s="305">
        <f t="shared" si="113"/>
        <v>0.5</v>
      </c>
      <c r="AF294" s="177">
        <f t="shared" si="114"/>
        <v>0.9938172900983917</v>
      </c>
      <c r="AG294" s="176">
        <f t="shared" si="115"/>
        <v>-2</v>
      </c>
      <c r="AH294" s="176">
        <f t="shared" si="116"/>
        <v>4</v>
      </c>
      <c r="AI294" s="225">
        <f t="shared" si="117"/>
        <v>-1.0061827099016083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7">
        <v>38.939</v>
      </c>
      <c r="C295" s="390"/>
      <c r="D295" s="393">
        <f t="shared" si="99"/>
        <v>39.356572427080032</v>
      </c>
      <c r="E295" s="385">
        <f t="shared" si="97"/>
        <v>40.411083786424143</v>
      </c>
      <c r="F295" s="385">
        <f t="shared" si="100"/>
        <v>40.412475476580589</v>
      </c>
      <c r="G295" s="110">
        <f t="shared" si="98"/>
        <v>0.95816609273276521</v>
      </c>
      <c r="H295" s="414" t="b">
        <f>Wh_hp&gt;='2018'!Maxi_hp</f>
        <v>1</v>
      </c>
      <c r="I295" s="390">
        <f>IF(H295,Wh_hp,'2018'!Maxi_hp)</f>
        <v>40.412475476580589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1.0609979511140399E-2</v>
      </c>
      <c r="M295" s="845"/>
      <c r="N295" s="845"/>
      <c r="O295" s="48">
        <f>IF(t&lt;Tnet,'2018'!Resal+('2018'!Salim-'2018'!Resal)*(1-EXP(('2018'!Tnet-t)/('2018'!Tau_j))),Resal+(Salim-Resal)*(1-EXP((Tnet-t)/(Tau_j))))*Salcycl</f>
        <v>2.6094607234918233E-2</v>
      </c>
      <c r="P295" s="169">
        <f>(INDEX(Models!$BJ295:$BT295,,T295)*(1-R295)+INDEX(Models!$BJ295:$BT295,,T295+1)*R295-ERP_i)*Q295*Ramure*Pc/MaxiM</f>
        <v>3.6625895575554596E-5</v>
      </c>
      <c r="Q295" s="305">
        <f t="shared" si="102"/>
        <v>0.5</v>
      </c>
      <c r="R295" s="177">
        <f t="shared" si="103"/>
        <v>0.99396669646425284</v>
      </c>
      <c r="S295" s="811">
        <f t="shared" si="104"/>
        <v>-2</v>
      </c>
      <c r="T295" s="176">
        <f t="shared" si="105"/>
        <v>4</v>
      </c>
      <c r="U295" s="251">
        <f t="shared" si="106"/>
        <v>-1.0060333035357472</v>
      </c>
      <c r="V295" s="383">
        <f t="shared" si="107"/>
        <v>40.63900305439995</v>
      </c>
      <c r="W295" s="58"/>
      <c r="X295" s="157">
        <f t="shared" si="108"/>
        <v>43746</v>
      </c>
      <c r="Y295" s="385">
        <f t="shared" si="109"/>
        <v>38.939</v>
      </c>
      <c r="Z295" s="385">
        <f t="shared" si="110"/>
        <v>39.356572427080032</v>
      </c>
      <c r="AA295" s="386">
        <f t="shared" si="111"/>
        <v>40.411083786424143</v>
      </c>
      <c r="AB295" s="197">
        <f t="shared" si="112"/>
        <v>43746</v>
      </c>
      <c r="AC295" s="426">
        <f>IF(OR(t&lt;Tnet,NoTnet),'2018'!Resal_s+('2018'!Salim-'2018'!Resal_s)*(1-EXP(('2018'!Tnet_s-t)/'2018'!Tau_j)),Resal_s+(Salim-Resal_s)*(1-EXP((Tnet_s-t)/Tau_j)))*Salcycl</f>
        <v>2.6094607234918233E-2</v>
      </c>
      <c r="AD295" s="231">
        <f>(INDEX(Models!$BJ295:$BT295,,AH295)*(1-AF295)+INDEX(Models!$BJ295:$BT295,,AH295+1)*AF295-ERP_i)*AE295*Ramure*Pc/MaxiM</f>
        <v>3.6625895575554596E-5</v>
      </c>
      <c r="AE295" s="305">
        <f t="shared" si="113"/>
        <v>0.5</v>
      </c>
      <c r="AF295" s="177">
        <f t="shared" si="114"/>
        <v>0.99396669646425284</v>
      </c>
      <c r="AG295" s="176">
        <f t="shared" si="115"/>
        <v>-2</v>
      </c>
      <c r="AH295" s="176">
        <f t="shared" si="116"/>
        <v>4</v>
      </c>
      <c r="AI295" s="225">
        <f t="shared" si="117"/>
        <v>-1.0060333035357472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7">
        <v>9.6110000000000007</v>
      </c>
      <c r="C296" s="390"/>
      <c r="D296" s="393">
        <f t="shared" si="99"/>
        <v>9.7142788093089685</v>
      </c>
      <c r="E296" s="385">
        <f t="shared" si="97"/>
        <v>9.9748686819843115</v>
      </c>
      <c r="F296" s="385">
        <f t="shared" si="100"/>
        <v>9.9748686819843115</v>
      </c>
      <c r="G296" s="110">
        <f t="shared" si="98"/>
        <v>0.2383639018043591</v>
      </c>
      <c r="H296" s="414" t="b">
        <f>Wh_hp&gt;='2018'!Maxi_hp</f>
        <v>0</v>
      </c>
      <c r="I296" s="390">
        <f>IF(H296,Wh_hp,'2018'!Maxi_hp)</f>
        <v>34.817249653456408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1.0631649691791645E-2</v>
      </c>
      <c r="M296" s="845"/>
      <c r="N296" s="845"/>
      <c r="O296" s="48">
        <f>IF(t&lt;Tnet,'2018'!Resal+('2018'!Salim-'2018'!Resal)*(1-EXP(('2018'!Tnet-t)/('2018'!Tau_j))),Resal+(Salim-Resal)*(1-EXP((Tnet-t)/(Tau_j))))*Salcycl</f>
        <v>2.6124641935988308E-2</v>
      </c>
      <c r="P296" s="169">
        <f>(INDEX(Models!$BJ296:$BT296,,T296)*(1-R296)+INDEX(Models!$BJ296:$BT296,,T296+1)*R296-ERP_i)*Q296*Ramure*Pc/MaxiM</f>
        <v>4.193787701661027E-5</v>
      </c>
      <c r="Q296" s="305">
        <f t="shared" si="102"/>
        <v>0.5</v>
      </c>
      <c r="R296" s="177">
        <f t="shared" si="103"/>
        <v>0.99411017177491545</v>
      </c>
      <c r="S296" s="811">
        <f t="shared" si="104"/>
        <v>-2</v>
      </c>
      <c r="T296" s="176">
        <f t="shared" si="105"/>
        <v>4</v>
      </c>
      <c r="U296" s="251">
        <f t="shared" si="106"/>
        <v>-1.0058898282250845</v>
      </c>
      <c r="V296" s="383">
        <f t="shared" si="107"/>
        <v>40.319011655347218</v>
      </c>
      <c r="W296" s="58"/>
      <c r="X296" s="157">
        <f t="shared" si="108"/>
        <v>43747</v>
      </c>
      <c r="Y296" s="385">
        <f t="shared" si="109"/>
        <v>9.6110000000000007</v>
      </c>
      <c r="Z296" s="385">
        <f t="shared" si="110"/>
        <v>9.7142788093089685</v>
      </c>
      <c r="AA296" s="386">
        <f t="shared" si="111"/>
        <v>9.9748686819843115</v>
      </c>
      <c r="AB296" s="197">
        <f t="shared" si="112"/>
        <v>43747</v>
      </c>
      <c r="AC296" s="426">
        <f>IF(OR(t&lt;Tnet,NoTnet),'2018'!Resal_s+('2018'!Salim-'2018'!Resal_s)*(1-EXP(('2018'!Tnet_s-t)/'2018'!Tau_j)),Resal_s+(Salim-Resal_s)*(1-EXP((Tnet_s-t)/Tau_j)))*Salcycl</f>
        <v>2.6124641935988308E-2</v>
      </c>
      <c r="AD296" s="231">
        <f>(INDEX(Models!$BJ296:$BT296,,AH296)*(1-AF296)+INDEX(Models!$BJ296:$BT296,,AH296+1)*AF296-ERP_i)*AE296*Ramure*Pc/MaxiM</f>
        <v>4.193787701661027E-5</v>
      </c>
      <c r="AE296" s="305">
        <f t="shared" si="113"/>
        <v>0.5</v>
      </c>
      <c r="AF296" s="177">
        <f t="shared" si="114"/>
        <v>0.99411017177491545</v>
      </c>
      <c r="AG296" s="176">
        <f t="shared" si="115"/>
        <v>-2</v>
      </c>
      <c r="AH296" s="176">
        <f t="shared" si="116"/>
        <v>4</v>
      </c>
      <c r="AI296" s="225">
        <f t="shared" si="117"/>
        <v>-1.0058898282250845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7">
        <v>29.167999999999999</v>
      </c>
      <c r="C297" s="390"/>
      <c r="D297" s="393">
        <f t="shared" si="99"/>
        <v>29.482082036446712</v>
      </c>
      <c r="E297" s="385">
        <f t="shared" ref="E297:E360" si="121">Wh_pvt/(1-Psa)</f>
        <v>30.273871778161723</v>
      </c>
      <c r="F297" s="385">
        <f t="shared" si="100"/>
        <v>30.27474450167183</v>
      </c>
      <c r="G297" s="110">
        <f t="shared" ref="G297:G360" si="122">+Wh_hp/MaxiM</f>
        <v>0.72920341621982254</v>
      </c>
      <c r="H297" s="414" t="b">
        <f>Wh_hp&gt;='2018'!Maxi_hp</f>
        <v>1</v>
      </c>
      <c r="I297" s="390">
        <f>IF(H297,Wh_hp,'2018'!Maxi_hp)</f>
        <v>30.27474450167183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1.0653319397810335E-2</v>
      </c>
      <c r="M297" s="845"/>
      <c r="N297" s="845"/>
      <c r="O297" s="48">
        <f>IF(t&lt;Tnet,'2018'!Resal+('2018'!Salim-'2018'!Resal)*(1-EXP(('2018'!Tnet-t)/('2018'!Tau_j))),Resal+(Salim-Resal)*(1-EXP((Tnet-t)/(Tau_j))))*Salcycl</f>
        <v>2.6154227893842572E-2</v>
      </c>
      <c r="P297" s="169">
        <f>(INDEX(Models!$BJ297:$BT297,,T297)*(1-R297)+INDEX(Models!$BJ297:$BT297,,T297+1)*R297-ERP_i)*Q297*Ramure*Pc/MaxiM</f>
        <v>4.7012964741281121E-5</v>
      </c>
      <c r="Q297" s="305">
        <f t="shared" si="102"/>
        <v>0.5</v>
      </c>
      <c r="R297" s="177">
        <f t="shared" si="103"/>
        <v>0.99424794823350648</v>
      </c>
      <c r="S297" s="811">
        <f t="shared" si="104"/>
        <v>-2</v>
      </c>
      <c r="T297" s="176">
        <f t="shared" si="105"/>
        <v>4</v>
      </c>
      <c r="U297" s="251">
        <f t="shared" si="106"/>
        <v>-1.0057520517664935</v>
      </c>
      <c r="V297" s="383">
        <f t="shared" si="107"/>
        <v>39.999085140579993</v>
      </c>
      <c r="W297" s="58"/>
      <c r="X297" s="157">
        <f t="shared" si="108"/>
        <v>43748</v>
      </c>
      <c r="Y297" s="385">
        <f t="shared" si="109"/>
        <v>29.167999999999999</v>
      </c>
      <c r="Z297" s="385">
        <f t="shared" si="110"/>
        <v>29.482082036446712</v>
      </c>
      <c r="AA297" s="386">
        <f t="shared" si="111"/>
        <v>30.273871778161723</v>
      </c>
      <c r="AB297" s="197">
        <f t="shared" si="112"/>
        <v>43748</v>
      </c>
      <c r="AC297" s="426">
        <f>IF(OR(t&lt;Tnet,NoTnet),'2018'!Resal_s+('2018'!Salim-'2018'!Resal_s)*(1-EXP(('2018'!Tnet_s-t)/'2018'!Tau_j)),Resal_s+(Salim-Resal_s)*(1-EXP((Tnet_s-t)/Tau_j)))*Salcycl</f>
        <v>2.6154227893842572E-2</v>
      </c>
      <c r="AD297" s="231">
        <f>(INDEX(Models!$BJ297:$BT297,,AH297)*(1-AF297)+INDEX(Models!$BJ297:$BT297,,AH297+1)*AF297-ERP_i)*AE297*Ramure*Pc/MaxiM</f>
        <v>4.7012964741281121E-5</v>
      </c>
      <c r="AE297" s="305">
        <f t="shared" si="113"/>
        <v>0.5</v>
      </c>
      <c r="AF297" s="177">
        <f t="shared" si="114"/>
        <v>0.99424794823350648</v>
      </c>
      <c r="AG297" s="176">
        <f t="shared" si="115"/>
        <v>-2</v>
      </c>
      <c r="AH297" s="176">
        <f t="shared" si="116"/>
        <v>4</v>
      </c>
      <c r="AI297" s="225">
        <f t="shared" si="117"/>
        <v>-1.0057520517664935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7">
        <v>40.823</v>
      </c>
      <c r="C298" s="390"/>
      <c r="D298" s="393">
        <f t="shared" si="99"/>
        <v>41.263487257272814</v>
      </c>
      <c r="E298" s="385">
        <f t="shared" si="121"/>
        <v>42.372953793647518</v>
      </c>
      <c r="F298" s="385">
        <f t="shared" si="100"/>
        <v>42.375150802238252</v>
      </c>
      <c r="G298" s="110">
        <f t="shared" si="122"/>
        <v>1.0288255895480938</v>
      </c>
      <c r="H298" s="414" t="b">
        <f>Wh_hp&gt;='2018'!Maxi_hp</f>
        <v>1</v>
      </c>
      <c r="I298" s="390">
        <f>IF(H298,Wh_hp,'2018'!Maxi_hp)</f>
        <v>42.375150802238252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1.0674988629206905E-2</v>
      </c>
      <c r="M298" s="845"/>
      <c r="N298" s="845"/>
      <c r="O298" s="48">
        <f>IF(t&lt;Tnet,'2018'!Resal+('2018'!Salim-'2018'!Resal)*(1-EXP(('2018'!Tnet-t)/('2018'!Tau_j))),Resal+(Salim-Resal)*(1-EXP((Tnet-t)/(Tau_j))))*Salcycl</f>
        <v>2.6183365497192013E-2</v>
      </c>
      <c r="P298" s="169">
        <f>(INDEX(Models!$BJ298:$BT298,,T298)*(1-R298)+INDEX(Models!$BJ298:$BT298,,T298+1)*R298-ERP_i)*Q298*Ramure*Pc/MaxiM</f>
        <v>5.1846625891318487E-5</v>
      </c>
      <c r="Q298" s="305">
        <f t="shared" si="102"/>
        <v>0.5</v>
      </c>
      <c r="R298" s="177">
        <f t="shared" si="103"/>
        <v>0.99438024920687296</v>
      </c>
      <c r="S298" s="811">
        <f t="shared" si="104"/>
        <v>-2</v>
      </c>
      <c r="T298" s="176">
        <f t="shared" si="105"/>
        <v>4</v>
      </c>
      <c r="U298" s="251">
        <f t="shared" si="106"/>
        <v>-1.005619750793127</v>
      </c>
      <c r="V298" s="383">
        <f t="shared" si="107"/>
        <v>39.679223004096627</v>
      </c>
      <c r="W298" s="58"/>
      <c r="X298" s="157">
        <f t="shared" si="108"/>
        <v>43749</v>
      </c>
      <c r="Y298" s="385">
        <f t="shared" si="109"/>
        <v>40.823</v>
      </c>
      <c r="Z298" s="385">
        <f t="shared" si="110"/>
        <v>41.263487257272814</v>
      </c>
      <c r="AA298" s="386">
        <f t="shared" si="111"/>
        <v>42.372953793647518</v>
      </c>
      <c r="AB298" s="197">
        <f t="shared" si="112"/>
        <v>43749</v>
      </c>
      <c r="AC298" s="426">
        <f>IF(OR(t&lt;Tnet,NoTnet),'2018'!Resal_s+('2018'!Salim-'2018'!Resal_s)*(1-EXP(('2018'!Tnet_s-t)/'2018'!Tau_j)),Resal_s+(Salim-Resal_s)*(1-EXP((Tnet_s-t)/Tau_j)))*Salcycl</f>
        <v>2.6183365497192013E-2</v>
      </c>
      <c r="AD298" s="231">
        <f>(INDEX(Models!$BJ298:$BT298,,AH298)*(1-AF298)+INDEX(Models!$BJ298:$BT298,,AH298+1)*AF298-ERP_i)*AE298*Ramure*Pc/MaxiM</f>
        <v>5.1846625891318487E-5</v>
      </c>
      <c r="AE298" s="305">
        <f t="shared" si="113"/>
        <v>0.5</v>
      </c>
      <c r="AF298" s="177">
        <f t="shared" si="114"/>
        <v>0.99438024920687296</v>
      </c>
      <c r="AG298" s="176">
        <f t="shared" si="115"/>
        <v>-2</v>
      </c>
      <c r="AH298" s="176">
        <f t="shared" si="116"/>
        <v>4</v>
      </c>
      <c r="AI298" s="225">
        <f t="shared" si="117"/>
        <v>-1.005619750793127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7">
        <v>20.11</v>
      </c>
      <c r="C299" s="390"/>
      <c r="D299" s="393">
        <f t="shared" si="99"/>
        <v>20.32743561430199</v>
      </c>
      <c r="E299" s="385">
        <f t="shared" si="121"/>
        <v>20.874601854610262</v>
      </c>
      <c r="F299" s="385">
        <f t="shared" si="100"/>
        <v>20.8749568434826</v>
      </c>
      <c r="G299" s="110">
        <f t="shared" si="122"/>
        <v>0.51091211910310241</v>
      </c>
      <c r="H299" s="414" t="b">
        <f>Wh_hp&gt;='2018'!Maxi_hp</f>
        <v>0</v>
      </c>
      <c r="I299" s="390">
        <f>IF(H299,Wh_hp,'2018'!Maxi_hp)</f>
        <v>35.169239917574913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1.069665738599157E-2</v>
      </c>
      <c r="M299" s="845"/>
      <c r="N299" s="845"/>
      <c r="O299" s="48">
        <f>IF(t&lt;Tnet,'2018'!Resal+('2018'!Salim-'2018'!Resal)*(1-EXP(('2018'!Tnet-t)/('2018'!Tau_j))),Resal+(Salim-Resal)*(1-EXP((Tnet-t)/(Tau_j))))*Salcycl</f>
        <v>2.6212056360127741E-2</v>
      </c>
      <c r="P299" s="169">
        <f>(INDEX(Models!$BJ299:$BT299,,T299)*(1-R299)+INDEX(Models!$BJ299:$BT299,,T299+1)*R299-ERP_i)*Q299*Ramure*Pc/MaxiM</f>
        <v>5.643443446316062E-5</v>
      </c>
      <c r="Q299" s="305">
        <f t="shared" si="102"/>
        <v>0.5</v>
      </c>
      <c r="R299" s="177">
        <f t="shared" si="103"/>
        <v>0.99450728954177436</v>
      </c>
      <c r="S299" s="811">
        <f t="shared" si="104"/>
        <v>-2</v>
      </c>
      <c r="T299" s="176">
        <f t="shared" si="105"/>
        <v>4</v>
      </c>
      <c r="U299" s="251">
        <f t="shared" si="106"/>
        <v>-1.0054927104582256</v>
      </c>
      <c r="V299" s="383">
        <f t="shared" si="107"/>
        <v>39.359424680992994</v>
      </c>
      <c r="W299" s="58"/>
      <c r="X299" s="157">
        <f t="shared" si="108"/>
        <v>43750</v>
      </c>
      <c r="Y299" s="385">
        <f t="shared" si="109"/>
        <v>20.11</v>
      </c>
      <c r="Z299" s="385">
        <f t="shared" si="110"/>
        <v>20.32743561430199</v>
      </c>
      <c r="AA299" s="386">
        <f t="shared" si="111"/>
        <v>20.874601854610262</v>
      </c>
      <c r="AB299" s="197">
        <f t="shared" si="112"/>
        <v>43750</v>
      </c>
      <c r="AC299" s="426">
        <f>IF(OR(t&lt;Tnet,NoTnet),'2018'!Resal_s+('2018'!Salim-'2018'!Resal_s)*(1-EXP(('2018'!Tnet_s-t)/'2018'!Tau_j)),Resal_s+(Salim-Resal_s)*(1-EXP((Tnet_s-t)/Tau_j)))*Salcycl</f>
        <v>2.6212056360127741E-2</v>
      </c>
      <c r="AD299" s="231">
        <f>(INDEX(Models!$BJ299:$BT299,,AH299)*(1-AF299)+INDEX(Models!$BJ299:$BT299,,AH299+1)*AF299-ERP_i)*AE299*Ramure*Pc/MaxiM</f>
        <v>5.643443446316062E-5</v>
      </c>
      <c r="AE299" s="305">
        <f t="shared" si="113"/>
        <v>0.5</v>
      </c>
      <c r="AF299" s="177">
        <f t="shared" si="114"/>
        <v>0.99450728954177436</v>
      </c>
      <c r="AG299" s="176">
        <f t="shared" si="115"/>
        <v>-2</v>
      </c>
      <c r="AH299" s="176">
        <f t="shared" si="116"/>
        <v>4</v>
      </c>
      <c r="AI299" s="225">
        <f t="shared" si="117"/>
        <v>-1.0054927104582256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7">
        <v>38.390999999999998</v>
      </c>
      <c r="C300" s="390"/>
      <c r="D300" s="393">
        <f t="shared" si="99"/>
        <v>38.806945479840032</v>
      </c>
      <c r="E300" s="385">
        <f t="shared" si="121"/>
        <v>39.852692213764364</v>
      </c>
      <c r="F300" s="385">
        <f t="shared" si="100"/>
        <v>39.855056795061437</v>
      </c>
      <c r="G300" s="110">
        <f t="shared" si="122"/>
        <v>0.98338242594965108</v>
      </c>
      <c r="H300" s="414" t="b">
        <f>Wh_hp&gt;='2018'!Maxi_hp</f>
        <v>1</v>
      </c>
      <c r="I300" s="390">
        <f>IF(H300,Wh_hp,'2018'!Maxi_hp)</f>
        <v>39.855056795061437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1.0718325668174988E-2</v>
      </c>
      <c r="M300" s="845"/>
      <c r="N300" s="845"/>
      <c r="O300" s="48">
        <f>IF(t&lt;Tnet,'2018'!Resal+('2018'!Salim-'2018'!Resal)*(1-EXP(('2018'!Tnet-t)/('2018'!Tau_j))),Resal+(Salim-Resal)*(1-EXP((Tnet-t)/(Tau_j))))*Salcycl</f>
        <v>2.6240303373109498E-2</v>
      </c>
      <c r="P300" s="169">
        <f>(INDEX(Models!$BJ300:$BT300,,T300)*(1-R300)+INDEX(Models!$BJ300:$BT300,,T300+1)*R300-ERP_i)*Q300*Ramure*Pc/MaxiM</f>
        <v>6.0772086884464298E-5</v>
      </c>
      <c r="Q300" s="305">
        <f t="shared" si="102"/>
        <v>0.5</v>
      </c>
      <c r="R300" s="177">
        <f t="shared" si="103"/>
        <v>0.99462927587136862</v>
      </c>
      <c r="S300" s="811">
        <f t="shared" si="104"/>
        <v>-2</v>
      </c>
      <c r="T300" s="176">
        <f t="shared" si="105"/>
        <v>4</v>
      </c>
      <c r="U300" s="251">
        <f t="shared" si="106"/>
        <v>-1.0053707241286314</v>
      </c>
      <c r="V300" s="383">
        <f t="shared" si="107"/>
        <v>39.039689546989734</v>
      </c>
      <c r="W300" s="58"/>
      <c r="X300" s="157">
        <f t="shared" si="108"/>
        <v>43751</v>
      </c>
      <c r="Y300" s="385">
        <f t="shared" si="109"/>
        <v>38.390999999999998</v>
      </c>
      <c r="Z300" s="385">
        <f t="shared" si="110"/>
        <v>38.806945479840032</v>
      </c>
      <c r="AA300" s="386">
        <f t="shared" si="111"/>
        <v>39.852692213764364</v>
      </c>
      <c r="AB300" s="197">
        <f t="shared" si="112"/>
        <v>43751</v>
      </c>
      <c r="AC300" s="426">
        <f>IF(OR(t&lt;Tnet,NoTnet),'2018'!Resal_s+('2018'!Salim-'2018'!Resal_s)*(1-EXP(('2018'!Tnet_s-t)/'2018'!Tau_j)),Resal_s+(Salim-Resal_s)*(1-EXP((Tnet_s-t)/Tau_j)))*Salcycl</f>
        <v>2.6240303373109498E-2</v>
      </c>
      <c r="AD300" s="231">
        <f>(INDEX(Models!$BJ300:$BT300,,AH300)*(1-AF300)+INDEX(Models!$BJ300:$BT300,,AH300+1)*AF300-ERP_i)*AE300*Ramure*Pc/MaxiM</f>
        <v>6.0772086884464298E-5</v>
      </c>
      <c r="AE300" s="305">
        <f t="shared" si="113"/>
        <v>0.5</v>
      </c>
      <c r="AF300" s="177">
        <f t="shared" si="114"/>
        <v>0.99462927587136862</v>
      </c>
      <c r="AG300" s="176">
        <f t="shared" si="115"/>
        <v>-2</v>
      </c>
      <c r="AH300" s="176">
        <f t="shared" si="116"/>
        <v>4</v>
      </c>
      <c r="AI300" s="225">
        <f t="shared" si="117"/>
        <v>-1.0053707241286314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7">
        <v>13.038</v>
      </c>
      <c r="C301" s="390"/>
      <c r="D301" s="393">
        <f t="shared" si="99"/>
        <v>13.179548262351211</v>
      </c>
      <c r="E301" s="385">
        <f t="shared" si="121"/>
        <v>13.535089492112505</v>
      </c>
      <c r="F301" s="385">
        <f t="shared" si="100"/>
        <v>13.53513554674611</v>
      </c>
      <c r="G301" s="110">
        <f t="shared" si="122"/>
        <v>0.33670436670833365</v>
      </c>
      <c r="H301" s="414" t="b">
        <f>Wh_hp&gt;='2018'!Maxi_hp</f>
        <v>0</v>
      </c>
      <c r="I301" s="390">
        <f>IF(H301,Wh_hp,'2018'!Maxi_hp)</f>
        <v>35.714648786243551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1.0739993475767262E-2</v>
      </c>
      <c r="M301" s="845"/>
      <c r="N301" s="845"/>
      <c r="O301" s="48">
        <f>IF(t&lt;Tnet,'2018'!Resal+('2018'!Salim-'2018'!Resal)*(1-EXP(('2018'!Tnet-t)/('2018'!Tau_j))),Resal+(Salim-Resal)*(1-EXP((Tnet-t)/(Tau_j))))*Salcycl</f>
        <v>2.6268110747881143E-2</v>
      </c>
      <c r="P301" s="169">
        <f>(INDEX(Models!$BJ301:$BT301,,T301)*(1-R301)+INDEX(Models!$BJ301:$BT301,,T301+1)*R301-ERP_i)*Q301*Ramure*Pc/MaxiM</f>
        <v>6.4855416747472403E-5</v>
      </c>
      <c r="Q301" s="305">
        <f t="shared" si="102"/>
        <v>0.5</v>
      </c>
      <c r="R301" s="177">
        <f t="shared" si="103"/>
        <v>0.99474640691214944</v>
      </c>
      <c r="S301" s="811">
        <f t="shared" si="104"/>
        <v>-2</v>
      </c>
      <c r="T301" s="176">
        <f t="shared" si="105"/>
        <v>4</v>
      </c>
      <c r="U301" s="251">
        <f t="shared" si="106"/>
        <v>-1.0052535930878506</v>
      </c>
      <c r="V301" s="383">
        <f t="shared" si="107"/>
        <v>38.720016918356166</v>
      </c>
      <c r="W301" s="58"/>
      <c r="X301" s="157">
        <f t="shared" si="108"/>
        <v>43752</v>
      </c>
      <c r="Y301" s="385">
        <f t="shared" si="109"/>
        <v>13.038</v>
      </c>
      <c r="Z301" s="385">
        <f t="shared" si="110"/>
        <v>13.179548262351211</v>
      </c>
      <c r="AA301" s="386">
        <f t="shared" si="111"/>
        <v>13.535089492112505</v>
      </c>
      <c r="AB301" s="197">
        <f t="shared" si="112"/>
        <v>43752</v>
      </c>
      <c r="AC301" s="426">
        <f>IF(OR(t&lt;Tnet,NoTnet),'2018'!Resal_s+('2018'!Salim-'2018'!Resal_s)*(1-EXP(('2018'!Tnet_s-t)/'2018'!Tau_j)),Resal_s+(Salim-Resal_s)*(1-EXP((Tnet_s-t)/Tau_j)))*Salcycl</f>
        <v>2.6268110747881143E-2</v>
      </c>
      <c r="AD301" s="231">
        <f>(INDEX(Models!$BJ301:$BT301,,AH301)*(1-AF301)+INDEX(Models!$BJ301:$BT301,,AH301+1)*AF301-ERP_i)*AE301*Ramure*Pc/MaxiM</f>
        <v>6.4855416747472403E-5</v>
      </c>
      <c r="AE301" s="305">
        <f t="shared" si="113"/>
        <v>0.5</v>
      </c>
      <c r="AF301" s="177">
        <f t="shared" si="114"/>
        <v>0.99474640691214944</v>
      </c>
      <c r="AG301" s="176">
        <f t="shared" si="115"/>
        <v>-2</v>
      </c>
      <c r="AH301" s="176">
        <f t="shared" si="116"/>
        <v>4</v>
      </c>
      <c r="AI301" s="225">
        <f t="shared" si="117"/>
        <v>-1.0052535930878506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7">
        <v>31.039000000000001</v>
      </c>
      <c r="C302" s="390"/>
      <c r="D302" s="393">
        <f t="shared" si="99"/>
        <v>31.37666502632398</v>
      </c>
      <c r="E302" s="385">
        <f t="shared" si="121"/>
        <v>32.224010993618947</v>
      </c>
      <c r="F302" s="385">
        <f t="shared" si="100"/>
        <v>32.225618138846443</v>
      </c>
      <c r="G302" s="110">
        <f t="shared" si="122"/>
        <v>0.80828354064912233</v>
      </c>
      <c r="H302" s="414" t="b">
        <f>Wh_hp&gt;='2018'!Maxi_hp</f>
        <v>1</v>
      </c>
      <c r="I302" s="390">
        <f>IF(H302,Wh_hp,'2018'!Maxi_hp)</f>
        <v>32.225618138846443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1.076166080877905E-2</v>
      </c>
      <c r="M302" s="845"/>
      <c r="N302" s="845"/>
      <c r="O302" s="48">
        <f>IF(t&lt;Tnet,'2018'!Resal+('2018'!Salim-'2018'!Resal)*(1-EXP(('2018'!Tnet-t)/('2018'!Tau_j))),Resal+(Salim-Resal)*(1-EXP((Tnet-t)/(Tau_j))))*Salcycl</f>
        <v>2.6295484055748303E-2</v>
      </c>
      <c r="P302" s="169">
        <f>(INDEX(Models!$BJ302:$BT302,,T302)*(1-R302)+INDEX(Models!$BJ302:$BT302,,T302+1)*R302-ERP_i)*Q302*Ramure*Pc/MaxiM</f>
        <v>6.8680408470968109E-5</v>
      </c>
      <c r="Q302" s="305">
        <f t="shared" si="102"/>
        <v>0.5</v>
      </c>
      <c r="R302" s="177">
        <f t="shared" si="103"/>
        <v>0.99485887375151538</v>
      </c>
      <c r="S302" s="811">
        <f t="shared" si="104"/>
        <v>-2</v>
      </c>
      <c r="T302" s="176">
        <f t="shared" si="105"/>
        <v>4</v>
      </c>
      <c r="U302" s="251">
        <f t="shared" si="106"/>
        <v>-1.0051411262484846</v>
      </c>
      <c r="V302" s="383">
        <f t="shared" si="107"/>
        <v>38.400406052266661</v>
      </c>
      <c r="W302" s="58"/>
      <c r="X302" s="157">
        <f t="shared" si="108"/>
        <v>43753</v>
      </c>
      <c r="Y302" s="385">
        <f t="shared" si="109"/>
        <v>31.039000000000001</v>
      </c>
      <c r="Z302" s="385">
        <f t="shared" si="110"/>
        <v>31.37666502632398</v>
      </c>
      <c r="AA302" s="386">
        <f t="shared" si="111"/>
        <v>32.224010993618947</v>
      </c>
      <c r="AB302" s="197">
        <f t="shared" si="112"/>
        <v>43753</v>
      </c>
      <c r="AC302" s="426">
        <f>IF(OR(t&lt;Tnet,NoTnet),'2018'!Resal_s+('2018'!Salim-'2018'!Resal_s)*(1-EXP(('2018'!Tnet_s-t)/'2018'!Tau_j)),Resal_s+(Salim-Resal_s)*(1-EXP((Tnet_s-t)/Tau_j)))*Salcycl</f>
        <v>2.6295484055748303E-2</v>
      </c>
      <c r="AD302" s="231">
        <f>(INDEX(Models!$BJ302:$BT302,,AH302)*(1-AF302)+INDEX(Models!$BJ302:$BT302,,AH302+1)*AF302-ERP_i)*AE302*Ramure*Pc/MaxiM</f>
        <v>6.8680408470968109E-5</v>
      </c>
      <c r="AE302" s="305">
        <f t="shared" si="113"/>
        <v>0.5</v>
      </c>
      <c r="AF302" s="177">
        <f t="shared" si="114"/>
        <v>0.99485887375151538</v>
      </c>
      <c r="AG302" s="176">
        <f t="shared" si="115"/>
        <v>-2</v>
      </c>
      <c r="AH302" s="176">
        <f t="shared" si="116"/>
        <v>4</v>
      </c>
      <c r="AI302" s="225">
        <f t="shared" si="117"/>
        <v>-1.0051411262484846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7">
        <v>33.832000000000001</v>
      </c>
      <c r="C303" s="390"/>
      <c r="D303" s="393">
        <f t="shared" si="99"/>
        <v>34.200798415798111</v>
      </c>
      <c r="E303" s="385">
        <f t="shared" si="121"/>
        <v>35.125383883378248</v>
      </c>
      <c r="F303" s="385">
        <f t="shared" si="100"/>
        <v>35.127517240266528</v>
      </c>
      <c r="G303" s="110">
        <f t="shared" si="122"/>
        <v>0.88843608331906609</v>
      </c>
      <c r="H303" s="414" t="b">
        <f>Wh_hp&gt;='2018'!Maxi_hp</f>
        <v>1</v>
      </c>
      <c r="I303" s="390">
        <f>IF(H303,Wh_hp,'2018'!Maxi_hp)</f>
        <v>35.127517240266528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1.0783327667220677E-2</v>
      </c>
      <c r="M303" s="845"/>
      <c r="N303" s="845"/>
      <c r="O303" s="48">
        <f>IF(t&lt;Tnet,'2018'!Resal+('2018'!Salim-'2018'!Resal)*(1-EXP(('2018'!Tnet-t)/('2018'!Tau_j))),Resal+(Salim-Resal)*(1-EXP((Tnet-t)/(Tau_j))))*Salcycl</f>
        <v>2.6322430258695649E-2</v>
      </c>
      <c r="P303" s="169">
        <f>(INDEX(Models!$BJ303:$BT303,,T303)*(1-R303)+INDEX(Models!$BJ303:$BT303,,T303+1)*R303-ERP_i)*Q303*Ramure*Pc/MaxiM</f>
        <v>7.2244909771443722E-5</v>
      </c>
      <c r="Q303" s="305">
        <f t="shared" si="102"/>
        <v>0.5</v>
      </c>
      <c r="R303" s="177">
        <f t="shared" si="103"/>
        <v>0.99496686012614832</v>
      </c>
      <c r="S303" s="811">
        <f t="shared" si="104"/>
        <v>-2</v>
      </c>
      <c r="T303" s="176">
        <f t="shared" si="105"/>
        <v>4</v>
      </c>
      <c r="U303" s="251">
        <f t="shared" si="106"/>
        <v>-1.0050331398738517</v>
      </c>
      <c r="V303" s="383">
        <f t="shared" si="107"/>
        <v>38.07995994261843</v>
      </c>
      <c r="W303" s="58"/>
      <c r="X303" s="157">
        <f t="shared" si="108"/>
        <v>43754</v>
      </c>
      <c r="Y303" s="385">
        <f t="shared" si="109"/>
        <v>33.832000000000001</v>
      </c>
      <c r="Z303" s="385">
        <f t="shared" si="110"/>
        <v>34.200798415798111</v>
      </c>
      <c r="AA303" s="386">
        <f t="shared" si="111"/>
        <v>35.125383883378248</v>
      </c>
      <c r="AB303" s="197">
        <f t="shared" si="112"/>
        <v>43754</v>
      </c>
      <c r="AC303" s="426">
        <f>IF(OR(t&lt;Tnet,NoTnet),'2018'!Resal_s+('2018'!Salim-'2018'!Resal_s)*(1-EXP(('2018'!Tnet_s-t)/'2018'!Tau_j)),Resal_s+(Salim-Resal_s)*(1-EXP((Tnet_s-t)/Tau_j)))*Salcycl</f>
        <v>2.6322430258695649E-2</v>
      </c>
      <c r="AD303" s="231">
        <f>(INDEX(Models!$BJ303:$BT303,,AH303)*(1-AF303)+INDEX(Models!$BJ303:$BT303,,AH303+1)*AF303-ERP_i)*AE303*Ramure*Pc/MaxiM</f>
        <v>7.2244909771443722E-5</v>
      </c>
      <c r="AE303" s="305">
        <f t="shared" si="113"/>
        <v>0.5</v>
      </c>
      <c r="AF303" s="177">
        <f t="shared" si="114"/>
        <v>0.99496686012614832</v>
      </c>
      <c r="AG303" s="176">
        <f t="shared" si="115"/>
        <v>-2</v>
      </c>
      <c r="AH303" s="176">
        <f t="shared" si="116"/>
        <v>4</v>
      </c>
      <c r="AI303" s="225">
        <f t="shared" si="117"/>
        <v>-1.0050331398738517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7">
        <v>19.731000000000002</v>
      </c>
      <c r="C304" s="390"/>
      <c r="D304" s="393">
        <f t="shared" si="99"/>
        <v>19.946522052113266</v>
      </c>
      <c r="E304" s="385">
        <f t="shared" si="121"/>
        <v>20.486315102860779</v>
      </c>
      <c r="F304" s="385">
        <f t="shared" si="100"/>
        <v>20.486805349819925</v>
      </c>
      <c r="G304" s="110">
        <f t="shared" si="122"/>
        <v>0.52253698570736473</v>
      </c>
      <c r="H304" s="414" t="b">
        <f>Wh_hp&gt;='2018'!Maxi_hp</f>
        <v>0</v>
      </c>
      <c r="I304" s="390">
        <f>IF(H304,Wh_hp,'2018'!Maxi_hp)</f>
        <v>21.822298308807774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1.0804994051102357E-2</v>
      </c>
      <c r="M304" s="845"/>
      <c r="N304" s="845"/>
      <c r="O304" s="48">
        <f>IF(t&lt;Tnet,'2018'!Resal+('2018'!Salim-'2018'!Resal)*(1-EXP(('2018'!Tnet-t)/('2018'!Tau_j))),Resal+(Salim-Resal)*(1-EXP((Tnet-t)/(Tau_j))))*Salcycl</f>
        <v>2.6348957732868855E-2</v>
      </c>
      <c r="P304" s="169">
        <f>(INDEX(Models!$BJ304:$BT304,,T304)*(1-R304)+INDEX(Models!$BJ304:$BT304,,T304+1)*R304-ERP_i)*Q304*Ramure*Pc/MaxiM</f>
        <v>7.526345612920514E-5</v>
      </c>
      <c r="Q304" s="305">
        <f t="shared" si="102"/>
        <v>0.5</v>
      </c>
      <c r="R304" s="177">
        <f t="shared" si="103"/>
        <v>0.99507054269139328</v>
      </c>
      <c r="S304" s="811">
        <f t="shared" si="104"/>
        <v>-2</v>
      </c>
      <c r="T304" s="176">
        <f t="shared" si="105"/>
        <v>4</v>
      </c>
      <c r="U304" s="251">
        <f t="shared" si="106"/>
        <v>-1.0049294573086067</v>
      </c>
      <c r="V304" s="383">
        <f t="shared" si="107"/>
        <v>37.758068142146605</v>
      </c>
      <c r="W304" s="58"/>
      <c r="X304" s="157">
        <f t="shared" si="108"/>
        <v>43755</v>
      </c>
      <c r="Y304" s="385">
        <f t="shared" si="109"/>
        <v>19.731000000000002</v>
      </c>
      <c r="Z304" s="385">
        <f t="shared" si="110"/>
        <v>19.946522052113266</v>
      </c>
      <c r="AA304" s="386">
        <f t="shared" si="111"/>
        <v>20.486315102860779</v>
      </c>
      <c r="AB304" s="197">
        <f t="shared" si="112"/>
        <v>43755</v>
      </c>
      <c r="AC304" s="426">
        <f>IF(OR(t&lt;Tnet,NoTnet),'2018'!Resal_s+('2018'!Salim-'2018'!Resal_s)*(1-EXP(('2018'!Tnet_s-t)/'2018'!Tau_j)),Resal_s+(Salim-Resal_s)*(1-EXP((Tnet_s-t)/Tau_j)))*Salcycl</f>
        <v>2.6348957732868855E-2</v>
      </c>
      <c r="AD304" s="231">
        <f>(INDEX(Models!$BJ304:$BT304,,AH304)*(1-AF304)+INDEX(Models!$BJ304:$BT304,,AH304+1)*AF304-ERP_i)*AE304*Ramure*Pc/MaxiM</f>
        <v>7.526345612920514E-5</v>
      </c>
      <c r="AE304" s="305">
        <f t="shared" si="113"/>
        <v>0.5</v>
      </c>
      <c r="AF304" s="177">
        <f t="shared" si="114"/>
        <v>0.99507054269139328</v>
      </c>
      <c r="AG304" s="176">
        <f t="shared" si="115"/>
        <v>-2</v>
      </c>
      <c r="AH304" s="176">
        <f t="shared" si="116"/>
        <v>4</v>
      </c>
      <c r="AI304" s="225">
        <f t="shared" si="117"/>
        <v>-1.0049294573086067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7">
        <v>15.233000000000001</v>
      </c>
      <c r="C305" s="390"/>
      <c r="D305" s="393">
        <f t="shared" si="99"/>
        <v>15.399727614364037</v>
      </c>
      <c r="E305" s="385">
        <f t="shared" si="121"/>
        <v>15.816899546478771</v>
      </c>
      <c r="F305" s="385">
        <f t="shared" si="100"/>
        <v>15.817086860699005</v>
      </c>
      <c r="G305" s="110">
        <f t="shared" si="122"/>
        <v>0.40689028968587776</v>
      </c>
      <c r="H305" s="414" t="b">
        <f>Wh_hp&gt;='2018'!Maxi_hp</f>
        <v>1</v>
      </c>
      <c r="I305" s="390">
        <f>IF(H305,Wh_hp,'2018'!Maxi_hp)</f>
        <v>15.817086860699005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1.0826659960434748E-2</v>
      </c>
      <c r="M305" s="845"/>
      <c r="N305" s="845"/>
      <c r="O305" s="48">
        <f>IF(t&lt;Tnet,'2018'!Resal+('2018'!Salim-'2018'!Resal)*(1-EXP(('2018'!Tnet-t)/('2018'!Tau_j))),Resal+(Salim-Resal)*(1-EXP((Tnet-t)/(Tau_j))))*Salcycl</f>
        <v>2.6375076283999342E-2</v>
      </c>
      <c r="P305" s="169">
        <f>(INDEX(Models!$BJ305:$BT305,,T305)*(1-R305)+INDEX(Models!$BJ305:$BT305,,T305+1)*R305-ERP_i)*Q305*Ramure*Pc/MaxiM</f>
        <v>7.7534579992880498E-5</v>
      </c>
      <c r="Q305" s="305">
        <f t="shared" si="102"/>
        <v>0.5</v>
      </c>
      <c r="R305" s="177">
        <f t="shared" si="103"/>
        <v>0.99517009128183354</v>
      </c>
      <c r="S305" s="811">
        <f t="shared" si="104"/>
        <v>-2</v>
      </c>
      <c r="T305" s="176">
        <f t="shared" si="105"/>
        <v>4</v>
      </c>
      <c r="U305" s="251">
        <f t="shared" si="106"/>
        <v>-1.0048299087181665</v>
      </c>
      <c r="V305" s="383">
        <f t="shared" si="107"/>
        <v>37.43515067122722</v>
      </c>
      <c r="W305" s="58"/>
      <c r="X305" s="157">
        <f t="shared" si="108"/>
        <v>43756</v>
      </c>
      <c r="Y305" s="385">
        <f t="shared" si="109"/>
        <v>15.233000000000001</v>
      </c>
      <c r="Z305" s="385">
        <f t="shared" si="110"/>
        <v>15.399727614364037</v>
      </c>
      <c r="AA305" s="386">
        <f t="shared" si="111"/>
        <v>15.816899546478771</v>
      </c>
      <c r="AB305" s="197">
        <f t="shared" si="112"/>
        <v>43756</v>
      </c>
      <c r="AC305" s="426">
        <f>IF(OR(t&lt;Tnet,NoTnet),'2018'!Resal_s+('2018'!Salim-'2018'!Resal_s)*(1-EXP(('2018'!Tnet_s-t)/'2018'!Tau_j)),Resal_s+(Salim-Resal_s)*(1-EXP((Tnet_s-t)/Tau_j)))*Salcycl</f>
        <v>2.6375076283999342E-2</v>
      </c>
      <c r="AD305" s="231">
        <f>(INDEX(Models!$BJ305:$BT305,,AH305)*(1-AF305)+INDEX(Models!$BJ305:$BT305,,AH305+1)*AF305-ERP_i)*AE305*Ramure*Pc/MaxiM</f>
        <v>7.7534579992880498E-5</v>
      </c>
      <c r="AE305" s="305">
        <f t="shared" si="113"/>
        <v>0.5</v>
      </c>
      <c r="AF305" s="177">
        <f t="shared" si="114"/>
        <v>0.99517009128183354</v>
      </c>
      <c r="AG305" s="176">
        <f t="shared" si="115"/>
        <v>-2</v>
      </c>
      <c r="AH305" s="176">
        <f t="shared" si="116"/>
        <v>4</v>
      </c>
      <c r="AI305" s="225">
        <f t="shared" si="117"/>
        <v>-1.0048299087181665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7">
        <v>30.802</v>
      </c>
      <c r="C306" s="390"/>
      <c r="D306" s="393">
        <f t="shared" si="99"/>
        <v>31.139814844176783</v>
      </c>
      <c r="E306" s="385">
        <f t="shared" si="121"/>
        <v>31.984223850186758</v>
      </c>
      <c r="F306" s="385">
        <f t="shared" si="100"/>
        <v>31.986138216585289</v>
      </c>
      <c r="G306" s="110">
        <f t="shared" si="122"/>
        <v>0.82996669436943871</v>
      </c>
      <c r="H306" s="414" t="b">
        <f>Wh_hp&gt;='2018'!Maxi_hp</f>
        <v>1</v>
      </c>
      <c r="I306" s="390">
        <f>IF(H306,Wh_hp,'2018'!Maxi_hp)</f>
        <v>31.986138216585289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1.0848325395228064E-2</v>
      </c>
      <c r="M306" s="845"/>
      <c r="N306" s="845"/>
      <c r="O306" s="48">
        <f>IF(t&lt;Tnet,'2018'!Resal+('2018'!Salim-'2018'!Resal)*(1-EXP(('2018'!Tnet-t)/('2018'!Tau_j))),Resal+(Salim-Resal)*(1-EXP((Tnet-t)/(Tau_j))))*Salcycl</f>
        <v>2.6400797154408441E-2</v>
      </c>
      <c r="P306" s="169">
        <f>(INDEX(Models!$BJ306:$BT306,,T306)*(1-R306)+INDEX(Models!$BJ306:$BT306,,T306+1)*R306-ERP_i)*Q306*Ramure*Pc/MaxiM</f>
        <v>7.9049596355682753E-5</v>
      </c>
      <c r="Q306" s="305">
        <f t="shared" si="102"/>
        <v>0.5</v>
      </c>
      <c r="R306" s="177">
        <f t="shared" si="103"/>
        <v>0.99526566916326376</v>
      </c>
      <c r="S306" s="811">
        <f t="shared" si="104"/>
        <v>-2</v>
      </c>
      <c r="T306" s="176">
        <f t="shared" si="105"/>
        <v>4</v>
      </c>
      <c r="U306" s="251">
        <f t="shared" si="106"/>
        <v>-1.0047343308367362</v>
      </c>
      <c r="V306" s="383">
        <f t="shared" si="107"/>
        <v>37.111620000861436</v>
      </c>
      <c r="W306" s="58"/>
      <c r="X306" s="157">
        <f t="shared" si="108"/>
        <v>43757</v>
      </c>
      <c r="Y306" s="385">
        <f t="shared" si="109"/>
        <v>30.802</v>
      </c>
      <c r="Z306" s="385">
        <f t="shared" si="110"/>
        <v>31.139814844176783</v>
      </c>
      <c r="AA306" s="386">
        <f t="shared" si="111"/>
        <v>31.984223850186758</v>
      </c>
      <c r="AB306" s="197">
        <f t="shared" si="112"/>
        <v>43757</v>
      </c>
      <c r="AC306" s="426">
        <f>IF(OR(t&lt;Tnet,NoTnet),'2018'!Resal_s+('2018'!Salim-'2018'!Resal_s)*(1-EXP(('2018'!Tnet_s-t)/'2018'!Tau_j)),Resal_s+(Salim-Resal_s)*(1-EXP((Tnet_s-t)/Tau_j)))*Salcycl</f>
        <v>2.6400797154408441E-2</v>
      </c>
      <c r="AD306" s="231">
        <f>(INDEX(Models!$BJ306:$BT306,,AH306)*(1-AF306)+INDEX(Models!$BJ306:$BT306,,AH306+1)*AF306-ERP_i)*AE306*Ramure*Pc/MaxiM</f>
        <v>7.9049596355682753E-5</v>
      </c>
      <c r="AE306" s="305">
        <f t="shared" si="113"/>
        <v>0.5</v>
      </c>
      <c r="AF306" s="177">
        <f t="shared" si="114"/>
        <v>0.99526566916326376</v>
      </c>
      <c r="AG306" s="176">
        <f t="shared" si="115"/>
        <v>-2</v>
      </c>
      <c r="AH306" s="176">
        <f t="shared" si="116"/>
        <v>4</v>
      </c>
      <c r="AI306" s="225">
        <f t="shared" si="117"/>
        <v>-1.0047343308367362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7">
        <v>13.285</v>
      </c>
      <c r="C307" s="390"/>
      <c r="D307" s="393">
        <f t="shared" si="99"/>
        <v>13.43099478376419</v>
      </c>
      <c r="E307" s="385">
        <f t="shared" si="121"/>
        <v>13.79555803551359</v>
      </c>
      <c r="F307" s="385">
        <f t="shared" si="100"/>
        <v>13.795654165984132</v>
      </c>
      <c r="G307" s="110">
        <f t="shared" si="122"/>
        <v>0.36109798576915825</v>
      </c>
      <c r="H307" s="414" t="b">
        <f>Wh_hp&gt;='2018'!Maxi_hp</f>
        <v>1</v>
      </c>
      <c r="I307" s="390">
        <f>IF(H307,Wh_hp,'2018'!Maxi_hp)</f>
        <v>13.795654165984132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1.0869990355492742E-2</v>
      </c>
      <c r="M307" s="845"/>
      <c r="N307" s="845"/>
      <c r="O307" s="48">
        <f>IF(t&lt;Tnet,'2018'!Resal+('2018'!Salim-'2018'!Resal)*(1-EXP(('2018'!Tnet-t)/('2018'!Tau_j))),Resal+(Salim-Resal)*(1-EXP((Tnet-t)/(Tau_j))))*Salcycl</f>
        <v>2.6426133021289395E-2</v>
      </c>
      <c r="P307" s="169">
        <f>(INDEX(Models!$BJ307:$BT307,,T307)*(1-R307)+INDEX(Models!$BJ307:$BT307,,T307+1)*R307-ERP_i)*Q307*Ramure*Pc/MaxiM</f>
        <v>7.9800020141398669E-5</v>
      </c>
      <c r="Q307" s="305">
        <f t="shared" si="102"/>
        <v>0.5</v>
      </c>
      <c r="R307" s="177">
        <f t="shared" si="103"/>
        <v>0.99535743327625714</v>
      </c>
      <c r="S307" s="811">
        <f t="shared" si="104"/>
        <v>-2</v>
      </c>
      <c r="T307" s="176">
        <f t="shared" si="105"/>
        <v>4</v>
      </c>
      <c r="U307" s="251">
        <f t="shared" si="106"/>
        <v>-1.0046425667237429</v>
      </c>
      <c r="V307" s="383">
        <f t="shared" si="107"/>
        <v>36.787888455926186</v>
      </c>
      <c r="W307" s="58"/>
      <c r="X307" s="157">
        <f t="shared" si="108"/>
        <v>43758</v>
      </c>
      <c r="Y307" s="385">
        <f t="shared" si="109"/>
        <v>13.285</v>
      </c>
      <c r="Z307" s="385">
        <f t="shared" si="110"/>
        <v>13.43099478376419</v>
      </c>
      <c r="AA307" s="386">
        <f t="shared" si="111"/>
        <v>13.79555803551359</v>
      </c>
      <c r="AB307" s="197">
        <f t="shared" si="112"/>
        <v>43758</v>
      </c>
      <c r="AC307" s="426">
        <f>IF(OR(t&lt;Tnet,NoTnet),'2018'!Resal_s+('2018'!Salim-'2018'!Resal_s)*(1-EXP(('2018'!Tnet_s-t)/'2018'!Tau_j)),Resal_s+(Salim-Resal_s)*(1-EXP((Tnet_s-t)/Tau_j)))*Salcycl</f>
        <v>2.6426133021289395E-2</v>
      </c>
      <c r="AD307" s="231">
        <f>(INDEX(Models!$BJ307:$BT307,,AH307)*(1-AF307)+INDEX(Models!$BJ307:$BT307,,AH307+1)*AF307-ERP_i)*AE307*Ramure*Pc/MaxiM</f>
        <v>7.9800020141398669E-5</v>
      </c>
      <c r="AE307" s="305">
        <f t="shared" si="113"/>
        <v>0.5</v>
      </c>
      <c r="AF307" s="177">
        <f t="shared" si="114"/>
        <v>0.99535743327625714</v>
      </c>
      <c r="AG307" s="176">
        <f t="shared" si="115"/>
        <v>-2</v>
      </c>
      <c r="AH307" s="176">
        <f t="shared" si="116"/>
        <v>4</v>
      </c>
      <c r="AI307" s="225">
        <f t="shared" si="117"/>
        <v>-1.0046425667237429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7">
        <v>23.687000000000001</v>
      </c>
      <c r="C308" s="390"/>
      <c r="D308" s="393">
        <f t="shared" si="99"/>
        <v>23.947831515058166</v>
      </c>
      <c r="E308" s="385">
        <f t="shared" si="121"/>
        <v>24.598488545893915</v>
      </c>
      <c r="F308" s="385">
        <f t="shared" si="100"/>
        <v>24.59946864863414</v>
      </c>
      <c r="G308" s="110">
        <f t="shared" si="122"/>
        <v>0.64956710268880846</v>
      </c>
      <c r="H308" s="414" t="b">
        <f>Wh_hp&gt;='2018'!Maxi_hp</f>
        <v>1</v>
      </c>
      <c r="I308" s="390">
        <f>IF(H308,Wh_hp,'2018'!Maxi_hp)</f>
        <v>24.59946864863414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1.0891654841239218E-2</v>
      </c>
      <c r="M308" s="845"/>
      <c r="N308" s="845"/>
      <c r="O308" s="48">
        <f>IF(t&lt;Tnet,'2018'!Resal+('2018'!Salim-'2018'!Resal)*(1-EXP(('2018'!Tnet-t)/('2018'!Tau_j))),Resal+(Salim-Resal)*(1-EXP((Tnet-t)/(Tau_j))))*Salcycl</f>
        <v>2.6451097986033002E-2</v>
      </c>
      <c r="P308" s="169">
        <f>(INDEX(Models!$BJ308:$BT308,,T308)*(1-R308)+INDEX(Models!$BJ308:$BT308,,T308+1)*R308-ERP_i)*Q308*Ramure*Pc/MaxiM</f>
        <v>7.977763042795377E-5</v>
      </c>
      <c r="Q308" s="305">
        <f t="shared" si="102"/>
        <v>0.5</v>
      </c>
      <c r="R308" s="177">
        <f t="shared" si="103"/>
        <v>0.99544553447154249</v>
      </c>
      <c r="S308" s="811">
        <f t="shared" si="104"/>
        <v>-2</v>
      </c>
      <c r="T308" s="176">
        <f t="shared" si="105"/>
        <v>4</v>
      </c>
      <c r="U308" s="251">
        <f t="shared" si="106"/>
        <v>-1.0045544655284575</v>
      </c>
      <c r="V308" s="383">
        <f t="shared" si="107"/>
        <v>36.46436822200377</v>
      </c>
      <c r="W308" s="58"/>
      <c r="X308" s="157">
        <f t="shared" si="108"/>
        <v>43759</v>
      </c>
      <c r="Y308" s="385">
        <f t="shared" si="109"/>
        <v>23.687000000000001</v>
      </c>
      <c r="Z308" s="385">
        <f t="shared" si="110"/>
        <v>23.947831515058166</v>
      </c>
      <c r="AA308" s="386">
        <f t="shared" si="111"/>
        <v>24.598488545893915</v>
      </c>
      <c r="AB308" s="197">
        <f t="shared" si="112"/>
        <v>43759</v>
      </c>
      <c r="AC308" s="426">
        <f>IF(OR(t&lt;Tnet,NoTnet),'2018'!Resal_s+('2018'!Salim-'2018'!Resal_s)*(1-EXP(('2018'!Tnet_s-t)/'2018'!Tau_j)),Resal_s+(Salim-Resal_s)*(1-EXP((Tnet_s-t)/Tau_j)))*Salcycl</f>
        <v>2.6451097986033002E-2</v>
      </c>
      <c r="AD308" s="231">
        <f>(INDEX(Models!$BJ308:$BT308,,AH308)*(1-AF308)+INDEX(Models!$BJ308:$BT308,,AH308+1)*AF308-ERP_i)*AE308*Ramure*Pc/MaxiM</f>
        <v>7.977763042795377E-5</v>
      </c>
      <c r="AE308" s="305">
        <f t="shared" si="113"/>
        <v>0.5</v>
      </c>
      <c r="AF308" s="177">
        <f t="shared" si="114"/>
        <v>0.99544553447154249</v>
      </c>
      <c r="AG308" s="176">
        <f t="shared" si="115"/>
        <v>-2</v>
      </c>
      <c r="AH308" s="176">
        <f t="shared" si="116"/>
        <v>4</v>
      </c>
      <c r="AI308" s="225">
        <f t="shared" si="117"/>
        <v>-1.0045544655284575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7">
        <v>4.8620000000000001</v>
      </c>
      <c r="C309" s="390"/>
      <c r="D309" s="393">
        <f t="shared" si="99"/>
        <v>4.9156460122981205</v>
      </c>
      <c r="E309" s="385">
        <f t="shared" si="121"/>
        <v>5.0493306129522848</v>
      </c>
      <c r="F309" s="385">
        <f t="shared" si="100"/>
        <v>5.0493306129522848</v>
      </c>
      <c r="G309" s="110">
        <f t="shared" si="122"/>
        <v>0.13451627297745081</v>
      </c>
      <c r="H309" s="414" t="b">
        <f>Wh_hp&gt;='2018'!Maxi_hp</f>
        <v>0</v>
      </c>
      <c r="I309" s="390">
        <f>IF(H309,Wh_hp,'2018'!Maxi_hp)</f>
        <v>23.345897574822558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1.0913318852477816E-2</v>
      </c>
      <c r="M309" s="845"/>
      <c r="N309" s="845"/>
      <c r="O309" s="48">
        <f>IF(t&lt;Tnet,'2018'!Resal+('2018'!Salim-'2018'!Resal)*(1-EXP(('2018'!Tnet-t)/('2018'!Tau_j))),Resal+(Salim-Resal)*(1-EXP((Tnet-t)/(Tau_j))))*Salcycl</f>
        <v>2.6475707554431689E-2</v>
      </c>
      <c r="P309" s="169">
        <f>(INDEX(Models!$BJ309:$BT309,,T309)*(1-R309)+INDEX(Models!$BJ309:$BT309,,T309+1)*R309-ERP_i)*Q309*Ramure*Pc/MaxiM</f>
        <v>7.8974533587198345E-5</v>
      </c>
      <c r="Q309" s="305">
        <f t="shared" si="102"/>
        <v>0.5</v>
      </c>
      <c r="R309" s="177">
        <f t="shared" si="103"/>
        <v>0.99553011773738831</v>
      </c>
      <c r="S309" s="811">
        <f t="shared" si="104"/>
        <v>-2</v>
      </c>
      <c r="T309" s="176">
        <f t="shared" si="105"/>
        <v>4</v>
      </c>
      <c r="U309" s="251">
        <f t="shared" si="106"/>
        <v>-1.0044698822626117</v>
      </c>
      <c r="V309" s="383">
        <f t="shared" si="107"/>
        <v>36.141471349214832</v>
      </c>
      <c r="W309" s="58"/>
      <c r="X309" s="157">
        <f t="shared" si="108"/>
        <v>43760</v>
      </c>
      <c r="Y309" s="385">
        <f t="shared" si="109"/>
        <v>4.8620000000000001</v>
      </c>
      <c r="Z309" s="385">
        <f t="shared" si="110"/>
        <v>4.9156460122981205</v>
      </c>
      <c r="AA309" s="386">
        <f t="shared" si="111"/>
        <v>5.0493306129522848</v>
      </c>
      <c r="AB309" s="197">
        <f t="shared" si="112"/>
        <v>43760</v>
      </c>
      <c r="AC309" s="426">
        <f>IF(OR(t&lt;Tnet,NoTnet),'2018'!Resal_s+('2018'!Salim-'2018'!Resal_s)*(1-EXP(('2018'!Tnet_s-t)/'2018'!Tau_j)),Resal_s+(Salim-Resal_s)*(1-EXP((Tnet_s-t)/Tau_j)))*Salcycl</f>
        <v>2.6475707554431689E-2</v>
      </c>
      <c r="AD309" s="231">
        <f>(INDEX(Models!$BJ309:$BT309,,AH309)*(1-AF309)+INDEX(Models!$BJ309:$BT309,,AH309+1)*AF309-ERP_i)*AE309*Ramure*Pc/MaxiM</f>
        <v>7.8974533587198345E-5</v>
      </c>
      <c r="AE309" s="305">
        <f t="shared" si="113"/>
        <v>0.5</v>
      </c>
      <c r="AF309" s="177">
        <f t="shared" si="114"/>
        <v>0.99553011773738831</v>
      </c>
      <c r="AG309" s="176">
        <f t="shared" si="115"/>
        <v>-2</v>
      </c>
      <c r="AH309" s="176">
        <f t="shared" si="116"/>
        <v>4</v>
      </c>
      <c r="AI309" s="225">
        <f t="shared" si="117"/>
        <v>-1.0044698822626117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7">
        <v>17.206</v>
      </c>
      <c r="C310" s="390"/>
      <c r="D310" s="393">
        <f t="shared" si="99"/>
        <v>17.396227440702933</v>
      </c>
      <c r="E310" s="385">
        <f t="shared" si="121"/>
        <v>17.869776125759408</v>
      </c>
      <c r="F310" s="385">
        <f t="shared" si="100"/>
        <v>17.870133454324247</v>
      </c>
      <c r="G310" s="110">
        <f t="shared" si="122"/>
        <v>0.48032384183411042</v>
      </c>
      <c r="H310" s="414" t="b">
        <f>Wh_hp&gt;='2018'!Maxi_hp</f>
        <v>0</v>
      </c>
      <c r="I310" s="390">
        <f>IF(H310,Wh_hp,'2018'!Maxi_hp)</f>
        <v>37.419724893736571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1.0934982389218972E-2</v>
      </c>
      <c r="M310" s="845"/>
      <c r="N310" s="845"/>
      <c r="O310" s="48">
        <f>IF(t&lt;Tnet,'2018'!Resal+('2018'!Salim-'2018'!Resal)*(1-EXP(('2018'!Tnet-t)/('2018'!Tau_j))),Resal+(Salim-Resal)*(1-EXP((Tnet-t)/(Tau_j))))*Salcycl</f>
        <v>2.6499978607669835E-2</v>
      </c>
      <c r="P310" s="169">
        <f>(INDEX(Models!$BJ310:$BT310,,T310)*(1-R310)+INDEX(Models!$BJ310:$BT310,,T310+1)*R310-ERP_i)*Q310*Ramure*Pc/MaxiM</f>
        <v>7.7610088461307585E-5</v>
      </c>
      <c r="Q310" s="305">
        <f t="shared" si="102"/>
        <v>0.5</v>
      </c>
      <c r="R310" s="177">
        <f t="shared" si="103"/>
        <v>0.99561132241921024</v>
      </c>
      <c r="S310" s="811">
        <f t="shared" si="104"/>
        <v>-2</v>
      </c>
      <c r="T310" s="176">
        <f t="shared" si="105"/>
        <v>4</v>
      </c>
      <c r="U310" s="251">
        <f t="shared" si="106"/>
        <v>-1.0043886775807898</v>
      </c>
      <c r="V310" s="383">
        <f t="shared" si="107"/>
        <v>35.819601633656426</v>
      </c>
      <c r="W310" s="58"/>
      <c r="X310" s="157">
        <f t="shared" si="108"/>
        <v>43761</v>
      </c>
      <c r="Y310" s="385">
        <f t="shared" si="109"/>
        <v>17.206</v>
      </c>
      <c r="Z310" s="385">
        <f t="shared" si="110"/>
        <v>17.396227440702933</v>
      </c>
      <c r="AA310" s="386">
        <f t="shared" si="111"/>
        <v>17.869776125759408</v>
      </c>
      <c r="AB310" s="197">
        <f t="shared" si="112"/>
        <v>43761</v>
      </c>
      <c r="AC310" s="426">
        <f>IF(OR(t&lt;Tnet,NoTnet),'2018'!Resal_s+('2018'!Salim-'2018'!Resal_s)*(1-EXP(('2018'!Tnet_s-t)/'2018'!Tau_j)),Resal_s+(Salim-Resal_s)*(1-EXP((Tnet_s-t)/Tau_j)))*Salcycl</f>
        <v>2.6499978607669835E-2</v>
      </c>
      <c r="AD310" s="231">
        <f>(INDEX(Models!$BJ310:$BT310,,AH310)*(1-AF310)+INDEX(Models!$BJ310:$BT310,,AH310+1)*AF310-ERP_i)*AE310*Ramure*Pc/MaxiM</f>
        <v>7.7610088461307585E-5</v>
      </c>
      <c r="AE310" s="305">
        <f t="shared" si="113"/>
        <v>0.5</v>
      </c>
      <c r="AF310" s="177">
        <f t="shared" si="114"/>
        <v>0.99561132241921024</v>
      </c>
      <c r="AG310" s="176">
        <f t="shared" si="115"/>
        <v>-2</v>
      </c>
      <c r="AH310" s="176">
        <f t="shared" si="116"/>
        <v>4</v>
      </c>
      <c r="AI310" s="225">
        <f t="shared" si="117"/>
        <v>-1.0043886775807898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7">
        <v>17.562000000000001</v>
      </c>
      <c r="C311" s="390"/>
      <c r="D311" s="393">
        <f t="shared" si="99"/>
        <v>17.756552247415492</v>
      </c>
      <c r="E311" s="385">
        <f t="shared" si="121"/>
        <v>18.240358220429737</v>
      </c>
      <c r="F311" s="385">
        <f t="shared" si="100"/>
        <v>18.240744692042515</v>
      </c>
      <c r="G311" s="110">
        <f t="shared" si="122"/>
        <v>0.49468881907270223</v>
      </c>
      <c r="H311" s="414" t="b">
        <f>Wh_hp&gt;='2018'!Maxi_hp</f>
        <v>0</v>
      </c>
      <c r="I311" s="390">
        <f>IF(H311,Wh_hp,'2018'!Maxi_hp)</f>
        <v>35.856341166256932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1.0956645451473124E-2</v>
      </c>
      <c r="M311" s="845"/>
      <c r="N311" s="845"/>
      <c r="O311" s="48">
        <f>IF(t&lt;Tnet,'2018'!Resal+('2018'!Salim-'2018'!Resal)*(1-EXP(('2018'!Tnet-t)/('2018'!Tau_j))),Resal+(Salim-Resal)*(1-EXP((Tnet-t)/(Tau_j))))*Salcycl</f>
        <v>2.6523929364082727E-2</v>
      </c>
      <c r="P311" s="169">
        <f>(INDEX(Models!$BJ311:$BT311,,T311)*(1-R311)+INDEX(Models!$BJ311:$BT311,,T311+1)*R311-ERP_i)*Q311*Ramure*Pc/MaxiM</f>
        <v>7.6167796552514748E-5</v>
      </c>
      <c r="Q311" s="305">
        <f t="shared" si="102"/>
        <v>0.5</v>
      </c>
      <c r="R311" s="177">
        <f t="shared" si="103"/>
        <v>0.99568928243160282</v>
      </c>
      <c r="S311" s="811">
        <f t="shared" si="104"/>
        <v>-2</v>
      </c>
      <c r="T311" s="176">
        <f t="shared" si="105"/>
        <v>4</v>
      </c>
      <c r="U311" s="251">
        <f t="shared" si="106"/>
        <v>-1.0043107175683972</v>
      </c>
      <c r="V311" s="383">
        <f t="shared" si="107"/>
        <v>35.499153679037377</v>
      </c>
      <c r="W311" s="58"/>
      <c r="X311" s="157">
        <f t="shared" si="108"/>
        <v>43762</v>
      </c>
      <c r="Y311" s="385">
        <f t="shared" si="109"/>
        <v>17.562000000000001</v>
      </c>
      <c r="Z311" s="385">
        <f t="shared" si="110"/>
        <v>17.756552247415492</v>
      </c>
      <c r="AA311" s="386">
        <f t="shared" si="111"/>
        <v>18.240358220429737</v>
      </c>
      <c r="AB311" s="197">
        <f t="shared" si="112"/>
        <v>43762</v>
      </c>
      <c r="AC311" s="426">
        <f>IF(OR(t&lt;Tnet,NoTnet),'2018'!Resal_s+('2018'!Salim-'2018'!Resal_s)*(1-EXP(('2018'!Tnet_s-t)/'2018'!Tau_j)),Resal_s+(Salim-Resal_s)*(1-EXP((Tnet_s-t)/Tau_j)))*Salcycl</f>
        <v>2.6523929364082727E-2</v>
      </c>
      <c r="AD311" s="231">
        <f>(INDEX(Models!$BJ311:$BT311,,AH311)*(1-AF311)+INDEX(Models!$BJ311:$BT311,,AH311+1)*AF311-ERP_i)*AE311*Ramure*Pc/MaxiM</f>
        <v>7.6167796552514748E-5</v>
      </c>
      <c r="AE311" s="305">
        <f t="shared" si="113"/>
        <v>0.5</v>
      </c>
      <c r="AF311" s="177">
        <f t="shared" si="114"/>
        <v>0.99568928243160282</v>
      </c>
      <c r="AG311" s="176">
        <f t="shared" si="115"/>
        <v>-2</v>
      </c>
      <c r="AH311" s="176">
        <f t="shared" si="116"/>
        <v>4</v>
      </c>
      <c r="AI311" s="225">
        <f t="shared" si="117"/>
        <v>-1.0043107175683972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7">
        <v>29.033999999999999</v>
      </c>
      <c r="C312" s="390"/>
      <c r="D312" s="393">
        <f t="shared" si="99"/>
        <v>29.356282310087341</v>
      </c>
      <c r="E312" s="385">
        <f t="shared" si="121"/>
        <v>30.156874323590237</v>
      </c>
      <c r="F312" s="385">
        <f t="shared" si="100"/>
        <v>30.158563690697754</v>
      </c>
      <c r="G312" s="110">
        <f t="shared" si="122"/>
        <v>0.8252704287634931</v>
      </c>
      <c r="H312" s="414" t="b">
        <f>Wh_hp&gt;='2018'!Maxi_hp</f>
        <v>0</v>
      </c>
      <c r="I312" s="390">
        <f>IF(H312,Wh_hp,'2018'!Maxi_hp)</f>
        <v>35.926796289859503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1.0978308039250595E-2</v>
      </c>
      <c r="M312" s="845"/>
      <c r="N312" s="845"/>
      <c r="O312" s="48">
        <f>IF(t&lt;Tnet,'2018'!Resal+('2018'!Salim-'2018'!Resal)*(1-EXP(('2018'!Tnet-t)/('2018'!Tau_j))),Resal+(Salim-Resal)*(1-EXP((Tnet-t)/(Tau_j))))*Salcycl</f>
        <v>2.6547579331742302E-2</v>
      </c>
      <c r="P312" s="169">
        <f>(INDEX(Models!$BJ312:$BT312,,T312)*(1-R312)+INDEX(Models!$BJ312:$BT312,,T312+1)*R312-ERP_i)*Q312*Ramure*Pc/MaxiM</f>
        <v>7.4647583665397608E-5</v>
      </c>
      <c r="Q312" s="305">
        <f t="shared" si="102"/>
        <v>0.5</v>
      </c>
      <c r="R312" s="177">
        <f t="shared" si="103"/>
        <v>0.99576412646301105</v>
      </c>
      <c r="S312" s="811">
        <f t="shared" si="104"/>
        <v>-2</v>
      </c>
      <c r="T312" s="176">
        <f t="shared" si="105"/>
        <v>4</v>
      </c>
      <c r="U312" s="251">
        <f t="shared" si="106"/>
        <v>-1.004235873536989</v>
      </c>
      <c r="V312" s="383">
        <f t="shared" si="107"/>
        <v>35.180539630645356</v>
      </c>
      <c r="W312" s="58"/>
      <c r="X312" s="157">
        <f t="shared" si="108"/>
        <v>43763</v>
      </c>
      <c r="Y312" s="385">
        <f t="shared" si="109"/>
        <v>29.033999999999999</v>
      </c>
      <c r="Z312" s="385">
        <f t="shared" si="110"/>
        <v>29.356282310087341</v>
      </c>
      <c r="AA312" s="386">
        <f t="shared" si="111"/>
        <v>30.156874323590237</v>
      </c>
      <c r="AB312" s="197">
        <f t="shared" si="112"/>
        <v>43763</v>
      </c>
      <c r="AC312" s="426">
        <f>IF(OR(t&lt;Tnet,NoTnet),'2018'!Resal_s+('2018'!Salim-'2018'!Resal_s)*(1-EXP(('2018'!Tnet_s-t)/'2018'!Tau_j)),Resal_s+(Salim-Resal_s)*(1-EXP((Tnet_s-t)/Tau_j)))*Salcycl</f>
        <v>2.6547579331742302E-2</v>
      </c>
      <c r="AD312" s="231">
        <f>(INDEX(Models!$BJ312:$BT312,,AH312)*(1-AF312)+INDEX(Models!$BJ312:$BT312,,AH312+1)*AF312-ERP_i)*AE312*Ramure*Pc/MaxiM</f>
        <v>7.4647583665397608E-5</v>
      </c>
      <c r="AE312" s="305">
        <f t="shared" si="113"/>
        <v>0.5</v>
      </c>
      <c r="AF312" s="177">
        <f t="shared" si="114"/>
        <v>0.99576412646301105</v>
      </c>
      <c r="AG312" s="176">
        <f t="shared" si="115"/>
        <v>-2</v>
      </c>
      <c r="AH312" s="176">
        <f t="shared" si="116"/>
        <v>4</v>
      </c>
      <c r="AI312" s="225">
        <f t="shared" si="117"/>
        <v>-1.004235873536989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7">
        <v>35.819000000000003</v>
      </c>
      <c r="C313" s="390"/>
      <c r="D313" s="393">
        <f t="shared" si="99"/>
        <v>36.217390211328301</v>
      </c>
      <c r="E313" s="385">
        <f t="shared" si="121"/>
        <v>37.205988647553099</v>
      </c>
      <c r="F313" s="385">
        <f t="shared" si="100"/>
        <v>37.208706699200022</v>
      </c>
      <c r="G313" s="110">
        <f t="shared" si="122"/>
        <v>1.0273870966503345</v>
      </c>
      <c r="H313" s="414" t="b">
        <f>Wh_hp&gt;='2018'!Maxi_hp</f>
        <v>1</v>
      </c>
      <c r="I313" s="390">
        <f>IF(H313,Wh_hp,'2018'!Maxi_hp)</f>
        <v>37.208706699200022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1.0999970152561822E-2</v>
      </c>
      <c r="M313" s="845"/>
      <c r="N313" s="845"/>
      <c r="O313" s="48">
        <f>IF(t&lt;Tnet,'2018'!Resal+('2018'!Salim-'2018'!Resal)*(1-EXP(('2018'!Tnet-t)/('2018'!Tau_j))),Resal+(Salim-Resal)*(1-EXP((Tnet-t)/(Tau_j))))*Salcycl</f>
        <v>2.6570949252004743E-2</v>
      </c>
      <c r="P313" s="169">
        <f>(INDEX(Models!$BJ313:$BT313,,T313)*(1-R313)+INDEX(Models!$BJ313:$BT313,,T313+1)*R313-ERP_i)*Q313*Ramure*Pc/MaxiM</f>
        <v>7.3048807336846989E-5</v>
      </c>
      <c r="Q313" s="305">
        <f t="shared" si="102"/>
        <v>0.5</v>
      </c>
      <c r="R313" s="177">
        <f t="shared" si="103"/>
        <v>0.99583597817324065</v>
      </c>
      <c r="S313" s="811">
        <f t="shared" si="104"/>
        <v>-2</v>
      </c>
      <c r="T313" s="176">
        <f t="shared" si="105"/>
        <v>4</v>
      </c>
      <c r="U313" s="251">
        <f t="shared" si="106"/>
        <v>-1.0041640218267593</v>
      </c>
      <c r="V313" s="383">
        <f t="shared" si="107"/>
        <v>34.864171563749757</v>
      </c>
      <c r="W313" s="58"/>
      <c r="X313" s="157">
        <f t="shared" si="108"/>
        <v>43764</v>
      </c>
      <c r="Y313" s="385">
        <f t="shared" si="109"/>
        <v>35.819000000000003</v>
      </c>
      <c r="Z313" s="385">
        <f t="shared" si="110"/>
        <v>36.217390211328301</v>
      </c>
      <c r="AA313" s="386">
        <f t="shared" si="111"/>
        <v>37.205988647553099</v>
      </c>
      <c r="AB313" s="197">
        <f t="shared" si="112"/>
        <v>43764</v>
      </c>
      <c r="AC313" s="426">
        <f>IF(OR(t&lt;Tnet,NoTnet),'2018'!Resal_s+('2018'!Salim-'2018'!Resal_s)*(1-EXP(('2018'!Tnet_s-t)/'2018'!Tau_j)),Resal_s+(Salim-Resal_s)*(1-EXP((Tnet_s-t)/Tau_j)))*Salcycl</f>
        <v>2.6570949252004743E-2</v>
      </c>
      <c r="AD313" s="231">
        <f>(INDEX(Models!$BJ313:$BT313,,AH313)*(1-AF313)+INDEX(Models!$BJ313:$BT313,,AH313+1)*AF313-ERP_i)*AE313*Ramure*Pc/MaxiM</f>
        <v>7.3048807336846989E-5</v>
      </c>
      <c r="AE313" s="305">
        <f t="shared" si="113"/>
        <v>0.5</v>
      </c>
      <c r="AF313" s="177">
        <f t="shared" si="114"/>
        <v>0.99583597817324065</v>
      </c>
      <c r="AG313" s="176">
        <f t="shared" si="115"/>
        <v>-2</v>
      </c>
      <c r="AH313" s="176">
        <f t="shared" si="116"/>
        <v>4</v>
      </c>
      <c r="AI313" s="225">
        <f t="shared" si="117"/>
        <v>-1.0041640218267593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7">
        <v>25.091999999999999</v>
      </c>
      <c r="C314" s="390"/>
      <c r="D314" s="393">
        <f t="shared" si="99"/>
        <v>25.371636839187072</v>
      </c>
      <c r="E314" s="385">
        <f t="shared" si="121"/>
        <v>26.064805877539769</v>
      </c>
      <c r="F314" s="385">
        <f t="shared" si="100"/>
        <v>26.065938676751369</v>
      </c>
      <c r="G314" s="110">
        <f t="shared" si="122"/>
        <v>0.72622183722187561</v>
      </c>
      <c r="H314" s="414" t="b">
        <f>Wh_hp&gt;='2018'!Maxi_hp</f>
        <v>1</v>
      </c>
      <c r="I314" s="390">
        <f>IF(H314,Wh_hp,'2018'!Maxi_hp)</f>
        <v>26.065938676751369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1.102163179141713E-2</v>
      </c>
      <c r="M314" s="845"/>
      <c r="N314" s="845"/>
      <c r="O314" s="48">
        <f>IF(t&lt;Tnet,'2018'!Resal+('2018'!Salim-'2018'!Resal)*(1-EXP(('2018'!Tnet-t)/('2018'!Tau_j))),Resal+(Salim-Resal)*(1-EXP((Tnet-t)/(Tau_j))))*Salcycl</f>
        <v>2.6594061034231807E-2</v>
      </c>
      <c r="P314" s="169">
        <f>(INDEX(Models!$BJ314:$BT314,,T314)*(1-R314)+INDEX(Models!$BJ314:$BT314,,T314+1)*R314-ERP_i)*Q314*Ramure*Pc/MaxiM</f>
        <v>7.1370913748893759E-5</v>
      </c>
      <c r="Q314" s="305">
        <f t="shared" si="102"/>
        <v>0.5</v>
      </c>
      <c r="R314" s="177">
        <f t="shared" si="103"/>
        <v>0.99590495638401788</v>
      </c>
      <c r="S314" s="811">
        <f t="shared" si="104"/>
        <v>-2</v>
      </c>
      <c r="T314" s="176">
        <f t="shared" si="105"/>
        <v>4</v>
      </c>
      <c r="U314" s="251">
        <f t="shared" si="106"/>
        <v>-1.0040950436159821</v>
      </c>
      <c r="V314" s="383">
        <f t="shared" si="107"/>
        <v>34.550461466988381</v>
      </c>
      <c r="W314" s="58"/>
      <c r="X314" s="157">
        <f t="shared" si="108"/>
        <v>43765</v>
      </c>
      <c r="Y314" s="385">
        <f t="shared" si="109"/>
        <v>25.091999999999999</v>
      </c>
      <c r="Z314" s="385">
        <f t="shared" si="110"/>
        <v>25.371636839187072</v>
      </c>
      <c r="AA314" s="386">
        <f t="shared" si="111"/>
        <v>26.064805877539769</v>
      </c>
      <c r="AB314" s="197">
        <f t="shared" si="112"/>
        <v>43765</v>
      </c>
      <c r="AC314" s="426">
        <f>IF(OR(t&lt;Tnet,NoTnet),'2018'!Resal_s+('2018'!Salim-'2018'!Resal_s)*(1-EXP(('2018'!Tnet_s-t)/'2018'!Tau_j)),Resal_s+(Salim-Resal_s)*(1-EXP((Tnet_s-t)/Tau_j)))*Salcycl</f>
        <v>2.6594061034231807E-2</v>
      </c>
      <c r="AD314" s="231">
        <f>(INDEX(Models!$BJ314:$BT314,,AH314)*(1-AF314)+INDEX(Models!$BJ314:$BT314,,AH314+1)*AF314-ERP_i)*AE314*Ramure*Pc/MaxiM</f>
        <v>7.1370913748893759E-5</v>
      </c>
      <c r="AE314" s="305">
        <f t="shared" si="113"/>
        <v>0.5</v>
      </c>
      <c r="AF314" s="177">
        <f t="shared" si="114"/>
        <v>0.99590495638401788</v>
      </c>
      <c r="AG314" s="176">
        <f t="shared" si="115"/>
        <v>-2</v>
      </c>
      <c r="AH314" s="176">
        <f t="shared" si="116"/>
        <v>4</v>
      </c>
      <c r="AI314" s="225">
        <f t="shared" si="117"/>
        <v>-1.0040950436159821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7">
        <v>9.7070000000000007</v>
      </c>
      <c r="C315" s="390"/>
      <c r="D315" s="393">
        <f t="shared" si="99"/>
        <v>9.8153942744496945</v>
      </c>
      <c r="E315" s="385">
        <f t="shared" si="121"/>
        <v>10.083793990697959</v>
      </c>
      <c r="F315" s="385">
        <f t="shared" si="100"/>
        <v>10.083793990697959</v>
      </c>
      <c r="G315" s="110">
        <f t="shared" si="122"/>
        <v>0.28348057637342217</v>
      </c>
      <c r="H315" s="414" t="b">
        <f>Wh_hp&gt;='2018'!Maxi_hp</f>
        <v>1</v>
      </c>
      <c r="I315" s="390">
        <f>IF(H315,Wh_hp,'2018'!Maxi_hp)</f>
        <v>10.083793990697959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1.1043292955826955E-2</v>
      </c>
      <c r="M315" s="845"/>
      <c r="N315" s="845"/>
      <c r="O315" s="48">
        <f>IF(t&lt;Tnet,'2018'!Resal+('2018'!Salim-'2018'!Resal)*(1-EXP(('2018'!Tnet-t)/('2018'!Tau_j))),Resal+(Salim-Resal)*(1-EXP((Tnet-t)/(Tau_j))))*Salcycl</f>
        <v>2.6616937681973284E-2</v>
      </c>
      <c r="P315" s="169">
        <f>(INDEX(Models!$BJ315:$BT315,,T315)*(1-R315)+INDEX(Models!$BJ315:$BT315,,T315+1)*R315-ERP_i)*Q315*Ramure*Pc/MaxiM</f>
        <v>6.9613440999472941E-5</v>
      </c>
      <c r="Q315" s="305">
        <f t="shared" si="102"/>
        <v>0.5</v>
      </c>
      <c r="R315" s="177">
        <f t="shared" si="103"/>
        <v>0.99597117526279999</v>
      </c>
      <c r="S315" s="811">
        <f t="shared" si="104"/>
        <v>-2</v>
      </c>
      <c r="T315" s="176">
        <f t="shared" si="105"/>
        <v>4</v>
      </c>
      <c r="U315" s="251">
        <f t="shared" si="106"/>
        <v>-1.0040288247372</v>
      </c>
      <c r="V315" s="383">
        <f t="shared" si="107"/>
        <v>34.239821248078428</v>
      </c>
      <c r="W315" s="58"/>
      <c r="X315" s="157">
        <f t="shared" si="108"/>
        <v>43766</v>
      </c>
      <c r="Y315" s="385">
        <f t="shared" si="109"/>
        <v>9.7070000000000007</v>
      </c>
      <c r="Z315" s="385">
        <f t="shared" si="110"/>
        <v>9.8153942744496945</v>
      </c>
      <c r="AA315" s="386">
        <f t="shared" si="111"/>
        <v>10.083793990697959</v>
      </c>
      <c r="AB315" s="197">
        <f t="shared" si="112"/>
        <v>43766</v>
      </c>
      <c r="AC315" s="426">
        <f>IF(OR(t&lt;Tnet,NoTnet),'2018'!Resal_s+('2018'!Salim-'2018'!Resal_s)*(1-EXP(('2018'!Tnet_s-t)/'2018'!Tau_j)),Resal_s+(Salim-Resal_s)*(1-EXP((Tnet_s-t)/Tau_j)))*Salcycl</f>
        <v>2.6616937681973284E-2</v>
      </c>
      <c r="AD315" s="231">
        <f>(INDEX(Models!$BJ315:$BT315,,AH315)*(1-AF315)+INDEX(Models!$BJ315:$BT315,,AH315+1)*AF315-ERP_i)*AE315*Ramure*Pc/MaxiM</f>
        <v>6.9613440999472941E-5</v>
      </c>
      <c r="AE315" s="305">
        <f t="shared" si="113"/>
        <v>0.5</v>
      </c>
      <c r="AF315" s="177">
        <f t="shared" si="114"/>
        <v>0.99597117526279999</v>
      </c>
      <c r="AG315" s="176">
        <f t="shared" si="115"/>
        <v>-2</v>
      </c>
      <c r="AH315" s="176">
        <f t="shared" si="116"/>
        <v>4</v>
      </c>
      <c r="AI315" s="225">
        <f t="shared" si="117"/>
        <v>-1.0040288247372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7">
        <v>28.803000000000001</v>
      </c>
      <c r="C316" s="390"/>
      <c r="D316" s="393">
        <f t="shared" si="99"/>
        <v>29.125269759813811</v>
      </c>
      <c r="E316" s="385">
        <f t="shared" si="121"/>
        <v>29.922390366295772</v>
      </c>
      <c r="F316" s="385">
        <f t="shared" si="100"/>
        <v>29.923980500554308</v>
      </c>
      <c r="G316" s="110">
        <f t="shared" si="122"/>
        <v>0.84881574470434451</v>
      </c>
      <c r="H316" s="414" t="b">
        <f>Wh_hp&gt;='2018'!Maxi_hp</f>
        <v>1</v>
      </c>
      <c r="I316" s="390">
        <f>IF(H316,Wh_hp,'2018'!Maxi_hp)</f>
        <v>29.923980500554308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1.1064953645801734E-2</v>
      </c>
      <c r="M316" s="845"/>
      <c r="N316" s="845"/>
      <c r="O316" s="48">
        <f>IF(t&lt;Tnet,'2018'!Resal+('2018'!Salim-'2018'!Resal)*(1-EXP(('2018'!Tnet-t)/('2018'!Tau_j))),Resal+(Salim-Resal)*(1-EXP((Tnet-t)/(Tau_j))))*Salcycl</f>
        <v>2.6639603210973025E-2</v>
      </c>
      <c r="P316" s="169">
        <f>(INDEX(Models!$BJ316:$BT316,,T316)*(1-R316)+INDEX(Models!$BJ316:$BT316,,T316+1)*R316-ERP_i)*Q316*Ramure*Pc/MaxiM</f>
        <v>6.7776022310408522E-5</v>
      </c>
      <c r="Q316" s="305">
        <f t="shared" si="102"/>
        <v>0.5</v>
      </c>
      <c r="R316" s="177">
        <f t="shared" si="103"/>
        <v>0.99603474450003615</v>
      </c>
      <c r="S316" s="811">
        <f t="shared" si="104"/>
        <v>-2</v>
      </c>
      <c r="T316" s="176">
        <f t="shared" si="105"/>
        <v>4</v>
      </c>
      <c r="U316" s="251">
        <f t="shared" si="106"/>
        <v>-1.0039652554999638</v>
      </c>
      <c r="V316" s="383">
        <f t="shared" si="107"/>
        <v>33.932662737292894</v>
      </c>
      <c r="W316" s="58"/>
      <c r="X316" s="157">
        <f t="shared" si="108"/>
        <v>43767</v>
      </c>
      <c r="Y316" s="385">
        <f t="shared" si="109"/>
        <v>28.803000000000001</v>
      </c>
      <c r="Z316" s="385">
        <f t="shared" si="110"/>
        <v>29.125269759813811</v>
      </c>
      <c r="AA316" s="386">
        <f t="shared" si="111"/>
        <v>29.922390366295772</v>
      </c>
      <c r="AB316" s="197">
        <f t="shared" si="112"/>
        <v>43767</v>
      </c>
      <c r="AC316" s="426">
        <f>IF(OR(t&lt;Tnet,NoTnet),'2018'!Resal_s+('2018'!Salim-'2018'!Resal_s)*(1-EXP(('2018'!Tnet_s-t)/'2018'!Tau_j)),Resal_s+(Salim-Resal_s)*(1-EXP((Tnet_s-t)/Tau_j)))*Salcycl</f>
        <v>2.6639603210973025E-2</v>
      </c>
      <c r="AD316" s="231">
        <f>(INDEX(Models!$BJ316:$BT316,,AH316)*(1-AF316)+INDEX(Models!$BJ316:$BT316,,AH316+1)*AF316-ERP_i)*AE316*Ramure*Pc/MaxiM</f>
        <v>6.7776022310408522E-5</v>
      </c>
      <c r="AE316" s="305">
        <f t="shared" si="113"/>
        <v>0.5</v>
      </c>
      <c r="AF316" s="177">
        <f t="shared" si="114"/>
        <v>0.99603474450003615</v>
      </c>
      <c r="AG316" s="176">
        <f t="shared" si="115"/>
        <v>-2</v>
      </c>
      <c r="AH316" s="176">
        <f t="shared" si="116"/>
        <v>4</v>
      </c>
      <c r="AI316" s="225">
        <f t="shared" si="117"/>
        <v>-1.0039652554999638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7">
        <v>21.863</v>
      </c>
      <c r="C317" s="390"/>
      <c r="D317" s="393">
        <f t="shared" si="99"/>
        <v>22.108104012391991</v>
      </c>
      <c r="E317" s="385">
        <f t="shared" si="121"/>
        <v>22.713698517495526</v>
      </c>
      <c r="F317" s="385">
        <f t="shared" si="100"/>
        <v>22.714446855851033</v>
      </c>
      <c r="G317" s="110">
        <f t="shared" si="122"/>
        <v>0.65013160912027645</v>
      </c>
      <c r="H317" s="414" t="b">
        <f>Wh_hp&gt;='2018'!Maxi_hp</f>
        <v>0</v>
      </c>
      <c r="I317" s="390">
        <f>IF(H317,Wh_hp,'2018'!Maxi_hp)</f>
        <v>33.09982659368044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1.1086613861351791E-2</v>
      </c>
      <c r="M317" s="845"/>
      <c r="N317" s="845"/>
      <c r="O317" s="48">
        <f>IF(t&lt;Tnet,'2018'!Resal+('2018'!Salim-'2018'!Resal)*(1-EXP(('2018'!Tnet-t)/('2018'!Tau_j))),Resal+(Salim-Resal)*(1-EXP((Tnet-t)/(Tau_j))))*Salcycl</f>
        <v>2.6662082559433073E-2</v>
      </c>
      <c r="P317" s="169">
        <f>(INDEX(Models!$BJ317:$BT317,,T317)*(1-R317)+INDEX(Models!$BJ317:$BT317,,T317+1)*R317-ERP_i)*Q317*Ramure*Pc/MaxiM</f>
        <v>6.5862166888889685E-5</v>
      </c>
      <c r="Q317" s="305">
        <f t="shared" si="102"/>
        <v>0.5</v>
      </c>
      <c r="R317" s="177">
        <f t="shared" si="103"/>
        <v>0.99609576948007872</v>
      </c>
      <c r="S317" s="811">
        <f t="shared" si="104"/>
        <v>-2</v>
      </c>
      <c r="T317" s="176">
        <f t="shared" si="105"/>
        <v>4</v>
      </c>
      <c r="U317" s="251">
        <f t="shared" si="106"/>
        <v>-1.0039042305199213</v>
      </c>
      <c r="V317" s="383">
        <f t="shared" si="107"/>
        <v>33.627468672609304</v>
      </c>
      <c r="W317" s="58"/>
      <c r="X317" s="157">
        <f t="shared" si="108"/>
        <v>43768</v>
      </c>
      <c r="Y317" s="385">
        <f t="shared" si="109"/>
        <v>21.863</v>
      </c>
      <c r="Z317" s="385">
        <f t="shared" si="110"/>
        <v>22.108104012391991</v>
      </c>
      <c r="AA317" s="386">
        <f t="shared" si="111"/>
        <v>22.713698517495526</v>
      </c>
      <c r="AB317" s="197">
        <f t="shared" si="112"/>
        <v>43768</v>
      </c>
      <c r="AC317" s="426">
        <f>IF(OR(t&lt;Tnet,NoTnet),'2018'!Resal_s+('2018'!Salim-'2018'!Resal_s)*(1-EXP(('2018'!Tnet_s-t)/'2018'!Tau_j)),Resal_s+(Salim-Resal_s)*(1-EXP((Tnet_s-t)/Tau_j)))*Salcycl</f>
        <v>2.6662082559433073E-2</v>
      </c>
      <c r="AD317" s="231">
        <f>(INDEX(Models!$BJ317:$BT317,,AH317)*(1-AF317)+INDEX(Models!$BJ317:$BT317,,AH317+1)*AF317-ERP_i)*AE317*Ramure*Pc/MaxiM</f>
        <v>6.5862166888889685E-5</v>
      </c>
      <c r="AE317" s="305">
        <f t="shared" si="113"/>
        <v>0.5</v>
      </c>
      <c r="AF317" s="177">
        <f t="shared" si="114"/>
        <v>0.99609576948007872</v>
      </c>
      <c r="AG317" s="176">
        <f t="shared" si="115"/>
        <v>-2</v>
      </c>
      <c r="AH317" s="176">
        <f t="shared" si="116"/>
        <v>4</v>
      </c>
      <c r="AI317" s="225">
        <f t="shared" si="117"/>
        <v>-1.0039042305199213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7">
        <v>16.530999999999999</v>
      </c>
      <c r="C318" s="390"/>
      <c r="D318" s="393">
        <f t="shared" si="99"/>
        <v>16.716693606307821</v>
      </c>
      <c r="E318" s="385">
        <f t="shared" si="121"/>
        <v>17.174998152620205</v>
      </c>
      <c r="F318" s="385">
        <f t="shared" si="100"/>
        <v>17.175306265940748</v>
      </c>
      <c r="G318" s="110">
        <f t="shared" si="122"/>
        <v>0.49606513495414828</v>
      </c>
      <c r="H318" s="414" t="b">
        <f>Wh_hp&gt;='2018'!Maxi_hp</f>
        <v>1</v>
      </c>
      <c r="I318" s="390">
        <f>IF(H318,Wh_hp,'2018'!Maxi_hp)</f>
        <v>17.175306265940748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1.1108273602487562E-2</v>
      </c>
      <c r="M318" s="845"/>
      <c r="N318" s="845"/>
      <c r="O318" s="48">
        <f>IF(t&lt;Tnet,'2018'!Resal+('2018'!Salim-'2018'!Resal)*(1-EXP(('2018'!Tnet-t)/('2018'!Tau_j))),Resal+(Salim-Resal)*(1-EXP((Tnet-t)/(Tau_j))))*Salcycl</f>
        <v>2.6684401491039754E-2</v>
      </c>
      <c r="P318" s="169">
        <f>(INDEX(Models!$BJ318:$BT318,,T318)*(1-R318)+INDEX(Models!$BJ318:$BT318,,T318+1)*R318-ERP_i)*Q318*Ramure*Pc/MaxiM</f>
        <v>6.4040246555783294E-5</v>
      </c>
      <c r="Q318" s="305">
        <f t="shared" si="102"/>
        <v>0.5</v>
      </c>
      <c r="R318" s="177">
        <f t="shared" si="103"/>
        <v>0.99615435144593967</v>
      </c>
      <c r="S318" s="811">
        <f t="shared" si="104"/>
        <v>-2</v>
      </c>
      <c r="T318" s="176">
        <f t="shared" si="105"/>
        <v>4</v>
      </c>
      <c r="U318" s="251">
        <f t="shared" si="106"/>
        <v>-1.0038456485540603</v>
      </c>
      <c r="V318" s="383">
        <f t="shared" si="107"/>
        <v>33.322716569154665</v>
      </c>
      <c r="W318" s="58"/>
      <c r="X318" s="157">
        <f t="shared" si="108"/>
        <v>43769</v>
      </c>
      <c r="Y318" s="385">
        <f t="shared" si="109"/>
        <v>16.530999999999999</v>
      </c>
      <c r="Z318" s="385">
        <f t="shared" si="110"/>
        <v>16.716693606307821</v>
      </c>
      <c r="AA318" s="386">
        <f t="shared" si="111"/>
        <v>17.174998152620205</v>
      </c>
      <c r="AB318" s="197">
        <f t="shared" si="112"/>
        <v>43769</v>
      </c>
      <c r="AC318" s="426">
        <f>IF(OR(t&lt;Tnet,NoTnet),'2018'!Resal_s+('2018'!Salim-'2018'!Resal_s)*(1-EXP(('2018'!Tnet_s-t)/'2018'!Tau_j)),Resal_s+(Salim-Resal_s)*(1-EXP((Tnet_s-t)/Tau_j)))*Salcycl</f>
        <v>2.6684401491039754E-2</v>
      </c>
      <c r="AD318" s="231">
        <f>(INDEX(Models!$BJ318:$BT318,,AH318)*(1-AF318)+INDEX(Models!$BJ318:$BT318,,AH318+1)*AF318-ERP_i)*AE318*Ramure*Pc/MaxiM</f>
        <v>6.4040246555783294E-5</v>
      </c>
      <c r="AE318" s="305">
        <f t="shared" si="113"/>
        <v>0.5</v>
      </c>
      <c r="AF318" s="177">
        <f t="shared" si="114"/>
        <v>0.99615435144593967</v>
      </c>
      <c r="AG318" s="176">
        <f t="shared" si="115"/>
        <v>-2</v>
      </c>
      <c r="AH318" s="176">
        <f t="shared" si="116"/>
        <v>4</v>
      </c>
      <c r="AI318" s="225">
        <f t="shared" si="117"/>
        <v>-1.0038456485540603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7">
        <v>7.492</v>
      </c>
      <c r="C319" s="390"/>
      <c r="D319" s="393">
        <f t="shared" si="99"/>
        <v>7.5763239772623878</v>
      </c>
      <c r="E319" s="385">
        <f t="shared" si="121"/>
        <v>7.7842137551820985</v>
      </c>
      <c r="F319" s="385">
        <f t="shared" si="100"/>
        <v>7.7842137551820985</v>
      </c>
      <c r="G319" s="110">
        <f t="shared" si="122"/>
        <v>0.2268867713882991</v>
      </c>
      <c r="H319" s="414" t="b">
        <f>Wh_hp&gt;='2018'!Maxi_hp</f>
        <v>0</v>
      </c>
      <c r="I319" s="390">
        <f>IF(H319,Wh_hp,'2018'!Maxi_hp)</f>
        <v>22.866137129214046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1.1129932869219372E-2</v>
      </c>
      <c r="M319" s="845"/>
      <c r="N319" s="845"/>
      <c r="O319" s="48">
        <f>IF(t&lt;Tnet,'2018'!Resal+('2018'!Salim-'2018'!Resal)*(1-EXP(('2018'!Tnet-t)/('2018'!Tau_j))),Resal+(Salim-Resal)*(1-EXP((Tnet-t)/(Tau_j))))*Salcycl</f>
        <v>2.6706586491322144E-2</v>
      </c>
      <c r="P319" s="169">
        <f>(INDEX(Models!$BJ319:$BT319,,T319)*(1-R319)+INDEX(Models!$BJ319:$BT319,,T319+1)*R319-ERP_i)*Q319*Ramure*Pc/MaxiM</f>
        <v>6.2606286387929203E-5</v>
      </c>
      <c r="Q319" s="305">
        <f t="shared" si="102"/>
        <v>0.5</v>
      </c>
      <c r="R319" s="177">
        <f t="shared" si="103"/>
        <v>0.99621058765808135</v>
      </c>
      <c r="S319" s="811">
        <f t="shared" si="104"/>
        <v>-2</v>
      </c>
      <c r="T319" s="176">
        <f t="shared" si="105"/>
        <v>4</v>
      </c>
      <c r="U319" s="251">
        <f t="shared" si="106"/>
        <v>-1.0037894123419187</v>
      </c>
      <c r="V319" s="383">
        <f t="shared" si="107"/>
        <v>33.018808932148843</v>
      </c>
      <c r="W319" s="58"/>
      <c r="X319" s="157">
        <f t="shared" si="108"/>
        <v>43770</v>
      </c>
      <c r="Y319" s="385">
        <f t="shared" si="109"/>
        <v>7.492</v>
      </c>
      <c r="Z319" s="385">
        <f t="shared" si="110"/>
        <v>7.5763239772623878</v>
      </c>
      <c r="AA319" s="386">
        <f t="shared" si="111"/>
        <v>7.7842137551820985</v>
      </c>
      <c r="AB319" s="197">
        <f t="shared" si="112"/>
        <v>43770</v>
      </c>
      <c r="AC319" s="426">
        <f>IF(OR(t&lt;Tnet,NoTnet),'2018'!Resal_s+('2018'!Salim-'2018'!Resal_s)*(1-EXP(('2018'!Tnet_s-t)/'2018'!Tau_j)),Resal_s+(Salim-Resal_s)*(1-EXP((Tnet_s-t)/Tau_j)))*Salcycl</f>
        <v>2.6706586491322144E-2</v>
      </c>
      <c r="AD319" s="231">
        <f>(INDEX(Models!$BJ319:$BT319,,AH319)*(1-AF319)+INDEX(Models!$BJ319:$BT319,,AH319+1)*AF319-ERP_i)*AE319*Ramure*Pc/MaxiM</f>
        <v>6.2606286387929203E-5</v>
      </c>
      <c r="AE319" s="305">
        <f t="shared" si="113"/>
        <v>0.5</v>
      </c>
      <c r="AF319" s="177">
        <f t="shared" si="114"/>
        <v>0.99621058765808135</v>
      </c>
      <c r="AG319" s="176">
        <f t="shared" si="115"/>
        <v>-2</v>
      </c>
      <c r="AH319" s="176">
        <f t="shared" si="116"/>
        <v>4</v>
      </c>
      <c r="AI319" s="225">
        <f t="shared" si="117"/>
        <v>-1.0037894123419187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7">
        <v>4.992</v>
      </c>
      <c r="C320" s="390"/>
      <c r="D320" s="393">
        <f t="shared" si="99"/>
        <v>5.0482965416185843</v>
      </c>
      <c r="E320" s="385">
        <f t="shared" si="121"/>
        <v>5.1869364259500346</v>
      </c>
      <c r="F320" s="385">
        <f t="shared" si="100"/>
        <v>5.1869364259500346</v>
      </c>
      <c r="G320" s="110">
        <f t="shared" si="122"/>
        <v>0.15257575943086712</v>
      </c>
      <c r="H320" s="414" t="b">
        <f>Wh_hp&gt;='2018'!Maxi_hp</f>
        <v>0</v>
      </c>
      <c r="I320" s="390">
        <f>IF(H320,Wh_hp,'2018'!Maxi_hp)</f>
        <v>9.1190346302472527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1.1151591661557658E-2</v>
      </c>
      <c r="M320" s="845"/>
      <c r="N320" s="845"/>
      <c r="O320" s="48">
        <f>IF(t&lt;Tnet,'2018'!Resal+('2018'!Salim-'2018'!Resal)*(1-EXP(('2018'!Tnet-t)/('2018'!Tau_j))),Resal+(Salim-Resal)*(1-EXP((Tnet-t)/(Tau_j))))*Salcycl</f>
        <v>2.672866465797431E-2</v>
      </c>
      <c r="P320" s="169">
        <f>(INDEX(Models!$BJ320:$BT320,,T320)*(1-R320)+INDEX(Models!$BJ320:$BT320,,T320+1)*R320-ERP_i)*Q320*Ramure*Pc/MaxiM</f>
        <v>6.1562875902870218E-5</v>
      </c>
      <c r="Q320" s="305">
        <f t="shared" si="102"/>
        <v>0.5</v>
      </c>
      <c r="R320" s="177">
        <f t="shared" si="103"/>
        <v>0.99626457154743542</v>
      </c>
      <c r="S320" s="811">
        <f t="shared" si="104"/>
        <v>-2</v>
      </c>
      <c r="T320" s="176">
        <f t="shared" si="105"/>
        <v>4</v>
      </c>
      <c r="U320" s="251">
        <f t="shared" si="106"/>
        <v>-1.0037354284525646</v>
      </c>
      <c r="V320" s="383">
        <f t="shared" si="107"/>
        <v>32.716158167872365</v>
      </c>
      <c r="W320" s="58"/>
      <c r="X320" s="157">
        <f t="shared" si="108"/>
        <v>43771</v>
      </c>
      <c r="Y320" s="385">
        <f t="shared" si="109"/>
        <v>4.992</v>
      </c>
      <c r="Z320" s="385">
        <f t="shared" si="110"/>
        <v>5.0482965416185843</v>
      </c>
      <c r="AA320" s="386">
        <f t="shared" si="111"/>
        <v>5.1869364259500346</v>
      </c>
      <c r="AB320" s="197">
        <f t="shared" si="112"/>
        <v>43771</v>
      </c>
      <c r="AC320" s="426">
        <f>IF(OR(t&lt;Tnet,NoTnet),'2018'!Resal_s+('2018'!Salim-'2018'!Resal_s)*(1-EXP(('2018'!Tnet_s-t)/'2018'!Tau_j)),Resal_s+(Salim-Resal_s)*(1-EXP((Tnet_s-t)/Tau_j)))*Salcycl</f>
        <v>2.672866465797431E-2</v>
      </c>
      <c r="AD320" s="231">
        <f>(INDEX(Models!$BJ320:$BT320,,AH320)*(1-AF320)+INDEX(Models!$BJ320:$BT320,,AH320+1)*AF320-ERP_i)*AE320*Ramure*Pc/MaxiM</f>
        <v>6.1562875902870218E-5</v>
      </c>
      <c r="AE320" s="305">
        <f t="shared" si="113"/>
        <v>0.5</v>
      </c>
      <c r="AF320" s="177">
        <f t="shared" si="114"/>
        <v>0.99626457154743542</v>
      </c>
      <c r="AG320" s="176">
        <f t="shared" si="115"/>
        <v>-2</v>
      </c>
      <c r="AH320" s="176">
        <f t="shared" si="116"/>
        <v>4</v>
      </c>
      <c r="AI320" s="225">
        <f t="shared" si="117"/>
        <v>-1.0037354284525646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7">
        <v>12.571</v>
      </c>
      <c r="C321" s="390"/>
      <c r="D321" s="393">
        <f t="shared" si="99"/>
        <v>12.713046041421862</v>
      </c>
      <c r="E321" s="385">
        <f t="shared" si="121"/>
        <v>13.062475940915292</v>
      </c>
      <c r="F321" s="385">
        <f t="shared" si="100"/>
        <v>13.062575755173354</v>
      </c>
      <c r="G321" s="110">
        <f t="shared" si="122"/>
        <v>0.38779151091140723</v>
      </c>
      <c r="H321" s="414" t="b">
        <f>Wh_hp&gt;='2018'!Maxi_hp</f>
        <v>0</v>
      </c>
      <c r="I321" s="390">
        <f>IF(H321,Wh_hp,'2018'!Maxi_hp)</f>
        <v>30.00122544451607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1.1173249979512745E-2</v>
      </c>
      <c r="M321" s="845"/>
      <c r="N321" s="845"/>
      <c r="O321" s="48">
        <f>IF(t&lt;Tnet,'2018'!Resal+('2018'!Salim-'2018'!Resal)*(1-EXP(('2018'!Tnet-t)/('2018'!Tau_j))),Resal+(Salim-Resal)*(1-EXP((Tnet-t)/(Tau_j))))*Salcycl</f>
        <v>2.6750663585830604E-2</v>
      </c>
      <c r="P321" s="169">
        <f>(INDEX(Models!$BJ321:$BT321,,T321)*(1-R321)+INDEX(Models!$BJ321:$BT321,,T321+1)*R321-ERP_i)*Q321*Ramure*Pc/MaxiM</f>
        <v>6.0912593299889695E-5</v>
      </c>
      <c r="Q321" s="305">
        <f t="shared" si="102"/>
        <v>0.5</v>
      </c>
      <c r="R321" s="177">
        <f t="shared" si="103"/>
        <v>0.99631639286282869</v>
      </c>
      <c r="S321" s="811">
        <f t="shared" si="104"/>
        <v>-2</v>
      </c>
      <c r="T321" s="176">
        <f t="shared" si="105"/>
        <v>4</v>
      </c>
      <c r="U321" s="251">
        <f t="shared" si="106"/>
        <v>-1.0036836071371713</v>
      </c>
      <c r="V321" s="383">
        <f t="shared" si="107"/>
        <v>32.415176627099051</v>
      </c>
      <c r="W321" s="58"/>
      <c r="X321" s="157">
        <f t="shared" si="108"/>
        <v>43772</v>
      </c>
      <c r="Y321" s="385">
        <f t="shared" si="109"/>
        <v>12.571</v>
      </c>
      <c r="Z321" s="385">
        <f t="shared" si="110"/>
        <v>12.713046041421862</v>
      </c>
      <c r="AA321" s="386">
        <f t="shared" si="111"/>
        <v>13.062475940915292</v>
      </c>
      <c r="AB321" s="197">
        <f t="shared" si="112"/>
        <v>43772</v>
      </c>
      <c r="AC321" s="426">
        <f>IF(OR(t&lt;Tnet,NoTnet),'2018'!Resal_s+('2018'!Salim-'2018'!Resal_s)*(1-EXP(('2018'!Tnet_s-t)/'2018'!Tau_j)),Resal_s+(Salim-Resal_s)*(1-EXP((Tnet_s-t)/Tau_j)))*Salcycl</f>
        <v>2.6750663585830604E-2</v>
      </c>
      <c r="AD321" s="231">
        <f>(INDEX(Models!$BJ321:$BT321,,AH321)*(1-AF321)+INDEX(Models!$BJ321:$BT321,,AH321+1)*AF321-ERP_i)*AE321*Ramure*Pc/MaxiM</f>
        <v>6.0912593299889695E-5</v>
      </c>
      <c r="AE321" s="305">
        <f t="shared" si="113"/>
        <v>0.5</v>
      </c>
      <c r="AF321" s="177">
        <f t="shared" si="114"/>
        <v>0.99631639286282869</v>
      </c>
      <c r="AG321" s="176">
        <f t="shared" si="115"/>
        <v>-2</v>
      </c>
      <c r="AH321" s="176">
        <f t="shared" si="116"/>
        <v>4</v>
      </c>
      <c r="AI321" s="225">
        <f t="shared" si="117"/>
        <v>-1.0036836071371713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7">
        <v>12.680999999999999</v>
      </c>
      <c r="C322" s="390"/>
      <c r="D322" s="393">
        <f t="shared" si="99"/>
        <v>12.824569877651147</v>
      </c>
      <c r="E322" s="385">
        <f t="shared" si="121"/>
        <v>13.177362275106544</v>
      </c>
      <c r="F322" s="385">
        <f t="shared" si="100"/>
        <v>13.177470578838999</v>
      </c>
      <c r="G322" s="110">
        <f t="shared" si="122"/>
        <v>0.39482581265642142</v>
      </c>
      <c r="H322" s="414" t="b">
        <f>Wh_hp&gt;='2018'!Maxi_hp</f>
        <v>0</v>
      </c>
      <c r="I322" s="390">
        <f>IF(H322,Wh_hp,'2018'!Maxi_hp)</f>
        <v>23.180990079496752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1.1194907823095179E-2</v>
      </c>
      <c r="M322" s="845"/>
      <c r="N322" s="845"/>
      <c r="O322" s="48">
        <f>IF(t&lt;Tnet,'2018'!Resal+('2018'!Salim-'2018'!Resal)*(1-EXP(('2018'!Tnet-t)/('2018'!Tau_j))),Resal+(Salim-Resal)*(1-EXP((Tnet-t)/(Tau_j))))*Salcycl</f>
        <v>2.6772611247234193E-2</v>
      </c>
      <c r="P322" s="169">
        <f>(INDEX(Models!$BJ322:$BT322,,T322)*(1-R322)+INDEX(Models!$BJ322:$BT322,,T322+1)*R322-ERP_i)*Q322*Ramure*Pc/MaxiM</f>
        <v>6.0657990098443443E-5</v>
      </c>
      <c r="Q322" s="305">
        <f t="shared" si="102"/>
        <v>0.5</v>
      </c>
      <c r="R322" s="177">
        <f t="shared" si="103"/>
        <v>0.9963661378130011</v>
      </c>
      <c r="S322" s="811">
        <f t="shared" si="104"/>
        <v>-2</v>
      </c>
      <c r="T322" s="176">
        <f t="shared" si="105"/>
        <v>4</v>
      </c>
      <c r="U322" s="251">
        <f t="shared" si="106"/>
        <v>-1.0036338621869989</v>
      </c>
      <c r="V322" s="383">
        <f t="shared" si="107"/>
        <v>32.116276614641926</v>
      </c>
      <c r="W322" s="58"/>
      <c r="X322" s="157">
        <f t="shared" si="108"/>
        <v>43773</v>
      </c>
      <c r="Y322" s="385">
        <f t="shared" si="109"/>
        <v>12.680999999999999</v>
      </c>
      <c r="Z322" s="385">
        <f t="shared" si="110"/>
        <v>12.824569877651147</v>
      </c>
      <c r="AA322" s="386">
        <f t="shared" si="111"/>
        <v>13.177362275106544</v>
      </c>
      <c r="AB322" s="197">
        <f t="shared" si="112"/>
        <v>43773</v>
      </c>
      <c r="AC322" s="426">
        <f>IF(OR(t&lt;Tnet,NoTnet),'2018'!Resal_s+('2018'!Salim-'2018'!Resal_s)*(1-EXP(('2018'!Tnet_s-t)/'2018'!Tau_j)),Resal_s+(Salim-Resal_s)*(1-EXP((Tnet_s-t)/Tau_j)))*Salcycl</f>
        <v>2.6772611247234193E-2</v>
      </c>
      <c r="AD322" s="231">
        <f>(INDEX(Models!$BJ322:$BT322,,AH322)*(1-AF322)+INDEX(Models!$BJ322:$BT322,,AH322+1)*AF322-ERP_i)*AE322*Ramure*Pc/MaxiM</f>
        <v>6.0657990098443443E-5</v>
      </c>
      <c r="AE322" s="305">
        <f t="shared" si="113"/>
        <v>0.5</v>
      </c>
      <c r="AF322" s="177">
        <f t="shared" si="114"/>
        <v>0.9963661378130011</v>
      </c>
      <c r="AG322" s="176">
        <f t="shared" si="115"/>
        <v>-2</v>
      </c>
      <c r="AH322" s="176">
        <f t="shared" si="116"/>
        <v>4</v>
      </c>
      <c r="AI322" s="225">
        <f t="shared" si="117"/>
        <v>-1.0036338621869989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7">
        <v>12.686999999999999</v>
      </c>
      <c r="C323" s="390"/>
      <c r="D323" s="393">
        <f t="shared" si="99"/>
        <v>12.830918837619464</v>
      </c>
      <c r="E323" s="385">
        <f t="shared" si="121"/>
        <v>13.184182899210345</v>
      </c>
      <c r="F323" s="385">
        <f t="shared" si="100"/>
        <v>13.184295943503002</v>
      </c>
      <c r="G323" s="110">
        <f t="shared" si="122"/>
        <v>0.39869230238485021</v>
      </c>
      <c r="H323" s="414" t="b">
        <f>Wh_hp&gt;='2018'!Maxi_hp</f>
        <v>1</v>
      </c>
      <c r="I323" s="390">
        <f>IF(H323,Wh_hp,'2018'!Maxi_hp)</f>
        <v>13.184295943503002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1.1216565192315286E-2</v>
      </c>
      <c r="M323" s="845"/>
      <c r="N323" s="845"/>
      <c r="O323" s="48">
        <f>IF(t&lt;Tnet,'2018'!Resal+('2018'!Salim-'2018'!Resal)*(1-EXP(('2018'!Tnet-t)/('2018'!Tau_j))),Resal+(Salim-Resal)*(1-EXP((Tnet-t)/(Tau_j))))*Salcycl</f>
        <v>2.6794535868585361E-2</v>
      </c>
      <c r="P323" s="169">
        <f>(INDEX(Models!$BJ323:$BT323,,T323)*(1-R323)+INDEX(Models!$BJ323:$BT323,,T323+1)*R323-ERP_i)*Q323*Ramure*Pc/MaxiM</f>
        <v>6.0801575265444583E-5</v>
      </c>
      <c r="Q323" s="305">
        <f t="shared" si="102"/>
        <v>0.5</v>
      </c>
      <c r="R323" s="177">
        <f t="shared" si="103"/>
        <v>0.99641388920339047</v>
      </c>
      <c r="S323" s="811">
        <f t="shared" si="104"/>
        <v>-2</v>
      </c>
      <c r="T323" s="176">
        <f t="shared" si="105"/>
        <v>4</v>
      </c>
      <c r="U323" s="251">
        <f t="shared" si="106"/>
        <v>-1.0035861107966095</v>
      </c>
      <c r="V323" s="383">
        <f t="shared" si="107"/>
        <v>31.819870384364489</v>
      </c>
      <c r="W323" s="58"/>
      <c r="X323" s="157">
        <f t="shared" si="108"/>
        <v>43774</v>
      </c>
      <c r="Y323" s="385">
        <f t="shared" si="109"/>
        <v>12.686999999999999</v>
      </c>
      <c r="Z323" s="385">
        <f t="shared" si="110"/>
        <v>12.830918837619464</v>
      </c>
      <c r="AA323" s="386">
        <f t="shared" si="111"/>
        <v>13.184182899210345</v>
      </c>
      <c r="AB323" s="197">
        <f t="shared" si="112"/>
        <v>43774</v>
      </c>
      <c r="AC323" s="426">
        <f>IF(OR(t&lt;Tnet,NoTnet),'2018'!Resal_s+('2018'!Salim-'2018'!Resal_s)*(1-EXP(('2018'!Tnet_s-t)/'2018'!Tau_j)),Resal_s+(Salim-Resal_s)*(1-EXP((Tnet_s-t)/Tau_j)))*Salcycl</f>
        <v>2.6794535868585361E-2</v>
      </c>
      <c r="AD323" s="231">
        <f>(INDEX(Models!$BJ323:$BT323,,AH323)*(1-AF323)+INDEX(Models!$BJ323:$BT323,,AH323+1)*AF323-ERP_i)*AE323*Ramure*Pc/MaxiM</f>
        <v>6.0801575265444583E-5</v>
      </c>
      <c r="AE323" s="305">
        <f t="shared" si="113"/>
        <v>0.5</v>
      </c>
      <c r="AF323" s="177">
        <f t="shared" si="114"/>
        <v>0.99641388920339047</v>
      </c>
      <c r="AG323" s="176">
        <f t="shared" si="115"/>
        <v>-2</v>
      </c>
      <c r="AH323" s="176">
        <f t="shared" si="116"/>
        <v>4</v>
      </c>
      <c r="AI323" s="225">
        <f t="shared" si="117"/>
        <v>-1.0035861107966095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7">
        <v>13.776</v>
      </c>
      <c r="C324" s="390"/>
      <c r="D324" s="393">
        <f t="shared" si="99"/>
        <v>13.932577399057479</v>
      </c>
      <c r="E324" s="385">
        <f t="shared" si="121"/>
        <v>14.316495203103123</v>
      </c>
      <c r="F324" s="385">
        <f t="shared" si="100"/>
        <v>14.316667345437502</v>
      </c>
      <c r="G324" s="110">
        <f t="shared" si="122"/>
        <v>0.43694597467654034</v>
      </c>
      <c r="H324" s="414" t="b">
        <f>Wh_hp&gt;='2018'!Maxi_hp</f>
        <v>0</v>
      </c>
      <c r="I324" s="390">
        <f>IF(H324,Wh_hp,'2018'!Maxi_hp)</f>
        <v>24.402629932189928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1.1238222087183281E-2</v>
      </c>
      <c r="M324" s="845"/>
      <c r="N324" s="845"/>
      <c r="O324" s="48">
        <f>IF(t&lt;Tnet,'2018'!Resal+('2018'!Salim-'2018'!Resal)*(1-EXP(('2018'!Tnet-t)/('2018'!Tau_j))),Resal+(Salim-Resal)*(1-EXP((Tnet-t)/(Tau_j))))*Salcycl</f>
        <v>2.6816465803895181E-2</v>
      </c>
      <c r="P324" s="169">
        <f>(INDEX(Models!$BJ324:$BT324,,T324)*(1-R324)+INDEX(Models!$BJ324:$BT324,,T324+1)*R324-ERP_i)*Q324*Ramure*Pc/MaxiM</f>
        <v>6.1450586792636037E-5</v>
      </c>
      <c r="Q324" s="305">
        <f t="shared" si="102"/>
        <v>0.5</v>
      </c>
      <c r="R324" s="177">
        <f t="shared" si="103"/>
        <v>0.99645972656785964</v>
      </c>
      <c r="S324" s="811">
        <f t="shared" si="104"/>
        <v>-2</v>
      </c>
      <c r="T324" s="176">
        <f t="shared" si="105"/>
        <v>4</v>
      </c>
      <c r="U324" s="251">
        <f t="shared" si="106"/>
        <v>-1.0035402734321404</v>
      </c>
      <c r="V324" s="383">
        <f t="shared" si="107"/>
        <v>31.526366846896742</v>
      </c>
      <c r="W324" s="58"/>
      <c r="X324" s="157">
        <f t="shared" si="108"/>
        <v>43775</v>
      </c>
      <c r="Y324" s="385">
        <f t="shared" si="109"/>
        <v>13.776</v>
      </c>
      <c r="Z324" s="385">
        <f t="shared" si="110"/>
        <v>13.932577399057479</v>
      </c>
      <c r="AA324" s="386">
        <f t="shared" si="111"/>
        <v>14.316495203103123</v>
      </c>
      <c r="AB324" s="197">
        <f t="shared" si="112"/>
        <v>43775</v>
      </c>
      <c r="AC324" s="426">
        <f>IF(OR(t&lt;Tnet,NoTnet),'2018'!Resal_s+('2018'!Salim-'2018'!Resal_s)*(1-EXP(('2018'!Tnet_s-t)/'2018'!Tau_j)),Resal_s+(Salim-Resal_s)*(1-EXP((Tnet_s-t)/Tau_j)))*Salcycl</f>
        <v>2.6816465803895181E-2</v>
      </c>
      <c r="AD324" s="231">
        <f>(INDEX(Models!$BJ324:$BT324,,AH324)*(1-AF324)+INDEX(Models!$BJ324:$BT324,,AH324+1)*AF324-ERP_i)*AE324*Ramure*Pc/MaxiM</f>
        <v>6.1450586792636037E-5</v>
      </c>
      <c r="AE324" s="305">
        <f t="shared" si="113"/>
        <v>0.5</v>
      </c>
      <c r="AF324" s="177">
        <f t="shared" si="114"/>
        <v>0.99645972656785964</v>
      </c>
      <c r="AG324" s="176">
        <f t="shared" si="115"/>
        <v>-2</v>
      </c>
      <c r="AH324" s="176">
        <f t="shared" si="116"/>
        <v>4</v>
      </c>
      <c r="AI324" s="225">
        <f t="shared" si="117"/>
        <v>-1.0035402734321404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7">
        <v>4.1829999999999998</v>
      </c>
      <c r="C325" s="390"/>
      <c r="D325" s="393">
        <f t="shared" si="99"/>
        <v>4.2306364524650446</v>
      </c>
      <c r="E325" s="385">
        <f t="shared" si="121"/>
        <v>4.3473114643066149</v>
      </c>
      <c r="F325" s="385">
        <f t="shared" si="100"/>
        <v>4.3473114643066149</v>
      </c>
      <c r="G325" s="110">
        <f t="shared" si="122"/>
        <v>0.13390684603693082</v>
      </c>
      <c r="H325" s="414" t="b">
        <f>Wh_hp&gt;='2018'!Maxi_hp</f>
        <v>0</v>
      </c>
      <c r="I325" s="390">
        <f>IF(H325,Wh_hp,'2018'!Maxi_hp)</f>
        <v>9.9588471464807018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1.125987850770982E-2</v>
      </c>
      <c r="M325" s="845"/>
      <c r="N325" s="845"/>
      <c r="O325" s="48">
        <f>IF(t&lt;Tnet,'2018'!Resal+('2018'!Salim-'2018'!Resal)*(1-EXP(('2018'!Tnet-t)/('2018'!Tau_j))),Resal+(Salim-Resal)*(1-EXP((Tnet-t)/(Tau_j))))*Salcycl</f>
        <v>2.6838429406203033E-2</v>
      </c>
      <c r="P325" s="169">
        <f>(INDEX(Models!$BJ325:$BT325,,T325)*(1-R325)+INDEX(Models!$BJ325:$BT325,,T325+1)*R325-ERP_i)*Q325*Ramure*Pc/MaxiM</f>
        <v>6.23728390706445E-5</v>
      </c>
      <c r="Q325" s="305">
        <f t="shared" si="102"/>
        <v>0.5</v>
      </c>
      <c r="R325" s="177">
        <f t="shared" si="103"/>
        <v>0.99650372629553075</v>
      </c>
      <c r="S325" s="811">
        <f t="shared" si="104"/>
        <v>-2</v>
      </c>
      <c r="T325" s="176">
        <f t="shared" si="105"/>
        <v>4</v>
      </c>
      <c r="U325" s="251">
        <f t="shared" si="106"/>
        <v>-1.0034962737044693</v>
      </c>
      <c r="V325" s="383">
        <f t="shared" si="107"/>
        <v>31.23618558875317</v>
      </c>
      <c r="W325" s="58"/>
      <c r="X325" s="157">
        <f t="shared" si="108"/>
        <v>43776</v>
      </c>
      <c r="Y325" s="385">
        <f t="shared" si="109"/>
        <v>4.1829999999999998</v>
      </c>
      <c r="Z325" s="385">
        <f t="shared" si="110"/>
        <v>4.2306364524650446</v>
      </c>
      <c r="AA325" s="386">
        <f t="shared" si="111"/>
        <v>4.3473114643066149</v>
      </c>
      <c r="AB325" s="197">
        <f t="shared" si="112"/>
        <v>43776</v>
      </c>
      <c r="AC325" s="426">
        <f>IF(OR(t&lt;Tnet,NoTnet),'2018'!Resal_s+('2018'!Salim-'2018'!Resal_s)*(1-EXP(('2018'!Tnet_s-t)/'2018'!Tau_j)),Resal_s+(Salim-Resal_s)*(1-EXP((Tnet_s-t)/Tau_j)))*Salcycl</f>
        <v>2.6838429406203033E-2</v>
      </c>
      <c r="AD325" s="231">
        <f>(INDEX(Models!$BJ325:$BT325,,AH325)*(1-AF325)+INDEX(Models!$BJ325:$BT325,,AH325+1)*AF325-ERP_i)*AE325*Ramure*Pc/MaxiM</f>
        <v>6.23728390706445E-5</v>
      </c>
      <c r="AE325" s="305">
        <f t="shared" si="113"/>
        <v>0.5</v>
      </c>
      <c r="AF325" s="177">
        <f t="shared" si="114"/>
        <v>0.99650372629553075</v>
      </c>
      <c r="AG325" s="176">
        <f t="shared" si="115"/>
        <v>-2</v>
      </c>
      <c r="AH325" s="176">
        <f t="shared" si="116"/>
        <v>4</v>
      </c>
      <c r="AI325" s="225">
        <f t="shared" si="117"/>
        <v>-1.0034962737044693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7">
        <v>14.471</v>
      </c>
      <c r="C326" s="390"/>
      <c r="D326" s="393">
        <f t="shared" si="99"/>
        <v>14.63611786799925</v>
      </c>
      <c r="E326" s="385">
        <f t="shared" si="121"/>
        <v>15.040101845271614</v>
      </c>
      <c r="F326" s="385">
        <f t="shared" si="100"/>
        <v>15.040330716944972</v>
      </c>
      <c r="G326" s="110">
        <f t="shared" si="122"/>
        <v>0.4675419214325936</v>
      </c>
      <c r="H326" s="414" t="b">
        <f>Wh_hp&gt;='2018'!Maxi_hp</f>
        <v>0</v>
      </c>
      <c r="I326" s="390">
        <f>IF(H326,Wh_hp,'2018'!Maxi_hp)</f>
        <v>17.42994024110709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1.1281534453905118E-2</v>
      </c>
      <c r="M326" s="845"/>
      <c r="N326" s="845"/>
      <c r="O326" s="48">
        <f>IF(t&lt;Tnet,'2018'!Resal+('2018'!Salim-'2018'!Resal)*(1-EXP(('2018'!Tnet-t)/('2018'!Tau_j))),Resal+(Salim-Resal)*(1-EXP((Tnet-t)/(Tau_j))))*Salcycl</f>
        <v>2.686045489774205E-2</v>
      </c>
      <c r="P326" s="169">
        <f>(INDEX(Models!$BJ326:$BT326,,T326)*(1-R326)+INDEX(Models!$BJ326:$BT326,,T326+1)*R326-ERP_i)*Q326*Ramure*Pc/MaxiM</f>
        <v>6.3569765149538442E-5</v>
      </c>
      <c r="Q326" s="305">
        <f t="shared" si="102"/>
        <v>0.5</v>
      </c>
      <c r="R326" s="177">
        <f t="shared" si="103"/>
        <v>0.99654596175289667</v>
      </c>
      <c r="S326" s="811">
        <f t="shared" si="104"/>
        <v>-2</v>
      </c>
      <c r="T326" s="176">
        <f t="shared" si="105"/>
        <v>4</v>
      </c>
      <c r="U326" s="251">
        <f t="shared" si="106"/>
        <v>-1.0034540382471033</v>
      </c>
      <c r="V326" s="383">
        <f t="shared" si="107"/>
        <v>30.949738656585264</v>
      </c>
      <c r="W326" s="58"/>
      <c r="X326" s="157">
        <f t="shared" si="108"/>
        <v>43777</v>
      </c>
      <c r="Y326" s="385">
        <f t="shared" si="109"/>
        <v>14.471</v>
      </c>
      <c r="Z326" s="385">
        <f t="shared" si="110"/>
        <v>14.63611786799925</v>
      </c>
      <c r="AA326" s="386">
        <f t="shared" si="111"/>
        <v>15.040101845271614</v>
      </c>
      <c r="AB326" s="197">
        <f t="shared" si="112"/>
        <v>43777</v>
      </c>
      <c r="AC326" s="426">
        <f>IF(OR(t&lt;Tnet,NoTnet),'2018'!Resal_s+('2018'!Salim-'2018'!Resal_s)*(1-EXP(('2018'!Tnet_s-t)/'2018'!Tau_j)),Resal_s+(Salim-Resal_s)*(1-EXP((Tnet_s-t)/Tau_j)))*Salcycl</f>
        <v>2.686045489774205E-2</v>
      </c>
      <c r="AD326" s="231">
        <f>(INDEX(Models!$BJ326:$BT326,,AH326)*(1-AF326)+INDEX(Models!$BJ326:$BT326,,AH326+1)*AF326-ERP_i)*AE326*Ramure*Pc/MaxiM</f>
        <v>6.3569765149538442E-5</v>
      </c>
      <c r="AE326" s="305">
        <f t="shared" si="113"/>
        <v>0.5</v>
      </c>
      <c r="AF326" s="177">
        <f t="shared" si="114"/>
        <v>0.99654596175289667</v>
      </c>
      <c r="AG326" s="176">
        <f t="shared" si="115"/>
        <v>-2</v>
      </c>
      <c r="AH326" s="176">
        <f t="shared" si="116"/>
        <v>4</v>
      </c>
      <c r="AI326" s="225">
        <f t="shared" si="117"/>
        <v>-1.0034540382471033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7">
        <v>19.785</v>
      </c>
      <c r="C327" s="390"/>
      <c r="D327" s="393">
        <f t="shared" si="99"/>
        <v>20.01119028442578</v>
      </c>
      <c r="E327" s="385">
        <f t="shared" si="121"/>
        <v>20.564003554387153</v>
      </c>
      <c r="F327" s="385">
        <f t="shared" si="100"/>
        <v>20.564663071431649</v>
      </c>
      <c r="G327" s="110">
        <f t="shared" si="122"/>
        <v>0.64512554278211987</v>
      </c>
      <c r="H327" s="414" t="b">
        <f>Wh_hp&gt;='2018'!Maxi_hp</f>
        <v>1</v>
      </c>
      <c r="I327" s="390">
        <f>IF(H327,Wh_hp,'2018'!Maxi_hp)</f>
        <v>20.564663071431649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1.1303189925779611E-2</v>
      </c>
      <c r="M327" s="845"/>
      <c r="N327" s="845"/>
      <c r="O327" s="48">
        <f>IF(t&lt;Tnet,'2018'!Resal+('2018'!Salim-'2018'!Resal)*(1-EXP(('2018'!Tnet-t)/('2018'!Tau_j))),Resal+(Salim-Resal)*(1-EXP((Tnet-t)/(Tau_j))))*Salcycl</f>
        <v>2.6882570239754485E-2</v>
      </c>
      <c r="P327" s="169">
        <f>(INDEX(Models!$BJ327:$BT327,,T327)*(1-R327)+INDEX(Models!$BJ327:$BT327,,T327+1)*R327-ERP_i)*Q327*Ramure*Pc/MaxiM</f>
        <v>6.5042705052936544E-5</v>
      </c>
      <c r="Q327" s="305">
        <f t="shared" si="102"/>
        <v>0.5</v>
      </c>
      <c r="R327" s="177">
        <f t="shared" si="103"/>
        <v>0.99658650340136634</v>
      </c>
      <c r="S327" s="811">
        <f t="shared" si="104"/>
        <v>-2</v>
      </c>
      <c r="T327" s="176">
        <f t="shared" si="105"/>
        <v>4</v>
      </c>
      <c r="U327" s="251">
        <f t="shared" si="106"/>
        <v>-1.0034134965986337</v>
      </c>
      <c r="V327" s="383">
        <f t="shared" si="107"/>
        <v>30.667438056743414</v>
      </c>
      <c r="W327" s="58"/>
      <c r="X327" s="157">
        <f t="shared" si="108"/>
        <v>43778</v>
      </c>
      <c r="Y327" s="385">
        <f t="shared" si="109"/>
        <v>19.785</v>
      </c>
      <c r="Z327" s="385">
        <f t="shared" si="110"/>
        <v>20.01119028442578</v>
      </c>
      <c r="AA327" s="386">
        <f t="shared" si="111"/>
        <v>20.564003554387153</v>
      </c>
      <c r="AB327" s="197">
        <f t="shared" si="112"/>
        <v>43778</v>
      </c>
      <c r="AC327" s="426">
        <f>IF(OR(t&lt;Tnet,NoTnet),'2018'!Resal_s+('2018'!Salim-'2018'!Resal_s)*(1-EXP(('2018'!Tnet_s-t)/'2018'!Tau_j)),Resal_s+(Salim-Resal_s)*(1-EXP((Tnet_s-t)/Tau_j)))*Salcycl</f>
        <v>2.6882570239754485E-2</v>
      </c>
      <c r="AD327" s="231">
        <f>(INDEX(Models!$BJ327:$BT327,,AH327)*(1-AF327)+INDEX(Models!$BJ327:$BT327,,AH327+1)*AF327-ERP_i)*AE327*Ramure*Pc/MaxiM</f>
        <v>6.5042705052936544E-5</v>
      </c>
      <c r="AE327" s="305">
        <f t="shared" si="113"/>
        <v>0.5</v>
      </c>
      <c r="AF327" s="177">
        <f t="shared" si="114"/>
        <v>0.99658650340136634</v>
      </c>
      <c r="AG327" s="176">
        <f t="shared" si="115"/>
        <v>-2</v>
      </c>
      <c r="AH327" s="176">
        <f t="shared" si="116"/>
        <v>4</v>
      </c>
      <c r="AI327" s="225">
        <f t="shared" si="117"/>
        <v>-1.0034134965986337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7">
        <v>19.143999999999998</v>
      </c>
      <c r="C328" s="390"/>
      <c r="D328" s="393">
        <f t="shared" si="99"/>
        <v>19.363286213575055</v>
      </c>
      <c r="E328" s="385">
        <f t="shared" si="121"/>
        <v>19.898655623137518</v>
      </c>
      <c r="F328" s="385">
        <f t="shared" si="100"/>
        <v>19.899282118991248</v>
      </c>
      <c r="G328" s="110">
        <f t="shared" si="122"/>
        <v>0.62992812308937463</v>
      </c>
      <c r="H328" s="414" t="b">
        <f>Wh_hp&gt;='2018'!Maxi_hp</f>
        <v>0</v>
      </c>
      <c r="I328" s="390">
        <f>IF(H328,Wh_hp,'2018'!Maxi_hp)</f>
        <v>21.789231727925742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1.1324844923343735E-2</v>
      </c>
      <c r="M328" s="845"/>
      <c r="N328" s="845"/>
      <c r="O328" s="48">
        <f>IF(t&lt;Tnet,'2018'!Resal+('2018'!Salim-'2018'!Resal)*(1-EXP(('2018'!Tnet-t)/('2018'!Tau_j))),Resal+(Salim-Resal)*(1-EXP((Tnet-t)/(Tau_j))))*Salcycl</f>
        <v>2.6904803002869918E-2</v>
      </c>
      <c r="P328" s="169">
        <f>(INDEX(Models!$BJ328:$BT328,,T328)*(1-R328)+INDEX(Models!$BJ328:$BT328,,T328+1)*R328-ERP_i)*Q328*Ramure*Pc/MaxiM</f>
        <v>6.6792887095871241E-5</v>
      </c>
      <c r="Q328" s="305">
        <f t="shared" si="102"/>
        <v>0.5</v>
      </c>
      <c r="R328" s="177">
        <f t="shared" si="103"/>
        <v>0.99662541891040135</v>
      </c>
      <c r="S328" s="811">
        <f t="shared" si="104"/>
        <v>-2</v>
      </c>
      <c r="T328" s="176">
        <f t="shared" si="105"/>
        <v>4</v>
      </c>
      <c r="U328" s="251">
        <f t="shared" si="106"/>
        <v>-1.0033745810895986</v>
      </c>
      <c r="V328" s="383">
        <f t="shared" si="107"/>
        <v>30.389695762196396</v>
      </c>
      <c r="W328" s="58"/>
      <c r="X328" s="157">
        <f t="shared" si="108"/>
        <v>43779</v>
      </c>
      <c r="Y328" s="385">
        <f t="shared" si="109"/>
        <v>19.143999999999998</v>
      </c>
      <c r="Z328" s="385">
        <f t="shared" si="110"/>
        <v>19.363286213575055</v>
      </c>
      <c r="AA328" s="386">
        <f t="shared" si="111"/>
        <v>19.898655623137518</v>
      </c>
      <c r="AB328" s="197">
        <f t="shared" si="112"/>
        <v>43779</v>
      </c>
      <c r="AC328" s="426">
        <f>IF(OR(t&lt;Tnet,NoTnet),'2018'!Resal_s+('2018'!Salim-'2018'!Resal_s)*(1-EXP(('2018'!Tnet_s-t)/'2018'!Tau_j)),Resal_s+(Salim-Resal_s)*(1-EXP((Tnet_s-t)/Tau_j)))*Salcycl</f>
        <v>2.6904803002869918E-2</v>
      </c>
      <c r="AD328" s="231">
        <f>(INDEX(Models!$BJ328:$BT328,,AH328)*(1-AF328)+INDEX(Models!$BJ328:$BT328,,AH328+1)*AF328-ERP_i)*AE328*Ramure*Pc/MaxiM</f>
        <v>6.6792887095871241E-5</v>
      </c>
      <c r="AE328" s="305">
        <f t="shared" si="113"/>
        <v>0.5</v>
      </c>
      <c r="AF328" s="177">
        <f t="shared" si="114"/>
        <v>0.99662541891040135</v>
      </c>
      <c r="AG328" s="176">
        <f t="shared" si="115"/>
        <v>-2</v>
      </c>
      <c r="AH328" s="176">
        <f t="shared" si="116"/>
        <v>4</v>
      </c>
      <c r="AI328" s="225">
        <f t="shared" si="117"/>
        <v>-1.0033745810895986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7">
        <v>23.521000000000001</v>
      </c>
      <c r="C329" s="390"/>
      <c r="D329" s="393">
        <f t="shared" si="99"/>
        <v>23.790943932160538</v>
      </c>
      <c r="E329" s="385">
        <f t="shared" si="121"/>
        <v>24.449294491652726</v>
      </c>
      <c r="F329" s="385">
        <f t="shared" si="100"/>
        <v>24.450450731510966</v>
      </c>
      <c r="G329" s="110">
        <f t="shared" si="122"/>
        <v>0.78097264318807325</v>
      </c>
      <c r="H329" s="414" t="b">
        <f>Wh_hp&gt;='2018'!Maxi_hp</f>
        <v>0</v>
      </c>
      <c r="I329" s="390">
        <f>IF(H329,Wh_hp,'2018'!Maxi_hp)</f>
        <v>26.827720309111356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1.1346499446607816E-2</v>
      </c>
      <c r="M329" s="845"/>
      <c r="N329" s="845"/>
      <c r="O329" s="48">
        <f>IF(t&lt;Tnet,'2018'!Resal+('2018'!Salim-'2018'!Resal)*(1-EXP(('2018'!Tnet-t)/('2018'!Tau_j))),Resal+(Salim-Resal)*(1-EXP((Tnet-t)/(Tau_j))))*Salcycl</f>
        <v>2.6927180238961752E-2</v>
      </c>
      <c r="P329" s="169">
        <f>(INDEX(Models!$BJ329:$BT329,,T329)*(1-R329)+INDEX(Models!$BJ329:$BT329,,T329+1)*R329-ERP_i)*Q329*Ramure*Pc/MaxiM</f>
        <v>6.882140693182611E-5</v>
      </c>
      <c r="Q329" s="305">
        <f t="shared" si="102"/>
        <v>0.5</v>
      </c>
      <c r="R329" s="177">
        <f t="shared" si="103"/>
        <v>0.99666277326639863</v>
      </c>
      <c r="S329" s="811">
        <f t="shared" si="104"/>
        <v>-2</v>
      </c>
      <c r="T329" s="176">
        <f t="shared" si="105"/>
        <v>4</v>
      </c>
      <c r="U329" s="251">
        <f t="shared" si="106"/>
        <v>-1.0033372267336014</v>
      </c>
      <c r="V329" s="383">
        <f t="shared" si="107"/>
        <v>30.116923710271298</v>
      </c>
      <c r="W329" s="58"/>
      <c r="X329" s="157">
        <f t="shared" si="108"/>
        <v>43780</v>
      </c>
      <c r="Y329" s="385">
        <f t="shared" si="109"/>
        <v>23.521000000000001</v>
      </c>
      <c r="Z329" s="385">
        <f t="shared" si="110"/>
        <v>23.790943932160538</v>
      </c>
      <c r="AA329" s="386">
        <f t="shared" si="111"/>
        <v>24.449294491652726</v>
      </c>
      <c r="AB329" s="197">
        <f t="shared" si="112"/>
        <v>43780</v>
      </c>
      <c r="AC329" s="426">
        <f>IF(OR(t&lt;Tnet,NoTnet),'2018'!Resal_s+('2018'!Salim-'2018'!Resal_s)*(1-EXP(('2018'!Tnet_s-t)/'2018'!Tau_j)),Resal_s+(Salim-Resal_s)*(1-EXP((Tnet_s-t)/Tau_j)))*Salcycl</f>
        <v>2.6927180238961752E-2</v>
      </c>
      <c r="AD329" s="231">
        <f>(INDEX(Models!$BJ329:$BT329,,AH329)*(1-AF329)+INDEX(Models!$BJ329:$BT329,,AH329+1)*AF329-ERP_i)*AE329*Ramure*Pc/MaxiM</f>
        <v>6.882140693182611E-5</v>
      </c>
      <c r="AE329" s="305">
        <f t="shared" si="113"/>
        <v>0.5</v>
      </c>
      <c r="AF329" s="177">
        <f t="shared" si="114"/>
        <v>0.99666277326639863</v>
      </c>
      <c r="AG329" s="176">
        <f t="shared" si="115"/>
        <v>-2</v>
      </c>
      <c r="AH329" s="176">
        <f t="shared" si="116"/>
        <v>4</v>
      </c>
      <c r="AI329" s="225">
        <f t="shared" si="117"/>
        <v>-1.0033372267336014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7">
        <v>19.785</v>
      </c>
      <c r="C330" s="390"/>
      <c r="D330" s="393">
        <f t="shared" si="99"/>
        <v>20.012505231300569</v>
      </c>
      <c r="E330" s="385">
        <f t="shared" si="121"/>
        <v>20.566774209390331</v>
      </c>
      <c r="F330" s="385">
        <f t="shared" si="100"/>
        <v>20.567532487664316</v>
      </c>
      <c r="G330" s="110">
        <f t="shared" si="122"/>
        <v>0.66280171205875538</v>
      </c>
      <c r="H330" s="414" t="b">
        <f>Wh_hp&gt;='2018'!Maxi_hp</f>
        <v>0</v>
      </c>
      <c r="I330" s="390">
        <f>IF(H330,Wh_hp,'2018'!Maxi_hp)</f>
        <v>28.254170415117652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1.1368153495582289E-2</v>
      </c>
      <c r="M330" s="845"/>
      <c r="N330" s="845"/>
      <c r="O330" s="48">
        <f>IF(t&lt;Tnet,'2018'!Resal+('2018'!Salim-'2018'!Resal)*(1-EXP(('2018'!Tnet-t)/('2018'!Tau_j))),Resal+(Salim-Resal)*(1-EXP((Tnet-t)/(Tau_j))))*Salcycl</f>
        <v>2.6949728355392541E-2</v>
      </c>
      <c r="P330" s="169">
        <f>(INDEX(Models!$BJ330:$BT330,,T330)*(1-R330)+INDEX(Models!$BJ330:$BT330,,T330+1)*R330-ERP_i)*Q330*Ramure*Pc/MaxiM</f>
        <v>7.1129203993492308E-5</v>
      </c>
      <c r="Q330" s="305">
        <f t="shared" si="102"/>
        <v>0.5</v>
      </c>
      <c r="R330" s="177">
        <f t="shared" si="103"/>
        <v>0.99669862887746175</v>
      </c>
      <c r="S330" s="811">
        <f t="shared" si="104"/>
        <v>-2</v>
      </c>
      <c r="T330" s="176">
        <f t="shared" si="105"/>
        <v>4</v>
      </c>
      <c r="U330" s="251">
        <f t="shared" si="106"/>
        <v>-1.0033013711225383</v>
      </c>
      <c r="V330" s="383">
        <f t="shared" si="107"/>
        <v>29.849533807524285</v>
      </c>
      <c r="W330" s="58"/>
      <c r="X330" s="157">
        <f t="shared" si="108"/>
        <v>43781</v>
      </c>
      <c r="Y330" s="385">
        <f t="shared" si="109"/>
        <v>19.785</v>
      </c>
      <c r="Z330" s="385">
        <f t="shared" si="110"/>
        <v>20.012505231300569</v>
      </c>
      <c r="AA330" s="386">
        <f t="shared" si="111"/>
        <v>20.566774209390331</v>
      </c>
      <c r="AB330" s="197">
        <f t="shared" si="112"/>
        <v>43781</v>
      </c>
      <c r="AC330" s="426">
        <f>IF(OR(t&lt;Tnet,NoTnet),'2018'!Resal_s+('2018'!Salim-'2018'!Resal_s)*(1-EXP(('2018'!Tnet_s-t)/'2018'!Tau_j)),Resal_s+(Salim-Resal_s)*(1-EXP((Tnet_s-t)/Tau_j)))*Salcycl</f>
        <v>2.6949728355392541E-2</v>
      </c>
      <c r="AD330" s="231">
        <f>(INDEX(Models!$BJ330:$BT330,,AH330)*(1-AF330)+INDEX(Models!$BJ330:$BT330,,AH330+1)*AF330-ERP_i)*AE330*Ramure*Pc/MaxiM</f>
        <v>7.1129203993492308E-5</v>
      </c>
      <c r="AE330" s="305">
        <f t="shared" si="113"/>
        <v>0.5</v>
      </c>
      <c r="AF330" s="177">
        <f t="shared" si="114"/>
        <v>0.99669862887746175</v>
      </c>
      <c r="AG330" s="176">
        <f t="shared" si="115"/>
        <v>-2</v>
      </c>
      <c r="AH330" s="176">
        <f t="shared" si="116"/>
        <v>4</v>
      </c>
      <c r="AI330" s="225">
        <f t="shared" si="117"/>
        <v>-1.0033013711225383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7">
        <v>18.335000000000001</v>
      </c>
      <c r="C331" s="390"/>
      <c r="D331" s="393">
        <f t="shared" si="99"/>
        <v>18.546238073537022</v>
      </c>
      <c r="E331" s="385">
        <f t="shared" si="121"/>
        <v>19.060342650917566</v>
      </c>
      <c r="F331" s="385">
        <f t="shared" si="100"/>
        <v>19.060984425268092</v>
      </c>
      <c r="G331" s="110">
        <f t="shared" si="122"/>
        <v>0.61967969305500759</v>
      </c>
      <c r="H331" s="414" t="b">
        <f>Wh_hp&gt;='2018'!Maxi_hp</f>
        <v>1</v>
      </c>
      <c r="I331" s="390">
        <f>IF(H331,Wh_hp,'2018'!Maxi_hp)</f>
        <v>19.060984425268092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1.138980707027748E-2</v>
      </c>
      <c r="M331" s="845"/>
      <c r="N331" s="845"/>
      <c r="O331" s="48">
        <f>IF(t&lt;Tnet,'2018'!Resal+('2018'!Salim-'2018'!Resal)*(1-EXP(('2018'!Tnet-t)/('2018'!Tau_j))),Resal+(Salim-Resal)*(1-EXP((Tnet-t)/(Tau_j))))*Salcycl</f>
        <v>2.6972472992545793E-2</v>
      </c>
      <c r="P331" s="169">
        <f>(INDEX(Models!$BJ331:$BT331,,T331)*(1-R331)+INDEX(Models!$BJ331:$BT331,,T331+1)*R331-ERP_i)*Q331*Ramure*Pc/MaxiM</f>
        <v>7.372016556320314E-5</v>
      </c>
      <c r="Q331" s="305">
        <f t="shared" si="102"/>
        <v>0.5</v>
      </c>
      <c r="R331" s="177">
        <f t="shared" si="103"/>
        <v>0.9967330456742125</v>
      </c>
      <c r="S331" s="811">
        <f t="shared" si="104"/>
        <v>-2</v>
      </c>
      <c r="T331" s="176">
        <f t="shared" si="105"/>
        <v>4</v>
      </c>
      <c r="U331" s="251">
        <f t="shared" si="106"/>
        <v>-1.0032669543257875</v>
      </c>
      <c r="V331" s="383">
        <f t="shared" si="107"/>
        <v>29.586681397366867</v>
      </c>
      <c r="W331" s="58"/>
      <c r="X331" s="157">
        <f t="shared" si="108"/>
        <v>43782</v>
      </c>
      <c r="Y331" s="385">
        <f t="shared" si="109"/>
        <v>18.335000000000001</v>
      </c>
      <c r="Z331" s="385">
        <f t="shared" si="110"/>
        <v>18.546238073537022</v>
      </c>
      <c r="AA331" s="386">
        <f t="shared" si="111"/>
        <v>19.060342650917566</v>
      </c>
      <c r="AB331" s="197">
        <f t="shared" si="112"/>
        <v>43782</v>
      </c>
      <c r="AC331" s="426">
        <f>IF(OR(t&lt;Tnet,NoTnet),'2018'!Resal_s+('2018'!Salim-'2018'!Resal_s)*(1-EXP(('2018'!Tnet_s-t)/'2018'!Tau_j)),Resal_s+(Salim-Resal_s)*(1-EXP((Tnet_s-t)/Tau_j)))*Salcycl</f>
        <v>2.6972472992545793E-2</v>
      </c>
      <c r="AD331" s="231">
        <f>(INDEX(Models!$BJ331:$BT331,,AH331)*(1-AF331)+INDEX(Models!$BJ331:$BT331,,AH331+1)*AF331-ERP_i)*AE331*Ramure*Pc/MaxiM</f>
        <v>7.372016556320314E-5</v>
      </c>
      <c r="AE331" s="305">
        <f t="shared" si="113"/>
        <v>0.5</v>
      </c>
      <c r="AF331" s="177">
        <f t="shared" si="114"/>
        <v>0.9967330456742125</v>
      </c>
      <c r="AG331" s="176">
        <f t="shared" si="115"/>
        <v>-2</v>
      </c>
      <c r="AH331" s="176">
        <f t="shared" si="116"/>
        <v>4</v>
      </c>
      <c r="AI331" s="225">
        <f t="shared" si="117"/>
        <v>-1.0032669543257875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7">
        <v>5.9630000000000001</v>
      </c>
      <c r="C332" s="390"/>
      <c r="D332" s="393">
        <f t="shared" si="99"/>
        <v>6.0318320107470162</v>
      </c>
      <c r="E332" s="385">
        <f t="shared" si="121"/>
        <v>6.1991816399731414</v>
      </c>
      <c r="F332" s="385">
        <f t="shared" si="100"/>
        <v>6.1991816399731414</v>
      </c>
      <c r="G332" s="110">
        <f t="shared" si="122"/>
        <v>0.20331022942217603</v>
      </c>
      <c r="H332" s="414" t="b">
        <f>Wh_hp&gt;='2018'!Maxi_hp</f>
        <v>0</v>
      </c>
      <c r="I332" s="390">
        <f>IF(H332,Wh_hp,'2018'!Maxi_hp)</f>
        <v>18.542037125391694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1.1411460170703824E-2</v>
      </c>
      <c r="M332" s="845"/>
      <c r="N332" s="845"/>
      <c r="O332" s="48">
        <f>IF(t&lt;Tnet,'2018'!Resal+('2018'!Salim-'2018'!Resal)*(1-EXP(('2018'!Tnet-t)/('2018'!Tau_j))),Resal+(Salim-Resal)*(1-EXP((Tnet-t)/(Tau_j))))*Salcycl</f>
        <v>2.6995438905521432E-2</v>
      </c>
      <c r="P332" s="169">
        <f>(INDEX(Models!$BJ332:$BT332,,T332)*(1-R332)+INDEX(Models!$BJ332:$BT332,,T332+1)*R332-ERP_i)*Q332*Ramure*Pc/MaxiM</f>
        <v>7.6671199107980847E-5</v>
      </c>
      <c r="Q332" s="305">
        <f t="shared" si="102"/>
        <v>0.5</v>
      </c>
      <c r="R332" s="177">
        <f t="shared" si="103"/>
        <v>0.99676608120677423</v>
      </c>
      <c r="S332" s="811">
        <f t="shared" si="104"/>
        <v>-2</v>
      </c>
      <c r="T332" s="176">
        <f t="shared" si="105"/>
        <v>4</v>
      </c>
      <c r="U332" s="251">
        <f t="shared" si="106"/>
        <v>-1.0032339187932258</v>
      </c>
      <c r="V332" s="383">
        <f t="shared" si="107"/>
        <v>29.327313370240855</v>
      </c>
      <c r="W332" s="58"/>
      <c r="X332" s="157">
        <f t="shared" si="108"/>
        <v>43783</v>
      </c>
      <c r="Y332" s="385">
        <f t="shared" si="109"/>
        <v>5.9630000000000001</v>
      </c>
      <c r="Z332" s="385">
        <f t="shared" si="110"/>
        <v>6.0318320107470162</v>
      </c>
      <c r="AA332" s="386">
        <f t="shared" si="111"/>
        <v>6.1991816399731414</v>
      </c>
      <c r="AB332" s="197">
        <f t="shared" si="112"/>
        <v>43783</v>
      </c>
      <c r="AC332" s="426">
        <f>IF(OR(t&lt;Tnet,NoTnet),'2018'!Resal_s+('2018'!Salim-'2018'!Resal_s)*(1-EXP(('2018'!Tnet_s-t)/'2018'!Tau_j)),Resal_s+(Salim-Resal_s)*(1-EXP((Tnet_s-t)/Tau_j)))*Salcycl</f>
        <v>2.6995438905521432E-2</v>
      </c>
      <c r="AD332" s="231">
        <f>(INDEX(Models!$BJ332:$BT332,,AH332)*(1-AF332)+INDEX(Models!$BJ332:$BT332,,AH332+1)*AF332-ERP_i)*AE332*Ramure*Pc/MaxiM</f>
        <v>7.6671199107980847E-5</v>
      </c>
      <c r="AE332" s="305">
        <f t="shared" si="113"/>
        <v>0.5</v>
      </c>
      <c r="AF332" s="177">
        <f t="shared" si="114"/>
        <v>0.99676608120677423</v>
      </c>
      <c r="AG332" s="176">
        <f t="shared" si="115"/>
        <v>-2</v>
      </c>
      <c r="AH332" s="176">
        <f t="shared" si="116"/>
        <v>4</v>
      </c>
      <c r="AI332" s="225">
        <f t="shared" si="117"/>
        <v>-1.0032339187932258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7">
        <v>11.648999999999999</v>
      </c>
      <c r="C333" s="390"/>
      <c r="D333" s="393">
        <f t="shared" si="99"/>
        <v>11.783724653126471</v>
      </c>
      <c r="E333" s="385">
        <f t="shared" si="121"/>
        <v>12.110946064197474</v>
      </c>
      <c r="F333" s="385">
        <f t="shared" si="100"/>
        <v>12.111085124124092</v>
      </c>
      <c r="G333" s="110">
        <f t="shared" si="122"/>
        <v>0.4006738256116929</v>
      </c>
      <c r="H333" s="414" t="b">
        <f>Wh_hp&gt;='2018'!Maxi_hp</f>
        <v>0</v>
      </c>
      <c r="I333" s="390">
        <f>IF(H333,Wh_hp,'2018'!Maxi_hp)</f>
        <v>20.313701286022383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1.1433112796871647E-2</v>
      </c>
      <c r="M333" s="845"/>
      <c r="N333" s="845"/>
      <c r="O333" s="48">
        <f>IF(t&lt;Tnet,'2018'!Resal+('2018'!Salim-'2018'!Resal)*(1-EXP(('2018'!Tnet-t)/('2018'!Tau_j))),Resal+(Salim-Resal)*(1-EXP((Tnet-t)/(Tau_j))))*Salcycl</f>
        <v>2.7018649850843481E-2</v>
      </c>
      <c r="P333" s="169">
        <f>(INDEX(Models!$BJ333:$BT333,,T333)*(1-R333)+INDEX(Models!$BJ333:$BT333,,T333+1)*R333-ERP_i)*Q333*Ramure*Pc/MaxiM</f>
        <v>7.9814593081585679E-5</v>
      </c>
      <c r="Q333" s="305">
        <f t="shared" si="102"/>
        <v>0.5</v>
      </c>
      <c r="R333" s="177">
        <f t="shared" si="103"/>
        <v>0.99679779073806918</v>
      </c>
      <c r="S333" s="811">
        <f t="shared" si="104"/>
        <v>-2</v>
      </c>
      <c r="T333" s="176">
        <f t="shared" si="105"/>
        <v>4</v>
      </c>
      <c r="U333" s="251">
        <f t="shared" si="106"/>
        <v>-1.0032022092619308</v>
      </c>
      <c r="V333" s="383">
        <f t="shared" si="107"/>
        <v>29.071537096616243</v>
      </c>
      <c r="W333" s="58"/>
      <c r="X333" s="157">
        <f t="shared" si="108"/>
        <v>43784</v>
      </c>
      <c r="Y333" s="385">
        <f t="shared" si="109"/>
        <v>11.648999999999999</v>
      </c>
      <c r="Z333" s="385">
        <f t="shared" si="110"/>
        <v>11.783724653126471</v>
      </c>
      <c r="AA333" s="386">
        <f t="shared" si="111"/>
        <v>12.110946064197474</v>
      </c>
      <c r="AB333" s="197">
        <f t="shared" si="112"/>
        <v>43784</v>
      </c>
      <c r="AC333" s="426">
        <f>IF(OR(t&lt;Tnet,NoTnet),'2018'!Resal_s+('2018'!Salim-'2018'!Resal_s)*(1-EXP(('2018'!Tnet_s-t)/'2018'!Tau_j)),Resal_s+(Salim-Resal_s)*(1-EXP((Tnet_s-t)/Tau_j)))*Salcycl</f>
        <v>2.7018649850843481E-2</v>
      </c>
      <c r="AD333" s="231">
        <f>(INDEX(Models!$BJ333:$BT333,,AH333)*(1-AF333)+INDEX(Models!$BJ333:$BT333,,AH333+1)*AF333-ERP_i)*AE333*Ramure*Pc/MaxiM</f>
        <v>7.9814593081585679E-5</v>
      </c>
      <c r="AE333" s="305">
        <f t="shared" si="113"/>
        <v>0.5</v>
      </c>
      <c r="AF333" s="177">
        <f t="shared" si="114"/>
        <v>0.99679779073806918</v>
      </c>
      <c r="AG333" s="176">
        <f t="shared" si="115"/>
        <v>-2</v>
      </c>
      <c r="AH333" s="176">
        <f t="shared" si="116"/>
        <v>4</v>
      </c>
      <c r="AI333" s="225">
        <f t="shared" si="117"/>
        <v>-1.0032022092619308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7">
        <v>14.532</v>
      </c>
      <c r="C334" s="390"/>
      <c r="D334" s="393">
        <f t="shared" si="99"/>
        <v>14.70038950645209</v>
      </c>
      <c r="E334" s="385">
        <f t="shared" si="121"/>
        <v>15.108968164748235</v>
      </c>
      <c r="F334" s="385">
        <f t="shared" si="100"/>
        <v>15.109334743405078</v>
      </c>
      <c r="G334" s="110">
        <f t="shared" si="122"/>
        <v>0.50421301244383865</v>
      </c>
      <c r="H334" s="414" t="b">
        <f>Wh_hp&gt;='2018'!Maxi_hp</f>
        <v>0</v>
      </c>
      <c r="I334" s="390">
        <f>IF(H334,Wh_hp,'2018'!Maxi_hp)</f>
        <v>25.63773042545121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1.1454764948791496E-2</v>
      </c>
      <c r="M334" s="845"/>
      <c r="N334" s="845"/>
      <c r="O334" s="48">
        <f>IF(t&lt;Tnet,'2018'!Resal+('2018'!Salim-'2018'!Resal)*(1-EXP(('2018'!Tnet-t)/('2018'!Tau_j))),Resal+(Salim-Resal)*(1-EXP((Tnet-t)/(Tau_j))))*Salcycl</f>
        <v>2.7042128478993527E-2</v>
      </c>
      <c r="P334" s="169">
        <f>(INDEX(Models!$BJ334:$BT334,,T334)*(1-R334)+INDEX(Models!$BJ334:$BT334,,T334+1)*R334-ERP_i)*Q334*Ramure*Pc/MaxiM</f>
        <v>8.3152117307232876E-5</v>
      </c>
      <c r="Q334" s="305">
        <f t="shared" si="102"/>
        <v>0.5</v>
      </c>
      <c r="R334" s="177">
        <f t="shared" si="103"/>
        <v>0.99682822733355891</v>
      </c>
      <c r="S334" s="811">
        <f t="shared" si="104"/>
        <v>-2</v>
      </c>
      <c r="T334" s="176">
        <f t="shared" si="105"/>
        <v>4</v>
      </c>
      <c r="U334" s="251">
        <f t="shared" si="106"/>
        <v>-1.0031717726664411</v>
      </c>
      <c r="V334" s="383">
        <f t="shared" si="107"/>
        <v>28.819454923927143</v>
      </c>
      <c r="W334" s="58"/>
      <c r="X334" s="157">
        <f t="shared" si="108"/>
        <v>43785</v>
      </c>
      <c r="Y334" s="385">
        <f t="shared" si="109"/>
        <v>14.532</v>
      </c>
      <c r="Z334" s="385">
        <f t="shared" si="110"/>
        <v>14.70038950645209</v>
      </c>
      <c r="AA334" s="386">
        <f t="shared" si="111"/>
        <v>15.108968164748235</v>
      </c>
      <c r="AB334" s="197">
        <f t="shared" si="112"/>
        <v>43785</v>
      </c>
      <c r="AC334" s="426">
        <f>IF(OR(t&lt;Tnet,NoTnet),'2018'!Resal_s+('2018'!Salim-'2018'!Resal_s)*(1-EXP(('2018'!Tnet_s-t)/'2018'!Tau_j)),Resal_s+(Salim-Resal_s)*(1-EXP((Tnet_s-t)/Tau_j)))*Salcycl</f>
        <v>2.7042128478993527E-2</v>
      </c>
      <c r="AD334" s="231">
        <f>(INDEX(Models!$BJ334:$BT334,,AH334)*(1-AF334)+INDEX(Models!$BJ334:$BT334,,AH334+1)*AF334-ERP_i)*AE334*Ramure*Pc/MaxiM</f>
        <v>8.3152117307232876E-5</v>
      </c>
      <c r="AE334" s="305">
        <f t="shared" si="113"/>
        <v>0.5</v>
      </c>
      <c r="AF334" s="177">
        <f t="shared" si="114"/>
        <v>0.99682822733355891</v>
      </c>
      <c r="AG334" s="176">
        <f t="shared" si="115"/>
        <v>-2</v>
      </c>
      <c r="AH334" s="176">
        <f t="shared" si="116"/>
        <v>4</v>
      </c>
      <c r="AI334" s="225">
        <f t="shared" si="117"/>
        <v>-1.0031717726664411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7">
        <v>12.169</v>
      </c>
      <c r="C335" s="390"/>
      <c r="D335" s="393">
        <f t="shared" ref="D335:D379" si="123">Wh/(1-Ppv)</f>
        <v>12.310277877712288</v>
      </c>
      <c r="E335" s="385">
        <f t="shared" si="121"/>
        <v>12.652735503932146</v>
      </c>
      <c r="F335" s="385">
        <f t="shared" ref="F335:F379" si="124">Wh_sa/(1-Pvg*MEDIAN((-Sdif+Wh/Env_an)/Csdif,0,1))</f>
        <v>12.65293280569685</v>
      </c>
      <c r="G335" s="110">
        <f t="shared" si="122"/>
        <v>0.42588858614544323</v>
      </c>
      <c r="H335" s="414" t="b">
        <f>Wh_hp&gt;='2018'!Maxi_hp</f>
        <v>0</v>
      </c>
      <c r="I335" s="390">
        <f>IF(H335,Wh_hp,'2018'!Maxi_hp)</f>
        <v>28.670073792979203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1.1476416626473585E-2</v>
      </c>
      <c r="M335" s="845"/>
      <c r="N335" s="845"/>
      <c r="O335" s="48">
        <f>IF(t&lt;Tnet,'2018'!Resal+('2018'!Salim-'2018'!Resal)*(1-EXP(('2018'!Tnet-t)/('2018'!Tau_j))),Resal+(Salim-Resal)*(1-EXP((Tnet-t)/(Tau_j))))*Salcycl</f>
        <v>2.706589623354012E-2</v>
      </c>
      <c r="P335" s="169">
        <f>(INDEX(Models!$BJ335:$BT335,,T335)*(1-R335)+INDEX(Models!$BJ335:$BT335,,T335+1)*R335-ERP_i)*Q335*Ramure*Pc/MaxiM</f>
        <v>8.6685608802325841E-5</v>
      </c>
      <c r="Q335" s="305">
        <f t="shared" ref="Q335:Q379" si="126">IF(OR(t&lt;Ttai,Notai),Dd+PousD*Croivg,Dens+PousD*(Croivg-Croi_tai))</f>
        <v>0.5</v>
      </c>
      <c r="R335" s="177">
        <f t="shared" ref="R335:R379" si="127">(Hp_vg-S335)/(INDEX(Echel_vg,T335+1)-S335)</f>
        <v>0.9968574419475531</v>
      </c>
      <c r="S335" s="811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-1.0031425580524469</v>
      </c>
      <c r="V335" s="383">
        <f t="shared" ref="V335:V379" si="131">MaxiM*(1-Ppv)*(1-Pvg)*(1-Psa)</f>
        <v>28.571169223130578</v>
      </c>
      <c r="W335" s="58"/>
      <c r="X335" s="157">
        <f t="shared" ref="X335:X379" si="132">t</f>
        <v>43786</v>
      </c>
      <c r="Y335" s="385">
        <f t="shared" ref="Y335:Y379" si="133">Wh_pvt_s*(1-Ppv)</f>
        <v>12.169</v>
      </c>
      <c r="Z335" s="385">
        <f t="shared" ref="Z335:Z379" si="134">Wh_sa_s*(1-Psa_s)</f>
        <v>12.310277877712288</v>
      </c>
      <c r="AA335" s="386">
        <f t="shared" ref="AA335:AA379" si="135">Wh_hp*(1-Pvg_s*MEDIAN((-Sdif+Wh/Env_an)/Csdif,0,1))</f>
        <v>12.652735503932146</v>
      </c>
      <c r="AB335" s="197">
        <f t="shared" ref="AB335:AB379" si="136">t</f>
        <v>43786</v>
      </c>
      <c r="AC335" s="426">
        <f>IF(OR(t&lt;Tnet,NoTnet),'2018'!Resal_s+('2018'!Salim-'2018'!Resal_s)*(1-EXP(('2018'!Tnet_s-t)/'2018'!Tau_j)),Resal_s+(Salim-Resal_s)*(1-EXP((Tnet_s-t)/Tau_j)))*Salcycl</f>
        <v>2.706589623354012E-2</v>
      </c>
      <c r="AD335" s="231">
        <f>(INDEX(Models!$BJ335:$BT335,,AH335)*(1-AF335)+INDEX(Models!$BJ335:$BT335,,AH335+1)*AF335-ERP_i)*AE335*Ramure*Pc/MaxiM</f>
        <v>8.6685608802325841E-5</v>
      </c>
      <c r="AE335" s="305">
        <f t="shared" ref="AE335:AE379" si="137">IF(OR(t&lt;Ttai,Notai),Dd_s+PousD*Croivg,Dens_s+PousD*(Croivg-Croi_tai))</f>
        <v>0.5</v>
      </c>
      <c r="AF335" s="177">
        <f t="shared" ref="AF335:AF379" si="138">(Hp_vg_s-AG335)/(INDEX(Echel_vg,AH335+1)-AG335)</f>
        <v>0.9968574419475531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-1.0031425580524469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7">
        <v>11.954000000000001</v>
      </c>
      <c r="C336" s="390"/>
      <c r="D336" s="393">
        <f t="shared" si="123"/>
        <v>12.093046670892411</v>
      </c>
      <c r="E336" s="385">
        <f t="shared" si="121"/>
        <v>12.429768774594137</v>
      </c>
      <c r="F336" s="385">
        <f t="shared" si="124"/>
        <v>12.42996465631713</v>
      </c>
      <c r="G336" s="110">
        <f t="shared" si="122"/>
        <v>0.42197194706226721</v>
      </c>
      <c r="H336" s="414" t="b">
        <f>Wh_hp&gt;='2018'!Maxi_hp</f>
        <v>0</v>
      </c>
      <c r="I336" s="390">
        <f>IF(H336,Wh_hp,'2018'!Maxi_hp)</f>
        <v>23.569760307357548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1.1498067829928349E-2</v>
      </c>
      <c r="M336" s="845"/>
      <c r="N336" s="845"/>
      <c r="O336" s="48">
        <f>IF(t&lt;Tnet,'2018'!Resal+('2018'!Salim-'2018'!Resal)*(1-EXP(('2018'!Tnet-t)/('2018'!Tau_j))),Resal+(Salim-Resal)*(1-EXP((Tnet-t)/(Tau_j))))*Salcycl</f>
        <v>2.7089973257585522E-2</v>
      </c>
      <c r="P336" s="169">
        <f>(INDEX(Models!$BJ336:$BT336,,T336)*(1-R336)+INDEX(Models!$BJ336:$BT336,,T336+1)*R336-ERP_i)*Q336*Ramure*Pc/MaxiM</f>
        <v>9.0416967537545982E-5</v>
      </c>
      <c r="Q336" s="305">
        <f t="shared" si="126"/>
        <v>0.5</v>
      </c>
      <c r="R336" s="177">
        <f t="shared" si="127"/>
        <v>0.99688548350621642</v>
      </c>
      <c r="S336" s="811">
        <f t="shared" si="128"/>
        <v>-2</v>
      </c>
      <c r="T336" s="176">
        <f t="shared" si="129"/>
        <v>4</v>
      </c>
      <c r="U336" s="251">
        <f t="shared" si="130"/>
        <v>-1.0031145164937836</v>
      </c>
      <c r="V336" s="383">
        <f t="shared" si="131"/>
        <v>28.326782398209591</v>
      </c>
      <c r="W336" s="58"/>
      <c r="X336" s="157">
        <f t="shared" si="132"/>
        <v>43787</v>
      </c>
      <c r="Y336" s="385">
        <f t="shared" si="133"/>
        <v>11.954000000000001</v>
      </c>
      <c r="Z336" s="385">
        <f t="shared" si="134"/>
        <v>12.093046670892411</v>
      </c>
      <c r="AA336" s="386">
        <f t="shared" si="135"/>
        <v>12.429768774594137</v>
      </c>
      <c r="AB336" s="197">
        <f t="shared" si="136"/>
        <v>43787</v>
      </c>
      <c r="AC336" s="426">
        <f>IF(OR(t&lt;Tnet,NoTnet),'2018'!Resal_s+('2018'!Salim-'2018'!Resal_s)*(1-EXP(('2018'!Tnet_s-t)/'2018'!Tau_j)),Resal_s+(Salim-Resal_s)*(1-EXP((Tnet_s-t)/Tau_j)))*Salcycl</f>
        <v>2.7089973257585522E-2</v>
      </c>
      <c r="AD336" s="231">
        <f>(INDEX(Models!$BJ336:$BT336,,AH336)*(1-AF336)+INDEX(Models!$BJ336:$BT336,,AH336+1)*AF336-ERP_i)*AE336*Ramure*Pc/MaxiM</f>
        <v>9.0416967537545982E-5</v>
      </c>
      <c r="AE336" s="305">
        <f t="shared" si="137"/>
        <v>0.5</v>
      </c>
      <c r="AF336" s="177">
        <f t="shared" si="138"/>
        <v>0.99688548350621642</v>
      </c>
      <c r="AG336" s="176">
        <f t="shared" si="139"/>
        <v>-2</v>
      </c>
      <c r="AH336" s="176">
        <f t="shared" si="140"/>
        <v>4</v>
      </c>
      <c r="AI336" s="225">
        <f t="shared" si="141"/>
        <v>-1.0031145164937836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7">
        <v>18.86</v>
      </c>
      <c r="C337" s="390"/>
      <c r="D337" s="393">
        <f t="shared" si="123"/>
        <v>19.079793855380895</v>
      </c>
      <c r="E337" s="385">
        <f t="shared" si="121"/>
        <v>19.611548808997686</v>
      </c>
      <c r="F337" s="385">
        <f t="shared" si="124"/>
        <v>19.612530844435341</v>
      </c>
      <c r="G337" s="110">
        <f t="shared" si="122"/>
        <v>0.67146971504094022</v>
      </c>
      <c r="H337" s="414" t="b">
        <f>Wh_hp&gt;='2018'!Maxi_hp</f>
        <v>0</v>
      </c>
      <c r="I337" s="390">
        <f>IF(H337,Wh_hp,'2018'!Maxi_hp)</f>
        <v>20.453499492641804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1.1519718559166225E-2</v>
      </c>
      <c r="M337" s="845"/>
      <c r="N337" s="845"/>
      <c r="O337" s="48">
        <f>IF(t&lt;Tnet,'2018'!Resal+('2018'!Salim-'2018'!Resal)*(1-EXP(('2018'!Tnet-t)/('2018'!Tau_j))),Resal+(Salim-Resal)*(1-EXP((Tnet-t)/(Tau_j))))*Salcycl</f>
        <v>2.7114378308194832E-2</v>
      </c>
      <c r="P337" s="169">
        <f>(INDEX(Models!$BJ337:$BT337,,T337)*(1-R337)+INDEX(Models!$BJ337:$BT337,,T337+1)*R337-ERP_i)*Q337*Ramure*Pc/MaxiM</f>
        <v>9.4348149718915514E-5</v>
      </c>
      <c r="Q337" s="305">
        <f t="shared" si="126"/>
        <v>0.5</v>
      </c>
      <c r="R337" s="177">
        <f t="shared" si="127"/>
        <v>0.99691239898738693</v>
      </c>
      <c r="S337" s="811">
        <f t="shared" si="128"/>
        <v>-2</v>
      </c>
      <c r="T337" s="176">
        <f t="shared" si="129"/>
        <v>4</v>
      </c>
      <c r="U337" s="251">
        <f t="shared" si="130"/>
        <v>-1.0030876010126131</v>
      </c>
      <c r="V337" s="383">
        <f t="shared" si="131"/>
        <v>28.086396876094476</v>
      </c>
      <c r="W337" s="58"/>
      <c r="X337" s="157">
        <f t="shared" si="132"/>
        <v>43788</v>
      </c>
      <c r="Y337" s="385">
        <f t="shared" si="133"/>
        <v>18.86</v>
      </c>
      <c r="Z337" s="385">
        <f t="shared" si="134"/>
        <v>19.079793855380895</v>
      </c>
      <c r="AA337" s="386">
        <f t="shared" si="135"/>
        <v>19.611548808997686</v>
      </c>
      <c r="AB337" s="197">
        <f t="shared" si="136"/>
        <v>43788</v>
      </c>
      <c r="AC337" s="426">
        <f>IF(OR(t&lt;Tnet,NoTnet),'2018'!Resal_s+('2018'!Salim-'2018'!Resal_s)*(1-EXP(('2018'!Tnet_s-t)/'2018'!Tau_j)),Resal_s+(Salim-Resal_s)*(1-EXP((Tnet_s-t)/Tau_j)))*Salcycl</f>
        <v>2.7114378308194832E-2</v>
      </c>
      <c r="AD337" s="231">
        <f>(INDEX(Models!$BJ337:$BT337,,AH337)*(1-AF337)+INDEX(Models!$BJ337:$BT337,,AH337+1)*AF337-ERP_i)*AE337*Ramure*Pc/MaxiM</f>
        <v>9.4348149718915514E-5</v>
      </c>
      <c r="AE337" s="305">
        <f t="shared" si="137"/>
        <v>0.5</v>
      </c>
      <c r="AF337" s="177">
        <f t="shared" si="138"/>
        <v>0.99691239898738693</v>
      </c>
      <c r="AG337" s="176">
        <f t="shared" si="139"/>
        <v>-2</v>
      </c>
      <c r="AH337" s="176">
        <f t="shared" si="140"/>
        <v>4</v>
      </c>
      <c r="AI337" s="225">
        <f t="shared" si="141"/>
        <v>-1.0030876010126131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7">
        <v>28.952000000000002</v>
      </c>
      <c r="C338" s="390"/>
      <c r="D338" s="393">
        <f t="shared" si="123"/>
        <v>29.290047237756212</v>
      </c>
      <c r="E338" s="385">
        <f t="shared" si="121"/>
        <v>30.107128471512144</v>
      </c>
      <c r="F338" s="385">
        <f t="shared" si="124"/>
        <v>30.110087627610774</v>
      </c>
      <c r="G338" s="110">
        <f t="shared" si="122"/>
        <v>1.039564612027909</v>
      </c>
      <c r="H338" s="414" t="b">
        <f>Wh_hp&gt;='2018'!Maxi_hp</f>
        <v>1</v>
      </c>
      <c r="I338" s="390">
        <f>IF(H338,Wh_hp,'2018'!Maxi_hp)</f>
        <v>30.110087627610774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1.1541368814197539E-2</v>
      </c>
      <c r="M338" s="845"/>
      <c r="N338" s="845"/>
      <c r="O338" s="48">
        <f>IF(t&lt;Tnet,'2018'!Resal+('2018'!Salim-'2018'!Resal)*(1-EXP(('2018'!Tnet-t)/('2018'!Tau_j))),Resal+(Salim-Resal)*(1-EXP((Tnet-t)/(Tau_j))))*Salcycl</f>
        <v>2.7139128679411199E-2</v>
      </c>
      <c r="P338" s="169">
        <f>(INDEX(Models!$BJ338:$BT338,,T338)*(1-R338)+INDEX(Models!$BJ338:$BT338,,T338+1)*R338-ERP_i)*Q338*Ramure*Pc/MaxiM</f>
        <v>9.8277897269090266E-5</v>
      </c>
      <c r="Q338" s="305">
        <f t="shared" si="126"/>
        <v>0.5</v>
      </c>
      <c r="R338" s="177">
        <f t="shared" si="127"/>
        <v>0.99693823349732602</v>
      </c>
      <c r="S338" s="811">
        <f t="shared" si="128"/>
        <v>-2</v>
      </c>
      <c r="T338" s="176">
        <f t="shared" si="129"/>
        <v>4</v>
      </c>
      <c r="U338" s="251">
        <f t="shared" si="130"/>
        <v>-1.003061766502674</v>
      </c>
      <c r="V338" s="383">
        <f t="shared" si="131"/>
        <v>27.85012077654557</v>
      </c>
      <c r="W338" s="58"/>
      <c r="X338" s="157">
        <f t="shared" si="132"/>
        <v>43789</v>
      </c>
      <c r="Y338" s="385">
        <f t="shared" si="133"/>
        <v>28.952000000000002</v>
      </c>
      <c r="Z338" s="385">
        <f t="shared" si="134"/>
        <v>29.290047237756212</v>
      </c>
      <c r="AA338" s="386">
        <f t="shared" si="135"/>
        <v>30.107128471512144</v>
      </c>
      <c r="AB338" s="197">
        <f t="shared" si="136"/>
        <v>43789</v>
      </c>
      <c r="AC338" s="426">
        <f>IF(OR(t&lt;Tnet,NoTnet),'2018'!Resal_s+('2018'!Salim-'2018'!Resal_s)*(1-EXP(('2018'!Tnet_s-t)/'2018'!Tau_j)),Resal_s+(Salim-Resal_s)*(1-EXP((Tnet_s-t)/Tau_j)))*Salcycl</f>
        <v>2.7139128679411199E-2</v>
      </c>
      <c r="AD338" s="231">
        <f>(INDEX(Models!$BJ338:$BT338,,AH338)*(1-AF338)+INDEX(Models!$BJ338:$BT338,,AH338+1)*AF338-ERP_i)*AE338*Ramure*Pc/MaxiM</f>
        <v>9.8277897269090266E-5</v>
      </c>
      <c r="AE338" s="305">
        <f t="shared" si="137"/>
        <v>0.5</v>
      </c>
      <c r="AF338" s="177">
        <f t="shared" si="138"/>
        <v>0.99693823349732602</v>
      </c>
      <c r="AG338" s="176">
        <f t="shared" si="139"/>
        <v>-2</v>
      </c>
      <c r="AH338" s="176">
        <f t="shared" si="140"/>
        <v>4</v>
      </c>
      <c r="AI338" s="225">
        <f t="shared" si="141"/>
        <v>-1.003061766502674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7">
        <v>27.963999999999999</v>
      </c>
      <c r="C339" s="390"/>
      <c r="D339" s="393">
        <f t="shared" si="123"/>
        <v>28.291130872351502</v>
      </c>
      <c r="E339" s="385">
        <f t="shared" si="121"/>
        <v>29.081096768338192</v>
      </c>
      <c r="F339" s="385">
        <f t="shared" si="124"/>
        <v>29.084066217541494</v>
      </c>
      <c r="G339" s="110">
        <f t="shared" si="122"/>
        <v>1.012525881451604</v>
      </c>
      <c r="H339" s="414" t="b">
        <f>Wh_hp&gt;='2018'!Maxi_hp</f>
        <v>1</v>
      </c>
      <c r="I339" s="390">
        <f>IF(H339,Wh_hp,'2018'!Maxi_hp)</f>
        <v>29.084066217541494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1.1563018595032615E-2</v>
      </c>
      <c r="M339" s="845"/>
      <c r="N339" s="845"/>
      <c r="O339" s="48">
        <f>IF(t&lt;Tnet,'2018'!Resal+('2018'!Salim-'2018'!Resal)*(1-EXP(('2018'!Tnet-t)/('2018'!Tau_j))),Resal+(Salim-Resal)*(1-EXP((Tnet-t)/(Tau_j))))*Salcycl</f>
        <v>2.7164240134394169E-2</v>
      </c>
      <c r="P339" s="169">
        <f>(INDEX(Models!$BJ339:$BT339,,T339)*(1-R339)+INDEX(Models!$BJ339:$BT339,,T339+1)*R339-ERP_i)*Q339*Ramure*Pc/MaxiM</f>
        <v>1.0209883243589582E-4</v>
      </c>
      <c r="Q339" s="305">
        <f t="shared" si="126"/>
        <v>0.5</v>
      </c>
      <c r="R339" s="177">
        <f t="shared" si="127"/>
        <v>0.99696303034451117</v>
      </c>
      <c r="S339" s="811">
        <f t="shared" si="128"/>
        <v>-2</v>
      </c>
      <c r="T339" s="176">
        <f t="shared" si="129"/>
        <v>4</v>
      </c>
      <c r="U339" s="251">
        <f t="shared" si="130"/>
        <v>-1.0030369696554888</v>
      </c>
      <c r="V339" s="383">
        <f t="shared" si="131"/>
        <v>27.618059461264849</v>
      </c>
      <c r="W339" s="58"/>
      <c r="X339" s="157">
        <f t="shared" si="132"/>
        <v>43790</v>
      </c>
      <c r="Y339" s="385">
        <f t="shared" si="133"/>
        <v>27.963999999999999</v>
      </c>
      <c r="Z339" s="385">
        <f t="shared" si="134"/>
        <v>28.291130872351502</v>
      </c>
      <c r="AA339" s="386">
        <f t="shared" si="135"/>
        <v>29.081096768338192</v>
      </c>
      <c r="AB339" s="197">
        <f t="shared" si="136"/>
        <v>43790</v>
      </c>
      <c r="AC339" s="426">
        <f>IF(OR(t&lt;Tnet,NoTnet),'2018'!Resal_s+('2018'!Salim-'2018'!Resal_s)*(1-EXP(('2018'!Tnet_s-t)/'2018'!Tau_j)),Resal_s+(Salim-Resal_s)*(1-EXP((Tnet_s-t)/Tau_j)))*Salcycl</f>
        <v>2.7164240134394169E-2</v>
      </c>
      <c r="AD339" s="231">
        <f>(INDEX(Models!$BJ339:$BT339,,AH339)*(1-AF339)+INDEX(Models!$BJ339:$BT339,,AH339+1)*AF339-ERP_i)*AE339*Ramure*Pc/MaxiM</f>
        <v>1.0209883243589582E-4</v>
      </c>
      <c r="AE339" s="305">
        <f t="shared" si="137"/>
        <v>0.5</v>
      </c>
      <c r="AF339" s="177">
        <f t="shared" si="138"/>
        <v>0.99696303034451117</v>
      </c>
      <c r="AG339" s="176">
        <f t="shared" si="139"/>
        <v>-2</v>
      </c>
      <c r="AH339" s="176">
        <f t="shared" si="140"/>
        <v>4</v>
      </c>
      <c r="AI339" s="225">
        <f t="shared" si="141"/>
        <v>-1.0030369696554888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7">
        <v>13.58</v>
      </c>
      <c r="C340" s="390"/>
      <c r="D340" s="393">
        <f t="shared" si="123"/>
        <v>13.739163648110221</v>
      </c>
      <c r="E340" s="385">
        <f t="shared" si="121"/>
        <v>14.123168748600827</v>
      </c>
      <c r="F340" s="385">
        <f t="shared" si="124"/>
        <v>14.123586752420561</v>
      </c>
      <c r="G340" s="110">
        <f t="shared" si="122"/>
        <v>0.4957578921807641</v>
      </c>
      <c r="H340" s="414" t="b">
        <f>Wh_hp&gt;='2018'!Maxi_hp</f>
        <v>0</v>
      </c>
      <c r="I340" s="390">
        <f>IF(H340,Wh_hp,'2018'!Maxi_hp)</f>
        <v>20.564505083857451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1.1584667901682111E-2</v>
      </c>
      <c r="M340" s="845"/>
      <c r="N340" s="845"/>
      <c r="O340" s="48">
        <f>IF(t&lt;Tnet,'2018'!Resal+('2018'!Salim-'2018'!Resal)*(1-EXP(('2018'!Tnet-t)/('2018'!Tau_j))),Resal+(Salim-Resal)*(1-EXP((Tnet-t)/(Tau_j))))*Salcycl</f>
        <v>2.7189726847146087E-2</v>
      </c>
      <c r="P340" s="169">
        <f>(INDEX(Models!$BJ340:$BT340,,T340)*(1-R340)+INDEX(Models!$BJ340:$BT340,,T340+1)*R340-ERP_i)*Q340*Ramure*Pc/MaxiM</f>
        <v>1.058108450029834E-4</v>
      </c>
      <c r="Q340" s="305">
        <f t="shared" si="126"/>
        <v>0.5</v>
      </c>
      <c r="R340" s="177">
        <f t="shared" si="127"/>
        <v>0.99698683111057962</v>
      </c>
      <c r="S340" s="811">
        <f t="shared" si="128"/>
        <v>-2</v>
      </c>
      <c r="T340" s="176">
        <f t="shared" si="129"/>
        <v>4</v>
      </c>
      <c r="U340" s="251">
        <f t="shared" si="130"/>
        <v>-1.0030131688894204</v>
      </c>
      <c r="V340" s="383">
        <f t="shared" si="131"/>
        <v>27.390315288988862</v>
      </c>
      <c r="W340" s="58"/>
      <c r="X340" s="157">
        <f t="shared" si="132"/>
        <v>43791</v>
      </c>
      <c r="Y340" s="385">
        <f t="shared" si="133"/>
        <v>13.58</v>
      </c>
      <c r="Z340" s="385">
        <f t="shared" si="134"/>
        <v>13.739163648110221</v>
      </c>
      <c r="AA340" s="386">
        <f t="shared" si="135"/>
        <v>14.123168748600827</v>
      </c>
      <c r="AB340" s="197">
        <f t="shared" si="136"/>
        <v>43791</v>
      </c>
      <c r="AC340" s="426">
        <f>IF(OR(t&lt;Tnet,NoTnet),'2018'!Resal_s+('2018'!Salim-'2018'!Resal_s)*(1-EXP(('2018'!Tnet_s-t)/'2018'!Tau_j)),Resal_s+(Salim-Resal_s)*(1-EXP((Tnet_s-t)/Tau_j)))*Salcycl</f>
        <v>2.7189726847146087E-2</v>
      </c>
      <c r="AD340" s="231">
        <f>(INDEX(Models!$BJ340:$BT340,,AH340)*(1-AF340)+INDEX(Models!$BJ340:$BT340,,AH340+1)*AF340-ERP_i)*AE340*Ramure*Pc/MaxiM</f>
        <v>1.058108450029834E-4</v>
      </c>
      <c r="AE340" s="305">
        <f t="shared" si="137"/>
        <v>0.5</v>
      </c>
      <c r="AF340" s="177">
        <f t="shared" si="138"/>
        <v>0.99698683111057962</v>
      </c>
      <c r="AG340" s="176">
        <f t="shared" si="139"/>
        <v>-2</v>
      </c>
      <c r="AH340" s="176">
        <f t="shared" si="140"/>
        <v>4</v>
      </c>
      <c r="AI340" s="225">
        <f t="shared" si="141"/>
        <v>-1.0030131688894204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7">
        <v>8.07</v>
      </c>
      <c r="C341" s="390"/>
      <c r="D341" s="393">
        <f t="shared" si="123"/>
        <v>8.1647628233874983</v>
      </c>
      <c r="E341" s="385">
        <f t="shared" si="121"/>
        <v>8.3931884955738294</v>
      </c>
      <c r="F341" s="385">
        <f t="shared" si="124"/>
        <v>8.3931884955738294</v>
      </c>
      <c r="G341" s="110">
        <f t="shared" si="122"/>
        <v>0.29701917063047134</v>
      </c>
      <c r="H341" s="414" t="b">
        <f>Wh_hp&gt;='2018'!Maxi_hp</f>
        <v>0</v>
      </c>
      <c r="I341" s="390">
        <f>IF(H341,Wh_hp,'2018'!Maxi_hp)</f>
        <v>12.357183585206181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1.160631673415613E-2</v>
      </c>
      <c r="M341" s="845"/>
      <c r="N341" s="845"/>
      <c r="O341" s="48">
        <f>IF(t&lt;Tnet,'2018'!Resal+('2018'!Salim-'2018'!Resal)*(1-EXP(('2018'!Tnet-t)/('2018'!Tau_j))),Resal+(Salim-Resal)*(1-EXP((Tnet-t)/(Tau_j))))*Salcycl</f>
        <v>2.72156013542162E-2</v>
      </c>
      <c r="P341" s="169">
        <f>(INDEX(Models!$BJ341:$BT341,,T341)*(1-R341)+INDEX(Models!$BJ341:$BT341,,T341+1)*R341-ERP_i)*Q341*Ramure*Pc/MaxiM</f>
        <v>1.094130363827998E-4</v>
      </c>
      <c r="Q341" s="305">
        <f t="shared" si="126"/>
        <v>0.5</v>
      </c>
      <c r="R341" s="177">
        <f t="shared" si="127"/>
        <v>0.99700967571852939</v>
      </c>
      <c r="S341" s="811">
        <f t="shared" si="128"/>
        <v>-2</v>
      </c>
      <c r="T341" s="176">
        <f t="shared" si="129"/>
        <v>4</v>
      </c>
      <c r="U341" s="251">
        <f t="shared" si="130"/>
        <v>-1.0029903242814706</v>
      </c>
      <c r="V341" s="383">
        <f t="shared" si="131"/>
        <v>27.166990668206306</v>
      </c>
      <c r="W341" s="58"/>
      <c r="X341" s="157">
        <f t="shared" si="132"/>
        <v>43792</v>
      </c>
      <c r="Y341" s="385">
        <f t="shared" si="133"/>
        <v>8.07</v>
      </c>
      <c r="Z341" s="385">
        <f t="shared" si="134"/>
        <v>8.1647628233874983</v>
      </c>
      <c r="AA341" s="386">
        <f t="shared" si="135"/>
        <v>8.3931884955738294</v>
      </c>
      <c r="AB341" s="197">
        <f t="shared" si="136"/>
        <v>43792</v>
      </c>
      <c r="AC341" s="426">
        <f>IF(OR(t&lt;Tnet,NoTnet),'2018'!Resal_s+('2018'!Salim-'2018'!Resal_s)*(1-EXP(('2018'!Tnet_s-t)/'2018'!Tau_j)),Resal_s+(Salim-Resal_s)*(1-EXP((Tnet_s-t)/Tau_j)))*Salcycl</f>
        <v>2.72156013542162E-2</v>
      </c>
      <c r="AD341" s="231">
        <f>(INDEX(Models!$BJ341:$BT341,,AH341)*(1-AF341)+INDEX(Models!$BJ341:$BT341,,AH341+1)*AF341-ERP_i)*AE341*Ramure*Pc/MaxiM</f>
        <v>1.094130363827998E-4</v>
      </c>
      <c r="AE341" s="305">
        <f t="shared" si="137"/>
        <v>0.5</v>
      </c>
      <c r="AF341" s="177">
        <f t="shared" si="138"/>
        <v>0.99700967571852939</v>
      </c>
      <c r="AG341" s="176">
        <f t="shared" si="139"/>
        <v>-2</v>
      </c>
      <c r="AH341" s="176">
        <f t="shared" si="140"/>
        <v>4</v>
      </c>
      <c r="AI341" s="225">
        <f t="shared" si="141"/>
        <v>-1.0029903242814706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7">
        <v>14.877000000000001</v>
      </c>
      <c r="C342" s="390"/>
      <c r="D342" s="393">
        <f t="shared" si="123"/>
        <v>15.0520244144623</v>
      </c>
      <c r="E342" s="385">
        <f t="shared" si="121"/>
        <v>15.473553003716958</v>
      </c>
      <c r="F342" s="385">
        <f t="shared" si="124"/>
        <v>15.474182111104609</v>
      </c>
      <c r="G342" s="110">
        <f t="shared" si="122"/>
        <v>0.55201949330116096</v>
      </c>
      <c r="H342" s="414" t="b">
        <f>Wh_hp&gt;='2018'!Maxi_hp</f>
        <v>0</v>
      </c>
      <c r="I342" s="390">
        <f>IF(H342,Wh_hp,'2018'!Maxi_hp)</f>
        <v>22.200171246280917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1.1627965092465109E-2</v>
      </c>
      <c r="M342" s="845"/>
      <c r="N342" s="845"/>
      <c r="O342" s="48">
        <f>IF(t&lt;Tnet,'2018'!Resal+('2018'!Salim-'2018'!Resal)*(1-EXP(('2018'!Tnet-t)/('2018'!Tau_j))),Resal+(Salim-Resal)*(1-EXP((Tnet-t)/(Tau_j))))*Salcycl</f>
        <v>2.7241874516693087E-2</v>
      </c>
      <c r="P342" s="169">
        <f>(INDEX(Models!$BJ342:$BT342,,T342)*(1-R342)+INDEX(Models!$BJ342:$BT342,,T342+1)*R342-ERP_i)*Q342*Ramure*Pc/MaxiM</f>
        <v>1.1290476113556602E-4</v>
      </c>
      <c r="Q342" s="305">
        <f t="shared" si="126"/>
        <v>0.5</v>
      </c>
      <c r="R342" s="177">
        <f t="shared" si="127"/>
        <v>0.99703160249827749</v>
      </c>
      <c r="S342" s="811">
        <f t="shared" si="128"/>
        <v>-2</v>
      </c>
      <c r="T342" s="176">
        <f t="shared" si="129"/>
        <v>4</v>
      </c>
      <c r="U342" s="251">
        <f t="shared" si="130"/>
        <v>-1.0029683975017225</v>
      </c>
      <c r="V342" s="383">
        <f t="shared" si="131"/>
        <v>26.948188028619544</v>
      </c>
      <c r="W342" s="58"/>
      <c r="X342" s="157">
        <f t="shared" si="132"/>
        <v>43793</v>
      </c>
      <c r="Y342" s="385">
        <f t="shared" si="133"/>
        <v>14.877000000000001</v>
      </c>
      <c r="Z342" s="385">
        <f t="shared" si="134"/>
        <v>15.0520244144623</v>
      </c>
      <c r="AA342" s="386">
        <f t="shared" si="135"/>
        <v>15.473553003716958</v>
      </c>
      <c r="AB342" s="197">
        <f t="shared" si="136"/>
        <v>43793</v>
      </c>
      <c r="AC342" s="426">
        <f>IF(OR(t&lt;Tnet,NoTnet),'2018'!Resal_s+('2018'!Salim-'2018'!Resal_s)*(1-EXP(('2018'!Tnet_s-t)/'2018'!Tau_j)),Resal_s+(Salim-Resal_s)*(1-EXP((Tnet_s-t)/Tau_j)))*Salcycl</f>
        <v>2.7241874516693087E-2</v>
      </c>
      <c r="AD342" s="231">
        <f>(INDEX(Models!$BJ342:$BT342,,AH342)*(1-AF342)+INDEX(Models!$BJ342:$BT342,,AH342+1)*AF342-ERP_i)*AE342*Ramure*Pc/MaxiM</f>
        <v>1.1290476113556602E-4</v>
      </c>
      <c r="AE342" s="305">
        <f t="shared" si="137"/>
        <v>0.5</v>
      </c>
      <c r="AF342" s="177">
        <f t="shared" si="138"/>
        <v>0.99703160249827749</v>
      </c>
      <c r="AG342" s="176">
        <f t="shared" si="139"/>
        <v>-2</v>
      </c>
      <c r="AH342" s="176">
        <f t="shared" si="140"/>
        <v>4</v>
      </c>
      <c r="AI342" s="225">
        <f t="shared" si="141"/>
        <v>-1.0029683975017225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7">
        <v>12.308</v>
      </c>
      <c r="C343" s="390"/>
      <c r="D343" s="393">
        <f t="shared" si="123"/>
        <v>12.453073486486977</v>
      </c>
      <c r="E343" s="385">
        <f t="shared" si="121"/>
        <v>12.802170174312382</v>
      </c>
      <c r="F343" s="385">
        <f t="shared" si="124"/>
        <v>12.802511283898632</v>
      </c>
      <c r="G343" s="110">
        <f t="shared" si="122"/>
        <v>0.46034608140323635</v>
      </c>
      <c r="H343" s="414" t="b">
        <f>Wh_hp&gt;='2018'!Maxi_hp</f>
        <v>0</v>
      </c>
      <c r="I343" s="390">
        <f>IF(H343,Wh_hp,'2018'!Maxi_hp)</f>
        <v>13.759431619908595</v>
      </c>
      <c r="J343" s="85">
        <f>IF(H343,An,'2018'!An_max)</f>
        <v>2018</v>
      </c>
      <c r="K343" s="197">
        <f t="shared" si="125"/>
        <v>43794</v>
      </c>
      <c r="L343" s="147">
        <f>IF(t&lt;Tvie,1-EXP((T0-t)*PertePVj)+'2018'!Pspv,1-EXP((T0-t)*PertePVj)+Pspv)</f>
        <v>1.1649612976619594E-2</v>
      </c>
      <c r="M343" s="845"/>
      <c r="N343" s="845"/>
      <c r="O343" s="48">
        <f>IF(t&lt;Tnet,'2018'!Resal+('2018'!Salim-'2018'!Resal)*(1-EXP(('2018'!Tnet-t)/('2018'!Tau_j))),Resal+(Salim-Resal)*(1-EXP((Tnet-t)/(Tau_j))))*Salcycl</f>
        <v>2.7268555492713981E-2</v>
      </c>
      <c r="P343" s="169">
        <f>(INDEX(Models!$BJ343:$BT343,,T343)*(1-R343)+INDEX(Models!$BJ343:$BT343,,T343+1)*R343-ERP_i)*Q343*Ramure*Pc/MaxiM</f>
        <v>1.1628579835061701E-4</v>
      </c>
      <c r="Q343" s="305">
        <f t="shared" si="126"/>
        <v>0.5</v>
      </c>
      <c r="R343" s="177">
        <f t="shared" si="127"/>
        <v>0.99705264824967488</v>
      </c>
      <c r="S343" s="811">
        <f t="shared" si="128"/>
        <v>-2</v>
      </c>
      <c r="T343" s="176">
        <f t="shared" si="129"/>
        <v>4</v>
      </c>
      <c r="U343" s="251">
        <f t="shared" si="130"/>
        <v>-1.0029473517503251</v>
      </c>
      <c r="V343" s="383">
        <f t="shared" si="131"/>
        <v>26.734009815680949</v>
      </c>
      <c r="W343" s="58"/>
      <c r="X343" s="157">
        <f t="shared" si="132"/>
        <v>43794</v>
      </c>
      <c r="Y343" s="385">
        <f t="shared" si="133"/>
        <v>12.308</v>
      </c>
      <c r="Z343" s="385">
        <f t="shared" si="134"/>
        <v>12.453073486486977</v>
      </c>
      <c r="AA343" s="386">
        <f t="shared" si="135"/>
        <v>12.802170174312382</v>
      </c>
      <c r="AB343" s="197">
        <f t="shared" si="136"/>
        <v>43794</v>
      </c>
      <c r="AC343" s="426">
        <f>IF(OR(t&lt;Tnet,NoTnet),'2018'!Resal_s+('2018'!Salim-'2018'!Resal_s)*(1-EXP(('2018'!Tnet_s-t)/'2018'!Tau_j)),Resal_s+(Salim-Resal_s)*(1-EXP((Tnet_s-t)/Tau_j)))*Salcycl</f>
        <v>2.7268555492713981E-2</v>
      </c>
      <c r="AD343" s="231">
        <f>(INDEX(Models!$BJ343:$BT343,,AH343)*(1-AF343)+INDEX(Models!$BJ343:$BT343,,AH343+1)*AF343-ERP_i)*AE343*Ramure*Pc/MaxiM</f>
        <v>1.1628579835061701E-4</v>
      </c>
      <c r="AE343" s="305">
        <f t="shared" si="137"/>
        <v>0.5</v>
      </c>
      <c r="AF343" s="177">
        <f t="shared" si="138"/>
        <v>0.99705264824967488</v>
      </c>
      <c r="AG343" s="176">
        <f t="shared" si="139"/>
        <v>-2</v>
      </c>
      <c r="AH343" s="176">
        <f t="shared" si="140"/>
        <v>4</v>
      </c>
      <c r="AI343" s="225">
        <f t="shared" si="141"/>
        <v>-1.0029473517503251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7">
        <v>19.038</v>
      </c>
      <c r="C344" s="390"/>
      <c r="D344" s="393">
        <f t="shared" si="123"/>
        <v>19.262821404391804</v>
      </c>
      <c r="E344" s="385">
        <f t="shared" si="121"/>
        <v>19.803367218894618</v>
      </c>
      <c r="F344" s="385">
        <f t="shared" si="124"/>
        <v>19.804780273833451</v>
      </c>
      <c r="G344" s="110">
        <f t="shared" si="122"/>
        <v>0.71771532688677075</v>
      </c>
      <c r="H344" s="414" t="b">
        <f>Wh_hp&gt;='2018'!Maxi_hp</f>
        <v>1</v>
      </c>
      <c r="I344" s="390">
        <f>IF(H344,Wh_hp,'2018'!Maxi_hp)</f>
        <v>19.804780273833451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1.16712603866298E-2</v>
      </c>
      <c r="M344" s="845"/>
      <c r="N344" s="845"/>
      <c r="O344" s="48">
        <f>IF(t&lt;Tnet,'2018'!Resal+('2018'!Salim-'2018'!Resal)*(1-EXP(('2018'!Tnet-t)/('2018'!Tau_j))),Resal+(Salim-Resal)*(1-EXP((Tnet-t)/(Tau_j))))*Salcycl</f>
        <v>2.7295651720636301E-2</v>
      </c>
      <c r="P344" s="169">
        <f>(INDEX(Models!$BJ344:$BT344,,T344)*(1-R344)+INDEX(Models!$BJ344:$BT344,,T344+1)*R344-ERP_i)*Q344*Ramure*Pc/MaxiM</f>
        <v>1.1955580649753537E-4</v>
      </c>
      <c r="Q344" s="305">
        <f t="shared" si="126"/>
        <v>0.5</v>
      </c>
      <c r="R344" s="177">
        <f t="shared" si="127"/>
        <v>0.99707284830307308</v>
      </c>
      <c r="S344" s="811">
        <f t="shared" si="128"/>
        <v>-2</v>
      </c>
      <c r="T344" s="176">
        <f t="shared" si="129"/>
        <v>4</v>
      </c>
      <c r="U344" s="251">
        <f t="shared" si="130"/>
        <v>-1.0029271516969269</v>
      </c>
      <c r="V344" s="383">
        <f t="shared" si="131"/>
        <v>26.524558503491825</v>
      </c>
      <c r="W344" s="58"/>
      <c r="X344" s="157">
        <f t="shared" si="132"/>
        <v>43795</v>
      </c>
      <c r="Y344" s="385">
        <f t="shared" si="133"/>
        <v>19.038</v>
      </c>
      <c r="Z344" s="385">
        <f t="shared" si="134"/>
        <v>19.262821404391804</v>
      </c>
      <c r="AA344" s="386">
        <f t="shared" si="135"/>
        <v>19.803367218894618</v>
      </c>
      <c r="AB344" s="197">
        <f t="shared" si="136"/>
        <v>43795</v>
      </c>
      <c r="AC344" s="426">
        <f>IF(OR(t&lt;Tnet,NoTnet),'2018'!Resal_s+('2018'!Salim-'2018'!Resal_s)*(1-EXP(('2018'!Tnet_s-t)/'2018'!Tau_j)),Resal_s+(Salim-Resal_s)*(1-EXP((Tnet_s-t)/Tau_j)))*Salcycl</f>
        <v>2.7295651720636301E-2</v>
      </c>
      <c r="AD344" s="231">
        <f>(INDEX(Models!$BJ344:$BT344,,AH344)*(1-AF344)+INDEX(Models!$BJ344:$BT344,,AH344+1)*AF344-ERP_i)*AE344*Ramure*Pc/MaxiM</f>
        <v>1.1955580649753537E-4</v>
      </c>
      <c r="AE344" s="305">
        <f t="shared" si="137"/>
        <v>0.5</v>
      </c>
      <c r="AF344" s="177">
        <f t="shared" si="138"/>
        <v>0.99707284830307308</v>
      </c>
      <c r="AG344" s="176">
        <f t="shared" si="139"/>
        <v>-2</v>
      </c>
      <c r="AH344" s="176">
        <f t="shared" si="140"/>
        <v>4</v>
      </c>
      <c r="AI344" s="225">
        <f t="shared" si="141"/>
        <v>-1.0029271516969269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7">
        <v>19.78</v>
      </c>
      <c r="C345" s="390"/>
      <c r="D345" s="393">
        <f t="shared" si="123"/>
        <v>20.014022105631742</v>
      </c>
      <c r="E345" s="385">
        <f t="shared" si="121"/>
        <v>20.57622991108359</v>
      </c>
      <c r="F345" s="385">
        <f t="shared" si="124"/>
        <v>20.577859300230649</v>
      </c>
      <c r="G345" s="110">
        <f t="shared" si="122"/>
        <v>0.75158560212311876</v>
      </c>
      <c r="H345" s="414" t="b">
        <f>Wh_hp&gt;='2018'!Maxi_hp</f>
        <v>0</v>
      </c>
      <c r="I345" s="390">
        <f>IF(H345,Wh_hp,'2018'!Maxi_hp)</f>
        <v>25.130362962848679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1.1692907322506163E-2</v>
      </c>
      <c r="M345" s="845"/>
      <c r="N345" s="845"/>
      <c r="O345" s="48">
        <f>IF(t&lt;Tnet,'2018'!Resal+('2018'!Salim-'2018'!Resal)*(1-EXP(('2018'!Tnet-t)/('2018'!Tau_j))),Resal+(Salim-Resal)*(1-EXP((Tnet-t)/(Tau_j))))*Salcycl</f>
        <v>2.7323168912931399E-2</v>
      </c>
      <c r="P345" s="169">
        <f>(INDEX(Models!$BJ345:$BT345,,T345)*(1-R345)+INDEX(Models!$BJ345:$BT345,,T345+1)*R345-ERP_i)*Q345*Ramure*Pc/MaxiM</f>
        <v>1.2273010311076416E-4</v>
      </c>
      <c r="Q345" s="305">
        <f t="shared" si="126"/>
        <v>0.5</v>
      </c>
      <c r="R345" s="177">
        <f t="shared" si="127"/>
        <v>0.99709223657753365</v>
      </c>
      <c r="S345" s="811">
        <f t="shared" si="128"/>
        <v>-2</v>
      </c>
      <c r="T345" s="176">
        <f t="shared" si="129"/>
        <v>4</v>
      </c>
      <c r="U345" s="251">
        <f t="shared" si="130"/>
        <v>-1.0029077634224663</v>
      </c>
      <c r="V345" s="383">
        <f t="shared" si="131"/>
        <v>26.316547959135402</v>
      </c>
      <c r="W345" s="58"/>
      <c r="X345" s="157">
        <f t="shared" si="132"/>
        <v>43796</v>
      </c>
      <c r="Y345" s="385">
        <f t="shared" si="133"/>
        <v>19.78</v>
      </c>
      <c r="Z345" s="385">
        <f t="shared" si="134"/>
        <v>20.014022105631742</v>
      </c>
      <c r="AA345" s="386">
        <f t="shared" si="135"/>
        <v>20.57622991108359</v>
      </c>
      <c r="AB345" s="197">
        <f t="shared" si="136"/>
        <v>43796</v>
      </c>
      <c r="AC345" s="426">
        <f>IF(OR(t&lt;Tnet,NoTnet),'2018'!Resal_s+('2018'!Salim-'2018'!Resal_s)*(1-EXP(('2018'!Tnet_s-t)/'2018'!Tau_j)),Resal_s+(Salim-Resal_s)*(1-EXP((Tnet_s-t)/Tau_j)))*Salcycl</f>
        <v>2.7323168912931399E-2</v>
      </c>
      <c r="AD345" s="231">
        <f>(INDEX(Models!$BJ345:$BT345,,AH345)*(1-AF345)+INDEX(Models!$BJ345:$BT345,,AH345+1)*AF345-ERP_i)*AE345*Ramure*Pc/MaxiM</f>
        <v>1.2273010311076416E-4</v>
      </c>
      <c r="AE345" s="305">
        <f t="shared" si="137"/>
        <v>0.5</v>
      </c>
      <c r="AF345" s="177">
        <f t="shared" si="138"/>
        <v>0.99709223657753365</v>
      </c>
      <c r="AG345" s="176">
        <f t="shared" si="139"/>
        <v>-2</v>
      </c>
      <c r="AH345" s="176">
        <f t="shared" si="140"/>
        <v>4</v>
      </c>
      <c r="AI345" s="225">
        <f t="shared" si="141"/>
        <v>-1.0029077634224663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7">
        <v>11.275</v>
      </c>
      <c r="C346" s="390"/>
      <c r="D346" s="393">
        <f t="shared" si="123"/>
        <v>11.408647211363151</v>
      </c>
      <c r="E346" s="385">
        <f t="shared" si="121"/>
        <v>11.729461001909414</v>
      </c>
      <c r="F346" s="385">
        <f t="shared" si="124"/>
        <v>11.729738656575828</v>
      </c>
      <c r="G346" s="110">
        <f t="shared" si="122"/>
        <v>0.4318226784827004</v>
      </c>
      <c r="H346" s="414" t="b">
        <f>Wh_hp&gt;='2018'!Maxi_hp</f>
        <v>0</v>
      </c>
      <c r="I346" s="390">
        <f>IF(H346,Wh_hp,'2018'!Maxi_hp)</f>
        <v>18.630206084198146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1.1714553784259119E-2</v>
      </c>
      <c r="M346" s="845"/>
      <c r="N346" s="845"/>
      <c r="O346" s="48">
        <f>IF(t&lt;Tnet,'2018'!Resal+('2018'!Salim-'2018'!Resal)*(1-EXP(('2018'!Tnet-t)/('2018'!Tau_j))),Resal+(Salim-Resal)*(1-EXP((Tnet-t)/(Tau_j))))*Salcycl</f>
        <v>2.7351111060775719E-2</v>
      </c>
      <c r="P346" s="169">
        <f>(INDEX(Models!$BJ346:$BT346,,T346)*(1-R346)+INDEX(Models!$BJ346:$BT346,,T346+1)*R346-ERP_i)*Q346*Ramure*Pc/MaxiM</f>
        <v>1.2565491109798468E-4</v>
      </c>
      <c r="Q346" s="305">
        <f t="shared" si="126"/>
        <v>0.5</v>
      </c>
      <c r="R346" s="177">
        <f t="shared" si="127"/>
        <v>0.99711084563676833</v>
      </c>
      <c r="S346" s="811">
        <f t="shared" si="128"/>
        <v>-2</v>
      </c>
      <c r="T346" s="176">
        <f t="shared" si="129"/>
        <v>4</v>
      </c>
      <c r="U346" s="251">
        <f t="shared" si="130"/>
        <v>-1.0028891543632317</v>
      </c>
      <c r="V346" s="383">
        <f t="shared" si="131"/>
        <v>26.10759153228825</v>
      </c>
      <c r="W346" s="58"/>
      <c r="X346" s="157">
        <f t="shared" si="132"/>
        <v>43797</v>
      </c>
      <c r="Y346" s="385">
        <f t="shared" si="133"/>
        <v>11.275</v>
      </c>
      <c r="Z346" s="385">
        <f t="shared" si="134"/>
        <v>11.408647211363151</v>
      </c>
      <c r="AA346" s="386">
        <f t="shared" si="135"/>
        <v>11.729461001909414</v>
      </c>
      <c r="AB346" s="197">
        <f t="shared" si="136"/>
        <v>43797</v>
      </c>
      <c r="AC346" s="426">
        <f>IF(OR(t&lt;Tnet,NoTnet),'2018'!Resal_s+('2018'!Salim-'2018'!Resal_s)*(1-EXP(('2018'!Tnet_s-t)/'2018'!Tau_j)),Resal_s+(Salim-Resal_s)*(1-EXP((Tnet_s-t)/Tau_j)))*Salcycl</f>
        <v>2.7351111060775719E-2</v>
      </c>
      <c r="AD346" s="231">
        <f>(INDEX(Models!$BJ346:$BT346,,AH346)*(1-AF346)+INDEX(Models!$BJ346:$BT346,,AH346+1)*AF346-ERP_i)*AE346*Ramure*Pc/MaxiM</f>
        <v>1.2565491109798468E-4</v>
      </c>
      <c r="AE346" s="305">
        <f t="shared" si="137"/>
        <v>0.5</v>
      </c>
      <c r="AF346" s="177">
        <f t="shared" si="138"/>
        <v>0.99711084563676833</v>
      </c>
      <c r="AG346" s="176">
        <f t="shared" si="139"/>
        <v>-2</v>
      </c>
      <c r="AH346" s="176">
        <f t="shared" si="140"/>
        <v>4</v>
      </c>
      <c r="AI346" s="225">
        <f t="shared" si="141"/>
        <v>-1.0028891543632317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7">
        <v>19.518999999999998</v>
      </c>
      <c r="C347" s="390"/>
      <c r="D347" s="393">
        <f t="shared" si="123"/>
        <v>19.750799326551089</v>
      </c>
      <c r="E347" s="385">
        <f t="shared" si="121"/>
        <v>20.30678864936295</v>
      </c>
      <c r="F347" s="385">
        <f t="shared" si="124"/>
        <v>20.308476597643072</v>
      </c>
      <c r="G347" s="110">
        <f t="shared" si="122"/>
        <v>0.75362046396610771</v>
      </c>
      <c r="H347" s="414" t="b">
        <f>Wh_hp&gt;='2018'!Maxi_hp</f>
        <v>0</v>
      </c>
      <c r="I347" s="390">
        <f>IF(H347,Wh_hp,'2018'!Maxi_hp)</f>
        <v>26.41641779115476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1.1736199771898992E-2</v>
      </c>
      <c r="M347" s="845"/>
      <c r="N347" s="845"/>
      <c r="O347" s="48">
        <f>IF(t&lt;Tnet,'2018'!Resal+('2018'!Salim-'2018'!Resal)*(1-EXP(('2018'!Tnet-t)/('2018'!Tau_j))),Resal+(Salim-Resal)*(1-EXP((Tnet-t)/(Tau_j))))*Salcycl</f>
        <v>2.7379480449229145E-2</v>
      </c>
      <c r="P347" s="169">
        <f>(INDEX(Models!$BJ347:$BT347,,T347)*(1-R347)+INDEX(Models!$BJ347:$BT347,,T347+1)*R347-ERP_i)*Q347*Ramure*Pc/MaxiM</f>
        <v>1.2824918755933236E-4</v>
      </c>
      <c r="Q347" s="305">
        <f t="shared" si="126"/>
        <v>0.5</v>
      </c>
      <c r="R347" s="177">
        <f t="shared" si="127"/>
        <v>0.99712870674289755</v>
      </c>
      <c r="S347" s="811">
        <f t="shared" si="128"/>
        <v>-2</v>
      </c>
      <c r="T347" s="176">
        <f t="shared" si="129"/>
        <v>4</v>
      </c>
      <c r="U347" s="251">
        <f t="shared" si="130"/>
        <v>-1.0028712932571024</v>
      </c>
      <c r="V347" s="383">
        <f t="shared" si="131"/>
        <v>25.899136096616264</v>
      </c>
      <c r="W347" s="58"/>
      <c r="X347" s="157">
        <f t="shared" si="132"/>
        <v>43798</v>
      </c>
      <c r="Y347" s="385">
        <f t="shared" si="133"/>
        <v>19.518999999999998</v>
      </c>
      <c r="Z347" s="385">
        <f t="shared" si="134"/>
        <v>19.750799326551089</v>
      </c>
      <c r="AA347" s="386">
        <f t="shared" si="135"/>
        <v>20.30678864936295</v>
      </c>
      <c r="AB347" s="197">
        <f t="shared" si="136"/>
        <v>43798</v>
      </c>
      <c r="AC347" s="426">
        <f>IF(OR(t&lt;Tnet,NoTnet),'2018'!Resal_s+('2018'!Salim-'2018'!Resal_s)*(1-EXP(('2018'!Tnet_s-t)/'2018'!Tau_j)),Resal_s+(Salim-Resal_s)*(1-EXP((Tnet_s-t)/Tau_j)))*Salcycl</f>
        <v>2.7379480449229145E-2</v>
      </c>
      <c r="AD347" s="231">
        <f>(INDEX(Models!$BJ347:$BT347,,AH347)*(1-AF347)+INDEX(Models!$BJ347:$BT347,,AH347+1)*AF347-ERP_i)*AE347*Ramure*Pc/MaxiM</f>
        <v>1.2824918755933236E-4</v>
      </c>
      <c r="AE347" s="305">
        <f t="shared" si="137"/>
        <v>0.5</v>
      </c>
      <c r="AF347" s="177">
        <f t="shared" si="138"/>
        <v>0.99712870674289755</v>
      </c>
      <c r="AG347" s="176">
        <f t="shared" si="139"/>
        <v>-2</v>
      </c>
      <c r="AH347" s="176">
        <f t="shared" si="140"/>
        <v>4</v>
      </c>
      <c r="AI347" s="225">
        <f t="shared" si="141"/>
        <v>-1.0028712932571024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7">
        <v>11.516</v>
      </c>
      <c r="C348" s="390"/>
      <c r="D348" s="393">
        <f t="shared" si="123"/>
        <v>11.653014339715341</v>
      </c>
      <c r="E348" s="385">
        <f t="shared" si="121"/>
        <v>11.981403987227154</v>
      </c>
      <c r="F348" s="385">
        <f t="shared" si="124"/>
        <v>11.981735087822628</v>
      </c>
      <c r="G348" s="110">
        <f t="shared" si="122"/>
        <v>0.44817587589928071</v>
      </c>
      <c r="H348" s="414" t="b">
        <f>Wh_hp&gt;='2018'!Maxi_hp</f>
        <v>1</v>
      </c>
      <c r="I348" s="390">
        <f>IF(H348,Wh_hp,'2018'!Maxi_hp)</f>
        <v>11.981735087822628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1.1757845285436108E-2</v>
      </c>
      <c r="M348" s="845"/>
      <c r="N348" s="845"/>
      <c r="O348" s="48">
        <f>IF(t&lt;Tnet,'2018'!Resal+('2018'!Salim-'2018'!Resal)*(1-EXP(('2018'!Tnet-t)/('2018'!Tau_j))),Resal+(Salim-Resal)*(1-EXP((Tnet-t)/(Tau_j))))*Salcycl</f>
        <v>2.7408277682806931E-2</v>
      </c>
      <c r="P348" s="169">
        <f>(INDEX(Models!$BJ348:$BT348,,T348)*(1-R348)+INDEX(Models!$BJ348:$BT348,,T348+1)*R348-ERP_i)*Q348*Ramure*Pc/MaxiM</f>
        <v>1.3050455202923483E-4</v>
      </c>
      <c r="Q348" s="305">
        <f t="shared" si="126"/>
        <v>0.5</v>
      </c>
      <c r="R348" s="177">
        <f t="shared" si="127"/>
        <v>0.99714584990810673</v>
      </c>
      <c r="S348" s="811">
        <f t="shared" si="128"/>
        <v>-2</v>
      </c>
      <c r="T348" s="176">
        <f t="shared" si="129"/>
        <v>4</v>
      </c>
      <c r="U348" s="251">
        <f t="shared" si="130"/>
        <v>-1.0028541500918933</v>
      </c>
      <c r="V348" s="383">
        <f t="shared" si="131"/>
        <v>25.692626325128131</v>
      </c>
      <c r="W348" s="58"/>
      <c r="X348" s="157">
        <f t="shared" si="132"/>
        <v>43799</v>
      </c>
      <c r="Y348" s="385">
        <f t="shared" si="133"/>
        <v>11.516</v>
      </c>
      <c r="Z348" s="385">
        <f t="shared" si="134"/>
        <v>11.653014339715341</v>
      </c>
      <c r="AA348" s="386">
        <f t="shared" si="135"/>
        <v>11.981403987227154</v>
      </c>
      <c r="AB348" s="197">
        <f t="shared" si="136"/>
        <v>43799</v>
      </c>
      <c r="AC348" s="426">
        <f>IF(OR(t&lt;Tnet,NoTnet),'2018'!Resal_s+('2018'!Salim-'2018'!Resal_s)*(1-EXP(('2018'!Tnet_s-t)/'2018'!Tau_j)),Resal_s+(Salim-Resal_s)*(1-EXP((Tnet_s-t)/Tau_j)))*Salcycl</f>
        <v>2.7408277682806931E-2</v>
      </c>
      <c r="AD348" s="231">
        <f>(INDEX(Models!$BJ348:$BT348,,AH348)*(1-AF348)+INDEX(Models!$BJ348:$BT348,,AH348+1)*AF348-ERP_i)*AE348*Ramure*Pc/MaxiM</f>
        <v>1.3050455202923483E-4</v>
      </c>
      <c r="AE348" s="305">
        <f t="shared" si="137"/>
        <v>0.5</v>
      </c>
      <c r="AF348" s="177">
        <f t="shared" si="138"/>
        <v>0.99714584990810673</v>
      </c>
      <c r="AG348" s="176">
        <f t="shared" si="139"/>
        <v>-2</v>
      </c>
      <c r="AH348" s="176">
        <f t="shared" si="140"/>
        <v>4</v>
      </c>
      <c r="AI348" s="225">
        <f t="shared" si="141"/>
        <v>-1.0028541500918933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7">
        <v>7.34</v>
      </c>
      <c r="C349" s="390"/>
      <c r="D349" s="393">
        <f t="shared" si="123"/>
        <v>7.4274920709883379</v>
      </c>
      <c r="E349" s="385">
        <f t="shared" si="121"/>
        <v>7.6370331820658972</v>
      </c>
      <c r="F349" s="385">
        <f t="shared" si="124"/>
        <v>7.6370331820658972</v>
      </c>
      <c r="G349" s="110">
        <f t="shared" si="122"/>
        <v>0.28792350514384801</v>
      </c>
      <c r="H349" s="414" t="b">
        <f>Wh_hp&gt;='2018'!Maxi_hp</f>
        <v>0</v>
      </c>
      <c r="I349" s="390">
        <f>IF(H349,Wh_hp,'2018'!Maxi_hp)</f>
        <v>19.027006021299115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1.1779490324881015E-2</v>
      </c>
      <c r="M349" s="845"/>
      <c r="N349" s="845"/>
      <c r="O349" s="48">
        <f>IF(t&lt;Tnet,'2018'!Resal+('2018'!Salim-'2018'!Resal)*(1-EXP(('2018'!Tnet-t)/('2018'!Tau_j))),Resal+(Salim-Resal)*(1-EXP((Tnet-t)/(Tau_j))))*Salcycl</f>
        <v>2.7437501721169166E-2</v>
      </c>
      <c r="P349" s="169">
        <f>(INDEX(Models!$BJ349:$BT349,,T349)*(1-R349)+INDEX(Models!$BJ349:$BT349,,T349+1)*R349-ERP_i)*Q349*Ramure*Pc/MaxiM</f>
        <v>1.3241139491710184E-4</v>
      </c>
      <c r="Q349" s="305">
        <f t="shared" si="126"/>
        <v>0.5</v>
      </c>
      <c r="R349" s="177">
        <f t="shared" si="127"/>
        <v>0.99716230394428207</v>
      </c>
      <c r="S349" s="811">
        <f t="shared" si="128"/>
        <v>-2</v>
      </c>
      <c r="T349" s="176">
        <f t="shared" si="129"/>
        <v>4</v>
      </c>
      <c r="U349" s="251">
        <f t="shared" si="130"/>
        <v>-1.0028376960557179</v>
      </c>
      <c r="V349" s="383">
        <f t="shared" si="131"/>
        <v>25.489506654535528</v>
      </c>
      <c r="W349" s="58"/>
      <c r="X349" s="157">
        <f t="shared" si="132"/>
        <v>43800</v>
      </c>
      <c r="Y349" s="385">
        <f t="shared" si="133"/>
        <v>7.34</v>
      </c>
      <c r="Z349" s="385">
        <f t="shared" si="134"/>
        <v>7.4274920709883379</v>
      </c>
      <c r="AA349" s="386">
        <f t="shared" si="135"/>
        <v>7.6370331820658972</v>
      </c>
      <c r="AB349" s="197">
        <f t="shared" si="136"/>
        <v>43800</v>
      </c>
      <c r="AC349" s="426">
        <f>IF(OR(t&lt;Tnet,NoTnet),'2018'!Resal_s+('2018'!Salim-'2018'!Resal_s)*(1-EXP(('2018'!Tnet_s-t)/'2018'!Tau_j)),Resal_s+(Salim-Resal_s)*(1-EXP((Tnet_s-t)/Tau_j)))*Salcycl</f>
        <v>2.7437501721169166E-2</v>
      </c>
      <c r="AD349" s="231">
        <f>(INDEX(Models!$BJ349:$BT349,,AH349)*(1-AF349)+INDEX(Models!$BJ349:$BT349,,AH349+1)*AF349-ERP_i)*AE349*Ramure*Pc/MaxiM</f>
        <v>1.3241139491710184E-4</v>
      </c>
      <c r="AE349" s="305">
        <f t="shared" si="137"/>
        <v>0.5</v>
      </c>
      <c r="AF349" s="177">
        <f t="shared" si="138"/>
        <v>0.99716230394428207</v>
      </c>
      <c r="AG349" s="176">
        <f t="shared" si="139"/>
        <v>-2</v>
      </c>
      <c r="AH349" s="176">
        <f t="shared" si="140"/>
        <v>4</v>
      </c>
      <c r="AI349" s="225">
        <f t="shared" si="141"/>
        <v>-1.0028376960557179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7">
        <v>4.0599999999999996</v>
      </c>
      <c r="C350" s="390"/>
      <c r="D350" s="393">
        <f t="shared" si="123"/>
        <v>4.1084847831201152</v>
      </c>
      <c r="E350" s="385">
        <f t="shared" si="121"/>
        <v>4.2245203159990652</v>
      </c>
      <c r="F350" s="385">
        <f t="shared" si="124"/>
        <v>4.2245203159990652</v>
      </c>
      <c r="G350" s="110">
        <f t="shared" si="122"/>
        <v>0.16050850547905685</v>
      </c>
      <c r="H350" s="414" t="b">
        <f>Wh_hp&gt;='2018'!Maxi_hp</f>
        <v>0</v>
      </c>
      <c r="I350" s="390">
        <f>IF(H350,Wh_hp,'2018'!Maxi_hp)</f>
        <v>7.4365611729539358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1.1801134890244036E-2</v>
      </c>
      <c r="M350" s="845"/>
      <c r="N350" s="845"/>
      <c r="O350" s="48">
        <f>IF(t&lt;Tnet,'2018'!Resal+('2018'!Salim-'2018'!Resal)*(1-EXP(('2018'!Tnet-t)/('2018'!Tau_j))),Resal+(Salim-Resal)*(1-EXP((Tnet-t)/(Tau_j))))*Salcycl</f>
        <v>2.746714992457281E-2</v>
      </c>
      <c r="P350" s="169">
        <f>(INDEX(Models!$BJ350:$BT350,,T350)*(1-R350)+INDEX(Models!$BJ350:$BT350,,T350+1)*R350-ERP_i)*Q350*Ramure*Pc/MaxiM</f>
        <v>1.3395902747218385E-4</v>
      </c>
      <c r="Q350" s="305">
        <f t="shared" si="126"/>
        <v>0.5</v>
      </c>
      <c r="R350" s="177">
        <f t="shared" si="127"/>
        <v>0.99717809651070421</v>
      </c>
      <c r="S350" s="811">
        <f t="shared" si="128"/>
        <v>-2</v>
      </c>
      <c r="T350" s="176">
        <f t="shared" si="129"/>
        <v>4</v>
      </c>
      <c r="U350" s="251">
        <f t="shared" si="130"/>
        <v>-1.0028219034892958</v>
      </c>
      <c r="V350" s="383">
        <f t="shared" si="131"/>
        <v>25.291221261032433</v>
      </c>
      <c r="W350" s="58"/>
      <c r="X350" s="157">
        <f t="shared" si="132"/>
        <v>43801</v>
      </c>
      <c r="Y350" s="385">
        <f t="shared" si="133"/>
        <v>4.0599999999999996</v>
      </c>
      <c r="Z350" s="385">
        <f t="shared" si="134"/>
        <v>4.1084847831201152</v>
      </c>
      <c r="AA350" s="386">
        <f t="shared" si="135"/>
        <v>4.2245203159990652</v>
      </c>
      <c r="AB350" s="197">
        <f t="shared" si="136"/>
        <v>43801</v>
      </c>
      <c r="AC350" s="426">
        <f>IF(OR(t&lt;Tnet,NoTnet),'2018'!Resal_s+('2018'!Salim-'2018'!Resal_s)*(1-EXP(('2018'!Tnet_s-t)/'2018'!Tau_j)),Resal_s+(Salim-Resal_s)*(1-EXP((Tnet_s-t)/Tau_j)))*Salcycl</f>
        <v>2.746714992457281E-2</v>
      </c>
      <c r="AD350" s="231">
        <f>(INDEX(Models!$BJ350:$BT350,,AH350)*(1-AF350)+INDEX(Models!$BJ350:$BT350,,AH350+1)*AF350-ERP_i)*AE350*Ramure*Pc/MaxiM</f>
        <v>1.3395902747218385E-4</v>
      </c>
      <c r="AE350" s="305">
        <f t="shared" si="137"/>
        <v>0.5</v>
      </c>
      <c r="AF350" s="177">
        <f t="shared" si="138"/>
        <v>0.99717809651070421</v>
      </c>
      <c r="AG350" s="176">
        <f t="shared" si="139"/>
        <v>-2</v>
      </c>
      <c r="AH350" s="176">
        <f t="shared" si="140"/>
        <v>4</v>
      </c>
      <c r="AI350" s="225">
        <f t="shared" si="141"/>
        <v>-1.0028219034892958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7">
        <v>4.5659999999999998</v>
      </c>
      <c r="C351" s="390"/>
      <c r="D351" s="393">
        <f t="shared" si="123"/>
        <v>4.6206286715393547</v>
      </c>
      <c r="E351" s="385">
        <f t="shared" si="121"/>
        <v>4.7512755311126753</v>
      </c>
      <c r="F351" s="385">
        <f t="shared" si="124"/>
        <v>4.7512755311126753</v>
      </c>
      <c r="G351" s="110">
        <f t="shared" si="122"/>
        <v>0.1818934632057658</v>
      </c>
      <c r="H351" s="414" t="b">
        <f>Wh_hp&gt;='2018'!Maxi_hp</f>
        <v>0</v>
      </c>
      <c r="I351" s="390">
        <f>IF(H351,Wh_hp,'2018'!Maxi_hp)</f>
        <v>8.0123989333500703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1.1822778981535387E-2</v>
      </c>
      <c r="M351" s="845"/>
      <c r="N351" s="845"/>
      <c r="O351" s="48">
        <f>IF(t&lt;Tnet,'2018'!Resal+('2018'!Salim-'2018'!Resal)*(1-EXP(('2018'!Tnet-t)/('2018'!Tau_j))),Resal+(Salim-Resal)*(1-EXP((Tnet-t)/(Tau_j))))*Salcycl</f>
        <v>2.749721810865504E-2</v>
      </c>
      <c r="P351" s="169">
        <f>(INDEX(Models!$BJ351:$BT351,,T351)*(1-R351)+INDEX(Models!$BJ351:$BT351,,T351+1)*R351-ERP_i)*Q351*Ramure*Pc/MaxiM</f>
        <v>1.3513585803188088E-4</v>
      </c>
      <c r="Q351" s="305">
        <f t="shared" si="126"/>
        <v>0.5</v>
      </c>
      <c r="R351" s="177">
        <f t="shared" si="127"/>
        <v>0.9971932541598667</v>
      </c>
      <c r="S351" s="811">
        <f t="shared" si="128"/>
        <v>-2</v>
      </c>
      <c r="T351" s="176">
        <f t="shared" si="129"/>
        <v>4</v>
      </c>
      <c r="U351" s="251">
        <f t="shared" si="130"/>
        <v>-1.0028067458401333</v>
      </c>
      <c r="V351" s="383">
        <f t="shared" si="131"/>
        <v>25.0992140630566</v>
      </c>
      <c r="W351" s="58"/>
      <c r="X351" s="157">
        <f t="shared" si="132"/>
        <v>43802</v>
      </c>
      <c r="Y351" s="385">
        <f t="shared" si="133"/>
        <v>4.5659999999999998</v>
      </c>
      <c r="Z351" s="385">
        <f t="shared" si="134"/>
        <v>4.6206286715393547</v>
      </c>
      <c r="AA351" s="386">
        <f t="shared" si="135"/>
        <v>4.7512755311126753</v>
      </c>
      <c r="AB351" s="197">
        <f t="shared" si="136"/>
        <v>43802</v>
      </c>
      <c r="AC351" s="426">
        <f>IF(OR(t&lt;Tnet,NoTnet),'2018'!Resal_s+('2018'!Salim-'2018'!Resal_s)*(1-EXP(('2018'!Tnet_s-t)/'2018'!Tau_j)),Resal_s+(Salim-Resal_s)*(1-EXP((Tnet_s-t)/Tau_j)))*Salcycl</f>
        <v>2.749721810865504E-2</v>
      </c>
      <c r="AD351" s="231">
        <f>(INDEX(Models!$BJ351:$BT351,,AH351)*(1-AF351)+INDEX(Models!$BJ351:$BT351,,AH351+1)*AF351-ERP_i)*AE351*Ramure*Pc/MaxiM</f>
        <v>1.3513585803188088E-4</v>
      </c>
      <c r="AE351" s="305">
        <f t="shared" si="137"/>
        <v>0.5</v>
      </c>
      <c r="AF351" s="177">
        <f t="shared" si="138"/>
        <v>0.9971932541598667</v>
      </c>
      <c r="AG351" s="176">
        <f t="shared" si="139"/>
        <v>-2</v>
      </c>
      <c r="AH351" s="176">
        <f t="shared" si="140"/>
        <v>4</v>
      </c>
      <c r="AI351" s="225">
        <f t="shared" si="141"/>
        <v>-1.0028067458401333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7">
        <v>6.2249999999999996</v>
      </c>
      <c r="C352" s="390"/>
      <c r="D352" s="393">
        <f t="shared" si="123"/>
        <v>6.2996153058926447</v>
      </c>
      <c r="E352" s="385">
        <f t="shared" si="121"/>
        <v>6.4779380449515322</v>
      </c>
      <c r="F352" s="385">
        <f t="shared" si="124"/>
        <v>6.4779380449515322</v>
      </c>
      <c r="G352" s="110">
        <f t="shared" si="122"/>
        <v>0.2498162411336021</v>
      </c>
      <c r="H352" s="414" t="b">
        <f>Wh_hp&gt;='2018'!Maxi_hp</f>
        <v>1</v>
      </c>
      <c r="I352" s="390">
        <f>IF(H352,Wh_hp,'2018'!Maxi_hp)</f>
        <v>6.4779380449515322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1.1844422598765725E-2</v>
      </c>
      <c r="M352" s="845"/>
      <c r="N352" s="845"/>
      <c r="O352" s="48">
        <f>IF(t&lt;Tnet,'2018'!Resal+('2018'!Salim-'2018'!Resal)*(1-EXP(('2018'!Tnet-t)/('2018'!Tau_j))),Resal+(Salim-Resal)*(1-EXP((Tnet-t)/(Tau_j))))*Salcycl</f>
        <v>2.7527700608044593E-2</v>
      </c>
      <c r="P352" s="169">
        <f>(INDEX(Models!$BJ352:$BT352,,T352)*(1-R352)+INDEX(Models!$BJ352:$BT352,,T352+1)*R352-ERP_i)*Q352*Ramure*Pc/MaxiM</f>
        <v>1.3598871238409009E-4</v>
      </c>
      <c r="Q352" s="305">
        <f t="shared" si="126"/>
        <v>0.5</v>
      </c>
      <c r="R352" s="177">
        <f t="shared" si="127"/>
        <v>0.99720780238150164</v>
      </c>
      <c r="S352" s="811">
        <f t="shared" si="128"/>
        <v>-2</v>
      </c>
      <c r="T352" s="176">
        <f t="shared" si="129"/>
        <v>4</v>
      </c>
      <c r="U352" s="251">
        <f t="shared" si="130"/>
        <v>-1.0027921976184984</v>
      </c>
      <c r="V352" s="383">
        <f t="shared" si="131"/>
        <v>24.914927236202878</v>
      </c>
      <c r="W352" s="58"/>
      <c r="X352" s="157">
        <f t="shared" si="132"/>
        <v>43803</v>
      </c>
      <c r="Y352" s="385">
        <f t="shared" si="133"/>
        <v>6.2249999999999996</v>
      </c>
      <c r="Z352" s="385">
        <f t="shared" si="134"/>
        <v>6.2996153058926447</v>
      </c>
      <c r="AA352" s="386">
        <f t="shared" si="135"/>
        <v>6.4779380449515322</v>
      </c>
      <c r="AB352" s="197">
        <f t="shared" si="136"/>
        <v>43803</v>
      </c>
      <c r="AC352" s="426">
        <f>IF(OR(t&lt;Tnet,NoTnet),'2018'!Resal_s+('2018'!Salim-'2018'!Resal_s)*(1-EXP(('2018'!Tnet_s-t)/'2018'!Tau_j)),Resal_s+(Salim-Resal_s)*(1-EXP((Tnet_s-t)/Tau_j)))*Salcycl</f>
        <v>2.7527700608044593E-2</v>
      </c>
      <c r="AD352" s="231">
        <f>(INDEX(Models!$BJ352:$BT352,,AH352)*(1-AF352)+INDEX(Models!$BJ352:$BT352,,AH352+1)*AF352-ERP_i)*AE352*Ramure*Pc/MaxiM</f>
        <v>1.3598871238409009E-4</v>
      </c>
      <c r="AE352" s="305">
        <f t="shared" si="137"/>
        <v>0.5</v>
      </c>
      <c r="AF352" s="177">
        <f t="shared" si="138"/>
        <v>0.99720780238150164</v>
      </c>
      <c r="AG352" s="176">
        <f t="shared" si="139"/>
        <v>-2</v>
      </c>
      <c r="AH352" s="176">
        <f t="shared" si="140"/>
        <v>4</v>
      </c>
      <c r="AI352" s="225">
        <f t="shared" si="141"/>
        <v>-1.0027921976184984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7">
        <v>9.4819999999999993</v>
      </c>
      <c r="C353" s="390"/>
      <c r="D353" s="393">
        <f t="shared" si="123"/>
        <v>9.5958651669215325</v>
      </c>
      <c r="E353" s="385">
        <f t="shared" si="121"/>
        <v>9.8678080465102838</v>
      </c>
      <c r="F353" s="385">
        <f t="shared" si="124"/>
        <v>9.8679685328122364</v>
      </c>
      <c r="G353" s="110">
        <f t="shared" si="122"/>
        <v>0.38322291419214843</v>
      </c>
      <c r="H353" s="414" t="b">
        <f>Wh_hp&gt;='2018'!Maxi_hp</f>
        <v>0</v>
      </c>
      <c r="I353" s="390">
        <f>IF(H353,Wh_hp,'2018'!Maxi_hp)</f>
        <v>19.604054954984996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1.1866065741945264E-2</v>
      </c>
      <c r="M353" s="845"/>
      <c r="N353" s="845"/>
      <c r="O353" s="48">
        <f>IF(t&lt;Tnet,'2018'!Resal+('2018'!Salim-'2018'!Resal)*(1-EXP(('2018'!Tnet-t)/('2018'!Tau_j))),Resal+(Salim-Resal)*(1-EXP((Tnet-t)/(Tau_j))))*Salcycl</f>
        <v>2.7558590348230605E-2</v>
      </c>
      <c r="P353" s="169">
        <f>(INDEX(Models!$BJ353:$BT353,,T353)*(1-R353)+INDEX(Models!$BJ353:$BT353,,T353+1)*R353-ERP_i)*Q353*Ramure*Pc/MaxiM</f>
        <v>1.3671761718095918E-4</v>
      </c>
      <c r="Q353" s="305">
        <f t="shared" si="126"/>
        <v>0.5</v>
      </c>
      <c r="R353" s="177">
        <f t="shared" si="127"/>
        <v>0.99722176564487075</v>
      </c>
      <c r="S353" s="811">
        <f t="shared" si="128"/>
        <v>-2</v>
      </c>
      <c r="T353" s="176">
        <f t="shared" si="129"/>
        <v>4</v>
      </c>
      <c r="U353" s="251">
        <f t="shared" si="130"/>
        <v>-1.0027782343551292</v>
      </c>
      <c r="V353" s="383">
        <f t="shared" si="131"/>
        <v>24.739798908220735</v>
      </c>
      <c r="W353" s="58"/>
      <c r="X353" s="157">
        <f t="shared" si="132"/>
        <v>43804</v>
      </c>
      <c r="Y353" s="385">
        <f t="shared" si="133"/>
        <v>9.4819999999999993</v>
      </c>
      <c r="Z353" s="385">
        <f t="shared" si="134"/>
        <v>9.5958651669215325</v>
      </c>
      <c r="AA353" s="386">
        <f t="shared" si="135"/>
        <v>9.8678080465102838</v>
      </c>
      <c r="AB353" s="197">
        <f t="shared" si="136"/>
        <v>43804</v>
      </c>
      <c r="AC353" s="426">
        <f>IF(OR(t&lt;Tnet,NoTnet),'2018'!Resal_s+('2018'!Salim-'2018'!Resal_s)*(1-EXP(('2018'!Tnet_s-t)/'2018'!Tau_j)),Resal_s+(Salim-Resal_s)*(1-EXP((Tnet_s-t)/Tau_j)))*Salcycl</f>
        <v>2.7558590348230605E-2</v>
      </c>
      <c r="AD353" s="231">
        <f>(INDEX(Models!$BJ353:$BT353,,AH353)*(1-AF353)+INDEX(Models!$BJ353:$BT353,,AH353+1)*AF353-ERP_i)*AE353*Ramure*Pc/MaxiM</f>
        <v>1.3671761718095918E-4</v>
      </c>
      <c r="AE353" s="305">
        <f t="shared" si="137"/>
        <v>0.5</v>
      </c>
      <c r="AF353" s="177">
        <f t="shared" si="138"/>
        <v>0.99722176564487075</v>
      </c>
      <c r="AG353" s="176">
        <f t="shared" si="139"/>
        <v>-2</v>
      </c>
      <c r="AH353" s="176">
        <f t="shared" si="140"/>
        <v>4</v>
      </c>
      <c r="AI353" s="225">
        <f t="shared" si="141"/>
        <v>-1.0027782343551292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7">
        <v>7.8840000000000003</v>
      </c>
      <c r="C354" s="390"/>
      <c r="D354" s="393">
        <f t="shared" si="123"/>
        <v>7.9788502451702943</v>
      </c>
      <c r="E354" s="385">
        <f t="shared" si="121"/>
        <v>8.2052315913270508</v>
      </c>
      <c r="F354" s="385">
        <f t="shared" si="124"/>
        <v>8.2052650864381871</v>
      </c>
      <c r="G354" s="110">
        <f t="shared" si="122"/>
        <v>0.32076753965645244</v>
      </c>
      <c r="H354" s="414" t="b">
        <f>Wh_hp&gt;='2018'!Maxi_hp</f>
        <v>0</v>
      </c>
      <c r="I354" s="390">
        <f>IF(H354,Wh_hp,'2018'!Maxi_hp)</f>
        <v>12.47460590418838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1.1887708411084441E-2</v>
      </c>
      <c r="M354" s="845"/>
      <c r="N354" s="845"/>
      <c r="O354" s="48">
        <f>IF(t&lt;Tnet,'2018'!Resal+('2018'!Salim-'2018'!Resal)*(1-EXP(('2018'!Tnet-t)/('2018'!Tau_j))),Resal+(Salim-Resal)*(1-EXP((Tnet-t)/(Tau_j))))*Salcycl</f>
        <v>2.7589878925055957E-2</v>
      </c>
      <c r="P354" s="169">
        <f>(INDEX(Models!$BJ354:$BT354,,T354)*(1-R354)+INDEX(Models!$BJ354:$BT354,,T354+1)*R354-ERP_i)*Q354*Ramure*Pc/MaxiM</f>
        <v>1.3731212696513421E-4</v>
      </c>
      <c r="Q354" s="305">
        <f t="shared" si="126"/>
        <v>0.5</v>
      </c>
      <c r="R354" s="177">
        <f t="shared" si="127"/>
        <v>0.99723516743939356</v>
      </c>
      <c r="S354" s="811">
        <f t="shared" si="128"/>
        <v>-2</v>
      </c>
      <c r="T354" s="176">
        <f t="shared" si="129"/>
        <v>4</v>
      </c>
      <c r="U354" s="251">
        <f t="shared" si="130"/>
        <v>-1.0027648325606064</v>
      </c>
      <c r="V354" s="383">
        <f t="shared" si="131"/>
        <v>24.575272232986102</v>
      </c>
      <c r="W354" s="58"/>
      <c r="X354" s="157">
        <f t="shared" si="132"/>
        <v>43805</v>
      </c>
      <c r="Y354" s="385">
        <f t="shared" si="133"/>
        <v>7.8839999999999995</v>
      </c>
      <c r="Z354" s="385">
        <f t="shared" si="134"/>
        <v>7.9788502451702934</v>
      </c>
      <c r="AA354" s="386">
        <f t="shared" si="135"/>
        <v>8.2052315913270508</v>
      </c>
      <c r="AB354" s="197">
        <f t="shared" si="136"/>
        <v>43805</v>
      </c>
      <c r="AC354" s="426">
        <f>IF(OR(t&lt;Tnet,NoTnet),'2018'!Resal_s+('2018'!Salim-'2018'!Resal_s)*(1-EXP(('2018'!Tnet_s-t)/'2018'!Tau_j)),Resal_s+(Salim-Resal_s)*(1-EXP((Tnet_s-t)/Tau_j)))*Salcycl</f>
        <v>2.7589878925055957E-2</v>
      </c>
      <c r="AD354" s="231">
        <f>(INDEX(Models!$BJ354:$BT354,,AH354)*(1-AF354)+INDEX(Models!$BJ354:$BT354,,AH354+1)*AF354-ERP_i)*AE354*Ramure*Pc/MaxiM</f>
        <v>1.3731212696513421E-4</v>
      </c>
      <c r="AE354" s="305">
        <f t="shared" si="137"/>
        <v>0.5</v>
      </c>
      <c r="AF354" s="177">
        <f t="shared" si="138"/>
        <v>0.99723516743939356</v>
      </c>
      <c r="AG354" s="176">
        <f t="shared" si="139"/>
        <v>-2</v>
      </c>
      <c r="AH354" s="176">
        <f t="shared" si="140"/>
        <v>4</v>
      </c>
      <c r="AI354" s="225">
        <f t="shared" si="141"/>
        <v>-1.0027648325606064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7">
        <v>14.693</v>
      </c>
      <c r="C355" s="390"/>
      <c r="D355" s="393">
        <f t="shared" si="123"/>
        <v>14.870093152904699</v>
      </c>
      <c r="E355" s="385">
        <f t="shared" si="121"/>
        <v>15.292495689542507</v>
      </c>
      <c r="F355" s="385">
        <f t="shared" si="124"/>
        <v>15.293403468174207</v>
      </c>
      <c r="G355" s="110">
        <f t="shared" si="122"/>
        <v>0.60156304469369637</v>
      </c>
      <c r="H355" s="414" t="b">
        <f>Wh_hp&gt;='2018'!Maxi_hp</f>
        <v>0</v>
      </c>
      <c r="I355" s="390">
        <f>IF(H355,Wh_hp,'2018'!Maxi_hp)</f>
        <v>19.491266327728862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1.1909350606193581E-2</v>
      </c>
      <c r="M355" s="845"/>
      <c r="N355" s="845"/>
      <c r="O355" s="48">
        <f>IF(t&lt;Tnet,'2018'!Resal+('2018'!Salim-'2018'!Resal)*(1-EXP(('2018'!Tnet-t)/('2018'!Tau_j))),Resal+(Salim-Resal)*(1-EXP((Tnet-t)/(Tau_j))))*Salcycl</f>
        <v>2.7621556691146156E-2</v>
      </c>
      <c r="P355" s="169">
        <f>(INDEX(Models!$BJ355:$BT355,,T355)*(1-R355)+INDEX(Models!$BJ355:$BT355,,T355+1)*R355-ERP_i)*Q355*Ramure*Pc/MaxiM</f>
        <v>1.377614805677084E-4</v>
      </c>
      <c r="Q355" s="305">
        <f t="shared" si="126"/>
        <v>0.5</v>
      </c>
      <c r="R355" s="177">
        <f t="shared" si="127"/>
        <v>0.99724803031367859</v>
      </c>
      <c r="S355" s="811">
        <f t="shared" si="128"/>
        <v>-2</v>
      </c>
      <c r="T355" s="176">
        <f t="shared" si="129"/>
        <v>4</v>
      </c>
      <c r="U355" s="251">
        <f t="shared" si="130"/>
        <v>-1.0027519696863214</v>
      </c>
      <c r="V355" s="383">
        <f t="shared" si="131"/>
        <v>24.422790049926125</v>
      </c>
      <c r="W355" s="58"/>
      <c r="X355" s="157">
        <f t="shared" si="132"/>
        <v>43806</v>
      </c>
      <c r="Y355" s="385">
        <f t="shared" si="133"/>
        <v>14.693</v>
      </c>
      <c r="Z355" s="385">
        <f t="shared" si="134"/>
        <v>14.870093152904699</v>
      </c>
      <c r="AA355" s="386">
        <f t="shared" si="135"/>
        <v>15.292495689542507</v>
      </c>
      <c r="AB355" s="197">
        <f t="shared" si="136"/>
        <v>43806</v>
      </c>
      <c r="AC355" s="426">
        <f>IF(OR(t&lt;Tnet,NoTnet),'2018'!Resal_s+('2018'!Salim-'2018'!Resal_s)*(1-EXP(('2018'!Tnet_s-t)/'2018'!Tau_j)),Resal_s+(Salim-Resal_s)*(1-EXP((Tnet_s-t)/Tau_j)))*Salcycl</f>
        <v>2.7621556691146156E-2</v>
      </c>
      <c r="AD355" s="231">
        <f>(INDEX(Models!$BJ355:$BT355,,AH355)*(1-AF355)+INDEX(Models!$BJ355:$BT355,,AH355+1)*AF355-ERP_i)*AE355*Ramure*Pc/MaxiM</f>
        <v>1.377614805677084E-4</v>
      </c>
      <c r="AE355" s="305">
        <f t="shared" si="137"/>
        <v>0.5</v>
      </c>
      <c r="AF355" s="177">
        <f t="shared" si="138"/>
        <v>0.99724803031367859</v>
      </c>
      <c r="AG355" s="176">
        <f t="shared" si="139"/>
        <v>-2</v>
      </c>
      <c r="AH355" s="176">
        <f t="shared" si="140"/>
        <v>4</v>
      </c>
      <c r="AI355" s="225">
        <f t="shared" si="141"/>
        <v>-1.0027519696863214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7">
        <v>16.099</v>
      </c>
      <c r="C356" s="390"/>
      <c r="D356" s="393">
        <f t="shared" si="123"/>
        <v>16.293396387282044</v>
      </c>
      <c r="E356" s="385">
        <f t="shared" si="121"/>
        <v>16.756781947855345</v>
      </c>
      <c r="F356" s="385">
        <f t="shared" si="124"/>
        <v>16.757981515209075</v>
      </c>
      <c r="G356" s="110">
        <f t="shared" si="122"/>
        <v>0.66290832432624469</v>
      </c>
      <c r="H356" s="414" t="b">
        <f>Wh_hp&gt;='2018'!Maxi_hp</f>
        <v>1</v>
      </c>
      <c r="I356" s="390">
        <f>IF(H356,Wh_hp,'2018'!Maxi_hp)</f>
        <v>16.757981515209075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1.1930992327283008E-2</v>
      </c>
      <c r="M356" s="845"/>
      <c r="N356" s="845"/>
      <c r="O356" s="48">
        <f>IF(t&lt;Tnet,'2018'!Resal+('2018'!Salim-'2018'!Resal)*(1-EXP(('2018'!Tnet-t)/('2018'!Tau_j))),Resal+(Salim-Resal)*(1-EXP((Tnet-t)/(Tau_j))))*Salcycl</f>
        <v>2.7653612848534351E-2</v>
      </c>
      <c r="P356" s="169">
        <f>(INDEX(Models!$BJ356:$BT356,,T356)*(1-R356)+INDEX(Models!$BJ356:$BT356,,T356+1)*R356-ERP_i)*Q356*Ramure*Pc/MaxiM</f>
        <v>1.3805473395472488E-4</v>
      </c>
      <c r="Q356" s="305">
        <f t="shared" si="126"/>
        <v>0.5</v>
      </c>
      <c r="R356" s="177">
        <f t="shared" si="127"/>
        <v>0.99726037591301275</v>
      </c>
      <c r="S356" s="811">
        <f t="shared" si="128"/>
        <v>-2</v>
      </c>
      <c r="T356" s="176">
        <f t="shared" si="129"/>
        <v>4</v>
      </c>
      <c r="U356" s="251">
        <f t="shared" si="130"/>
        <v>-1.0027396240869872</v>
      </c>
      <c r="V356" s="383">
        <f t="shared" si="131"/>
        <v>24.283794886460672</v>
      </c>
      <c r="W356" s="58"/>
      <c r="X356" s="157">
        <f t="shared" si="132"/>
        <v>43807</v>
      </c>
      <c r="Y356" s="385">
        <f t="shared" si="133"/>
        <v>16.099</v>
      </c>
      <c r="Z356" s="385">
        <f t="shared" si="134"/>
        <v>16.293396387282044</v>
      </c>
      <c r="AA356" s="386">
        <f t="shared" si="135"/>
        <v>16.756781947855345</v>
      </c>
      <c r="AB356" s="197">
        <f t="shared" si="136"/>
        <v>43807</v>
      </c>
      <c r="AC356" s="426">
        <f>IF(OR(t&lt;Tnet,NoTnet),'2018'!Resal_s+('2018'!Salim-'2018'!Resal_s)*(1-EXP(('2018'!Tnet_s-t)/'2018'!Tau_j)),Resal_s+(Salim-Resal_s)*(1-EXP((Tnet_s-t)/Tau_j)))*Salcycl</f>
        <v>2.7653612848534351E-2</v>
      </c>
      <c r="AD356" s="231">
        <f>(INDEX(Models!$BJ356:$BT356,,AH356)*(1-AF356)+INDEX(Models!$BJ356:$BT356,,AH356+1)*AF356-ERP_i)*AE356*Ramure*Pc/MaxiM</f>
        <v>1.3805473395472488E-4</v>
      </c>
      <c r="AE356" s="305">
        <f t="shared" si="137"/>
        <v>0.5</v>
      </c>
      <c r="AF356" s="177">
        <f t="shared" si="138"/>
        <v>0.99726037591301275</v>
      </c>
      <c r="AG356" s="176">
        <f t="shared" si="139"/>
        <v>-2</v>
      </c>
      <c r="AH356" s="176">
        <f t="shared" si="140"/>
        <v>4</v>
      </c>
      <c r="AI356" s="225">
        <f t="shared" si="141"/>
        <v>-1.0027396240869872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7">
        <v>11.413</v>
      </c>
      <c r="C357" s="390"/>
      <c r="D357" s="393">
        <f t="shared" si="123"/>
        <v>11.551065655169657</v>
      </c>
      <c r="E357" s="385">
        <f t="shared" si="121"/>
        <v>11.879975067173328</v>
      </c>
      <c r="F357" s="385">
        <f t="shared" si="124"/>
        <v>11.880379374635188</v>
      </c>
      <c r="G357" s="110">
        <f t="shared" si="122"/>
        <v>0.47234848238222693</v>
      </c>
      <c r="H357" s="414" t="b">
        <f>Wh_hp&gt;='2018'!Maxi_hp</f>
        <v>1</v>
      </c>
      <c r="I357" s="390">
        <f>IF(H357,Wh_hp,'2018'!Maxi_hp)</f>
        <v>11.880379374635188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1.195263357436338E-2</v>
      </c>
      <c r="M357" s="845"/>
      <c r="N357" s="845"/>
      <c r="O357" s="48">
        <f>IF(t&lt;Tnet,'2018'!Resal+('2018'!Salim-'2018'!Resal)*(1-EXP(('2018'!Tnet-t)/('2018'!Tau_j))),Resal+(Salim-Resal)*(1-EXP((Tnet-t)/(Tau_j))))*Salcycl</f>
        <v>2.7686035546699964E-2</v>
      </c>
      <c r="P357" s="169">
        <f>(INDEX(Models!$BJ357:$BT357,,T357)*(1-R357)+INDEX(Models!$BJ357:$BT357,,T357+1)*R357-ERP_i)*Q357*Ramure*Pc/MaxiM</f>
        <v>1.3818091381617001E-4</v>
      </c>
      <c r="Q357" s="305">
        <f t="shared" si="126"/>
        <v>0.5</v>
      </c>
      <c r="R357" s="177">
        <f t="shared" si="127"/>
        <v>0.99727222501537272</v>
      </c>
      <c r="S357" s="811">
        <f t="shared" si="128"/>
        <v>-2</v>
      </c>
      <c r="T357" s="176">
        <f t="shared" si="129"/>
        <v>4</v>
      </c>
      <c r="U357" s="251">
        <f t="shared" si="130"/>
        <v>-1.0027277749846273</v>
      </c>
      <c r="V357" s="383">
        <f t="shared" si="131"/>
        <v>24.159728946414976</v>
      </c>
      <c r="W357" s="58"/>
      <c r="X357" s="157">
        <f t="shared" si="132"/>
        <v>43808</v>
      </c>
      <c r="Y357" s="385">
        <f t="shared" si="133"/>
        <v>11.413</v>
      </c>
      <c r="Z357" s="385">
        <f t="shared" si="134"/>
        <v>11.551065655169657</v>
      </c>
      <c r="AA357" s="386">
        <f t="shared" si="135"/>
        <v>11.879975067173328</v>
      </c>
      <c r="AB357" s="197">
        <f t="shared" si="136"/>
        <v>43808</v>
      </c>
      <c r="AC357" s="426">
        <f>IF(OR(t&lt;Tnet,NoTnet),'2018'!Resal_s+('2018'!Salim-'2018'!Resal_s)*(1-EXP(('2018'!Tnet_s-t)/'2018'!Tau_j)),Resal_s+(Salim-Resal_s)*(1-EXP((Tnet_s-t)/Tau_j)))*Salcycl</f>
        <v>2.7686035546699964E-2</v>
      </c>
      <c r="AD357" s="231">
        <f>(INDEX(Models!$BJ357:$BT357,,AH357)*(1-AF357)+INDEX(Models!$BJ357:$BT357,,AH357+1)*AF357-ERP_i)*AE357*Ramure*Pc/MaxiM</f>
        <v>1.3818091381617001E-4</v>
      </c>
      <c r="AE357" s="305">
        <f t="shared" si="137"/>
        <v>0.5</v>
      </c>
      <c r="AF357" s="177">
        <f t="shared" si="138"/>
        <v>0.99727222501537272</v>
      </c>
      <c r="AG357" s="176">
        <f t="shared" si="139"/>
        <v>-2</v>
      </c>
      <c r="AH357" s="176">
        <f t="shared" si="140"/>
        <v>4</v>
      </c>
      <c r="AI357" s="225">
        <f t="shared" si="141"/>
        <v>-1.0027277749846273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7">
        <v>21.091999999999999</v>
      </c>
      <c r="C358" s="390"/>
      <c r="D358" s="393">
        <f t="shared" si="123"/>
        <v>21.347622285917197</v>
      </c>
      <c r="E358" s="385">
        <f t="shared" si="121"/>
        <v>21.95622269469672</v>
      </c>
      <c r="F358" s="385">
        <f t="shared" si="124"/>
        <v>21.95872257479607</v>
      </c>
      <c r="G358" s="110">
        <f t="shared" si="122"/>
        <v>0.8769107693426651</v>
      </c>
      <c r="H358" s="414" t="b">
        <f>Wh_hp&gt;='2018'!Maxi_hp</f>
        <v>1</v>
      </c>
      <c r="I358" s="390">
        <f>IF(H358,Wh_hp,'2018'!Maxi_hp)</f>
        <v>21.95872257479607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1.1974274347444802E-2</v>
      </c>
      <c r="M358" s="845"/>
      <c r="N358" s="845"/>
      <c r="O358" s="48">
        <f>IF(t&lt;Tnet,'2018'!Resal+('2018'!Salim-'2018'!Resal)*(1-EXP(('2018'!Tnet-t)/('2018'!Tau_j))),Resal+(Salim-Resal)*(1-EXP((Tnet-t)/(Tau_j))))*Salcycl</f>
        <v>2.7718811985201954E-2</v>
      </c>
      <c r="P358" s="169">
        <f>(INDEX(Models!$BJ358:$BT358,,T358)*(1-R358)+INDEX(Models!$BJ358:$BT358,,T358+1)*R358-ERP_i)*Q358*Ramure*Pc/MaxiM</f>
        <v>1.3812919101397562E-4</v>
      </c>
      <c r="Q358" s="305">
        <f t="shared" si="126"/>
        <v>0.5</v>
      </c>
      <c r="R358" s="177">
        <f t="shared" si="127"/>
        <v>0.99728359756601725</v>
      </c>
      <c r="S358" s="811">
        <f t="shared" si="128"/>
        <v>-2</v>
      </c>
      <c r="T358" s="176">
        <f t="shared" si="129"/>
        <v>4</v>
      </c>
      <c r="U358" s="251">
        <f t="shared" si="130"/>
        <v>-1.0027164024339827</v>
      </c>
      <c r="V358" s="383">
        <f t="shared" si="131"/>
        <v>24.052034102720874</v>
      </c>
      <c r="W358" s="58"/>
      <c r="X358" s="157">
        <f t="shared" si="132"/>
        <v>43809</v>
      </c>
      <c r="Y358" s="385">
        <f t="shared" si="133"/>
        <v>21.091999999999999</v>
      </c>
      <c r="Z358" s="385">
        <f t="shared" si="134"/>
        <v>21.347622285917197</v>
      </c>
      <c r="AA358" s="386">
        <f t="shared" si="135"/>
        <v>21.95622269469672</v>
      </c>
      <c r="AB358" s="197">
        <f t="shared" si="136"/>
        <v>43809</v>
      </c>
      <c r="AC358" s="426">
        <f>IF(OR(t&lt;Tnet,NoTnet),'2018'!Resal_s+('2018'!Salim-'2018'!Resal_s)*(1-EXP(('2018'!Tnet_s-t)/'2018'!Tau_j)),Resal_s+(Salim-Resal_s)*(1-EXP((Tnet_s-t)/Tau_j)))*Salcycl</f>
        <v>2.7718811985201954E-2</v>
      </c>
      <c r="AD358" s="231">
        <f>(INDEX(Models!$BJ358:$BT358,,AH358)*(1-AF358)+INDEX(Models!$BJ358:$BT358,,AH358+1)*AF358-ERP_i)*AE358*Ramure*Pc/MaxiM</f>
        <v>1.3812919101397562E-4</v>
      </c>
      <c r="AE358" s="305">
        <f t="shared" si="137"/>
        <v>0.5</v>
      </c>
      <c r="AF358" s="177">
        <f t="shared" si="138"/>
        <v>0.99728359756601725</v>
      </c>
      <c r="AG358" s="176">
        <f t="shared" si="139"/>
        <v>-2</v>
      </c>
      <c r="AH358" s="176">
        <f t="shared" si="140"/>
        <v>4</v>
      </c>
      <c r="AI358" s="225">
        <f t="shared" si="141"/>
        <v>-1.0027164024339827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7">
        <v>1.9319999999999999</v>
      </c>
      <c r="C359" s="390"/>
      <c r="D359" s="393">
        <f t="shared" si="123"/>
        <v>1.9554575012802904</v>
      </c>
      <c r="E359" s="385">
        <f t="shared" si="121"/>
        <v>2.0112742402293722</v>
      </c>
      <c r="F359" s="385">
        <f t="shared" si="124"/>
        <v>2.0112742402293722</v>
      </c>
      <c r="G359" s="110">
        <f t="shared" si="122"/>
        <v>8.0629999076842401E-2</v>
      </c>
      <c r="H359" s="414" t="b">
        <f>Wh_hp&gt;='2018'!Maxi_hp</f>
        <v>0</v>
      </c>
      <c r="I359" s="390">
        <f>IF(H359,Wh_hp,'2018'!Maxi_hp)</f>
        <v>18.260406248134906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1.199591464653782E-2</v>
      </c>
      <c r="M359" s="845"/>
      <c r="N359" s="845"/>
      <c r="O359" s="48">
        <f>IF(t&lt;Tnet,'2018'!Resal+('2018'!Salim-'2018'!Resal)*(1-EXP(('2018'!Tnet-t)/('2018'!Tau_j))),Resal+(Salim-Resal)*(1-EXP((Tnet-t)/(Tau_j))))*Salcycl</f>
        <v>2.7751928520059026E-2</v>
      </c>
      <c r="P359" s="169">
        <f>(INDEX(Models!$BJ359:$BT359,,T359)*(1-R359)+INDEX(Models!$BJ359:$BT359,,T359+1)*R359-ERP_i)*Q359*Ramure*Pc/MaxiM</f>
        <v>1.3791296248260774E-4</v>
      </c>
      <c r="Q359" s="305">
        <f t="shared" si="126"/>
        <v>0.5</v>
      </c>
      <c r="R359" s="177">
        <f t="shared" si="127"/>
        <v>0.99729451271070868</v>
      </c>
      <c r="S359" s="811">
        <f t="shared" si="128"/>
        <v>-2</v>
      </c>
      <c r="T359" s="176">
        <f t="shared" si="129"/>
        <v>4</v>
      </c>
      <c r="U359" s="251">
        <f t="shared" si="130"/>
        <v>-1.0027054872892913</v>
      </c>
      <c r="V359" s="383">
        <f t="shared" si="131"/>
        <v>23.958000425071237</v>
      </c>
      <c r="W359" s="58"/>
      <c r="X359" s="157">
        <f t="shared" si="132"/>
        <v>43810</v>
      </c>
      <c r="Y359" s="385">
        <f t="shared" si="133"/>
        <v>1.9320000000000002</v>
      </c>
      <c r="Z359" s="385">
        <f t="shared" si="134"/>
        <v>1.9554575012802906</v>
      </c>
      <c r="AA359" s="386">
        <f t="shared" si="135"/>
        <v>2.0112742402293722</v>
      </c>
      <c r="AB359" s="197">
        <f t="shared" si="136"/>
        <v>43810</v>
      </c>
      <c r="AC359" s="426">
        <f>IF(OR(t&lt;Tnet,NoTnet),'2018'!Resal_s+('2018'!Salim-'2018'!Resal_s)*(1-EXP(('2018'!Tnet_s-t)/'2018'!Tau_j)),Resal_s+(Salim-Resal_s)*(1-EXP((Tnet_s-t)/Tau_j)))*Salcycl</f>
        <v>2.7751928520059026E-2</v>
      </c>
      <c r="AD359" s="231">
        <f>(INDEX(Models!$BJ359:$BT359,,AH359)*(1-AF359)+INDEX(Models!$BJ359:$BT359,,AH359+1)*AF359-ERP_i)*AE359*Ramure*Pc/MaxiM</f>
        <v>1.3791296248260774E-4</v>
      </c>
      <c r="AE359" s="305">
        <f t="shared" si="137"/>
        <v>0.5</v>
      </c>
      <c r="AF359" s="177">
        <f t="shared" si="138"/>
        <v>0.99729451271070868</v>
      </c>
      <c r="AG359" s="176">
        <f t="shared" si="139"/>
        <v>-2</v>
      </c>
      <c r="AH359" s="176">
        <f t="shared" si="140"/>
        <v>4</v>
      </c>
      <c r="AI359" s="225">
        <f t="shared" si="141"/>
        <v>-1.0027054872892913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7">
        <v>5.2320000000000002</v>
      </c>
      <c r="C360" s="390"/>
      <c r="D360" s="393">
        <f t="shared" si="123"/>
        <v>5.295640649973353</v>
      </c>
      <c r="E360" s="385">
        <f t="shared" si="121"/>
        <v>5.4469872091761404</v>
      </c>
      <c r="F360" s="385">
        <f t="shared" si="124"/>
        <v>5.4469872091761404</v>
      </c>
      <c r="G360" s="110">
        <f t="shared" si="122"/>
        <v>0.21911926875538126</v>
      </c>
      <c r="H360" s="414" t="b">
        <f>Wh_hp&gt;='2018'!Maxi_hp</f>
        <v>1</v>
      </c>
      <c r="I360" s="390">
        <f>IF(H360,Wh_hp,'2018'!Maxi_hp)</f>
        <v>5.4469872091761404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1.2017554471652647E-2</v>
      </c>
      <c r="M360" s="845"/>
      <c r="N360" s="845"/>
      <c r="O360" s="48">
        <f>IF(t&lt;Tnet,'2018'!Resal+('2018'!Salim-'2018'!Resal)*(1-EXP(('2018'!Tnet-t)/('2018'!Tau_j))),Resal+(Salim-Resal)*(1-EXP((Tnet-t)/(Tau_j))))*Salcycl</f>
        <v>2.7785370773007398E-2</v>
      </c>
      <c r="P360" s="169">
        <f>(INDEX(Models!$BJ360:$BT360,,T360)*(1-R360)+INDEX(Models!$BJ360:$BT360,,T360+1)*R360-ERP_i)*Q360*Ramure*Pc/MaxiM</f>
        <v>1.3755077433617351E-4</v>
      </c>
      <c r="Q360" s="305">
        <f t="shared" si="126"/>
        <v>0.5</v>
      </c>
      <c r="R360" s="177">
        <f t="shared" si="127"/>
        <v>0.99730498882762331</v>
      </c>
      <c r="S360" s="811">
        <f t="shared" si="128"/>
        <v>-2</v>
      </c>
      <c r="T360" s="176">
        <f t="shared" si="129"/>
        <v>4</v>
      </c>
      <c r="U360" s="251">
        <f t="shared" si="130"/>
        <v>-1.0026950111723767</v>
      </c>
      <c r="V360" s="383">
        <f t="shared" si="131"/>
        <v>23.874122819334211</v>
      </c>
      <c r="W360" s="58"/>
      <c r="X360" s="157">
        <f t="shared" si="132"/>
        <v>43811</v>
      </c>
      <c r="Y360" s="385">
        <f t="shared" si="133"/>
        <v>5.2320000000000002</v>
      </c>
      <c r="Z360" s="385">
        <f t="shared" si="134"/>
        <v>5.295640649973353</v>
      </c>
      <c r="AA360" s="386">
        <f t="shared" si="135"/>
        <v>5.4469872091761404</v>
      </c>
      <c r="AB360" s="197">
        <f t="shared" si="136"/>
        <v>43811</v>
      </c>
      <c r="AC360" s="426">
        <f>IF(OR(t&lt;Tnet,NoTnet),'2018'!Resal_s+('2018'!Salim-'2018'!Resal_s)*(1-EXP(('2018'!Tnet_s-t)/'2018'!Tau_j)),Resal_s+(Salim-Resal_s)*(1-EXP((Tnet_s-t)/Tau_j)))*Salcycl</f>
        <v>2.7785370773007398E-2</v>
      </c>
      <c r="AD360" s="231">
        <f>(INDEX(Models!$BJ360:$BT360,,AH360)*(1-AF360)+INDEX(Models!$BJ360:$BT360,,AH360+1)*AF360-ERP_i)*AE360*Ramure*Pc/MaxiM</f>
        <v>1.3755077433617351E-4</v>
      </c>
      <c r="AE360" s="305">
        <f t="shared" si="137"/>
        <v>0.5</v>
      </c>
      <c r="AF360" s="177">
        <f t="shared" si="138"/>
        <v>0.99730498882762331</v>
      </c>
      <c r="AG360" s="176">
        <f t="shared" si="139"/>
        <v>-2</v>
      </c>
      <c r="AH360" s="176">
        <f t="shared" si="140"/>
        <v>4</v>
      </c>
      <c r="AI360" s="225">
        <f t="shared" si="141"/>
        <v>-1.0026950111723767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7">
        <v>2.4020000000000001</v>
      </c>
      <c r="C361" s="390"/>
      <c r="D361" s="393">
        <f t="shared" si="123"/>
        <v>2.431270537233416</v>
      </c>
      <c r="E361" s="385">
        <f t="shared" ref="E361:E379" si="145">Wh_pvt/(1-Psa)</f>
        <v>2.5008417637193721</v>
      </c>
      <c r="F361" s="385">
        <f t="shared" si="124"/>
        <v>2.5008417637193721</v>
      </c>
      <c r="G361" s="110">
        <f t="shared" ref="G361:G379" si="146">+Wh_hp/MaxiM</f>
        <v>0.10090778271487556</v>
      </c>
      <c r="H361" s="414" t="b">
        <f>Wh_hp&gt;='2018'!Maxi_hp</f>
        <v>1</v>
      </c>
      <c r="I361" s="390">
        <f>IF(H361,Wh_hp,'2018'!Maxi_hp)</f>
        <v>2.5008417637193721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1.2039193822799832E-2</v>
      </c>
      <c r="M361" s="845"/>
      <c r="N361" s="845"/>
      <c r="O361" s="48">
        <f>IF(t&lt;Tnet,'2018'!Resal+('2018'!Salim-'2018'!Resal)*(1-EXP(('2018'!Tnet-t)/('2018'!Tau_j))),Resal+(Salim-Resal)*(1-EXP((Tnet-t)/(Tau_j))))*Salcycl</f>
        <v>2.7819123742753912E-2</v>
      </c>
      <c r="P361" s="169">
        <f>(INDEX(Models!$BJ361:$BT361,,T361)*(1-R361)+INDEX(Models!$BJ361:$BT361,,T361+1)*R361-ERP_i)*Q361*Ramure*Pc/MaxiM</f>
        <v>1.3722288164538874E-4</v>
      </c>
      <c r="Q361" s="305">
        <f t="shared" si="126"/>
        <v>0.5</v>
      </c>
      <c r="R361" s="177">
        <f t="shared" si="127"/>
        <v>0.99731504355799938</v>
      </c>
      <c r="S361" s="811">
        <f t="shared" si="128"/>
        <v>-2</v>
      </c>
      <c r="T361" s="176">
        <f t="shared" si="129"/>
        <v>4</v>
      </c>
      <c r="U361" s="251">
        <f t="shared" si="130"/>
        <v>-1.0026849564420006</v>
      </c>
      <c r="V361" s="383">
        <f t="shared" si="131"/>
        <v>23.800645758161526</v>
      </c>
      <c r="W361" s="58"/>
      <c r="X361" s="157">
        <f t="shared" si="132"/>
        <v>43812</v>
      </c>
      <c r="Y361" s="385">
        <f t="shared" si="133"/>
        <v>2.4020000000000001</v>
      </c>
      <c r="Z361" s="385">
        <f t="shared" si="134"/>
        <v>2.431270537233416</v>
      </c>
      <c r="AA361" s="386">
        <f t="shared" si="135"/>
        <v>2.5008417637193721</v>
      </c>
      <c r="AB361" s="197">
        <f t="shared" si="136"/>
        <v>43812</v>
      </c>
      <c r="AC361" s="426">
        <f>IF(OR(t&lt;Tnet,NoTnet),'2018'!Resal_s+('2018'!Salim-'2018'!Resal_s)*(1-EXP(('2018'!Tnet_s-t)/'2018'!Tau_j)),Resal_s+(Salim-Resal_s)*(1-EXP((Tnet_s-t)/Tau_j)))*Salcycl</f>
        <v>2.7819123742753912E-2</v>
      </c>
      <c r="AD361" s="231">
        <f>(INDEX(Models!$BJ361:$BT361,,AH361)*(1-AF361)+INDEX(Models!$BJ361:$BT361,,AH361+1)*AF361-ERP_i)*AE361*Ramure*Pc/MaxiM</f>
        <v>1.3722288164538874E-4</v>
      </c>
      <c r="AE361" s="305">
        <f t="shared" si="137"/>
        <v>0.5</v>
      </c>
      <c r="AF361" s="177">
        <f t="shared" si="138"/>
        <v>0.99731504355799938</v>
      </c>
      <c r="AG361" s="176">
        <f t="shared" si="139"/>
        <v>-2</v>
      </c>
      <c r="AH361" s="176">
        <f t="shared" si="140"/>
        <v>4</v>
      </c>
      <c r="AI361" s="225">
        <f t="shared" si="141"/>
        <v>-1.0026849564420006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7">
        <v>19.030999999999999</v>
      </c>
      <c r="C362" s="390"/>
      <c r="D362" s="393">
        <f t="shared" si="123"/>
        <v>19.263331822353795</v>
      </c>
      <c r="E362" s="385">
        <f t="shared" si="145"/>
        <v>19.815249369631005</v>
      </c>
      <c r="F362" s="385">
        <f t="shared" si="124"/>
        <v>19.817194245198483</v>
      </c>
      <c r="G362" s="110">
        <f t="shared" si="146"/>
        <v>0.80168538469067263</v>
      </c>
      <c r="H362" s="414" t="b">
        <f>Wh_hp&gt;='2018'!Maxi_hp</f>
        <v>1</v>
      </c>
      <c r="I362" s="390">
        <f>IF(H362,Wh_hp,'2018'!Maxi_hp)</f>
        <v>19.817194245198483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1.2060832699989699E-2</v>
      </c>
      <c r="M362" s="845"/>
      <c r="N362" s="845"/>
      <c r="O362" s="48">
        <f>IF(t&lt;Tnet,'2018'!Resal+('2018'!Salim-'2018'!Resal)*(1-EXP(('2018'!Tnet-t)/('2018'!Tau_j))),Resal+(Salim-Resal)*(1-EXP((Tnet-t)/(Tau_j))))*Salcycl</f>
        <v>2.7853171917335728E-2</v>
      </c>
      <c r="P362" s="169">
        <f>(INDEX(Models!$BJ362:$BT362,,T362)*(1-R362)+INDEX(Models!$BJ362:$BT362,,T362+1)*R362-ERP_i)*Q362*Ramure*Pc/MaxiM</f>
        <v>1.3692707303422262E-4</v>
      </c>
      <c r="Q362" s="305">
        <f t="shared" si="126"/>
        <v>0.5</v>
      </c>
      <c r="R362" s="177">
        <f t="shared" si="127"/>
        <v>0.99732469383556865</v>
      </c>
      <c r="S362" s="811">
        <f t="shared" si="128"/>
        <v>-2</v>
      </c>
      <c r="T362" s="176">
        <f t="shared" si="129"/>
        <v>4</v>
      </c>
      <c r="U362" s="251">
        <f t="shared" si="130"/>
        <v>-1.0026753061644313</v>
      </c>
      <c r="V362" s="383">
        <f t="shared" si="131"/>
        <v>23.737818038919979</v>
      </c>
      <c r="W362" s="58"/>
      <c r="X362" s="157">
        <f t="shared" si="132"/>
        <v>43813</v>
      </c>
      <c r="Y362" s="385">
        <f t="shared" si="133"/>
        <v>19.030999999999999</v>
      </c>
      <c r="Z362" s="385">
        <f t="shared" si="134"/>
        <v>19.263331822353795</v>
      </c>
      <c r="AA362" s="386">
        <f t="shared" si="135"/>
        <v>19.815249369631005</v>
      </c>
      <c r="AB362" s="197">
        <f t="shared" si="136"/>
        <v>43813</v>
      </c>
      <c r="AC362" s="426">
        <f>IF(OR(t&lt;Tnet,NoTnet),'2018'!Resal_s+('2018'!Salim-'2018'!Resal_s)*(1-EXP(('2018'!Tnet_s-t)/'2018'!Tau_j)),Resal_s+(Salim-Resal_s)*(1-EXP((Tnet_s-t)/Tau_j)))*Salcycl</f>
        <v>2.7853171917335728E-2</v>
      </c>
      <c r="AD362" s="231">
        <f>(INDEX(Models!$BJ362:$BT362,,AH362)*(1-AF362)+INDEX(Models!$BJ362:$BT362,,AH362+1)*AF362-ERP_i)*AE362*Ramure*Pc/MaxiM</f>
        <v>1.3692707303422262E-4</v>
      </c>
      <c r="AE362" s="305">
        <f t="shared" si="137"/>
        <v>0.5</v>
      </c>
      <c r="AF362" s="177">
        <f t="shared" si="138"/>
        <v>0.99732469383556865</v>
      </c>
      <c r="AG362" s="176">
        <f t="shared" si="139"/>
        <v>-2</v>
      </c>
      <c r="AH362" s="176">
        <f t="shared" si="140"/>
        <v>4</v>
      </c>
      <c r="AI362" s="225">
        <f t="shared" si="141"/>
        <v>-1.0026753061644313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7">
        <v>24.541</v>
      </c>
      <c r="C363" s="390"/>
      <c r="D363" s="393">
        <f t="shared" si="123"/>
        <v>24.841142385038513</v>
      </c>
      <c r="E363" s="385">
        <f t="shared" si="145"/>
        <v>25.553773220040277</v>
      </c>
      <c r="F363" s="385">
        <f t="shared" si="124"/>
        <v>25.557265904120406</v>
      </c>
      <c r="G363" s="110">
        <f t="shared" si="146"/>
        <v>1.0361021552474747</v>
      </c>
      <c r="H363" s="414" t="b">
        <f>Wh_hp&gt;='2018'!Maxi_hp</f>
        <v>1</v>
      </c>
      <c r="I363" s="390">
        <f>IF(H363,Wh_hp,'2018'!Maxi_hp)</f>
        <v>25.557265904120406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1.2082471103232573E-2</v>
      </c>
      <c r="M363" s="845"/>
      <c r="N363" s="845"/>
      <c r="O363" s="48">
        <f>IF(t&lt;Tnet,'2018'!Resal+('2018'!Salim-'2018'!Resal)*(1-EXP(('2018'!Tnet-t)/('2018'!Tau_j))),Resal+(Salim-Resal)*(1-EXP((Tnet-t)/(Tau_j))))*Salcycl</f>
        <v>2.7887499386700789E-2</v>
      </c>
      <c r="P363" s="169">
        <f>(INDEX(Models!$BJ363:$BT363,,T363)*(1-R363)+INDEX(Models!$BJ363:$BT363,,T363+1)*R363-ERP_i)*Q363*Ramure*Pc/MaxiM</f>
        <v>1.3666110033957248E-4</v>
      </c>
      <c r="Q363" s="305">
        <f t="shared" si="126"/>
        <v>0.5</v>
      </c>
      <c r="R363" s="177">
        <f t="shared" si="127"/>
        <v>0.9973339559148251</v>
      </c>
      <c r="S363" s="811">
        <f t="shared" si="128"/>
        <v>-2</v>
      </c>
      <c r="T363" s="176">
        <f t="shared" si="129"/>
        <v>4</v>
      </c>
      <c r="U363" s="251">
        <f t="shared" si="130"/>
        <v>-1.0026660440851749</v>
      </c>
      <c r="V363" s="383">
        <f t="shared" si="131"/>
        <v>23.685888380512377</v>
      </c>
      <c r="W363" s="58"/>
      <c r="X363" s="157">
        <f t="shared" si="132"/>
        <v>43814</v>
      </c>
      <c r="Y363" s="385">
        <f t="shared" si="133"/>
        <v>24.541</v>
      </c>
      <c r="Z363" s="385">
        <f t="shared" si="134"/>
        <v>24.841142385038513</v>
      </c>
      <c r="AA363" s="386">
        <f t="shared" si="135"/>
        <v>25.553773220040277</v>
      </c>
      <c r="AB363" s="197">
        <f t="shared" si="136"/>
        <v>43814</v>
      </c>
      <c r="AC363" s="426">
        <f>IF(OR(t&lt;Tnet,NoTnet),'2018'!Resal_s+('2018'!Salim-'2018'!Resal_s)*(1-EXP(('2018'!Tnet_s-t)/'2018'!Tau_j)),Resal_s+(Salim-Resal_s)*(1-EXP((Tnet_s-t)/Tau_j)))*Salcycl</f>
        <v>2.7887499386700789E-2</v>
      </c>
      <c r="AD363" s="231">
        <f>(INDEX(Models!$BJ363:$BT363,,AH363)*(1-AF363)+INDEX(Models!$BJ363:$BT363,,AH363+1)*AF363-ERP_i)*AE363*Ramure*Pc/MaxiM</f>
        <v>1.3666110033957248E-4</v>
      </c>
      <c r="AE363" s="305">
        <f t="shared" si="137"/>
        <v>0.5</v>
      </c>
      <c r="AF363" s="177">
        <f t="shared" si="138"/>
        <v>0.9973339559148251</v>
      </c>
      <c r="AG363" s="176">
        <f t="shared" si="139"/>
        <v>-2</v>
      </c>
      <c r="AH363" s="176">
        <f t="shared" si="140"/>
        <v>4</v>
      </c>
      <c r="AI363" s="225">
        <f t="shared" si="141"/>
        <v>-1.0026660440851749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7">
        <v>14.27</v>
      </c>
      <c r="C364" s="390"/>
      <c r="D364" s="393">
        <f t="shared" si="123"/>
        <v>14.444841941821599</v>
      </c>
      <c r="E364" s="385">
        <f t="shared" si="145"/>
        <v>14.85975742535642</v>
      </c>
      <c r="F364" s="385">
        <f t="shared" si="124"/>
        <v>14.860636438752699</v>
      </c>
      <c r="G364" s="110">
        <f t="shared" si="146"/>
        <v>0.60346092764237036</v>
      </c>
      <c r="H364" s="414" t="b">
        <f>Wh_hp&gt;='2018'!Maxi_hp</f>
        <v>1</v>
      </c>
      <c r="I364" s="390">
        <f>IF(H364,Wh_hp,'2018'!Maxi_hp)</f>
        <v>14.860636438752699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1.210410903253889E-2</v>
      </c>
      <c r="M364" s="845"/>
      <c r="N364" s="845"/>
      <c r="O364" s="48">
        <f>IF(t&lt;Tnet,'2018'!Resal+('2018'!Salim-'2018'!Resal)*(1-EXP(('2018'!Tnet-t)/('2018'!Tau_j))),Resal+(Salim-Resal)*(1-EXP((Tnet-t)/(Tau_j))))*Salcycl</f>
        <v>2.7922089954632631E-2</v>
      </c>
      <c r="P364" s="169">
        <f>(INDEX(Models!$BJ364:$BT364,,T364)*(1-R364)+INDEX(Models!$BJ364:$BT364,,T364+1)*R364-ERP_i)*Q364*Ramure*Pc/MaxiM</f>
        <v>1.3642268860051637E-4</v>
      </c>
      <c r="Q364" s="305">
        <f t="shared" si="126"/>
        <v>0.5</v>
      </c>
      <c r="R364" s="177">
        <f t="shared" si="127"/>
        <v>0.99734284539817031</v>
      </c>
      <c r="S364" s="811">
        <f t="shared" si="128"/>
        <v>-2</v>
      </c>
      <c r="T364" s="176">
        <f t="shared" si="129"/>
        <v>4</v>
      </c>
      <c r="U364" s="251">
        <f t="shared" si="130"/>
        <v>-1.0026571546018297</v>
      </c>
      <c r="V364" s="383">
        <f t="shared" si="131"/>
        <v>23.645105434970098</v>
      </c>
      <c r="W364" s="58"/>
      <c r="X364" s="157">
        <f t="shared" si="132"/>
        <v>43815</v>
      </c>
      <c r="Y364" s="385">
        <f t="shared" si="133"/>
        <v>14.27</v>
      </c>
      <c r="Z364" s="385">
        <f t="shared" si="134"/>
        <v>14.444841941821599</v>
      </c>
      <c r="AA364" s="386">
        <f t="shared" si="135"/>
        <v>14.85975742535642</v>
      </c>
      <c r="AB364" s="197">
        <f t="shared" si="136"/>
        <v>43815</v>
      </c>
      <c r="AC364" s="426">
        <f>IF(OR(t&lt;Tnet,NoTnet),'2018'!Resal_s+('2018'!Salim-'2018'!Resal_s)*(1-EXP(('2018'!Tnet_s-t)/'2018'!Tau_j)),Resal_s+(Salim-Resal_s)*(1-EXP((Tnet_s-t)/Tau_j)))*Salcycl</f>
        <v>2.7922089954632631E-2</v>
      </c>
      <c r="AD364" s="231">
        <f>(INDEX(Models!$BJ364:$BT364,,AH364)*(1-AF364)+INDEX(Models!$BJ364:$BT364,,AH364+1)*AF364-ERP_i)*AE364*Ramure*Pc/MaxiM</f>
        <v>1.3642268860051637E-4</v>
      </c>
      <c r="AE364" s="305">
        <f t="shared" si="137"/>
        <v>0.5</v>
      </c>
      <c r="AF364" s="177">
        <f t="shared" si="138"/>
        <v>0.99734284539817031</v>
      </c>
      <c r="AG364" s="176">
        <f t="shared" si="139"/>
        <v>-2</v>
      </c>
      <c r="AH364" s="176">
        <f t="shared" si="140"/>
        <v>4</v>
      </c>
      <c r="AI364" s="225">
        <f t="shared" si="141"/>
        <v>-1.0026571546018297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7">
        <v>11.561</v>
      </c>
      <c r="C365" s="390"/>
      <c r="D365" s="393">
        <f t="shared" si="123"/>
        <v>11.702906477113302</v>
      </c>
      <c r="E365" s="385">
        <f t="shared" si="145"/>
        <v>12.039493727366006</v>
      </c>
      <c r="F365" s="385">
        <f t="shared" si="124"/>
        <v>12.039937796203741</v>
      </c>
      <c r="G365" s="110">
        <f t="shared" si="146"/>
        <v>0.48949821273611738</v>
      </c>
      <c r="H365" s="414" t="b">
        <f>Wh_hp&gt;='2018'!Maxi_hp</f>
        <v>0</v>
      </c>
      <c r="I365" s="390">
        <f>IF(H365,Wh_hp,'2018'!Maxi_hp)</f>
        <v>20.357064325924458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1.2125746487919087E-2</v>
      </c>
      <c r="M365" s="845"/>
      <c r="N365" s="845"/>
      <c r="O365" s="48">
        <f>IF(t&lt;Tnet,'2018'!Resal+('2018'!Salim-'2018'!Resal)*(1-EXP(('2018'!Tnet-t)/('2018'!Tau_j))),Resal+(Salim-Resal)*(1-EXP((Tnet-t)/(Tau_j))))*Salcycl</f>
        <v>2.7956927249161146E-2</v>
      </c>
      <c r="P365" s="169">
        <f>(INDEX(Models!$BJ365:$BT365,,T365)*(1-R365)+INDEX(Models!$BJ365:$BT365,,T365+1)*R365-ERP_i)*Q365*Ramure*Pc/MaxiM</f>
        <v>1.3620954658527306E-4</v>
      </c>
      <c r="Q365" s="305">
        <f t="shared" si="126"/>
        <v>0.5</v>
      </c>
      <c r="R365" s="177">
        <f t="shared" si="127"/>
        <v>0.99735137726198264</v>
      </c>
      <c r="S365" s="811">
        <f t="shared" si="128"/>
        <v>-2</v>
      </c>
      <c r="T365" s="176">
        <f t="shared" si="129"/>
        <v>4</v>
      </c>
      <c r="U365" s="251">
        <f t="shared" si="130"/>
        <v>-1.0026486227380174</v>
      </c>
      <c r="V365" s="383">
        <f t="shared" si="131"/>
        <v>23.615717774829466</v>
      </c>
      <c r="W365" s="58"/>
      <c r="X365" s="157">
        <f t="shared" si="132"/>
        <v>43816</v>
      </c>
      <c r="Y365" s="385">
        <f t="shared" si="133"/>
        <v>11.561</v>
      </c>
      <c r="Z365" s="385">
        <f t="shared" si="134"/>
        <v>11.702906477113302</v>
      </c>
      <c r="AA365" s="386">
        <f t="shared" si="135"/>
        <v>12.039493727366006</v>
      </c>
      <c r="AB365" s="197">
        <f t="shared" si="136"/>
        <v>43816</v>
      </c>
      <c r="AC365" s="426">
        <f>IF(OR(t&lt;Tnet,NoTnet),'2018'!Resal_s+('2018'!Salim-'2018'!Resal_s)*(1-EXP(('2018'!Tnet_s-t)/'2018'!Tau_j)),Resal_s+(Salim-Resal_s)*(1-EXP((Tnet_s-t)/Tau_j)))*Salcycl</f>
        <v>2.7956927249161146E-2</v>
      </c>
      <c r="AD365" s="231">
        <f>(INDEX(Models!$BJ365:$BT365,,AH365)*(1-AF365)+INDEX(Models!$BJ365:$BT365,,AH365+1)*AF365-ERP_i)*AE365*Ramure*Pc/MaxiM</f>
        <v>1.3620954658527306E-4</v>
      </c>
      <c r="AE365" s="305">
        <f t="shared" si="137"/>
        <v>0.5</v>
      </c>
      <c r="AF365" s="177">
        <f t="shared" si="138"/>
        <v>0.99735137726198264</v>
      </c>
      <c r="AG365" s="176">
        <f t="shared" si="139"/>
        <v>-2</v>
      </c>
      <c r="AH365" s="176">
        <f t="shared" si="140"/>
        <v>4</v>
      </c>
      <c r="AI365" s="225">
        <f t="shared" si="141"/>
        <v>-1.0026486227380174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7">
        <v>17.908999999999999</v>
      </c>
      <c r="C366" s="390"/>
      <c r="D366" s="393">
        <f t="shared" si="123"/>
        <v>18.129222619156717</v>
      </c>
      <c r="E366" s="385">
        <f t="shared" si="145"/>
        <v>18.65130999203825</v>
      </c>
      <c r="F366" s="385">
        <f t="shared" si="124"/>
        <v>18.652973480244018</v>
      </c>
      <c r="G366" s="110">
        <f t="shared" si="146"/>
        <v>0.75888553720735008</v>
      </c>
      <c r="H366" s="414" t="b">
        <f>Wh_hp&gt;='2018'!Maxi_hp</f>
        <v>1</v>
      </c>
      <c r="I366" s="390">
        <f>IF(H366,Wh_hp,'2018'!Maxi_hp)</f>
        <v>18.652973480244018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1.2147383469383488E-2</v>
      </c>
      <c r="M366" s="845"/>
      <c r="N366" s="845"/>
      <c r="O366" s="48">
        <f>IF(t&lt;Tnet,'2018'!Resal+('2018'!Salim-'2018'!Resal)*(1-EXP(('2018'!Tnet-t)/('2018'!Tau_j))),Resal+(Salim-Resal)*(1-EXP((Tnet-t)/(Tau_j))))*Salcycl</f>
        <v>2.7991994830625654E-2</v>
      </c>
      <c r="P366" s="169">
        <f>(INDEX(Models!$BJ366:$BT366,,T366)*(1-R366)+INDEX(Models!$BJ366:$BT366,,T366+1)*R366-ERP_i)*Q366*Ramure*Pc/MaxiM</f>
        <v>1.3602905237925005E-4</v>
      </c>
      <c r="Q366" s="305">
        <f t="shared" si="126"/>
        <v>0.5</v>
      </c>
      <c r="R366" s="177">
        <f t="shared" si="127"/>
        <v>0.99735956588165209</v>
      </c>
      <c r="S366" s="811">
        <f t="shared" si="128"/>
        <v>-2</v>
      </c>
      <c r="T366" s="176">
        <f t="shared" si="129"/>
        <v>4</v>
      </c>
      <c r="U366" s="251">
        <f t="shared" si="130"/>
        <v>-1.0026404341183479</v>
      </c>
      <c r="V366" s="383">
        <f t="shared" si="131"/>
        <v>23.597973663832672</v>
      </c>
      <c r="W366" s="58"/>
      <c r="X366" s="157">
        <f t="shared" si="132"/>
        <v>43817</v>
      </c>
      <c r="Y366" s="385">
        <f t="shared" si="133"/>
        <v>17.908999999999999</v>
      </c>
      <c r="Z366" s="385">
        <f t="shared" si="134"/>
        <v>18.129222619156717</v>
      </c>
      <c r="AA366" s="386">
        <f t="shared" si="135"/>
        <v>18.65130999203825</v>
      </c>
      <c r="AB366" s="197">
        <f t="shared" si="136"/>
        <v>43817</v>
      </c>
      <c r="AC366" s="426">
        <f>IF(OR(t&lt;Tnet,NoTnet),'2018'!Resal_s+('2018'!Salim-'2018'!Resal_s)*(1-EXP(('2018'!Tnet_s-t)/'2018'!Tau_j)),Resal_s+(Salim-Resal_s)*(1-EXP((Tnet_s-t)/Tau_j)))*Salcycl</f>
        <v>2.7991994830625654E-2</v>
      </c>
      <c r="AD366" s="231">
        <f>(INDEX(Models!$BJ366:$BT366,,AH366)*(1-AF366)+INDEX(Models!$BJ366:$BT366,,AH366+1)*AF366-ERP_i)*AE366*Ramure*Pc/MaxiM</f>
        <v>1.3602905237925005E-4</v>
      </c>
      <c r="AE366" s="305">
        <f t="shared" si="137"/>
        <v>0.5</v>
      </c>
      <c r="AF366" s="177">
        <f t="shared" si="138"/>
        <v>0.99735956588165209</v>
      </c>
      <c r="AG366" s="176">
        <f t="shared" si="139"/>
        <v>-2</v>
      </c>
      <c r="AH366" s="176">
        <f t="shared" si="140"/>
        <v>4</v>
      </c>
      <c r="AI366" s="225">
        <f t="shared" si="141"/>
        <v>-1.0026404341183479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7">
        <v>10.295999999999999</v>
      </c>
      <c r="C367" s="390"/>
      <c r="D367" s="393">
        <f t="shared" si="123"/>
        <v>10.422835695798559</v>
      </c>
      <c r="E367" s="385">
        <f t="shared" si="145"/>
        <v>10.723382911493099</v>
      </c>
      <c r="F367" s="385">
        <f t="shared" si="124"/>
        <v>10.723666751121604</v>
      </c>
      <c r="G367" s="110">
        <f t="shared" si="146"/>
        <v>0.43636912728546695</v>
      </c>
      <c r="H367" s="414" t="b">
        <f>Wh_hp&gt;='2018'!Maxi_hp</f>
        <v>0</v>
      </c>
      <c r="I367" s="390">
        <f>IF(H367,Wh_hp,'2018'!Maxi_hp)</f>
        <v>23.39378515963071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1.2169019976942308E-2</v>
      </c>
      <c r="M367" s="845"/>
      <c r="N367" s="845"/>
      <c r="O367" s="48">
        <f>IF(t&lt;Tnet,'2018'!Resal+('2018'!Salim-'2018'!Resal)*(1-EXP(('2018'!Tnet-t)/('2018'!Tau_j))),Resal+(Salim-Resal)*(1-EXP((Tnet-t)/(Tau_j))))*Salcycl</f>
        <v>2.8027276296589038E-2</v>
      </c>
      <c r="P367" s="169">
        <f>(INDEX(Models!$BJ367:$BT367,,T367)*(1-R367)+INDEX(Models!$BJ367:$BT367,,T367+1)*R367-ERP_i)*Q367*Ramure*Pc/MaxiM</f>
        <v>1.3581875361615506E-4</v>
      </c>
      <c r="Q367" s="305">
        <f t="shared" si="126"/>
        <v>0.5</v>
      </c>
      <c r="R367" s="177">
        <f t="shared" si="127"/>
        <v>0.99736742505561837</v>
      </c>
      <c r="S367" s="811">
        <f t="shared" si="128"/>
        <v>-2</v>
      </c>
      <c r="T367" s="176">
        <f t="shared" si="129"/>
        <v>4</v>
      </c>
      <c r="U367" s="251">
        <f t="shared" si="130"/>
        <v>-1.0026325749443816</v>
      </c>
      <c r="V367" s="383">
        <f t="shared" si="131"/>
        <v>23.592122944797655</v>
      </c>
      <c r="W367" s="58"/>
      <c r="X367" s="157">
        <f t="shared" si="132"/>
        <v>43818</v>
      </c>
      <c r="Y367" s="385">
        <f t="shared" si="133"/>
        <v>10.295999999999999</v>
      </c>
      <c r="Z367" s="385">
        <f t="shared" si="134"/>
        <v>10.422835695798559</v>
      </c>
      <c r="AA367" s="386">
        <f t="shared" si="135"/>
        <v>10.723382911493099</v>
      </c>
      <c r="AB367" s="197">
        <f t="shared" si="136"/>
        <v>43818</v>
      </c>
      <c r="AC367" s="426">
        <f>IF(OR(t&lt;Tnet,NoTnet),'2018'!Resal_s+('2018'!Salim-'2018'!Resal_s)*(1-EXP(('2018'!Tnet_s-t)/'2018'!Tau_j)),Resal_s+(Salim-Resal_s)*(1-EXP((Tnet_s-t)/Tau_j)))*Salcycl</f>
        <v>2.8027276296589038E-2</v>
      </c>
      <c r="AD367" s="231">
        <f>(INDEX(Models!$BJ367:$BT367,,AH367)*(1-AF367)+INDEX(Models!$BJ367:$BT367,,AH367+1)*AF367-ERP_i)*AE367*Ramure*Pc/MaxiM</f>
        <v>1.3581875361615506E-4</v>
      </c>
      <c r="AE367" s="305">
        <f t="shared" si="137"/>
        <v>0.5</v>
      </c>
      <c r="AF367" s="177">
        <f t="shared" si="138"/>
        <v>0.99736742505561837</v>
      </c>
      <c r="AG367" s="176">
        <f t="shared" si="139"/>
        <v>-2</v>
      </c>
      <c r="AH367" s="176">
        <f t="shared" si="140"/>
        <v>4</v>
      </c>
      <c r="AI367" s="225">
        <f t="shared" si="141"/>
        <v>-1.0026325749443816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7">
        <v>8.2949999999999999</v>
      </c>
      <c r="C368" s="390"/>
      <c r="D368" s="393">
        <f t="shared" si="123"/>
        <v>8.3973694422646243</v>
      </c>
      <c r="E368" s="385">
        <f t="shared" si="145"/>
        <v>8.6398267879654096</v>
      </c>
      <c r="F368" s="385">
        <f t="shared" si="124"/>
        <v>8.6399129784949018</v>
      </c>
      <c r="G368" s="110">
        <f t="shared" si="146"/>
        <v>0.35146252419732715</v>
      </c>
      <c r="H368" s="414" t="b">
        <f>Wh_hp&gt;='2018'!Maxi_hp</f>
        <v>0</v>
      </c>
      <c r="I368" s="390">
        <f>IF(H368,Wh_hp,'2018'!Maxi_hp)</f>
        <v>13.943536832461973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1.2190656010606205E-2</v>
      </c>
      <c r="M368" s="845"/>
      <c r="N368" s="845"/>
      <c r="O368" s="48">
        <f>IF(t&lt;Tnet,'2018'!Resal+('2018'!Salim-'2018'!Resal)*(1-EXP(('2018'!Tnet-t)/('2018'!Tau_j))),Resal+(Salim-Resal)*(1-EXP((Tnet-t)/(Tau_j))))*Salcycl</f>
        <v>2.8062755382840459E-2</v>
      </c>
      <c r="P368" s="169">
        <f>(INDEX(Models!$BJ368:$BT368,,T368)*(1-R368)+INDEX(Models!$BJ368:$BT368,,T368+1)*R368-ERP_i)*Q368*Ramure*Pc/MaxiM</f>
        <v>1.3557659197364853E-4</v>
      </c>
      <c r="Q368" s="305">
        <f t="shared" si="126"/>
        <v>0.5</v>
      </c>
      <c r="R368" s="177">
        <f t="shared" si="127"/>
        <v>0.99737496802845671</v>
      </c>
      <c r="S368" s="811">
        <f t="shared" si="128"/>
        <v>-2</v>
      </c>
      <c r="T368" s="176">
        <f t="shared" si="129"/>
        <v>4</v>
      </c>
      <c r="U368" s="251">
        <f t="shared" si="130"/>
        <v>-1.0026250319715433</v>
      </c>
      <c r="V368" s="383">
        <f t="shared" si="131"/>
        <v>23.598413943122583</v>
      </c>
      <c r="W368" s="58"/>
      <c r="X368" s="157">
        <f t="shared" si="132"/>
        <v>43819</v>
      </c>
      <c r="Y368" s="385">
        <f t="shared" si="133"/>
        <v>8.2949999999999999</v>
      </c>
      <c r="Z368" s="385">
        <f t="shared" si="134"/>
        <v>8.3973694422646243</v>
      </c>
      <c r="AA368" s="386">
        <f t="shared" si="135"/>
        <v>8.6398267879654096</v>
      </c>
      <c r="AB368" s="197">
        <f t="shared" si="136"/>
        <v>43819</v>
      </c>
      <c r="AC368" s="426">
        <f>IF(OR(t&lt;Tnet,NoTnet),'2018'!Resal_s+('2018'!Salim-'2018'!Resal_s)*(1-EXP(('2018'!Tnet_s-t)/'2018'!Tau_j)),Resal_s+(Salim-Resal_s)*(1-EXP((Tnet_s-t)/Tau_j)))*Salcycl</f>
        <v>2.8062755382840459E-2</v>
      </c>
      <c r="AD368" s="231">
        <f>(INDEX(Models!$BJ368:$BT368,,AH368)*(1-AF368)+INDEX(Models!$BJ368:$BT368,,AH368+1)*AF368-ERP_i)*AE368*Ramure*Pc/MaxiM</f>
        <v>1.3557659197364853E-4</v>
      </c>
      <c r="AE368" s="305">
        <f t="shared" si="137"/>
        <v>0.5</v>
      </c>
      <c r="AF368" s="177">
        <f t="shared" si="138"/>
        <v>0.99737496802845671</v>
      </c>
      <c r="AG368" s="176">
        <f t="shared" si="139"/>
        <v>-2</v>
      </c>
      <c r="AH368" s="176">
        <f t="shared" si="140"/>
        <v>4</v>
      </c>
      <c r="AI368" s="225">
        <f t="shared" si="141"/>
        <v>-1.0026250319715433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7">
        <v>19.690999999999999</v>
      </c>
      <c r="C369" s="390"/>
      <c r="D369" s="393">
        <f t="shared" si="123"/>
        <v>19.93444525778192</v>
      </c>
      <c r="E369" s="385">
        <f t="shared" si="145"/>
        <v>20.510765274159539</v>
      </c>
      <c r="F369" s="385">
        <f t="shared" si="124"/>
        <v>20.512881562962292</v>
      </c>
      <c r="G369" s="110">
        <f t="shared" si="146"/>
        <v>0.83373367026199396</v>
      </c>
      <c r="H369" s="414" t="b">
        <f>Wh_hp&gt;='2018'!Maxi_hp</f>
        <v>1</v>
      </c>
      <c r="I369" s="390">
        <f>IF(H369,Wh_hp,'2018'!Maxi_hp)</f>
        <v>20.512881562962292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1.2212291570385503E-2</v>
      </c>
      <c r="M369" s="845"/>
      <c r="N369" s="845"/>
      <c r="O369" s="48">
        <f>IF(t&lt;Tnet,'2018'!Resal+('2018'!Salim-'2018'!Resal)*(1-EXP(('2018'!Tnet-t)/('2018'!Tau_j))),Resal+(Salim-Resal)*(1-EXP((Tnet-t)/(Tau_j))))*Salcycl</f>
        <v>2.8098416059770027E-2</v>
      </c>
      <c r="P369" s="169">
        <f>(INDEX(Models!$BJ369:$BT369,,T369)*(1-R369)+INDEX(Models!$BJ369:$BT369,,T369+1)*R369-ERP_i)*Q369*Ramure*Pc/MaxiM</f>
        <v>1.3530065529665183E-4</v>
      </c>
      <c r="Q369" s="305">
        <f t="shared" si="126"/>
        <v>0.5</v>
      </c>
      <c r="R369" s="177">
        <f t="shared" si="127"/>
        <v>0.99738220751304363</v>
      </c>
      <c r="S369" s="811">
        <f t="shared" si="128"/>
        <v>-2</v>
      </c>
      <c r="T369" s="176">
        <f t="shared" si="129"/>
        <v>4</v>
      </c>
      <c r="U369" s="251">
        <f t="shared" si="130"/>
        <v>-1.0026177924869564</v>
      </c>
      <c r="V369" s="383">
        <f t="shared" si="131"/>
        <v>23.617094916674748</v>
      </c>
      <c r="W369" s="58"/>
      <c r="X369" s="157">
        <f t="shared" si="132"/>
        <v>43820</v>
      </c>
      <c r="Y369" s="385">
        <f t="shared" si="133"/>
        <v>19.690999999999999</v>
      </c>
      <c r="Z369" s="385">
        <f t="shared" si="134"/>
        <v>19.93444525778192</v>
      </c>
      <c r="AA369" s="386">
        <f t="shared" si="135"/>
        <v>20.510765274159539</v>
      </c>
      <c r="AB369" s="197">
        <f t="shared" si="136"/>
        <v>43820</v>
      </c>
      <c r="AC369" s="426">
        <f>IF(OR(t&lt;Tnet,NoTnet),'2018'!Resal_s+('2018'!Salim-'2018'!Resal_s)*(1-EXP(('2018'!Tnet_s-t)/'2018'!Tau_j)),Resal_s+(Salim-Resal_s)*(1-EXP((Tnet_s-t)/Tau_j)))*Salcycl</f>
        <v>2.8098416059770027E-2</v>
      </c>
      <c r="AD369" s="231">
        <f>(INDEX(Models!$BJ369:$BT369,,AH369)*(1-AF369)+INDEX(Models!$BJ369:$BT369,,AH369+1)*AF369-ERP_i)*AE369*Ramure*Pc/MaxiM</f>
        <v>1.3530065529665183E-4</v>
      </c>
      <c r="AE369" s="305">
        <f t="shared" si="137"/>
        <v>0.5</v>
      </c>
      <c r="AF369" s="177">
        <f t="shared" si="138"/>
        <v>0.99738220751304363</v>
      </c>
      <c r="AG369" s="176">
        <f t="shared" si="139"/>
        <v>-2</v>
      </c>
      <c r="AH369" s="176">
        <f t="shared" si="140"/>
        <v>4</v>
      </c>
      <c r="AI369" s="225">
        <f t="shared" si="141"/>
        <v>-1.0026177924869564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7">
        <v>7.4189999999999996</v>
      </c>
      <c r="C370" s="390"/>
      <c r="D370" s="393">
        <f t="shared" si="123"/>
        <v>7.5108876486168157</v>
      </c>
      <c r="E370" s="385">
        <f t="shared" si="145"/>
        <v>7.728318022945543</v>
      </c>
      <c r="F370" s="385">
        <f t="shared" si="124"/>
        <v>7.728338471724344</v>
      </c>
      <c r="G370" s="110">
        <f t="shared" si="146"/>
        <v>0.31367930761301699</v>
      </c>
      <c r="H370" s="414" t="b">
        <f>Wh_hp&gt;='2018'!Maxi_hp</f>
        <v>1</v>
      </c>
      <c r="I370" s="390">
        <f>IF(H370,Wh_hp,'2018'!Maxi_hp)</f>
        <v>7.728338471724344</v>
      </c>
      <c r="J370" s="85">
        <f>IF(H370,An,'2018'!An_max)</f>
        <v>2019</v>
      </c>
      <c r="K370" s="197">
        <f t="shared" si="125"/>
        <v>43821</v>
      </c>
      <c r="L370" s="147">
        <f>IF(t&lt;Tvie,1-EXP((T0-t)*PertePVj)+'2018'!Pspv,1-EXP((T0-t)*PertePVj)+Pspv)</f>
        <v>1.2233926656290417E-2</v>
      </c>
      <c r="M370" s="845"/>
      <c r="N370" s="845"/>
      <c r="O370" s="48">
        <f>IF(t&lt;Tnet,'2018'!Resal+('2018'!Salim-'2018'!Resal)*(1-EXP(('2018'!Tnet-t)/('2018'!Tau_j))),Resal+(Salim-Resal)*(1-EXP((Tnet-t)/(Tau_j))))*Salcycl</f>
        <v>2.8134242623449449E-2</v>
      </c>
      <c r="P370" s="169">
        <f>(INDEX(Models!$BJ370:$BT370,,T370)*(1-R370)+INDEX(Models!$BJ370:$BT370,,T370+1)*R370-ERP_i)*Q370*Ramure*Pc/MaxiM</f>
        <v>1.3498919528341308E-4</v>
      </c>
      <c r="Q370" s="305">
        <f t="shared" si="126"/>
        <v>0.5</v>
      </c>
      <c r="R370" s="177">
        <f t="shared" si="127"/>
        <v>0.99738915571184084</v>
      </c>
      <c r="S370" s="811">
        <f t="shared" si="128"/>
        <v>-2</v>
      </c>
      <c r="T370" s="176">
        <f t="shared" si="129"/>
        <v>4</v>
      </c>
      <c r="U370" s="251">
        <f t="shared" si="130"/>
        <v>-1.0026108442881592</v>
      </c>
      <c r="V370" s="383">
        <f t="shared" si="131"/>
        <v>23.64841404202279</v>
      </c>
      <c r="W370" s="58"/>
      <c r="X370" s="157">
        <f t="shared" si="132"/>
        <v>43821</v>
      </c>
      <c r="Y370" s="385">
        <f t="shared" si="133"/>
        <v>7.4189999999999996</v>
      </c>
      <c r="Z370" s="385">
        <f t="shared" si="134"/>
        <v>7.5108876486168157</v>
      </c>
      <c r="AA370" s="386">
        <f t="shared" si="135"/>
        <v>7.728318022945543</v>
      </c>
      <c r="AB370" s="197">
        <f t="shared" si="136"/>
        <v>43821</v>
      </c>
      <c r="AC370" s="426">
        <f>IF(OR(t&lt;Tnet,NoTnet),'2018'!Resal_s+('2018'!Salim-'2018'!Resal_s)*(1-EXP(('2018'!Tnet_s-t)/'2018'!Tau_j)),Resal_s+(Salim-Resal_s)*(1-EXP((Tnet_s-t)/Tau_j)))*Salcycl</f>
        <v>2.8134242623449449E-2</v>
      </c>
      <c r="AD370" s="231">
        <f>(INDEX(Models!$BJ370:$BT370,,AH370)*(1-AF370)+INDEX(Models!$BJ370:$BT370,,AH370+1)*AF370-ERP_i)*AE370*Ramure*Pc/MaxiM</f>
        <v>1.3498919528341308E-4</v>
      </c>
      <c r="AE370" s="305">
        <f t="shared" si="137"/>
        <v>0.5</v>
      </c>
      <c r="AF370" s="177">
        <f t="shared" si="138"/>
        <v>0.99738915571184084</v>
      </c>
      <c r="AG370" s="176">
        <f t="shared" si="139"/>
        <v>-2</v>
      </c>
      <c r="AH370" s="176">
        <f t="shared" si="140"/>
        <v>4</v>
      </c>
      <c r="AI370" s="225">
        <f t="shared" si="141"/>
        <v>-1.0026108442881592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7">
        <v>6.9009999999999998</v>
      </c>
      <c r="C371" s="390"/>
      <c r="D371" s="393">
        <f t="shared" si="123"/>
        <v>6.9866250108796919</v>
      </c>
      <c r="E371" s="385">
        <f t="shared" si="145"/>
        <v>7.1891447999297817</v>
      </c>
      <c r="F371" s="385">
        <f t="shared" si="124"/>
        <v>7.1891447999297817</v>
      </c>
      <c r="G371" s="110">
        <f t="shared" si="146"/>
        <v>0.29123292479426766</v>
      </c>
      <c r="H371" s="414" t="b">
        <f>Wh_hp&gt;='2018'!Maxi_hp</f>
        <v>1</v>
      </c>
      <c r="I371" s="390">
        <f>IF(H371,Wh_hp,'2018'!Maxi_hp)</f>
        <v>7.1891447999297817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1.2255561268331383E-2</v>
      </c>
      <c r="M371" s="845"/>
      <c r="N371" s="845"/>
      <c r="O371" s="48">
        <f>IF(t&lt;Tnet,'2018'!Resal+('2018'!Salim-'2018'!Resal)*(1-EXP(('2018'!Tnet-t)/('2018'!Tau_j))),Resal+(Salim-Resal)*(1-EXP((Tnet-t)/(Tau_j))))*Salcycl</f>
        <v>2.8170219780810007E-2</v>
      </c>
      <c r="P371" s="169">
        <f>(INDEX(Models!$BJ371:$BT371,,T371)*(1-R371)+INDEX(Models!$BJ371:$BT371,,T371+1)*R371-ERP_i)*Q371*Ramure*Pc/MaxiM</f>
        <v>1.3463983829458933E-4</v>
      </c>
      <c r="Q371" s="305">
        <f t="shared" si="126"/>
        <v>0.5</v>
      </c>
      <c r="R371" s="177">
        <f t="shared" si="127"/>
        <v>0.99738915571184084</v>
      </c>
      <c r="S371" s="811">
        <f t="shared" si="128"/>
        <v>-2</v>
      </c>
      <c r="T371" s="176">
        <f t="shared" si="129"/>
        <v>4</v>
      </c>
      <c r="U371" s="251">
        <f t="shared" si="130"/>
        <v>-1.0026108442881592</v>
      </c>
      <c r="V371" s="383">
        <f t="shared" si="131"/>
        <v>23.692619422581661</v>
      </c>
      <c r="W371" s="58"/>
      <c r="X371" s="157">
        <f t="shared" si="132"/>
        <v>43822</v>
      </c>
      <c r="Y371" s="385">
        <f t="shared" si="133"/>
        <v>6.9009999999999998</v>
      </c>
      <c r="Z371" s="385">
        <f t="shared" si="134"/>
        <v>6.9866250108796919</v>
      </c>
      <c r="AA371" s="386">
        <f t="shared" si="135"/>
        <v>7.1891447999297817</v>
      </c>
      <c r="AB371" s="197">
        <f t="shared" si="136"/>
        <v>43822</v>
      </c>
      <c r="AC371" s="426">
        <f>IF(OR(t&lt;Tnet,NoTnet),'2018'!Resal_s+('2018'!Salim-'2018'!Resal_s)*(1-EXP(('2018'!Tnet_s-t)/'2018'!Tau_j)),Resal_s+(Salim-Resal_s)*(1-EXP((Tnet_s-t)/Tau_j)))*Salcycl</f>
        <v>2.8170219780810007E-2</v>
      </c>
      <c r="AD371" s="231">
        <f>(INDEX(Models!$BJ371:$BT371,,AH371)*(1-AF371)+INDEX(Models!$BJ371:$BT371,,AH371+1)*AF371-ERP_i)*AE371*Ramure*Pc/MaxiM</f>
        <v>1.3463983829458933E-4</v>
      </c>
      <c r="AE371" s="305">
        <f t="shared" si="137"/>
        <v>0.5</v>
      </c>
      <c r="AF371" s="177">
        <f t="shared" si="138"/>
        <v>0.99738915571184084</v>
      </c>
      <c r="AG371" s="176">
        <f t="shared" si="139"/>
        <v>-2</v>
      </c>
      <c r="AH371" s="176">
        <f t="shared" si="140"/>
        <v>4</v>
      </c>
      <c r="AI371" s="225">
        <f t="shared" si="141"/>
        <v>-1.0026108442881592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7">
        <v>14.686</v>
      </c>
      <c r="C372" s="390"/>
      <c r="D372" s="393">
        <f t="shared" si="123"/>
        <v>14.868544020348244</v>
      </c>
      <c r="E372" s="385">
        <f t="shared" si="145"/>
        <v>15.300103840039004</v>
      </c>
      <c r="F372" s="385">
        <f t="shared" si="124"/>
        <v>15.301038083820069</v>
      </c>
      <c r="G372" s="110">
        <f t="shared" si="146"/>
        <v>0.61831369753360521</v>
      </c>
      <c r="H372" s="414" t="b">
        <f>Wh_hp&gt;='2018'!Maxi_hp</f>
        <v>1</v>
      </c>
      <c r="I372" s="390">
        <f>IF(H372,Wh_hp,'2018'!Maxi_hp)</f>
        <v>15.301038083820069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1.2277195406518948E-2</v>
      </c>
      <c r="M372" s="845"/>
      <c r="N372" s="845"/>
      <c r="O372" s="48">
        <f>IF(t&lt;Tnet,'2018'!Resal+('2018'!Salim-'2018'!Resal)*(1-EXP(('2018'!Tnet-t)/('2018'!Tau_j))),Resal+(Salim-Resal)*(1-EXP((Tnet-t)/(Tau_j))))*Salcycl</f>
        <v>2.820633272837049E-2</v>
      </c>
      <c r="P372" s="169">
        <f>(INDEX(Models!$BJ372:$BT372,,T372)*(1-R372)+INDEX(Models!$BJ372:$BT372,,T372+1)*R372-ERP_i)*Q372*Ramure*Pc/MaxiM</f>
        <v>1.3425185070761037E-4</v>
      </c>
      <c r="Q372" s="305">
        <f t="shared" si="126"/>
        <v>0.5</v>
      </c>
      <c r="R372" s="177">
        <f t="shared" si="127"/>
        <v>0.99738915571184084</v>
      </c>
      <c r="S372" s="811">
        <f t="shared" si="128"/>
        <v>-2</v>
      </c>
      <c r="T372" s="176">
        <f t="shared" si="129"/>
        <v>4</v>
      </c>
      <c r="U372" s="251">
        <f t="shared" si="130"/>
        <v>-1.0026108442881592</v>
      </c>
      <c r="V372" s="383">
        <f t="shared" si="131"/>
        <v>23.749959060146651</v>
      </c>
      <c r="W372" s="58"/>
      <c r="X372" s="157">
        <f t="shared" si="132"/>
        <v>43823</v>
      </c>
      <c r="Y372" s="385">
        <f t="shared" si="133"/>
        <v>14.686</v>
      </c>
      <c r="Z372" s="385">
        <f t="shared" si="134"/>
        <v>14.868544020348244</v>
      </c>
      <c r="AA372" s="386">
        <f t="shared" si="135"/>
        <v>15.300103840039004</v>
      </c>
      <c r="AB372" s="197">
        <f t="shared" si="136"/>
        <v>43823</v>
      </c>
      <c r="AC372" s="426">
        <f>IF(OR(t&lt;Tnet,NoTnet),'2018'!Resal_s+('2018'!Salim-'2018'!Resal_s)*(1-EXP(('2018'!Tnet_s-t)/'2018'!Tau_j)),Resal_s+(Salim-Resal_s)*(1-EXP((Tnet_s-t)/Tau_j)))*Salcycl</f>
        <v>2.820633272837049E-2</v>
      </c>
      <c r="AD372" s="231">
        <f>(INDEX(Models!$BJ372:$BT372,,AH372)*(1-AF372)+INDEX(Models!$BJ372:$BT372,,AH372+1)*AF372-ERP_i)*AE372*Ramure*Pc/MaxiM</f>
        <v>1.3425185070761037E-4</v>
      </c>
      <c r="AE372" s="305">
        <f t="shared" si="137"/>
        <v>0.5</v>
      </c>
      <c r="AF372" s="177">
        <f t="shared" si="138"/>
        <v>0.99738915571184084</v>
      </c>
      <c r="AG372" s="176">
        <f t="shared" si="139"/>
        <v>-2</v>
      </c>
      <c r="AH372" s="176">
        <f t="shared" si="140"/>
        <v>4</v>
      </c>
      <c r="AI372" s="225">
        <f t="shared" si="141"/>
        <v>-1.0026108442881592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7">
        <v>13.138999999999999</v>
      </c>
      <c r="C373" s="390"/>
      <c r="D373" s="393">
        <f t="shared" si="123"/>
        <v>13.3026064833355</v>
      </c>
      <c r="E373" s="385">
        <f t="shared" si="145"/>
        <v>13.689225350543156</v>
      </c>
      <c r="F373" s="385">
        <f t="shared" si="124"/>
        <v>13.689883592953603</v>
      </c>
      <c r="G373" s="110">
        <f t="shared" si="146"/>
        <v>0.55148316736885417</v>
      </c>
      <c r="H373" s="414" t="b">
        <f>Wh_hp&gt;='2018'!Maxi_hp</f>
        <v>0</v>
      </c>
      <c r="I373" s="390">
        <f>IF(H373,Wh_hp,'2018'!Maxi_hp)</f>
        <v>16.332134440633631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1.2298829070863326E-2</v>
      </c>
      <c r="M373" s="845"/>
      <c r="N373" s="845"/>
      <c r="O373" s="48">
        <f>IF(t&lt;Tnet,'2018'!Resal+('2018'!Salim-'2018'!Resal)*(1-EXP(('2018'!Tnet-t)/('2018'!Tau_j))),Resal+(Salim-Resal)*(1-EXP((Tnet-t)/(Tau_j))))*Salcycl</f>
        <v>2.8242567224033312E-2</v>
      </c>
      <c r="P373" s="169">
        <f>(INDEX(Models!$BJ373:$BT373,,T373)*(1-R373)+INDEX(Models!$BJ373:$BT373,,T373+1)*R373-ERP_i)*Q373*Ramure*Pc/MaxiM</f>
        <v>1.3381154159611855E-4</v>
      </c>
      <c r="Q373" s="305">
        <f t="shared" si="126"/>
        <v>0.5</v>
      </c>
      <c r="R373" s="177">
        <f t="shared" si="127"/>
        <v>0.99738915571184084</v>
      </c>
      <c r="S373" s="811">
        <f t="shared" si="128"/>
        <v>-2</v>
      </c>
      <c r="T373" s="176">
        <f t="shared" si="129"/>
        <v>4</v>
      </c>
      <c r="U373" s="251">
        <f t="shared" si="130"/>
        <v>-1.0026108442881592</v>
      </c>
      <c r="V373" s="383">
        <f t="shared" si="131"/>
        <v>23.822800636474486</v>
      </c>
      <c r="W373" s="58"/>
      <c r="X373" s="157">
        <f t="shared" si="132"/>
        <v>43824</v>
      </c>
      <c r="Y373" s="385">
        <f t="shared" si="133"/>
        <v>13.138999999999999</v>
      </c>
      <c r="Z373" s="385">
        <f t="shared" si="134"/>
        <v>13.3026064833355</v>
      </c>
      <c r="AA373" s="386">
        <f t="shared" si="135"/>
        <v>13.689225350543156</v>
      </c>
      <c r="AB373" s="197">
        <f t="shared" si="136"/>
        <v>43824</v>
      </c>
      <c r="AC373" s="426">
        <f>IF(OR(t&lt;Tnet,NoTnet),'2018'!Resal_s+('2018'!Salim-'2018'!Resal_s)*(1-EXP(('2018'!Tnet_s-t)/'2018'!Tau_j)),Resal_s+(Salim-Resal_s)*(1-EXP((Tnet_s-t)/Tau_j)))*Salcycl</f>
        <v>2.8242567224033312E-2</v>
      </c>
      <c r="AD373" s="231">
        <f>(INDEX(Models!$BJ373:$BT373,,AH373)*(1-AF373)+INDEX(Models!$BJ373:$BT373,,AH373+1)*AF373-ERP_i)*AE373*Ramure*Pc/MaxiM</f>
        <v>1.3381154159611855E-4</v>
      </c>
      <c r="AE373" s="305">
        <f t="shared" si="137"/>
        <v>0.5</v>
      </c>
      <c r="AF373" s="177">
        <f t="shared" si="138"/>
        <v>0.99738915571184084</v>
      </c>
      <c r="AG373" s="176">
        <f t="shared" si="139"/>
        <v>-2</v>
      </c>
      <c r="AH373" s="176">
        <f t="shared" si="140"/>
        <v>4</v>
      </c>
      <c r="AI373" s="225">
        <f t="shared" si="141"/>
        <v>-1.0026108442881592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7">
        <v>10.673</v>
      </c>
      <c r="C374" s="390"/>
      <c r="D374" s="393">
        <f t="shared" si="123"/>
        <v>10.806136598148754</v>
      </c>
      <c r="E374" s="385">
        <f t="shared" si="145"/>
        <v>11.120615478535745</v>
      </c>
      <c r="F374" s="385">
        <f t="shared" si="124"/>
        <v>11.120925402977241</v>
      </c>
      <c r="G374" s="110">
        <f t="shared" si="146"/>
        <v>0.44628740456888288</v>
      </c>
      <c r="H374" s="414" t="b">
        <f>Wh_hp&gt;='2018'!Maxi_hp</f>
        <v>0</v>
      </c>
      <c r="I374" s="390">
        <f>IF(H374,Wh_hp,'2018'!Maxi_hp)</f>
        <v>24.2954595694269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1.2320462261374843E-2</v>
      </c>
      <c r="M374" s="845"/>
      <c r="N374" s="845"/>
      <c r="O374" s="48">
        <f>IF(t&lt;Tnet,'2018'!Resal+('2018'!Salim-'2018'!Resal)*(1-EXP(('2018'!Tnet-t)/('2018'!Tau_j))),Resal+(Salim-Resal)*(1-EXP((Tnet-t)/(Tau_j))))*Salcycl</f>
        <v>2.8278909651536611E-2</v>
      </c>
      <c r="P374" s="169">
        <f>(INDEX(Models!$BJ374:$BT374,,T374)*(1-R374)+INDEX(Models!$BJ374:$BT374,,T374+1)*R374-ERP_i)*Q374*Ramure*Pc/MaxiM</f>
        <v>1.3331109790323576E-4</v>
      </c>
      <c r="Q374" s="305">
        <f t="shared" si="126"/>
        <v>0.5</v>
      </c>
      <c r="R374" s="177">
        <f t="shared" si="127"/>
        <v>0.99738915571184084</v>
      </c>
      <c r="S374" s="811">
        <f t="shared" si="128"/>
        <v>-2</v>
      </c>
      <c r="T374" s="176">
        <f t="shared" si="129"/>
        <v>4</v>
      </c>
      <c r="U374" s="251">
        <f t="shared" si="130"/>
        <v>-1.0026108442881592</v>
      </c>
      <c r="V374" s="383">
        <f t="shared" si="131"/>
        <v>23.912560541546583</v>
      </c>
      <c r="W374" s="58"/>
      <c r="X374" s="157">
        <f t="shared" si="132"/>
        <v>43825</v>
      </c>
      <c r="Y374" s="385">
        <f t="shared" si="133"/>
        <v>10.673</v>
      </c>
      <c r="Z374" s="385">
        <f t="shared" si="134"/>
        <v>10.806136598148754</v>
      </c>
      <c r="AA374" s="386">
        <f t="shared" si="135"/>
        <v>11.120615478535745</v>
      </c>
      <c r="AB374" s="197">
        <f t="shared" si="136"/>
        <v>43825</v>
      </c>
      <c r="AC374" s="426">
        <f>IF(OR(t&lt;Tnet,NoTnet),'2018'!Resal_s+('2018'!Salim-'2018'!Resal_s)*(1-EXP(('2018'!Tnet_s-t)/'2018'!Tau_j)),Resal_s+(Salim-Resal_s)*(1-EXP((Tnet_s-t)/Tau_j)))*Salcycl</f>
        <v>2.8278909651536611E-2</v>
      </c>
      <c r="AD374" s="231">
        <f>(INDEX(Models!$BJ374:$BT374,,AH374)*(1-AF374)+INDEX(Models!$BJ374:$BT374,,AH374+1)*AF374-ERP_i)*AE374*Ramure*Pc/MaxiM</f>
        <v>1.3331109790323576E-4</v>
      </c>
      <c r="AE374" s="305">
        <f t="shared" si="137"/>
        <v>0.5</v>
      </c>
      <c r="AF374" s="177">
        <f t="shared" si="138"/>
        <v>0.99738915571184084</v>
      </c>
      <c r="AG374" s="176">
        <f t="shared" si="139"/>
        <v>-2</v>
      </c>
      <c r="AH374" s="176">
        <f t="shared" si="140"/>
        <v>4</v>
      </c>
      <c r="AI374" s="225">
        <f t="shared" si="141"/>
        <v>-1.0026108442881592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7">
        <v>21.085000000000001</v>
      </c>
      <c r="C375" s="390"/>
      <c r="D375" s="393">
        <f t="shared" si="123"/>
        <v>21.348485029876514</v>
      </c>
      <c r="E375" s="385">
        <f t="shared" si="145"/>
        <v>21.970589908630711</v>
      </c>
      <c r="F375" s="385">
        <f t="shared" si="124"/>
        <v>21.972999153886398</v>
      </c>
      <c r="G375" s="110">
        <f t="shared" si="146"/>
        <v>0.87786076968465243</v>
      </c>
      <c r="H375" s="414" t="b">
        <f>Wh_hp&gt;='2018'!Maxi_hp</f>
        <v>0</v>
      </c>
      <c r="I375" s="390">
        <f>IF(H375,Wh_hp,'2018'!Maxi_hp)</f>
        <v>24.678488393426758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1.2342094978064044E-2</v>
      </c>
      <c r="M375" s="845"/>
      <c r="N375" s="845"/>
      <c r="O375" s="48">
        <f>IF(t&lt;Tnet,'2018'!Resal+('2018'!Salim-'2018'!Resal)*(1-EXP(('2018'!Tnet-t)/('2018'!Tau_j))),Resal+(Salim-Resal)*(1-EXP((Tnet-t)/(Tau_j))))*Salcycl</f>
        <v>2.8315347077222254E-2</v>
      </c>
      <c r="P375" s="169">
        <f>(INDEX(Models!$BJ375:$BT375,,T375)*(1-R375)+INDEX(Models!$BJ375:$BT375,,T375+1)*R375-ERP_i)*Q375*Ramure*Pc/MaxiM</f>
        <v>1.328162496909361E-4</v>
      </c>
      <c r="Q375" s="305">
        <f t="shared" si="126"/>
        <v>0.5</v>
      </c>
      <c r="R375" s="177">
        <f t="shared" si="127"/>
        <v>0.99738915571184084</v>
      </c>
      <c r="S375" s="811">
        <f t="shared" si="128"/>
        <v>-2</v>
      </c>
      <c r="T375" s="176">
        <f t="shared" si="129"/>
        <v>4</v>
      </c>
      <c r="U375" s="251">
        <f t="shared" si="130"/>
        <v>-1.0026108442881592</v>
      </c>
      <c r="V375" s="383">
        <f t="shared" si="131"/>
        <v>24.018058584993319</v>
      </c>
      <c r="W375" s="58"/>
      <c r="X375" s="157">
        <f t="shared" si="132"/>
        <v>43826</v>
      </c>
      <c r="Y375" s="385">
        <f t="shared" si="133"/>
        <v>21.085000000000001</v>
      </c>
      <c r="Z375" s="385">
        <f t="shared" si="134"/>
        <v>21.348485029876514</v>
      </c>
      <c r="AA375" s="386">
        <f t="shared" si="135"/>
        <v>21.970589908630711</v>
      </c>
      <c r="AB375" s="197">
        <f t="shared" si="136"/>
        <v>43826</v>
      </c>
      <c r="AC375" s="426">
        <f>IF(OR(t&lt;Tnet,NoTnet),'2018'!Resal_s+('2018'!Salim-'2018'!Resal_s)*(1-EXP(('2018'!Tnet_s-t)/'2018'!Tau_j)),Resal_s+(Salim-Resal_s)*(1-EXP((Tnet_s-t)/Tau_j)))*Salcycl</f>
        <v>2.8315347077222254E-2</v>
      </c>
      <c r="AD375" s="231">
        <f>(INDEX(Models!$BJ375:$BT375,,AH375)*(1-AF375)+INDEX(Models!$BJ375:$BT375,,AH375+1)*AF375-ERP_i)*AE375*Ramure*Pc/MaxiM</f>
        <v>1.328162496909361E-4</v>
      </c>
      <c r="AE375" s="305">
        <f t="shared" si="137"/>
        <v>0.5</v>
      </c>
      <c r="AF375" s="177">
        <f t="shared" si="138"/>
        <v>0.99738915571184084</v>
      </c>
      <c r="AG375" s="176">
        <f t="shared" si="139"/>
        <v>-2</v>
      </c>
      <c r="AH375" s="176">
        <f t="shared" si="140"/>
        <v>4</v>
      </c>
      <c r="AI375" s="225">
        <f t="shared" si="141"/>
        <v>-1.0026108442881592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7">
        <v>4.2080000000000002</v>
      </c>
      <c r="C376" s="390"/>
      <c r="D376" s="393">
        <f t="shared" si="123"/>
        <v>4.2606778588227892</v>
      </c>
      <c r="E376" s="385">
        <f t="shared" si="145"/>
        <v>4.3850008201819533</v>
      </c>
      <c r="F376" s="385">
        <f t="shared" si="124"/>
        <v>4.3850008201819533</v>
      </c>
      <c r="G376" s="110">
        <f t="shared" si="146"/>
        <v>0.17430702127053643</v>
      </c>
      <c r="H376" s="414" t="b">
        <f>Wh_hp&gt;='2018'!Maxi_hp</f>
        <v>1</v>
      </c>
      <c r="I376" s="390">
        <f>IF(H376,Wh_hp,'2018'!Maxi_hp)</f>
        <v>4.3850008201819533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1.2363727220941256E-2</v>
      </c>
      <c r="M376" s="845"/>
      <c r="N376" s="845"/>
      <c r="O376" s="48">
        <f>IF(t&lt;Tnet,'2018'!Resal+('2018'!Salim-'2018'!Resal)*(1-EXP(('2018'!Tnet-t)/('2018'!Tau_j))),Resal+(Salim-Resal)*(1-EXP((Tnet-t)/(Tau_j))))*Salcycl</f>
        <v>2.8351867298853806E-2</v>
      </c>
      <c r="P376" s="169">
        <f>(INDEX(Models!$BJ376:$BT376,,T376)*(1-R376)+INDEX(Models!$BJ376:$BT376,,T376+1)*R376-ERP_i)*Q376*Ramure*Pc/MaxiM</f>
        <v>1.3232377756946682E-4</v>
      </c>
      <c r="Q376" s="305">
        <f t="shared" si="126"/>
        <v>0.5</v>
      </c>
      <c r="R376" s="177">
        <f t="shared" si="127"/>
        <v>0.99738915571184084</v>
      </c>
      <c r="S376" s="811">
        <f t="shared" si="128"/>
        <v>-2</v>
      </c>
      <c r="T376" s="176">
        <f t="shared" si="129"/>
        <v>4</v>
      </c>
      <c r="U376" s="251">
        <f t="shared" si="130"/>
        <v>-1.0026108442881592</v>
      </c>
      <c r="V376" s="383">
        <f t="shared" si="131"/>
        <v>24.138116473310323</v>
      </c>
      <c r="W376" s="58"/>
      <c r="X376" s="157">
        <f t="shared" si="132"/>
        <v>43827</v>
      </c>
      <c r="Y376" s="385">
        <f t="shared" si="133"/>
        <v>4.2080000000000002</v>
      </c>
      <c r="Z376" s="385">
        <f t="shared" si="134"/>
        <v>4.2606778588227892</v>
      </c>
      <c r="AA376" s="386">
        <f t="shared" si="135"/>
        <v>4.3850008201819533</v>
      </c>
      <c r="AB376" s="197">
        <f t="shared" si="136"/>
        <v>43827</v>
      </c>
      <c r="AC376" s="426">
        <f>IF(OR(t&lt;Tnet,NoTnet),'2018'!Resal_s+('2018'!Salim-'2018'!Resal_s)*(1-EXP(('2018'!Tnet_s-t)/'2018'!Tau_j)),Resal_s+(Salim-Resal_s)*(1-EXP((Tnet_s-t)/Tau_j)))*Salcycl</f>
        <v>2.8351867298853806E-2</v>
      </c>
      <c r="AD376" s="231">
        <f>(INDEX(Models!$BJ376:$BT376,,AH376)*(1-AF376)+INDEX(Models!$BJ376:$BT376,,AH376+1)*AF376-ERP_i)*AE376*Ramure*Pc/MaxiM</f>
        <v>1.3232377756946682E-4</v>
      </c>
      <c r="AE376" s="305">
        <f t="shared" si="137"/>
        <v>0.5</v>
      </c>
      <c r="AF376" s="177">
        <f t="shared" si="138"/>
        <v>0.99738915571184084</v>
      </c>
      <c r="AG376" s="176">
        <f t="shared" si="139"/>
        <v>-2</v>
      </c>
      <c r="AH376" s="176">
        <f t="shared" si="140"/>
        <v>4</v>
      </c>
      <c r="AI376" s="225">
        <f t="shared" si="141"/>
        <v>-1.0026108442881592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7">
        <v>23.699000000000002</v>
      </c>
      <c r="C377" s="390"/>
      <c r="D377" s="393">
        <f t="shared" si="123"/>
        <v>23.996201570851806</v>
      </c>
      <c r="E377" s="385">
        <f t="shared" si="145"/>
        <v>24.697320436669848</v>
      </c>
      <c r="F377" s="385">
        <f t="shared" si="124"/>
        <v>24.70046719987749</v>
      </c>
      <c r="G377" s="110">
        <f t="shared" si="146"/>
        <v>0.97640607626636655</v>
      </c>
      <c r="H377" s="414" t="b">
        <f>Wh_hp&gt;='2018'!Maxi_hp</f>
        <v>1</v>
      </c>
      <c r="I377" s="390">
        <f>IF(H377,Wh_hp,'2018'!Maxi_hp)</f>
        <v>24.70046719987749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1.2385358990016804E-2</v>
      </c>
      <c r="M377" s="845"/>
      <c r="N377" s="845"/>
      <c r="O377" s="48">
        <f>IF(t&lt;Tnet,'2018'!Resal+('2018'!Salim-'2018'!Resal)*(1-EXP(('2018'!Tnet-t)/('2018'!Tau_j))),Resal+(Salim-Resal)*(1-EXP((Tnet-t)/(Tau_j))))*Salcycl</f>
        <v>2.8388458886294536E-2</v>
      </c>
      <c r="P377" s="169">
        <f>(INDEX(Models!$BJ377:$BT377,,T377)*(1-R377)+INDEX(Models!$BJ377:$BT377,,T377+1)*R377-ERP_i)*Q377*Ramure*Pc/MaxiM</f>
        <v>1.3183983471788349E-4</v>
      </c>
      <c r="Q377" s="305">
        <f t="shared" si="126"/>
        <v>0.5</v>
      </c>
      <c r="R377" s="177">
        <f t="shared" si="127"/>
        <v>0.99738915571184084</v>
      </c>
      <c r="S377" s="811">
        <f t="shared" si="128"/>
        <v>-2</v>
      </c>
      <c r="T377" s="176">
        <f t="shared" si="129"/>
        <v>4</v>
      </c>
      <c r="U377" s="251">
        <f t="shared" si="130"/>
        <v>-1.0026108442881592</v>
      </c>
      <c r="V377" s="383">
        <f t="shared" si="131"/>
        <v>24.271555933308907</v>
      </c>
      <c r="W377" s="58"/>
      <c r="X377" s="157">
        <f t="shared" si="132"/>
        <v>43828</v>
      </c>
      <c r="Y377" s="385">
        <f t="shared" si="133"/>
        <v>23.699000000000002</v>
      </c>
      <c r="Z377" s="385">
        <f t="shared" si="134"/>
        <v>23.996201570851806</v>
      </c>
      <c r="AA377" s="386">
        <f t="shared" si="135"/>
        <v>24.697320436669848</v>
      </c>
      <c r="AB377" s="197">
        <f t="shared" si="136"/>
        <v>43828</v>
      </c>
      <c r="AC377" s="426">
        <f>IF(OR(t&lt;Tnet,NoTnet),'2018'!Resal_s+('2018'!Salim-'2018'!Resal_s)*(1-EXP(('2018'!Tnet_s-t)/'2018'!Tau_j)),Resal_s+(Salim-Resal_s)*(1-EXP((Tnet_s-t)/Tau_j)))*Salcycl</f>
        <v>2.8388458886294536E-2</v>
      </c>
      <c r="AD377" s="231">
        <f>(INDEX(Models!$BJ377:$BT377,,AH377)*(1-AF377)+INDEX(Models!$BJ377:$BT377,,AH377+1)*AF377-ERP_i)*AE377*Ramure*Pc/MaxiM</f>
        <v>1.3183983471788349E-4</v>
      </c>
      <c r="AE377" s="305">
        <f t="shared" si="137"/>
        <v>0.5</v>
      </c>
      <c r="AF377" s="177">
        <f t="shared" si="138"/>
        <v>0.99738915571184084</v>
      </c>
      <c r="AG377" s="176">
        <f t="shared" si="139"/>
        <v>-2</v>
      </c>
      <c r="AH377" s="176">
        <f t="shared" si="140"/>
        <v>4</v>
      </c>
      <c r="AI377" s="225">
        <f t="shared" si="141"/>
        <v>-1.0026108442881592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7">
        <v>24.965</v>
      </c>
      <c r="C378" s="390"/>
      <c r="D378" s="393">
        <f t="shared" si="123"/>
        <v>25.27863173840408</v>
      </c>
      <c r="E378" s="385">
        <f t="shared" si="145"/>
        <v>26.01820202453813</v>
      </c>
      <c r="F378" s="385">
        <f t="shared" si="124"/>
        <v>26.021620495154139</v>
      </c>
      <c r="G378" s="110">
        <f t="shared" si="146"/>
        <v>1.0224350483072104</v>
      </c>
      <c r="H378" s="414" t="b">
        <f>Wh_hp&gt;='2018'!Maxi_hp</f>
        <v>1</v>
      </c>
      <c r="I378" s="390">
        <f>IF(H378,Wh_hp,'2018'!Maxi_hp)</f>
        <v>26.021620495154139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1.2406990285301012E-2</v>
      </c>
      <c r="M378" s="845"/>
      <c r="N378" s="845"/>
      <c r="O378" s="48">
        <f>IF(t&lt;Tnet,'2018'!Resal+('2018'!Salim-'2018'!Resal)*(1-EXP(('2018'!Tnet-t)/('2018'!Tau_j))),Resal+(Salim-Resal)*(1-EXP((Tnet-t)/(Tau_j))))*Salcycl</f>
        <v>2.8425111213932101E-2</v>
      </c>
      <c r="P378" s="169">
        <f>(INDEX(Models!$BJ378:$BT378,,T378)*(1-R378)+INDEX(Models!$BJ378:$BT378,,T378+1)*R378-ERP_i)*Q378*Ramure*Pc/MaxiM</f>
        <v>1.3137039703750353E-4</v>
      </c>
      <c r="Q378" s="305">
        <f t="shared" si="126"/>
        <v>0.5</v>
      </c>
      <c r="R378" s="177">
        <f t="shared" si="127"/>
        <v>0.99738915571184084</v>
      </c>
      <c r="S378" s="811">
        <f t="shared" si="128"/>
        <v>-2</v>
      </c>
      <c r="T378" s="176">
        <f t="shared" si="129"/>
        <v>4</v>
      </c>
      <c r="U378" s="251">
        <f t="shared" si="130"/>
        <v>-1.0026108442881592</v>
      </c>
      <c r="V378" s="383">
        <f t="shared" si="131"/>
        <v>24.417198961766012</v>
      </c>
      <c r="W378" s="58"/>
      <c r="X378" s="157">
        <f t="shared" si="132"/>
        <v>43829</v>
      </c>
      <c r="Y378" s="385">
        <f t="shared" si="133"/>
        <v>24.965</v>
      </c>
      <c r="Z378" s="385">
        <f t="shared" si="134"/>
        <v>25.27863173840408</v>
      </c>
      <c r="AA378" s="386">
        <f t="shared" si="135"/>
        <v>26.01820202453813</v>
      </c>
      <c r="AB378" s="197">
        <f t="shared" si="136"/>
        <v>43829</v>
      </c>
      <c r="AC378" s="426">
        <f>IF(OR(t&lt;Tnet,NoTnet),'2018'!Resal_s+('2018'!Salim-'2018'!Resal_s)*(1-EXP(('2018'!Tnet_s-t)/'2018'!Tau_j)),Resal_s+(Salim-Resal_s)*(1-EXP((Tnet_s-t)/Tau_j)))*Salcycl</f>
        <v>2.8425111213932101E-2</v>
      </c>
      <c r="AD378" s="231">
        <f>(INDEX(Models!$BJ378:$BT378,,AH378)*(1-AF378)+INDEX(Models!$BJ378:$BT378,,AH378+1)*AF378-ERP_i)*AE378*Ramure*Pc/MaxiM</f>
        <v>1.3137039703750353E-4</v>
      </c>
      <c r="AE378" s="305">
        <f t="shared" si="137"/>
        <v>0.5</v>
      </c>
      <c r="AF378" s="177">
        <f t="shared" si="138"/>
        <v>0.99738915571184084</v>
      </c>
      <c r="AG378" s="176">
        <f t="shared" si="139"/>
        <v>-2</v>
      </c>
      <c r="AH378" s="176">
        <f t="shared" si="140"/>
        <v>4</v>
      </c>
      <c r="AI378" s="225">
        <f t="shared" si="141"/>
        <v>-1.0026108442881592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7">
        <v>17.216000000000001</v>
      </c>
      <c r="C379" s="390"/>
      <c r="D379" s="393">
        <f t="shared" si="123"/>
        <v>17.432663975432895</v>
      </c>
      <c r="E379" s="385">
        <f t="shared" si="145"/>
        <v>17.943364692545462</v>
      </c>
      <c r="F379" s="385">
        <f t="shared" si="124"/>
        <v>17.944709126593889</v>
      </c>
      <c r="G379" s="110">
        <f t="shared" si="146"/>
        <v>0.70054237952119303</v>
      </c>
      <c r="H379" s="414" t="b">
        <f>Wh_hp&gt;='2018'!Maxi_hp</f>
        <v>1</v>
      </c>
      <c r="I379" s="390">
        <f>IF(H379,Wh_hp,'2018'!Maxi_hp)</f>
        <v>17.944709126593889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1.2428621106804427E-2</v>
      </c>
      <c r="M379" s="845"/>
      <c r="N379" s="845"/>
      <c r="O379" s="48">
        <f>IF(t&lt;Tnet,'2018'!Resal+('2018'!Salim-'2018'!Resal)*(1-EXP(('2018'!Tnet-t)/('2018'!Tau_j))),Resal+(Salim-Resal)*(1-EXP((Tnet-t)/(Tau_j))))*Salcycl</f>
        <v>2.8461814484812623E-2</v>
      </c>
      <c r="P379" s="169">
        <f>(INDEX(Models!$BJ379:$BT379,,T379)*(1-R379)+INDEX(Models!$BJ379:$BT379,,T379+1)*R379-ERP_i)*Q379*Ramure*Pc/MaxiM</f>
        <v>1.3092123884753874E-4</v>
      </c>
      <c r="Q379" s="306">
        <f t="shared" si="126"/>
        <v>0.5</v>
      </c>
      <c r="R379" s="177">
        <f t="shared" si="127"/>
        <v>0.99738915571184084</v>
      </c>
      <c r="S379" s="811">
        <f t="shared" si="128"/>
        <v>-2</v>
      </c>
      <c r="T379" s="176">
        <f t="shared" si="129"/>
        <v>4</v>
      </c>
      <c r="U379" s="307">
        <f t="shared" si="130"/>
        <v>-1.0026108442881592</v>
      </c>
      <c r="V379" s="383">
        <f t="shared" si="131"/>
        <v>24.57386780507753</v>
      </c>
      <c r="W379" s="58"/>
      <c r="X379" s="157">
        <f t="shared" si="132"/>
        <v>43830</v>
      </c>
      <c r="Y379" s="385">
        <f t="shared" si="133"/>
        <v>17.216000000000001</v>
      </c>
      <c r="Z379" s="385">
        <f t="shared" si="134"/>
        <v>17.432663975432895</v>
      </c>
      <c r="AA379" s="386">
        <f t="shared" si="135"/>
        <v>17.943364692545462</v>
      </c>
      <c r="AB379" s="197">
        <f t="shared" si="136"/>
        <v>43830</v>
      </c>
      <c r="AC379" s="426">
        <f>IF(OR(t&lt;Tnet,NoTnet),'2018'!Resal_s+('2018'!Salim-'2018'!Resal_s)*(1-EXP(('2018'!Tnet_s-t)/'2018'!Tau_j)),Resal_s+(Salim-Resal_s)*(1-EXP((Tnet_s-t)/Tau_j)))*Salcycl</f>
        <v>2.8461814484812623E-2</v>
      </c>
      <c r="AD379" s="231">
        <f>(INDEX(Models!$BJ379:$BT379,,AH379)*(1-AF379)+INDEX(Models!$BJ379:$BT379,,AH379+1)*AF379-ERP_i)*AE379*Ramure*Pc/MaxiM</f>
        <v>1.3092123884753874E-4</v>
      </c>
      <c r="AE379" s="306">
        <f t="shared" si="137"/>
        <v>0.5</v>
      </c>
      <c r="AF379" s="177">
        <f t="shared" si="138"/>
        <v>0.99738915571184084</v>
      </c>
      <c r="AG379" s="176">
        <f t="shared" si="139"/>
        <v>-2</v>
      </c>
      <c r="AH379" s="176">
        <f t="shared" si="140"/>
        <v>4</v>
      </c>
      <c r="AI379" s="222">
        <f t="shared" si="141"/>
        <v>-1.0026108442881592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9"/>
      <c r="C380" s="853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50"/>
      <c r="N380" s="850"/>
      <c r="O380" s="215"/>
      <c r="P380" s="322"/>
      <c r="Q380" s="229"/>
      <c r="R380" s="229"/>
      <c r="S380" s="229"/>
      <c r="T380" s="229"/>
      <c r="U380" s="323"/>
      <c r="V380" s="383">
        <f>(V379+V15)/2</f>
        <v>24.968183774226027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1.7709999999999999</v>
      </c>
      <c r="C381" s="375"/>
      <c r="D381" s="373">
        <f>MIN(D15:D380)</f>
        <v>1.7790477330258103</v>
      </c>
      <c r="E381" s="373">
        <f>MIN(E15:E380)</f>
        <v>1.8007726614640702</v>
      </c>
      <c r="F381" s="374">
        <f>MIN(F15:F380)</f>
        <v>1.8007726614640702</v>
      </c>
      <c r="G381" s="125">
        <f>+MIN(G15:G380)</f>
        <v>6.9822949212937954E-2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4.5236183810103414E-3</v>
      </c>
      <c r="M381" s="847"/>
      <c r="N381" s="847"/>
      <c r="O381" s="47">
        <f t="shared" si="147"/>
        <v>1.206422604205745E-2</v>
      </c>
      <c r="P381" s="168">
        <f t="shared" si="147"/>
        <v>1.5865861341858022E-7</v>
      </c>
      <c r="Q381" s="310">
        <f t="shared" si="147"/>
        <v>0.5</v>
      </c>
      <c r="R381" s="311">
        <f t="shared" si="147"/>
        <v>0.49739042874801176</v>
      </c>
      <c r="S381" s="811">
        <f t="shared" si="147"/>
        <v>-2</v>
      </c>
      <c r="T381" s="176">
        <f t="shared" si="147"/>
        <v>4</v>
      </c>
      <c r="U381" s="252">
        <f>+MIN(U15:U380)</f>
        <v>-1.5026095712519882</v>
      </c>
      <c r="V381" s="373">
        <f>MIN(V15:V380)</f>
        <v>23.592122944797655</v>
      </c>
      <c r="W381" s="58"/>
      <c r="X381" s="112" t="s">
        <v>7</v>
      </c>
      <c r="Y381" s="373">
        <f>MIN(Y15:Y380)</f>
        <v>1.7709999999999999</v>
      </c>
      <c r="Z381" s="373">
        <f>MIN(Z15:Z380)</f>
        <v>1.7790477330258103</v>
      </c>
      <c r="AA381" s="373">
        <f>MIN(AA15:AA380)</f>
        <v>1.8007726614640702</v>
      </c>
      <c r="AB381" s="200" t="s">
        <v>7</v>
      </c>
      <c r="AC381" s="47">
        <f t="shared" ref="AC381:AH381" si="148">MIN(AC15:AC380)</f>
        <v>1.206422604205745E-2</v>
      </c>
      <c r="AD381" s="168">
        <f t="shared" si="148"/>
        <v>1.5865861341858022E-7</v>
      </c>
      <c r="AE381" s="310">
        <f t="shared" si="148"/>
        <v>0.5</v>
      </c>
      <c r="AF381" s="311">
        <f t="shared" si="148"/>
        <v>0.49739042874801176</v>
      </c>
      <c r="AG381" s="811">
        <f t="shared" si="148"/>
        <v>-2</v>
      </c>
      <c r="AH381" s="176">
        <f t="shared" si="148"/>
        <v>4</v>
      </c>
      <c r="AI381" s="226">
        <f>MIN(AI15:AI380)</f>
        <v>-1.5026095712519882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32.285312328767134</v>
      </c>
      <c r="C382" s="375"/>
      <c r="D382" s="375">
        <f>AVERAGE(D15:D380)</f>
        <v>32.555927775735988</v>
      </c>
      <c r="E382" s="375">
        <f>AVERAGE(E15:E380)</f>
        <v>33.255780423201813</v>
      </c>
      <c r="F382" s="376">
        <f>AVERAGE(F15:F380)</f>
        <v>33.256502257641564</v>
      </c>
      <c r="G382" s="126">
        <f>AVERAGE(G15:G380)</f>
        <v>0.67857941551413326</v>
      </c>
      <c r="H382" s="337"/>
      <c r="I382" s="376">
        <f>AVERAGE(I15:I380)</f>
        <v>35.756700095107249</v>
      </c>
      <c r="J382" s="59">
        <f>AVERAGE(J15:J380)</f>
        <v>2018.7786885245901</v>
      </c>
      <c r="K382" s="200" t="s">
        <v>8</v>
      </c>
      <c r="L382" s="147">
        <f t="shared" ref="L382:V382" si="149">AVERAGE(L15:L380)</f>
        <v>8.4813572760990882E-3</v>
      </c>
      <c r="M382" s="845"/>
      <c r="N382" s="845"/>
      <c r="O382" s="48">
        <f t="shared" si="149"/>
        <v>2.1197498178722695E-2</v>
      </c>
      <c r="P382" s="169">
        <f t="shared" si="149"/>
        <v>4.1716901988045837E-5</v>
      </c>
      <c r="Q382" s="312">
        <f t="shared" si="149"/>
        <v>0.5</v>
      </c>
      <c r="R382" s="177">
        <f t="shared" si="149"/>
        <v>0.77727402574715687</v>
      </c>
      <c r="S382" s="811">
        <f t="shared" si="149"/>
        <v>-2</v>
      </c>
      <c r="T382" s="176">
        <f t="shared" si="149"/>
        <v>4</v>
      </c>
      <c r="U382" s="251">
        <f t="shared" si="149"/>
        <v>-1.2227259742528431</v>
      </c>
      <c r="V382" s="375">
        <f t="shared" si="149"/>
        <v>45.604101263732325</v>
      </c>
      <c r="X382" s="112" t="s">
        <v>8</v>
      </c>
      <c r="Y382" s="375">
        <f>AVERAGE(Y15:Y380)</f>
        <v>32.285312328767134</v>
      </c>
      <c r="Z382" s="375">
        <f>AVERAGE(Z15:Z380)</f>
        <v>32.555927775735988</v>
      </c>
      <c r="AA382" s="375">
        <f>AVERAGE(AA15:AA380)</f>
        <v>33.255780423201813</v>
      </c>
      <c r="AB382" s="200" t="s">
        <v>8</v>
      </c>
      <c r="AC382" s="48">
        <f t="shared" ref="AC382:AH382" si="150">AVERAGE(AC15:AC380)</f>
        <v>2.1197498178722695E-2</v>
      </c>
      <c r="AD382" s="169">
        <f t="shared" si="150"/>
        <v>4.1716901988045837E-5</v>
      </c>
      <c r="AE382" s="312">
        <f t="shared" si="150"/>
        <v>0.5</v>
      </c>
      <c r="AF382" s="177">
        <f t="shared" si="150"/>
        <v>0.77727402574715687</v>
      </c>
      <c r="AG382" s="811">
        <f t="shared" si="150"/>
        <v>-2</v>
      </c>
      <c r="AH382" s="176">
        <f t="shared" si="150"/>
        <v>4</v>
      </c>
      <c r="AI382" s="225">
        <f>AVERAGE(AI15:AI380)</f>
        <v>-1.2227259742528431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64.212000000000003</v>
      </c>
      <c r="C383" s="377"/>
      <c r="D383" s="377">
        <f>MAX(D15:D380)</f>
        <v>64.734490792380015</v>
      </c>
      <c r="E383" s="377">
        <f>MAX(E15:E380)</f>
        <v>66.11432836926889</v>
      </c>
      <c r="F383" s="378">
        <f>MAX(F15:F380)</f>
        <v>66.115436428019962</v>
      </c>
      <c r="G383" s="127">
        <f>+MAX(G15:G380)</f>
        <v>1.0473671957278603</v>
      </c>
      <c r="H383" s="337"/>
      <c r="I383" s="378">
        <f>MAX(I15:I380)</f>
        <v>66.115436428019962</v>
      </c>
      <c r="J383" s="60">
        <f>MAX(J15:J380)</f>
        <v>2019</v>
      </c>
      <c r="K383" s="200" t="s">
        <v>9</v>
      </c>
      <c r="L383" s="148">
        <f t="shared" ref="L383:T383" si="151">MAX(L15:L380)</f>
        <v>1.2428621106804427E-2</v>
      </c>
      <c r="M383" s="848"/>
      <c r="N383" s="848"/>
      <c r="O383" s="49">
        <f t="shared" si="151"/>
        <v>2.8461814484812623E-2</v>
      </c>
      <c r="P383" s="170">
        <f t="shared" si="151"/>
        <v>1.3818091381617001E-4</v>
      </c>
      <c r="Q383" s="313">
        <f t="shared" si="151"/>
        <v>0.5</v>
      </c>
      <c r="R383" s="314">
        <f t="shared" si="151"/>
        <v>0.99738915571184084</v>
      </c>
      <c r="S383" s="812">
        <f t="shared" si="151"/>
        <v>-2</v>
      </c>
      <c r="T383" s="233">
        <f t="shared" si="151"/>
        <v>4</v>
      </c>
      <c r="U383" s="253">
        <f>+MAX(U15:U380)</f>
        <v>-1.0026108442881592</v>
      </c>
      <c r="V383" s="377">
        <f>MAX(V15:V380)</f>
        <v>62.001987220111758</v>
      </c>
      <c r="X383" s="112" t="s">
        <v>9</v>
      </c>
      <c r="Y383" s="377">
        <f>MAX(Y15:Y380)</f>
        <v>64.212000000000003</v>
      </c>
      <c r="Z383" s="377">
        <f>MAX(Z15:Z380)</f>
        <v>64.734490792380015</v>
      </c>
      <c r="AA383" s="377">
        <f>MAX(AA15:AA380)</f>
        <v>66.11432836926889</v>
      </c>
      <c r="AB383" s="200" t="s">
        <v>9</v>
      </c>
      <c r="AC383" s="49">
        <f t="shared" ref="AC383:AH383" si="152">MAX(AC15:AC380)</f>
        <v>2.8461814484812623E-2</v>
      </c>
      <c r="AD383" s="170">
        <f t="shared" si="152"/>
        <v>1.3818091381617001E-4</v>
      </c>
      <c r="AE383" s="313">
        <f t="shared" si="152"/>
        <v>0.5</v>
      </c>
      <c r="AF383" s="314">
        <f t="shared" si="152"/>
        <v>0.99738915571184084</v>
      </c>
      <c r="AG383" s="812">
        <f t="shared" si="152"/>
        <v>-2</v>
      </c>
      <c r="AH383" s="233">
        <f t="shared" si="152"/>
        <v>4</v>
      </c>
      <c r="AI383" s="227">
        <f>MAX(AI15:AI380)</f>
        <v>-1.0026108442881592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'2019'!An+1</f>
        <v>2020</v>
      </c>
      <c r="K1" s="1271"/>
      <c r="L1" s="113" t="str">
        <f>"Calcul pertes et enveloppes en "&amp;TEXT(An,0)</f>
        <v>Calcul pertes et enveloppes en 2020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2020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472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/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0</v>
      </c>
      <c r="AK4" s="834">
        <f>AM12-AK12</f>
        <v>0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0</v>
      </c>
      <c r="AA5" s="237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2156.4030000000002</v>
      </c>
      <c r="AK5" s="516">
        <f>SUMIF(AK15:AK380,"VRAI",Wh)</f>
        <v>0</v>
      </c>
      <c r="AL5" s="516">
        <f>SUMIF(AJ15:AJ380,"VRAI",Wh_s)</f>
        <v>2156.4030000000002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9104.0819999999931</v>
      </c>
      <c r="AK6" s="516">
        <f>SUMIF(AK15:AK380,"FAUX",Wh)</f>
        <v>11260.48499999999</v>
      </c>
      <c r="AL6" s="516">
        <f>SUMIF(AJ15:AJ380,"FAUX",Wh_s)</f>
        <v>9104.0819999999949</v>
      </c>
      <c r="AM6" s="516">
        <f>SUMIF(AK15:AK380,"FAUX",Wh_s)</f>
        <v>11260.48499999999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2186.1116077605402</v>
      </c>
      <c r="AK7" s="516">
        <f>SUMIF(AK15:AK380,"VRAI",Wh_sa)</f>
        <v>0</v>
      </c>
      <c r="AL7" s="516">
        <f>SUMIF(AJ15:AJ380,"VRAI",Wh_pvt_s)</f>
        <v>2186.1116077605402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9259.8776990804508</v>
      </c>
      <c r="AK8" s="516">
        <f>SUMIF(AK15:AK380,"FAUX",Wh_sa)</f>
        <v>11911.32042248069</v>
      </c>
      <c r="AL8" s="516">
        <f>SUMIF(AJ15:AJ380,"FAUX",Wh_pvt_s)</f>
        <v>9259.8776990804508</v>
      </c>
      <c r="AM8" s="516">
        <f>SUMIF(AK15:AK380,"FAUX",Wh_sa_s)</f>
        <v>11911.32042248069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11445.989306840991</v>
      </c>
      <c r="E9" s="184">
        <f>SUM(E$15:E$380)</f>
        <v>11911.32042248069</v>
      </c>
      <c r="F9" s="184">
        <f>SUM(F$15:F$380)</f>
        <v>11911.80531723795</v>
      </c>
      <c r="H9" s="1272">
        <f>+SUM(Wh)</f>
        <v>11260.48499999999</v>
      </c>
      <c r="I9" s="1273"/>
      <c r="J9" s="1274"/>
      <c r="K9" s="191"/>
      <c r="L9" s="232"/>
      <c r="M9" s="232"/>
      <c r="N9" s="232"/>
      <c r="O9" s="223">
        <f>Tnet_2020</f>
        <v>43922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11260.48499999999</v>
      </c>
      <c r="Y9" s="1267"/>
      <c r="Z9" s="516">
        <f>SUM(Z$15:Z$380)</f>
        <v>11445.989306840991</v>
      </c>
      <c r="AA9" s="516">
        <f>SUM(AA$15:AA$380)</f>
        <v>11911.32042248069</v>
      </c>
      <c r="AB9" s="516">
        <f>F9</f>
        <v>11911.80531723795</v>
      </c>
      <c r="AC9" s="325">
        <f>IF(An_Tnet,Tnet,'2019'!Tnet_s)</f>
        <v>43922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2254.7449556034767</v>
      </c>
      <c r="AK9" s="516">
        <f>SUMIF(AK15:AK380,"VRAI",Wh_hp)</f>
        <v>0</v>
      </c>
      <c r="AL9" s="516">
        <f>SUMIF(AJ15:AJ380,"VRAI",Wh_sa_s)</f>
        <v>2254.7449556034767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3.1793112897840876E-2</v>
      </c>
      <c r="P10" s="421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IF(OR(Inflex,GainD),'2019'!Resal_s+('2019'!Salim-'2019'!Resal_s)*(1-EXP(('2019'!Tnet_s-Tnet)/('2019'!Tau_j))),IF(Acti_net,'2019'!Resal+('2019'!Salim-'2019'!Resal)*(1-EXP(('2019'!Tnet-Tnet)/'2019'!Tau_j)),'2019'!Resal_s))</f>
        <v>3.1793112897840876E-2</v>
      </c>
      <c r="AD10" s="428"/>
      <c r="AE10" s="428"/>
      <c r="AF10" s="260"/>
      <c r="AG10" s="261"/>
      <c r="AH10" s="262"/>
      <c r="AI10" s="523"/>
      <c r="AJ10" s="516">
        <f>SUMIF(AJ15:AJ380,"FAUX",Wh_sa)</f>
        <v>9656.5754668772097</v>
      </c>
      <c r="AK10" s="516">
        <f>SUMIF(AK15:AK380,"FAUX",Wh_hp)</f>
        <v>11911.80531723795</v>
      </c>
      <c r="AL10" s="516">
        <f>SUMIF(AJ15:AJ380,"FAUX",Wh_sa_s)</f>
        <v>9656.5754668772097</v>
      </c>
      <c r="AM10" s="516">
        <f>SUMIF(AK15:AK380,"FAUX",Wh_hp)</f>
        <v>11911.80531723795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185.50430684100138</v>
      </c>
      <c r="E11" s="51">
        <f>(E$9-D$9)*Prod_an/D$9</f>
        <v>457.78952847373029</v>
      </c>
      <c r="F11" s="186">
        <f>(F$9-E$9)*Prod_an/E$9</f>
        <v>0.45840007211875244</v>
      </c>
      <c r="G11" s="185" t="s">
        <v>6</v>
      </c>
      <c r="K11" s="194"/>
      <c r="L11" s="211">
        <f>Tvie_2020</f>
        <v>43259</v>
      </c>
      <c r="M11" s="844"/>
      <c r="N11" s="844"/>
      <c r="O11" s="202">
        <f>IF(An_Tnet,Salim_2020,'2019'!Salim)</f>
        <v>0.115</v>
      </c>
      <c r="P11" s="256">
        <f>Ttai_2020</f>
        <v>43101</v>
      </c>
      <c r="Q11" s="272">
        <f>Dens_2020</f>
        <v>0.5</v>
      </c>
      <c r="R11" s="277"/>
      <c r="S11" s="230"/>
      <c r="T11" s="230"/>
      <c r="U11" s="266">
        <f>Htf_2020</f>
        <v>-0.50261084428815916</v>
      </c>
      <c r="V11" s="428"/>
      <c r="W11" s="519"/>
      <c r="X11" s="526" t="s">
        <v>43</v>
      </c>
      <c r="Y11" s="50">
        <f>Z$9-Prod_an_s</f>
        <v>185.50430684100138</v>
      </c>
      <c r="Z11" s="51">
        <f>(AA$9-Z$9)*Prod_an_s/Z$9</f>
        <v>457.78952847373029</v>
      </c>
      <c r="AA11" s="186">
        <f>(AB$9-AA$9)*Prod_an_s/AA$9</f>
        <v>0.45840007211875244</v>
      </c>
      <c r="AB11" s="527" t="s">
        <v>6</v>
      </c>
      <c r="AC11" s="325"/>
      <c r="AD11" s="428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67.700641020869298</v>
      </c>
      <c r="AK11" s="834">
        <f>IF($AK7=0,0,($AK9-$AK7)*$AK5/$AK7)</f>
        <v>0</v>
      </c>
      <c r="AL11" s="833">
        <f>IF($AL7=0,0,($AL9-$AL7)*$AL5/$AL7)</f>
        <v>67.700641020869298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4.7327367668172693E-2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7">
        <f>INDEX(Croivg,MIN(MAX(Ttai-$A$15,0)+1,366))</f>
        <v>2.3909964587625958E-6</v>
      </c>
      <c r="Q12" s="280">
        <f>'2019'!Df</f>
        <v>0.5</v>
      </c>
      <c r="R12" s="278"/>
      <c r="S12" s="279"/>
      <c r="T12" s="279"/>
      <c r="U12" s="267">
        <f>'2019'!Hdf</f>
        <v>-1.0026108442881592</v>
      </c>
      <c r="V12" s="518"/>
      <c r="W12" s="505"/>
      <c r="X12" s="506"/>
      <c r="Y12" s="505"/>
      <c r="Z12" s="428"/>
      <c r="AA12" s="428"/>
      <c r="AB12" s="532" t="s">
        <v>106</v>
      </c>
      <c r="AC12" s="318" t="b">
        <f>NOT(An_Tnet)</f>
        <v>0</v>
      </c>
      <c r="AD12" s="428"/>
      <c r="AE12" s="296">
        <f>'2019'!Df_s</f>
        <v>0.5</v>
      </c>
      <c r="AF12" s="203"/>
      <c r="AG12" s="203"/>
      <c r="AH12" s="203"/>
      <c r="AI12" s="297">
        <f>'2019'!Hdf_s</f>
        <v>-1.0026108442881592</v>
      </c>
      <c r="AJ12" s="833">
        <f>IF($AJ8=0,0,($AJ10-$AJ8)*$AJ6/$AJ8)</f>
        <v>390.02340253341521</v>
      </c>
      <c r="AK12" s="834">
        <f>IF($AK8=0,0,($AK10-$AK8)*$AK6/$AK8)</f>
        <v>0.45840007211875244</v>
      </c>
      <c r="AL12" s="833">
        <f>IF($AL8=0,0,($AL10-$AL8)*$AL6/$AL8)</f>
        <v>390.02340253341526</v>
      </c>
      <c r="AM12" s="834">
        <f>IF($AM8=0,0,($AM10-$AM8)*$AM6/$AM8)</f>
        <v>0.45840007211875244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264" t="s">
        <v>41</v>
      </c>
      <c r="W13" s="852" t="s">
        <v>46</v>
      </c>
      <c r="X13" s="533"/>
      <c r="Y13" s="264" t="s">
        <v>100</v>
      </c>
      <c r="Z13" s="264" t="s">
        <v>101</v>
      </c>
      <c r="AA13" s="264" t="s">
        <v>74</v>
      </c>
      <c r="AB13" s="504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457.72404355428449</v>
      </c>
      <c r="AK13" s="73">
        <f>+AK11+AK12</f>
        <v>0.45840007211875244</v>
      </c>
      <c r="AL13" s="73">
        <f>+AL11+AL12</f>
        <v>457.72404355428455</v>
      </c>
      <c r="AM13" s="73">
        <f>+AM11+AM12</f>
        <v>0.45840007211875244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2020</v>
      </c>
      <c r="W14" s="838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6">
        <v>14.680999999999999</v>
      </c>
      <c r="C15" s="390"/>
      <c r="D15" s="393">
        <f t="shared" ref="D15:D78" si="0">Wh/(1-Ppv)</f>
        <v>14.866086515259893</v>
      </c>
      <c r="E15" s="385">
        <f>Wh_pvt/(1-Psa)</f>
        <v>15.302176506687575</v>
      </c>
      <c r="F15" s="385">
        <f t="shared" ref="F15:F78" si="1">Wh_sa/(1-Pvg*MEDIAN((-Sdif+Wh/Env_an)/Csdif,0,1))</f>
        <v>15.303013547150806</v>
      </c>
      <c r="G15" s="110">
        <f>+Wh_hp/MaxiM</f>
        <v>0.59335726300892178</v>
      </c>
      <c r="H15" s="414" t="b">
        <f>Wh_hp&gt;='2019'!Maxi_hp</f>
        <v>1</v>
      </c>
      <c r="I15" s="379">
        <f>IF(H15,Wh_hp,'2019'!Maxi_hp)</f>
        <v>15.303013547150806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1.2450251454537375E-2</v>
      </c>
      <c r="M15" s="847"/>
      <c r="N15" s="847"/>
      <c r="O15" s="47">
        <f>IF(t&lt;Tnet,'2019'!Resal+('2019'!Salim-'2019'!Resal)*(1-EXP(('2019'!Tnet-t)/('2019'!Tau_j))),Resal+(Salim-Resal)*(1-EXP((Tnet-t)/(Tau_j))))*Salcycl</f>
        <v>2.8498559746523384E-2</v>
      </c>
      <c r="P15" s="302">
        <f>(INDEX(Models!$BJ15:$BT15,,T15)*(1-R15)+INDEX(Models!$BJ15:$BT15,,T15+1)*R15-ERP_i)*Q15*Ramure*Pc/MaxiM</f>
        <v>1.3049807235711742E-4</v>
      </c>
      <c r="Q15" s="303">
        <f t="shared" ref="Q15:Q78" si="2">IF(OR(t&lt;Ttai,Notai),Dd+PousD*Croivg,Dens+PousD*(Croivg-Croi_tai))</f>
        <v>0.5</v>
      </c>
      <c r="R15" s="304">
        <f t="shared" ref="R15:R78" si="3">(Hp_vg-S15)/(INDEX(Echel_vg,T15+1)-S15)</f>
        <v>0.99739035121007014</v>
      </c>
      <c r="S15" s="810">
        <f t="shared" ref="S15:S78" si="4">INDEX(Echel_vg,T15)</f>
        <v>-2</v>
      </c>
      <c r="T15" s="249">
        <f t="shared" ref="T15:T78" si="5">MIN(MATCH(Hp_vg,Echel_vg),10)</f>
        <v>4</v>
      </c>
      <c r="U15" s="250">
        <f>IF(OR(t&lt;Ttai,Notai),Hdd+PousH*Croivg,Hdtf+PousH*(Croivg-Croi_tai))</f>
        <v>-1.0026096487899299</v>
      </c>
      <c r="V15" s="382">
        <f t="shared" ref="V15:V78" si="6">MaxiM*(1-Ppv)*(1-Pvg)*(1-Psa)</f>
        <v>24.740384975158225</v>
      </c>
      <c r="W15" s="402"/>
      <c r="X15" s="156">
        <f t="shared" ref="X15:X78" si="7">t</f>
        <v>43831</v>
      </c>
      <c r="Y15" s="385">
        <f t="shared" ref="Y15:Y78" si="8">Wh_pvt_s*(1-Ppv)</f>
        <v>14.680999999999999</v>
      </c>
      <c r="Z15" s="385">
        <f t="shared" ref="Z15:Z78" si="9">Wh_sa_s*(1-Psa_s)</f>
        <v>14.866086515259893</v>
      </c>
      <c r="AA15" s="386">
        <f t="shared" ref="AA15:AA78" si="10">Wh_hp*(1-Pvg_s*MEDIAN((-Sdif+Wh/Env_an)/Csdif,0,1))</f>
        <v>15.302176506687575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2.8498559746523384E-2</v>
      </c>
      <c r="AD15" s="231">
        <f>(INDEX(Models!$BJ15:$BT15,,AH15)*(1-AF15)+INDEX(Models!$BJ15:$BT15,,AH15+1)*AF15-ERP_i)*AE15*Ramure*Pc/MaxiM</f>
        <v>1.3049807235711742E-4</v>
      </c>
      <c r="AE15" s="303">
        <f t="shared" ref="AE15:AE78" si="12">IF(OR(t&lt;Ttai,Notai),Dd_s+PousD*Croivg,Dens_s+PousD*(Croivg-Croi_tai))</f>
        <v>0.5</v>
      </c>
      <c r="AF15" s="304">
        <f>(Hp_vg_s-AG15)/(INDEX(Echel_vg,AH15+1)-AG15)</f>
        <v>0.99739035121007014</v>
      </c>
      <c r="AG15" s="810">
        <f>INDEX(Echel_vg,AH15)</f>
        <v>-2</v>
      </c>
      <c r="AH15" s="249">
        <f t="shared" ref="AH15:AH78" si="13">MIN(MATCH(Hp_vg_s,Echel_vg),10)</f>
        <v>4</v>
      </c>
      <c r="AI15" s="224">
        <f>IF(OR(t&lt;Ttai,Notai),Hdd_s+PousH*Croivg,Hdtai_s+PousH*(Croivg-Croi_tai))</f>
        <v>-1.0026096487899299</v>
      </c>
      <c r="AJ15" s="265" t="b">
        <f t="shared" ref="AJ15:AJ78" si="14">t&lt;Tnet</f>
        <v>1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7">
        <v>23.306999999999999</v>
      </c>
      <c r="C16" s="390"/>
      <c r="D16" s="393">
        <f t="shared" si="0"/>
        <v>23.601353277266305</v>
      </c>
      <c r="E16" s="385">
        <f t="shared" ref="E16:E79" si="17">Wh_pvt/(1-Psa)</f>
        <v>24.294608154368071</v>
      </c>
      <c r="F16" s="385">
        <f t="shared" si="1"/>
        <v>24.297474136240545</v>
      </c>
      <c r="G16" s="110">
        <f t="shared" ref="G16:G79" si="18">+Wh_hp/MaxiM</f>
        <v>0.93542767439676588</v>
      </c>
      <c r="H16" s="414" t="b">
        <f>Wh_hp&gt;='2019'!Maxi_hp</f>
        <v>1</v>
      </c>
      <c r="I16" s="380">
        <f>IF(H16,Wh_hp,'2019'!Maxi_hp)</f>
        <v>24.297474136240545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1.247188132851007E-2</v>
      </c>
      <c r="M16" s="845"/>
      <c r="N16" s="845"/>
      <c r="O16" s="48">
        <f>IF(t&lt;Tnet,'2019'!Resal+('2019'!Salim-'2019'!Resal)*(1-EXP(('2019'!Tnet-t)/('2019'!Tau_j))),Resal+(Salim-Resal)*(1-EXP((Tnet-t)/(Tau_j))))*Salcycl</f>
        <v>2.8535338898936804E-2</v>
      </c>
      <c r="P16" s="169">
        <f>(INDEX(Models!$BJ16:$BT16,,T16)*(1-R16)+INDEX(Models!$BJ16:$BT16,,T16+1)*R16-ERP_i)*Q16*Ramure*Pc/MaxiM</f>
        <v>1.299381150323328E-4</v>
      </c>
      <c r="Q16" s="305">
        <f t="shared" si="2"/>
        <v>0.5</v>
      </c>
      <c r="R16" s="177">
        <f t="shared" si="3"/>
        <v>0.99741956582406455</v>
      </c>
      <c r="S16" s="811">
        <f t="shared" si="4"/>
        <v>-2</v>
      </c>
      <c r="T16" s="176">
        <f t="shared" si="5"/>
        <v>4</v>
      </c>
      <c r="U16" s="251">
        <f t="shared" ref="U16:U78" si="20">IF(OR(t&lt;Ttai,Notai),Hdd+PousH*Croivg,Hdtf+PousH*(Croivg-Croi_tai))</f>
        <v>-1.0025804341759355</v>
      </c>
      <c r="V16" s="383">
        <f t="shared" si="6"/>
        <v>24.915577429346705</v>
      </c>
      <c r="W16" s="402"/>
      <c r="X16" s="157">
        <f t="shared" si="7"/>
        <v>43832</v>
      </c>
      <c r="Y16" s="385">
        <f t="shared" si="8"/>
        <v>23.306999999999999</v>
      </c>
      <c r="Z16" s="385">
        <f t="shared" si="9"/>
        <v>23.601353277266305</v>
      </c>
      <c r="AA16" s="386">
        <f t="shared" si="10"/>
        <v>24.294608154368071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2.8535338898936804E-2</v>
      </c>
      <c r="AD16" s="231">
        <f>(INDEX(Models!$BJ16:$BT16,,AH16)*(1-AF16)+INDEX(Models!$BJ16:$BT16,,AH16+1)*AF16-ERP_i)*AE16*Ramure*Pc/MaxiM</f>
        <v>1.299381150323328E-4</v>
      </c>
      <c r="AE16" s="305">
        <f t="shared" si="12"/>
        <v>0.5</v>
      </c>
      <c r="AF16" s="177">
        <f t="shared" ref="AF16:AF78" si="21">(Hp_vg_s-AG16)/(INDEX(Echel_vg,AH16+1)-AG16)</f>
        <v>0.99741956582406455</v>
      </c>
      <c r="AG16" s="811">
        <f t="shared" ref="AG16:AG79" si="22">INDEX(Echel_vg,AH16)</f>
        <v>-2</v>
      </c>
      <c r="AH16" s="176">
        <f t="shared" si="13"/>
        <v>4</v>
      </c>
      <c r="AI16" s="225">
        <f t="shared" ref="AI16:AI78" si="23">IF(OR(t&lt;Ttai,Notai),Hdd_s+PousH*Croivg,Hdtai_s+PousH*(Croivg-Croi_tai))</f>
        <v>-1.0025804341759355</v>
      </c>
      <c r="AJ16" s="265" t="b">
        <f t="shared" si="14"/>
        <v>1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7">
        <v>8.0039999999999996</v>
      </c>
      <c r="C17" s="390"/>
      <c r="D17" s="393">
        <f t="shared" si="0"/>
        <v>8.1052631926566612</v>
      </c>
      <c r="E17" s="385">
        <f t="shared" si="17"/>
        <v>8.343659437378923</v>
      </c>
      <c r="F17" s="385">
        <f t="shared" si="1"/>
        <v>8.3436885639881329</v>
      </c>
      <c r="G17" s="110">
        <f t="shared" si="18"/>
        <v>0.3188663598556673</v>
      </c>
      <c r="H17" s="414" t="b">
        <f>Wh_hp&gt;='2019'!Maxi_hp</f>
        <v>0</v>
      </c>
      <c r="I17" s="380">
        <f>IF(H17,Wh_hp,'2019'!Maxi_hp)</f>
        <v>27.383515682442006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1.2493510728733059E-2</v>
      </c>
      <c r="M17" s="845"/>
      <c r="N17" s="845"/>
      <c r="O17" s="48">
        <f>IF(t&lt;Tnet,'2019'!Resal+('2019'!Salim-'2019'!Resal)*(1-EXP(('2019'!Tnet-t)/('2019'!Tau_j))),Resal+(Salim-Resal)*(1-EXP((Tnet-t)/(Tau_j))))*Salcycl</f>
        <v>2.8572144694001503E-2</v>
      </c>
      <c r="P17" s="169">
        <f>(INDEX(Models!$BJ17:$BT17,,T17)*(1-R17)+INDEX(Models!$BJ17:$BT17,,T17+1)*R17-ERP_i)*Q17*Ramure*Pc/MaxiM</f>
        <v>1.2924672979900347E-4</v>
      </c>
      <c r="Q17" s="305">
        <f t="shared" si="2"/>
        <v>0.5</v>
      </c>
      <c r="R17" s="177">
        <f t="shared" si="3"/>
        <v>0.99745000241955406</v>
      </c>
      <c r="S17" s="811">
        <f t="shared" si="4"/>
        <v>-2</v>
      </c>
      <c r="T17" s="176">
        <f t="shared" si="5"/>
        <v>4</v>
      </c>
      <c r="U17" s="251">
        <f t="shared" si="20"/>
        <v>-1.0025499975804459</v>
      </c>
      <c r="V17" s="383">
        <f t="shared" si="6"/>
        <v>25.098268284208636</v>
      </c>
      <c r="W17" s="402"/>
      <c r="X17" s="157">
        <f t="shared" si="7"/>
        <v>43833</v>
      </c>
      <c r="Y17" s="385">
        <f t="shared" si="8"/>
        <v>8.0039999999999996</v>
      </c>
      <c r="Z17" s="385">
        <f t="shared" si="9"/>
        <v>8.1052631926566612</v>
      </c>
      <c r="AA17" s="386">
        <f t="shared" si="10"/>
        <v>8.343659437378923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2.8572144694001503E-2</v>
      </c>
      <c r="AD17" s="231">
        <f>(INDEX(Models!$BJ17:$BT17,,AH17)*(1-AF17)+INDEX(Models!$BJ17:$BT17,,AH17+1)*AF17-ERP_i)*AE17*Ramure*Pc/MaxiM</f>
        <v>1.2924672979900347E-4</v>
      </c>
      <c r="AE17" s="305">
        <f t="shared" si="12"/>
        <v>0.5</v>
      </c>
      <c r="AF17" s="177">
        <f>(Hp_vg_s-AG17)/(INDEX(Echel_vg,AH17+1)-AG17)</f>
        <v>0.99745000241955406</v>
      </c>
      <c r="AG17" s="811">
        <f>INDEX(Echel_vg,AH17)</f>
        <v>-2</v>
      </c>
      <c r="AH17" s="176">
        <f t="shared" si="13"/>
        <v>4</v>
      </c>
      <c r="AI17" s="225">
        <f t="shared" si="23"/>
        <v>-1.0025499975804459</v>
      </c>
      <c r="AJ17" s="265" t="b">
        <f t="shared" si="14"/>
        <v>1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7">
        <v>6.7789999999999999</v>
      </c>
      <c r="C18" s="390"/>
      <c r="D18" s="393">
        <f t="shared" si="0"/>
        <v>6.8649153746347995</v>
      </c>
      <c r="E18" s="385">
        <f t="shared" si="17"/>
        <v>7.06709776780467</v>
      </c>
      <c r="F18" s="385">
        <f t="shared" si="1"/>
        <v>7.06709776780467</v>
      </c>
      <c r="G18" s="110">
        <f t="shared" si="18"/>
        <v>0.26804500641810364</v>
      </c>
      <c r="H18" s="414" t="b">
        <f>Wh_hp&gt;='2019'!Maxi_hp</f>
        <v>0</v>
      </c>
      <c r="I18" s="380">
        <f>IF(H18,Wh_hp,'2019'!Maxi_hp)</f>
        <v>24.454097030053351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1.2515139655216778E-2</v>
      </c>
      <c r="M18" s="845"/>
      <c r="N18" s="845"/>
      <c r="O18" s="48">
        <f>IF(t&lt;Tnet,'2019'!Resal+('2019'!Salim-'2019'!Resal)*(1-EXP(('2019'!Tnet-t)/('2019'!Tau_j))),Resal+(Salim-Resal)*(1-EXP((Tnet-t)/(Tau_j))))*Salcycl</f>
        <v>2.8608970727834717E-2</v>
      </c>
      <c r="P18" s="169">
        <f>(INDEX(Models!$BJ18:$BT18,,T18)*(1-R18)+INDEX(Models!$BJ18:$BT18,,T18+1)*R18-ERP_i)*Q18*Ramure*Pc/MaxiM</f>
        <v>1.284326849036882E-4</v>
      </c>
      <c r="Q18" s="305">
        <f t="shared" si="2"/>
        <v>0.5</v>
      </c>
      <c r="R18" s="177">
        <f t="shared" si="3"/>
        <v>0.99748171195084923</v>
      </c>
      <c r="S18" s="811">
        <f t="shared" si="4"/>
        <v>-2</v>
      </c>
      <c r="T18" s="176">
        <f t="shared" si="5"/>
        <v>4</v>
      </c>
      <c r="U18" s="251">
        <f t="shared" si="20"/>
        <v>-1.0025182880491508</v>
      </c>
      <c r="V18" s="383">
        <f t="shared" si="6"/>
        <v>25.287280839160026</v>
      </c>
      <c r="W18" s="402"/>
      <c r="X18" s="157">
        <f t="shared" si="7"/>
        <v>43834</v>
      </c>
      <c r="Y18" s="385">
        <f t="shared" si="8"/>
        <v>6.7789999999999999</v>
      </c>
      <c r="Z18" s="385">
        <f>Wh_sa_s*(1-Psa_s)</f>
        <v>6.8649153746347995</v>
      </c>
      <c r="AA18" s="386">
        <f t="shared" si="10"/>
        <v>7.06709776780467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2.8608970727834717E-2</v>
      </c>
      <c r="AD18" s="231">
        <f>(INDEX(Models!$BJ18:$BT18,,AH18)*(1-AF18)+INDEX(Models!$BJ18:$BT18,,AH18+1)*AF18-ERP_i)*AE18*Ramure*Pc/MaxiM</f>
        <v>1.284326849036882E-4</v>
      </c>
      <c r="AE18" s="305">
        <f t="shared" si="12"/>
        <v>0.5</v>
      </c>
      <c r="AF18" s="177">
        <f t="shared" si="21"/>
        <v>0.99748171195084923</v>
      </c>
      <c r="AG18" s="811">
        <f t="shared" si="22"/>
        <v>-2</v>
      </c>
      <c r="AH18" s="176">
        <f t="shared" si="13"/>
        <v>4</v>
      </c>
      <c r="AI18" s="225">
        <f t="shared" si="23"/>
        <v>-1.0025182880491508</v>
      </c>
      <c r="AJ18" s="265" t="b">
        <f t="shared" si="14"/>
        <v>1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7">
        <v>13.877000000000001</v>
      </c>
      <c r="C19" s="390"/>
      <c r="D19" s="393">
        <f t="shared" si="0"/>
        <v>14.053181477360912</v>
      </c>
      <c r="E19" s="385">
        <f t="shared" si="17"/>
        <v>14.46761813832665</v>
      </c>
      <c r="F19" s="385">
        <f t="shared" si="1"/>
        <v>14.468262733700429</v>
      </c>
      <c r="G19" s="110">
        <f t="shared" si="18"/>
        <v>0.54454730801095907</v>
      </c>
      <c r="H19" s="414" t="b">
        <f>Wh_hp&gt;='2019'!Maxi_hp</f>
        <v>0</v>
      </c>
      <c r="I19" s="380">
        <f>IF(H19,Wh_hp,'2019'!Maxi_hp)</f>
        <v>27.046839831733369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1.253676810797133E-2</v>
      </c>
      <c r="M19" s="845"/>
      <c r="N19" s="845"/>
      <c r="O19" s="48">
        <f>IF(t&lt;Tnet,'2019'!Resal+('2019'!Salim-'2019'!Resal)*(1-EXP(('2019'!Tnet-t)/('2019'!Tau_j))),Resal+(Salim-Resal)*(1-EXP((Tnet-t)/(Tau_j))))*Salcycl</f>
        <v>2.8645811425436981E-2</v>
      </c>
      <c r="P19" s="169">
        <f>(INDEX(Models!$BJ19:$BT19,,T19)*(1-R19)+INDEX(Models!$BJ19:$BT19,,T19+1)*R19-ERP_i)*Q19*Ramure*Pc/MaxiM</f>
        <v>1.275045632455269E-4</v>
      </c>
      <c r="Q19" s="305">
        <f t="shared" si="2"/>
        <v>0.5</v>
      </c>
      <c r="R19" s="177">
        <f t="shared" si="3"/>
        <v>0.99751474748341074</v>
      </c>
      <c r="S19" s="811">
        <f t="shared" si="4"/>
        <v>-2</v>
      </c>
      <c r="T19" s="176">
        <f t="shared" si="5"/>
        <v>4</v>
      </c>
      <c r="U19" s="251">
        <f t="shared" si="20"/>
        <v>-1.0024852525165893</v>
      </c>
      <c r="V19" s="383">
        <f t="shared" si="6"/>
        <v>25.481438650005028</v>
      </c>
      <c r="W19" s="402"/>
      <c r="X19" s="157">
        <f t="shared" si="7"/>
        <v>43835</v>
      </c>
      <c r="Y19" s="385">
        <f t="shared" si="8"/>
        <v>13.877000000000001</v>
      </c>
      <c r="Z19" s="385">
        <f t="shared" si="9"/>
        <v>14.053181477360912</v>
      </c>
      <c r="AA19" s="386">
        <f t="shared" si="10"/>
        <v>14.46761813832665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2.8645811425436981E-2</v>
      </c>
      <c r="AD19" s="231">
        <f>(INDEX(Models!$BJ19:$BT19,,AH19)*(1-AF19)+INDEX(Models!$BJ19:$BT19,,AH19+1)*AF19-ERP_i)*AE19*Ramure*Pc/MaxiM</f>
        <v>1.275045632455269E-4</v>
      </c>
      <c r="AE19" s="305">
        <f t="shared" si="12"/>
        <v>0.5</v>
      </c>
      <c r="AF19" s="177">
        <f t="shared" si="21"/>
        <v>0.99751474748341074</v>
      </c>
      <c r="AG19" s="811">
        <f t="shared" si="22"/>
        <v>-2</v>
      </c>
      <c r="AH19" s="176">
        <f t="shared" si="13"/>
        <v>4</v>
      </c>
      <c r="AI19" s="225">
        <f t="shared" si="23"/>
        <v>-1.0024852525165893</v>
      </c>
      <c r="AJ19" s="265" t="b">
        <f t="shared" si="14"/>
        <v>1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7">
        <v>25.643000000000001</v>
      </c>
      <c r="C20" s="390"/>
      <c r="D20" s="393">
        <f t="shared" si="0"/>
        <v>25.969130628467532</v>
      </c>
      <c r="E20" s="385">
        <f t="shared" si="17"/>
        <v>26.735989993169241</v>
      </c>
      <c r="F20" s="385">
        <f t="shared" si="1"/>
        <v>26.739364860323523</v>
      </c>
      <c r="G20" s="110">
        <f t="shared" si="18"/>
        <v>0.99857582726667371</v>
      </c>
      <c r="H20" s="414" t="b">
        <f>Wh_hp&gt;='2019'!Maxi_hp</f>
        <v>1</v>
      </c>
      <c r="I20" s="380">
        <f>IF(H20,Wh_hp,'2019'!Maxi_hp)</f>
        <v>26.739364860323523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1.2558396087007373E-2</v>
      </c>
      <c r="M20" s="845"/>
      <c r="N20" s="845"/>
      <c r="O20" s="48">
        <f>IF(t&lt;Tnet,'2019'!Resal+('2019'!Salim-'2019'!Resal)*(1-EXP(('2019'!Tnet-t)/('2019'!Tau_j))),Resal+(Salim-Resal)*(1-EXP((Tnet-t)/(Tau_j))))*Salcycl</f>
        <v>2.8682662018411676E-2</v>
      </c>
      <c r="P20" s="169">
        <f>(INDEX(Models!$BJ20:$BT20,,T20)*(1-R20)+INDEX(Models!$BJ20:$BT20,,T20+1)*R20-ERP_i)*Q20*Ramure*Pc/MaxiM</f>
        <v>1.2647069977726573E-4</v>
      </c>
      <c r="Q20" s="305">
        <f t="shared" si="2"/>
        <v>0.5</v>
      </c>
      <c r="R20" s="177">
        <f t="shared" si="3"/>
        <v>0.99754916428016149</v>
      </c>
      <c r="S20" s="811">
        <f t="shared" si="4"/>
        <v>-2</v>
      </c>
      <c r="T20" s="176">
        <f t="shared" si="5"/>
        <v>4</v>
      </c>
      <c r="U20" s="251">
        <f t="shared" si="20"/>
        <v>-1.0024508357198385</v>
      </c>
      <c r="V20" s="383">
        <f t="shared" si="6"/>
        <v>25.679565539234083</v>
      </c>
      <c r="W20" s="402"/>
      <c r="X20" s="157">
        <f t="shared" si="7"/>
        <v>43836</v>
      </c>
      <c r="Y20" s="385">
        <f t="shared" si="8"/>
        <v>25.643000000000001</v>
      </c>
      <c r="Z20" s="385">
        <f t="shared" si="9"/>
        <v>25.969130628467532</v>
      </c>
      <c r="AA20" s="386">
        <f t="shared" si="10"/>
        <v>26.735989993169241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2.8682662018411676E-2</v>
      </c>
      <c r="AD20" s="231">
        <f>(INDEX(Models!$BJ20:$BT20,,AH20)*(1-AF20)+INDEX(Models!$BJ20:$BT20,,AH20+1)*AF20-ERP_i)*AE20*Ramure*Pc/MaxiM</f>
        <v>1.2647069977726573E-4</v>
      </c>
      <c r="AE20" s="305">
        <f t="shared" si="12"/>
        <v>0.5</v>
      </c>
      <c r="AF20" s="177">
        <f t="shared" si="21"/>
        <v>0.99754916428016149</v>
      </c>
      <c r="AG20" s="811">
        <f t="shared" si="22"/>
        <v>-2</v>
      </c>
      <c r="AH20" s="176">
        <f t="shared" si="13"/>
        <v>4</v>
      </c>
      <c r="AI20" s="225">
        <f t="shared" si="23"/>
        <v>-1.0024508357198385</v>
      </c>
      <c r="AJ20" s="265" t="b">
        <f t="shared" si="14"/>
        <v>1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7">
        <v>7.0919999999999996</v>
      </c>
      <c r="C21" s="390"/>
      <c r="D21" s="393">
        <f t="shared" si="0"/>
        <v>7.1823541850970267</v>
      </c>
      <c r="E21" s="385">
        <f t="shared" si="17"/>
        <v>7.3947271895387088</v>
      </c>
      <c r="F21" s="385">
        <f t="shared" si="1"/>
        <v>7.3947271895387088</v>
      </c>
      <c r="G21" s="110">
        <f t="shared" si="18"/>
        <v>0.27399451491949961</v>
      </c>
      <c r="H21" s="414" t="b">
        <f>Wh_hp&gt;='2019'!Maxi_hp</f>
        <v>1</v>
      </c>
      <c r="I21" s="380">
        <f>IF(H21,Wh_hp,'2019'!Maxi_hp)</f>
        <v>7.3947271895387088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1.2580023592335121E-2</v>
      </c>
      <c r="M21" s="845"/>
      <c r="N21" s="845"/>
      <c r="O21" s="48">
        <f>IF(t&lt;Tnet,'2019'!Resal+('2019'!Salim-'2019'!Resal)*(1-EXP(('2019'!Tnet-t)/('2019'!Tau_j))),Resal+(Salim-Resal)*(1-EXP((Tnet-t)/(Tau_j))))*Salcycl</f>
        <v>2.8719518516129278E-2</v>
      </c>
      <c r="P21" s="169">
        <f>(INDEX(Models!$BJ21:$BT21,,T21)*(1-R21)+INDEX(Models!$BJ21:$BT21,,T21+1)*R21-ERP_i)*Q21*Ramure*Pc/MaxiM</f>
        <v>1.2533912923947058E-4</v>
      </c>
      <c r="Q21" s="305">
        <f t="shared" si="2"/>
        <v>0.5</v>
      </c>
      <c r="R21" s="177">
        <f t="shared" si="3"/>
        <v>0.99758501989122461</v>
      </c>
      <c r="S21" s="811">
        <f t="shared" si="4"/>
        <v>-2</v>
      </c>
      <c r="T21" s="176">
        <f t="shared" si="5"/>
        <v>4</v>
      </c>
      <c r="U21" s="251">
        <f t="shared" si="20"/>
        <v>-1.0024149801087754</v>
      </c>
      <c r="V21" s="383">
        <f t="shared" si="6"/>
        <v>25.880485589205399</v>
      </c>
      <c r="W21" s="402"/>
      <c r="X21" s="157">
        <f t="shared" si="7"/>
        <v>43837</v>
      </c>
      <c r="Y21" s="385">
        <f t="shared" si="8"/>
        <v>7.0919999999999996</v>
      </c>
      <c r="Z21" s="385">
        <f t="shared" si="9"/>
        <v>7.1823541850970267</v>
      </c>
      <c r="AA21" s="386">
        <f t="shared" si="10"/>
        <v>7.3947271895387088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2.8719518516129278E-2</v>
      </c>
      <c r="AD21" s="231">
        <f>(INDEX(Models!$BJ21:$BT21,,AH21)*(1-AF21)+INDEX(Models!$BJ21:$BT21,,AH21+1)*AF21-ERP_i)*AE21*Ramure*Pc/MaxiM</f>
        <v>1.2533912923947058E-4</v>
      </c>
      <c r="AE21" s="305">
        <f t="shared" si="12"/>
        <v>0.5</v>
      </c>
      <c r="AF21" s="177">
        <f t="shared" si="21"/>
        <v>0.99758501989122461</v>
      </c>
      <c r="AG21" s="811">
        <f t="shared" si="22"/>
        <v>-2</v>
      </c>
      <c r="AH21" s="176">
        <f t="shared" si="13"/>
        <v>4</v>
      </c>
      <c r="AI21" s="225">
        <f t="shared" si="23"/>
        <v>-1.0024149801087754</v>
      </c>
      <c r="AJ21" s="265" t="b">
        <f t="shared" si="14"/>
        <v>1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7">
        <v>12.661</v>
      </c>
      <c r="C22" s="390"/>
      <c r="D22" s="393">
        <f t="shared" si="0"/>
        <v>12.822585745662675</v>
      </c>
      <c r="E22" s="385">
        <f t="shared" si="17"/>
        <v>13.202234177777568</v>
      </c>
      <c r="F22" s="385">
        <f t="shared" si="1"/>
        <v>13.202668221583318</v>
      </c>
      <c r="G22" s="110">
        <f t="shared" si="18"/>
        <v>0.48536723189441539</v>
      </c>
      <c r="H22" s="414" t="b">
        <f>Wh_hp&gt;='2019'!Maxi_hp</f>
        <v>1</v>
      </c>
      <c r="I22" s="380">
        <f>IF(H22,Wh_hp,'2019'!Maxi_hp)</f>
        <v>13.202668221583318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1.2601650623965011E-2</v>
      </c>
      <c r="M22" s="845"/>
      <c r="N22" s="845"/>
      <c r="O22" s="48">
        <f>IF(t&lt;Tnet,'2019'!Resal+('2019'!Salim-'2019'!Resal)*(1-EXP(('2019'!Tnet-t)/('2019'!Tau_j))),Resal+(Salim-Resal)*(1-EXP((Tnet-t)/(Tau_j))))*Salcycl</f>
        <v>2.8756377670828611E-2</v>
      </c>
      <c r="P22" s="169">
        <f>(INDEX(Models!$BJ22:$BT22,,T22)*(1-R22)+INDEX(Models!$BJ22:$BT22,,T22+1)*R22-ERP_i)*Q22*Ramure*Pc/MaxiM</f>
        <v>1.2411754334746688E-4</v>
      </c>
      <c r="Q22" s="305">
        <f t="shared" si="2"/>
        <v>0.5</v>
      </c>
      <c r="R22" s="177">
        <f t="shared" si="3"/>
        <v>0.99762237424722189</v>
      </c>
      <c r="S22" s="811">
        <f t="shared" si="4"/>
        <v>-2</v>
      </c>
      <c r="T22" s="176">
        <f t="shared" si="5"/>
        <v>4</v>
      </c>
      <c r="U22" s="251">
        <f t="shared" si="20"/>
        <v>-1.0023776257527781</v>
      </c>
      <c r="V22" s="383">
        <f t="shared" si="6"/>
        <v>26.083023150543731</v>
      </c>
      <c r="W22" s="402"/>
      <c r="X22" s="157">
        <f t="shared" si="7"/>
        <v>43838</v>
      </c>
      <c r="Y22" s="385">
        <f t="shared" si="8"/>
        <v>12.661</v>
      </c>
      <c r="Z22" s="385">
        <f t="shared" si="9"/>
        <v>12.822585745662675</v>
      </c>
      <c r="AA22" s="386">
        <f t="shared" si="10"/>
        <v>13.202234177777568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2.8756377670828611E-2</v>
      </c>
      <c r="AD22" s="231">
        <f>(INDEX(Models!$BJ22:$BT22,,AH22)*(1-AF22)+INDEX(Models!$BJ22:$BT22,,AH22+1)*AF22-ERP_i)*AE22*Ramure*Pc/MaxiM</f>
        <v>1.2411754334746688E-4</v>
      </c>
      <c r="AE22" s="305">
        <f t="shared" si="12"/>
        <v>0.5</v>
      </c>
      <c r="AF22" s="177">
        <f t="shared" si="21"/>
        <v>0.99762237424722189</v>
      </c>
      <c r="AG22" s="811">
        <f t="shared" si="22"/>
        <v>-2</v>
      </c>
      <c r="AH22" s="176">
        <f t="shared" si="13"/>
        <v>4</v>
      </c>
      <c r="AI22" s="225">
        <f t="shared" si="23"/>
        <v>-1.0023776257527781</v>
      </c>
      <c r="AJ22" s="265" t="b">
        <f t="shared" si="14"/>
        <v>1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7">
        <v>24.962</v>
      </c>
      <c r="C23" s="390"/>
      <c r="D23" s="393">
        <f t="shared" si="0"/>
        <v>25.281130720557634</v>
      </c>
      <c r="E23" s="385">
        <f t="shared" si="17"/>
        <v>26.030637019897647</v>
      </c>
      <c r="F23" s="385">
        <f t="shared" si="1"/>
        <v>26.033603222307448</v>
      </c>
      <c r="G23" s="110">
        <f t="shared" si="18"/>
        <v>0.94949157899014591</v>
      </c>
      <c r="H23" s="414" t="b">
        <f>Wh_hp&gt;='2019'!Maxi_hp</f>
        <v>1</v>
      </c>
      <c r="I23" s="380">
        <f>IF(H23,Wh_hp,'2019'!Maxi_hp)</f>
        <v>26.033603222307448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1.2623277181907477E-2</v>
      </c>
      <c r="M23" s="845"/>
      <c r="N23" s="845"/>
      <c r="O23" s="48">
        <f>IF(t&lt;Tnet,'2019'!Resal+('2019'!Salim-'2019'!Resal)*(1-EXP(('2019'!Tnet-t)/('2019'!Tau_j))),Resal+(Salim-Resal)*(1-EXP((Tnet-t)/(Tau_j))))*Salcycl</f>
        <v>2.8793236937194214E-2</v>
      </c>
      <c r="P23" s="169">
        <f>(INDEX(Models!$BJ23:$BT23,,T23)*(1-R23)+INDEX(Models!$BJ23:$BT23,,T23+1)*R23-ERP_i)*Q23*Ramure*Pc/MaxiM</f>
        <v>1.227963313957246E-4</v>
      </c>
      <c r="Q23" s="305">
        <f t="shared" si="2"/>
        <v>0.5</v>
      </c>
      <c r="R23" s="177">
        <f t="shared" si="3"/>
        <v>0.9976612897562569</v>
      </c>
      <c r="S23" s="811">
        <f t="shared" si="4"/>
        <v>-2</v>
      </c>
      <c r="T23" s="176">
        <f t="shared" si="5"/>
        <v>4</v>
      </c>
      <c r="U23" s="251">
        <f t="shared" si="20"/>
        <v>-1.0023387102437431</v>
      </c>
      <c r="V23" s="383">
        <f t="shared" si="6"/>
        <v>26.289626355607421</v>
      </c>
      <c r="W23" s="402"/>
      <c r="X23" s="157">
        <f t="shared" si="7"/>
        <v>43839</v>
      </c>
      <c r="Y23" s="385">
        <f t="shared" si="8"/>
        <v>24.962</v>
      </c>
      <c r="Z23" s="385">
        <f t="shared" si="9"/>
        <v>25.281130720557634</v>
      </c>
      <c r="AA23" s="386">
        <f t="shared" si="10"/>
        <v>26.030637019897647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2.8793236937194214E-2</v>
      </c>
      <c r="AD23" s="231">
        <f>(INDEX(Models!$BJ23:$BT23,,AH23)*(1-AF23)+INDEX(Models!$BJ23:$BT23,,AH23+1)*AF23-ERP_i)*AE23*Ramure*Pc/MaxiM</f>
        <v>1.227963313957246E-4</v>
      </c>
      <c r="AE23" s="305">
        <f t="shared" si="12"/>
        <v>0.5</v>
      </c>
      <c r="AF23" s="177">
        <f t="shared" si="21"/>
        <v>0.9976612897562569</v>
      </c>
      <c r="AG23" s="811">
        <f t="shared" si="22"/>
        <v>-2</v>
      </c>
      <c r="AH23" s="176">
        <f t="shared" si="13"/>
        <v>4</v>
      </c>
      <c r="AI23" s="225">
        <f t="shared" si="23"/>
        <v>-1.0023387102437431</v>
      </c>
      <c r="AJ23" s="265" t="b">
        <f t="shared" si="14"/>
        <v>1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7">
        <v>9.125</v>
      </c>
      <c r="C24" s="390"/>
      <c r="D24" s="393">
        <f t="shared" si="0"/>
        <v>9.2418624567650678</v>
      </c>
      <c r="E24" s="385">
        <f t="shared" si="17"/>
        <v>9.5162158585548191</v>
      </c>
      <c r="F24" s="385">
        <f t="shared" si="1"/>
        <v>9.5162888278595652</v>
      </c>
      <c r="G24" s="110">
        <f t="shared" si="18"/>
        <v>0.34425662228984061</v>
      </c>
      <c r="H24" s="414" t="b">
        <f>Wh_hp&gt;='2019'!Maxi_hp</f>
        <v>0</v>
      </c>
      <c r="I24" s="380">
        <f>IF(H24,Wh_hp,'2019'!Maxi_hp)</f>
        <v>13.230713123965954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1.2644903266172736E-2</v>
      </c>
      <c r="M24" s="845"/>
      <c r="N24" s="845"/>
      <c r="O24" s="48">
        <f>IF(t&lt;Tnet,'2019'!Resal+('2019'!Salim-'2019'!Resal)*(1-EXP(('2019'!Tnet-t)/('2019'!Tau_j))),Resal+(Salim-Resal)*(1-EXP((Tnet-t)/(Tau_j))))*Salcycl</f>
        <v>2.8830094426989535E-2</v>
      </c>
      <c r="P24" s="169">
        <f>(INDEX(Models!$BJ24:$BT24,,T24)*(1-R24)+INDEX(Models!$BJ24:$BT24,,T24+1)*R24-ERP_i)*Q24*Ramure*Pc/MaxiM</f>
        <v>1.2117388785381114E-4</v>
      </c>
      <c r="Q24" s="305">
        <f t="shared" si="2"/>
        <v>0.5</v>
      </c>
      <c r="R24" s="177">
        <f t="shared" si="3"/>
        <v>0.99770183140472657</v>
      </c>
      <c r="S24" s="811">
        <f t="shared" si="4"/>
        <v>-2</v>
      </c>
      <c r="T24" s="176">
        <f t="shared" si="5"/>
        <v>4</v>
      </c>
      <c r="U24" s="251">
        <f t="shared" si="20"/>
        <v>-1.0022981685952734</v>
      </c>
      <c r="V24" s="383">
        <f t="shared" si="6"/>
        <v>26.503380497405026</v>
      </c>
      <c r="W24" s="402"/>
      <c r="X24" s="157">
        <f t="shared" si="7"/>
        <v>43840</v>
      </c>
      <c r="Y24" s="385">
        <f t="shared" si="8"/>
        <v>9.125</v>
      </c>
      <c r="Z24" s="385">
        <f t="shared" si="9"/>
        <v>9.2418624567650678</v>
      </c>
      <c r="AA24" s="386">
        <f t="shared" si="10"/>
        <v>9.5162158585548191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2.8830094426989535E-2</v>
      </c>
      <c r="AD24" s="231">
        <f>(INDEX(Models!$BJ24:$BT24,,AH24)*(1-AF24)+INDEX(Models!$BJ24:$BT24,,AH24+1)*AF24-ERP_i)*AE24*Ramure*Pc/MaxiM</f>
        <v>1.2117388785381114E-4</v>
      </c>
      <c r="AE24" s="305">
        <f t="shared" si="12"/>
        <v>0.5</v>
      </c>
      <c r="AF24" s="177">
        <f t="shared" si="21"/>
        <v>0.99770183140472657</v>
      </c>
      <c r="AG24" s="811">
        <f t="shared" si="22"/>
        <v>-2</v>
      </c>
      <c r="AH24" s="176">
        <f t="shared" si="13"/>
        <v>4</v>
      </c>
      <c r="AI24" s="225">
        <f t="shared" si="23"/>
        <v>-1.0022981685952734</v>
      </c>
      <c r="AJ24" s="265" t="b">
        <f t="shared" si="14"/>
        <v>1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7">
        <v>26.664999999999999</v>
      </c>
      <c r="C25" s="390"/>
      <c r="D25" s="393">
        <f t="shared" si="0"/>
        <v>27.007086035141565</v>
      </c>
      <c r="E25" s="385">
        <f t="shared" si="17"/>
        <v>27.809872193537782</v>
      </c>
      <c r="F25" s="385">
        <f t="shared" si="1"/>
        <v>27.813177241518638</v>
      </c>
      <c r="G25" s="110">
        <f t="shared" si="18"/>
        <v>0.99778964030270345</v>
      </c>
      <c r="H25" s="414" t="b">
        <f>Wh_hp&gt;='2019'!Maxi_hp</f>
        <v>1</v>
      </c>
      <c r="I25" s="380">
        <f>IF(H25,Wh_hp,'2019'!Maxi_hp)</f>
        <v>27.813177241518638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1.2666528876771221E-2</v>
      </c>
      <c r="M25" s="845"/>
      <c r="N25" s="845"/>
      <c r="O25" s="48">
        <f>IF(t&lt;Tnet,'2019'!Resal+('2019'!Salim-'2019'!Resal)*(1-EXP(('2019'!Tnet-t)/('2019'!Tau_j))),Resal+(Salim-Resal)*(1-EXP((Tnet-t)/(Tau_j))))*Salcycl</f>
        <v>2.8866948859360766E-2</v>
      </c>
      <c r="P25" s="169">
        <f>(INDEX(Models!$BJ25:$BT25,,T25)*(1-R25)+INDEX(Models!$BJ25:$BT25,,T25+1)*R25-ERP_i)*Q25*Ramure*Pc/MaxiM</f>
        <v>1.1920664197677076E-4</v>
      </c>
      <c r="Q25" s="305">
        <f t="shared" si="2"/>
        <v>0.5</v>
      </c>
      <c r="R25" s="177">
        <f t="shared" si="3"/>
        <v>0.99774406686209249</v>
      </c>
      <c r="S25" s="811">
        <f t="shared" si="4"/>
        <v>-2</v>
      </c>
      <c r="T25" s="176">
        <f t="shared" si="5"/>
        <v>4</v>
      </c>
      <c r="U25" s="251">
        <f t="shared" si="20"/>
        <v>-1.0022559331379075</v>
      </c>
      <c r="V25" s="383">
        <f t="shared" si="6"/>
        <v>26.724059748057957</v>
      </c>
      <c r="W25" s="402"/>
      <c r="X25" s="157">
        <f t="shared" si="7"/>
        <v>43841</v>
      </c>
      <c r="Y25" s="385">
        <f t="shared" si="8"/>
        <v>26.664999999999999</v>
      </c>
      <c r="Z25" s="385">
        <f t="shared" si="9"/>
        <v>27.007086035141565</v>
      </c>
      <c r="AA25" s="386">
        <f t="shared" si="10"/>
        <v>27.809872193537782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2.8866948859360766E-2</v>
      </c>
      <c r="AD25" s="231">
        <f>(INDEX(Models!$BJ25:$BT25,,AH25)*(1-AF25)+INDEX(Models!$BJ25:$BT25,,AH25+1)*AF25-ERP_i)*AE25*Ramure*Pc/MaxiM</f>
        <v>1.1920664197677076E-4</v>
      </c>
      <c r="AE25" s="305">
        <f t="shared" si="12"/>
        <v>0.5</v>
      </c>
      <c r="AF25" s="177">
        <f t="shared" si="21"/>
        <v>0.99774406686209249</v>
      </c>
      <c r="AG25" s="811">
        <f t="shared" si="22"/>
        <v>-2</v>
      </c>
      <c r="AH25" s="176">
        <f t="shared" si="13"/>
        <v>4</v>
      </c>
      <c r="AI25" s="225">
        <f t="shared" si="23"/>
        <v>-1.0022559331379075</v>
      </c>
      <c r="AJ25" s="265" t="b">
        <f t="shared" si="14"/>
        <v>1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7">
        <v>26.812999999999999</v>
      </c>
      <c r="C26" s="390"/>
      <c r="D26" s="393">
        <f t="shared" si="0"/>
        <v>27.15757955199539</v>
      </c>
      <c r="E26" s="385">
        <f t="shared" si="17"/>
        <v>27.965900328124949</v>
      </c>
      <c r="F26" s="385">
        <f t="shared" si="1"/>
        <v>27.969146072299974</v>
      </c>
      <c r="G26" s="110">
        <f t="shared" si="18"/>
        <v>0.99486261464518266</v>
      </c>
      <c r="H26" s="414" t="b">
        <f>Wh_hp&gt;='2019'!Maxi_hp</f>
        <v>1</v>
      </c>
      <c r="I26" s="380">
        <f>IF(H26,Wh_hp,'2019'!Maxi_hp)</f>
        <v>27.969146072299974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1.2688154013713371E-2</v>
      </c>
      <c r="M26" s="845"/>
      <c r="N26" s="845"/>
      <c r="O26" s="48">
        <f>IF(t&lt;Tnet,'2019'!Resal+('2019'!Salim-'2019'!Resal)*(1-EXP(('2019'!Tnet-t)/('2019'!Tau_j))),Resal+(Salim-Resal)*(1-EXP((Tnet-t)/(Tau_j))))*Salcycl</f>
        <v>2.8903799507453819E-2</v>
      </c>
      <c r="P26" s="169">
        <f>(INDEX(Models!$BJ26:$BT26,,T26)*(1-R26)+INDEX(Models!$BJ26:$BT26,,T26+1)*R26-ERP_i)*Q26*Ramure*Pc/MaxiM</f>
        <v>1.1690514896672838E-4</v>
      </c>
      <c r="Q26" s="305">
        <f t="shared" si="2"/>
        <v>0.5</v>
      </c>
      <c r="R26" s="177">
        <f t="shared" si="3"/>
        <v>0.9977880665897636</v>
      </c>
      <c r="S26" s="811">
        <f t="shared" si="4"/>
        <v>-2</v>
      </c>
      <c r="T26" s="176">
        <f t="shared" si="5"/>
        <v>4</v>
      </c>
      <c r="U26" s="251">
        <f t="shared" si="20"/>
        <v>-1.0022119334102364</v>
      </c>
      <c r="V26" s="383">
        <f t="shared" si="6"/>
        <v>26.951436913394311</v>
      </c>
      <c r="W26" s="402"/>
      <c r="X26" s="157">
        <f t="shared" si="7"/>
        <v>43842</v>
      </c>
      <c r="Y26" s="385">
        <f t="shared" si="8"/>
        <v>26.812999999999999</v>
      </c>
      <c r="Z26" s="385">
        <f t="shared" si="9"/>
        <v>27.15757955199539</v>
      </c>
      <c r="AA26" s="386">
        <f t="shared" si="10"/>
        <v>27.965900328124949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2.8903799507453819E-2</v>
      </c>
      <c r="AD26" s="231">
        <f>(INDEX(Models!$BJ26:$BT26,,AH26)*(1-AF26)+INDEX(Models!$BJ26:$BT26,,AH26+1)*AF26-ERP_i)*AE26*Ramure*Pc/MaxiM</f>
        <v>1.1690514896672838E-4</v>
      </c>
      <c r="AE26" s="305">
        <f t="shared" si="12"/>
        <v>0.5</v>
      </c>
      <c r="AF26" s="177">
        <f t="shared" si="21"/>
        <v>0.9977880665897636</v>
      </c>
      <c r="AG26" s="811">
        <f t="shared" si="22"/>
        <v>-2</v>
      </c>
      <c r="AH26" s="176">
        <f t="shared" si="13"/>
        <v>4</v>
      </c>
      <c r="AI26" s="225">
        <f t="shared" si="23"/>
        <v>-1.0022119334102364</v>
      </c>
      <c r="AJ26" s="265" t="b">
        <f t="shared" si="14"/>
        <v>1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7">
        <v>15.367000000000001</v>
      </c>
      <c r="C27" s="390"/>
      <c r="D27" s="393">
        <f t="shared" si="0"/>
        <v>15.564825487087157</v>
      </c>
      <c r="E27" s="385">
        <f t="shared" si="17"/>
        <v>16.028706613296656</v>
      </c>
      <c r="F27" s="385">
        <f t="shared" si="1"/>
        <v>16.029400800100351</v>
      </c>
      <c r="G27" s="110">
        <f t="shared" si="18"/>
        <v>0.56522892457182772</v>
      </c>
      <c r="H27" s="414" t="b">
        <f>Wh_hp&gt;='2019'!Maxi_hp</f>
        <v>1</v>
      </c>
      <c r="I27" s="380">
        <f>IF(H27,Wh_hp,'2019'!Maxi_hp)</f>
        <v>16.029400800100351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1.270977867700962E-2</v>
      </c>
      <c r="M27" s="845"/>
      <c r="N27" s="845"/>
      <c r="O27" s="48">
        <f>IF(t&lt;Tnet,'2019'!Resal+('2019'!Salim-'2019'!Resal)*(1-EXP(('2019'!Tnet-t)/('2019'!Tau_j))),Resal+(Salim-Resal)*(1-EXP((Tnet-t)/(Tau_j))))*Salcycl</f>
        <v>2.8940646142008999E-2</v>
      </c>
      <c r="P27" s="169">
        <f>(INDEX(Models!$BJ27:$BT27,,T27)*(1-R27)+INDEX(Models!$BJ27:$BT27,,T27+1)*R27-ERP_i)*Q27*Ramure*Pc/MaxiM</f>
        <v>1.1428007884292951E-4</v>
      </c>
      <c r="Q27" s="305">
        <f t="shared" si="2"/>
        <v>0.5</v>
      </c>
      <c r="R27" s="177">
        <f t="shared" si="3"/>
        <v>0.99783390395423277</v>
      </c>
      <c r="S27" s="811">
        <f t="shared" si="4"/>
        <v>-2</v>
      </c>
      <c r="T27" s="176">
        <f t="shared" si="5"/>
        <v>4</v>
      </c>
      <c r="U27" s="251">
        <f t="shared" si="20"/>
        <v>-1.0021660960457672</v>
      </c>
      <c r="V27" s="383">
        <f t="shared" si="6"/>
        <v>27.185284834073737</v>
      </c>
      <c r="W27" s="402"/>
      <c r="X27" s="157">
        <f t="shared" si="7"/>
        <v>43843</v>
      </c>
      <c r="Y27" s="385">
        <f t="shared" si="8"/>
        <v>15.367000000000003</v>
      </c>
      <c r="Z27" s="385">
        <f t="shared" si="9"/>
        <v>15.564825487087159</v>
      </c>
      <c r="AA27" s="386">
        <f t="shared" si="10"/>
        <v>16.028706613296656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2.8940646142008999E-2</v>
      </c>
      <c r="AD27" s="231">
        <f>(INDEX(Models!$BJ27:$BT27,,AH27)*(1-AF27)+INDEX(Models!$BJ27:$BT27,,AH27+1)*AF27-ERP_i)*AE27*Ramure*Pc/MaxiM</f>
        <v>1.1428007884292951E-4</v>
      </c>
      <c r="AE27" s="305">
        <f t="shared" si="12"/>
        <v>0.5</v>
      </c>
      <c r="AF27" s="177">
        <f t="shared" si="21"/>
        <v>0.99783390395423277</v>
      </c>
      <c r="AG27" s="811">
        <f t="shared" si="22"/>
        <v>-2</v>
      </c>
      <c r="AH27" s="176">
        <f t="shared" si="13"/>
        <v>4</v>
      </c>
      <c r="AI27" s="225">
        <f t="shared" si="23"/>
        <v>-1.0021660960457672</v>
      </c>
      <c r="AJ27" s="265" t="b">
        <f t="shared" si="14"/>
        <v>1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7">
        <v>26.661000000000001</v>
      </c>
      <c r="C28" s="390"/>
      <c r="D28" s="393">
        <f t="shared" si="0"/>
        <v>27.004809104041069</v>
      </c>
      <c r="E28" s="385">
        <f t="shared" si="17"/>
        <v>27.810693158358088</v>
      </c>
      <c r="F28" s="385">
        <f t="shared" si="1"/>
        <v>27.813666688911876</v>
      </c>
      <c r="G28" s="110">
        <f t="shared" si="18"/>
        <v>0.97212455387113228</v>
      </c>
      <c r="H28" s="414" t="b">
        <f>Wh_hp&gt;='2019'!Maxi_hp</f>
        <v>1</v>
      </c>
      <c r="I28" s="380">
        <f>IF(H28,Wh_hp,'2019'!Maxi_hp)</f>
        <v>27.813666688911876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1.2731402866670072E-2</v>
      </c>
      <c r="M28" s="845"/>
      <c r="N28" s="845"/>
      <c r="O28" s="48">
        <f>IF(t&lt;Tnet,'2019'!Resal+('2019'!Salim-'2019'!Resal)*(1-EXP(('2019'!Tnet-t)/('2019'!Tau_j))),Resal+(Salim-Resal)*(1-EXP((Tnet-t)/(Tau_j))))*Salcycl</f>
        <v>2.897748897261208E-2</v>
      </c>
      <c r="P28" s="169">
        <f>(INDEX(Models!$BJ28:$BT28,,T28)*(1-R28)+INDEX(Models!$BJ28:$BT28,,T28+1)*R28-ERP_i)*Q28*Ramure*Pc/MaxiM</f>
        <v>1.1134216283852735E-4</v>
      </c>
      <c r="Q28" s="305">
        <f t="shared" si="2"/>
        <v>0.5</v>
      </c>
      <c r="R28" s="177">
        <f t="shared" si="3"/>
        <v>0.99788165534462236</v>
      </c>
      <c r="S28" s="811">
        <f t="shared" si="4"/>
        <v>-2</v>
      </c>
      <c r="T28" s="176">
        <f t="shared" si="5"/>
        <v>4</v>
      </c>
      <c r="U28" s="251">
        <f t="shared" si="20"/>
        <v>-1.0021183446553776</v>
      </c>
      <c r="V28" s="383">
        <f t="shared" si="6"/>
        <v>27.425376396402466</v>
      </c>
      <c r="W28" s="402"/>
      <c r="X28" s="157">
        <f t="shared" si="7"/>
        <v>43844</v>
      </c>
      <c r="Y28" s="385">
        <f t="shared" si="8"/>
        <v>26.661000000000001</v>
      </c>
      <c r="Z28" s="385">
        <f t="shared" si="9"/>
        <v>27.004809104041069</v>
      </c>
      <c r="AA28" s="386">
        <f t="shared" si="10"/>
        <v>27.810693158358088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2.897748897261208E-2</v>
      </c>
      <c r="AD28" s="231">
        <f>(INDEX(Models!$BJ28:$BT28,,AH28)*(1-AF28)+INDEX(Models!$BJ28:$BT28,,AH28+1)*AF28-ERP_i)*AE28*Ramure*Pc/MaxiM</f>
        <v>1.1134216283852735E-4</v>
      </c>
      <c r="AE28" s="305">
        <f t="shared" si="12"/>
        <v>0.5</v>
      </c>
      <c r="AF28" s="177">
        <f t="shared" si="21"/>
        <v>0.99788165534462236</v>
      </c>
      <c r="AG28" s="811">
        <f t="shared" si="22"/>
        <v>-2</v>
      </c>
      <c r="AH28" s="176">
        <f t="shared" si="13"/>
        <v>4</v>
      </c>
      <c r="AI28" s="225">
        <f t="shared" si="23"/>
        <v>-1.0021183446553776</v>
      </c>
      <c r="AJ28" s="265" t="b">
        <f t="shared" si="14"/>
        <v>1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7">
        <v>22.475999999999999</v>
      </c>
      <c r="C29" s="390"/>
      <c r="D29" s="393">
        <f t="shared" si="0"/>
        <v>22.766339735842095</v>
      </c>
      <c r="E29" s="385">
        <f t="shared" si="17"/>
        <v>23.446627902056253</v>
      </c>
      <c r="F29" s="385">
        <f t="shared" si="1"/>
        <v>23.448482833982602</v>
      </c>
      <c r="G29" s="110">
        <f t="shared" si="18"/>
        <v>0.81222054515572728</v>
      </c>
      <c r="H29" s="414" t="b">
        <f>Wh_hp&gt;='2019'!Maxi_hp</f>
        <v>0</v>
      </c>
      <c r="I29" s="380">
        <f>IF(H29,Wh_hp,'2019'!Maxi_hp)</f>
        <v>29.067033141157783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1.2753026582705385E-2</v>
      </c>
      <c r="M29" s="845"/>
      <c r="N29" s="845"/>
      <c r="O29" s="48">
        <f>IF(t&lt;Tnet,'2019'!Resal+('2019'!Salim-'2019'!Resal)*(1-EXP(('2019'!Tnet-t)/('2019'!Tau_j))),Resal+(Salim-Resal)*(1-EXP((Tnet-t)/(Tau_j))))*Salcycl</f>
        <v>2.9014328587288998E-2</v>
      </c>
      <c r="P29" s="169">
        <f>(INDEX(Models!$BJ29:$BT29,,T29)*(1-R29)+INDEX(Models!$BJ29:$BT29,,T29+1)*R29-ERP_i)*Q29*Ramure*Pc/MaxiM</f>
        <v>1.0810214325206389E-4</v>
      </c>
      <c r="Q29" s="305">
        <f t="shared" si="2"/>
        <v>0.5</v>
      </c>
      <c r="R29" s="177">
        <f t="shared" si="3"/>
        <v>0.99793140029479455</v>
      </c>
      <c r="S29" s="811">
        <f t="shared" si="4"/>
        <v>-2</v>
      </c>
      <c r="T29" s="176">
        <f t="shared" si="5"/>
        <v>4</v>
      </c>
      <c r="U29" s="251">
        <f t="shared" si="20"/>
        <v>-1.0020685997052055</v>
      </c>
      <c r="V29" s="383">
        <f t="shared" si="6"/>
        <v>27.671484525655078</v>
      </c>
      <c r="W29" s="402"/>
      <c r="X29" s="157">
        <f t="shared" si="7"/>
        <v>43845</v>
      </c>
      <c r="Y29" s="385">
        <f t="shared" si="8"/>
        <v>22.475999999999999</v>
      </c>
      <c r="Z29" s="385">
        <f t="shared" si="9"/>
        <v>22.766339735842095</v>
      </c>
      <c r="AA29" s="386">
        <f t="shared" si="10"/>
        <v>23.446627902056253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2.9014328587288998E-2</v>
      </c>
      <c r="AD29" s="231">
        <f>(INDEX(Models!$BJ29:$BT29,,AH29)*(1-AF29)+INDEX(Models!$BJ29:$BT29,,AH29+1)*AF29-ERP_i)*AE29*Ramure*Pc/MaxiM</f>
        <v>1.0810214325206389E-4</v>
      </c>
      <c r="AE29" s="305">
        <f t="shared" si="12"/>
        <v>0.5</v>
      </c>
      <c r="AF29" s="177">
        <f t="shared" si="21"/>
        <v>0.99793140029479455</v>
      </c>
      <c r="AG29" s="811">
        <f t="shared" si="22"/>
        <v>-2</v>
      </c>
      <c r="AH29" s="176">
        <f t="shared" si="13"/>
        <v>4</v>
      </c>
      <c r="AI29" s="225">
        <f t="shared" si="23"/>
        <v>-1.0020685997052055</v>
      </c>
      <c r="AJ29" s="265" t="b">
        <f t="shared" si="14"/>
        <v>1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7">
        <v>23.254999999999999</v>
      </c>
      <c r="C30" s="390"/>
      <c r="D30" s="393">
        <f t="shared" si="0"/>
        <v>23.555918611571993</v>
      </c>
      <c r="E30" s="385">
        <f t="shared" si="17"/>
        <v>24.260720837253487</v>
      </c>
      <c r="F30" s="385">
        <f t="shared" si="1"/>
        <v>24.262653230392278</v>
      </c>
      <c r="G30" s="110">
        <f t="shared" si="18"/>
        <v>0.83279382637072163</v>
      </c>
      <c r="H30" s="414" t="b">
        <f>Wh_hp&gt;='2019'!Maxi_hp</f>
        <v>0</v>
      </c>
      <c r="I30" s="380">
        <f>IF(H30,Wh_hp,'2019'!Maxi_hp)</f>
        <v>29.178076379468706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1.2774649825125772E-2</v>
      </c>
      <c r="M30" s="845"/>
      <c r="N30" s="845"/>
      <c r="O30" s="48">
        <f>IF(t&lt;Tnet,'2019'!Resal+('2019'!Salim-'2019'!Resal)*(1-EXP(('2019'!Tnet-t)/('2019'!Tau_j))),Resal+(Salim-Resal)*(1-EXP((Tnet-t)/(Tau_j))))*Salcycl</f>
        <v>2.9051165891131957E-2</v>
      </c>
      <c r="P30" s="169">
        <f>(INDEX(Models!$BJ30:$BT30,,T30)*(1-R30)+INDEX(Models!$BJ30:$BT30,,T30+1)*R30-ERP_i)*Q30*Ramure*Pc/MaxiM</f>
        <v>1.0463550766803721E-4</v>
      </c>
      <c r="Q30" s="305">
        <f t="shared" si="2"/>
        <v>0.5</v>
      </c>
      <c r="R30" s="177">
        <f t="shared" si="3"/>
        <v>0.99798322161018782</v>
      </c>
      <c r="S30" s="811">
        <f t="shared" si="4"/>
        <v>-2</v>
      </c>
      <c r="T30" s="176">
        <f t="shared" si="5"/>
        <v>4</v>
      </c>
      <c r="U30" s="251">
        <f t="shared" si="20"/>
        <v>-1.0020167783898122</v>
      </c>
      <c r="V30" s="383">
        <f t="shared" si="6"/>
        <v>27.923380382347741</v>
      </c>
      <c r="W30" s="402"/>
      <c r="X30" s="157">
        <f t="shared" si="7"/>
        <v>43846</v>
      </c>
      <c r="Y30" s="385">
        <f t="shared" si="8"/>
        <v>23.254999999999999</v>
      </c>
      <c r="Z30" s="385">
        <f t="shared" si="9"/>
        <v>23.555918611571993</v>
      </c>
      <c r="AA30" s="386">
        <f t="shared" si="10"/>
        <v>24.260720837253487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2.9051165891131957E-2</v>
      </c>
      <c r="AD30" s="231">
        <f>(INDEX(Models!$BJ30:$BT30,,AH30)*(1-AF30)+INDEX(Models!$BJ30:$BT30,,AH30+1)*AF30-ERP_i)*AE30*Ramure*Pc/MaxiM</f>
        <v>1.0463550766803721E-4</v>
      </c>
      <c r="AE30" s="305">
        <f t="shared" si="12"/>
        <v>0.5</v>
      </c>
      <c r="AF30" s="177">
        <f t="shared" si="21"/>
        <v>0.99798322161018782</v>
      </c>
      <c r="AG30" s="811">
        <f t="shared" si="22"/>
        <v>-2</v>
      </c>
      <c r="AH30" s="176">
        <f t="shared" si="13"/>
        <v>4</v>
      </c>
      <c r="AI30" s="225">
        <f t="shared" si="23"/>
        <v>-1.0020167783898122</v>
      </c>
      <c r="AJ30" s="265" t="b">
        <f t="shared" si="14"/>
        <v>1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7">
        <v>4.6719999999999997</v>
      </c>
      <c r="C31" s="390"/>
      <c r="D31" s="393">
        <f t="shared" si="0"/>
        <v>4.7325591165219585</v>
      </c>
      <c r="E31" s="385">
        <f t="shared" si="17"/>
        <v>4.8743440461012266</v>
      </c>
      <c r="F31" s="385">
        <f t="shared" si="1"/>
        <v>4.8743440461012266</v>
      </c>
      <c r="G31" s="110">
        <f t="shared" si="18"/>
        <v>0.16576968098754291</v>
      </c>
      <c r="H31" s="414" t="b">
        <f>Wh_hp&gt;='2019'!Maxi_hp</f>
        <v>0</v>
      </c>
      <c r="I31" s="380">
        <f>IF(H31,Wh_hp,'2019'!Maxi_hp)</f>
        <v>10.666947833504928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1.2796272593941671E-2</v>
      </c>
      <c r="M31" s="845"/>
      <c r="N31" s="845"/>
      <c r="O31" s="48">
        <f>IF(t&lt;Tnet,'2019'!Resal+('2019'!Salim-'2019'!Resal)*(1-EXP(('2019'!Tnet-t)/('2019'!Tau_j))),Resal+(Salim-Resal)*(1-EXP((Tnet-t)/(Tau_j))))*Salcycl</f>
        <v>2.9088002044639297E-2</v>
      </c>
      <c r="P31" s="169">
        <f>(INDEX(Models!$BJ31:$BT31,,T31)*(1-R31)+INDEX(Models!$BJ31:$BT31,,T31+1)*R31-ERP_i)*Q31*Ramure*Pc/MaxiM</f>
        <v>1.0109490034567683E-4</v>
      </c>
      <c r="Q31" s="305">
        <f t="shared" si="2"/>
        <v>0.5</v>
      </c>
      <c r="R31" s="177">
        <f t="shared" si="3"/>
        <v>0.99803720549954189</v>
      </c>
      <c r="S31" s="811">
        <f t="shared" si="4"/>
        <v>-2</v>
      </c>
      <c r="T31" s="176">
        <f t="shared" si="5"/>
        <v>4</v>
      </c>
      <c r="U31" s="251">
        <f t="shared" si="20"/>
        <v>-1.0019627945004581</v>
      </c>
      <c r="V31" s="383">
        <f t="shared" si="6"/>
        <v>28.180832929132769</v>
      </c>
      <c r="W31" s="402"/>
      <c r="X31" s="157">
        <f t="shared" si="7"/>
        <v>43847</v>
      </c>
      <c r="Y31" s="385">
        <f t="shared" si="8"/>
        <v>4.6719999999999997</v>
      </c>
      <c r="Z31" s="385">
        <f t="shared" si="9"/>
        <v>4.7325591165219585</v>
      </c>
      <c r="AA31" s="386">
        <f t="shared" si="10"/>
        <v>4.8743440461012266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2.9088002044639297E-2</v>
      </c>
      <c r="AD31" s="231">
        <f>(INDEX(Models!$BJ31:$BT31,,AH31)*(1-AF31)+INDEX(Models!$BJ31:$BT31,,AH31+1)*AF31-ERP_i)*AE31*Ramure*Pc/MaxiM</f>
        <v>1.0109490034567683E-4</v>
      </c>
      <c r="AE31" s="305">
        <f t="shared" si="12"/>
        <v>0.5</v>
      </c>
      <c r="AF31" s="177">
        <f t="shared" si="21"/>
        <v>0.99803720549954189</v>
      </c>
      <c r="AG31" s="811">
        <f t="shared" si="22"/>
        <v>-2</v>
      </c>
      <c r="AH31" s="176">
        <f t="shared" si="13"/>
        <v>4</v>
      </c>
      <c r="AI31" s="225">
        <f t="shared" si="23"/>
        <v>-1.0019627945004581</v>
      </c>
      <c r="AJ31" s="265" t="b">
        <f t="shared" si="14"/>
        <v>1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7">
        <v>18.407</v>
      </c>
      <c r="C32" s="390"/>
      <c r="D32" s="393">
        <f t="shared" si="0"/>
        <v>18.646002500150004</v>
      </c>
      <c r="E32" s="385">
        <f t="shared" si="17"/>
        <v>19.20535537181555</v>
      </c>
      <c r="F32" s="385">
        <f t="shared" si="1"/>
        <v>19.206283884952878</v>
      </c>
      <c r="G32" s="110">
        <f t="shared" si="18"/>
        <v>0.64710815682014799</v>
      </c>
      <c r="H32" s="414" t="b">
        <f>Wh_hp&gt;='2019'!Maxi_hp</f>
        <v>1</v>
      </c>
      <c r="I32" s="380">
        <f>IF(H32,Wh_hp,'2019'!Maxi_hp)</f>
        <v>19.206283884952878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1.2817894889163517E-2</v>
      </c>
      <c r="M32" s="845"/>
      <c r="N32" s="845"/>
      <c r="O32" s="48">
        <f>IF(t&lt;Tnet,'2019'!Resal+('2019'!Salim-'2019'!Resal)*(1-EXP(('2019'!Tnet-t)/('2019'!Tau_j))),Resal+(Salim-Resal)*(1-EXP((Tnet-t)/(Tau_j))))*Salcycl</f>
        <v>2.9124838402439141E-2</v>
      </c>
      <c r="P32" s="169">
        <f>(INDEX(Models!$BJ32:$BT32,,T32)*(1-R32)+INDEX(Models!$BJ32:$BT32,,T32+1)*R32-ERP_i)*Q32*Ramure*Pc/MaxiM</f>
        <v>9.7485077385516106E-5</v>
      </c>
      <c r="Q32" s="305">
        <f t="shared" si="2"/>
        <v>0.5</v>
      </c>
      <c r="R32" s="177">
        <f t="shared" si="3"/>
        <v>0.99809344171168357</v>
      </c>
      <c r="S32" s="811">
        <f t="shared" si="4"/>
        <v>-2</v>
      </c>
      <c r="T32" s="176">
        <f t="shared" si="5"/>
        <v>4</v>
      </c>
      <c r="U32" s="251">
        <f t="shared" si="20"/>
        <v>-1.0019065582883164</v>
      </c>
      <c r="V32" s="383">
        <f t="shared" si="6"/>
        <v>28.443615223865731</v>
      </c>
      <c r="W32" s="402"/>
      <c r="X32" s="157">
        <f t="shared" si="7"/>
        <v>43848</v>
      </c>
      <c r="Y32" s="385">
        <f t="shared" si="8"/>
        <v>18.407</v>
      </c>
      <c r="Z32" s="385">
        <f t="shared" si="9"/>
        <v>18.646002500150004</v>
      </c>
      <c r="AA32" s="386">
        <f t="shared" si="10"/>
        <v>19.20535537181555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2.9124838402439141E-2</v>
      </c>
      <c r="AD32" s="231">
        <f>(INDEX(Models!$BJ32:$BT32,,AH32)*(1-AF32)+INDEX(Models!$BJ32:$BT32,,AH32+1)*AF32-ERP_i)*AE32*Ramure*Pc/MaxiM</f>
        <v>9.7485077385516106E-5</v>
      </c>
      <c r="AE32" s="305">
        <f t="shared" si="12"/>
        <v>0.5</v>
      </c>
      <c r="AF32" s="177">
        <f t="shared" si="21"/>
        <v>0.99809344171168357</v>
      </c>
      <c r="AG32" s="811">
        <f t="shared" si="22"/>
        <v>-2</v>
      </c>
      <c r="AH32" s="176">
        <f t="shared" si="13"/>
        <v>4</v>
      </c>
      <c r="AI32" s="225">
        <f t="shared" si="23"/>
        <v>-1.0019065582883164</v>
      </c>
      <c r="AJ32" s="265" t="b">
        <f t="shared" si="14"/>
        <v>1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7">
        <v>27.74</v>
      </c>
      <c r="C33" s="390"/>
      <c r="D33" s="393">
        <f t="shared" si="0"/>
        <v>28.100800700176823</v>
      </c>
      <c r="E33" s="385">
        <f t="shared" si="17"/>
        <v>28.944881983552857</v>
      </c>
      <c r="F33" s="385">
        <f t="shared" si="1"/>
        <v>28.947466297532539</v>
      </c>
      <c r="G33" s="110">
        <f t="shared" si="18"/>
        <v>0.96615898976648318</v>
      </c>
      <c r="H33" s="414" t="b">
        <f>Wh_hp&gt;='2019'!Maxi_hp</f>
        <v>1</v>
      </c>
      <c r="I33" s="380">
        <f>IF(H33,Wh_hp,'2019'!Maxi_hp)</f>
        <v>28.947466297532539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1.2839516710801524E-2</v>
      </c>
      <c r="M33" s="845"/>
      <c r="N33" s="845"/>
      <c r="O33" s="48">
        <f>IF(t&lt;Tnet,'2019'!Resal+('2019'!Salim-'2019'!Resal)*(1-EXP(('2019'!Tnet-t)/('2019'!Tau_j))),Resal+(Salim-Resal)*(1-EXP((Tnet-t)/(Tau_j))))*Salcycl</f>
        <v>2.9161676453048291E-2</v>
      </c>
      <c r="P33" s="169">
        <f>(INDEX(Models!$BJ33:$BT33,,T33)*(1-R33)+INDEX(Models!$BJ33:$BT33,,T33+1)*R33-ERP_i)*Q33*Ramure*Pc/MaxiM</f>
        <v>9.3810620890403379E-5</v>
      </c>
      <c r="Q33" s="305">
        <f t="shared" si="2"/>
        <v>0.5</v>
      </c>
      <c r="R33" s="177">
        <f t="shared" si="3"/>
        <v>0.99815202367754452</v>
      </c>
      <c r="S33" s="811">
        <f t="shared" si="4"/>
        <v>-2</v>
      </c>
      <c r="T33" s="176">
        <f t="shared" si="5"/>
        <v>4</v>
      </c>
      <c r="U33" s="251">
        <f t="shared" si="20"/>
        <v>-1.0018479763224555</v>
      </c>
      <c r="V33" s="383">
        <f t="shared" si="6"/>
        <v>28.71150037642299</v>
      </c>
      <c r="W33" s="402"/>
      <c r="X33" s="157">
        <f t="shared" si="7"/>
        <v>43849</v>
      </c>
      <c r="Y33" s="385">
        <f t="shared" si="8"/>
        <v>27.74</v>
      </c>
      <c r="Z33" s="385">
        <f t="shared" si="9"/>
        <v>28.100800700176823</v>
      </c>
      <c r="AA33" s="386">
        <f t="shared" si="10"/>
        <v>28.944881983552857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2.9161676453048291E-2</v>
      </c>
      <c r="AD33" s="231">
        <f>(INDEX(Models!$BJ33:$BT33,,AH33)*(1-AF33)+INDEX(Models!$BJ33:$BT33,,AH33+1)*AF33-ERP_i)*AE33*Ramure*Pc/MaxiM</f>
        <v>9.3810620890403379E-5</v>
      </c>
      <c r="AE33" s="305">
        <f t="shared" si="12"/>
        <v>0.5</v>
      </c>
      <c r="AF33" s="177">
        <f t="shared" si="21"/>
        <v>0.99815202367754452</v>
      </c>
      <c r="AG33" s="811">
        <f t="shared" si="22"/>
        <v>-2</v>
      </c>
      <c r="AH33" s="176">
        <f t="shared" si="13"/>
        <v>4</v>
      </c>
      <c r="AI33" s="225">
        <f t="shared" si="23"/>
        <v>-1.0018479763224555</v>
      </c>
      <c r="AJ33" s="265" t="b">
        <f t="shared" si="14"/>
        <v>1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7">
        <v>11.83</v>
      </c>
      <c r="C34" s="390"/>
      <c r="D34" s="393">
        <f t="shared" si="0"/>
        <v>11.984129544588287</v>
      </c>
      <c r="E34" s="385">
        <f t="shared" si="17"/>
        <v>12.344572771912194</v>
      </c>
      <c r="F34" s="385">
        <f t="shared" si="1"/>
        <v>12.344744575403277</v>
      </c>
      <c r="G34" s="110">
        <f t="shared" si="18"/>
        <v>0.40812145624950735</v>
      </c>
      <c r="H34" s="414" t="b">
        <f>Wh_hp&gt;='2019'!Maxi_hp</f>
        <v>1</v>
      </c>
      <c r="I34" s="380">
        <f>IF(H34,Wh_hp,'2019'!Maxi_hp)</f>
        <v>12.344744575403277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1.2861138058866128E-2</v>
      </c>
      <c r="M34" s="845"/>
      <c r="N34" s="845"/>
      <c r="O34" s="48">
        <f>IF(t&lt;Tnet,'2019'!Resal+('2019'!Salim-'2019'!Resal)*(1-EXP(('2019'!Tnet-t)/('2019'!Tau_j))),Resal+(Salim-Resal)*(1-EXP((Tnet-t)/(Tau_j))))*Salcycl</f>
        <v>2.9198517760292989E-2</v>
      </c>
      <c r="P34" s="169">
        <f>(INDEX(Models!$BJ34:$BT34,,T34)*(1-R34)+INDEX(Models!$BJ34:$BT34,,T34+1)*R34-ERP_i)*Q34*Ramure*Pc/MaxiM</f>
        <v>9.0076434576471905E-5</v>
      </c>
      <c r="Q34" s="305">
        <f t="shared" si="2"/>
        <v>0.5</v>
      </c>
      <c r="R34" s="177">
        <f t="shared" si="3"/>
        <v>0.99821304865758731</v>
      </c>
      <c r="S34" s="811">
        <f t="shared" si="4"/>
        <v>-2</v>
      </c>
      <c r="T34" s="176">
        <f t="shared" si="5"/>
        <v>4</v>
      </c>
      <c r="U34" s="251">
        <f t="shared" si="20"/>
        <v>-1.0017869513424127</v>
      </c>
      <c r="V34" s="383">
        <f t="shared" si="6"/>
        <v>28.984261527599994</v>
      </c>
      <c r="W34" s="402"/>
      <c r="X34" s="157">
        <f t="shared" si="7"/>
        <v>43850</v>
      </c>
      <c r="Y34" s="385">
        <f t="shared" si="8"/>
        <v>11.83</v>
      </c>
      <c r="Z34" s="385">
        <f t="shared" si="9"/>
        <v>11.984129544588287</v>
      </c>
      <c r="AA34" s="386">
        <f t="shared" si="10"/>
        <v>12.344572771912194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2.9198517760292989E-2</v>
      </c>
      <c r="AD34" s="231">
        <f>(INDEX(Models!$BJ34:$BT34,,AH34)*(1-AF34)+INDEX(Models!$BJ34:$BT34,,AH34+1)*AF34-ERP_i)*AE34*Ramure*Pc/MaxiM</f>
        <v>9.0076434576471905E-5</v>
      </c>
      <c r="AE34" s="305">
        <f t="shared" si="12"/>
        <v>0.5</v>
      </c>
      <c r="AF34" s="177">
        <f t="shared" si="21"/>
        <v>0.99821304865758731</v>
      </c>
      <c r="AG34" s="811">
        <f t="shared" si="22"/>
        <v>-2</v>
      </c>
      <c r="AH34" s="176">
        <f t="shared" si="13"/>
        <v>4</v>
      </c>
      <c r="AI34" s="225">
        <f t="shared" si="23"/>
        <v>-1.0017869513424127</v>
      </c>
      <c r="AJ34" s="265" t="b">
        <f t="shared" si="14"/>
        <v>1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7">
        <v>3.4470000000000001</v>
      </c>
      <c r="C35" s="390"/>
      <c r="D35" s="393">
        <f t="shared" si="0"/>
        <v>3.4919864192376324</v>
      </c>
      <c r="E35" s="385">
        <f t="shared" si="17"/>
        <v>3.5971504208184331</v>
      </c>
      <c r="F35" s="385">
        <f t="shared" si="1"/>
        <v>3.5971504208184331</v>
      </c>
      <c r="G35" s="110">
        <f t="shared" si="18"/>
        <v>0.11778898292036648</v>
      </c>
      <c r="H35" s="414" t="b">
        <f>Wh_hp&gt;='2019'!Maxi_hp</f>
        <v>0</v>
      </c>
      <c r="I35" s="380">
        <f>IF(H35,Wh_hp,'2019'!Maxi_hp)</f>
        <v>7.4460389466173407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1.2882758933367766E-2</v>
      </c>
      <c r="M35" s="845"/>
      <c r="N35" s="845"/>
      <c r="O35" s="48">
        <f>IF(t&lt;Tnet,'2019'!Resal+('2019'!Salim-'2019'!Resal)*(1-EXP(('2019'!Tnet-t)/('2019'!Tau_j))),Resal+(Salim-Resal)*(1-EXP((Tnet-t)/(Tau_j))))*Salcycl</f>
        <v>2.9235363906987694E-2</v>
      </c>
      <c r="P35" s="169">
        <f>(INDEX(Models!$BJ35:$BT35,,T35)*(1-R35)+INDEX(Models!$BJ35:$BT35,,T35+1)*R35-ERP_i)*Q35*Ramure*Pc/MaxiM</f>
        <v>8.628736935939826E-5</v>
      </c>
      <c r="Q35" s="305">
        <f t="shared" si="2"/>
        <v>0.5</v>
      </c>
      <c r="R35" s="177">
        <f t="shared" si="3"/>
        <v>0.99827661789482347</v>
      </c>
      <c r="S35" s="811">
        <f t="shared" si="4"/>
        <v>-2</v>
      </c>
      <c r="T35" s="176">
        <f t="shared" si="5"/>
        <v>4</v>
      </c>
      <c r="U35" s="251">
        <f t="shared" si="20"/>
        <v>-1.0017233821051765</v>
      </c>
      <c r="V35" s="383">
        <f t="shared" si="6"/>
        <v>29.26167186423562</v>
      </c>
      <c r="W35" s="402"/>
      <c r="X35" s="157">
        <f t="shared" si="7"/>
        <v>43851</v>
      </c>
      <c r="Y35" s="385">
        <f t="shared" si="8"/>
        <v>3.4470000000000001</v>
      </c>
      <c r="Z35" s="385">
        <f t="shared" si="9"/>
        <v>3.4919864192376324</v>
      </c>
      <c r="AA35" s="386">
        <f t="shared" si="10"/>
        <v>3.5971504208184331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2.9235363906987694E-2</v>
      </c>
      <c r="AD35" s="231">
        <f>(INDEX(Models!$BJ35:$BT35,,AH35)*(1-AF35)+INDEX(Models!$BJ35:$BT35,,AH35+1)*AF35-ERP_i)*AE35*Ramure*Pc/MaxiM</f>
        <v>8.628736935939826E-5</v>
      </c>
      <c r="AE35" s="305">
        <f t="shared" si="12"/>
        <v>0.5</v>
      </c>
      <c r="AF35" s="177">
        <f t="shared" si="21"/>
        <v>0.99827661789482347</v>
      </c>
      <c r="AG35" s="811">
        <f t="shared" si="22"/>
        <v>-2</v>
      </c>
      <c r="AH35" s="176">
        <f t="shared" si="13"/>
        <v>4</v>
      </c>
      <c r="AI35" s="225">
        <f t="shared" si="23"/>
        <v>-1.0017233821051765</v>
      </c>
      <c r="AJ35" s="265" t="b">
        <f t="shared" si="14"/>
        <v>1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7">
        <v>1.2470000000000001</v>
      </c>
      <c r="C36" s="390"/>
      <c r="D36" s="393">
        <f t="shared" si="0"/>
        <v>1.2633021298980547</v>
      </c>
      <c r="E36" s="385">
        <f t="shared" si="17"/>
        <v>1.301396901680248</v>
      </c>
      <c r="F36" s="385">
        <f t="shared" si="1"/>
        <v>1.301396901680248</v>
      </c>
      <c r="G36" s="110">
        <f t="shared" si="18"/>
        <v>4.2205459470827288E-2</v>
      </c>
      <c r="H36" s="414" t="b">
        <f>Wh_hp&gt;='2019'!Maxi_hp</f>
        <v>0</v>
      </c>
      <c r="I36" s="380">
        <f>IF(H36,Wh_hp,'2019'!Maxi_hp)</f>
        <v>11.779971838094793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1.2904379334316651E-2</v>
      </c>
      <c r="M36" s="845"/>
      <c r="N36" s="845"/>
      <c r="O36" s="48">
        <f>IF(t&lt;Tnet,'2019'!Resal+('2019'!Salim-'2019'!Resal)*(1-EXP(('2019'!Tnet-t)/('2019'!Tau_j))),Resal+(Salim-Resal)*(1-EXP((Tnet-t)/(Tau_j))))*Salcycl</f>
        <v>2.9272216441432124E-2</v>
      </c>
      <c r="P36" s="169">
        <f>(INDEX(Models!$BJ36:$BT36,,T36)*(1-R36)+INDEX(Models!$BJ36:$BT36,,T36+1)*R36-ERP_i)*Q36*Ramure*Pc/MaxiM</f>
        <v>8.244760546205112E-5</v>
      </c>
      <c r="Q36" s="305">
        <f t="shared" si="2"/>
        <v>0.5</v>
      </c>
      <c r="R36" s="177">
        <f t="shared" si="3"/>
        <v>0.99834283677360558</v>
      </c>
      <c r="S36" s="811">
        <f t="shared" si="4"/>
        <v>-2</v>
      </c>
      <c r="T36" s="176">
        <f t="shared" si="5"/>
        <v>4</v>
      </c>
      <c r="U36" s="251">
        <f t="shared" si="20"/>
        <v>-1.0016571632263944</v>
      </c>
      <c r="V36" s="383">
        <f t="shared" si="6"/>
        <v>29.543504642991813</v>
      </c>
      <c r="W36" s="402"/>
      <c r="X36" s="157">
        <f t="shared" si="7"/>
        <v>43852</v>
      </c>
      <c r="Y36" s="385">
        <f t="shared" si="8"/>
        <v>1.2470000000000001</v>
      </c>
      <c r="Z36" s="385">
        <f t="shared" si="9"/>
        <v>1.2633021298980547</v>
      </c>
      <c r="AA36" s="386">
        <f t="shared" si="10"/>
        <v>1.301396901680248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2.9272216441432124E-2</v>
      </c>
      <c r="AD36" s="231">
        <f>(INDEX(Models!$BJ36:$BT36,,AH36)*(1-AF36)+INDEX(Models!$BJ36:$BT36,,AH36+1)*AF36-ERP_i)*AE36*Ramure*Pc/MaxiM</f>
        <v>8.244760546205112E-5</v>
      </c>
      <c r="AE36" s="305">
        <f t="shared" si="12"/>
        <v>0.5</v>
      </c>
      <c r="AF36" s="177">
        <f t="shared" si="21"/>
        <v>0.99834283677360558</v>
      </c>
      <c r="AG36" s="811">
        <f t="shared" si="22"/>
        <v>-2</v>
      </c>
      <c r="AH36" s="176">
        <f t="shared" si="13"/>
        <v>4</v>
      </c>
      <c r="AI36" s="225">
        <f t="shared" si="23"/>
        <v>-1.0016571632263944</v>
      </c>
      <c r="AJ36" s="265" t="b">
        <f t="shared" si="14"/>
        <v>1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7">
        <v>12.35</v>
      </c>
      <c r="C37" s="390"/>
      <c r="D37" s="393">
        <f t="shared" si="0"/>
        <v>12.511726568385841</v>
      </c>
      <c r="E37" s="385">
        <f t="shared" si="17"/>
        <v>12.889506092722709</v>
      </c>
      <c r="F37" s="385">
        <f t="shared" si="1"/>
        <v>12.88967096243964</v>
      </c>
      <c r="G37" s="110">
        <f t="shared" si="18"/>
        <v>0.41395322592003864</v>
      </c>
      <c r="H37" s="414" t="b">
        <f>Wh_hp&gt;='2019'!Maxi_hp</f>
        <v>1</v>
      </c>
      <c r="I37" s="380">
        <f>IF(H37,Wh_hp,'2019'!Maxi_hp)</f>
        <v>12.88967096243964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1.2925999261723442E-2</v>
      </c>
      <c r="M37" s="845"/>
      <c r="N37" s="845"/>
      <c r="O37" s="48">
        <f>IF(t&lt;Tnet,'2019'!Resal+('2019'!Salim-'2019'!Resal)*(1-EXP(('2019'!Tnet-t)/('2019'!Tau_j))),Resal+(Salim-Resal)*(1-EXP((Tnet-t)/(Tau_j))))*Salcycl</f>
        <v>2.9309076827246122E-2</v>
      </c>
      <c r="P37" s="169">
        <f>(INDEX(Models!$BJ37:$BT37,,T37)*(1-R37)+INDEX(Models!$BJ37:$BT37,,T37+1)*R37-ERP_i)*Q37*Ramure*Pc/MaxiM</f>
        <v>7.8553715373226346E-5</v>
      </c>
      <c r="Q37" s="305">
        <f t="shared" si="2"/>
        <v>0.5</v>
      </c>
      <c r="R37" s="177">
        <f t="shared" si="3"/>
        <v>0.99841181498438281</v>
      </c>
      <c r="S37" s="811">
        <f t="shared" si="4"/>
        <v>-2</v>
      </c>
      <c r="T37" s="176">
        <f t="shared" si="5"/>
        <v>4</v>
      </c>
      <c r="U37" s="251">
        <f t="shared" si="20"/>
        <v>-1.0015881850156172</v>
      </c>
      <c r="V37" s="383">
        <f t="shared" si="6"/>
        <v>29.832326564557725</v>
      </c>
      <c r="W37" s="402"/>
      <c r="X37" s="157">
        <f t="shared" si="7"/>
        <v>43853</v>
      </c>
      <c r="Y37" s="385">
        <f t="shared" si="8"/>
        <v>12.35</v>
      </c>
      <c r="Z37" s="385">
        <f t="shared" si="9"/>
        <v>12.511726568385841</v>
      </c>
      <c r="AA37" s="386">
        <f t="shared" si="10"/>
        <v>12.889506092722709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2.9309076827246122E-2</v>
      </c>
      <c r="AD37" s="231">
        <f>(INDEX(Models!$BJ37:$BT37,,AH37)*(1-AF37)+INDEX(Models!$BJ37:$BT37,,AH37+1)*AF37-ERP_i)*AE37*Ramure*Pc/MaxiM</f>
        <v>7.8553715373226346E-5</v>
      </c>
      <c r="AE37" s="305">
        <f t="shared" si="12"/>
        <v>0.5</v>
      </c>
      <c r="AF37" s="177">
        <f t="shared" si="21"/>
        <v>0.99841181498438281</v>
      </c>
      <c r="AG37" s="811">
        <f t="shared" si="22"/>
        <v>-2</v>
      </c>
      <c r="AH37" s="176">
        <f t="shared" si="13"/>
        <v>4</v>
      </c>
      <c r="AI37" s="225">
        <f t="shared" si="23"/>
        <v>-1.0015881850156172</v>
      </c>
      <c r="AJ37" s="265" t="b">
        <f t="shared" si="14"/>
        <v>1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7">
        <v>15.772</v>
      </c>
      <c r="C38" s="390"/>
      <c r="D38" s="393">
        <f t="shared" si="0"/>
        <v>15.978888556528974</v>
      </c>
      <c r="E38" s="385">
        <f t="shared" si="17"/>
        <v>16.461980967592652</v>
      </c>
      <c r="F38" s="385">
        <f t="shared" si="1"/>
        <v>16.462373506542814</v>
      </c>
      <c r="G38" s="110">
        <f t="shared" si="18"/>
        <v>0.52343548540821705</v>
      </c>
      <c r="H38" s="414" t="b">
        <f>Wh_hp&gt;='2019'!Maxi_hp</f>
        <v>1</v>
      </c>
      <c r="I38" s="380">
        <f>IF(H38,Wh_hp,'2019'!Maxi_hp)</f>
        <v>16.462373506542814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1.2947618715598241E-2</v>
      </c>
      <c r="M38" s="845"/>
      <c r="N38" s="845"/>
      <c r="O38" s="48">
        <f>IF(t&lt;Tnet,'2019'!Resal+('2019'!Salim-'2019'!Resal)*(1-EXP(('2019'!Tnet-t)/('2019'!Tau_j))),Resal+(Salim-Resal)*(1-EXP((Tnet-t)/(Tau_j))))*Salcycl</f>
        <v>2.934594639701639E-2</v>
      </c>
      <c r="P38" s="169">
        <f>(INDEX(Models!$BJ38:$BT38,,T38)*(1-R38)+INDEX(Models!$BJ38:$BT38,,T38+1)*R38-ERP_i)*Q38*Ramure*Pc/MaxiM</f>
        <v>7.4693784239043224E-5</v>
      </c>
      <c r="Q38" s="305">
        <f t="shared" si="2"/>
        <v>0.5</v>
      </c>
      <c r="R38" s="177">
        <f t="shared" si="3"/>
        <v>0.99848366669461219</v>
      </c>
      <c r="S38" s="811">
        <f t="shared" si="4"/>
        <v>-2</v>
      </c>
      <c r="T38" s="176">
        <f t="shared" si="5"/>
        <v>4</v>
      </c>
      <c r="U38" s="251">
        <f t="shared" si="20"/>
        <v>-1.0015163333053878</v>
      </c>
      <c r="V38" s="383">
        <f t="shared" si="6"/>
        <v>30.13016585123512</v>
      </c>
      <c r="W38" s="402"/>
      <c r="X38" s="157">
        <f t="shared" si="7"/>
        <v>43854</v>
      </c>
      <c r="Y38" s="385">
        <f t="shared" si="8"/>
        <v>15.772</v>
      </c>
      <c r="Z38" s="385">
        <f t="shared" si="9"/>
        <v>15.978888556528974</v>
      </c>
      <c r="AA38" s="386">
        <f t="shared" si="10"/>
        <v>16.461980967592652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2.934594639701639E-2</v>
      </c>
      <c r="AD38" s="231">
        <f>(INDEX(Models!$BJ38:$BT38,,AH38)*(1-AF38)+INDEX(Models!$BJ38:$BT38,,AH38+1)*AF38-ERP_i)*AE38*Ramure*Pc/MaxiM</f>
        <v>7.4693784239043224E-5</v>
      </c>
      <c r="AE38" s="305">
        <f t="shared" si="12"/>
        <v>0.5</v>
      </c>
      <c r="AF38" s="177">
        <f t="shared" si="21"/>
        <v>0.99848366669461219</v>
      </c>
      <c r="AG38" s="811">
        <f t="shared" si="22"/>
        <v>-2</v>
      </c>
      <c r="AH38" s="176">
        <f t="shared" si="13"/>
        <v>4</v>
      </c>
      <c r="AI38" s="225">
        <f t="shared" si="23"/>
        <v>-1.0015163333053878</v>
      </c>
      <c r="AJ38" s="265" t="b">
        <f t="shared" si="14"/>
        <v>1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7">
        <v>15.946999999999999</v>
      </c>
      <c r="C39" s="390"/>
      <c r="D39" s="393">
        <f t="shared" si="0"/>
        <v>16.156537981424766</v>
      </c>
      <c r="E39" s="385">
        <f t="shared" si="17"/>
        <v>16.645633746624714</v>
      </c>
      <c r="F39" s="385">
        <f t="shared" si="1"/>
        <v>16.646012067058376</v>
      </c>
      <c r="G39" s="110">
        <f t="shared" si="18"/>
        <v>0.52392680560233207</v>
      </c>
      <c r="H39" s="414" t="b">
        <f>Wh_hp&gt;='2019'!Maxi_hp</f>
        <v>1</v>
      </c>
      <c r="I39" s="380">
        <f>IF(H39,Wh_hp,'2019'!Maxi_hp)</f>
        <v>16.646012067058376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1.2969237695951485E-2</v>
      </c>
      <c r="M39" s="845"/>
      <c r="N39" s="845"/>
      <c r="O39" s="48">
        <f>IF(t&lt;Tnet,'2019'!Resal+('2019'!Salim-'2019'!Resal)*(1-EXP(('2019'!Tnet-t)/('2019'!Tau_j))),Resal+(Salim-Resal)*(1-EXP((Tnet-t)/(Tau_j))))*Salcycl</f>
        <v>2.9382826310180139E-2</v>
      </c>
      <c r="P39" s="169">
        <f>(INDEX(Models!$BJ39:$BT39,,T39)*(1-R39)+INDEX(Models!$BJ39:$BT39,,T39+1)*R39-ERP_i)*Q39*Ramure*Pc/MaxiM</f>
        <v>7.1038283353640485E-5</v>
      </c>
      <c r="Q39" s="305">
        <f t="shared" si="2"/>
        <v>0.5</v>
      </c>
      <c r="R39" s="177">
        <f t="shared" si="3"/>
        <v>0.99855851072602042</v>
      </c>
      <c r="S39" s="811">
        <f t="shared" si="4"/>
        <v>-2</v>
      </c>
      <c r="T39" s="176">
        <f t="shared" si="5"/>
        <v>4</v>
      </c>
      <c r="U39" s="251">
        <f t="shared" si="20"/>
        <v>-1.0014414892739796</v>
      </c>
      <c r="V39" s="383">
        <f t="shared" si="6"/>
        <v>30.435987237502811</v>
      </c>
      <c r="W39" s="402"/>
      <c r="X39" s="157">
        <f t="shared" si="7"/>
        <v>43855</v>
      </c>
      <c r="Y39" s="385">
        <f t="shared" si="8"/>
        <v>15.946999999999999</v>
      </c>
      <c r="Z39" s="385">
        <f t="shared" si="9"/>
        <v>16.156537981424766</v>
      </c>
      <c r="AA39" s="386">
        <f t="shared" si="10"/>
        <v>16.645633746624714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2.9382826310180139E-2</v>
      </c>
      <c r="AD39" s="231">
        <f>(INDEX(Models!$BJ39:$BT39,,AH39)*(1-AF39)+INDEX(Models!$BJ39:$BT39,,AH39+1)*AF39-ERP_i)*AE39*Ramure*Pc/MaxiM</f>
        <v>7.1038283353640485E-5</v>
      </c>
      <c r="AE39" s="305">
        <f t="shared" si="12"/>
        <v>0.5</v>
      </c>
      <c r="AF39" s="177">
        <f t="shared" si="21"/>
        <v>0.99855851072602042</v>
      </c>
      <c r="AG39" s="811">
        <f t="shared" si="22"/>
        <v>-2</v>
      </c>
      <c r="AH39" s="176">
        <f t="shared" si="13"/>
        <v>4</v>
      </c>
      <c r="AI39" s="225">
        <f t="shared" si="23"/>
        <v>-1.0014414892739796</v>
      </c>
      <c r="AJ39" s="265" t="b">
        <f t="shared" si="14"/>
        <v>1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7">
        <v>7.0510000000000002</v>
      </c>
      <c r="C40" s="390"/>
      <c r="D40" s="393">
        <f t="shared" si="0"/>
        <v>7.1438041322226269</v>
      </c>
      <c r="E40" s="385">
        <f t="shared" si="17"/>
        <v>7.3603433545301238</v>
      </c>
      <c r="F40" s="385">
        <f t="shared" si="1"/>
        <v>7.3603433545301238</v>
      </c>
      <c r="G40" s="110">
        <f t="shared" si="18"/>
        <v>0.22929455619754616</v>
      </c>
      <c r="H40" s="414" t="b">
        <f>Wh_hp&gt;='2019'!Maxi_hp</f>
        <v>0</v>
      </c>
      <c r="I40" s="380">
        <f>IF(H40,Wh_hp,'2019'!Maxi_hp)</f>
        <v>16.177271270949088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1.299085620279361E-2</v>
      </c>
      <c r="M40" s="845"/>
      <c r="N40" s="845"/>
      <c r="O40" s="48">
        <f>IF(t&lt;Tnet,'2019'!Resal+('2019'!Salim-'2019'!Resal)*(1-EXP(('2019'!Tnet-t)/('2019'!Tau_j))),Resal+(Salim-Resal)*(1-EXP((Tnet-t)/(Tau_j))))*Salcycl</f>
        <v>2.9419717515518126E-2</v>
      </c>
      <c r="P40" s="169">
        <f>(INDEX(Models!$BJ40:$BT40,,T40)*(1-R40)+INDEX(Models!$BJ40:$BT40,,T40+1)*R40-ERP_i)*Q40*Ramure*Pc/MaxiM</f>
        <v>6.7586316893237223E-5</v>
      </c>
      <c r="Q40" s="305">
        <f t="shared" si="2"/>
        <v>0.5</v>
      </c>
      <c r="R40" s="177">
        <f t="shared" si="3"/>
        <v>0.99863647073841322</v>
      </c>
      <c r="S40" s="811">
        <f t="shared" si="4"/>
        <v>-2</v>
      </c>
      <c r="T40" s="176">
        <f t="shared" si="5"/>
        <v>4</v>
      </c>
      <c r="U40" s="251">
        <f t="shared" si="20"/>
        <v>-1.0013635292615868</v>
      </c>
      <c r="V40" s="383">
        <f t="shared" si="6"/>
        <v>30.748760746004304</v>
      </c>
      <c r="W40" s="402"/>
      <c r="X40" s="157">
        <f t="shared" si="7"/>
        <v>43856</v>
      </c>
      <c r="Y40" s="385">
        <f t="shared" si="8"/>
        <v>7.0510000000000002</v>
      </c>
      <c r="Z40" s="385">
        <f t="shared" si="9"/>
        <v>7.1438041322226269</v>
      </c>
      <c r="AA40" s="386">
        <f t="shared" si="10"/>
        <v>7.3603433545301238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2.9419717515518126E-2</v>
      </c>
      <c r="AD40" s="231">
        <f>(INDEX(Models!$BJ40:$BT40,,AH40)*(1-AF40)+INDEX(Models!$BJ40:$BT40,,AH40+1)*AF40-ERP_i)*AE40*Ramure*Pc/MaxiM</f>
        <v>6.7586316893237223E-5</v>
      </c>
      <c r="AE40" s="305">
        <f t="shared" si="12"/>
        <v>0.5</v>
      </c>
      <c r="AF40" s="177">
        <f t="shared" si="21"/>
        <v>0.99863647073841322</v>
      </c>
      <c r="AG40" s="811">
        <f t="shared" si="22"/>
        <v>-2</v>
      </c>
      <c r="AH40" s="176">
        <f t="shared" si="13"/>
        <v>4</v>
      </c>
      <c r="AI40" s="225">
        <f t="shared" si="23"/>
        <v>-1.0013635292615868</v>
      </c>
      <c r="AJ40" s="265" t="b">
        <f t="shared" si="14"/>
        <v>1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7">
        <v>11.132</v>
      </c>
      <c r="C41" s="390"/>
      <c r="D41" s="393">
        <f t="shared" si="0"/>
        <v>11.278764634218193</v>
      </c>
      <c r="E41" s="385">
        <f t="shared" si="17"/>
        <v>11.621082452356536</v>
      </c>
      <c r="F41" s="385">
        <f t="shared" si="1"/>
        <v>11.621144740063851</v>
      </c>
      <c r="G41" s="110">
        <f t="shared" si="18"/>
        <v>0.35829593627643441</v>
      </c>
      <c r="H41" s="414" t="b">
        <f>Wh_hp&gt;='2019'!Maxi_hp</f>
        <v>0</v>
      </c>
      <c r="I41" s="380">
        <f>IF(H41,Wh_hp,'2019'!Maxi_hp)</f>
        <v>14.984407964187147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1.3012474236134941E-2</v>
      </c>
      <c r="M41" s="845"/>
      <c r="N41" s="845"/>
      <c r="O41" s="48">
        <f>IF(t&lt;Tnet,'2019'!Resal+('2019'!Salim-'2019'!Resal)*(1-EXP(('2019'!Tnet-t)/('2019'!Tau_j))),Resal+(Salim-Resal)*(1-EXP((Tnet-t)/(Tau_j))))*Salcycl</f>
        <v>2.9456620718573995E-2</v>
      </c>
      <c r="P41" s="169">
        <f>(INDEX(Models!$BJ41:$BT41,,T41)*(1-R41)+INDEX(Models!$BJ41:$BT41,,T41+1)*R41-ERP_i)*Q41*Ramure*Pc/MaxiM</f>
        <v>6.4336256867765965E-5</v>
      </c>
      <c r="Q41" s="305">
        <f t="shared" si="2"/>
        <v>0.5</v>
      </c>
      <c r="R41" s="177">
        <f t="shared" si="3"/>
        <v>0.99871767542023493</v>
      </c>
      <c r="S41" s="811">
        <f t="shared" si="4"/>
        <v>-2</v>
      </c>
      <c r="T41" s="176">
        <f t="shared" si="5"/>
        <v>4</v>
      </c>
      <c r="U41" s="251">
        <f t="shared" si="20"/>
        <v>-1.0012823245797651</v>
      </c>
      <c r="V41" s="383">
        <f t="shared" si="6"/>
        <v>31.0674566586253</v>
      </c>
      <c r="W41" s="402"/>
      <c r="X41" s="157">
        <f t="shared" si="7"/>
        <v>43857</v>
      </c>
      <c r="Y41" s="385">
        <f t="shared" si="8"/>
        <v>11.132</v>
      </c>
      <c r="Z41" s="385">
        <f t="shared" si="9"/>
        <v>11.278764634218193</v>
      </c>
      <c r="AA41" s="386">
        <f t="shared" si="10"/>
        <v>11.621082452356536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2.9456620718573995E-2</v>
      </c>
      <c r="AD41" s="231">
        <f>(INDEX(Models!$BJ41:$BT41,,AH41)*(1-AF41)+INDEX(Models!$BJ41:$BT41,,AH41+1)*AF41-ERP_i)*AE41*Ramure*Pc/MaxiM</f>
        <v>6.4336256867765965E-5</v>
      </c>
      <c r="AE41" s="305">
        <f t="shared" si="12"/>
        <v>0.5</v>
      </c>
      <c r="AF41" s="177">
        <f t="shared" si="21"/>
        <v>0.99871767542023493</v>
      </c>
      <c r="AG41" s="811">
        <f t="shared" si="22"/>
        <v>-2</v>
      </c>
      <c r="AH41" s="176">
        <f t="shared" si="13"/>
        <v>4</v>
      </c>
      <c r="AI41" s="225">
        <f t="shared" si="23"/>
        <v>-1.0012823245797651</v>
      </c>
      <c r="AJ41" s="265" t="b">
        <f t="shared" si="14"/>
        <v>1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7">
        <v>16.882000000000001</v>
      </c>
      <c r="C42" s="390"/>
      <c r="D42" s="393">
        <f t="shared" si="0"/>
        <v>17.104947455297868</v>
      </c>
      <c r="E42" s="385">
        <f t="shared" si="17"/>
        <v>17.624764075287608</v>
      </c>
      <c r="F42" s="385">
        <f t="shared" si="1"/>
        <v>17.625131019742916</v>
      </c>
      <c r="G42" s="110">
        <f t="shared" si="18"/>
        <v>0.53777491509292719</v>
      </c>
      <c r="H42" s="414" t="b">
        <f>Wh_hp&gt;='2019'!Maxi_hp</f>
        <v>1</v>
      </c>
      <c r="I42" s="380">
        <f>IF(H42,Wh_hp,'2019'!Maxi_hp)</f>
        <v>17.625131019742916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1.3034091795985914E-2</v>
      </c>
      <c r="M42" s="845"/>
      <c r="N42" s="845"/>
      <c r="O42" s="48">
        <f>IF(t&lt;Tnet,'2019'!Resal+('2019'!Salim-'2019'!Resal)*(1-EXP(('2019'!Tnet-t)/('2019'!Tau_j))),Resal+(Salim-Resal)*(1-EXP((Tnet-t)/(Tau_j))))*Salcycl</f>
        <v>2.9493536354259432E-2</v>
      </c>
      <c r="P42" s="169">
        <f>(INDEX(Models!$BJ42:$BT42,,T42)*(1-R42)+INDEX(Models!$BJ42:$BT42,,T42+1)*R42-ERP_i)*Q42*Ramure*Pc/MaxiM</f>
        <v>6.1285852535576877E-5</v>
      </c>
      <c r="Q42" s="305">
        <f t="shared" si="2"/>
        <v>0.5</v>
      </c>
      <c r="R42" s="177">
        <f t="shared" si="3"/>
        <v>0.99880225868608097</v>
      </c>
      <c r="S42" s="811">
        <f t="shared" si="4"/>
        <v>-2</v>
      </c>
      <c r="T42" s="176">
        <f t="shared" si="5"/>
        <v>4</v>
      </c>
      <c r="U42" s="251">
        <f t="shared" si="20"/>
        <v>-1.001197741313919</v>
      </c>
      <c r="V42" s="383">
        <f t="shared" si="6"/>
        <v>31.39104550464004</v>
      </c>
      <c r="W42" s="402"/>
      <c r="X42" s="157">
        <f t="shared" si="7"/>
        <v>43858</v>
      </c>
      <c r="Y42" s="385">
        <f t="shared" si="8"/>
        <v>16.882000000000001</v>
      </c>
      <c r="Z42" s="385">
        <f t="shared" si="9"/>
        <v>17.104947455297868</v>
      </c>
      <c r="AA42" s="386">
        <f t="shared" si="10"/>
        <v>17.624764075287608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2.9493536354259432E-2</v>
      </c>
      <c r="AD42" s="231">
        <f>(INDEX(Models!$BJ42:$BT42,,AH42)*(1-AF42)+INDEX(Models!$BJ42:$BT42,,AH42+1)*AF42-ERP_i)*AE42*Ramure*Pc/MaxiM</f>
        <v>6.1285852535576877E-5</v>
      </c>
      <c r="AE42" s="305">
        <f t="shared" si="12"/>
        <v>0.5</v>
      </c>
      <c r="AF42" s="177">
        <f t="shared" si="21"/>
        <v>0.99880225868608097</v>
      </c>
      <c r="AG42" s="811">
        <f t="shared" si="22"/>
        <v>-2</v>
      </c>
      <c r="AH42" s="176">
        <f t="shared" si="13"/>
        <v>4</v>
      </c>
      <c r="AI42" s="225">
        <f t="shared" si="23"/>
        <v>-1.001197741313919</v>
      </c>
      <c r="AJ42" s="265" t="b">
        <f t="shared" si="14"/>
        <v>1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7">
        <v>19.495999999999999</v>
      </c>
      <c r="C43" s="390"/>
      <c r="D43" s="393">
        <f t="shared" si="0"/>
        <v>19.753901183137891</v>
      </c>
      <c r="E43" s="385">
        <f t="shared" si="17"/>
        <v>20.354993600371316</v>
      </c>
      <c r="F43" s="385">
        <f t="shared" si="1"/>
        <v>20.355528257182332</v>
      </c>
      <c r="G43" s="110">
        <f t="shared" si="18"/>
        <v>0.61463732680763139</v>
      </c>
      <c r="H43" s="414" t="b">
        <f>Wh_hp&gt;='2019'!Maxi_hp</f>
        <v>1</v>
      </c>
      <c r="I43" s="380">
        <f>IF(H43,Wh_hp,'2019'!Maxi_hp)</f>
        <v>20.355528257182332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1.3055708882356853E-2</v>
      </c>
      <c r="M43" s="845"/>
      <c r="N43" s="845"/>
      <c r="O43" s="48">
        <f>IF(t&lt;Tnet,'2019'!Resal+('2019'!Salim-'2019'!Resal)*(1-EXP(('2019'!Tnet-t)/('2019'!Tau_j))),Resal+(Salim-Resal)*(1-EXP((Tnet-t)/(Tau_j))))*Salcycl</f>
        <v>2.9530464564845607E-2</v>
      </c>
      <c r="P43" s="169">
        <f>(INDEX(Models!$BJ43:$BT43,,T43)*(1-R43)+INDEX(Models!$BJ43:$BT43,,T43+1)*R43-ERP_i)*Q43*Ramure*Pc/MaxiM</f>
        <v>5.8432333789770318E-5</v>
      </c>
      <c r="Q43" s="305">
        <f t="shared" si="2"/>
        <v>0.5</v>
      </c>
      <c r="R43" s="177">
        <f t="shared" si="3"/>
        <v>0.9988903598813661</v>
      </c>
      <c r="S43" s="811">
        <f t="shared" si="4"/>
        <v>-2</v>
      </c>
      <c r="T43" s="176">
        <f t="shared" si="5"/>
        <v>4</v>
      </c>
      <c r="U43" s="251">
        <f t="shared" si="20"/>
        <v>-1.0011096401186339</v>
      </c>
      <c r="V43" s="383">
        <f t="shared" si="6"/>
        <v>31.718498075133603</v>
      </c>
      <c r="W43" s="402"/>
      <c r="X43" s="157">
        <f t="shared" si="7"/>
        <v>43859</v>
      </c>
      <c r="Y43" s="385">
        <f t="shared" si="8"/>
        <v>19.495999999999999</v>
      </c>
      <c r="Z43" s="385">
        <f t="shared" si="9"/>
        <v>19.753901183137891</v>
      </c>
      <c r="AA43" s="386">
        <f t="shared" si="10"/>
        <v>20.354993600371316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2.9530464564845607E-2</v>
      </c>
      <c r="AD43" s="231">
        <f>(INDEX(Models!$BJ43:$BT43,,AH43)*(1-AF43)+INDEX(Models!$BJ43:$BT43,,AH43+1)*AF43-ERP_i)*AE43*Ramure*Pc/MaxiM</f>
        <v>5.8432333789770318E-5</v>
      </c>
      <c r="AE43" s="305">
        <f t="shared" si="12"/>
        <v>0.5</v>
      </c>
      <c r="AF43" s="177">
        <f t="shared" si="21"/>
        <v>0.9988903598813661</v>
      </c>
      <c r="AG43" s="811">
        <f t="shared" si="22"/>
        <v>-2</v>
      </c>
      <c r="AH43" s="176">
        <f t="shared" si="13"/>
        <v>4</v>
      </c>
      <c r="AI43" s="225">
        <f t="shared" si="23"/>
        <v>-1.0011096401186339</v>
      </c>
      <c r="AJ43" s="265" t="b">
        <f t="shared" si="14"/>
        <v>1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7">
        <v>11.753</v>
      </c>
      <c r="C44" s="390"/>
      <c r="D44" s="393">
        <f t="shared" si="0"/>
        <v>11.90873439593218</v>
      </c>
      <c r="E44" s="385">
        <f t="shared" si="17"/>
        <v>12.271572966058278</v>
      </c>
      <c r="F44" s="385">
        <f t="shared" si="1"/>
        <v>12.271638358981564</v>
      </c>
      <c r="G44" s="110">
        <f t="shared" si="18"/>
        <v>0.36670366691932116</v>
      </c>
      <c r="H44" s="414" t="b">
        <f>Wh_hp&gt;='2019'!Maxi_hp</f>
        <v>1</v>
      </c>
      <c r="I44" s="380">
        <f>IF(H44,Wh_hp,'2019'!Maxi_hp)</f>
        <v>12.271638358981564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1.3077325495258085E-2</v>
      </c>
      <c r="M44" s="845"/>
      <c r="N44" s="845"/>
      <c r="O44" s="48">
        <f>IF(t&lt;Tnet,'2019'!Resal+('2019'!Salim-'2019'!Resal)*(1-EXP(('2019'!Tnet-t)/('2019'!Tau_j))),Resal+(Salim-Resal)*(1-EXP((Tnet-t)/(Tau_j))))*Salcycl</f>
        <v>2.9567405183481148E-2</v>
      </c>
      <c r="P44" s="169">
        <f>(INDEX(Models!$BJ44:$BT44,,T44)*(1-R44)+INDEX(Models!$BJ44:$BT44,,T44+1)*R44-ERP_i)*Q44*Ramure*Pc/MaxiM</f>
        <v>5.5905661519487003E-5</v>
      </c>
      <c r="Q44" s="305">
        <f t="shared" si="2"/>
        <v>0.5</v>
      </c>
      <c r="R44" s="177">
        <f t="shared" si="3"/>
        <v>0.99898212399435971</v>
      </c>
      <c r="S44" s="811">
        <f t="shared" si="4"/>
        <v>-2</v>
      </c>
      <c r="T44" s="176">
        <f t="shared" si="5"/>
        <v>4</v>
      </c>
      <c r="U44" s="251">
        <f t="shared" si="20"/>
        <v>-1.0010178760056403</v>
      </c>
      <c r="V44" s="383">
        <f t="shared" si="6"/>
        <v>32.048781146737632</v>
      </c>
      <c r="W44" s="402"/>
      <c r="X44" s="157">
        <f t="shared" si="7"/>
        <v>43860</v>
      </c>
      <c r="Y44" s="385">
        <f t="shared" si="8"/>
        <v>11.753</v>
      </c>
      <c r="Z44" s="385">
        <f t="shared" si="9"/>
        <v>11.90873439593218</v>
      </c>
      <c r="AA44" s="386">
        <f t="shared" si="10"/>
        <v>12.271572966058278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2.9567405183481148E-2</v>
      </c>
      <c r="AD44" s="231">
        <f>(INDEX(Models!$BJ44:$BT44,,AH44)*(1-AF44)+INDEX(Models!$BJ44:$BT44,,AH44+1)*AF44-ERP_i)*AE44*Ramure*Pc/MaxiM</f>
        <v>5.5905661519487003E-5</v>
      </c>
      <c r="AE44" s="305">
        <f t="shared" si="12"/>
        <v>0.5</v>
      </c>
      <c r="AF44" s="177">
        <f t="shared" si="21"/>
        <v>0.99898212399435971</v>
      </c>
      <c r="AG44" s="811">
        <f t="shared" si="22"/>
        <v>-2</v>
      </c>
      <c r="AH44" s="176">
        <f t="shared" si="13"/>
        <v>4</v>
      </c>
      <c r="AI44" s="225">
        <f t="shared" si="23"/>
        <v>-1.0010178760056403</v>
      </c>
      <c r="AJ44" s="265" t="b">
        <f t="shared" si="14"/>
        <v>1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7">
        <v>22.587</v>
      </c>
      <c r="C45" s="390"/>
      <c r="D45" s="393">
        <f t="shared" si="0"/>
        <v>22.886792762602809</v>
      </c>
      <c r="E45" s="385">
        <f t="shared" si="17"/>
        <v>23.585011891548898</v>
      </c>
      <c r="F45" s="385">
        <f t="shared" si="1"/>
        <v>23.585730416186674</v>
      </c>
      <c r="G45" s="110">
        <f t="shared" si="18"/>
        <v>0.69752535916267744</v>
      </c>
      <c r="H45" s="414" t="b">
        <f>Wh_hp&gt;='2019'!Maxi_hp</f>
        <v>1</v>
      </c>
      <c r="I45" s="380">
        <f>IF(H45,Wh_hp,'2019'!Maxi_hp)</f>
        <v>23.585730416186674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1.3098941634700045E-2</v>
      </c>
      <c r="M45" s="845"/>
      <c r="N45" s="845"/>
      <c r="O45" s="48">
        <f>IF(t&lt;Tnet,'2019'!Resal+('2019'!Salim-'2019'!Resal)*(1-EXP(('2019'!Tnet-t)/('2019'!Tau_j))),Resal+(Salim-Resal)*(1-EXP((Tnet-t)/(Tau_j))))*Salcycl</f>
        <v>2.9604357723316561E-2</v>
      </c>
      <c r="P45" s="169">
        <f>(INDEX(Models!$BJ45:$BT45,,T45)*(1-R45)+INDEX(Models!$BJ45:$BT45,,T45+1)*R45-ERP_i)*Q45*Ramure*Pc/MaxiM</f>
        <v>5.3642359494413356E-5</v>
      </c>
      <c r="Q45" s="305">
        <f t="shared" si="2"/>
        <v>0.5</v>
      </c>
      <c r="R45" s="177">
        <f t="shared" si="3"/>
        <v>0.9990777018757897</v>
      </c>
      <c r="S45" s="811">
        <f t="shared" si="4"/>
        <v>-2</v>
      </c>
      <c r="T45" s="176">
        <f t="shared" si="5"/>
        <v>4</v>
      </c>
      <c r="U45" s="251">
        <f t="shared" si="20"/>
        <v>-1.0009222981242103</v>
      </c>
      <c r="V45" s="383">
        <f t="shared" si="6"/>
        <v>32.380867829845855</v>
      </c>
      <c r="W45" s="402"/>
      <c r="X45" s="157">
        <f t="shared" si="7"/>
        <v>43861</v>
      </c>
      <c r="Y45" s="385">
        <f t="shared" si="8"/>
        <v>22.587</v>
      </c>
      <c r="Z45" s="385">
        <f t="shared" si="9"/>
        <v>22.886792762602809</v>
      </c>
      <c r="AA45" s="386">
        <f t="shared" si="10"/>
        <v>23.585011891548898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2.9604357723316561E-2</v>
      </c>
      <c r="AD45" s="231">
        <f>(INDEX(Models!$BJ45:$BT45,,AH45)*(1-AF45)+INDEX(Models!$BJ45:$BT45,,AH45+1)*AF45-ERP_i)*AE45*Ramure*Pc/MaxiM</f>
        <v>5.3642359494413356E-5</v>
      </c>
      <c r="AE45" s="305">
        <f t="shared" si="12"/>
        <v>0.5</v>
      </c>
      <c r="AF45" s="177">
        <f t="shared" si="21"/>
        <v>0.9990777018757897</v>
      </c>
      <c r="AG45" s="811">
        <f t="shared" si="22"/>
        <v>-2</v>
      </c>
      <c r="AH45" s="176">
        <f t="shared" si="13"/>
        <v>4</v>
      </c>
      <c r="AI45" s="225">
        <f t="shared" si="23"/>
        <v>-1.0009222981242103</v>
      </c>
      <c r="AJ45" s="265" t="b">
        <f t="shared" si="14"/>
        <v>1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7">
        <v>14.204000000000001</v>
      </c>
      <c r="C46" s="390"/>
      <c r="D46" s="393">
        <f t="shared" si="0"/>
        <v>14.392842109619084</v>
      </c>
      <c r="E46" s="385">
        <f t="shared" si="17"/>
        <v>14.832496917503798</v>
      </c>
      <c r="F46" s="385">
        <f t="shared" si="1"/>
        <v>14.832643742287818</v>
      </c>
      <c r="G46" s="110">
        <f t="shared" si="18"/>
        <v>0.4341726635370276</v>
      </c>
      <c r="H46" s="414" t="b">
        <f>Wh_hp&gt;='2019'!Maxi_hp</f>
        <v>0</v>
      </c>
      <c r="I46" s="380">
        <f>IF(H46,Wh_hp,'2019'!Maxi_hp)</f>
        <v>27.944973498874095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1.3120557300692948E-2</v>
      </c>
      <c r="M46" s="845"/>
      <c r="N46" s="845"/>
      <c r="O46" s="48">
        <f>IF(t&lt;Tnet,'2019'!Resal+('2019'!Salim-'2019'!Resal)*(1-EXP(('2019'!Tnet-t)/('2019'!Tau_j))),Resal+(Salim-Resal)*(1-EXP((Tnet-t)/(Tau_j))))*Salcycl</f>
        <v>2.9641321372255131E-2</v>
      </c>
      <c r="P46" s="169">
        <f>(INDEX(Models!$BJ46:$BT46,,T46)*(1-R46)+INDEX(Models!$BJ46:$BT46,,T46+1)*R46-ERP_i)*Q46*Ramure*Pc/MaxiM</f>
        <v>5.1636422874594985E-5</v>
      </c>
      <c r="Q46" s="305">
        <f t="shared" si="2"/>
        <v>0.5</v>
      </c>
      <c r="R46" s="177">
        <f t="shared" si="3"/>
        <v>0.99917725046623018</v>
      </c>
      <c r="S46" s="811">
        <f t="shared" si="4"/>
        <v>-2</v>
      </c>
      <c r="T46" s="176">
        <f t="shared" si="5"/>
        <v>4</v>
      </c>
      <c r="U46" s="251">
        <f t="shared" si="20"/>
        <v>-1.0008227495337698</v>
      </c>
      <c r="V46" s="383">
        <f t="shared" si="6"/>
        <v>32.713729686853178</v>
      </c>
      <c r="W46" s="402"/>
      <c r="X46" s="157">
        <f t="shared" si="7"/>
        <v>43862</v>
      </c>
      <c r="Y46" s="385">
        <f t="shared" si="8"/>
        <v>14.204000000000001</v>
      </c>
      <c r="Z46" s="385">
        <f t="shared" si="9"/>
        <v>14.392842109619084</v>
      </c>
      <c r="AA46" s="386">
        <f t="shared" si="10"/>
        <v>14.832496917503798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2.9641321372255131E-2</v>
      </c>
      <c r="AD46" s="231">
        <f>(INDEX(Models!$BJ46:$BT46,,AH46)*(1-AF46)+INDEX(Models!$BJ46:$BT46,,AH46+1)*AF46-ERP_i)*AE46*Ramure*Pc/MaxiM</f>
        <v>5.1636422874594985E-5</v>
      </c>
      <c r="AE46" s="305">
        <f t="shared" si="12"/>
        <v>0.5</v>
      </c>
      <c r="AF46" s="177">
        <f t="shared" si="21"/>
        <v>0.99917725046623018</v>
      </c>
      <c r="AG46" s="811">
        <f t="shared" si="22"/>
        <v>-2</v>
      </c>
      <c r="AH46" s="176">
        <f t="shared" si="13"/>
        <v>4</v>
      </c>
      <c r="AI46" s="225">
        <f t="shared" si="23"/>
        <v>-1.0008227495337698</v>
      </c>
      <c r="AJ46" s="265" t="b">
        <f t="shared" si="14"/>
        <v>1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7">
        <v>28.286000000000001</v>
      </c>
      <c r="C47" s="390"/>
      <c r="D47" s="393">
        <f t="shared" si="0"/>
        <v>28.662690016314894</v>
      </c>
      <c r="E47" s="385">
        <f t="shared" si="17"/>
        <v>29.539368096601233</v>
      </c>
      <c r="F47" s="385">
        <f t="shared" si="1"/>
        <v>29.540538398179784</v>
      </c>
      <c r="G47" s="110">
        <f t="shared" si="18"/>
        <v>0.85594080571244624</v>
      </c>
      <c r="H47" s="414" t="b">
        <f>Wh_hp&gt;='2019'!Maxi_hp</f>
        <v>1</v>
      </c>
      <c r="I47" s="380">
        <f>IF(H47,Wh_hp,'2019'!Maxi_hp)</f>
        <v>29.540538398179784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1.314217249324745E-2</v>
      </c>
      <c r="M47" s="845"/>
      <c r="N47" s="845"/>
      <c r="O47" s="48">
        <f>IF(t&lt;Tnet,'2019'!Resal+('2019'!Salim-'2019'!Resal)*(1-EXP(('2019'!Tnet-t)/('2019'!Tau_j))),Resal+(Salim-Resal)*(1-EXP((Tnet-t)/(Tau_j))))*Salcycl</f>
        <v>2.9678294993290985E-2</v>
      </c>
      <c r="P47" s="169">
        <f>(INDEX(Models!$BJ47:$BT47,,T47)*(1-R47)+INDEX(Models!$BJ47:$BT47,,T47+1)*R47-ERP_i)*Q47*Ramure*Pc/MaxiM</f>
        <v>4.9881787546798757E-5</v>
      </c>
      <c r="Q47" s="305">
        <f t="shared" si="2"/>
        <v>0.5</v>
      </c>
      <c r="R47" s="177">
        <f t="shared" si="3"/>
        <v>0.99928093303147492</v>
      </c>
      <c r="S47" s="811">
        <f t="shared" si="4"/>
        <v>-2</v>
      </c>
      <c r="T47" s="176">
        <f t="shared" si="5"/>
        <v>4</v>
      </c>
      <c r="U47" s="251">
        <f t="shared" si="20"/>
        <v>-1.0007190669685251</v>
      </c>
      <c r="V47" s="383">
        <f t="shared" si="6"/>
        <v>33.046338536802224</v>
      </c>
      <c r="W47" s="402"/>
      <c r="X47" s="157">
        <f t="shared" si="7"/>
        <v>43863</v>
      </c>
      <c r="Y47" s="385">
        <f t="shared" si="8"/>
        <v>28.286000000000001</v>
      </c>
      <c r="Z47" s="385">
        <f t="shared" si="9"/>
        <v>28.662690016314894</v>
      </c>
      <c r="AA47" s="386">
        <f t="shared" si="10"/>
        <v>29.539368096601233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2.9678294993290985E-2</v>
      </c>
      <c r="AD47" s="231">
        <f>(INDEX(Models!$BJ47:$BT47,,AH47)*(1-AF47)+INDEX(Models!$BJ47:$BT47,,AH47+1)*AF47-ERP_i)*AE47*Ramure*Pc/MaxiM</f>
        <v>4.9881787546798757E-5</v>
      </c>
      <c r="AE47" s="305">
        <f t="shared" si="12"/>
        <v>0.5</v>
      </c>
      <c r="AF47" s="177">
        <f t="shared" si="21"/>
        <v>0.99928093303147492</v>
      </c>
      <c r="AG47" s="811">
        <f t="shared" si="22"/>
        <v>-2</v>
      </c>
      <c r="AH47" s="176">
        <f t="shared" si="13"/>
        <v>4</v>
      </c>
      <c r="AI47" s="225">
        <f t="shared" si="23"/>
        <v>-1.0007190669685251</v>
      </c>
      <c r="AJ47" s="265" t="b">
        <f t="shared" si="14"/>
        <v>1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7">
        <v>26.242999999999999</v>
      </c>
      <c r="C48" s="390"/>
      <c r="D48" s="393">
        <f t="shared" si="0"/>
        <v>26.593065454974003</v>
      </c>
      <c r="E48" s="385">
        <f t="shared" si="17"/>
        <v>27.407486512127871</v>
      </c>
      <c r="F48" s="385">
        <f t="shared" si="1"/>
        <v>27.40840746637317</v>
      </c>
      <c r="G48" s="110">
        <f t="shared" si="18"/>
        <v>0.78623268578279193</v>
      </c>
      <c r="H48" s="414" t="b">
        <f>Wh_hp&gt;='2019'!Maxi_hp</f>
        <v>1</v>
      </c>
      <c r="I48" s="380">
        <f>IF(H48,Wh_hp,'2019'!Maxi_hp)</f>
        <v>27.40840746637317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1.3163787212373657E-2</v>
      </c>
      <c r="M48" s="845"/>
      <c r="N48" s="845"/>
      <c r="O48" s="48">
        <f>IF(t&lt;Tnet,'2019'!Resal+('2019'!Salim-'2019'!Resal)*(1-EXP(('2019'!Tnet-t)/('2019'!Tau_j))),Resal+(Salim-Resal)*(1-EXP((Tnet-t)/(Tau_j))))*Salcycl</f>
        <v>2.9715277130337649E-2</v>
      </c>
      <c r="P48" s="169">
        <f>(INDEX(Models!$BJ48:$BT48,,T48)*(1-R48)+INDEX(Models!$BJ48:$BT48,,T48+1)*R48-ERP_i)*Q48*Ramure*Pc/MaxiM</f>
        <v>4.8372414846182251E-5</v>
      </c>
      <c r="Q48" s="305">
        <f t="shared" si="2"/>
        <v>0.5</v>
      </c>
      <c r="R48" s="177">
        <f t="shared" si="3"/>
        <v>0.99938891940610808</v>
      </c>
      <c r="S48" s="811">
        <f t="shared" si="4"/>
        <v>-2</v>
      </c>
      <c r="T48" s="176">
        <f t="shared" si="5"/>
        <v>4</v>
      </c>
      <c r="U48" s="251">
        <f t="shared" si="20"/>
        <v>-1.0006110805938919</v>
      </c>
      <c r="V48" s="383">
        <f t="shared" si="6"/>
        <v>33.377666458585338</v>
      </c>
      <c r="W48" s="402"/>
      <c r="X48" s="157">
        <f t="shared" si="7"/>
        <v>43864</v>
      </c>
      <c r="Y48" s="385">
        <f t="shared" si="8"/>
        <v>26.242999999999999</v>
      </c>
      <c r="Z48" s="385">
        <f t="shared" si="9"/>
        <v>26.593065454974003</v>
      </c>
      <c r="AA48" s="386">
        <f t="shared" si="10"/>
        <v>27.407486512127871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2.9715277130337649E-2</v>
      </c>
      <c r="AD48" s="231">
        <f>(INDEX(Models!$BJ48:$BT48,,AH48)*(1-AF48)+INDEX(Models!$BJ48:$BT48,,AH48+1)*AF48-ERP_i)*AE48*Ramure*Pc/MaxiM</f>
        <v>4.8372414846182251E-5</v>
      </c>
      <c r="AE48" s="305">
        <f t="shared" si="12"/>
        <v>0.5</v>
      </c>
      <c r="AF48" s="177">
        <f t="shared" si="21"/>
        <v>0.99938891940610808</v>
      </c>
      <c r="AG48" s="811">
        <f t="shared" si="22"/>
        <v>-2</v>
      </c>
      <c r="AH48" s="176">
        <f t="shared" si="13"/>
        <v>4</v>
      </c>
      <c r="AI48" s="225">
        <f t="shared" si="23"/>
        <v>-1.0006110805938919</v>
      </c>
      <c r="AJ48" s="265" t="b">
        <f t="shared" si="14"/>
        <v>1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7">
        <v>17.332999999999998</v>
      </c>
      <c r="C49" s="390"/>
      <c r="D49" s="393">
        <f t="shared" si="0"/>
        <v>17.564596253045529</v>
      </c>
      <c r="E49" s="385">
        <f t="shared" si="17"/>
        <v>18.103207704473377</v>
      </c>
      <c r="F49" s="385">
        <f t="shared" si="1"/>
        <v>18.103468672580966</v>
      </c>
      <c r="G49" s="110">
        <f t="shared" si="18"/>
        <v>0.51421351645412339</v>
      </c>
      <c r="H49" s="414" t="b">
        <f>Wh_hp&gt;='2019'!Maxi_hp</f>
        <v>0</v>
      </c>
      <c r="I49" s="380">
        <f>IF(H49,Wh_hp,'2019'!Maxi_hp)</f>
        <v>27.911356460515268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1.3185401458082113E-2</v>
      </c>
      <c r="M49" s="845"/>
      <c r="N49" s="845"/>
      <c r="O49" s="48">
        <f>IF(t&lt;Tnet,'2019'!Resal+('2019'!Salim-'2019'!Resal)*(1-EXP(('2019'!Tnet-t)/('2019'!Tau_j))),Resal+(Salim-Resal)*(1-EXP((Tnet-t)/(Tau_j))))*Salcycl</f>
        <v>2.9752266019394593E-2</v>
      </c>
      <c r="P49" s="169">
        <f>(INDEX(Models!$BJ49:$BT49,,T49)*(1-R49)+INDEX(Models!$BJ49:$BT49,,T49+1)*R49-ERP_i)*Q49*Ramure*Pc/MaxiM</f>
        <v>4.7102367237364308E-5</v>
      </c>
      <c r="Q49" s="305">
        <f t="shared" si="2"/>
        <v>0.5</v>
      </c>
      <c r="R49" s="177">
        <f t="shared" si="3"/>
        <v>0.99950138624547402</v>
      </c>
      <c r="S49" s="811">
        <f t="shared" si="4"/>
        <v>-2</v>
      </c>
      <c r="T49" s="176">
        <f t="shared" si="5"/>
        <v>4</v>
      </c>
      <c r="U49" s="251">
        <f t="shared" si="20"/>
        <v>-1.000498613754526</v>
      </c>
      <c r="V49" s="383">
        <f t="shared" si="6"/>
        <v>33.706685789867173</v>
      </c>
      <c r="W49" s="402"/>
      <c r="X49" s="157">
        <f t="shared" si="7"/>
        <v>43865</v>
      </c>
      <c r="Y49" s="385">
        <f t="shared" si="8"/>
        <v>17.332999999999998</v>
      </c>
      <c r="Z49" s="385">
        <f t="shared" si="9"/>
        <v>17.564596253045529</v>
      </c>
      <c r="AA49" s="386">
        <f t="shared" si="10"/>
        <v>18.103207704473377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2.9752266019394593E-2</v>
      </c>
      <c r="AD49" s="231">
        <f>(INDEX(Models!$BJ49:$BT49,,AH49)*(1-AF49)+INDEX(Models!$BJ49:$BT49,,AH49+1)*AF49-ERP_i)*AE49*Ramure*Pc/MaxiM</f>
        <v>4.7102367237364308E-5</v>
      </c>
      <c r="AE49" s="305">
        <f t="shared" si="12"/>
        <v>0.5</v>
      </c>
      <c r="AF49" s="177">
        <f t="shared" si="21"/>
        <v>0.99950138624547402</v>
      </c>
      <c r="AG49" s="811">
        <f t="shared" si="22"/>
        <v>-2</v>
      </c>
      <c r="AH49" s="176">
        <f t="shared" si="13"/>
        <v>4</v>
      </c>
      <c r="AI49" s="225">
        <f t="shared" si="23"/>
        <v>-1.000498613754526</v>
      </c>
      <c r="AJ49" s="265" t="b">
        <f t="shared" si="14"/>
        <v>1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7">
        <v>34.018000000000001</v>
      </c>
      <c r="C50" s="390"/>
      <c r="D50" s="393">
        <f t="shared" si="0"/>
        <v>34.473289256248677</v>
      </c>
      <c r="E50" s="385">
        <f t="shared" si="17"/>
        <v>35.531753897311212</v>
      </c>
      <c r="F50" s="385">
        <f t="shared" si="1"/>
        <v>35.533389786711119</v>
      </c>
      <c r="G50" s="110">
        <f t="shared" si="18"/>
        <v>0.99957775277613303</v>
      </c>
      <c r="H50" s="414" t="b">
        <f>Wh_hp&gt;='2019'!Maxi_hp</f>
        <v>1</v>
      </c>
      <c r="I50" s="380">
        <f>IF(H50,Wh_hp,'2019'!Maxi_hp)</f>
        <v>35.533389786711119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1.3207015230383035E-2</v>
      </c>
      <c r="M50" s="845"/>
      <c r="N50" s="845"/>
      <c r="O50" s="48">
        <f>IF(t&lt;Tnet,'2019'!Resal+('2019'!Salim-'2019'!Resal)*(1-EXP(('2019'!Tnet-t)/('2019'!Tau_j))),Resal+(Salim-Resal)*(1-EXP((Tnet-t)/(Tau_j))))*Salcycl</f>
        <v>2.9789259604846883E-2</v>
      </c>
      <c r="P50" s="169">
        <f>(INDEX(Models!$BJ50:$BT50,,T50)*(1-R50)+INDEX(Models!$BJ50:$BT50,,T50+1)*R50-ERP_i)*Q50*Ramure*Pc/MaxiM</f>
        <v>4.6065875665344231E-5</v>
      </c>
      <c r="Q50" s="305">
        <f t="shared" si="2"/>
        <v>0.5</v>
      </c>
      <c r="R50" s="177">
        <f t="shared" si="3"/>
        <v>0.99961851728625484</v>
      </c>
      <c r="S50" s="811">
        <f t="shared" si="4"/>
        <v>-2</v>
      </c>
      <c r="T50" s="176">
        <f t="shared" si="5"/>
        <v>4</v>
      </c>
      <c r="U50" s="251">
        <f t="shared" si="20"/>
        <v>-1.0003814827137452</v>
      </c>
      <c r="V50" s="383">
        <f t="shared" si="6"/>
        <v>34.032369128132466</v>
      </c>
      <c r="W50" s="402"/>
      <c r="X50" s="157">
        <f t="shared" si="7"/>
        <v>43866</v>
      </c>
      <c r="Y50" s="385">
        <f t="shared" si="8"/>
        <v>34.018000000000001</v>
      </c>
      <c r="Z50" s="385">
        <f t="shared" si="9"/>
        <v>34.473289256248677</v>
      </c>
      <c r="AA50" s="386">
        <f t="shared" si="10"/>
        <v>35.531753897311212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2.9789259604846883E-2</v>
      </c>
      <c r="AD50" s="231">
        <f>(INDEX(Models!$BJ50:$BT50,,AH50)*(1-AF50)+INDEX(Models!$BJ50:$BT50,,AH50+1)*AF50-ERP_i)*AE50*Ramure*Pc/MaxiM</f>
        <v>4.6065875665344231E-5</v>
      </c>
      <c r="AE50" s="305">
        <f t="shared" si="12"/>
        <v>0.5</v>
      </c>
      <c r="AF50" s="177">
        <f t="shared" si="21"/>
        <v>0.99961851728625484</v>
      </c>
      <c r="AG50" s="811">
        <f t="shared" si="22"/>
        <v>-2</v>
      </c>
      <c r="AH50" s="176">
        <f t="shared" si="13"/>
        <v>4</v>
      </c>
      <c r="AI50" s="225">
        <f t="shared" si="23"/>
        <v>-1.0003814827137452</v>
      </c>
      <c r="AJ50" s="265" t="b">
        <f t="shared" si="14"/>
        <v>1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7">
        <v>35.518999999999998</v>
      </c>
      <c r="C51" s="390"/>
      <c r="D51" s="393">
        <f t="shared" si="0"/>
        <v>35.995166688978259</v>
      </c>
      <c r="E51" s="385">
        <f t="shared" si="17"/>
        <v>37.101773672280828</v>
      </c>
      <c r="F51" s="385">
        <f t="shared" si="1"/>
        <v>37.103452774243969</v>
      </c>
      <c r="G51" s="110">
        <f t="shared" si="18"/>
        <v>1.0338570507586877</v>
      </c>
      <c r="H51" s="414" t="b">
        <f>Wh_hp&gt;='2019'!Maxi_hp</f>
        <v>1</v>
      </c>
      <c r="I51" s="380">
        <f>IF(H51,Wh_hp,'2019'!Maxi_hp)</f>
        <v>37.103452774243969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1.3228628529286968E-2</v>
      </c>
      <c r="M51" s="845"/>
      <c r="N51" s="845"/>
      <c r="O51" s="48">
        <f>IF(t&lt;Tnet,'2019'!Resal+('2019'!Salim-'2019'!Resal)*(1-EXP(('2019'!Tnet-t)/('2019'!Tau_j))),Resal+(Salim-Resal)*(1-EXP((Tnet-t)/(Tau_j))))*Salcycl</f>
        <v>2.9826255560642667E-2</v>
      </c>
      <c r="P51" s="169">
        <f>(INDEX(Models!$BJ51:$BT51,,T51)*(1-R51)+INDEX(Models!$BJ51:$BT51,,T51+1)*R51-ERP_i)*Q51*Ramure*Pc/MaxiM</f>
        <v>4.5254601326782832E-5</v>
      </c>
      <c r="Q51" s="305">
        <f t="shared" si="2"/>
        <v>0.5</v>
      </c>
      <c r="R51" s="177">
        <f t="shared" si="3"/>
        <v>0.99974050361584887</v>
      </c>
      <c r="S51" s="811">
        <f t="shared" si="4"/>
        <v>-2</v>
      </c>
      <c r="T51" s="176">
        <f t="shared" si="5"/>
        <v>4</v>
      </c>
      <c r="U51" s="251">
        <f t="shared" si="20"/>
        <v>-1.0002594963841511</v>
      </c>
      <c r="V51" s="383">
        <f t="shared" si="6"/>
        <v>34.35581347917941</v>
      </c>
      <c r="W51" s="402"/>
      <c r="X51" s="157">
        <f t="shared" si="7"/>
        <v>43867</v>
      </c>
      <c r="Y51" s="385">
        <f t="shared" si="8"/>
        <v>35.518999999999998</v>
      </c>
      <c r="Z51" s="385">
        <f t="shared" si="9"/>
        <v>35.995166688978259</v>
      </c>
      <c r="AA51" s="386">
        <f t="shared" si="10"/>
        <v>37.101773672280828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2.9826255560642667E-2</v>
      </c>
      <c r="AD51" s="231">
        <f>(INDEX(Models!$BJ51:$BT51,,AH51)*(1-AF51)+INDEX(Models!$BJ51:$BT51,,AH51+1)*AF51-ERP_i)*AE51*Ramure*Pc/MaxiM</f>
        <v>4.5254601326782832E-5</v>
      </c>
      <c r="AE51" s="305">
        <f t="shared" si="12"/>
        <v>0.5</v>
      </c>
      <c r="AF51" s="177">
        <f t="shared" si="21"/>
        <v>0.99974050361584887</v>
      </c>
      <c r="AG51" s="811">
        <f t="shared" si="22"/>
        <v>-2</v>
      </c>
      <c r="AH51" s="176">
        <f t="shared" si="13"/>
        <v>4</v>
      </c>
      <c r="AI51" s="225">
        <f t="shared" si="23"/>
        <v>-1.0002594963841511</v>
      </c>
      <c r="AJ51" s="265" t="b">
        <f t="shared" si="14"/>
        <v>1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7">
        <v>24.274999999999999</v>
      </c>
      <c r="C52" s="390"/>
      <c r="D52" s="393">
        <f t="shared" si="0"/>
        <v>24.600968773815048</v>
      </c>
      <c r="E52" s="385">
        <f t="shared" si="17"/>
        <v>25.358248522373483</v>
      </c>
      <c r="F52" s="385">
        <f t="shared" si="1"/>
        <v>25.358898167859724</v>
      </c>
      <c r="G52" s="110">
        <f t="shared" si="18"/>
        <v>0.6999792754141988</v>
      </c>
      <c r="H52" s="414" t="b">
        <f>Wh_hp&gt;='2019'!Maxi_hp</f>
        <v>1</v>
      </c>
      <c r="I52" s="380">
        <f>IF(H52,Wh_hp,'2019'!Maxi_hp)</f>
        <v>25.358898167859724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1.3250241354804126E-2</v>
      </c>
      <c r="M52" s="845"/>
      <c r="N52" s="845"/>
      <c r="O52" s="48">
        <f>IF(t&lt;Tnet,'2019'!Resal+('2019'!Salim-'2019'!Resal)*(1-EXP(('2019'!Tnet-t)/('2019'!Tau_j))),Resal+(Salim-Resal)*(1-EXP((Tnet-t)/(Tau_j))))*Salcycl</f>
        <v>2.9863251316047751E-2</v>
      </c>
      <c r="P52" s="169">
        <f>(INDEX(Models!$BJ52:$BT52,,T52)*(1-R52)+INDEX(Models!$BJ52:$BT52,,T52+1)*R52-ERP_i)*Q52*Ramure*Pc/MaxiM</f>
        <v>4.4832400401709571E-5</v>
      </c>
      <c r="Q52" s="305">
        <f t="shared" si="2"/>
        <v>0.5</v>
      </c>
      <c r="R52" s="177">
        <f t="shared" si="3"/>
        <v>0.9998675439507505</v>
      </c>
      <c r="S52" s="811">
        <f t="shared" si="4"/>
        <v>-2</v>
      </c>
      <c r="T52" s="176">
        <f t="shared" si="5"/>
        <v>4</v>
      </c>
      <c r="U52" s="251">
        <f t="shared" si="20"/>
        <v>-1.0001324560492495</v>
      </c>
      <c r="V52" s="383">
        <f t="shared" si="6"/>
        <v>34.678931808798566</v>
      </c>
      <c r="W52" s="402"/>
      <c r="X52" s="157">
        <f t="shared" si="7"/>
        <v>43868</v>
      </c>
      <c r="Y52" s="385">
        <f t="shared" si="8"/>
        <v>24.274999999999999</v>
      </c>
      <c r="Z52" s="385">
        <f t="shared" si="9"/>
        <v>24.600968773815048</v>
      </c>
      <c r="AA52" s="386">
        <f t="shared" si="10"/>
        <v>25.358248522373483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2.9863251316047751E-2</v>
      </c>
      <c r="AD52" s="231">
        <f>(INDEX(Models!$BJ52:$BT52,,AH52)*(1-AF52)+INDEX(Models!$BJ52:$BT52,,AH52+1)*AF52-ERP_i)*AE52*Ramure*Pc/MaxiM</f>
        <v>4.4832400401709571E-5</v>
      </c>
      <c r="AE52" s="305">
        <f t="shared" si="12"/>
        <v>0.5</v>
      </c>
      <c r="AF52" s="177">
        <f t="shared" si="21"/>
        <v>0.9998675439507505</v>
      </c>
      <c r="AG52" s="811">
        <f t="shared" si="22"/>
        <v>-2</v>
      </c>
      <c r="AH52" s="176">
        <f t="shared" si="13"/>
        <v>4</v>
      </c>
      <c r="AI52" s="225">
        <f t="shared" si="23"/>
        <v>-1.0001324560492495</v>
      </c>
      <c r="AJ52" s="265" t="b">
        <f t="shared" si="14"/>
        <v>1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7">
        <v>28.658999999999999</v>
      </c>
      <c r="C53" s="390"/>
      <c r="D53" s="393">
        <f t="shared" si="0"/>
        <v>29.044474010056636</v>
      </c>
      <c r="E53" s="385">
        <f t="shared" si="17"/>
        <v>29.939677680550293</v>
      </c>
      <c r="F53" s="385">
        <f t="shared" si="1"/>
        <v>29.940669821237087</v>
      </c>
      <c r="G53" s="110">
        <f t="shared" si="18"/>
        <v>0.81877388564221665</v>
      </c>
      <c r="H53" s="414" t="b">
        <f>Wh_hp&gt;='2019'!Maxi_hp</f>
        <v>0</v>
      </c>
      <c r="I53" s="380">
        <f>IF(H53,Wh_hp,'2019'!Maxi_hp)</f>
        <v>31.189855775222124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1.3271853706944947E-2</v>
      </c>
      <c r="M53" s="845"/>
      <c r="N53" s="845"/>
      <c r="O53" s="48">
        <f>IF(t&lt;Tnet,'2019'!Resal+('2019'!Salim-'2019'!Resal)*(1-EXP(('2019'!Tnet-t)/('2019'!Tau_j))),Resal+(Salim-Resal)*(1-EXP((Tnet-t)/(Tau_j))))*Salcycl</f>
        <v>2.990024408563384E-2</v>
      </c>
      <c r="P53" s="169">
        <f>(INDEX(Models!$BJ53:$BT53,,T53)*(1-R53)+INDEX(Models!$BJ53:$BT53,,T53+1)*R53-ERP_i)*Q53*Ramure*Pc/MaxiM</f>
        <v>4.4711964063991628E-5</v>
      </c>
      <c r="Q53" s="305">
        <f t="shared" si="2"/>
        <v>0.5</v>
      </c>
      <c r="R53" s="177">
        <f t="shared" si="3"/>
        <v>0.99999984492411675</v>
      </c>
      <c r="S53" s="811">
        <f t="shared" si="4"/>
        <v>-2</v>
      </c>
      <c r="T53" s="176">
        <f t="shared" si="5"/>
        <v>4</v>
      </c>
      <c r="U53" s="251">
        <f t="shared" si="20"/>
        <v>-1.0000001550758832</v>
      </c>
      <c r="V53" s="383">
        <f t="shared" si="6"/>
        <v>35.001932476736144</v>
      </c>
      <c r="W53" s="402"/>
      <c r="X53" s="157">
        <f t="shared" si="7"/>
        <v>43869</v>
      </c>
      <c r="Y53" s="385">
        <f t="shared" si="8"/>
        <v>28.658999999999999</v>
      </c>
      <c r="Z53" s="385">
        <f t="shared" si="9"/>
        <v>29.044474010056636</v>
      </c>
      <c r="AA53" s="386">
        <f t="shared" si="10"/>
        <v>29.939677680550293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2.990024408563384E-2</v>
      </c>
      <c r="AD53" s="231">
        <f>(INDEX(Models!$BJ53:$BT53,,AH53)*(1-AF53)+INDEX(Models!$BJ53:$BT53,,AH53+1)*AF53-ERP_i)*AE53*Ramure*Pc/MaxiM</f>
        <v>4.4711964063991628E-5</v>
      </c>
      <c r="AE53" s="305">
        <f t="shared" si="12"/>
        <v>0.5</v>
      </c>
      <c r="AF53" s="177">
        <f t="shared" si="21"/>
        <v>0.99999984492411675</v>
      </c>
      <c r="AG53" s="811">
        <f t="shared" si="22"/>
        <v>-2</v>
      </c>
      <c r="AH53" s="176">
        <f t="shared" si="13"/>
        <v>4</v>
      </c>
      <c r="AI53" s="225">
        <f t="shared" si="23"/>
        <v>-1.0000001550758832</v>
      </c>
      <c r="AJ53" s="265" t="b">
        <f t="shared" si="14"/>
        <v>1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7">
        <v>28.734999999999999</v>
      </c>
      <c r="C54" s="390"/>
      <c r="D54" s="393">
        <f t="shared" si="0"/>
        <v>29.122134087271867</v>
      </c>
      <c r="E54" s="385">
        <f t="shared" si="17"/>
        <v>30.020875983503942</v>
      </c>
      <c r="F54" s="385">
        <f t="shared" si="1"/>
        <v>30.02186446236923</v>
      </c>
      <c r="G54" s="110">
        <f t="shared" si="18"/>
        <v>0.81343635222447408</v>
      </c>
      <c r="H54" s="414" t="b">
        <f>Wh_hp&gt;='2019'!Maxi_hp</f>
        <v>1</v>
      </c>
      <c r="I54" s="380">
        <f>IF(H54,Wh_hp,'2019'!Maxi_hp)</f>
        <v>30.02186446236923</v>
      </c>
      <c r="J54" s="85">
        <f>IF(H54,An,'2019'!An_max)</f>
        <v>2020</v>
      </c>
      <c r="K54" s="197">
        <f t="shared" si="19"/>
        <v>43870</v>
      </c>
      <c r="L54" s="147">
        <f>IF(t&lt;Tvie,1-EXP((T0-t)*PertePVj)+'2019'!Pspv,1-EXP((T0-t)*PertePVj)+Pspv)</f>
        <v>1.3293465585719866E-2</v>
      </c>
      <c r="M54" s="845"/>
      <c r="N54" s="845"/>
      <c r="O54" s="48">
        <f>IF(t&lt;Tnet,'2019'!Resal+('2019'!Salim-'2019'!Resal)*(1-EXP(('2019'!Tnet-t)/('2019'!Tau_j))),Resal+(Salim-Resal)*(1-EXP((Tnet-t)/(Tau_j))))*Salcycl</f>
        <v>2.9937230903119644E-2</v>
      </c>
      <c r="P54" s="169">
        <f>(INDEX(Models!$BJ54:$BT54,,T54)*(1-R54)+INDEX(Models!$BJ54:$BT54,,T54+1)*R54-ERP_i)*Q54*Ramure*Pc/MaxiM</f>
        <v>4.4888275631974928E-5</v>
      </c>
      <c r="Q54" s="305">
        <f t="shared" si="2"/>
        <v>0.5</v>
      </c>
      <c r="R54" s="177">
        <f t="shared" si="3"/>
        <v>1.3762138270778657E-4</v>
      </c>
      <c r="S54" s="811">
        <f t="shared" si="4"/>
        <v>-1</v>
      </c>
      <c r="T54" s="176">
        <f t="shared" si="5"/>
        <v>5</v>
      </c>
      <c r="U54" s="251">
        <f t="shared" si="20"/>
        <v>-0.99986237861729221</v>
      </c>
      <c r="V54" s="383">
        <f t="shared" si="6"/>
        <v>35.325021009903857</v>
      </c>
      <c r="W54" s="402"/>
      <c r="X54" s="157">
        <f t="shared" si="7"/>
        <v>43870</v>
      </c>
      <c r="Y54" s="385">
        <f t="shared" si="8"/>
        <v>28.734999999999999</v>
      </c>
      <c r="Z54" s="385">
        <f t="shared" si="9"/>
        <v>29.122134087271867</v>
      </c>
      <c r="AA54" s="386">
        <f t="shared" si="10"/>
        <v>30.020875983503942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2.9937230903119644E-2</v>
      </c>
      <c r="AD54" s="231">
        <f>(INDEX(Models!$BJ54:$BT54,,AH54)*(1-AF54)+INDEX(Models!$BJ54:$BT54,,AH54+1)*AF54-ERP_i)*AE54*Ramure*Pc/MaxiM</f>
        <v>4.4888275631974928E-5</v>
      </c>
      <c r="AE54" s="305">
        <f t="shared" si="12"/>
        <v>0.5</v>
      </c>
      <c r="AF54" s="177">
        <f t="shared" si="21"/>
        <v>1.3762138270778657E-4</v>
      </c>
      <c r="AG54" s="811">
        <f t="shared" si="22"/>
        <v>-1</v>
      </c>
      <c r="AH54" s="176">
        <f t="shared" si="13"/>
        <v>5</v>
      </c>
      <c r="AI54" s="225">
        <f t="shared" si="23"/>
        <v>-0.99986237861729221</v>
      </c>
      <c r="AJ54" s="265" t="b">
        <f t="shared" si="14"/>
        <v>1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7">
        <v>8.9659999999999993</v>
      </c>
      <c r="C55" s="390"/>
      <c r="D55" s="393">
        <f t="shared" si="0"/>
        <v>9.0869940250617169</v>
      </c>
      <c r="E55" s="385">
        <f t="shared" si="17"/>
        <v>9.3677859972117297</v>
      </c>
      <c r="F55" s="385">
        <f t="shared" si="1"/>
        <v>9.3677859972117297</v>
      </c>
      <c r="G55" s="110">
        <f t="shared" si="18"/>
        <v>0.25150056119223074</v>
      </c>
      <c r="H55" s="414" t="b">
        <f>Wh_hp&gt;='2019'!Maxi_hp</f>
        <v>0</v>
      </c>
      <c r="I55" s="380">
        <f>IF(H55,Wh_hp,'2019'!Maxi_hp)</f>
        <v>9.4111037266996007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1.3315076991139096E-2</v>
      </c>
      <c r="M55" s="845"/>
      <c r="N55" s="845"/>
      <c r="O55" s="48">
        <f>IF(t&lt;Tnet,'2019'!Resal+('2019'!Salim-'2019'!Resal)*(1-EXP(('2019'!Tnet-t)/('2019'!Tau_j))),Resal+(Salim-Resal)*(1-EXP((Tnet-t)/(Tau_j))))*Salcycl</f>
        <v>2.9974208658650817E-2</v>
      </c>
      <c r="P55" s="169">
        <f>(INDEX(Models!$BJ55:$BT55,,T55)*(1-R55)+INDEX(Models!$BJ55:$BT55,,T55+1)*R55-ERP_i)*Q55*Ramure*Pc/MaxiM</f>
        <v>4.5349524815527024E-5</v>
      </c>
      <c r="Q55" s="305">
        <f t="shared" si="2"/>
        <v>0.5</v>
      </c>
      <c r="R55" s="177">
        <f t="shared" si="3"/>
        <v>2.8109669337028631E-4</v>
      </c>
      <c r="S55" s="811">
        <f t="shared" si="4"/>
        <v>-1</v>
      </c>
      <c r="T55" s="176">
        <f t="shared" si="5"/>
        <v>5</v>
      </c>
      <c r="U55" s="251">
        <f t="shared" si="20"/>
        <v>-0.99971890330662971</v>
      </c>
      <c r="V55" s="383">
        <f t="shared" si="6"/>
        <v>35.648403143354358</v>
      </c>
      <c r="W55" s="402"/>
      <c r="X55" s="157">
        <f t="shared" si="7"/>
        <v>43871</v>
      </c>
      <c r="Y55" s="385">
        <f t="shared" si="8"/>
        <v>8.9659999999999993</v>
      </c>
      <c r="Z55" s="385">
        <f t="shared" si="9"/>
        <v>9.0869940250617169</v>
      </c>
      <c r="AA55" s="386">
        <f t="shared" si="10"/>
        <v>9.3677859972117297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2.9974208658650817E-2</v>
      </c>
      <c r="AD55" s="231">
        <f>(INDEX(Models!$BJ55:$BT55,,AH55)*(1-AF55)+INDEX(Models!$BJ55:$BT55,,AH55+1)*AF55-ERP_i)*AE55*Ramure*Pc/MaxiM</f>
        <v>4.5349524815527024E-5</v>
      </c>
      <c r="AE55" s="305">
        <f t="shared" si="12"/>
        <v>0.5</v>
      </c>
      <c r="AF55" s="177">
        <f t="shared" si="21"/>
        <v>2.8109669337028631E-4</v>
      </c>
      <c r="AG55" s="811">
        <f t="shared" si="22"/>
        <v>-1</v>
      </c>
      <c r="AH55" s="176">
        <f t="shared" si="13"/>
        <v>5</v>
      </c>
      <c r="AI55" s="225">
        <f t="shared" si="23"/>
        <v>-0.99971890330662971</v>
      </c>
      <c r="AJ55" s="265" t="b">
        <f t="shared" si="14"/>
        <v>1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7">
        <v>9.0169999999999995</v>
      </c>
      <c r="C56" s="390"/>
      <c r="D56" s="393">
        <f t="shared" si="0"/>
        <v>9.1388824228403589</v>
      </c>
      <c r="E56" s="385">
        <f t="shared" si="17"/>
        <v>9.4216368056910884</v>
      </c>
      <c r="F56" s="385">
        <f t="shared" si="1"/>
        <v>9.4216368056910884</v>
      </c>
      <c r="G56" s="110">
        <f t="shared" si="18"/>
        <v>0.25065365086807512</v>
      </c>
      <c r="H56" s="414" t="b">
        <f>Wh_hp&gt;='2019'!Maxi_hp</f>
        <v>0</v>
      </c>
      <c r="I56" s="380">
        <f>IF(H56,Wh_hp,'2019'!Maxi_hp)</f>
        <v>21.60102843738898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1.3336687923213075E-2</v>
      </c>
      <c r="M56" s="845"/>
      <c r="N56" s="845"/>
      <c r="O56" s="48">
        <f>IF(t&lt;Tnet,'2019'!Resal+('2019'!Salim-'2019'!Resal)*(1-EXP(('2019'!Tnet-t)/('2019'!Tau_j))),Resal+(Salim-Resal)*(1-EXP((Tnet-t)/(Tau_j))))*Salcycl</f>
        <v>3.0011174139076741E-2</v>
      </c>
      <c r="P56" s="169">
        <f>(INDEX(Models!$BJ56:$BT56,,T56)*(1-R56)+INDEX(Models!$BJ56:$BT56,,T56+1)*R56-ERP_i)*Q56*Ramure*Pc/MaxiM</f>
        <v>4.6087895750516669E-5</v>
      </c>
      <c r="Q56" s="305">
        <f t="shared" si="2"/>
        <v>0.5</v>
      </c>
      <c r="R56" s="177">
        <f t="shared" si="3"/>
        <v>4.3050305923153509E-4</v>
      </c>
      <c r="S56" s="811">
        <f t="shared" si="4"/>
        <v>-1</v>
      </c>
      <c r="T56" s="176">
        <f t="shared" si="5"/>
        <v>5</v>
      </c>
      <c r="U56" s="251">
        <f t="shared" si="20"/>
        <v>-0.99956949694076846</v>
      </c>
      <c r="V56" s="383">
        <f t="shared" si="6"/>
        <v>35.972284441967524</v>
      </c>
      <c r="W56" s="402"/>
      <c r="X56" s="157">
        <f t="shared" si="7"/>
        <v>43872</v>
      </c>
      <c r="Y56" s="385">
        <f t="shared" si="8"/>
        <v>9.0169999999999995</v>
      </c>
      <c r="Z56" s="385">
        <f t="shared" si="9"/>
        <v>9.1388824228403589</v>
      </c>
      <c r="AA56" s="386">
        <f t="shared" si="10"/>
        <v>9.4216368056910884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3.0011174139076741E-2</v>
      </c>
      <c r="AD56" s="231">
        <f>(INDEX(Models!$BJ56:$BT56,,AH56)*(1-AF56)+INDEX(Models!$BJ56:$BT56,,AH56+1)*AF56-ERP_i)*AE56*Ramure*Pc/MaxiM</f>
        <v>4.6087895750516669E-5</v>
      </c>
      <c r="AE56" s="305">
        <f t="shared" si="12"/>
        <v>0.5</v>
      </c>
      <c r="AF56" s="177">
        <f t="shared" si="21"/>
        <v>4.3050305923153509E-4</v>
      </c>
      <c r="AG56" s="811">
        <f t="shared" si="22"/>
        <v>-1</v>
      </c>
      <c r="AH56" s="176">
        <f t="shared" si="13"/>
        <v>5</v>
      </c>
      <c r="AI56" s="225">
        <f t="shared" si="23"/>
        <v>-0.99956949694076846</v>
      </c>
      <c r="AJ56" s="265" t="b">
        <f t="shared" si="14"/>
        <v>1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7">
        <v>20.86</v>
      </c>
      <c r="C57" s="390"/>
      <c r="D57" s="393">
        <f t="shared" si="0"/>
        <v>21.142426846331897</v>
      </c>
      <c r="E57" s="385">
        <f t="shared" si="17"/>
        <v>21.79739775860206</v>
      </c>
      <c r="F57" s="385">
        <f t="shared" si="1"/>
        <v>21.797800627801969</v>
      </c>
      <c r="G57" s="110">
        <f t="shared" si="18"/>
        <v>0.57468875033088762</v>
      </c>
      <c r="H57" s="414" t="b">
        <f>Wh_hp&gt;='2019'!Maxi_hp</f>
        <v>0</v>
      </c>
      <c r="I57" s="380">
        <f>IF(H57,Wh_hp,'2019'!Maxi_hp)</f>
        <v>38.463815462769276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1.3358298381952127E-2</v>
      </c>
      <c r="M57" s="845"/>
      <c r="N57" s="845"/>
      <c r="O57" s="48">
        <f>IF(t&lt;Tnet,'2019'!Resal+('2019'!Salim-'2019'!Resal)*(1-EXP(('2019'!Tnet-t)/('2019'!Tau_j))),Resal+(Salim-Resal)*(1-EXP((Tnet-t)/(Tau_j))))*Salcycl</f>
        <v>3.0048124070759196E-2</v>
      </c>
      <c r="P57" s="169">
        <f>(INDEX(Models!$BJ57:$BT57,,T57)*(1-R57)+INDEX(Models!$BJ57:$BT57,,T57+1)*R57-ERP_i)*Q57*Ramure*Pc/MaxiM</f>
        <v>4.7095841084239218E-5</v>
      </c>
      <c r="Q57" s="305">
        <f t="shared" si="2"/>
        <v>0.5</v>
      </c>
      <c r="R57" s="177">
        <f t="shared" si="3"/>
        <v>5.860818457543715E-4</v>
      </c>
      <c r="S57" s="811">
        <f t="shared" si="4"/>
        <v>-1</v>
      </c>
      <c r="T57" s="176">
        <f t="shared" si="5"/>
        <v>5</v>
      </c>
      <c r="U57" s="251">
        <f t="shared" si="20"/>
        <v>-0.99941391815424563</v>
      </c>
      <c r="V57" s="383">
        <f t="shared" si="6"/>
        <v>36.29687042661773</v>
      </c>
      <c r="W57" s="402"/>
      <c r="X57" s="157">
        <f t="shared" si="7"/>
        <v>43873</v>
      </c>
      <c r="Y57" s="385">
        <f t="shared" si="8"/>
        <v>20.86</v>
      </c>
      <c r="Z57" s="385">
        <f t="shared" si="9"/>
        <v>21.142426846331897</v>
      </c>
      <c r="AA57" s="386">
        <f t="shared" si="10"/>
        <v>21.79739775860206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3.0048124070759196E-2</v>
      </c>
      <c r="AD57" s="231">
        <f>(INDEX(Models!$BJ57:$BT57,,AH57)*(1-AF57)+INDEX(Models!$BJ57:$BT57,,AH57+1)*AF57-ERP_i)*AE57*Ramure*Pc/MaxiM</f>
        <v>4.7095841084239218E-5</v>
      </c>
      <c r="AE57" s="305">
        <f t="shared" si="12"/>
        <v>0.5</v>
      </c>
      <c r="AF57" s="177">
        <f t="shared" si="21"/>
        <v>5.860818457543715E-4</v>
      </c>
      <c r="AG57" s="811">
        <f t="shared" si="22"/>
        <v>-1</v>
      </c>
      <c r="AH57" s="176">
        <f t="shared" si="13"/>
        <v>5</v>
      </c>
      <c r="AI57" s="225">
        <f t="shared" si="23"/>
        <v>-0.99941391815424563</v>
      </c>
      <c r="AJ57" s="265" t="b">
        <f t="shared" si="14"/>
        <v>1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7">
        <v>17.608000000000001</v>
      </c>
      <c r="C58" s="390"/>
      <c r="D58" s="393">
        <f t="shared" si="0"/>
        <v>17.846788393354874</v>
      </c>
      <c r="E58" s="385">
        <f t="shared" si="17"/>
        <v>18.400364370486582</v>
      </c>
      <c r="F58" s="385">
        <f t="shared" si="1"/>
        <v>18.400593245824052</v>
      </c>
      <c r="G58" s="110">
        <f t="shared" si="18"/>
        <v>0.48078180158261574</v>
      </c>
      <c r="H58" s="414" t="b">
        <f>Wh_hp&gt;='2019'!Maxi_hp</f>
        <v>0</v>
      </c>
      <c r="I58" s="380">
        <f>IF(H58,Wh_hp,'2019'!Maxi_hp)</f>
        <v>39.79279391744533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1.33799083673668E-2</v>
      </c>
      <c r="M58" s="845"/>
      <c r="N58" s="845"/>
      <c r="O58" s="48">
        <f>IF(t&lt;Tnet,'2019'!Resal+('2019'!Salim-'2019'!Resal)*(1-EXP(('2019'!Tnet-t)/('2019'!Tau_j))),Resal+(Salim-Resal)*(1-EXP((Tnet-t)/(Tau_j))))*Salcycl</f>
        <v>3.0085055164430437E-2</v>
      </c>
      <c r="P58" s="169">
        <f>(INDEX(Models!$BJ58:$BT58,,T58)*(1-R58)+INDEX(Models!$BJ58:$BT58,,T58+1)*R58-ERP_i)*Q58*Ramure*Pc/MaxiM</f>
        <v>4.8158089191309098E-5</v>
      </c>
      <c r="Q58" s="305">
        <f t="shared" si="2"/>
        <v>0.5</v>
      </c>
      <c r="R58" s="177">
        <f t="shared" si="3"/>
        <v>7.4808391679359598E-4</v>
      </c>
      <c r="S58" s="811">
        <f t="shared" si="4"/>
        <v>-1</v>
      </c>
      <c r="T58" s="176">
        <f t="shared" si="5"/>
        <v>5</v>
      </c>
      <c r="U58" s="251">
        <f t="shared" si="20"/>
        <v>-0.9992519160832064</v>
      </c>
      <c r="V58" s="383">
        <f t="shared" si="6"/>
        <v>36.622374189847633</v>
      </c>
      <c r="W58" s="402"/>
      <c r="X58" s="157">
        <f t="shared" si="7"/>
        <v>43874</v>
      </c>
      <c r="Y58" s="385">
        <f t="shared" si="8"/>
        <v>17.608000000000001</v>
      </c>
      <c r="Z58" s="385">
        <f t="shared" si="9"/>
        <v>17.846788393354874</v>
      </c>
      <c r="AA58" s="386">
        <f t="shared" si="10"/>
        <v>18.400364370486582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3.0085055164430437E-2</v>
      </c>
      <c r="AD58" s="231">
        <f>(INDEX(Models!$BJ58:$BT58,,AH58)*(1-AF58)+INDEX(Models!$BJ58:$BT58,,AH58+1)*AF58-ERP_i)*AE58*Ramure*Pc/MaxiM</f>
        <v>4.8158089191309098E-5</v>
      </c>
      <c r="AE58" s="305">
        <f t="shared" si="12"/>
        <v>0.5</v>
      </c>
      <c r="AF58" s="177">
        <f t="shared" si="21"/>
        <v>7.4808391679359598E-4</v>
      </c>
      <c r="AG58" s="811">
        <f t="shared" si="22"/>
        <v>-1</v>
      </c>
      <c r="AH58" s="176">
        <f t="shared" si="13"/>
        <v>5</v>
      </c>
      <c r="AI58" s="225">
        <f t="shared" si="23"/>
        <v>-0.9992519160832064</v>
      </c>
      <c r="AJ58" s="265" t="b">
        <f t="shared" si="14"/>
        <v>1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7">
        <v>27.661000000000001</v>
      </c>
      <c r="C59" s="390"/>
      <c r="D59" s="393">
        <f t="shared" si="0"/>
        <v>28.036734802740817</v>
      </c>
      <c r="E59" s="385">
        <f t="shared" si="17"/>
        <v>28.907485030842</v>
      </c>
      <c r="F59" s="385">
        <f t="shared" si="1"/>
        <v>28.908395785049517</v>
      </c>
      <c r="G59" s="110">
        <f t="shared" si="18"/>
        <v>0.74861315945057394</v>
      </c>
      <c r="H59" s="414" t="b">
        <f>Wh_hp&gt;='2019'!Maxi_hp</f>
        <v>0</v>
      </c>
      <c r="I59" s="380">
        <f>IF(H59,Wh_hp,'2019'!Maxi_hp)</f>
        <v>40.073233720515397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1.3401517879467306E-2</v>
      </c>
      <c r="M59" s="845"/>
      <c r="N59" s="845"/>
      <c r="O59" s="48">
        <f>IF(t&lt;Tnet,'2019'!Resal+('2019'!Salim-'2019'!Resal)*(1-EXP(('2019'!Tnet-t)/('2019'!Tau_j))),Resal+(Salim-Resal)*(1-EXP((Tnet-t)/(Tau_j))))*Salcycl</f>
        <v>3.0121964161606004E-2</v>
      </c>
      <c r="P59" s="169">
        <f>(INDEX(Models!$BJ59:$BT59,,T59)*(1-R59)+INDEX(Models!$BJ59:$BT59,,T59+1)*R59-ERP_i)*Q59*Ramure*Pc/MaxiM</f>
        <v>4.915757287191917E-5</v>
      </c>
      <c r="Q59" s="305">
        <f t="shared" si="2"/>
        <v>0.5</v>
      </c>
      <c r="R59" s="177">
        <f t="shared" si="3"/>
        <v>9.1676998077527827E-4</v>
      </c>
      <c r="S59" s="811">
        <f t="shared" si="4"/>
        <v>-1</v>
      </c>
      <c r="T59" s="176">
        <f t="shared" si="5"/>
        <v>5</v>
      </c>
      <c r="U59" s="251">
        <f t="shared" si="20"/>
        <v>-0.99908323001922472</v>
      </c>
      <c r="V59" s="383">
        <f t="shared" si="6"/>
        <v>36.949005428256143</v>
      </c>
      <c r="W59" s="402"/>
      <c r="X59" s="157">
        <f t="shared" si="7"/>
        <v>43875</v>
      </c>
      <c r="Y59" s="385">
        <f t="shared" si="8"/>
        <v>27.661000000000001</v>
      </c>
      <c r="Z59" s="385">
        <f t="shared" si="9"/>
        <v>28.036734802740817</v>
      </c>
      <c r="AA59" s="386">
        <f t="shared" si="10"/>
        <v>28.907485030842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3.0121964161606004E-2</v>
      </c>
      <c r="AD59" s="231">
        <f>(INDEX(Models!$BJ59:$BT59,,AH59)*(1-AF59)+INDEX(Models!$BJ59:$BT59,,AH59+1)*AF59-ERP_i)*AE59*Ramure*Pc/MaxiM</f>
        <v>4.915757287191917E-5</v>
      </c>
      <c r="AE59" s="305">
        <f t="shared" si="12"/>
        <v>0.5</v>
      </c>
      <c r="AF59" s="177">
        <f t="shared" si="21"/>
        <v>9.1676998077527827E-4</v>
      </c>
      <c r="AG59" s="811">
        <f t="shared" si="22"/>
        <v>-1</v>
      </c>
      <c r="AH59" s="176">
        <f t="shared" si="13"/>
        <v>5</v>
      </c>
      <c r="AI59" s="225">
        <f t="shared" si="23"/>
        <v>-0.99908323001922472</v>
      </c>
      <c r="AJ59" s="265" t="b">
        <f t="shared" si="14"/>
        <v>1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7">
        <v>36.316000000000003</v>
      </c>
      <c r="C60" s="390"/>
      <c r="D60" s="393">
        <f t="shared" si="0"/>
        <v>36.810106734573019</v>
      </c>
      <c r="E60" s="385">
        <f t="shared" si="17"/>
        <v>37.954779145210253</v>
      </c>
      <c r="F60" s="385">
        <f t="shared" si="1"/>
        <v>37.95661059099811</v>
      </c>
      <c r="G60" s="110">
        <f t="shared" si="18"/>
        <v>0.9742190276535927</v>
      </c>
      <c r="H60" s="414" t="b">
        <f>Wh_hp&gt;='2019'!Maxi_hp</f>
        <v>0</v>
      </c>
      <c r="I60" s="380">
        <f>IF(H60,Wh_hp,'2019'!Maxi_hp)</f>
        <v>40.326165520091415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1.3423126918263972E-2</v>
      </c>
      <c r="M60" s="845"/>
      <c r="N60" s="845"/>
      <c r="O60" s="48">
        <f>IF(t&lt;Tnet,'2019'!Resal+('2019'!Salim-'2019'!Resal)*(1-EXP(('2019'!Tnet-t)/('2019'!Tau_j))),Resal+(Salim-Resal)*(1-EXP((Tnet-t)/(Tau_j))))*Salcycl</f>
        <v>3.0158847882050904E-2</v>
      </c>
      <c r="P60" s="169">
        <f>(INDEX(Models!$BJ60:$BT60,,T60)*(1-R60)+INDEX(Models!$BJ60:$BT60,,T60+1)*R60-ERP_i)*Q60*Ramure*Pc/MaxiM</f>
        <v>5.009593891690376E-5</v>
      </c>
      <c r="Q60" s="305">
        <f t="shared" si="2"/>
        <v>0.5</v>
      </c>
      <c r="R60" s="177">
        <f t="shared" si="3"/>
        <v>1.0924109471056598E-3</v>
      </c>
      <c r="S60" s="811">
        <f t="shared" si="4"/>
        <v>-1</v>
      </c>
      <c r="T60" s="176">
        <f t="shared" si="5"/>
        <v>5</v>
      </c>
      <c r="U60" s="251">
        <f t="shared" si="20"/>
        <v>-0.99890758905289434</v>
      </c>
      <c r="V60" s="383">
        <f t="shared" si="6"/>
        <v>37.276969517566599</v>
      </c>
      <c r="W60" s="402"/>
      <c r="X60" s="157">
        <f t="shared" si="7"/>
        <v>43876</v>
      </c>
      <c r="Y60" s="385">
        <f t="shared" si="8"/>
        <v>36.316000000000003</v>
      </c>
      <c r="Z60" s="385">
        <f t="shared" si="9"/>
        <v>36.810106734573019</v>
      </c>
      <c r="AA60" s="386">
        <f t="shared" si="10"/>
        <v>37.954779145210253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3.0158847882050904E-2</v>
      </c>
      <c r="AD60" s="231">
        <f>(INDEX(Models!$BJ60:$BT60,,AH60)*(1-AF60)+INDEX(Models!$BJ60:$BT60,,AH60+1)*AF60-ERP_i)*AE60*Ramure*Pc/MaxiM</f>
        <v>5.009593891690376E-5</v>
      </c>
      <c r="AE60" s="305">
        <f t="shared" si="12"/>
        <v>0.5</v>
      </c>
      <c r="AF60" s="177">
        <f t="shared" si="21"/>
        <v>1.0924109471056598E-3</v>
      </c>
      <c r="AG60" s="811">
        <f t="shared" si="22"/>
        <v>-1</v>
      </c>
      <c r="AH60" s="176">
        <f t="shared" si="13"/>
        <v>5</v>
      </c>
      <c r="AI60" s="225">
        <f t="shared" si="23"/>
        <v>-0.99890758905289434</v>
      </c>
      <c r="AJ60" s="265" t="b">
        <f t="shared" si="14"/>
        <v>1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7">
        <v>21.67</v>
      </c>
      <c r="C61" s="390"/>
      <c r="D61" s="393">
        <f t="shared" si="0"/>
        <v>21.96531788883221</v>
      </c>
      <c r="E61" s="385">
        <f t="shared" si="17"/>
        <v>22.649227233717021</v>
      </c>
      <c r="F61" s="385">
        <f t="shared" si="1"/>
        <v>22.649682841754601</v>
      </c>
      <c r="G61" s="110">
        <f t="shared" si="18"/>
        <v>0.5762128228724418</v>
      </c>
      <c r="H61" s="414" t="b">
        <f>Wh_hp&gt;='2019'!Maxi_hp</f>
        <v>0</v>
      </c>
      <c r="I61" s="380">
        <f>IF(H61,Wh_hp,'2019'!Maxi_hp)</f>
        <v>40.772992464506032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1.3444735483767234E-2</v>
      </c>
      <c r="M61" s="845"/>
      <c r="N61" s="845"/>
      <c r="O61" s="48">
        <f>IF(t&lt;Tnet,'2019'!Resal+('2019'!Salim-'2019'!Resal)*(1-EXP(('2019'!Tnet-t)/('2019'!Tau_j))),Resal+(Salim-Resal)*(1-EXP((Tnet-t)/(Tau_j))))*Salcycl</f>
        <v>3.0195703271796461E-2</v>
      </c>
      <c r="P61" s="169">
        <f>(INDEX(Models!$BJ61:$BT61,,T61)*(1-R61)+INDEX(Models!$BJ61:$BT61,,T61+1)*R61-ERP_i)*Q61*Ramure*Pc/MaxiM</f>
        <v>5.0974796050751925E-5</v>
      </c>
      <c r="Q61" s="305">
        <f t="shared" si="2"/>
        <v>0.5</v>
      </c>
      <c r="R61" s="177">
        <f t="shared" si="3"/>
        <v>1.2752882928938059E-3</v>
      </c>
      <c r="S61" s="811">
        <f t="shared" si="4"/>
        <v>-1</v>
      </c>
      <c r="T61" s="176">
        <f t="shared" si="5"/>
        <v>5</v>
      </c>
      <c r="U61" s="251">
        <f t="shared" si="20"/>
        <v>-0.99872471170710619</v>
      </c>
      <c r="V61" s="383">
        <f t="shared" si="6"/>
        <v>37.60647178241252</v>
      </c>
      <c r="W61" s="402"/>
      <c r="X61" s="157">
        <f t="shared" si="7"/>
        <v>43877</v>
      </c>
      <c r="Y61" s="385">
        <f t="shared" si="8"/>
        <v>21.67</v>
      </c>
      <c r="Z61" s="385">
        <f t="shared" si="9"/>
        <v>21.96531788883221</v>
      </c>
      <c r="AA61" s="386">
        <f t="shared" si="10"/>
        <v>22.649227233717021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3.0195703271796461E-2</v>
      </c>
      <c r="AD61" s="231">
        <f>(INDEX(Models!$BJ61:$BT61,,AH61)*(1-AF61)+INDEX(Models!$BJ61:$BT61,,AH61+1)*AF61-ERP_i)*AE61*Ramure*Pc/MaxiM</f>
        <v>5.0974796050751925E-5</v>
      </c>
      <c r="AE61" s="305">
        <f t="shared" si="12"/>
        <v>0.5</v>
      </c>
      <c r="AF61" s="177">
        <f t="shared" si="21"/>
        <v>1.2752882928938059E-3</v>
      </c>
      <c r="AG61" s="811">
        <f t="shared" si="22"/>
        <v>-1</v>
      </c>
      <c r="AH61" s="176">
        <f t="shared" si="13"/>
        <v>5</v>
      </c>
      <c r="AI61" s="225">
        <f t="shared" si="23"/>
        <v>-0.99872471170710619</v>
      </c>
      <c r="AJ61" s="265" t="b">
        <f t="shared" si="14"/>
        <v>1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7">
        <v>5.5309999999999997</v>
      </c>
      <c r="C62" s="390"/>
      <c r="D62" s="393">
        <f t="shared" si="0"/>
        <v>5.6064990423629038</v>
      </c>
      <c r="E62" s="385">
        <f t="shared" si="17"/>
        <v>5.7812818031807414</v>
      </c>
      <c r="F62" s="385">
        <f t="shared" si="1"/>
        <v>5.7812818031807414</v>
      </c>
      <c r="G62" s="110">
        <f t="shared" si="18"/>
        <v>0.14578403454291278</v>
      </c>
      <c r="H62" s="414" t="b">
        <f>Wh_hp&gt;='2019'!Maxi_hp</f>
        <v>0</v>
      </c>
      <c r="I62" s="380">
        <f>IF(H62,Wh_hp,'2019'!Maxi_hp)</f>
        <v>41.216821259374889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1.3466343575987527E-2</v>
      </c>
      <c r="M62" s="845"/>
      <c r="N62" s="845"/>
      <c r="O62" s="48">
        <f>IF(t&lt;Tnet,'2019'!Resal+('2019'!Salim-'2019'!Resal)*(1-EXP(('2019'!Tnet-t)/('2019'!Tau_j))),Resal+(Salim-Resal)*(1-EXP((Tnet-t)/(Tau_j))))*Salcycl</f>
        <v>3.0232527451209048E-2</v>
      </c>
      <c r="P62" s="169">
        <f>(INDEX(Models!$BJ62:$BT62,,T62)*(1-R62)+INDEX(Models!$BJ62:$BT62,,T62+1)*R62-ERP_i)*Q62*Ramure*Pc/MaxiM</f>
        <v>5.1795722606479503E-5</v>
      </c>
      <c r="Q62" s="305">
        <f t="shared" si="2"/>
        <v>0.5</v>
      </c>
      <c r="R62" s="177">
        <f t="shared" si="3"/>
        <v>1.4656944400500693E-3</v>
      </c>
      <c r="S62" s="811">
        <f t="shared" si="4"/>
        <v>-1</v>
      </c>
      <c r="T62" s="176">
        <f t="shared" si="5"/>
        <v>5</v>
      </c>
      <c r="U62" s="251">
        <f t="shared" si="20"/>
        <v>-0.99853430555994993</v>
      </c>
      <c r="V62" s="383">
        <f t="shared" si="6"/>
        <v>37.937717495603067</v>
      </c>
      <c r="W62" s="402"/>
      <c r="X62" s="157">
        <f t="shared" si="7"/>
        <v>43878</v>
      </c>
      <c r="Y62" s="385">
        <f t="shared" si="8"/>
        <v>5.5309999999999997</v>
      </c>
      <c r="Z62" s="385">
        <f t="shared" si="9"/>
        <v>5.6064990423629038</v>
      </c>
      <c r="AA62" s="386">
        <f t="shared" si="10"/>
        <v>5.7812818031807414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3.0232527451209048E-2</v>
      </c>
      <c r="AD62" s="231">
        <f>(INDEX(Models!$BJ62:$BT62,,AH62)*(1-AF62)+INDEX(Models!$BJ62:$BT62,,AH62+1)*AF62-ERP_i)*AE62*Ramure*Pc/MaxiM</f>
        <v>5.1795722606479503E-5</v>
      </c>
      <c r="AE62" s="305">
        <f t="shared" si="12"/>
        <v>0.5</v>
      </c>
      <c r="AF62" s="177">
        <f t="shared" si="21"/>
        <v>1.4656944400500693E-3</v>
      </c>
      <c r="AG62" s="811">
        <f t="shared" si="22"/>
        <v>-1</v>
      </c>
      <c r="AH62" s="176">
        <f t="shared" si="13"/>
        <v>5</v>
      </c>
      <c r="AI62" s="225">
        <f t="shared" si="23"/>
        <v>-0.99853430555994993</v>
      </c>
      <c r="AJ62" s="265" t="b">
        <f t="shared" si="14"/>
        <v>1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7">
        <v>29.148</v>
      </c>
      <c r="C63" s="390"/>
      <c r="D63" s="393">
        <f t="shared" si="0"/>
        <v>29.546522047354795</v>
      </c>
      <c r="E63" s="385">
        <f t="shared" si="17"/>
        <v>30.468791581580742</v>
      </c>
      <c r="F63" s="385">
        <f t="shared" si="1"/>
        <v>30.469847710991594</v>
      </c>
      <c r="G63" s="110">
        <f t="shared" si="18"/>
        <v>0.76160919193516274</v>
      </c>
      <c r="H63" s="414" t="b">
        <f>Wh_hp&gt;='2019'!Maxi_hp</f>
        <v>0</v>
      </c>
      <c r="I63" s="380">
        <f>IF(H63,Wh_hp,'2019'!Maxi_hp)</f>
        <v>40.739227562492772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1.3487951194935066E-2</v>
      </c>
      <c r="M63" s="845"/>
      <c r="N63" s="845"/>
      <c r="O63" s="48">
        <f>IF(t&lt;Tnet,'2019'!Resal+('2019'!Salim-'2019'!Resal)*(1-EXP(('2019'!Tnet-t)/('2019'!Tau_j))),Resal+(Salim-Resal)*(1-EXP((Tnet-t)/(Tau_j))))*Salcycl</f>
        <v>3.0269317762621203E-2</v>
      </c>
      <c r="P63" s="169">
        <f>(INDEX(Models!$BJ63:$BT63,,T63)*(1-R63)+INDEX(Models!$BJ63:$BT63,,T63+1)*R63-ERP_i)*Q63*Ramure*Pc/MaxiM</f>
        <v>5.2560273849731897E-5</v>
      </c>
      <c r="Q63" s="305">
        <f t="shared" si="2"/>
        <v>0.5</v>
      </c>
      <c r="R63" s="177">
        <f t="shared" si="3"/>
        <v>1.6639331427984461E-3</v>
      </c>
      <c r="S63" s="811">
        <f t="shared" si="4"/>
        <v>-1</v>
      </c>
      <c r="T63" s="176">
        <f t="shared" si="5"/>
        <v>5</v>
      </c>
      <c r="U63" s="251">
        <f t="shared" si="20"/>
        <v>-0.99833606685720155</v>
      </c>
      <c r="V63" s="383">
        <f t="shared" si="6"/>
        <v>38.270911874412285</v>
      </c>
      <c r="W63" s="402"/>
      <c r="X63" s="157">
        <f t="shared" si="7"/>
        <v>43879</v>
      </c>
      <c r="Y63" s="385">
        <f t="shared" si="8"/>
        <v>29.148</v>
      </c>
      <c r="Z63" s="385">
        <f t="shared" si="9"/>
        <v>29.546522047354795</v>
      </c>
      <c r="AA63" s="386">
        <f t="shared" si="10"/>
        <v>30.468791581580742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3.0269317762621203E-2</v>
      </c>
      <c r="AD63" s="231">
        <f>(INDEX(Models!$BJ63:$BT63,,AH63)*(1-AF63)+INDEX(Models!$BJ63:$BT63,,AH63+1)*AF63-ERP_i)*AE63*Ramure*Pc/MaxiM</f>
        <v>5.2560273849731897E-5</v>
      </c>
      <c r="AE63" s="305">
        <f t="shared" si="12"/>
        <v>0.5</v>
      </c>
      <c r="AF63" s="177">
        <f t="shared" si="21"/>
        <v>1.6639331427984461E-3</v>
      </c>
      <c r="AG63" s="811">
        <f t="shared" si="22"/>
        <v>-1</v>
      </c>
      <c r="AH63" s="176">
        <f t="shared" si="13"/>
        <v>5</v>
      </c>
      <c r="AI63" s="225">
        <f t="shared" si="23"/>
        <v>-0.99833606685720155</v>
      </c>
      <c r="AJ63" s="265" t="b">
        <f t="shared" si="14"/>
        <v>1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7">
        <v>25.875</v>
      </c>
      <c r="C64" s="390"/>
      <c r="D64" s="393">
        <f t="shared" si="0"/>
        <v>26.229346892074851</v>
      </c>
      <c r="E64" s="385">
        <f t="shared" si="17"/>
        <v>27.04909882360964</v>
      </c>
      <c r="F64" s="385">
        <f t="shared" si="1"/>
        <v>27.049860935910228</v>
      </c>
      <c r="G64" s="110">
        <f t="shared" si="18"/>
        <v>0.67021127090334598</v>
      </c>
      <c r="H64" s="414" t="b">
        <f>Wh_hp&gt;='2019'!Maxi_hp</f>
        <v>0</v>
      </c>
      <c r="I64" s="380">
        <f>IF(H64,Wh_hp,'2019'!Maxi_hp)</f>
        <v>30.467095054039515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1.3509558340620287E-2</v>
      </c>
      <c r="M64" s="845"/>
      <c r="N64" s="845"/>
      <c r="O64" s="48">
        <f>IF(t&lt;Tnet,'2019'!Resal+('2019'!Salim-'2019'!Resal)*(1-EXP(('2019'!Tnet-t)/('2019'!Tau_j))),Resal+(Salim-Resal)*(1-EXP((Tnet-t)/(Tau_j))))*Salcycl</f>
        <v>3.0306071817049699E-2</v>
      </c>
      <c r="P64" s="169">
        <f>(INDEX(Models!$BJ64:$BT64,,T64)*(1-R64)+INDEX(Models!$BJ64:$BT64,,T64+1)*R64-ERP_i)*Q64*Ramure*Pc/MaxiM</f>
        <v>5.3269988942020384E-5</v>
      </c>
      <c r="Q64" s="305">
        <f t="shared" si="2"/>
        <v>0.5</v>
      </c>
      <c r="R64" s="177">
        <f t="shared" si="3"/>
        <v>1.8703198856073744E-3</v>
      </c>
      <c r="S64" s="811">
        <f t="shared" si="4"/>
        <v>-1</v>
      </c>
      <c r="T64" s="176">
        <f t="shared" si="5"/>
        <v>5</v>
      </c>
      <c r="U64" s="251">
        <f t="shared" si="20"/>
        <v>-0.99812968011439263</v>
      </c>
      <c r="V64" s="383">
        <f t="shared" si="6"/>
        <v>38.606260078588278</v>
      </c>
      <c r="W64" s="402"/>
      <c r="X64" s="157">
        <f t="shared" si="7"/>
        <v>43880</v>
      </c>
      <c r="Y64" s="385">
        <f t="shared" si="8"/>
        <v>25.875</v>
      </c>
      <c r="Z64" s="385">
        <f t="shared" si="9"/>
        <v>26.229346892074851</v>
      </c>
      <c r="AA64" s="386">
        <f t="shared" si="10"/>
        <v>27.04909882360964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3.0306071817049699E-2</v>
      </c>
      <c r="AD64" s="231">
        <f>(INDEX(Models!$BJ64:$BT64,,AH64)*(1-AF64)+INDEX(Models!$BJ64:$BT64,,AH64+1)*AF64-ERP_i)*AE64*Ramure*Pc/MaxiM</f>
        <v>5.3269988942020384E-5</v>
      </c>
      <c r="AE64" s="305">
        <f t="shared" si="12"/>
        <v>0.5</v>
      </c>
      <c r="AF64" s="177">
        <f t="shared" si="21"/>
        <v>1.8703198856073744E-3</v>
      </c>
      <c r="AG64" s="811">
        <f t="shared" si="22"/>
        <v>-1</v>
      </c>
      <c r="AH64" s="176">
        <f t="shared" si="13"/>
        <v>5</v>
      </c>
      <c r="AI64" s="225">
        <f t="shared" si="23"/>
        <v>-0.99812968011439263</v>
      </c>
      <c r="AJ64" s="265" t="b">
        <f t="shared" si="14"/>
        <v>1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7">
        <v>38.886000000000003</v>
      </c>
      <c r="C65" s="390"/>
      <c r="D65" s="393">
        <f t="shared" si="0"/>
        <v>39.41939027451847</v>
      </c>
      <c r="E65" s="385">
        <f t="shared" si="17"/>
        <v>40.652912975806949</v>
      </c>
      <c r="F65" s="385">
        <f t="shared" si="1"/>
        <v>40.655100676030095</v>
      </c>
      <c r="G65" s="110">
        <f t="shared" si="18"/>
        <v>0.99850745835548305</v>
      </c>
      <c r="H65" s="414" t="b">
        <f>Wh_hp&gt;='2019'!Maxi_hp</f>
        <v>1</v>
      </c>
      <c r="I65" s="380">
        <f>IF(H65,Wh_hp,'2019'!Maxi_hp)</f>
        <v>40.655100676030095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1.3531165013053625E-2</v>
      </c>
      <c r="M65" s="845"/>
      <c r="N65" s="845"/>
      <c r="O65" s="48">
        <f>IF(t&lt;Tnet,'2019'!Resal+('2019'!Salim-'2019'!Resal)*(1-EXP(('2019'!Tnet-t)/('2019'!Tau_j))),Resal+(Salim-Resal)*(1-EXP((Tnet-t)/(Tau_j))))*Salcycl</f>
        <v>3.0342787539543847E-2</v>
      </c>
      <c r="P65" s="169">
        <f>(INDEX(Models!$BJ65:$BT65,,T65)*(1-R65)+INDEX(Models!$BJ65:$BT65,,T65+1)*R65-ERP_i)*Q65*Ramure*Pc/MaxiM</f>
        <v>5.3926184244338758E-5</v>
      </c>
      <c r="Q65" s="305">
        <f t="shared" si="2"/>
        <v>0.5</v>
      </c>
      <c r="R65" s="177">
        <f t="shared" si="3"/>
        <v>2.0851822915176621E-3</v>
      </c>
      <c r="S65" s="811">
        <f t="shared" si="4"/>
        <v>-1</v>
      </c>
      <c r="T65" s="176">
        <f t="shared" si="5"/>
        <v>5</v>
      </c>
      <c r="U65" s="251">
        <f t="shared" si="20"/>
        <v>-0.99791481770848234</v>
      </c>
      <c r="V65" s="383">
        <f t="shared" si="6"/>
        <v>38.944121251708587</v>
      </c>
      <c r="W65" s="402"/>
      <c r="X65" s="157">
        <f t="shared" si="7"/>
        <v>43881</v>
      </c>
      <c r="Y65" s="385">
        <f t="shared" si="8"/>
        <v>38.886000000000003</v>
      </c>
      <c r="Z65" s="385">
        <f t="shared" si="9"/>
        <v>39.41939027451847</v>
      </c>
      <c r="AA65" s="386">
        <f t="shared" si="10"/>
        <v>40.652912975806949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3.0342787539543847E-2</v>
      </c>
      <c r="AD65" s="231">
        <f>(INDEX(Models!$BJ65:$BT65,,AH65)*(1-AF65)+INDEX(Models!$BJ65:$BT65,,AH65+1)*AF65-ERP_i)*AE65*Ramure*Pc/MaxiM</f>
        <v>5.3926184244338758E-5</v>
      </c>
      <c r="AE65" s="305">
        <f t="shared" si="12"/>
        <v>0.5</v>
      </c>
      <c r="AF65" s="177">
        <f t="shared" si="21"/>
        <v>2.0851822915176621E-3</v>
      </c>
      <c r="AG65" s="811">
        <f t="shared" si="22"/>
        <v>-1</v>
      </c>
      <c r="AH65" s="176">
        <f t="shared" si="13"/>
        <v>5</v>
      </c>
      <c r="AI65" s="225">
        <f t="shared" si="23"/>
        <v>-0.99791481770848234</v>
      </c>
      <c r="AJ65" s="265" t="b">
        <f t="shared" si="14"/>
        <v>1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7">
        <v>13.51</v>
      </c>
      <c r="C66" s="390"/>
      <c r="D66" s="393">
        <f t="shared" si="0"/>
        <v>13.69561351660184</v>
      </c>
      <c r="E66" s="385">
        <f t="shared" si="17"/>
        <v>14.124714769326923</v>
      </c>
      <c r="F66" s="385">
        <f t="shared" si="1"/>
        <v>14.124762784862954</v>
      </c>
      <c r="G66" s="110">
        <f t="shared" si="18"/>
        <v>0.34388384830858509</v>
      </c>
      <c r="H66" s="414" t="b">
        <f>Wh_hp&gt;='2019'!Maxi_hp</f>
        <v>0</v>
      </c>
      <c r="I66" s="380">
        <f>IF(H66,Wh_hp,'2019'!Maxi_hp)</f>
        <v>38.737384022485628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1.3552771212245407E-2</v>
      </c>
      <c r="M66" s="845"/>
      <c r="N66" s="845"/>
      <c r="O66" s="48">
        <f>IF(t&lt;Tnet,'2019'!Resal+('2019'!Salim-'2019'!Resal)*(1-EXP(('2019'!Tnet-t)/('2019'!Tau_j))),Resal+(Salim-Resal)*(1-EXP((Tnet-t)/(Tau_j))))*Salcycl</f>
        <v>3.0379463212730752E-2</v>
      </c>
      <c r="P66" s="169">
        <f>(INDEX(Models!$BJ66:$BT66,,T66)*(1-R66)+INDEX(Models!$BJ66:$BT66,,T66+1)*R66-ERP_i)*Q66*Ramure*Pc/MaxiM</f>
        <v>5.4202720277819017E-5</v>
      </c>
      <c r="Q66" s="305">
        <f t="shared" si="2"/>
        <v>0.5</v>
      </c>
      <c r="R66" s="177">
        <f t="shared" si="3"/>
        <v>2.3088605408042584E-3</v>
      </c>
      <c r="S66" s="811">
        <f t="shared" si="4"/>
        <v>-1</v>
      </c>
      <c r="T66" s="176">
        <f t="shared" si="5"/>
        <v>5</v>
      </c>
      <c r="U66" s="251">
        <f t="shared" si="20"/>
        <v>-0.99769113945919574</v>
      </c>
      <c r="V66" s="383">
        <f t="shared" si="6"/>
        <v>39.284525025184109</v>
      </c>
      <c r="W66" s="402"/>
      <c r="X66" s="157">
        <f t="shared" si="7"/>
        <v>43882</v>
      </c>
      <c r="Y66" s="385">
        <f t="shared" si="8"/>
        <v>13.51</v>
      </c>
      <c r="Z66" s="385">
        <f t="shared" si="9"/>
        <v>13.69561351660184</v>
      </c>
      <c r="AA66" s="386">
        <f t="shared" si="10"/>
        <v>14.124714769326923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3.0379463212730752E-2</v>
      </c>
      <c r="AD66" s="231">
        <f>(INDEX(Models!$BJ66:$BT66,,AH66)*(1-AF66)+INDEX(Models!$BJ66:$BT66,,AH66+1)*AF66-ERP_i)*AE66*Ramure*Pc/MaxiM</f>
        <v>5.4202720277819017E-5</v>
      </c>
      <c r="AE66" s="305">
        <f t="shared" si="12"/>
        <v>0.5</v>
      </c>
      <c r="AF66" s="177">
        <f t="shared" si="21"/>
        <v>2.3088605408042584E-3</v>
      </c>
      <c r="AG66" s="811">
        <f t="shared" si="22"/>
        <v>-1</v>
      </c>
      <c r="AH66" s="176">
        <f t="shared" si="13"/>
        <v>5</v>
      </c>
      <c r="AI66" s="225">
        <f t="shared" si="23"/>
        <v>-0.99769113945919574</v>
      </c>
      <c r="AJ66" s="265" t="b">
        <f t="shared" si="14"/>
        <v>1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7">
        <v>37.527000000000001</v>
      </c>
      <c r="C67" s="390"/>
      <c r="D67" s="393">
        <f t="shared" si="0"/>
        <v>38.043415664243291</v>
      </c>
      <c r="E67" s="385">
        <f t="shared" si="17"/>
        <v>39.23684744235478</v>
      </c>
      <c r="F67" s="385">
        <f t="shared" si="1"/>
        <v>39.238804386966351</v>
      </c>
      <c r="G67" s="110">
        <f t="shared" si="18"/>
        <v>0.94699792158059981</v>
      </c>
      <c r="H67" s="414" t="b">
        <f>Wh_hp&gt;='2019'!Maxi_hp</f>
        <v>0</v>
      </c>
      <c r="I67" s="380">
        <f>IF(H67,Wh_hp,'2019'!Maxi_hp)</f>
        <v>40.196901311599696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1.3574376938205956E-2</v>
      </c>
      <c r="M67" s="845"/>
      <c r="N67" s="845"/>
      <c r="O67" s="48">
        <f>IF(t&lt;Tnet,'2019'!Resal+('2019'!Salim-'2019'!Resal)*(1-EXP(('2019'!Tnet-t)/('2019'!Tau_j))),Resal+(Salim-Resal)*(1-EXP((Tnet-t)/(Tau_j))))*Salcycl</f>
        <v>3.0416097518151351E-2</v>
      </c>
      <c r="P67" s="169">
        <f>(INDEX(Models!$BJ67:$BT67,,T67)*(1-R67)+INDEX(Models!$BJ67:$BT67,,T67+1)*R67-ERP_i)*Q67*Ramure*Pc/MaxiM</f>
        <v>5.3957935588254796E-5</v>
      </c>
      <c r="Q67" s="305">
        <f t="shared" si="2"/>
        <v>0.5</v>
      </c>
      <c r="R67" s="177">
        <f t="shared" si="3"/>
        <v>2.5417077998735049E-3</v>
      </c>
      <c r="S67" s="811">
        <f t="shared" si="4"/>
        <v>-1</v>
      </c>
      <c r="T67" s="176">
        <f t="shared" si="5"/>
        <v>5</v>
      </c>
      <c r="U67" s="251">
        <f t="shared" si="20"/>
        <v>-0.9974582922001265</v>
      </c>
      <c r="V67" s="383">
        <f t="shared" si="6"/>
        <v>39.627169004338832</v>
      </c>
      <c r="W67" s="402"/>
      <c r="X67" s="157">
        <f t="shared" si="7"/>
        <v>43883</v>
      </c>
      <c r="Y67" s="385">
        <f t="shared" si="8"/>
        <v>37.527000000000001</v>
      </c>
      <c r="Z67" s="385">
        <f t="shared" si="9"/>
        <v>38.043415664243291</v>
      </c>
      <c r="AA67" s="386">
        <f t="shared" si="10"/>
        <v>39.23684744235478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3.0416097518151351E-2</v>
      </c>
      <c r="AD67" s="231">
        <f>(INDEX(Models!$BJ67:$BT67,,AH67)*(1-AF67)+INDEX(Models!$BJ67:$BT67,,AH67+1)*AF67-ERP_i)*AE67*Ramure*Pc/MaxiM</f>
        <v>5.3957935588254796E-5</v>
      </c>
      <c r="AE67" s="305">
        <f t="shared" si="12"/>
        <v>0.5</v>
      </c>
      <c r="AF67" s="177">
        <f t="shared" si="21"/>
        <v>2.5417077998735049E-3</v>
      </c>
      <c r="AG67" s="811">
        <f t="shared" si="22"/>
        <v>-1</v>
      </c>
      <c r="AH67" s="176">
        <f t="shared" si="13"/>
        <v>5</v>
      </c>
      <c r="AI67" s="225">
        <f t="shared" si="23"/>
        <v>-0.9974582922001265</v>
      </c>
      <c r="AJ67" s="265" t="b">
        <f t="shared" si="14"/>
        <v>1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7">
        <v>39.113</v>
      </c>
      <c r="C68" s="390"/>
      <c r="D68" s="393">
        <f t="shared" si="0"/>
        <v>39.652109372866924</v>
      </c>
      <c r="E68" s="385">
        <f t="shared" si="17"/>
        <v>40.897549760089554</v>
      </c>
      <c r="F68" s="385">
        <f t="shared" si="1"/>
        <v>40.899659056750139</v>
      </c>
      <c r="G68" s="110">
        <f t="shared" si="18"/>
        <v>0.97851460516985611</v>
      </c>
      <c r="H68" s="414" t="b">
        <f>Wh_hp&gt;='2019'!Maxi_hp</f>
        <v>1</v>
      </c>
      <c r="I68" s="380">
        <f>IF(H68,Wh_hp,'2019'!Maxi_hp)</f>
        <v>40.899659056750139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1.3595982190945599E-2</v>
      </c>
      <c r="M68" s="845"/>
      <c r="N68" s="845"/>
      <c r="O68" s="48">
        <f>IF(t&lt;Tnet,'2019'!Resal+('2019'!Salim-'2019'!Resal)*(1-EXP(('2019'!Tnet-t)/('2019'!Tau_j))),Resal+(Salim-Resal)*(1-EXP((Tnet-t)/(Tau_j))))*Salcycl</f>
        <v>3.0452689575012303E-2</v>
      </c>
      <c r="P68" s="169">
        <f>(INDEX(Models!$BJ68:$BT68,,T68)*(1-R68)+INDEX(Models!$BJ68:$BT68,,T68+1)*R68-ERP_i)*Q68*Ramure*Pc/MaxiM</f>
        <v>5.3205410003336562E-5</v>
      </c>
      <c r="Q68" s="305">
        <f t="shared" si="2"/>
        <v>0.5</v>
      </c>
      <c r="R68" s="177">
        <f t="shared" si="3"/>
        <v>2.7840906602514259E-3</v>
      </c>
      <c r="S68" s="811">
        <f t="shared" si="4"/>
        <v>-1</v>
      </c>
      <c r="T68" s="176">
        <f t="shared" si="5"/>
        <v>5</v>
      </c>
      <c r="U68" s="251">
        <f t="shared" si="20"/>
        <v>-0.99721590933974857</v>
      </c>
      <c r="V68" s="383">
        <f t="shared" si="6"/>
        <v>39.971744847840448</v>
      </c>
      <c r="W68" s="402"/>
      <c r="X68" s="157">
        <f t="shared" si="7"/>
        <v>43884</v>
      </c>
      <c r="Y68" s="385">
        <f t="shared" si="8"/>
        <v>39.113</v>
      </c>
      <c r="Z68" s="385">
        <f t="shared" si="9"/>
        <v>39.652109372866924</v>
      </c>
      <c r="AA68" s="386">
        <f t="shared" si="10"/>
        <v>40.897549760089554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3.0452689575012303E-2</v>
      </c>
      <c r="AD68" s="231">
        <f>(INDEX(Models!$BJ68:$BT68,,AH68)*(1-AF68)+INDEX(Models!$BJ68:$BT68,,AH68+1)*AF68-ERP_i)*AE68*Ramure*Pc/MaxiM</f>
        <v>5.3205410003336562E-5</v>
      </c>
      <c r="AE68" s="305">
        <f t="shared" si="12"/>
        <v>0.5</v>
      </c>
      <c r="AF68" s="177">
        <f t="shared" si="21"/>
        <v>2.7840906602514259E-3</v>
      </c>
      <c r="AG68" s="811">
        <f t="shared" si="22"/>
        <v>-1</v>
      </c>
      <c r="AH68" s="176">
        <f t="shared" si="13"/>
        <v>5</v>
      </c>
      <c r="AI68" s="225">
        <f t="shared" si="23"/>
        <v>-0.99721590933974857</v>
      </c>
      <c r="AJ68" s="265" t="b">
        <f t="shared" si="14"/>
        <v>1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7">
        <v>37.542999999999999</v>
      </c>
      <c r="C69" s="390"/>
      <c r="D69" s="393">
        <f t="shared" si="0"/>
        <v>38.06130310524528</v>
      </c>
      <c r="E69" s="385">
        <f t="shared" si="17"/>
        <v>39.258257499942872</v>
      </c>
      <c r="F69" s="385">
        <f t="shared" si="1"/>
        <v>39.260096831969705</v>
      </c>
      <c r="G69" s="110">
        <f t="shared" si="18"/>
        <v>0.93116871118482358</v>
      </c>
      <c r="H69" s="414" t="b">
        <f>Wh_hp&gt;='2019'!Maxi_hp</f>
        <v>0</v>
      </c>
      <c r="I69" s="380">
        <f>IF(H69,Wh_hp,'2019'!Maxi_hp)</f>
        <v>41.03378848015074</v>
      </c>
      <c r="J69" s="85">
        <f>IF(H69,An,'2019'!An_max)</f>
        <v>2019</v>
      </c>
      <c r="K69" s="197">
        <f t="shared" si="19"/>
        <v>43885</v>
      </c>
      <c r="L69" s="147">
        <f>IF(t&lt;Tvie,1-EXP((T0-t)*PertePVj)+'2019'!Pspv,1-EXP((T0-t)*PertePVj)+Pspv)</f>
        <v>1.3617586970474771E-2</v>
      </c>
      <c r="M69" s="845"/>
      <c r="N69" s="845"/>
      <c r="O69" s="48">
        <f>IF(t&lt;Tnet,'2019'!Resal+('2019'!Salim-'2019'!Resal)*(1-EXP(('2019'!Tnet-t)/('2019'!Tau_j))),Resal+(Salim-Resal)*(1-EXP((Tnet-t)/(Tau_j))))*Salcycl</f>
        <v>3.0489238976012561E-2</v>
      </c>
      <c r="P69" s="169">
        <f>(INDEX(Models!$BJ69:$BT69,,T69)*(1-R69)+INDEX(Models!$BJ69:$BT69,,T69+1)*R69-ERP_i)*Q69*Ramure*Pc/MaxiM</f>
        <v>5.1958675476483795E-5</v>
      </c>
      <c r="Q69" s="305">
        <f t="shared" si="2"/>
        <v>0.5</v>
      </c>
      <c r="R69" s="177">
        <f t="shared" si="3"/>
        <v>3.0363895874696567E-3</v>
      </c>
      <c r="S69" s="811">
        <f t="shared" si="4"/>
        <v>-1</v>
      </c>
      <c r="T69" s="176">
        <f t="shared" si="5"/>
        <v>5</v>
      </c>
      <c r="U69" s="251">
        <f t="shared" si="20"/>
        <v>-0.99696361041253034</v>
      </c>
      <c r="V69" s="383">
        <f t="shared" si="6"/>
        <v>40.317944258333732</v>
      </c>
      <c r="W69" s="402"/>
      <c r="X69" s="157">
        <f t="shared" si="7"/>
        <v>43885</v>
      </c>
      <c r="Y69" s="385">
        <f t="shared" si="8"/>
        <v>37.542999999999999</v>
      </c>
      <c r="Z69" s="385">
        <f t="shared" si="9"/>
        <v>38.06130310524528</v>
      </c>
      <c r="AA69" s="386">
        <f t="shared" si="10"/>
        <v>39.258257499942872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3.0489238976012561E-2</v>
      </c>
      <c r="AD69" s="231">
        <f>(INDEX(Models!$BJ69:$BT69,,AH69)*(1-AF69)+INDEX(Models!$BJ69:$BT69,,AH69+1)*AF69-ERP_i)*AE69*Ramure*Pc/MaxiM</f>
        <v>5.1958675476483795E-5</v>
      </c>
      <c r="AE69" s="305">
        <f t="shared" si="12"/>
        <v>0.5</v>
      </c>
      <c r="AF69" s="177">
        <f t="shared" si="21"/>
        <v>3.0363895874696567E-3</v>
      </c>
      <c r="AG69" s="811">
        <f t="shared" si="22"/>
        <v>-1</v>
      </c>
      <c r="AH69" s="176">
        <f t="shared" si="13"/>
        <v>5</v>
      </c>
      <c r="AI69" s="225">
        <f t="shared" si="23"/>
        <v>-0.99696361041253034</v>
      </c>
      <c r="AJ69" s="265" t="b">
        <f t="shared" si="14"/>
        <v>1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7">
        <v>16.948</v>
      </c>
      <c r="C70" s="390"/>
      <c r="D70" s="393">
        <f t="shared" si="0"/>
        <v>17.182353404671964</v>
      </c>
      <c r="E70" s="385">
        <f t="shared" si="17"/>
        <v>17.72337257084159</v>
      </c>
      <c r="F70" s="385">
        <f t="shared" si="1"/>
        <v>17.723521075913467</v>
      </c>
      <c r="G70" s="110">
        <f t="shared" si="18"/>
        <v>0.4167490324190129</v>
      </c>
      <c r="H70" s="414" t="b">
        <f>Wh_hp&gt;='2019'!Maxi_hp</f>
        <v>0</v>
      </c>
      <c r="I70" s="380">
        <f>IF(H70,Wh_hp,'2019'!Maxi_hp)</f>
        <v>42.028165575806206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1.3639191276803908E-2</v>
      </c>
      <c r="M70" s="845"/>
      <c r="N70" s="845"/>
      <c r="O70" s="48">
        <f>IF(t&lt;Tnet,'2019'!Resal+('2019'!Salim-'2019'!Resal)*(1-EXP(('2019'!Tnet-t)/('2019'!Tau_j))),Resal+(Salim-Resal)*(1-EXP((Tnet-t)/(Tau_j))))*Salcycl</f>
        <v>3.0525745819941164E-2</v>
      </c>
      <c r="P70" s="169">
        <f>(INDEX(Models!$BJ70:$BT70,,T70)*(1-R70)+INDEX(Models!$BJ70:$BT70,,T70+1)*R70-ERP_i)*Q70*Ramure*Pc/MaxiM</f>
        <v>5.0230922066061157E-5</v>
      </c>
      <c r="Q70" s="305">
        <f t="shared" si="2"/>
        <v>0.5</v>
      </c>
      <c r="R70" s="177">
        <f t="shared" si="3"/>
        <v>3.2989993796057604E-3</v>
      </c>
      <c r="S70" s="811">
        <f t="shared" si="4"/>
        <v>-1</v>
      </c>
      <c r="T70" s="176">
        <f t="shared" si="5"/>
        <v>5</v>
      </c>
      <c r="U70" s="251">
        <f t="shared" si="20"/>
        <v>-0.99670100062039424</v>
      </c>
      <c r="V70" s="383">
        <f t="shared" si="6"/>
        <v>40.665458991023051</v>
      </c>
      <c r="W70" s="402"/>
      <c r="X70" s="157">
        <f t="shared" si="7"/>
        <v>43886</v>
      </c>
      <c r="Y70" s="385">
        <f t="shared" si="8"/>
        <v>16.948</v>
      </c>
      <c r="Z70" s="385">
        <f t="shared" si="9"/>
        <v>17.182353404671964</v>
      </c>
      <c r="AA70" s="386">
        <f t="shared" si="10"/>
        <v>17.72337257084159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3.0525745819941164E-2</v>
      </c>
      <c r="AD70" s="231">
        <f>(INDEX(Models!$BJ70:$BT70,,AH70)*(1-AF70)+INDEX(Models!$BJ70:$BT70,,AH70+1)*AF70-ERP_i)*AE70*Ramure*Pc/MaxiM</f>
        <v>5.0230922066061157E-5</v>
      </c>
      <c r="AE70" s="305">
        <f t="shared" si="12"/>
        <v>0.5</v>
      </c>
      <c r="AF70" s="177">
        <f t="shared" si="21"/>
        <v>3.2989993796057604E-3</v>
      </c>
      <c r="AG70" s="811">
        <f t="shared" si="22"/>
        <v>-1</v>
      </c>
      <c r="AH70" s="176">
        <f t="shared" si="13"/>
        <v>5</v>
      </c>
      <c r="AI70" s="225">
        <f t="shared" si="23"/>
        <v>-0.99670100062039424</v>
      </c>
      <c r="AJ70" s="265" t="b">
        <f t="shared" si="14"/>
        <v>1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7">
        <v>18.074999999999999</v>
      </c>
      <c r="C71" s="390"/>
      <c r="D71" s="393">
        <f t="shared" si="0"/>
        <v>18.325338697263632</v>
      </c>
      <c r="E71" s="385">
        <f t="shared" si="17"/>
        <v>18.903057937597694</v>
      </c>
      <c r="F71" s="385">
        <f t="shared" si="1"/>
        <v>18.90324045332823</v>
      </c>
      <c r="G71" s="110">
        <f t="shared" si="18"/>
        <v>0.44068646606510392</v>
      </c>
      <c r="H71" s="414" t="b">
        <f>Wh_hp&gt;='2019'!Maxi_hp</f>
        <v>0</v>
      </c>
      <c r="I71" s="380">
        <f>IF(H71,Wh_hp,'2019'!Maxi_hp)</f>
        <v>38.261290092019415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1.3660795109943225E-2</v>
      </c>
      <c r="M71" s="845"/>
      <c r="N71" s="845"/>
      <c r="O71" s="48">
        <f>IF(t&lt;Tnet,'2019'!Resal+('2019'!Salim-'2019'!Resal)*(1-EXP(('2019'!Tnet-t)/('2019'!Tau_j))),Resal+(Salim-Resal)*(1-EXP((Tnet-t)/(Tau_j))))*Salcycl</f>
        <v>3.056221074078146E-2</v>
      </c>
      <c r="P71" s="169">
        <f>(INDEX(Models!$BJ71:$BT71,,T71)*(1-R71)+INDEX(Models!$BJ71:$BT71,,T71+1)*R71-ERP_i)*Q71*Ramure*Pc/MaxiM</f>
        <v>4.8034973032761719E-5</v>
      </c>
      <c r="Q71" s="305">
        <f t="shared" si="2"/>
        <v>0.5</v>
      </c>
      <c r="R71" s="177">
        <f t="shared" si="3"/>
        <v>3.5723296351710676E-3</v>
      </c>
      <c r="S71" s="811">
        <f t="shared" si="4"/>
        <v>-1</v>
      </c>
      <c r="T71" s="176">
        <f t="shared" si="5"/>
        <v>5</v>
      </c>
      <c r="U71" s="251">
        <f t="shared" si="20"/>
        <v>-0.99642767036482893</v>
      </c>
      <c r="V71" s="383">
        <f t="shared" si="6"/>
        <v>41.013980849928245</v>
      </c>
      <c r="W71" s="402"/>
      <c r="X71" s="157">
        <f t="shared" si="7"/>
        <v>43887</v>
      </c>
      <c r="Y71" s="385">
        <f t="shared" si="8"/>
        <v>18.074999999999999</v>
      </c>
      <c r="Z71" s="385">
        <f t="shared" si="9"/>
        <v>18.325338697263632</v>
      </c>
      <c r="AA71" s="386">
        <f t="shared" si="10"/>
        <v>18.903057937597694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3.056221074078146E-2</v>
      </c>
      <c r="AD71" s="231">
        <f>(INDEX(Models!$BJ71:$BT71,,AH71)*(1-AF71)+INDEX(Models!$BJ71:$BT71,,AH71+1)*AF71-ERP_i)*AE71*Ramure*Pc/MaxiM</f>
        <v>4.8034973032761719E-5</v>
      </c>
      <c r="AE71" s="305">
        <f t="shared" si="12"/>
        <v>0.5</v>
      </c>
      <c r="AF71" s="177">
        <f t="shared" si="21"/>
        <v>3.5723296351710676E-3</v>
      </c>
      <c r="AG71" s="811">
        <f t="shared" si="22"/>
        <v>-1</v>
      </c>
      <c r="AH71" s="176">
        <f t="shared" si="13"/>
        <v>5</v>
      </c>
      <c r="AI71" s="225">
        <f t="shared" si="23"/>
        <v>-0.99642767036482893</v>
      </c>
      <c r="AJ71" s="265" t="b">
        <f t="shared" si="14"/>
        <v>1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7">
        <v>7.7910000000000004</v>
      </c>
      <c r="C72" s="390"/>
      <c r="D72" s="393">
        <f t="shared" si="0"/>
        <v>7.8990783373566948</v>
      </c>
      <c r="E72" s="385">
        <f t="shared" si="17"/>
        <v>8.1484085147863983</v>
      </c>
      <c r="F72" s="385">
        <f t="shared" si="1"/>
        <v>8.1484085147863983</v>
      </c>
      <c r="G72" s="110">
        <f t="shared" si="18"/>
        <v>0.18834727732215412</v>
      </c>
      <c r="H72" s="414" t="b">
        <f>Wh_hp&gt;='2019'!Maxi_hp</f>
        <v>0</v>
      </c>
      <c r="I72" s="380">
        <f>IF(H72,Wh_hp,'2019'!Maxi_hp)</f>
        <v>42.246597609719124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1.3682398469903156E-2</v>
      </c>
      <c r="M72" s="845"/>
      <c r="N72" s="845"/>
      <c r="O72" s="48">
        <f>IF(t&lt;Tnet,'2019'!Resal+('2019'!Salim-'2019'!Resal)*(1-EXP(('2019'!Tnet-t)/('2019'!Tau_j))),Resal+(Salim-Resal)*(1-EXP((Tnet-t)/(Tau_j))))*Salcycl</f>
        <v>3.0598634933098803E-2</v>
      </c>
      <c r="P72" s="169">
        <f>(INDEX(Models!$BJ72:$BT72,,T72)*(1-R72)+INDEX(Models!$BJ72:$BT72,,T72+1)*R72-ERP_i)*Q72*Ramure*Pc/MaxiM</f>
        <v>4.5506512604370464E-5</v>
      </c>
      <c r="Q72" s="305">
        <f t="shared" si="2"/>
        <v>0.5</v>
      </c>
      <c r="R72" s="177">
        <f t="shared" si="3"/>
        <v>3.8568052299812194E-3</v>
      </c>
      <c r="S72" s="811">
        <f t="shared" si="4"/>
        <v>-1</v>
      </c>
      <c r="T72" s="176">
        <f t="shared" si="5"/>
        <v>5</v>
      </c>
      <c r="U72" s="251">
        <f t="shared" si="20"/>
        <v>-0.99614319477001878</v>
      </c>
      <c r="V72" s="383">
        <f t="shared" si="6"/>
        <v>41.363196588368915</v>
      </c>
      <c r="W72" s="402"/>
      <c r="X72" s="157">
        <f t="shared" si="7"/>
        <v>43888</v>
      </c>
      <c r="Y72" s="385">
        <f t="shared" si="8"/>
        <v>7.7910000000000013</v>
      </c>
      <c r="Z72" s="385">
        <f t="shared" si="9"/>
        <v>7.8990783373566957</v>
      </c>
      <c r="AA72" s="386">
        <f t="shared" si="10"/>
        <v>8.1484085147863983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3.0598634933098803E-2</v>
      </c>
      <c r="AD72" s="231">
        <f>(INDEX(Models!$BJ72:$BT72,,AH72)*(1-AF72)+INDEX(Models!$BJ72:$BT72,,AH72+1)*AF72-ERP_i)*AE72*Ramure*Pc/MaxiM</f>
        <v>4.5506512604370464E-5</v>
      </c>
      <c r="AE72" s="305">
        <f t="shared" si="12"/>
        <v>0.5</v>
      </c>
      <c r="AF72" s="177">
        <f t="shared" si="21"/>
        <v>3.8568052299812194E-3</v>
      </c>
      <c r="AG72" s="811">
        <f t="shared" si="22"/>
        <v>-1</v>
      </c>
      <c r="AH72" s="176">
        <f t="shared" si="13"/>
        <v>5</v>
      </c>
      <c r="AI72" s="225">
        <f t="shared" si="23"/>
        <v>-0.99614319477001878</v>
      </c>
      <c r="AJ72" s="265" t="b">
        <f t="shared" si="14"/>
        <v>1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7">
        <v>17.643000000000001</v>
      </c>
      <c r="C73" s="390"/>
      <c r="D73" s="393">
        <f t="shared" si="0"/>
        <v>17.888139082251911</v>
      </c>
      <c r="E73" s="385">
        <f t="shared" si="17"/>
        <v>18.453461239598479</v>
      </c>
      <c r="F73" s="385">
        <f t="shared" si="1"/>
        <v>18.45360009496628</v>
      </c>
      <c r="G73" s="110">
        <f t="shared" si="18"/>
        <v>0.42294885503780455</v>
      </c>
      <c r="H73" s="414" t="b">
        <f>Wh_hp&gt;='2019'!Maxi_hp</f>
        <v>0</v>
      </c>
      <c r="I73" s="380">
        <f>IF(H73,Wh_hp,'2019'!Maxi_hp)</f>
        <v>33.212696402248028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1.3704001356694029E-2</v>
      </c>
      <c r="M73" s="845"/>
      <c r="N73" s="845"/>
      <c r="O73" s="48">
        <f>IF(t&lt;Tnet,'2019'!Resal+('2019'!Salim-'2019'!Resal)*(1-EXP(('2019'!Tnet-t)/('2019'!Tau_j))),Resal+(Salim-Resal)*(1-EXP((Tnet-t)/(Tau_j))))*Salcycl</f>
        <v>3.0635020173530838E-2</v>
      </c>
      <c r="P73" s="169">
        <f>(INDEX(Models!$BJ73:$BT73,,T73)*(1-R73)+INDEX(Models!$BJ73:$BT73,,T73+1)*R73-ERP_i)*Q73*Ramure*Pc/MaxiM</f>
        <v>4.2835354614729453E-5</v>
      </c>
      <c r="Q73" s="305">
        <f t="shared" si="2"/>
        <v>0.5</v>
      </c>
      <c r="R73" s="177">
        <f t="shared" si="3"/>
        <v>4.1528668025688775E-3</v>
      </c>
      <c r="S73" s="811">
        <f t="shared" si="4"/>
        <v>-1</v>
      </c>
      <c r="T73" s="176">
        <f t="shared" si="5"/>
        <v>5</v>
      </c>
      <c r="U73" s="251">
        <f t="shared" si="20"/>
        <v>-0.99584713319743112</v>
      </c>
      <c r="V73" s="383">
        <f t="shared" si="6"/>
        <v>41.712790558390694</v>
      </c>
      <c r="W73" s="402"/>
      <c r="X73" s="157">
        <f t="shared" si="7"/>
        <v>43889</v>
      </c>
      <c r="Y73" s="385">
        <f t="shared" si="8"/>
        <v>17.643000000000001</v>
      </c>
      <c r="Z73" s="385">
        <f t="shared" si="9"/>
        <v>17.888139082251911</v>
      </c>
      <c r="AA73" s="386">
        <f t="shared" si="10"/>
        <v>18.453461239598479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3.0635020173530838E-2</v>
      </c>
      <c r="AD73" s="231">
        <f>(INDEX(Models!$BJ73:$BT73,,AH73)*(1-AF73)+INDEX(Models!$BJ73:$BT73,,AH73+1)*AF73-ERP_i)*AE73*Ramure*Pc/MaxiM</f>
        <v>4.2835354614729453E-5</v>
      </c>
      <c r="AE73" s="305">
        <f t="shared" si="12"/>
        <v>0.5</v>
      </c>
      <c r="AF73" s="177">
        <f t="shared" si="21"/>
        <v>4.1528668025688775E-3</v>
      </c>
      <c r="AG73" s="811">
        <f t="shared" si="22"/>
        <v>-1</v>
      </c>
      <c r="AH73" s="176">
        <f t="shared" si="13"/>
        <v>5</v>
      </c>
      <c r="AI73" s="225">
        <f t="shared" si="23"/>
        <v>-0.99584713319743112</v>
      </c>
      <c r="AJ73" s="265" t="b">
        <f t="shared" si="14"/>
        <v>1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7">
        <v>15.747999999999999</v>
      </c>
      <c r="C74" s="390"/>
      <c r="D74" s="393">
        <f t="shared" si="0"/>
        <v>15.967158896349128</v>
      </c>
      <c r="E74" s="385">
        <f t="shared" si="17"/>
        <v>16.472389634475377</v>
      </c>
      <c r="F74" s="385">
        <f t="shared" si="1"/>
        <v>16.472459704841341</v>
      </c>
      <c r="G74" s="110">
        <f t="shared" si="18"/>
        <v>0.37438225551780974</v>
      </c>
      <c r="H74" s="414" t="b">
        <f>Wh_hp&gt;='2019'!Maxi_hp</f>
        <v>1</v>
      </c>
      <c r="I74" s="380">
        <f>IF(H74,Wh_hp,'2019'!Maxi_hp)</f>
        <v>16.472459704841341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1.3725603770326278E-2</v>
      </c>
      <c r="M74" s="845"/>
      <c r="N74" s="845"/>
      <c r="O74" s="48">
        <f>IF(t&lt;Tnet,'2019'!Resal+('2019'!Salim-'2019'!Resal)*(1-EXP(('2019'!Tnet-t)/('2019'!Tau_j))),Resal+(Salim-Resal)*(1-EXP((Tnet-t)/(Tau_j))))*Salcycl</f>
        <v>3.0671368838243153E-2</v>
      </c>
      <c r="P74" s="169">
        <f>(INDEX(Models!$BJ74:$BT74,,T74)*(1-R74)+INDEX(Models!$BJ74:$BT74,,T74+1)*R74-ERP_i)*Q74*Ramure*Pc/MaxiM</f>
        <v>4.002454845598282E-5</v>
      </c>
      <c r="Q74" s="305">
        <f t="shared" si="2"/>
        <v>0.5</v>
      </c>
      <c r="R74" s="177">
        <f t="shared" si="3"/>
        <v>4.4609712476276764E-3</v>
      </c>
      <c r="S74" s="811">
        <f t="shared" si="4"/>
        <v>-1</v>
      </c>
      <c r="T74" s="176">
        <f t="shared" si="5"/>
        <v>5</v>
      </c>
      <c r="U74" s="251">
        <f t="shared" si="20"/>
        <v>-0.99553902875237232</v>
      </c>
      <c r="V74" s="383">
        <f t="shared" si="6"/>
        <v>42.062454744019981</v>
      </c>
      <c r="W74" s="402"/>
      <c r="X74" s="157">
        <f t="shared" si="7"/>
        <v>43890</v>
      </c>
      <c r="Y74" s="385">
        <f t="shared" si="8"/>
        <v>15.748000000000001</v>
      </c>
      <c r="Z74" s="385">
        <f t="shared" si="9"/>
        <v>15.96715889634913</v>
      </c>
      <c r="AA74" s="386">
        <f t="shared" si="10"/>
        <v>16.472389634475377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3.0671368838243153E-2</v>
      </c>
      <c r="AD74" s="231">
        <f>(INDEX(Models!$BJ74:$BT74,,AH74)*(1-AF74)+INDEX(Models!$BJ74:$BT74,,AH74+1)*AF74-ERP_i)*AE74*Ramure*Pc/MaxiM</f>
        <v>4.002454845598282E-5</v>
      </c>
      <c r="AE74" s="305">
        <f t="shared" si="12"/>
        <v>0.5</v>
      </c>
      <c r="AF74" s="177">
        <f t="shared" si="21"/>
        <v>4.4609712476276764E-3</v>
      </c>
      <c r="AG74" s="811">
        <f t="shared" si="22"/>
        <v>-1</v>
      </c>
      <c r="AH74" s="176">
        <f t="shared" si="13"/>
        <v>5</v>
      </c>
      <c r="AI74" s="225">
        <f t="shared" si="23"/>
        <v>-0.99553902875237232</v>
      </c>
      <c r="AJ74" s="265" t="b">
        <f t="shared" si="14"/>
        <v>1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7">
        <v>27.87</v>
      </c>
      <c r="C75" s="390"/>
      <c r="D75" s="393">
        <f t="shared" si="0"/>
        <v>28.258475069859156</v>
      </c>
      <c r="E75" s="385">
        <f t="shared" si="17"/>
        <v>29.153718234384236</v>
      </c>
      <c r="F75" s="385">
        <f t="shared" si="1"/>
        <v>29.154269715170336</v>
      </c>
      <c r="G75" s="110">
        <f t="shared" si="18"/>
        <v>0.65711524866567161</v>
      </c>
      <c r="H75" s="414" t="b">
        <f>Wh_hp&gt;='2019'!Maxi_hp</f>
        <v>1</v>
      </c>
      <c r="I75" s="380">
        <f>IF(H75,Wh_hp,'2019'!Maxi_hp)</f>
        <v>29.154269715170336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1.3747205710810229E-2</v>
      </c>
      <c r="M75" s="845"/>
      <c r="N75" s="845"/>
      <c r="O75" s="48">
        <f>IF(t&lt;Tnet,'2019'!Resal+('2019'!Salim-'2019'!Resal)*(1-EXP(('2019'!Tnet-t)/('2019'!Tau_j))),Resal+(Salim-Resal)*(1-EXP((Tnet-t)/(Tau_j))))*Salcycl</f>
        <v>3.0707683916256629E-2</v>
      </c>
      <c r="P75" s="169">
        <f>(INDEX(Models!$BJ75:$BT75,,T75)*(1-R75)+INDEX(Models!$BJ75:$BT75,,T75+1)*R75-ERP_i)*Q75*Ramure*Pc/MaxiM</f>
        <v>3.7076894457874577E-5</v>
      </c>
      <c r="Q75" s="305">
        <f t="shared" si="2"/>
        <v>0.5</v>
      </c>
      <c r="R75" s="177">
        <f t="shared" si="3"/>
        <v>4.78159221688923E-3</v>
      </c>
      <c r="S75" s="811">
        <f t="shared" si="4"/>
        <v>-1</v>
      </c>
      <c r="T75" s="176">
        <f t="shared" si="5"/>
        <v>5</v>
      </c>
      <c r="U75" s="251">
        <f t="shared" si="20"/>
        <v>-0.99521840778311077</v>
      </c>
      <c r="V75" s="383">
        <f t="shared" si="6"/>
        <v>42.411881175439746</v>
      </c>
      <c r="W75" s="402"/>
      <c r="X75" s="157">
        <f t="shared" si="7"/>
        <v>43891</v>
      </c>
      <c r="Y75" s="385">
        <f t="shared" si="8"/>
        <v>27.87</v>
      </c>
      <c r="Z75" s="385">
        <f t="shared" si="9"/>
        <v>28.258475069859156</v>
      </c>
      <c r="AA75" s="386">
        <f t="shared" si="10"/>
        <v>29.153718234384236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3.0707683916256629E-2</v>
      </c>
      <c r="AD75" s="231">
        <f>(INDEX(Models!$BJ75:$BT75,,AH75)*(1-AF75)+INDEX(Models!$BJ75:$BT75,,AH75+1)*AF75-ERP_i)*AE75*Ramure*Pc/MaxiM</f>
        <v>3.7076894457874577E-5</v>
      </c>
      <c r="AE75" s="305">
        <f t="shared" si="12"/>
        <v>0.5</v>
      </c>
      <c r="AF75" s="177">
        <f t="shared" si="21"/>
        <v>4.78159221688923E-3</v>
      </c>
      <c r="AG75" s="811">
        <f t="shared" si="22"/>
        <v>-1</v>
      </c>
      <c r="AH75" s="176">
        <f t="shared" si="13"/>
        <v>5</v>
      </c>
      <c r="AI75" s="225">
        <f t="shared" si="23"/>
        <v>-0.99521840778311077</v>
      </c>
      <c r="AJ75" s="265" t="b">
        <f t="shared" si="14"/>
        <v>1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7">
        <v>22.599</v>
      </c>
      <c r="C76" s="390"/>
      <c r="D76" s="393">
        <f t="shared" si="0"/>
        <v>22.914505406525265</v>
      </c>
      <c r="E76" s="385">
        <f t="shared" si="17"/>
        <v>23.641333841713184</v>
      </c>
      <c r="F76" s="385">
        <f t="shared" si="1"/>
        <v>23.641596188881561</v>
      </c>
      <c r="G76" s="110">
        <f t="shared" si="18"/>
        <v>0.52848643245988758</v>
      </c>
      <c r="H76" s="414" t="b">
        <f>Wh_hp&gt;='2019'!Maxi_hp</f>
        <v>0</v>
      </c>
      <c r="I76" s="380">
        <f>IF(H76,Wh_hp,'2019'!Maxi_hp)</f>
        <v>39.010447727103518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1.3768807178156206E-2</v>
      </c>
      <c r="M76" s="845"/>
      <c r="N76" s="845"/>
      <c r="O76" s="48">
        <f>IF(t&lt;Tnet,'2019'!Resal+('2019'!Salim-'2019'!Resal)*(1-EXP(('2019'!Tnet-t)/('2019'!Tau_j))),Resal+(Salim-Resal)*(1-EXP((Tnet-t)/(Tau_j))))*Salcycl</f>
        <v>3.0743969018596218E-2</v>
      </c>
      <c r="P76" s="169">
        <f>(INDEX(Models!$BJ76:$BT76,,T76)*(1-R76)+INDEX(Models!$BJ76:$BT76,,T76+1)*R76-ERP_i)*Q76*Ramure*Pc/MaxiM</f>
        <v>3.3994934405645259E-5</v>
      </c>
      <c r="Q76" s="305">
        <f t="shared" si="2"/>
        <v>0.5</v>
      </c>
      <c r="R76" s="177">
        <f t="shared" si="3"/>
        <v>5.1152206267470746E-3</v>
      </c>
      <c r="S76" s="811">
        <f t="shared" si="4"/>
        <v>-1</v>
      </c>
      <c r="T76" s="176">
        <f t="shared" si="5"/>
        <v>5</v>
      </c>
      <c r="U76" s="251">
        <f t="shared" si="20"/>
        <v>-0.99488477937325293</v>
      </c>
      <c r="V76" s="383">
        <f t="shared" si="6"/>
        <v>42.7607619275799</v>
      </c>
      <c r="W76" s="402"/>
      <c r="X76" s="157">
        <f t="shared" si="7"/>
        <v>43892</v>
      </c>
      <c r="Y76" s="385">
        <f t="shared" si="8"/>
        <v>22.599</v>
      </c>
      <c r="Z76" s="385">
        <f t="shared" si="9"/>
        <v>22.914505406525265</v>
      </c>
      <c r="AA76" s="386">
        <f t="shared" si="10"/>
        <v>23.641333841713184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3.0743969018596218E-2</v>
      </c>
      <c r="AD76" s="231">
        <f>(INDEX(Models!$BJ76:$BT76,,AH76)*(1-AF76)+INDEX(Models!$BJ76:$BT76,,AH76+1)*AF76-ERP_i)*AE76*Ramure*Pc/MaxiM</f>
        <v>3.3994934405645259E-5</v>
      </c>
      <c r="AE76" s="305">
        <f t="shared" si="12"/>
        <v>0.5</v>
      </c>
      <c r="AF76" s="177">
        <f t="shared" si="21"/>
        <v>5.1152206267470746E-3</v>
      </c>
      <c r="AG76" s="811">
        <f t="shared" si="22"/>
        <v>-1</v>
      </c>
      <c r="AH76" s="176">
        <f t="shared" si="13"/>
        <v>5</v>
      </c>
      <c r="AI76" s="225">
        <f t="shared" si="23"/>
        <v>-0.99488477937325293</v>
      </c>
      <c r="AJ76" s="265" t="b">
        <f t="shared" si="14"/>
        <v>1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7">
        <v>5.3129999999999997</v>
      </c>
      <c r="C77" s="390"/>
      <c r="D77" s="393">
        <f t="shared" si="0"/>
        <v>5.387292968986487</v>
      </c>
      <c r="E77" s="385">
        <f t="shared" si="17"/>
        <v>5.5583812121372596</v>
      </c>
      <c r="F77" s="385">
        <f t="shared" si="1"/>
        <v>5.5583812121372596</v>
      </c>
      <c r="G77" s="110">
        <f t="shared" si="18"/>
        <v>0.12324253520907597</v>
      </c>
      <c r="H77" s="414" t="b">
        <f>Wh_hp&gt;='2019'!Maxi_hp</f>
        <v>0</v>
      </c>
      <c r="I77" s="380">
        <f>IF(H77,Wh_hp,'2019'!Maxi_hp)</f>
        <v>13.525551504920069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1.3790408172374646E-2</v>
      </c>
      <c r="M77" s="845"/>
      <c r="N77" s="845"/>
      <c r="O77" s="48">
        <f>IF(t&lt;Tnet,'2019'!Resal+('2019'!Salim-'2019'!Resal)*(1-EXP(('2019'!Tnet-t)/('2019'!Tau_j))),Resal+(Salim-Resal)*(1-EXP((Tnet-t)/(Tau_j))))*Salcycl</f>
        <v>3.0780228383253935E-2</v>
      </c>
      <c r="P77" s="169">
        <f>(INDEX(Models!$BJ77:$BT77,,T77)*(1-R77)+INDEX(Models!$BJ77:$BT77,,T77+1)*R77-ERP_i)*Q77*Ramure*Pc/MaxiM</f>
        <v>3.0780941779426973E-5</v>
      </c>
      <c r="Q77" s="305">
        <f t="shared" si="2"/>
        <v>0.5</v>
      </c>
      <c r="R77" s="177">
        <f t="shared" si="3"/>
        <v>5.4623651718453958E-3</v>
      </c>
      <c r="S77" s="811">
        <f t="shared" si="4"/>
        <v>-1</v>
      </c>
      <c r="T77" s="176">
        <f t="shared" si="5"/>
        <v>5</v>
      </c>
      <c r="U77" s="251">
        <f t="shared" si="20"/>
        <v>-0.9945376348281546</v>
      </c>
      <c r="V77" s="383">
        <f t="shared" si="6"/>
        <v>43.108789119302948</v>
      </c>
      <c r="W77" s="402"/>
      <c r="X77" s="157">
        <f t="shared" si="7"/>
        <v>43893</v>
      </c>
      <c r="Y77" s="385">
        <f t="shared" si="8"/>
        <v>5.3129999999999997</v>
      </c>
      <c r="Z77" s="385">
        <f t="shared" si="9"/>
        <v>5.387292968986487</v>
      </c>
      <c r="AA77" s="386">
        <f t="shared" si="10"/>
        <v>5.5583812121372596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3.0780228383253935E-2</v>
      </c>
      <c r="AD77" s="231">
        <f>(INDEX(Models!$BJ77:$BT77,,AH77)*(1-AF77)+INDEX(Models!$BJ77:$BT77,,AH77+1)*AF77-ERP_i)*AE77*Ramure*Pc/MaxiM</f>
        <v>3.0780941779426973E-5</v>
      </c>
      <c r="AE77" s="305">
        <f t="shared" si="12"/>
        <v>0.5</v>
      </c>
      <c r="AF77" s="177">
        <f t="shared" si="21"/>
        <v>5.4623651718453958E-3</v>
      </c>
      <c r="AG77" s="811">
        <f t="shared" si="22"/>
        <v>-1</v>
      </c>
      <c r="AH77" s="176">
        <f t="shared" si="13"/>
        <v>5</v>
      </c>
      <c r="AI77" s="225">
        <f t="shared" si="23"/>
        <v>-0.9945376348281546</v>
      </c>
      <c r="AJ77" s="265" t="b">
        <f t="shared" si="14"/>
        <v>1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7">
        <v>8.82</v>
      </c>
      <c r="C78" s="390"/>
      <c r="D78" s="393">
        <f t="shared" si="0"/>
        <v>8.9435280876976258</v>
      </c>
      <c r="E78" s="385">
        <f t="shared" si="17"/>
        <v>9.2278993421087829</v>
      </c>
      <c r="F78" s="385">
        <f t="shared" si="1"/>
        <v>9.2278993421087829</v>
      </c>
      <c r="G78" s="110">
        <f t="shared" si="18"/>
        <v>0.20295996054484486</v>
      </c>
      <c r="H78" s="414" t="b">
        <f>Wh_hp&gt;='2019'!Maxi_hp</f>
        <v>0</v>
      </c>
      <c r="I78" s="380">
        <f>IF(H78,Wh_hp,'2019'!Maxi_hp)</f>
        <v>44.531611979407565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1.3812008693475875E-2</v>
      </c>
      <c r="M78" s="845"/>
      <c r="N78" s="845"/>
      <c r="O78" s="48">
        <f>IF(t&lt;Tnet,'2019'!Resal+('2019'!Salim-'2019'!Resal)*(1-EXP(('2019'!Tnet-t)/('2019'!Tau_j))),Resal+(Salim-Resal)*(1-EXP((Tnet-t)/(Tau_j))))*Salcycl</f>
        <v>3.0816466875999884E-2</v>
      </c>
      <c r="P78" s="169">
        <f>(INDEX(Models!$BJ78:$BT78,,T78)*(1-R78)+INDEX(Models!$BJ78:$BT78,,T78+1)*R78-ERP_i)*Q78*Ramure*Pc/MaxiM</f>
        <v>2.7436911671446851E-5</v>
      </c>
      <c r="Q78" s="305">
        <f t="shared" si="2"/>
        <v>0.5</v>
      </c>
      <c r="R78" s="177">
        <f t="shared" si="3"/>
        <v>5.8235528437410311E-3</v>
      </c>
      <c r="S78" s="811">
        <f t="shared" si="4"/>
        <v>-1</v>
      </c>
      <c r="T78" s="176">
        <f t="shared" si="5"/>
        <v>5</v>
      </c>
      <c r="U78" s="251">
        <f t="shared" si="20"/>
        <v>-0.99417644715625897</v>
      </c>
      <c r="V78" s="383">
        <f t="shared" si="6"/>
        <v>43.455654912242146</v>
      </c>
      <c r="W78" s="402"/>
      <c r="X78" s="157">
        <f t="shared" si="7"/>
        <v>43894</v>
      </c>
      <c r="Y78" s="385">
        <f t="shared" si="8"/>
        <v>8.82</v>
      </c>
      <c r="Z78" s="385">
        <f t="shared" si="9"/>
        <v>8.9435280876976258</v>
      </c>
      <c r="AA78" s="386">
        <f t="shared" si="10"/>
        <v>9.2278993421087829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3.0816466875999884E-2</v>
      </c>
      <c r="AD78" s="231">
        <f>(INDEX(Models!$BJ78:$BT78,,AH78)*(1-AF78)+INDEX(Models!$BJ78:$BT78,,AH78+1)*AF78-ERP_i)*AE78*Ramure*Pc/MaxiM</f>
        <v>2.7436911671446851E-5</v>
      </c>
      <c r="AE78" s="305">
        <f t="shared" si="12"/>
        <v>0.5</v>
      </c>
      <c r="AF78" s="177">
        <f t="shared" si="21"/>
        <v>5.8235528437410311E-3</v>
      </c>
      <c r="AG78" s="811">
        <f t="shared" si="22"/>
        <v>-1</v>
      </c>
      <c r="AH78" s="176">
        <f t="shared" si="13"/>
        <v>5</v>
      </c>
      <c r="AI78" s="225">
        <f t="shared" si="23"/>
        <v>-0.99417644715625897</v>
      </c>
      <c r="AJ78" s="265" t="b">
        <f t="shared" si="14"/>
        <v>1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7">
        <v>10.891999999999999</v>
      </c>
      <c r="C79" s="390"/>
      <c r="D79" s="393">
        <f t="shared" ref="D79:D142" si="24">Wh/(1-Ppv)</f>
        <v>11.044789293721319</v>
      </c>
      <c r="E79" s="385">
        <f t="shared" si="17"/>
        <v>11.396398854550281</v>
      </c>
      <c r="F79" s="385">
        <f t="shared" ref="F79:F142" si="25">Wh_sa/(1-Pvg*MEDIAN((-Sdif+Wh/Env_an)/Csdif,0,1))</f>
        <v>11.396398854550281</v>
      </c>
      <c r="G79" s="110">
        <f t="shared" si="18"/>
        <v>0.24865697709494544</v>
      </c>
      <c r="H79" s="414" t="b">
        <f>Wh_hp&gt;='2019'!Maxi_hp</f>
        <v>0</v>
      </c>
      <c r="I79" s="380">
        <f>IF(H79,Wh_hp,'2019'!Maxi_hp)</f>
        <v>23.382336400970807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1.3833608741470216E-2</v>
      </c>
      <c r="M79" s="845"/>
      <c r="N79" s="845"/>
      <c r="O79" s="48">
        <f>IF(t&lt;Tnet,'2019'!Resal+('2019'!Salim-'2019'!Resal)*(1-EXP(('2019'!Tnet-t)/('2019'!Tau_j))),Resal+(Salim-Resal)*(1-EXP((Tnet-t)/(Tau_j))))*Salcycl</f>
        <v>3.0852689987115753E-2</v>
      </c>
      <c r="P79" s="169">
        <f>(INDEX(Models!$BJ79:$BT79,,T79)*(1-R79)+INDEX(Models!$BJ79:$BT79,,T79+1)*R79-ERP_i)*Q79*Ramure*Pc/MaxiM</f>
        <v>2.396388605016076E-5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6.1993294536391019E-3</v>
      </c>
      <c r="S79" s="81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-0.9938006705463609</v>
      </c>
      <c r="V79" s="383">
        <f t="shared" ref="V79:V142" si="32">MaxiM*(1-Ppv)*(1-Pvg)*(1-Psa)</f>
        <v>43.802265726066139</v>
      </c>
      <c r="W79" s="402"/>
      <c r="X79" s="157">
        <f t="shared" ref="X79:X142" si="33">t</f>
        <v>43895</v>
      </c>
      <c r="Y79" s="385">
        <f t="shared" ref="Y79:Y142" si="34">Wh_pvt_s*(1-Ppv)</f>
        <v>10.891999999999999</v>
      </c>
      <c r="Z79" s="385">
        <f t="shared" ref="Z79:Z142" si="35">Wh_sa_s*(1-Psa_s)</f>
        <v>11.044789293721319</v>
      </c>
      <c r="AA79" s="386">
        <f t="shared" ref="AA79:AA142" si="36">Wh_hp*(1-Pvg_s*MEDIAN((-Sdif+Wh/Env_an)/Csdif,0,1))</f>
        <v>11.396398854550281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3.0852689987115753E-2</v>
      </c>
      <c r="AD79" s="231">
        <f>(INDEX(Models!$BJ79:$BT79,,AH79)*(1-AF79)+INDEX(Models!$BJ79:$BT79,,AH79+1)*AF79-ERP_i)*AE79*Ramure*Pc/MaxiM</f>
        <v>2.396388605016076E-5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6.1993294536391019E-3</v>
      </c>
      <c r="AG79" s="811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-0.9938006705463609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7">
        <v>20.998000000000001</v>
      </c>
      <c r="C80" s="390"/>
      <c r="D80" s="393">
        <f t="shared" si="24"/>
        <v>21.293019216935065</v>
      </c>
      <c r="E80" s="385">
        <f t="shared" ref="E80:E143" si="45">Wh_pvt/(1-Psa)</f>
        <v>21.971700975211636</v>
      </c>
      <c r="F80" s="385">
        <f t="shared" si="25"/>
        <v>21.971814199616897</v>
      </c>
      <c r="G80" s="110">
        <f t="shared" ref="G80:G143" si="46">+Wh_hp/MaxiM</f>
        <v>0.47560300567763752</v>
      </c>
      <c r="H80" s="414" t="b">
        <f>Wh_hp&gt;='2019'!Maxi_hp</f>
        <v>0</v>
      </c>
      <c r="I80" s="380">
        <f>IF(H80,Wh_hp,'2019'!Maxi_hp)</f>
        <v>42.685529835046331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1.3855208316368106E-2</v>
      </c>
      <c r="M80" s="845"/>
      <c r="N80" s="845"/>
      <c r="O80" s="48">
        <f>IF(t&lt;Tnet,'2019'!Resal+('2019'!Salim-'2019'!Resal)*(1-EXP(('2019'!Tnet-t)/('2019'!Tau_j))),Resal+(Salim-Resal)*(1-EXP((Tnet-t)/(Tau_j))))*Salcycl</f>
        <v>3.0888903824162487E-2</v>
      </c>
      <c r="P80" s="169">
        <f>(INDEX(Models!$BJ80:$BT80,,T80)*(1-R80)+INDEX(Models!$BJ80:$BT80,,T80+1)*R80-ERP_i)*Q80*Ramure*Pc/MaxiM</f>
        <v>2.054102566847967E-5</v>
      </c>
      <c r="Q80" s="305">
        <f t="shared" si="27"/>
        <v>0.5</v>
      </c>
      <c r="R80" s="177">
        <f t="shared" si="28"/>
        <v>6.5902601580747344E-3</v>
      </c>
      <c r="S80" s="811">
        <f t="shared" si="29"/>
        <v>-1</v>
      </c>
      <c r="T80" s="176">
        <f t="shared" si="30"/>
        <v>5</v>
      </c>
      <c r="U80" s="251">
        <f t="shared" si="31"/>
        <v>-0.99340973984192527</v>
      </c>
      <c r="V80" s="383">
        <f t="shared" si="32"/>
        <v>44.149588277180023</v>
      </c>
      <c r="W80" s="402"/>
      <c r="X80" s="157">
        <f t="shared" si="33"/>
        <v>43896</v>
      </c>
      <c r="Y80" s="385">
        <f t="shared" si="34"/>
        <v>20.998000000000001</v>
      </c>
      <c r="Z80" s="385">
        <f t="shared" si="35"/>
        <v>21.293019216935065</v>
      </c>
      <c r="AA80" s="386">
        <f t="shared" si="36"/>
        <v>21.971700975211636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3.0888903824162487E-2</v>
      </c>
      <c r="AD80" s="231">
        <f>(INDEX(Models!$BJ80:$BT80,,AH80)*(1-AF80)+INDEX(Models!$BJ80:$BT80,,AH80+1)*AF80-ERP_i)*AE80*Ramure*Pc/MaxiM</f>
        <v>2.054102566847967E-5</v>
      </c>
      <c r="AE80" s="305">
        <f t="shared" si="38"/>
        <v>0.5</v>
      </c>
      <c r="AF80" s="177">
        <f t="shared" si="39"/>
        <v>6.5902601580747344E-3</v>
      </c>
      <c r="AG80" s="811">
        <f t="shared" ref="AG80:AG143" si="47">INDEX(Echel_vg,AH80)</f>
        <v>-1</v>
      </c>
      <c r="AH80" s="176">
        <f t="shared" si="40"/>
        <v>5</v>
      </c>
      <c r="AI80" s="225">
        <f t="shared" si="41"/>
        <v>-0.99340973984192527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7">
        <v>28.364999999999998</v>
      </c>
      <c r="C81" s="390"/>
      <c r="D81" s="393">
        <f t="shared" si="24"/>
        <v>28.764154634408431</v>
      </c>
      <c r="E81" s="385">
        <f t="shared" si="45"/>
        <v>29.682076259157441</v>
      </c>
      <c r="F81" s="385">
        <f t="shared" si="25"/>
        <v>29.682326061230128</v>
      </c>
      <c r="G81" s="110">
        <f t="shared" si="46"/>
        <v>0.63744715335241209</v>
      </c>
      <c r="H81" s="414" t="b">
        <f>Wh_hp&gt;='2019'!Maxi_hp</f>
        <v>1</v>
      </c>
      <c r="I81" s="380">
        <f>IF(H81,Wh_hp,'2019'!Maxi_hp)</f>
        <v>29.682326061230128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1.3876807418179871E-2</v>
      </c>
      <c r="M81" s="845"/>
      <c r="N81" s="845"/>
      <c r="O81" s="48">
        <f>IF(t&lt;Tnet,'2019'!Resal+('2019'!Salim-'2019'!Resal)*(1-EXP(('2019'!Tnet-t)/('2019'!Tau_j))),Resal+(Salim-Resal)*(1-EXP((Tnet-t)/(Tau_j))))*Salcycl</f>
        <v>3.0925115100929469E-2</v>
      </c>
      <c r="P81" s="169">
        <f>(INDEX(Models!$BJ81:$BT81,,T81)*(1-R81)+INDEX(Models!$BJ81:$BT81,,T81+1)*R81-ERP_i)*Q81*Ramure*Pc/MaxiM</f>
        <v>1.7457536525531711E-5</v>
      </c>
      <c r="Q81" s="305">
        <f t="shared" si="27"/>
        <v>0.5</v>
      </c>
      <c r="R81" s="177">
        <f t="shared" si="28"/>
        <v>6.9969299862847611E-3</v>
      </c>
      <c r="S81" s="811">
        <f t="shared" si="29"/>
        <v>-1</v>
      </c>
      <c r="T81" s="176">
        <f t="shared" si="30"/>
        <v>5</v>
      </c>
      <c r="U81" s="251">
        <f t="shared" si="31"/>
        <v>-0.99300307001371524</v>
      </c>
      <c r="V81" s="383">
        <f t="shared" si="32"/>
        <v>44.49740402995841</v>
      </c>
      <c r="W81" s="402"/>
      <c r="X81" s="157">
        <f t="shared" si="33"/>
        <v>43897</v>
      </c>
      <c r="Y81" s="385">
        <f t="shared" si="34"/>
        <v>28.364999999999998</v>
      </c>
      <c r="Z81" s="385">
        <f t="shared" si="35"/>
        <v>28.764154634408431</v>
      </c>
      <c r="AA81" s="386">
        <f t="shared" si="36"/>
        <v>29.682076259157441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3.0925115100929469E-2</v>
      </c>
      <c r="AD81" s="231">
        <f>(INDEX(Models!$BJ81:$BT81,,AH81)*(1-AF81)+INDEX(Models!$BJ81:$BT81,,AH81+1)*AF81-ERP_i)*AE81*Ramure*Pc/MaxiM</f>
        <v>1.7457536525531711E-5</v>
      </c>
      <c r="AE81" s="305">
        <f t="shared" si="38"/>
        <v>0.5</v>
      </c>
      <c r="AF81" s="177">
        <f t="shared" si="39"/>
        <v>6.9969299862847611E-3</v>
      </c>
      <c r="AG81" s="811">
        <f t="shared" si="47"/>
        <v>-1</v>
      </c>
      <c r="AH81" s="176">
        <f t="shared" si="40"/>
        <v>5</v>
      </c>
      <c r="AI81" s="225">
        <f t="shared" si="41"/>
        <v>-0.99300307001371524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7">
        <v>33.612000000000002</v>
      </c>
      <c r="C82" s="390"/>
      <c r="D82" s="393">
        <f t="shared" si="24"/>
        <v>34.085737419058638</v>
      </c>
      <c r="E82" s="385">
        <f t="shared" si="45"/>
        <v>35.174795922799419</v>
      </c>
      <c r="F82" s="385">
        <f t="shared" si="25"/>
        <v>35.17512807204006</v>
      </c>
      <c r="G82" s="110">
        <f t="shared" si="46"/>
        <v>0.74950257160296352</v>
      </c>
      <c r="H82" s="414" t="b">
        <f>Wh_hp&gt;='2019'!Maxi_hp</f>
        <v>1</v>
      </c>
      <c r="I82" s="380">
        <f>IF(H82,Wh_hp,'2019'!Maxi_hp)</f>
        <v>35.17512807204006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1.3898406046915945E-2</v>
      </c>
      <c r="M82" s="845"/>
      <c r="N82" s="845"/>
      <c r="O82" s="48">
        <f>IF(t&lt;Tnet,'2019'!Resal+('2019'!Salim-'2019'!Resal)*(1-EXP(('2019'!Tnet-t)/('2019'!Tau_j))),Resal+(Salim-Resal)*(1-EXP((Tnet-t)/(Tau_j))))*Salcycl</f>
        <v>3.0961331122745198E-2</v>
      </c>
      <c r="P82" s="169">
        <f>(INDEX(Models!$BJ82:$BT82,,T82)*(1-R82)+INDEX(Models!$BJ82:$BT82,,T82+1)*R82-ERP_i)*Q82*Ramure*Pc/MaxiM</f>
        <v>1.4704817040194668E-5</v>
      </c>
      <c r="Q82" s="305">
        <f t="shared" si="27"/>
        <v>0.5</v>
      </c>
      <c r="R82" s="177">
        <f t="shared" si="28"/>
        <v>7.4199443678717447E-3</v>
      </c>
      <c r="S82" s="811">
        <f t="shared" si="29"/>
        <v>-1</v>
      </c>
      <c r="T82" s="176">
        <f t="shared" si="30"/>
        <v>5</v>
      </c>
      <c r="U82" s="251">
        <f t="shared" si="31"/>
        <v>-0.99258005563212826</v>
      </c>
      <c r="V82" s="383">
        <f t="shared" si="32"/>
        <v>44.845507410572232</v>
      </c>
      <c r="W82" s="402"/>
      <c r="X82" s="157">
        <f t="shared" si="33"/>
        <v>43898</v>
      </c>
      <c r="Y82" s="385">
        <f t="shared" si="34"/>
        <v>33.612000000000002</v>
      </c>
      <c r="Z82" s="385">
        <f t="shared" si="35"/>
        <v>34.085737419058638</v>
      </c>
      <c r="AA82" s="386">
        <f t="shared" si="36"/>
        <v>35.174795922799419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3.0961331122745198E-2</v>
      </c>
      <c r="AD82" s="231">
        <f>(INDEX(Models!$BJ82:$BT82,,AH82)*(1-AF82)+INDEX(Models!$BJ82:$BT82,,AH82+1)*AF82-ERP_i)*AE82*Ramure*Pc/MaxiM</f>
        <v>1.4704817040194668E-5</v>
      </c>
      <c r="AE82" s="305">
        <f t="shared" si="38"/>
        <v>0.5</v>
      </c>
      <c r="AF82" s="177">
        <f t="shared" si="39"/>
        <v>7.4199443678717447E-3</v>
      </c>
      <c r="AG82" s="811">
        <f t="shared" si="47"/>
        <v>-1</v>
      </c>
      <c r="AH82" s="176">
        <f t="shared" si="40"/>
        <v>5</v>
      </c>
      <c r="AI82" s="225">
        <f t="shared" si="41"/>
        <v>-0.99258005563212826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7">
        <v>26.478999999999999</v>
      </c>
      <c r="C83" s="390"/>
      <c r="D83" s="393">
        <f t="shared" si="24"/>
        <v>26.852790963056929</v>
      </c>
      <c r="E83" s="385">
        <f t="shared" si="45"/>
        <v>27.711788792438671</v>
      </c>
      <c r="F83" s="385">
        <f t="shared" si="25"/>
        <v>27.71192771833163</v>
      </c>
      <c r="G83" s="110">
        <f t="shared" si="46"/>
        <v>0.58589608538087146</v>
      </c>
      <c r="H83" s="414" t="b">
        <f>Wh_hp&gt;='2019'!Maxi_hp</f>
        <v>1</v>
      </c>
      <c r="I83" s="380">
        <f>IF(H83,Wh_hp,'2019'!Maxi_hp)</f>
        <v>27.71192771833163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1.3920004202586544E-2</v>
      </c>
      <c r="M83" s="845"/>
      <c r="N83" s="845"/>
      <c r="O83" s="48">
        <f>IF(t&lt;Tnet,'2019'!Resal+('2019'!Salim-'2019'!Resal)*(1-EXP(('2019'!Tnet-t)/('2019'!Tau_j))),Resal+(Salim-Resal)*(1-EXP((Tnet-t)/(Tau_j))))*Salcycl</f>
        <v>3.0997559768358419E-2</v>
      </c>
      <c r="P83" s="169">
        <f>(INDEX(Models!$BJ83:$BT83,,T83)*(1-R83)+INDEX(Models!$BJ83:$BT83,,T83+1)*R83-ERP_i)*Q83*Ramure*Pc/MaxiM</f>
        <v>1.2274387449629297E-5</v>
      </c>
      <c r="Q83" s="305">
        <f t="shared" si="27"/>
        <v>0.5</v>
      </c>
      <c r="R83" s="177">
        <f t="shared" si="28"/>
        <v>7.8599296592084533E-3</v>
      </c>
      <c r="S83" s="811">
        <f t="shared" si="29"/>
        <v>-1</v>
      </c>
      <c r="T83" s="176">
        <f t="shared" si="30"/>
        <v>5</v>
      </c>
      <c r="U83" s="251">
        <f t="shared" si="31"/>
        <v>-0.99214007034079155</v>
      </c>
      <c r="V83" s="383">
        <f t="shared" si="32"/>
        <v>45.193692859847729</v>
      </c>
      <c r="W83" s="402"/>
      <c r="X83" s="157">
        <f t="shared" si="33"/>
        <v>43899</v>
      </c>
      <c r="Y83" s="385">
        <f t="shared" si="34"/>
        <v>26.478999999999999</v>
      </c>
      <c r="Z83" s="385">
        <f t="shared" si="35"/>
        <v>26.852790963056929</v>
      </c>
      <c r="AA83" s="386">
        <f t="shared" si="36"/>
        <v>27.711788792438671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3.0997559768358419E-2</v>
      </c>
      <c r="AD83" s="231">
        <f>(INDEX(Models!$BJ83:$BT83,,AH83)*(1-AF83)+INDEX(Models!$BJ83:$BT83,,AH83+1)*AF83-ERP_i)*AE83*Ramure*Pc/MaxiM</f>
        <v>1.2274387449629297E-5</v>
      </c>
      <c r="AE83" s="305">
        <f t="shared" si="38"/>
        <v>0.5</v>
      </c>
      <c r="AF83" s="177">
        <f t="shared" si="39"/>
        <v>7.8599296592084533E-3</v>
      </c>
      <c r="AG83" s="811">
        <f t="shared" si="47"/>
        <v>-1</v>
      </c>
      <c r="AH83" s="176">
        <f t="shared" si="40"/>
        <v>5</v>
      </c>
      <c r="AI83" s="225">
        <f t="shared" si="41"/>
        <v>-0.99214007034079155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7">
        <v>32.143000000000001</v>
      </c>
      <c r="C84" s="390"/>
      <c r="D84" s="393">
        <f t="shared" si="24"/>
        <v>32.59746082123818</v>
      </c>
      <c r="E84" s="385">
        <f t="shared" si="45"/>
        <v>33.6414842331722</v>
      </c>
      <c r="F84" s="385">
        <f t="shared" si="25"/>
        <v>33.641682334307504</v>
      </c>
      <c r="G84" s="110">
        <f t="shared" si="46"/>
        <v>0.70578884997729874</v>
      </c>
      <c r="H84" s="414" t="b">
        <f>Wh_hp&gt;='2019'!Maxi_hp</f>
        <v>1</v>
      </c>
      <c r="I84" s="380">
        <f>IF(H84,Wh_hp,'2019'!Maxi_hp)</f>
        <v>33.641682334307504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1.3941601885202104E-2</v>
      </c>
      <c r="M84" s="845"/>
      <c r="N84" s="845"/>
      <c r="O84" s="48">
        <f>IF(t&lt;Tnet,'2019'!Resal+('2019'!Salim-'2019'!Resal)*(1-EXP(('2019'!Tnet-t)/('2019'!Tau_j))),Resal+(Salim-Resal)*(1-EXP((Tnet-t)/(Tau_j))))*Salcycl</f>
        <v>3.1033809468624989E-2</v>
      </c>
      <c r="P84" s="169">
        <f>(INDEX(Models!$BJ84:$BT84,,T84)*(1-R84)+INDEX(Models!$BJ84:$BT84,,T84+1)*R84-ERP_i)*Q84*Ramure*Pc/MaxiM</f>
        <v>1.0157900730893246E-5</v>
      </c>
      <c r="Q84" s="305">
        <f t="shared" si="27"/>
        <v>0.5</v>
      </c>
      <c r="R84" s="177">
        <f t="shared" si="28"/>
        <v>8.3175336668732669E-3</v>
      </c>
      <c r="S84" s="811">
        <f t="shared" si="29"/>
        <v>-1</v>
      </c>
      <c r="T84" s="176">
        <f t="shared" si="30"/>
        <v>5</v>
      </c>
      <c r="U84" s="251">
        <f t="shared" si="31"/>
        <v>-0.99168246633312673</v>
      </c>
      <c r="V84" s="383">
        <f t="shared" si="32"/>
        <v>45.541754833437651</v>
      </c>
      <c r="W84" s="402"/>
      <c r="X84" s="157">
        <f t="shared" si="33"/>
        <v>43900</v>
      </c>
      <c r="Y84" s="385">
        <f t="shared" si="34"/>
        <v>32.143000000000001</v>
      </c>
      <c r="Z84" s="385">
        <f t="shared" si="35"/>
        <v>32.59746082123818</v>
      </c>
      <c r="AA84" s="386">
        <f t="shared" si="36"/>
        <v>33.6414842331722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3.1033809468624989E-2</v>
      </c>
      <c r="AD84" s="231">
        <f>(INDEX(Models!$BJ84:$BT84,,AH84)*(1-AF84)+INDEX(Models!$BJ84:$BT84,,AH84+1)*AF84-ERP_i)*AE84*Ramure*Pc/MaxiM</f>
        <v>1.0157900730893246E-5</v>
      </c>
      <c r="AE84" s="305">
        <f t="shared" si="38"/>
        <v>0.5</v>
      </c>
      <c r="AF84" s="177">
        <f t="shared" si="39"/>
        <v>8.3175336668732669E-3</v>
      </c>
      <c r="AG84" s="811">
        <f t="shared" si="47"/>
        <v>-1</v>
      </c>
      <c r="AH84" s="176">
        <f t="shared" si="40"/>
        <v>5</v>
      </c>
      <c r="AI84" s="225">
        <f t="shared" si="41"/>
        <v>-0.99168246633312673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7">
        <v>39.067</v>
      </c>
      <c r="C85" s="390"/>
      <c r="D85" s="393">
        <f t="shared" si="24"/>
        <v>39.620225091127125</v>
      </c>
      <c r="E85" s="385">
        <f t="shared" si="45"/>
        <v>40.890702876216366</v>
      </c>
      <c r="F85" s="385">
        <f t="shared" si="25"/>
        <v>40.890971706205399</v>
      </c>
      <c r="G85" s="110">
        <f t="shared" si="46"/>
        <v>0.85132636277244667</v>
      </c>
      <c r="H85" s="414" t="b">
        <f>Wh_hp&gt;='2019'!Maxi_hp</f>
        <v>0</v>
      </c>
      <c r="I85" s="380">
        <f>IF(H85,Wh_hp,'2019'!Maxi_hp)</f>
        <v>42.294025676295831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1.3963199094772949E-2</v>
      </c>
      <c r="M85" s="845"/>
      <c r="N85" s="845"/>
      <c r="O85" s="48">
        <f>IF(t&lt;Tnet,'2019'!Resal+('2019'!Salim-'2019'!Resal)*(1-EXP(('2019'!Tnet-t)/('2019'!Tau_j))),Resal+(Salim-Resal)*(1-EXP((Tnet-t)/(Tau_j))))*Salcycl</f>
        <v>3.1070089182257628E-2</v>
      </c>
      <c r="P85" s="169">
        <f>(INDEX(Models!$BJ85:$BT85,,T85)*(1-R85)+INDEX(Models!$BJ85:$BT85,,T85+1)*R85-ERP_i)*Q85*Ramure*Pc/MaxiM</f>
        <v>8.3471530157943609E-6</v>
      </c>
      <c r="Q85" s="305">
        <f t="shared" si="27"/>
        <v>0.5</v>
      </c>
      <c r="R85" s="177">
        <f t="shared" si="28"/>
        <v>8.7934261662285795E-3</v>
      </c>
      <c r="S85" s="811">
        <f t="shared" si="29"/>
        <v>-1</v>
      </c>
      <c r="T85" s="176">
        <f t="shared" si="30"/>
        <v>5</v>
      </c>
      <c r="U85" s="251">
        <f t="shared" si="31"/>
        <v>-0.99120657383377142</v>
      </c>
      <c r="V85" s="383">
        <f t="shared" si="32"/>
        <v>45.889487801978028</v>
      </c>
      <c r="W85" s="402"/>
      <c r="X85" s="157">
        <f t="shared" si="33"/>
        <v>43901</v>
      </c>
      <c r="Y85" s="385">
        <f t="shared" si="34"/>
        <v>39.067</v>
      </c>
      <c r="Z85" s="385">
        <f t="shared" si="35"/>
        <v>39.620225091127125</v>
      </c>
      <c r="AA85" s="386">
        <f t="shared" si="36"/>
        <v>40.890702876216366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3.1070089182257628E-2</v>
      </c>
      <c r="AD85" s="231">
        <f>(INDEX(Models!$BJ85:$BT85,,AH85)*(1-AF85)+INDEX(Models!$BJ85:$BT85,,AH85+1)*AF85-ERP_i)*AE85*Ramure*Pc/MaxiM</f>
        <v>8.3471530157943609E-6</v>
      </c>
      <c r="AE85" s="305">
        <f t="shared" si="38"/>
        <v>0.5</v>
      </c>
      <c r="AF85" s="177">
        <f t="shared" si="39"/>
        <v>8.7934261662285795E-3</v>
      </c>
      <c r="AG85" s="811">
        <f t="shared" si="47"/>
        <v>-1</v>
      </c>
      <c r="AH85" s="176">
        <f t="shared" si="40"/>
        <v>5</v>
      </c>
      <c r="AI85" s="225">
        <f t="shared" si="41"/>
        <v>-0.99120657383377142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7">
        <v>15.865</v>
      </c>
      <c r="C86" s="390"/>
      <c r="D86" s="393">
        <f t="shared" si="24"/>
        <v>16.090015582848729</v>
      </c>
      <c r="E86" s="385">
        <f t="shared" si="45"/>
        <v>16.606586855179795</v>
      </c>
      <c r="F86" s="385">
        <f t="shared" si="25"/>
        <v>16.606593847365652</v>
      </c>
      <c r="G86" s="110">
        <f t="shared" si="46"/>
        <v>0.34312360039868256</v>
      </c>
      <c r="H86" s="414" t="b">
        <f>Wh_hp&gt;='2019'!Maxi_hp</f>
        <v>0</v>
      </c>
      <c r="I86" s="380">
        <f>IF(H86,Wh_hp,'2019'!Maxi_hp)</f>
        <v>28.187108214483022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1.3984795831309516E-2</v>
      </c>
      <c r="M86" s="845"/>
      <c r="N86" s="845"/>
      <c r="O86" s="48">
        <f>IF(t&lt;Tnet,'2019'!Resal+('2019'!Salim-'2019'!Resal)*(1-EXP(('2019'!Tnet-t)/('2019'!Tau_j))),Resal+(Salim-Resal)*(1-EXP((Tnet-t)/(Tau_j))))*Salcycl</f>
        <v>3.1106408368914266E-2</v>
      </c>
      <c r="P86" s="169">
        <f>(INDEX(Models!$BJ86:$BT86,,T86)*(1-R86)+INDEX(Models!$BJ86:$BT86,,T86+1)*R86-ERP_i)*Q86*Ramure*Pc/MaxiM</f>
        <v>6.8342878292343941E-6</v>
      </c>
      <c r="Q86" s="305">
        <f t="shared" si="27"/>
        <v>0.5</v>
      </c>
      <c r="R86" s="177">
        <f t="shared" si="28"/>
        <v>9.2882994130742969E-3</v>
      </c>
      <c r="S86" s="811">
        <f t="shared" si="29"/>
        <v>-1</v>
      </c>
      <c r="T86" s="176">
        <f t="shared" si="30"/>
        <v>5</v>
      </c>
      <c r="U86" s="251">
        <f t="shared" si="31"/>
        <v>-0.9907117005869257</v>
      </c>
      <c r="V86" s="383">
        <f t="shared" si="32"/>
        <v>46.236686242175338</v>
      </c>
      <c r="W86" s="402"/>
      <c r="X86" s="157">
        <f t="shared" si="33"/>
        <v>43902</v>
      </c>
      <c r="Y86" s="385">
        <f t="shared" si="34"/>
        <v>15.865</v>
      </c>
      <c r="Z86" s="385">
        <f t="shared" si="35"/>
        <v>16.090015582848729</v>
      </c>
      <c r="AA86" s="386">
        <f t="shared" si="36"/>
        <v>16.606586855179795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3.1106408368914266E-2</v>
      </c>
      <c r="AD86" s="231">
        <f>(INDEX(Models!$BJ86:$BT86,,AH86)*(1-AF86)+INDEX(Models!$BJ86:$BT86,,AH86+1)*AF86-ERP_i)*AE86*Ramure*Pc/MaxiM</f>
        <v>6.8342878292343941E-6</v>
      </c>
      <c r="AE86" s="305">
        <f t="shared" si="38"/>
        <v>0.5</v>
      </c>
      <c r="AF86" s="177">
        <f t="shared" si="39"/>
        <v>9.2882994130742969E-3</v>
      </c>
      <c r="AG86" s="811">
        <f t="shared" si="47"/>
        <v>-1</v>
      </c>
      <c r="AH86" s="176">
        <f t="shared" si="40"/>
        <v>5</v>
      </c>
      <c r="AI86" s="225">
        <f t="shared" si="41"/>
        <v>-0.9907117005869257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7">
        <v>39.337000000000003</v>
      </c>
      <c r="C87" s="390"/>
      <c r="D87" s="393">
        <f t="shared" si="24"/>
        <v>39.895796164008203</v>
      </c>
      <c r="E87" s="385">
        <f t="shared" si="45"/>
        <v>41.178199651361396</v>
      </c>
      <c r="F87" s="385">
        <f t="shared" si="25"/>
        <v>41.178376020580401</v>
      </c>
      <c r="G87" s="110">
        <f t="shared" si="46"/>
        <v>0.84444594793171224</v>
      </c>
      <c r="H87" s="414" t="b">
        <f>Wh_hp&gt;='2019'!Maxi_hp</f>
        <v>1</v>
      </c>
      <c r="I87" s="380">
        <f>IF(H87,Wh_hp,'2019'!Maxi_hp)</f>
        <v>41.178376020580401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1.4006392094822129E-2</v>
      </c>
      <c r="M87" s="845"/>
      <c r="N87" s="845"/>
      <c r="O87" s="48">
        <f>IF(t&lt;Tnet,'2019'!Resal+('2019'!Salim-'2019'!Resal)*(1-EXP(('2019'!Tnet-t)/('2019'!Tau_j))),Resal+(Salim-Resal)*(1-EXP((Tnet-t)/(Tau_j))))*Salcycl</f>
        <v>3.114277695991486E-2</v>
      </c>
      <c r="P87" s="169">
        <f>(INDEX(Models!$BJ87:$BT87,,T87)*(1-R87)+INDEX(Models!$BJ87:$BT87,,T87+1)*R87-ERP_i)*Q87*Ramure*Pc/MaxiM</f>
        <v>5.5067583951251579E-6</v>
      </c>
      <c r="Q87" s="305">
        <f t="shared" si="27"/>
        <v>0.5</v>
      </c>
      <c r="R87" s="177">
        <f t="shared" si="28"/>
        <v>9.8028686461120174E-3</v>
      </c>
      <c r="S87" s="811">
        <f t="shared" si="29"/>
        <v>-1</v>
      </c>
      <c r="T87" s="176">
        <f t="shared" si="30"/>
        <v>5</v>
      </c>
      <c r="U87" s="251">
        <f t="shared" si="31"/>
        <v>-0.99019713135388798</v>
      </c>
      <c r="V87" s="383">
        <f t="shared" si="32"/>
        <v>46.583149530519727</v>
      </c>
      <c r="W87" s="402"/>
      <c r="X87" s="157">
        <f t="shared" si="33"/>
        <v>43903</v>
      </c>
      <c r="Y87" s="385">
        <f t="shared" si="34"/>
        <v>39.337000000000003</v>
      </c>
      <c r="Z87" s="385">
        <f t="shared" si="35"/>
        <v>39.895796164008203</v>
      </c>
      <c r="AA87" s="386">
        <f t="shared" si="36"/>
        <v>41.178199651361396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3.114277695991486E-2</v>
      </c>
      <c r="AD87" s="231">
        <f>(INDEX(Models!$BJ87:$BT87,,AH87)*(1-AF87)+INDEX(Models!$BJ87:$BT87,,AH87+1)*AF87-ERP_i)*AE87*Ramure*Pc/MaxiM</f>
        <v>5.5067583951251579E-6</v>
      </c>
      <c r="AE87" s="305">
        <f t="shared" si="38"/>
        <v>0.5</v>
      </c>
      <c r="AF87" s="177">
        <f t="shared" si="39"/>
        <v>9.8028686461120174E-3</v>
      </c>
      <c r="AG87" s="811">
        <f t="shared" si="47"/>
        <v>-1</v>
      </c>
      <c r="AH87" s="176">
        <f t="shared" si="40"/>
        <v>5</v>
      </c>
      <c r="AI87" s="225">
        <f t="shared" si="41"/>
        <v>-0.99019713135388798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7">
        <v>30.021000000000001</v>
      </c>
      <c r="C88" s="390"/>
      <c r="D88" s="393">
        <f t="shared" si="24"/>
        <v>30.448125941842903</v>
      </c>
      <c r="E88" s="385">
        <f t="shared" si="45"/>
        <v>31.42802684382545</v>
      </c>
      <c r="F88" s="385">
        <f t="shared" si="25"/>
        <v>31.428093358036886</v>
      </c>
      <c r="G88" s="110">
        <f t="shared" si="46"/>
        <v>0.63971408676407893</v>
      </c>
      <c r="H88" s="414" t="b">
        <f>Wh_hp&gt;='2019'!Maxi_hp</f>
        <v>1</v>
      </c>
      <c r="I88" s="380">
        <f>IF(H88,Wh_hp,'2019'!Maxi_hp)</f>
        <v>31.428093358036886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1.4027987885321114E-2</v>
      </c>
      <c r="M88" s="845"/>
      <c r="N88" s="845"/>
      <c r="O88" s="48">
        <f>IF(t&lt;Tnet,'2019'!Resal+('2019'!Salim-'2019'!Resal)*(1-EXP(('2019'!Tnet-t)/('2019'!Tau_j))),Resal+(Salim-Resal)*(1-EXP((Tnet-t)/(Tau_j))))*Salcycl</f>
        <v>3.1179205326886873E-2</v>
      </c>
      <c r="P88" s="169">
        <f>(INDEX(Models!$BJ88:$BT88,,T88)*(1-R88)+INDEX(Models!$BJ88:$BT88,,T88+1)*R88-ERP_i)*Q88*Ramure*Pc/MaxiM</f>
        <v>4.3609294471760607E-6</v>
      </c>
      <c r="Q88" s="305">
        <f t="shared" si="27"/>
        <v>0.5</v>
      </c>
      <c r="R88" s="177">
        <f t="shared" si="28"/>
        <v>1.0337872577743545E-2</v>
      </c>
      <c r="S88" s="811">
        <f t="shared" si="29"/>
        <v>-1</v>
      </c>
      <c r="T88" s="176">
        <f t="shared" si="30"/>
        <v>5</v>
      </c>
      <c r="U88" s="251">
        <f t="shared" si="31"/>
        <v>-0.98966212742225645</v>
      </c>
      <c r="V88" s="383">
        <f t="shared" si="32"/>
        <v>46.928672101782503</v>
      </c>
      <c r="W88" s="402"/>
      <c r="X88" s="157">
        <f t="shared" si="33"/>
        <v>43904</v>
      </c>
      <c r="Y88" s="385">
        <f t="shared" si="34"/>
        <v>30.021000000000001</v>
      </c>
      <c r="Z88" s="385">
        <f t="shared" si="35"/>
        <v>30.448125941842903</v>
      </c>
      <c r="AA88" s="386">
        <f t="shared" si="36"/>
        <v>31.42802684382545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3.1179205326886873E-2</v>
      </c>
      <c r="AD88" s="231">
        <f>(INDEX(Models!$BJ88:$BT88,,AH88)*(1-AF88)+INDEX(Models!$BJ88:$BT88,,AH88+1)*AF88-ERP_i)*AE88*Ramure*Pc/MaxiM</f>
        <v>4.3609294471760607E-6</v>
      </c>
      <c r="AE88" s="305">
        <f t="shared" si="38"/>
        <v>0.5</v>
      </c>
      <c r="AF88" s="177">
        <f t="shared" si="39"/>
        <v>1.0337872577743545E-2</v>
      </c>
      <c r="AG88" s="811">
        <f t="shared" si="47"/>
        <v>-1</v>
      </c>
      <c r="AH88" s="176">
        <f t="shared" si="40"/>
        <v>5</v>
      </c>
      <c r="AI88" s="225">
        <f t="shared" si="41"/>
        <v>-0.98966212742225645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7">
        <v>48.228000000000002</v>
      </c>
      <c r="C89" s="390"/>
      <c r="D89" s="393">
        <f t="shared" si="24"/>
        <v>48.915238716229318</v>
      </c>
      <c r="E89" s="385">
        <f t="shared" si="45"/>
        <v>50.491362144028578</v>
      </c>
      <c r="F89" s="385">
        <f t="shared" si="25"/>
        <v>50.491533478793343</v>
      </c>
      <c r="G89" s="110">
        <f t="shared" si="46"/>
        <v>1.0202007619618298</v>
      </c>
      <c r="H89" s="414" t="b">
        <f>Wh_hp&gt;='2019'!Maxi_hp</f>
        <v>1</v>
      </c>
      <c r="I89" s="380">
        <f>IF(H89,Wh_hp,'2019'!Maxi_hp)</f>
        <v>50.491533478793343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1.4049583202816907E-2</v>
      </c>
      <c r="M89" s="845"/>
      <c r="N89" s="845"/>
      <c r="O89" s="48">
        <f>IF(t&lt;Tnet,'2019'!Resal+('2019'!Salim-'2019'!Resal)*(1-EXP(('2019'!Tnet-t)/('2019'!Tau_j))),Resal+(Salim-Resal)*(1-EXP((Tnet-t)/(Tau_j))))*Salcycl</f>
        <v>3.121570424864565E-2</v>
      </c>
      <c r="P89" s="169">
        <f>(INDEX(Models!$BJ89:$BT89,,T89)*(1-R89)+INDEX(Models!$BJ89:$BT89,,T89+1)*R89-ERP_i)*Q89*Ramure*Pc/MaxiM</f>
        <v>3.39333652517951E-6</v>
      </c>
      <c r="Q89" s="305">
        <f t="shared" si="27"/>
        <v>0.5</v>
      </c>
      <c r="R89" s="177">
        <f t="shared" si="28"/>
        <v>1.0894073870515442E-2</v>
      </c>
      <c r="S89" s="811">
        <f t="shared" si="29"/>
        <v>-1</v>
      </c>
      <c r="T89" s="176">
        <f t="shared" si="30"/>
        <v>5</v>
      </c>
      <c r="U89" s="251">
        <f t="shared" si="31"/>
        <v>-0.98910592612948456</v>
      </c>
      <c r="V89" s="383">
        <f t="shared" si="32"/>
        <v>47.27304840202072</v>
      </c>
      <c r="W89" s="402"/>
      <c r="X89" s="157">
        <f t="shared" si="33"/>
        <v>43905</v>
      </c>
      <c r="Y89" s="385">
        <f t="shared" si="34"/>
        <v>48.228000000000002</v>
      </c>
      <c r="Z89" s="385">
        <f t="shared" si="35"/>
        <v>48.915238716229318</v>
      </c>
      <c r="AA89" s="386">
        <f t="shared" si="36"/>
        <v>50.491362144028578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3.121570424864565E-2</v>
      </c>
      <c r="AD89" s="231">
        <f>(INDEX(Models!$BJ89:$BT89,,AH89)*(1-AF89)+INDEX(Models!$BJ89:$BT89,,AH89+1)*AF89-ERP_i)*AE89*Ramure*Pc/MaxiM</f>
        <v>3.39333652517951E-6</v>
      </c>
      <c r="AE89" s="305">
        <f t="shared" si="38"/>
        <v>0.5</v>
      </c>
      <c r="AF89" s="177">
        <f t="shared" si="39"/>
        <v>1.0894073870515442E-2</v>
      </c>
      <c r="AG89" s="811">
        <f t="shared" si="47"/>
        <v>-1</v>
      </c>
      <c r="AH89" s="176">
        <f t="shared" si="40"/>
        <v>5</v>
      </c>
      <c r="AI89" s="225">
        <f t="shared" si="41"/>
        <v>-0.98910592612948456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7">
        <v>9.157</v>
      </c>
      <c r="C90" s="390"/>
      <c r="D90" s="393">
        <f t="shared" si="24"/>
        <v>9.2876887216504276</v>
      </c>
      <c r="E90" s="385">
        <f t="shared" si="45"/>
        <v>9.5873141961088635</v>
      </c>
      <c r="F90" s="385">
        <f t="shared" si="25"/>
        <v>9.5873141961088635</v>
      </c>
      <c r="G90" s="110">
        <f t="shared" si="46"/>
        <v>0.19230851327882062</v>
      </c>
      <c r="H90" s="414" t="b">
        <f>Wh_hp&gt;='2019'!Maxi_hp</f>
        <v>0</v>
      </c>
      <c r="I90" s="380">
        <f>IF(H90,Wh_hp,'2019'!Maxi_hp)</f>
        <v>17.140469855495425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1.4071178047319832E-2</v>
      </c>
      <c r="M90" s="845"/>
      <c r="N90" s="845"/>
      <c r="O90" s="48">
        <f>IF(t&lt;Tnet,'2019'!Resal+('2019'!Salim-'2019'!Resal)*(1-EXP(('2019'!Tnet-t)/('2019'!Tau_j))),Resal+(Salim-Resal)*(1-EXP((Tnet-t)/(Tau_j))))*Salcycl</f>
        <v>3.1252284876617825E-2</v>
      </c>
      <c r="P90" s="169">
        <f>(INDEX(Models!$BJ90:$BT90,,T90)*(1-R90)+INDEX(Models!$BJ90:$BT90,,T90+1)*R90-ERP_i)*Q90*Ramure*Pc/MaxiM</f>
        <v>2.6006960965298498E-6</v>
      </c>
      <c r="Q90" s="305">
        <f t="shared" si="27"/>
        <v>0.5</v>
      </c>
      <c r="R90" s="177">
        <f t="shared" si="28"/>
        <v>1.1472259596279732E-2</v>
      </c>
      <c r="S90" s="811">
        <f t="shared" si="29"/>
        <v>-1</v>
      </c>
      <c r="T90" s="176">
        <f t="shared" si="30"/>
        <v>5</v>
      </c>
      <c r="U90" s="251">
        <f t="shared" si="31"/>
        <v>-0.98852774040372027</v>
      </c>
      <c r="V90" s="383">
        <f t="shared" si="32"/>
        <v>47.616072888824746</v>
      </c>
      <c r="W90" s="402"/>
      <c r="X90" s="157">
        <f t="shared" si="33"/>
        <v>43906</v>
      </c>
      <c r="Y90" s="385">
        <f t="shared" si="34"/>
        <v>9.157</v>
      </c>
      <c r="Z90" s="385">
        <f t="shared" si="35"/>
        <v>9.2876887216504276</v>
      </c>
      <c r="AA90" s="386">
        <f t="shared" si="36"/>
        <v>9.5873141961088635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3.1252284876617825E-2</v>
      </c>
      <c r="AD90" s="231">
        <f>(INDEX(Models!$BJ90:$BT90,,AH90)*(1-AF90)+INDEX(Models!$BJ90:$BT90,,AH90+1)*AF90-ERP_i)*AE90*Ramure*Pc/MaxiM</f>
        <v>2.6006960965298498E-6</v>
      </c>
      <c r="AE90" s="305">
        <f t="shared" si="38"/>
        <v>0.5</v>
      </c>
      <c r="AF90" s="177">
        <f t="shared" si="39"/>
        <v>1.1472259596279732E-2</v>
      </c>
      <c r="AG90" s="811">
        <f t="shared" si="47"/>
        <v>-1</v>
      </c>
      <c r="AH90" s="176">
        <f t="shared" si="40"/>
        <v>5</v>
      </c>
      <c r="AI90" s="225">
        <f t="shared" si="41"/>
        <v>-0.98852774040372027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7">
        <v>13.542</v>
      </c>
      <c r="C91" s="390"/>
      <c r="D91" s="393">
        <f t="shared" si="24"/>
        <v>13.735572294387328</v>
      </c>
      <c r="E91" s="385">
        <f t="shared" si="45"/>
        <v>14.179225495295039</v>
      </c>
      <c r="F91" s="385">
        <f t="shared" si="25"/>
        <v>14.179225495295039</v>
      </c>
      <c r="G91" s="110">
        <f t="shared" si="46"/>
        <v>0.28237422475232615</v>
      </c>
      <c r="H91" s="414" t="b">
        <f>Wh_hp&gt;='2019'!Maxi_hp</f>
        <v>0</v>
      </c>
      <c r="I91" s="380">
        <f>IF(H91,Wh_hp,'2019'!Maxi_hp)</f>
        <v>35.441978382349127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1.4092772418840216E-2</v>
      </c>
      <c r="M91" s="845"/>
      <c r="N91" s="845"/>
      <c r="O91" s="48">
        <f>IF(t&lt;Tnet,'2019'!Resal+('2019'!Salim-'2019'!Resal)*(1-EXP(('2019'!Tnet-t)/('2019'!Tau_j))),Resal+(Salim-Resal)*(1-EXP((Tnet-t)/(Tau_j))))*Salcycl</f>
        <v>3.1288958699114126E-2</v>
      </c>
      <c r="P91" s="169">
        <f>(INDEX(Models!$BJ91:$BT91,,T91)*(1-R91)+INDEX(Models!$BJ91:$BT91,,T91+1)*R91-ERP_i)*Q91*Ramure*Pc/MaxiM</f>
        <v>1.9799156940354613E-6</v>
      </c>
      <c r="Q91" s="305">
        <f t="shared" si="27"/>
        <v>0.5</v>
      </c>
      <c r="R91" s="177">
        <f t="shared" si="28"/>
        <v>1.20732416749052E-2</v>
      </c>
      <c r="S91" s="811">
        <f t="shared" si="29"/>
        <v>-1</v>
      </c>
      <c r="T91" s="176">
        <f t="shared" si="30"/>
        <v>5</v>
      </c>
      <c r="U91" s="251">
        <f t="shared" si="31"/>
        <v>-0.9879267583250948</v>
      </c>
      <c r="V91" s="383">
        <f t="shared" si="32"/>
        <v>47.957540033476853</v>
      </c>
      <c r="W91" s="402"/>
      <c r="X91" s="157">
        <f t="shared" si="33"/>
        <v>43907</v>
      </c>
      <c r="Y91" s="385">
        <f t="shared" si="34"/>
        <v>13.542</v>
      </c>
      <c r="Z91" s="385">
        <f t="shared" si="35"/>
        <v>13.735572294387328</v>
      </c>
      <c r="AA91" s="386">
        <f t="shared" si="36"/>
        <v>14.179225495295039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3.1288958699114126E-2</v>
      </c>
      <c r="AD91" s="231">
        <f>(INDEX(Models!$BJ91:$BT91,,AH91)*(1-AF91)+INDEX(Models!$BJ91:$BT91,,AH91+1)*AF91-ERP_i)*AE91*Ramure*Pc/MaxiM</f>
        <v>1.9799156940354613E-6</v>
      </c>
      <c r="AE91" s="305">
        <f t="shared" si="38"/>
        <v>0.5</v>
      </c>
      <c r="AF91" s="177">
        <f t="shared" si="39"/>
        <v>1.20732416749052E-2</v>
      </c>
      <c r="AG91" s="811">
        <f t="shared" si="47"/>
        <v>-1</v>
      </c>
      <c r="AH91" s="176">
        <f t="shared" si="40"/>
        <v>5</v>
      </c>
      <c r="AI91" s="225">
        <f t="shared" si="41"/>
        <v>-0.9879267583250948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7">
        <v>44.036000000000001</v>
      </c>
      <c r="C92" s="390"/>
      <c r="D92" s="393">
        <f t="shared" si="24"/>
        <v>44.666438474725368</v>
      </c>
      <c r="E92" s="385">
        <f t="shared" si="45"/>
        <v>46.11089630859729</v>
      </c>
      <c r="F92" s="385">
        <f t="shared" si="25"/>
        <v>46.110957889709681</v>
      </c>
      <c r="G92" s="110">
        <f t="shared" si="46"/>
        <v>0.91177027050023884</v>
      </c>
      <c r="H92" s="414" t="b">
        <f>Wh_hp&gt;='2019'!Maxi_hp</f>
        <v>1</v>
      </c>
      <c r="I92" s="380">
        <f>IF(H92,Wh_hp,'2019'!Maxi_hp)</f>
        <v>46.110957889709681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1.4114366317388383E-2</v>
      </c>
      <c r="M92" s="845"/>
      <c r="N92" s="845"/>
      <c r="O92" s="48">
        <f>IF(t&lt;Tnet,'2019'!Resal+('2019'!Salim-'2019'!Resal)*(1-EXP(('2019'!Tnet-t)/('2019'!Tau_j))),Resal+(Salim-Resal)*(1-EXP((Tnet-t)/(Tau_j))))*Salcycl</f>
        <v>3.1325737504751337E-2</v>
      </c>
      <c r="P92" s="169">
        <f>(INDEX(Models!$BJ92:$BT92,,T92)*(1-R92)+INDEX(Models!$BJ92:$BT92,,T92+1)*R92-ERP_i)*Q92*Ramure*Pc/MaxiM</f>
        <v>1.528104070656071E-6</v>
      </c>
      <c r="Q92" s="305">
        <f t="shared" si="27"/>
        <v>0.5</v>
      </c>
      <c r="R92" s="177">
        <f t="shared" si="28"/>
        <v>1.2697857289111769E-2</v>
      </c>
      <c r="S92" s="811">
        <f t="shared" si="29"/>
        <v>-1</v>
      </c>
      <c r="T92" s="176">
        <f t="shared" si="30"/>
        <v>5</v>
      </c>
      <c r="U92" s="251">
        <f t="shared" si="31"/>
        <v>-0.98730214271088823</v>
      </c>
      <c r="V92" s="383">
        <f t="shared" si="32"/>
        <v>48.297244320378013</v>
      </c>
      <c r="W92" s="402"/>
      <c r="X92" s="157">
        <f t="shared" si="33"/>
        <v>43908</v>
      </c>
      <c r="Y92" s="385">
        <f t="shared" si="34"/>
        <v>44.036000000000001</v>
      </c>
      <c r="Z92" s="385">
        <f t="shared" si="35"/>
        <v>44.666438474725368</v>
      </c>
      <c r="AA92" s="386">
        <f t="shared" si="36"/>
        <v>46.11089630859729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3.1325737504751337E-2</v>
      </c>
      <c r="AD92" s="231">
        <f>(INDEX(Models!$BJ92:$BT92,,AH92)*(1-AF92)+INDEX(Models!$BJ92:$BT92,,AH92+1)*AF92-ERP_i)*AE92*Ramure*Pc/MaxiM</f>
        <v>1.528104070656071E-6</v>
      </c>
      <c r="AE92" s="305">
        <f t="shared" si="38"/>
        <v>0.5</v>
      </c>
      <c r="AF92" s="177">
        <f t="shared" si="39"/>
        <v>1.2697857289111769E-2</v>
      </c>
      <c r="AG92" s="811">
        <f t="shared" si="47"/>
        <v>-1</v>
      </c>
      <c r="AH92" s="176">
        <f t="shared" si="40"/>
        <v>5</v>
      </c>
      <c r="AI92" s="225">
        <f t="shared" si="41"/>
        <v>-0.98730214271088823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7">
        <v>45.091999999999999</v>
      </c>
      <c r="C93" s="390"/>
      <c r="D93" s="393">
        <f t="shared" si="24"/>
        <v>45.738558420534375</v>
      </c>
      <c r="E93" s="385">
        <f t="shared" si="45"/>
        <v>47.219485841743229</v>
      </c>
      <c r="F93" s="385">
        <f t="shared" si="25"/>
        <v>47.21953840237591</v>
      </c>
      <c r="G93" s="110">
        <f t="shared" si="46"/>
        <v>0.92709936879726096</v>
      </c>
      <c r="H93" s="414" t="b">
        <f>Wh_hp&gt;='2019'!Maxi_hp</f>
        <v>0</v>
      </c>
      <c r="I93" s="380">
        <f>IF(H93,Wh_hp,'2019'!Maxi_hp)</f>
        <v>51.145293953169229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1.413595974297488E-2</v>
      </c>
      <c r="M93" s="845"/>
      <c r="N93" s="845"/>
      <c r="O93" s="48">
        <f>IF(t&lt;Tnet,'2019'!Resal+('2019'!Salim-'2019'!Resal)*(1-EXP(('2019'!Tnet-t)/('2019'!Tau_j))),Resal+(Salim-Resal)*(1-EXP((Tnet-t)/(Tau_j))))*Salcycl</f>
        <v>3.1362633345314347E-2</v>
      </c>
      <c r="P93" s="169">
        <f>(INDEX(Models!$BJ93:$BT93,,T93)*(1-R93)+INDEX(Models!$BJ93:$BT93,,T93+1)*R93-ERP_i)*Q93*Ramure*Pc/MaxiM</f>
        <v>1.2425115664939053E-6</v>
      </c>
      <c r="Q93" s="305">
        <f t="shared" si="27"/>
        <v>0.5</v>
      </c>
      <c r="R93" s="177">
        <f t="shared" si="28"/>
        <v>1.3346969271733178E-2</v>
      </c>
      <c r="S93" s="811">
        <f t="shared" si="29"/>
        <v>-1</v>
      </c>
      <c r="T93" s="176">
        <f t="shared" si="30"/>
        <v>5</v>
      </c>
      <c r="U93" s="251">
        <f t="shared" si="31"/>
        <v>-0.98665303072826682</v>
      </c>
      <c r="V93" s="383">
        <f t="shared" si="32"/>
        <v>48.637714232946436</v>
      </c>
      <c r="W93" s="402"/>
      <c r="X93" s="157">
        <f t="shared" si="33"/>
        <v>43909</v>
      </c>
      <c r="Y93" s="385">
        <f t="shared" si="34"/>
        <v>45.091999999999999</v>
      </c>
      <c r="Z93" s="385">
        <f t="shared" si="35"/>
        <v>45.738558420534375</v>
      </c>
      <c r="AA93" s="386">
        <f t="shared" si="36"/>
        <v>47.219485841743229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3.1362633345314347E-2</v>
      </c>
      <c r="AD93" s="231">
        <f>(INDEX(Models!$BJ93:$BT93,,AH93)*(1-AF93)+INDEX(Models!$BJ93:$BT93,,AH93+1)*AF93-ERP_i)*AE93*Ramure*Pc/MaxiM</f>
        <v>1.2425115664939053E-6</v>
      </c>
      <c r="AE93" s="305">
        <f t="shared" si="38"/>
        <v>0.5</v>
      </c>
      <c r="AF93" s="177">
        <f t="shared" si="39"/>
        <v>1.3346969271733178E-2</v>
      </c>
      <c r="AG93" s="811">
        <f t="shared" si="47"/>
        <v>-1</v>
      </c>
      <c r="AH93" s="176">
        <f t="shared" si="40"/>
        <v>5</v>
      </c>
      <c r="AI93" s="225">
        <f t="shared" si="41"/>
        <v>-0.98665303072826682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7">
        <v>48.923999999999999</v>
      </c>
      <c r="C94" s="390"/>
      <c r="D94" s="393">
        <f t="shared" si="24"/>
        <v>49.626591078294432</v>
      </c>
      <c r="E94" s="385">
        <f t="shared" si="45"/>
        <v>51.235364011286713</v>
      </c>
      <c r="F94" s="385">
        <f t="shared" si="25"/>
        <v>51.235421559623319</v>
      </c>
      <c r="G94" s="110">
        <f t="shared" si="46"/>
        <v>0.99883769618487517</v>
      </c>
      <c r="H94" s="414" t="b">
        <f>Wh_hp&gt;='2019'!Maxi_hp</f>
        <v>0</v>
      </c>
      <c r="I94" s="380">
        <f>IF(H94,Wh_hp,'2019'!Maxi_hp)</f>
        <v>51.378117175877115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1.415755269560981E-2</v>
      </c>
      <c r="M94" s="845"/>
      <c r="N94" s="845"/>
      <c r="O94" s="48">
        <f>IF(t&lt;Tnet,'2019'!Resal+('2019'!Salim-'2019'!Resal)*(1-EXP(('2019'!Tnet-t)/('2019'!Tau_j))),Resal+(Salim-Resal)*(1-EXP((Tnet-t)/(Tau_j))))*Salcycl</f>
        <v>3.1399658498334981E-2</v>
      </c>
      <c r="P94" s="169">
        <f>(INDEX(Models!$BJ94:$BT94,,T94)*(1-R94)+INDEX(Models!$BJ94:$BT94,,T94+1)*R94-ERP_i)*Q94*Ramure*Pc/MaxiM</f>
        <v>1.1250820006491199E-6</v>
      </c>
      <c r="Q94" s="305">
        <f t="shared" si="27"/>
        <v>0.5</v>
      </c>
      <c r="R94" s="177">
        <f t="shared" si="28"/>
        <v>1.4021466461433429E-2</v>
      </c>
      <c r="S94" s="811">
        <f t="shared" si="29"/>
        <v>-1</v>
      </c>
      <c r="T94" s="176">
        <f t="shared" si="30"/>
        <v>5</v>
      </c>
      <c r="U94" s="251">
        <f t="shared" si="31"/>
        <v>-0.98597853353856657</v>
      </c>
      <c r="V94" s="383">
        <f t="shared" si="32"/>
        <v>48.980930631144865</v>
      </c>
      <c r="W94" s="402"/>
      <c r="X94" s="157">
        <f t="shared" si="33"/>
        <v>43910</v>
      </c>
      <c r="Y94" s="385">
        <f t="shared" si="34"/>
        <v>48.923999999999999</v>
      </c>
      <c r="Z94" s="385">
        <f t="shared" si="35"/>
        <v>49.626591078294432</v>
      </c>
      <c r="AA94" s="386">
        <f t="shared" si="36"/>
        <v>51.235364011286713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3.1399658498334981E-2</v>
      </c>
      <c r="AD94" s="231">
        <f>(INDEX(Models!$BJ94:$BT94,,AH94)*(1-AF94)+INDEX(Models!$BJ94:$BT94,,AH94+1)*AF94-ERP_i)*AE94*Ramure*Pc/MaxiM</f>
        <v>1.1250820006491199E-6</v>
      </c>
      <c r="AE94" s="305">
        <f t="shared" si="38"/>
        <v>0.5</v>
      </c>
      <c r="AF94" s="177">
        <f t="shared" si="39"/>
        <v>1.4021466461433429E-2</v>
      </c>
      <c r="AG94" s="811">
        <f t="shared" si="47"/>
        <v>-1</v>
      </c>
      <c r="AH94" s="176">
        <f t="shared" si="40"/>
        <v>5</v>
      </c>
      <c r="AI94" s="225">
        <f t="shared" si="41"/>
        <v>-0.98597853353856657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7">
        <v>47.918999999999997</v>
      </c>
      <c r="C95" s="390"/>
      <c r="D95" s="393">
        <f t="shared" si="24"/>
        <v>48.608223051358756</v>
      </c>
      <c r="E95" s="385">
        <f t="shared" si="45"/>
        <v>50.185908702259979</v>
      </c>
      <c r="F95" s="385">
        <f t="shared" si="25"/>
        <v>50.185957433415616</v>
      </c>
      <c r="G95" s="110">
        <f t="shared" si="46"/>
        <v>0.97147791109915516</v>
      </c>
      <c r="H95" s="414" t="b">
        <f>Wh_hp&gt;='2019'!Maxi_hp</f>
        <v>0</v>
      </c>
      <c r="I95" s="380">
        <f>IF(H95,Wh_hp,'2019'!Maxi_hp)</f>
        <v>50.23936086110939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1.417914517530372E-2</v>
      </c>
      <c r="M95" s="845"/>
      <c r="N95" s="845"/>
      <c r="O95" s="48">
        <f>IF(t&lt;Tnet,'2019'!Resal+('2019'!Salim-'2019'!Resal)*(1-EXP(('2019'!Tnet-t)/('2019'!Tau_j))),Resal+(Salim-Resal)*(1-EXP((Tnet-t)/(Tau_j))))*Salcycl</f>
        <v>3.1436825429648423E-2</v>
      </c>
      <c r="P95" s="169">
        <f>(INDEX(Models!$BJ95:$BT95,,T95)*(1-R95)+INDEX(Models!$BJ95:$BT95,,T95+1)*R95-ERP_i)*Q95*Ramure*Pc/MaxiM</f>
        <v>1.0122569798002839E-6</v>
      </c>
      <c r="Q95" s="305">
        <f t="shared" si="27"/>
        <v>0.5</v>
      </c>
      <c r="R95" s="177">
        <f t="shared" si="28"/>
        <v>1.4722264022608123E-2</v>
      </c>
      <c r="S95" s="811">
        <f t="shared" si="29"/>
        <v>-1</v>
      </c>
      <c r="T95" s="176">
        <f t="shared" si="30"/>
        <v>5</v>
      </c>
      <c r="U95" s="251">
        <f t="shared" si="31"/>
        <v>-0.98527773597739188</v>
      </c>
      <c r="V95" s="383">
        <f t="shared" si="32"/>
        <v>49.325875015884144</v>
      </c>
      <c r="W95" s="402"/>
      <c r="X95" s="157">
        <f t="shared" si="33"/>
        <v>43911</v>
      </c>
      <c r="Y95" s="385">
        <f t="shared" si="34"/>
        <v>47.918999999999997</v>
      </c>
      <c r="Z95" s="385">
        <f t="shared" si="35"/>
        <v>48.608223051358756</v>
      </c>
      <c r="AA95" s="386">
        <f t="shared" si="36"/>
        <v>50.185908702259979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3.1436825429648423E-2</v>
      </c>
      <c r="AD95" s="231">
        <f>(INDEX(Models!$BJ95:$BT95,,AH95)*(1-AF95)+INDEX(Models!$BJ95:$BT95,,AH95+1)*AF95-ERP_i)*AE95*Ramure*Pc/MaxiM</f>
        <v>1.0122569798002839E-6</v>
      </c>
      <c r="AE95" s="305">
        <f t="shared" si="38"/>
        <v>0.5</v>
      </c>
      <c r="AF95" s="177">
        <f t="shared" si="39"/>
        <v>1.4722264022608123E-2</v>
      </c>
      <c r="AG95" s="811">
        <f t="shared" si="47"/>
        <v>-1</v>
      </c>
      <c r="AH95" s="176">
        <f t="shared" si="40"/>
        <v>5</v>
      </c>
      <c r="AI95" s="225">
        <f t="shared" si="41"/>
        <v>-0.98527773597739188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7">
        <v>41.835000000000001</v>
      </c>
      <c r="C96" s="390"/>
      <c r="D96" s="393">
        <f t="shared" si="24"/>
        <v>42.437645855418431</v>
      </c>
      <c r="E96" s="385">
        <f t="shared" si="45"/>
        <v>43.816740372272257</v>
      </c>
      <c r="F96" s="385">
        <f t="shared" si="25"/>
        <v>43.816771076952534</v>
      </c>
      <c r="G96" s="110">
        <f t="shared" si="46"/>
        <v>0.84223294312109465</v>
      </c>
      <c r="H96" s="414" t="b">
        <f>Wh_hp&gt;='2019'!Maxi_hp</f>
        <v>0</v>
      </c>
      <c r="I96" s="380">
        <f>IF(H96,Wh_hp,'2019'!Maxi_hp)</f>
        <v>47.297059606763654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1.4200737182066936E-2</v>
      </c>
      <c r="M96" s="845"/>
      <c r="N96" s="845"/>
      <c r="O96" s="48">
        <f>IF(t&lt;Tnet,'2019'!Resal+('2019'!Salim-'2019'!Resal)*(1-EXP(('2019'!Tnet-t)/('2019'!Tau_j))),Resal+(Salim-Resal)*(1-EXP((Tnet-t)/(Tau_j))))*Salcycl</f>
        <v>3.1474146756168303E-2</v>
      </c>
      <c r="P96" s="169">
        <f>(INDEX(Models!$BJ96:$BT96,,T96)*(1-R96)+INDEX(Models!$BJ96:$BT96,,T96+1)*R96-ERP_i)*Q96*Ramure*Pc/MaxiM</f>
        <v>9.0464088566876297E-7</v>
      </c>
      <c r="Q96" s="305">
        <f t="shared" si="27"/>
        <v>0.5</v>
      </c>
      <c r="R96" s="177">
        <f t="shared" si="28"/>
        <v>1.5450303724902748E-2</v>
      </c>
      <c r="S96" s="811">
        <f t="shared" si="29"/>
        <v>-1</v>
      </c>
      <c r="T96" s="176">
        <f t="shared" si="30"/>
        <v>5</v>
      </c>
      <c r="U96" s="251">
        <f t="shared" si="31"/>
        <v>-0.98454969627509725</v>
      </c>
      <c r="V96" s="383">
        <f t="shared" si="32"/>
        <v>49.671521177103003</v>
      </c>
      <c r="W96" s="402"/>
      <c r="X96" s="157">
        <f t="shared" si="33"/>
        <v>43912</v>
      </c>
      <c r="Y96" s="385">
        <f t="shared" si="34"/>
        <v>41.835000000000001</v>
      </c>
      <c r="Z96" s="385">
        <f t="shared" si="35"/>
        <v>42.437645855418431</v>
      </c>
      <c r="AA96" s="386">
        <f t="shared" si="36"/>
        <v>43.816740372272257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3.1474146756168303E-2</v>
      </c>
      <c r="AD96" s="231">
        <f>(INDEX(Models!$BJ96:$BT96,,AH96)*(1-AF96)+INDEX(Models!$BJ96:$BT96,,AH96+1)*AF96-ERP_i)*AE96*Ramure*Pc/MaxiM</f>
        <v>9.0464088566876297E-7</v>
      </c>
      <c r="AE96" s="305">
        <f t="shared" si="38"/>
        <v>0.5</v>
      </c>
      <c r="AF96" s="177">
        <f t="shared" si="39"/>
        <v>1.5450303724902748E-2</v>
      </c>
      <c r="AG96" s="811">
        <f t="shared" si="47"/>
        <v>-1</v>
      </c>
      <c r="AH96" s="176">
        <f t="shared" si="40"/>
        <v>5</v>
      </c>
      <c r="AI96" s="225">
        <f t="shared" si="41"/>
        <v>-0.98454969627509725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7">
        <v>33.869</v>
      </c>
      <c r="C97" s="390"/>
      <c r="D97" s="393">
        <f t="shared" si="24"/>
        <v>34.357645731498138</v>
      </c>
      <c r="E97" s="385">
        <f t="shared" si="45"/>
        <v>35.475537941972121</v>
      </c>
      <c r="F97" s="385">
        <f t="shared" si="25"/>
        <v>35.475553287931604</v>
      </c>
      <c r="G97" s="110">
        <f t="shared" si="46"/>
        <v>0.67715164216323331</v>
      </c>
      <c r="H97" s="414" t="b">
        <f>Wh_hp&gt;='2019'!Maxi_hp</f>
        <v>0</v>
      </c>
      <c r="I97" s="380">
        <f>IF(H97,Wh_hp,'2019'!Maxi_hp)</f>
        <v>51.495753799818651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1.4222328715909782E-2</v>
      </c>
      <c r="M97" s="845"/>
      <c r="N97" s="845"/>
      <c r="O97" s="48">
        <f>IF(t&lt;Tnet,'2019'!Resal+('2019'!Salim-'2019'!Resal)*(1-EXP(('2019'!Tnet-t)/('2019'!Tau_j))),Resal+(Salim-Resal)*(1-EXP((Tnet-t)/(Tau_j))))*Salcycl</f>
        <v>3.1511635209099297E-2</v>
      </c>
      <c r="P97" s="169">
        <f>(INDEX(Models!$BJ97:$BT97,,T97)*(1-R97)+INDEX(Models!$BJ97:$BT97,,T97+1)*R97-ERP_i)*Q97*Ramure*Pc/MaxiM</f>
        <v>8.0287256531823692E-7</v>
      </c>
      <c r="Q97" s="305">
        <f t="shared" si="27"/>
        <v>0.5</v>
      </c>
      <c r="R97" s="177">
        <f t="shared" si="28"/>
        <v>1.620655417746264E-2</v>
      </c>
      <c r="S97" s="811">
        <f t="shared" si="29"/>
        <v>-1</v>
      </c>
      <c r="T97" s="176">
        <f t="shared" si="30"/>
        <v>5</v>
      </c>
      <c r="U97" s="251">
        <f t="shared" si="31"/>
        <v>-0.98379344582253736</v>
      </c>
      <c r="V97" s="383">
        <f t="shared" si="32"/>
        <v>50.016843125868711</v>
      </c>
      <c r="W97" s="402"/>
      <c r="X97" s="157">
        <f t="shared" si="33"/>
        <v>43913</v>
      </c>
      <c r="Y97" s="385">
        <f t="shared" si="34"/>
        <v>33.869</v>
      </c>
      <c r="Z97" s="385">
        <f t="shared" si="35"/>
        <v>34.357645731498138</v>
      </c>
      <c r="AA97" s="386">
        <f t="shared" si="36"/>
        <v>35.475537941972121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3.1511635209099297E-2</v>
      </c>
      <c r="AD97" s="231">
        <f>(INDEX(Models!$BJ97:$BT97,,AH97)*(1-AF97)+INDEX(Models!$BJ97:$BT97,,AH97+1)*AF97-ERP_i)*AE97*Ramure*Pc/MaxiM</f>
        <v>8.0287256531823692E-7</v>
      </c>
      <c r="AE97" s="305">
        <f t="shared" si="38"/>
        <v>0.5</v>
      </c>
      <c r="AF97" s="177">
        <f t="shared" si="39"/>
        <v>1.620655417746264E-2</v>
      </c>
      <c r="AG97" s="811">
        <f t="shared" si="47"/>
        <v>-1</v>
      </c>
      <c r="AH97" s="176">
        <f t="shared" si="40"/>
        <v>5</v>
      </c>
      <c r="AI97" s="225">
        <f t="shared" si="41"/>
        <v>-0.98379344582253736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7">
        <v>45.871000000000002</v>
      </c>
      <c r="C98" s="390"/>
      <c r="D98" s="393">
        <f t="shared" si="24"/>
        <v>46.533824056774407</v>
      </c>
      <c r="E98" s="385">
        <f t="shared" si="45"/>
        <v>48.049760539846737</v>
      </c>
      <c r="F98" s="385">
        <f t="shared" si="25"/>
        <v>48.049790210842104</v>
      </c>
      <c r="G98" s="110">
        <f t="shared" si="46"/>
        <v>0.91084697059937147</v>
      </c>
      <c r="H98" s="414" t="b">
        <f>Wh_hp&gt;='2019'!Maxi_hp</f>
        <v>1</v>
      </c>
      <c r="I98" s="380">
        <f>IF(H98,Wh_hp,'2019'!Maxi_hp)</f>
        <v>48.049790210842104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1.4243919776842584E-2</v>
      </c>
      <c r="M98" s="845"/>
      <c r="N98" s="845"/>
      <c r="O98" s="48">
        <f>IF(t&lt;Tnet,'2019'!Resal+('2019'!Salim-'2019'!Resal)*(1-EXP(('2019'!Tnet-t)/('2019'!Tau_j))),Resal+(Salim-Resal)*(1-EXP((Tnet-t)/(Tau_j))))*Salcycl</f>
        <v>3.1549303597781568E-2</v>
      </c>
      <c r="P98" s="169">
        <f>(INDEX(Models!$BJ98:$BT98,,T98)*(1-R98)+INDEX(Models!$BJ98:$BT98,,T98+1)*R98-ERP_i)*Q98*Ramure*Pc/MaxiM</f>
        <v>7.0762990324232857E-7</v>
      </c>
      <c r="Q98" s="305">
        <f t="shared" si="27"/>
        <v>0.5</v>
      </c>
      <c r="R98" s="177">
        <f t="shared" si="28"/>
        <v>1.6992011012709862E-2</v>
      </c>
      <c r="S98" s="811">
        <f t="shared" si="29"/>
        <v>-1</v>
      </c>
      <c r="T98" s="176">
        <f t="shared" si="30"/>
        <v>5</v>
      </c>
      <c r="U98" s="251">
        <f t="shared" si="31"/>
        <v>-0.98300798898729014</v>
      </c>
      <c r="V98" s="383">
        <f t="shared" si="32"/>
        <v>50.360815094661191</v>
      </c>
      <c r="W98" s="402"/>
      <c r="X98" s="157">
        <f t="shared" si="33"/>
        <v>43914</v>
      </c>
      <c r="Y98" s="385">
        <f t="shared" si="34"/>
        <v>45.871000000000002</v>
      </c>
      <c r="Z98" s="385">
        <f t="shared" si="35"/>
        <v>46.533824056774407</v>
      </c>
      <c r="AA98" s="386">
        <f t="shared" si="36"/>
        <v>48.049760539846737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3.1549303597781568E-2</v>
      </c>
      <c r="AD98" s="231">
        <f>(INDEX(Models!$BJ98:$BT98,,AH98)*(1-AF98)+INDEX(Models!$BJ98:$BT98,,AH98+1)*AF98-ERP_i)*AE98*Ramure*Pc/MaxiM</f>
        <v>7.0762990324232857E-7</v>
      </c>
      <c r="AE98" s="305">
        <f t="shared" si="38"/>
        <v>0.5</v>
      </c>
      <c r="AF98" s="177">
        <f t="shared" si="39"/>
        <v>1.6992011012709862E-2</v>
      </c>
      <c r="AG98" s="811">
        <f t="shared" si="47"/>
        <v>-1</v>
      </c>
      <c r="AH98" s="176">
        <f t="shared" si="40"/>
        <v>5</v>
      </c>
      <c r="AI98" s="225">
        <f t="shared" si="41"/>
        <v>-0.98300798898729014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7">
        <v>51.594000000000001</v>
      </c>
      <c r="C99" s="390"/>
      <c r="D99" s="393">
        <f t="shared" si="24"/>
        <v>52.340666317861967</v>
      </c>
      <c r="E99" s="385">
        <f t="shared" si="45"/>
        <v>54.047885792080891</v>
      </c>
      <c r="F99" s="385">
        <f t="shared" si="25"/>
        <v>54.047919282053201</v>
      </c>
      <c r="G99" s="110">
        <f t="shared" si="46"/>
        <v>1.0175847347261391</v>
      </c>
      <c r="H99" s="414" t="b">
        <f>Wh_hp&gt;='2019'!Maxi_hp</f>
        <v>0</v>
      </c>
      <c r="I99" s="380">
        <f>IF(H99,Wh_hp,'2019'!Maxi_hp)</f>
        <v>54.932815887950575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1.4265510364875778E-2</v>
      </c>
      <c r="M99" s="845"/>
      <c r="N99" s="845"/>
      <c r="O99" s="48">
        <f>IF(t&lt;Tnet,'2019'!Resal+('2019'!Salim-'2019'!Resal)*(1-EXP(('2019'!Tnet-t)/('2019'!Tau_j))),Resal+(Salim-Resal)*(1-EXP((Tnet-t)/(Tau_j))))*Salcycl</f>
        <v>3.1587164774335395E-2</v>
      </c>
      <c r="P99" s="169">
        <f>(INDEX(Models!$BJ99:$BT99,,T99)*(1-R99)+INDEX(Models!$BJ99:$BT99,,T99+1)*R99-ERP_i)*Q99*Ramure*Pc/MaxiM</f>
        <v>6.1963481210223861E-7</v>
      </c>
      <c r="Q99" s="305">
        <f t="shared" si="27"/>
        <v>0.5</v>
      </c>
      <c r="R99" s="177">
        <f t="shared" si="28"/>
        <v>1.7807697014113444E-2</v>
      </c>
      <c r="S99" s="811">
        <f t="shared" si="29"/>
        <v>-1</v>
      </c>
      <c r="T99" s="176">
        <f t="shared" si="30"/>
        <v>5</v>
      </c>
      <c r="U99" s="251">
        <f t="shared" si="31"/>
        <v>-0.98219230298588656</v>
      </c>
      <c r="V99" s="383">
        <f t="shared" si="32"/>
        <v>50.702411543040107</v>
      </c>
      <c r="W99" s="402"/>
      <c r="X99" s="157">
        <f t="shared" si="33"/>
        <v>43915</v>
      </c>
      <c r="Y99" s="385">
        <f t="shared" si="34"/>
        <v>51.594000000000001</v>
      </c>
      <c r="Z99" s="385">
        <f t="shared" si="35"/>
        <v>52.340666317861967</v>
      </c>
      <c r="AA99" s="386">
        <f t="shared" si="36"/>
        <v>54.047885792080891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3.1587164774335395E-2</v>
      </c>
      <c r="AD99" s="231">
        <f>(INDEX(Models!$BJ99:$BT99,,AH99)*(1-AF99)+INDEX(Models!$BJ99:$BT99,,AH99+1)*AF99-ERP_i)*AE99*Ramure*Pc/MaxiM</f>
        <v>6.1963481210223861E-7</v>
      </c>
      <c r="AE99" s="305">
        <f t="shared" si="38"/>
        <v>0.5</v>
      </c>
      <c r="AF99" s="177">
        <f t="shared" si="39"/>
        <v>1.7807697014113444E-2</v>
      </c>
      <c r="AG99" s="811">
        <f t="shared" si="47"/>
        <v>-1</v>
      </c>
      <c r="AH99" s="176">
        <f t="shared" si="40"/>
        <v>5</v>
      </c>
      <c r="AI99" s="225">
        <f t="shared" si="41"/>
        <v>-0.98219230298588656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7">
        <v>27.318999999999999</v>
      </c>
      <c r="C100" s="390"/>
      <c r="D100" s="393">
        <f t="shared" si="24"/>
        <v>27.71496651134801</v>
      </c>
      <c r="E100" s="385">
        <f t="shared" si="45"/>
        <v>28.620083273254384</v>
      </c>
      <c r="F100" s="385">
        <f t="shared" si="25"/>
        <v>28.62008852178375</v>
      </c>
      <c r="G100" s="110">
        <f t="shared" si="46"/>
        <v>0.53524030740524231</v>
      </c>
      <c r="H100" s="414" t="b">
        <f>Wh_hp&gt;='2019'!Maxi_hp</f>
        <v>0</v>
      </c>
      <c r="I100" s="380">
        <f>IF(H100,Wh_hp,'2019'!Maxi_hp)</f>
        <v>54.175577399192605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1.4287100480019688E-2</v>
      </c>
      <c r="M100" s="845"/>
      <c r="N100" s="845"/>
      <c r="O100" s="48">
        <f>IF(t&lt;Tnet,'2019'!Resal+('2019'!Salim-'2019'!Resal)*(1-EXP(('2019'!Tnet-t)/('2019'!Tau_j))),Resal+(Salim-Resal)*(1-EXP((Tnet-t)/(Tau_j))))*Salcycl</f>
        <v>3.1625231599245886E-2</v>
      </c>
      <c r="P100" s="169">
        <f>(INDEX(Models!$BJ100:$BT100,,T100)*(1-R100)+INDEX(Models!$BJ100:$BT100,,T100+1)*R100-ERP_i)*Q100*Ramure*Pc/MaxiM</f>
        <v>5.4569830203553388E-7</v>
      </c>
      <c r="Q100" s="305">
        <f t="shared" si="27"/>
        <v>0.5</v>
      </c>
      <c r="R100" s="177">
        <f t="shared" si="28"/>
        <v>1.8654662182078008E-2</v>
      </c>
      <c r="S100" s="811">
        <f t="shared" si="29"/>
        <v>-1</v>
      </c>
      <c r="T100" s="176">
        <f t="shared" si="30"/>
        <v>5</v>
      </c>
      <c r="U100" s="251">
        <f t="shared" si="31"/>
        <v>-0.98134533781792199</v>
      </c>
      <c r="V100" s="383">
        <f t="shared" si="32"/>
        <v>51.04060685270877</v>
      </c>
      <c r="W100" s="402"/>
      <c r="X100" s="157">
        <f t="shared" si="33"/>
        <v>43916</v>
      </c>
      <c r="Y100" s="385">
        <f t="shared" si="34"/>
        <v>27.318999999999999</v>
      </c>
      <c r="Z100" s="385">
        <f t="shared" si="35"/>
        <v>27.71496651134801</v>
      </c>
      <c r="AA100" s="386">
        <f t="shared" si="36"/>
        <v>28.620083273254384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3.1625231599245886E-2</v>
      </c>
      <c r="AD100" s="231">
        <f>(INDEX(Models!$BJ100:$BT100,,AH100)*(1-AF100)+INDEX(Models!$BJ100:$BT100,,AH100+1)*AF100-ERP_i)*AE100*Ramure*Pc/MaxiM</f>
        <v>5.4569830203553388E-7</v>
      </c>
      <c r="AE100" s="305">
        <f t="shared" si="38"/>
        <v>0.5</v>
      </c>
      <c r="AF100" s="177">
        <f t="shared" si="39"/>
        <v>1.8654662182078008E-2</v>
      </c>
      <c r="AG100" s="811">
        <f t="shared" si="47"/>
        <v>-1</v>
      </c>
      <c r="AH100" s="176">
        <f t="shared" si="40"/>
        <v>5</v>
      </c>
      <c r="AI100" s="225">
        <f t="shared" si="41"/>
        <v>-0.98134533781792199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7">
        <v>47.759</v>
      </c>
      <c r="C101" s="390"/>
      <c r="D101" s="393">
        <f t="shared" si="24"/>
        <v>48.452288785953655</v>
      </c>
      <c r="E101" s="385">
        <f t="shared" si="45"/>
        <v>50.036624285021652</v>
      </c>
      <c r="F101" s="385">
        <f t="shared" si="25"/>
        <v>50.03664600080775</v>
      </c>
      <c r="G101" s="110">
        <f t="shared" si="46"/>
        <v>0.92962681514530721</v>
      </c>
      <c r="H101" s="414" t="b">
        <f>Wh_hp&gt;='2019'!Maxi_hp</f>
        <v>0</v>
      </c>
      <c r="I101" s="380">
        <f>IF(H101,Wh_hp,'2019'!Maxi_hp)</f>
        <v>52.923988977147388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1.430869012228464E-2</v>
      </c>
      <c r="M101" s="845"/>
      <c r="N101" s="845"/>
      <c r="O101" s="48">
        <f>IF(t&lt;Tnet,'2019'!Resal+('2019'!Salim-'2019'!Resal)*(1-EXP(('2019'!Tnet-t)/('2019'!Tau_j))),Resal+(Salim-Resal)*(1-EXP((Tnet-t)/(Tau_j))))*Salcycl</f>
        <v>3.1663516907999428E-2</v>
      </c>
      <c r="P101" s="169">
        <f>(INDEX(Models!$BJ101:$BT101,,T101)*(1-R101)+INDEX(Models!$BJ101:$BT101,,T101+1)*R101-ERP_i)*Q101*Ramure*Pc/MaxiM</f>
        <v>4.8250537690087709E-7</v>
      </c>
      <c r="Q101" s="305">
        <f t="shared" si="27"/>
        <v>0.5</v>
      </c>
      <c r="R101" s="177">
        <f t="shared" si="28"/>
        <v>1.953398373174231E-2</v>
      </c>
      <c r="S101" s="811">
        <f t="shared" si="29"/>
        <v>-1</v>
      </c>
      <c r="T101" s="176">
        <f t="shared" si="30"/>
        <v>5</v>
      </c>
      <c r="U101" s="251">
        <f t="shared" si="31"/>
        <v>-0.98046601626825769</v>
      </c>
      <c r="V101" s="383">
        <f t="shared" si="32"/>
        <v>51.37437615313705</v>
      </c>
      <c r="W101" s="402"/>
      <c r="X101" s="157">
        <f t="shared" si="33"/>
        <v>43917</v>
      </c>
      <c r="Y101" s="385">
        <f t="shared" si="34"/>
        <v>47.759</v>
      </c>
      <c r="Z101" s="385">
        <f t="shared" si="35"/>
        <v>48.452288785953655</v>
      </c>
      <c r="AA101" s="386">
        <f t="shared" si="36"/>
        <v>50.036624285021652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3.1663516907999428E-2</v>
      </c>
      <c r="AD101" s="231">
        <f>(INDEX(Models!$BJ101:$BT101,,AH101)*(1-AF101)+INDEX(Models!$BJ101:$BT101,,AH101+1)*AF101-ERP_i)*AE101*Ramure*Pc/MaxiM</f>
        <v>4.8250537690087709E-7</v>
      </c>
      <c r="AE101" s="305">
        <f t="shared" si="38"/>
        <v>0.5</v>
      </c>
      <c r="AF101" s="177">
        <f t="shared" si="39"/>
        <v>1.953398373174231E-2</v>
      </c>
      <c r="AG101" s="811">
        <f t="shared" si="47"/>
        <v>-1</v>
      </c>
      <c r="AH101" s="176">
        <f t="shared" si="40"/>
        <v>5</v>
      </c>
      <c r="AI101" s="225">
        <f t="shared" si="41"/>
        <v>-0.98046601626825769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7">
        <v>48.658000000000001</v>
      </c>
      <c r="C102" s="390"/>
      <c r="D102" s="393">
        <f t="shared" si="24"/>
        <v>49.365420259672312</v>
      </c>
      <c r="E102" s="385">
        <f t="shared" si="45"/>
        <v>50.981641980546534</v>
      </c>
      <c r="F102" s="385">
        <f t="shared" si="25"/>
        <v>50.981662054884573</v>
      </c>
      <c r="G102" s="110">
        <f t="shared" si="46"/>
        <v>0.94111145586112877</v>
      </c>
      <c r="H102" s="414" t="b">
        <f>Wh_hp&gt;='2019'!Maxi_hp</f>
        <v>0</v>
      </c>
      <c r="I102" s="380">
        <f>IF(H102,Wh_hp,'2019'!Maxi_hp)</f>
        <v>54.366714325293401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1.4330279291680958E-2</v>
      </c>
      <c r="M102" s="845"/>
      <c r="N102" s="845"/>
      <c r="O102" s="48">
        <f>IF(t&lt;Tnet,'2019'!Resal+('2019'!Salim-'2019'!Resal)*(1-EXP(('2019'!Tnet-t)/('2019'!Tau_j))),Resal+(Salim-Resal)*(1-EXP((Tnet-t)/(Tau_j))))*Salcycl</f>
        <v>3.1702033478853676E-2</v>
      </c>
      <c r="P102" s="169">
        <f>(INDEX(Models!$BJ102:$BT102,,T102)*(1-R102)+INDEX(Models!$BJ102:$BT102,,T102+1)*R102-ERP_i)*Q102*Ramure*Pc/MaxiM</f>
        <v>4.2992403288279117E-7</v>
      </c>
      <c r="Q102" s="305">
        <f t="shared" si="27"/>
        <v>0.5</v>
      </c>
      <c r="R102" s="177">
        <f t="shared" si="28"/>
        <v>2.0446766016128715E-2</v>
      </c>
      <c r="S102" s="811">
        <f t="shared" si="29"/>
        <v>-1</v>
      </c>
      <c r="T102" s="176">
        <f t="shared" si="30"/>
        <v>5</v>
      </c>
      <c r="U102" s="251">
        <f t="shared" si="31"/>
        <v>-0.97955323398387129</v>
      </c>
      <c r="V102" s="383">
        <f t="shared" si="32"/>
        <v>51.70269465651662</v>
      </c>
      <c r="W102" s="402"/>
      <c r="X102" s="157">
        <f t="shared" si="33"/>
        <v>43918</v>
      </c>
      <c r="Y102" s="385">
        <f t="shared" si="34"/>
        <v>48.658000000000001</v>
      </c>
      <c r="Z102" s="385">
        <f t="shared" si="35"/>
        <v>49.365420259672312</v>
      </c>
      <c r="AA102" s="386">
        <f t="shared" si="36"/>
        <v>50.981641980546534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3.1702033478853676E-2</v>
      </c>
      <c r="AD102" s="231">
        <f>(INDEX(Models!$BJ102:$BT102,,AH102)*(1-AF102)+INDEX(Models!$BJ102:$BT102,,AH102+1)*AF102-ERP_i)*AE102*Ramure*Pc/MaxiM</f>
        <v>4.2992403288279117E-7</v>
      </c>
      <c r="AE102" s="305">
        <f t="shared" si="38"/>
        <v>0.5</v>
      </c>
      <c r="AF102" s="177">
        <f t="shared" si="39"/>
        <v>2.0446766016128715E-2</v>
      </c>
      <c r="AG102" s="811">
        <f t="shared" si="47"/>
        <v>-1</v>
      </c>
      <c r="AH102" s="176">
        <f t="shared" si="40"/>
        <v>5</v>
      </c>
      <c r="AI102" s="225">
        <f t="shared" si="41"/>
        <v>-0.97955323398387129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7">
        <v>29.888999999999999</v>
      </c>
      <c r="C103" s="390"/>
      <c r="D103" s="393">
        <f t="shared" si="24"/>
        <v>30.324209045061888</v>
      </c>
      <c r="E103" s="385">
        <f t="shared" si="45"/>
        <v>31.318275991809209</v>
      </c>
      <c r="F103" s="385">
        <f t="shared" si="25"/>
        <v>31.318280755252747</v>
      </c>
      <c r="G103" s="110">
        <f t="shared" si="46"/>
        <v>0.57451722215108225</v>
      </c>
      <c r="H103" s="414" t="b">
        <f>Wh_hp&gt;='2019'!Maxi_hp</f>
        <v>0</v>
      </c>
      <c r="I103" s="380">
        <f>IF(H103,Wh_hp,'2019'!Maxi_hp)</f>
        <v>55.483183570295765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1.4351867988219191E-2</v>
      </c>
      <c r="M103" s="845"/>
      <c r="N103" s="845"/>
      <c r="O103" s="48">
        <f>IF(t&lt;Tnet,'2019'!Resal+('2019'!Salim-'2019'!Resal)*(1-EXP(('2019'!Tnet-t)/('2019'!Tau_j))),Resal+(Salim-Resal)*(1-EXP((Tnet-t)/(Tau_j))))*Salcycl</f>
        <v>3.1740794001793166E-2</v>
      </c>
      <c r="P103" s="169">
        <f>(INDEX(Models!$BJ103:$BT103,,T103)*(1-R103)+INDEX(Models!$BJ103:$BT103,,T103+1)*R103-ERP_i)*Q103*Ramure*Pc/MaxiM</f>
        <v>3.8783887573830103E-7</v>
      </c>
      <c r="Q103" s="305">
        <f t="shared" si="27"/>
        <v>0.5</v>
      </c>
      <c r="R103" s="177">
        <f t="shared" si="28"/>
        <v>2.1394140367747005E-2</v>
      </c>
      <c r="S103" s="811">
        <f t="shared" si="29"/>
        <v>-1</v>
      </c>
      <c r="T103" s="176">
        <f t="shared" si="30"/>
        <v>5</v>
      </c>
      <c r="U103" s="251">
        <f t="shared" si="31"/>
        <v>-0.97860585963225299</v>
      </c>
      <c r="V103" s="383">
        <f t="shared" si="32"/>
        <v>52.02453782329917</v>
      </c>
      <c r="W103" s="402"/>
      <c r="X103" s="157">
        <f t="shared" si="33"/>
        <v>43919</v>
      </c>
      <c r="Y103" s="385">
        <f t="shared" si="34"/>
        <v>29.888999999999999</v>
      </c>
      <c r="Z103" s="385">
        <f t="shared" si="35"/>
        <v>30.324209045061888</v>
      </c>
      <c r="AA103" s="386">
        <f t="shared" si="36"/>
        <v>31.318275991809209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3.1740794001793166E-2</v>
      </c>
      <c r="AD103" s="231">
        <f>(INDEX(Models!$BJ103:$BT103,,AH103)*(1-AF103)+INDEX(Models!$BJ103:$BT103,,AH103+1)*AF103-ERP_i)*AE103*Ramure*Pc/MaxiM</f>
        <v>3.8783887573830103E-7</v>
      </c>
      <c r="AE103" s="305">
        <f t="shared" si="38"/>
        <v>0.5</v>
      </c>
      <c r="AF103" s="177">
        <f t="shared" si="39"/>
        <v>2.1394140367747005E-2</v>
      </c>
      <c r="AG103" s="811">
        <f t="shared" si="47"/>
        <v>-1</v>
      </c>
      <c r="AH103" s="176">
        <f t="shared" si="40"/>
        <v>5</v>
      </c>
      <c r="AI103" s="225">
        <f t="shared" si="41"/>
        <v>-0.97860585963225299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7">
        <v>17.7</v>
      </c>
      <c r="C104" s="390"/>
      <c r="D104" s="393">
        <f t="shared" si="24"/>
        <v>17.958120255135391</v>
      </c>
      <c r="E104" s="385">
        <f t="shared" si="45"/>
        <v>18.547558148509687</v>
      </c>
      <c r="F104" s="385">
        <f t="shared" si="25"/>
        <v>18.547558508814333</v>
      </c>
      <c r="G104" s="110">
        <f t="shared" si="46"/>
        <v>0.3381805949830497</v>
      </c>
      <c r="H104" s="414" t="b">
        <f>Wh_hp&gt;='2019'!Maxi_hp</f>
        <v>0</v>
      </c>
      <c r="I104" s="380">
        <f>IF(H104,Wh_hp,'2019'!Maxi_hp)</f>
        <v>47.367807575936794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1.4373456211909441E-2</v>
      </c>
      <c r="M104" s="845"/>
      <c r="N104" s="845"/>
      <c r="O104" s="48">
        <f>IF(t&lt;Tnet,'2019'!Resal+('2019'!Salim-'2019'!Resal)*(1-EXP(('2019'!Tnet-t)/('2019'!Tau_j))),Resal+(Salim-Resal)*(1-EXP((Tnet-t)/(Tau_j))))*Salcycl</f>
        <v>3.1779811048693589E-2</v>
      </c>
      <c r="P104" s="169">
        <f>(INDEX(Models!$BJ104:$BT104,,T104)*(1-R104)+INDEX(Models!$BJ104:$BT104,,T104+1)*R104-ERP_i)*Q104*Ramure*Pc/MaxiM</f>
        <v>3.5615345702843184E-7</v>
      </c>
      <c r="Q104" s="305">
        <f t="shared" si="27"/>
        <v>0.5</v>
      </c>
      <c r="R104" s="177">
        <f t="shared" si="28"/>
        <v>2.2377264851411227E-2</v>
      </c>
      <c r="S104" s="811">
        <f t="shared" si="29"/>
        <v>-1</v>
      </c>
      <c r="T104" s="176">
        <f t="shared" si="30"/>
        <v>5</v>
      </c>
      <c r="U104" s="251">
        <f t="shared" si="31"/>
        <v>-0.97762273514858877</v>
      </c>
      <c r="V104" s="383">
        <f t="shared" si="32"/>
        <v>52.338881362518272</v>
      </c>
      <c r="W104" s="402"/>
      <c r="X104" s="157">
        <f t="shared" si="33"/>
        <v>43920</v>
      </c>
      <c r="Y104" s="385">
        <f t="shared" si="34"/>
        <v>17.7</v>
      </c>
      <c r="Z104" s="385">
        <f t="shared" si="35"/>
        <v>17.958120255135391</v>
      </c>
      <c r="AA104" s="386">
        <f t="shared" si="36"/>
        <v>18.547558148509687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3.1779811048693589E-2</v>
      </c>
      <c r="AD104" s="231">
        <f>(INDEX(Models!$BJ104:$BT104,,AH104)*(1-AF104)+INDEX(Models!$BJ104:$BT104,,AH104+1)*AF104-ERP_i)*AE104*Ramure*Pc/MaxiM</f>
        <v>3.5615345702843184E-7</v>
      </c>
      <c r="AE104" s="305">
        <f t="shared" si="38"/>
        <v>0.5</v>
      </c>
      <c r="AF104" s="177">
        <f t="shared" si="39"/>
        <v>2.2377264851411227E-2</v>
      </c>
      <c r="AG104" s="811">
        <f t="shared" si="47"/>
        <v>-1</v>
      </c>
      <c r="AH104" s="176">
        <f t="shared" si="40"/>
        <v>5</v>
      </c>
      <c r="AI104" s="225">
        <f t="shared" si="41"/>
        <v>-0.97762273514858877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7">
        <v>43.241</v>
      </c>
      <c r="C105" s="390"/>
      <c r="D105" s="393">
        <f t="shared" si="24"/>
        <v>43.872547246369855</v>
      </c>
      <c r="E105" s="385">
        <f t="shared" si="45"/>
        <v>45.314410883804534</v>
      </c>
      <c r="F105" s="385">
        <f t="shared" si="25"/>
        <v>45.314422183421691</v>
      </c>
      <c r="G105" s="110">
        <f t="shared" si="46"/>
        <v>0.8213741418812629</v>
      </c>
      <c r="H105" s="414" t="b">
        <f>Wh_hp&gt;='2019'!Maxi_hp</f>
        <v>1</v>
      </c>
      <c r="I105" s="380">
        <f>IF(H105,Wh_hp,'2019'!Maxi_hp)</f>
        <v>45.314422183421691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1.4395043962762255E-2</v>
      </c>
      <c r="M105" s="845"/>
      <c r="N105" s="845"/>
      <c r="O105" s="48">
        <f>IF(t&lt;Tnet,'2019'!Resal+('2019'!Salim-'2019'!Resal)*(1-EXP(('2019'!Tnet-t)/('2019'!Tau_j))),Resal+(Salim-Resal)*(1-EXP((Tnet-t)/(Tau_j))))*Salcycl</f>
        <v>3.1819097044688736E-2</v>
      </c>
      <c r="P105" s="169">
        <f>(INDEX(Models!$BJ105:$BT105,,T105)*(1-R105)+INDEX(Models!$BJ105:$BT105,,T105+1)*R105-ERP_i)*Q105*Ramure*Pc/MaxiM</f>
        <v>3.347925429680611E-7</v>
      </c>
      <c r="Q105" s="305">
        <f t="shared" si="27"/>
        <v>0.5</v>
      </c>
      <c r="R105" s="177">
        <f t="shared" si="28"/>
        <v>2.3397323920696489E-2</v>
      </c>
      <c r="S105" s="811">
        <f t="shared" si="29"/>
        <v>-1</v>
      </c>
      <c r="T105" s="176">
        <f t="shared" si="30"/>
        <v>5</v>
      </c>
      <c r="U105" s="251">
        <f t="shared" si="31"/>
        <v>-0.97660267607930351</v>
      </c>
      <c r="V105" s="383">
        <f t="shared" si="32"/>
        <v>52.644701240270628</v>
      </c>
      <c r="W105" s="402"/>
      <c r="X105" s="157">
        <f t="shared" si="33"/>
        <v>43921</v>
      </c>
      <c r="Y105" s="385">
        <f t="shared" si="34"/>
        <v>43.241</v>
      </c>
      <c r="Z105" s="385">
        <f t="shared" si="35"/>
        <v>43.872547246369855</v>
      </c>
      <c r="AA105" s="386">
        <f t="shared" si="36"/>
        <v>45.314410883804534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3.1819097044688736E-2</v>
      </c>
      <c r="AD105" s="231">
        <f>(INDEX(Models!$BJ105:$BT105,,AH105)*(1-AF105)+INDEX(Models!$BJ105:$BT105,,AH105+1)*AF105-ERP_i)*AE105*Ramure*Pc/MaxiM</f>
        <v>3.347925429680611E-7</v>
      </c>
      <c r="AE105" s="305">
        <f t="shared" si="38"/>
        <v>0.5</v>
      </c>
      <c r="AF105" s="177">
        <f t="shared" si="39"/>
        <v>2.3397323920696489E-2</v>
      </c>
      <c r="AG105" s="811">
        <f t="shared" si="47"/>
        <v>-1</v>
      </c>
      <c r="AH105" s="176">
        <f t="shared" si="40"/>
        <v>5</v>
      </c>
      <c r="AI105" s="225">
        <f t="shared" si="41"/>
        <v>-0.97660267607930351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7">
        <v>41.107999999999997</v>
      </c>
      <c r="C106" s="390"/>
      <c r="D106" s="393">
        <f t="shared" si="24"/>
        <v>41.70930770854261</v>
      </c>
      <c r="E106" s="385">
        <f t="shared" si="45"/>
        <v>43.081837504470215</v>
      </c>
      <c r="F106" s="385">
        <f t="shared" si="25"/>
        <v>43.081846997311743</v>
      </c>
      <c r="G106" s="110">
        <f t="shared" si="46"/>
        <v>0.77648733838680328</v>
      </c>
      <c r="H106" s="414" t="b">
        <f>Wh_hp&gt;='2019'!Maxi_hp</f>
        <v>1</v>
      </c>
      <c r="I106" s="380">
        <f>IF(H106,Wh_hp,'2019'!Maxi_hp)</f>
        <v>43.081846997311743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1.4416631240787958E-2</v>
      </c>
      <c r="M106" s="845"/>
      <c r="N106" s="845"/>
      <c r="O106" s="48">
        <f>IF(t&lt;Tnet,'2019'!Resal+('2019'!Salim-'2019'!Resal)*(1-EXP(('2019'!Tnet-t)/('2019'!Tau_j))),Resal+(Salim-Resal)*(1-EXP((Tnet-t)/(Tau_j))))*Salcycl</f>
        <v>3.185866424070681E-2</v>
      </c>
      <c r="P106" s="169">
        <f>(INDEX(Models!$BJ106:$BT106,,T106)*(1-R106)+INDEX(Models!$BJ106:$BT106,,T106+1)*R106-ERP_i)*Q106*Ramure*Pc/MaxiM</f>
        <v>3.2370433778250892E-7</v>
      </c>
      <c r="Q106" s="305">
        <f t="shared" si="27"/>
        <v>0.5</v>
      </c>
      <c r="R106" s="177">
        <f t="shared" si="28"/>
        <v>2.4455527970135837E-2</v>
      </c>
      <c r="S106" s="811">
        <f t="shared" si="29"/>
        <v>-1</v>
      </c>
      <c r="T106" s="176">
        <f t="shared" si="30"/>
        <v>5</v>
      </c>
      <c r="U106" s="251">
        <f t="shared" si="31"/>
        <v>-0.97554447202986416</v>
      </c>
      <c r="V106" s="383">
        <f t="shared" si="32"/>
        <v>52.940973688612665</v>
      </c>
      <c r="W106" s="402"/>
      <c r="X106" s="157">
        <f t="shared" si="33"/>
        <v>43922</v>
      </c>
      <c r="Y106" s="385">
        <f t="shared" si="34"/>
        <v>41.107999999999997</v>
      </c>
      <c r="Z106" s="385">
        <f t="shared" si="35"/>
        <v>41.70930770854261</v>
      </c>
      <c r="AA106" s="386">
        <f t="shared" si="36"/>
        <v>43.081837504470215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3.185866424070681E-2</v>
      </c>
      <c r="AD106" s="231">
        <f>(INDEX(Models!$BJ106:$BT106,,AH106)*(1-AF106)+INDEX(Models!$BJ106:$BT106,,AH106+1)*AF106-ERP_i)*AE106*Ramure*Pc/MaxiM</f>
        <v>3.2370433778250892E-7</v>
      </c>
      <c r="AE106" s="305">
        <f t="shared" si="38"/>
        <v>0.5</v>
      </c>
      <c r="AF106" s="177">
        <f t="shared" si="39"/>
        <v>2.4455527970135837E-2</v>
      </c>
      <c r="AG106" s="811">
        <f t="shared" si="47"/>
        <v>-1</v>
      </c>
      <c r="AH106" s="176">
        <f t="shared" si="40"/>
        <v>5</v>
      </c>
      <c r="AI106" s="225">
        <f t="shared" si="41"/>
        <v>-0.97554447202986416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7">
        <v>27.282</v>
      </c>
      <c r="C107" s="390"/>
      <c r="D107" s="393">
        <f t="shared" si="24"/>
        <v>27.681674045750761</v>
      </c>
      <c r="E107" s="385">
        <f t="shared" si="45"/>
        <v>28.594989218467877</v>
      </c>
      <c r="F107" s="385">
        <f t="shared" si="25"/>
        <v>28.594992021729347</v>
      </c>
      <c r="G107" s="110">
        <f t="shared" si="46"/>
        <v>0.512557427236639</v>
      </c>
      <c r="H107" s="414" t="b">
        <f>Wh_hp&gt;='2019'!Maxi_hp</f>
        <v>1</v>
      </c>
      <c r="I107" s="380">
        <f>IF(H107,Wh_hp,'2019'!Maxi_hp)</f>
        <v>28.594992021729347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1.4438218045996765E-2</v>
      </c>
      <c r="M107" s="845"/>
      <c r="N107" s="845"/>
      <c r="O107" s="48">
        <f>IF(t&lt;Tnet,'2019'!Resal+('2019'!Salim-'2019'!Resal)*(1-EXP(('2019'!Tnet-t)/('2019'!Tau_j))),Resal+(Salim-Resal)*(1-EXP((Tnet-t)/(Tau_j))))*Salcycl</f>
        <v>3.193969285105578E-2</v>
      </c>
      <c r="P107" s="169">
        <f>(INDEX(Models!$BJ107:$BT107,,T107)*(1-R107)+INDEX(Models!$BJ107:$BT107,,T107+1)*R107-ERP_i)*Q107*Ramure*Pc/MaxiM</f>
        <v>3.2284580539421484E-7</v>
      </c>
      <c r="Q107" s="305">
        <f t="shared" si="27"/>
        <v>0.5</v>
      </c>
      <c r="R107" s="177">
        <f t="shared" si="28"/>
        <v>2.5553112774949427E-2</v>
      </c>
      <c r="S107" s="811">
        <f t="shared" si="29"/>
        <v>-1</v>
      </c>
      <c r="T107" s="176">
        <f t="shared" si="30"/>
        <v>5</v>
      </c>
      <c r="U107" s="251">
        <f t="shared" si="31"/>
        <v>-0.97444688722505057</v>
      </c>
      <c r="V107" s="383">
        <f t="shared" si="32"/>
        <v>53.227194489699656</v>
      </c>
      <c r="W107" s="402"/>
      <c r="X107" s="157">
        <f t="shared" si="33"/>
        <v>43923</v>
      </c>
      <c r="Y107" s="385">
        <f t="shared" si="34"/>
        <v>27.282</v>
      </c>
      <c r="Z107" s="385">
        <f t="shared" si="35"/>
        <v>27.681674045750761</v>
      </c>
      <c r="AA107" s="386">
        <f t="shared" si="36"/>
        <v>28.594989218467877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3.193969285105578E-2</v>
      </c>
      <c r="AD107" s="231">
        <f>(INDEX(Models!$BJ107:$BT107,,AH107)*(1-AF107)+INDEX(Models!$BJ107:$BT107,,AH107+1)*AF107-ERP_i)*AE107*Ramure*Pc/MaxiM</f>
        <v>3.2284580539421484E-7</v>
      </c>
      <c r="AE107" s="305">
        <f t="shared" si="38"/>
        <v>0.5</v>
      </c>
      <c r="AF107" s="177">
        <f t="shared" si="39"/>
        <v>2.5553112774949427E-2</v>
      </c>
      <c r="AG107" s="811">
        <f t="shared" si="47"/>
        <v>-1</v>
      </c>
      <c r="AH107" s="176">
        <f t="shared" si="40"/>
        <v>5</v>
      </c>
      <c r="AI107" s="225">
        <f t="shared" si="41"/>
        <v>-0.97444688722505057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7">
        <v>53.935000000000002</v>
      </c>
      <c r="C108" s="390"/>
      <c r="D108" s="393">
        <f t="shared" si="24"/>
        <v>54.726332055875275</v>
      </c>
      <c r="E108" s="385">
        <f t="shared" si="45"/>
        <v>56.536693663406197</v>
      </c>
      <c r="F108" s="385">
        <f t="shared" si="25"/>
        <v>56.536713073450201</v>
      </c>
      <c r="G108" s="110">
        <f t="shared" si="46"/>
        <v>1.00798054514934</v>
      </c>
      <c r="H108" s="414" t="b">
        <f>Wh_hp&gt;='2019'!Maxi_hp</f>
        <v>1</v>
      </c>
      <c r="I108" s="380">
        <f>IF(H108,Wh_hp,'2019'!Maxi_hp)</f>
        <v>56.536713073450201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1.4459804378399221E-2</v>
      </c>
      <c r="M108" s="845"/>
      <c r="N108" s="845"/>
      <c r="O108" s="48">
        <f>IF(t&lt;Tnet,'2019'!Resal+('2019'!Salim-'2019'!Resal)*(1-EXP(('2019'!Tnet-t)/('2019'!Tau_j))),Resal+(Salim-Resal)*(1-EXP((Tnet-t)/(Tau_j))))*Salcycl</f>
        <v>3.2021002471580517E-2</v>
      </c>
      <c r="P108" s="169">
        <f>(INDEX(Models!$BJ108:$BT108,,T108)*(1-R108)+INDEX(Models!$BJ108:$BT108,,T108+1)*R108-ERP_i)*Q108*Ramure*Pc/MaxiM</f>
        <v>3.4331751795282485E-7</v>
      </c>
      <c r="Q108" s="305">
        <f t="shared" si="27"/>
        <v>0.5</v>
      </c>
      <c r="R108" s="177">
        <f t="shared" si="28"/>
        <v>2.6691338809802123E-2</v>
      </c>
      <c r="S108" s="811">
        <f t="shared" si="29"/>
        <v>-1</v>
      </c>
      <c r="T108" s="176">
        <f t="shared" si="30"/>
        <v>5</v>
      </c>
      <c r="U108" s="251">
        <f t="shared" si="31"/>
        <v>-0.97330866119019788</v>
      </c>
      <c r="V108" s="383">
        <f t="shared" si="32"/>
        <v>53.507977172326392</v>
      </c>
      <c r="W108" s="402"/>
      <c r="X108" s="157">
        <f t="shared" si="33"/>
        <v>43924</v>
      </c>
      <c r="Y108" s="385">
        <f t="shared" si="34"/>
        <v>53.935000000000002</v>
      </c>
      <c r="Z108" s="385">
        <f t="shared" si="35"/>
        <v>54.726332055875275</v>
      </c>
      <c r="AA108" s="386">
        <f t="shared" si="36"/>
        <v>56.536693663406197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3.2021002471580517E-2</v>
      </c>
      <c r="AD108" s="231">
        <f>(INDEX(Models!$BJ108:$BT108,,AH108)*(1-AF108)+INDEX(Models!$BJ108:$BT108,,AH108+1)*AF108-ERP_i)*AE108*Ramure*Pc/MaxiM</f>
        <v>3.4331751795282485E-7</v>
      </c>
      <c r="AE108" s="305">
        <f t="shared" si="38"/>
        <v>0.5</v>
      </c>
      <c r="AF108" s="177">
        <f t="shared" si="39"/>
        <v>2.6691338809802123E-2</v>
      </c>
      <c r="AG108" s="811">
        <f t="shared" si="47"/>
        <v>-1</v>
      </c>
      <c r="AH108" s="176">
        <f t="shared" si="40"/>
        <v>5</v>
      </c>
      <c r="AI108" s="225">
        <f t="shared" si="41"/>
        <v>-0.97330866119019788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7">
        <v>55.92</v>
      </c>
      <c r="C109" s="390"/>
      <c r="D109" s="393">
        <f t="shared" si="24"/>
        <v>56.741698681372277</v>
      </c>
      <c r="E109" s="385">
        <f t="shared" si="45"/>
        <v>58.623671303095797</v>
      </c>
      <c r="F109" s="385">
        <f t="shared" si="25"/>
        <v>58.623693621493487</v>
      </c>
      <c r="G109" s="110">
        <f t="shared" si="46"/>
        <v>1.0397294862542357</v>
      </c>
      <c r="H109" s="414" t="b">
        <f>Wh_hp&gt;='2019'!Maxi_hp</f>
        <v>1</v>
      </c>
      <c r="I109" s="380">
        <f>IF(H109,Wh_hp,'2019'!Maxi_hp)</f>
        <v>58.623693621493487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1.4481390238005543E-2</v>
      </c>
      <c r="M109" s="845"/>
      <c r="N109" s="845"/>
      <c r="O109" s="48">
        <f>IF(t&lt;Tnet,'2019'!Resal+('2019'!Salim-'2019'!Resal)*(1-EXP(('2019'!Tnet-t)/('2019'!Tau_j))),Resal+(Salim-Resal)*(1-EXP((Tnet-t)/(Tau_j))))*Salcycl</f>
        <v>3.2102605993291629E-2</v>
      </c>
      <c r="P109" s="169">
        <f>(INDEX(Models!$BJ109:$BT109,,T109)*(1-R109)+INDEX(Models!$BJ109:$BT109,,T109+1)*R109-ERP_i)*Q109*Ramure*Pc/MaxiM</f>
        <v>3.807060987163949E-7</v>
      </c>
      <c r="Q109" s="305">
        <f t="shared" si="27"/>
        <v>0.5</v>
      </c>
      <c r="R109" s="177">
        <f t="shared" si="28"/>
        <v>2.7871490437820778E-2</v>
      </c>
      <c r="S109" s="811">
        <f t="shared" si="29"/>
        <v>-1</v>
      </c>
      <c r="T109" s="176">
        <f t="shared" si="30"/>
        <v>5</v>
      </c>
      <c r="U109" s="251">
        <f t="shared" si="31"/>
        <v>-0.97212850956217922</v>
      </c>
      <c r="V109" s="383">
        <f t="shared" si="32"/>
        <v>53.783220288826527</v>
      </c>
      <c r="W109" s="402"/>
      <c r="X109" s="157">
        <f t="shared" si="33"/>
        <v>43925</v>
      </c>
      <c r="Y109" s="385">
        <f t="shared" si="34"/>
        <v>55.92</v>
      </c>
      <c r="Z109" s="385">
        <f t="shared" si="35"/>
        <v>56.741698681372277</v>
      </c>
      <c r="AA109" s="386">
        <f t="shared" si="36"/>
        <v>58.623671303095797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3.2102605993291629E-2</v>
      </c>
      <c r="AD109" s="231">
        <f>(INDEX(Models!$BJ109:$BT109,,AH109)*(1-AF109)+INDEX(Models!$BJ109:$BT109,,AH109+1)*AF109-ERP_i)*AE109*Ramure*Pc/MaxiM</f>
        <v>3.807060987163949E-7</v>
      </c>
      <c r="AE109" s="305">
        <f t="shared" si="38"/>
        <v>0.5</v>
      </c>
      <c r="AF109" s="177">
        <f t="shared" si="39"/>
        <v>2.7871490437820778E-2</v>
      </c>
      <c r="AG109" s="811">
        <f t="shared" si="47"/>
        <v>-1</v>
      </c>
      <c r="AH109" s="176">
        <f t="shared" si="40"/>
        <v>5</v>
      </c>
      <c r="AI109" s="225">
        <f t="shared" si="41"/>
        <v>-0.97212850956217922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7">
        <v>56.610999999999997</v>
      </c>
      <c r="C110" s="390"/>
      <c r="D110" s="393">
        <f t="shared" si="24"/>
        <v>57.44411053487714</v>
      </c>
      <c r="E110" s="385">
        <f t="shared" si="45"/>
        <v>59.354403281915566</v>
      </c>
      <c r="F110" s="385">
        <f t="shared" si="25"/>
        <v>59.354429100482541</v>
      </c>
      <c r="G110" s="110">
        <f t="shared" si="46"/>
        <v>1.0473273676681727</v>
      </c>
      <c r="H110" s="414" t="b">
        <f>Wh_hp&gt;='2019'!Maxi_hp</f>
        <v>1</v>
      </c>
      <c r="I110" s="380">
        <f>IF(H110,Wh_hp,'2019'!Maxi_hp)</f>
        <v>59.354429100482541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1.4502975624826164E-2</v>
      </c>
      <c r="M110" s="845"/>
      <c r="N110" s="845"/>
      <c r="O110" s="48">
        <f>IF(t&lt;Tnet,'2019'!Resal+('2019'!Salim-'2019'!Resal)*(1-EXP(('2019'!Tnet-t)/('2019'!Tau_j))),Resal+(Salim-Resal)*(1-EXP((Tnet-t)/(Tau_j))))*Salcycl</f>
        <v>3.2184516083248481E-2</v>
      </c>
      <c r="P110" s="169">
        <f>(INDEX(Models!$BJ110:$BT110,,T110)*(1-R110)+INDEX(Models!$BJ110:$BT110,,T110+1)*R110-ERP_i)*Q110*Ramure*Pc/MaxiM</f>
        <v>4.3498972815587135E-7</v>
      </c>
      <c r="Q110" s="305">
        <f t="shared" si="27"/>
        <v>0.5</v>
      </c>
      <c r="R110" s="177">
        <f t="shared" si="28"/>
        <v>2.909487496086105E-2</v>
      </c>
      <c r="S110" s="811">
        <f t="shared" si="29"/>
        <v>-1</v>
      </c>
      <c r="T110" s="176">
        <f t="shared" si="30"/>
        <v>5</v>
      </c>
      <c r="U110" s="251">
        <f t="shared" si="31"/>
        <v>-0.97090512503913895</v>
      </c>
      <c r="V110" s="383">
        <f t="shared" si="32"/>
        <v>54.052822209775577</v>
      </c>
      <c r="W110" s="402"/>
      <c r="X110" s="157">
        <f t="shared" si="33"/>
        <v>43926</v>
      </c>
      <c r="Y110" s="385">
        <f t="shared" si="34"/>
        <v>56.610999999999997</v>
      </c>
      <c r="Z110" s="385">
        <f t="shared" si="35"/>
        <v>57.44411053487714</v>
      </c>
      <c r="AA110" s="386">
        <f t="shared" si="36"/>
        <v>59.354403281915566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3.2184516083248481E-2</v>
      </c>
      <c r="AD110" s="231">
        <f>(INDEX(Models!$BJ110:$BT110,,AH110)*(1-AF110)+INDEX(Models!$BJ110:$BT110,,AH110+1)*AF110-ERP_i)*AE110*Ramure*Pc/MaxiM</f>
        <v>4.3498972815587135E-7</v>
      </c>
      <c r="AE110" s="305">
        <f t="shared" si="38"/>
        <v>0.5</v>
      </c>
      <c r="AF110" s="177">
        <f t="shared" si="39"/>
        <v>2.909487496086105E-2</v>
      </c>
      <c r="AG110" s="811">
        <f t="shared" si="47"/>
        <v>-1</v>
      </c>
      <c r="AH110" s="176">
        <f t="shared" si="40"/>
        <v>5</v>
      </c>
      <c r="AI110" s="225">
        <f t="shared" si="41"/>
        <v>-0.97090512503913895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7">
        <v>31.013000000000002</v>
      </c>
      <c r="C111" s="390"/>
      <c r="D111" s="393">
        <f t="shared" si="24"/>
        <v>31.470089215981204</v>
      </c>
      <c r="E111" s="385">
        <f t="shared" si="45"/>
        <v>32.519383888654431</v>
      </c>
      <c r="F111" s="385">
        <f t="shared" si="25"/>
        <v>32.519390260501204</v>
      </c>
      <c r="G111" s="110">
        <f t="shared" si="46"/>
        <v>0.57096622261074004</v>
      </c>
      <c r="H111" s="414" t="b">
        <f>Wh_hp&gt;='2019'!Maxi_hp</f>
        <v>0</v>
      </c>
      <c r="I111" s="380">
        <f>IF(H111,Wh_hp,'2019'!Maxi_hp)</f>
        <v>35.535119066308624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1.4524560538871412E-2</v>
      </c>
      <c r="M111" s="845"/>
      <c r="N111" s="845"/>
      <c r="O111" s="48">
        <f>IF(t&lt;Tnet,'2019'!Resal+('2019'!Salim-'2019'!Resal)*(1-EXP(('2019'!Tnet-t)/('2019'!Tau_j))),Resal+(Salim-Resal)*(1-EXP((Tnet-t)/(Tau_j))))*Salcycl</f>
        <v>3.2266745159317392E-2</v>
      </c>
      <c r="P111" s="169">
        <f>(INDEX(Models!$BJ111:$BT111,,T111)*(1-R111)+INDEX(Models!$BJ111:$BT111,,T111+1)*R111-ERP_i)*Q111*Ramure*Pc/MaxiM</f>
        <v>5.0618063744514237E-7</v>
      </c>
      <c r="Q111" s="305">
        <f t="shared" si="27"/>
        <v>0.5</v>
      </c>
      <c r="R111" s="177">
        <f t="shared" si="28"/>
        <v>3.0362821521810024E-2</v>
      </c>
      <c r="S111" s="811">
        <f t="shared" si="29"/>
        <v>-1</v>
      </c>
      <c r="T111" s="176">
        <f t="shared" si="30"/>
        <v>5</v>
      </c>
      <c r="U111" s="251">
        <f t="shared" si="31"/>
        <v>-0.96963717847818998</v>
      </c>
      <c r="V111" s="383">
        <f t="shared" si="32"/>
        <v>54.316681355853348</v>
      </c>
      <c r="W111" s="402"/>
      <c r="X111" s="157">
        <f t="shared" si="33"/>
        <v>43927</v>
      </c>
      <c r="Y111" s="385">
        <f t="shared" si="34"/>
        <v>31.013000000000005</v>
      </c>
      <c r="Z111" s="385">
        <f t="shared" si="35"/>
        <v>31.470089215981208</v>
      </c>
      <c r="AA111" s="386">
        <f t="shared" si="36"/>
        <v>32.519383888654431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3.2266745159317392E-2</v>
      </c>
      <c r="AD111" s="231">
        <f>(INDEX(Models!$BJ111:$BT111,,AH111)*(1-AF111)+INDEX(Models!$BJ111:$BT111,,AH111+1)*AF111-ERP_i)*AE111*Ramure*Pc/MaxiM</f>
        <v>5.0618063744514237E-7</v>
      </c>
      <c r="AE111" s="305">
        <f t="shared" si="38"/>
        <v>0.5</v>
      </c>
      <c r="AF111" s="177">
        <f t="shared" si="39"/>
        <v>3.0362821521810024E-2</v>
      </c>
      <c r="AG111" s="811">
        <f t="shared" si="47"/>
        <v>-1</v>
      </c>
      <c r="AH111" s="176">
        <f t="shared" si="40"/>
        <v>5</v>
      </c>
      <c r="AI111" s="225">
        <f t="shared" si="41"/>
        <v>-0.96963717847818998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7">
        <v>37.343000000000004</v>
      </c>
      <c r="C112" s="390"/>
      <c r="D112" s="393">
        <f t="shared" si="24"/>
        <v>37.894214741539436</v>
      </c>
      <c r="E112" s="385">
        <f t="shared" si="45"/>
        <v>39.161047423052025</v>
      </c>
      <c r="F112" s="385">
        <f t="shared" si="25"/>
        <v>39.161060199211001</v>
      </c>
      <c r="G112" s="110">
        <f t="shared" si="46"/>
        <v>0.68425465617967618</v>
      </c>
      <c r="H112" s="414" t="b">
        <f>Wh_hp&gt;='2019'!Maxi_hp</f>
        <v>1</v>
      </c>
      <c r="I112" s="380">
        <f>IF(H112,Wh_hp,'2019'!Maxi_hp)</f>
        <v>39.161060199211001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1.4546144980151721E-2</v>
      </c>
      <c r="M112" s="845"/>
      <c r="N112" s="845"/>
      <c r="O112" s="48">
        <f>IF(t&lt;Tnet,'2019'!Resal+('2019'!Salim-'2019'!Resal)*(1-EXP(('2019'!Tnet-t)/('2019'!Tau_j))),Resal+(Salim-Resal)*(1-EXP((Tnet-t)/(Tau_j))))*Salcycl</f>
        <v>3.2349305365281827E-2</v>
      </c>
      <c r="P112" s="169">
        <f>(INDEX(Models!$BJ112:$BT112,,T112)*(1-R112)+INDEX(Models!$BJ112:$BT112,,T112+1)*R112-ERP_i)*Q112*Ramure*Pc/MaxiM</f>
        <v>5.9432576792848782E-7</v>
      </c>
      <c r="Q112" s="305">
        <f t="shared" si="27"/>
        <v>0.5</v>
      </c>
      <c r="R112" s="177">
        <f t="shared" si="28"/>
        <v>3.167667984955358E-2</v>
      </c>
      <c r="S112" s="811">
        <f t="shared" si="29"/>
        <v>-1</v>
      </c>
      <c r="T112" s="176">
        <f t="shared" si="30"/>
        <v>5</v>
      </c>
      <c r="U112" s="251">
        <f t="shared" si="31"/>
        <v>-0.96832332015044642</v>
      </c>
      <c r="V112" s="383">
        <f t="shared" si="32"/>
        <v>54.574696206827127</v>
      </c>
      <c r="W112" s="402"/>
      <c r="X112" s="157">
        <f t="shared" si="33"/>
        <v>43928</v>
      </c>
      <c r="Y112" s="385">
        <f t="shared" si="34"/>
        <v>37.343000000000004</v>
      </c>
      <c r="Z112" s="385">
        <f t="shared" si="35"/>
        <v>37.894214741539436</v>
      </c>
      <c r="AA112" s="386">
        <f t="shared" si="36"/>
        <v>39.161047423052025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3.2349305365281827E-2</v>
      </c>
      <c r="AD112" s="231">
        <f>(INDEX(Models!$BJ112:$BT112,,AH112)*(1-AF112)+INDEX(Models!$BJ112:$BT112,,AH112+1)*AF112-ERP_i)*AE112*Ramure*Pc/MaxiM</f>
        <v>5.9432576792848782E-7</v>
      </c>
      <c r="AE112" s="305">
        <f t="shared" si="38"/>
        <v>0.5</v>
      </c>
      <c r="AF112" s="177">
        <f t="shared" si="39"/>
        <v>3.167667984955358E-2</v>
      </c>
      <c r="AG112" s="811">
        <f t="shared" si="47"/>
        <v>-1</v>
      </c>
      <c r="AH112" s="176">
        <f t="shared" si="40"/>
        <v>5</v>
      </c>
      <c r="AI112" s="225">
        <f t="shared" si="41"/>
        <v>-0.96832332015044642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7">
        <v>39.679000000000002</v>
      </c>
      <c r="C113" s="390"/>
      <c r="D113" s="393">
        <f t="shared" si="24"/>
        <v>40.265578026654119</v>
      </c>
      <c r="E113" s="385">
        <f t="shared" si="45"/>
        <v>41.615252576929663</v>
      </c>
      <c r="F113" s="385">
        <f t="shared" si="25"/>
        <v>41.615270197572919</v>
      </c>
      <c r="G113" s="110">
        <f t="shared" si="46"/>
        <v>0.72371566754061956</v>
      </c>
      <c r="H113" s="414" t="b">
        <f>Wh_hp&gt;='2019'!Maxi_hp</f>
        <v>0</v>
      </c>
      <c r="I113" s="380">
        <f>IF(H113,Wh_hp,'2019'!Maxi_hp)</f>
        <v>41.648731192226585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1.4567728948677305E-2</v>
      </c>
      <c r="M113" s="845"/>
      <c r="N113" s="845"/>
      <c r="O113" s="48">
        <f>IF(t&lt;Tnet,'2019'!Resal+('2019'!Salim-'2019'!Resal)*(1-EXP(('2019'!Tnet-t)/('2019'!Tau_j))),Resal+(Salim-Resal)*(1-EXP((Tnet-t)/(Tau_j))))*Salcycl</f>
        <v>3.2432208546146618E-2</v>
      </c>
      <c r="P113" s="169">
        <f>(INDEX(Models!$BJ113:$BT113,,T113)*(1-R113)+INDEX(Models!$BJ113:$BT113,,T113+1)*R113-ERP_i)*Q113*Ramure*Pc/MaxiM</f>
        <v>6.9950746251841487E-7</v>
      </c>
      <c r="Q113" s="305">
        <f t="shared" si="27"/>
        <v>0.5</v>
      </c>
      <c r="R113" s="177">
        <f t="shared" si="28"/>
        <v>3.3037818837119648E-2</v>
      </c>
      <c r="S113" s="811">
        <f t="shared" si="29"/>
        <v>-1</v>
      </c>
      <c r="T113" s="176">
        <f t="shared" si="30"/>
        <v>5</v>
      </c>
      <c r="U113" s="251">
        <f t="shared" si="31"/>
        <v>-0.96696218116288035</v>
      </c>
      <c r="V113" s="383">
        <f t="shared" si="32"/>
        <v>54.826765295645394</v>
      </c>
      <c r="W113" s="402"/>
      <c r="X113" s="157">
        <f t="shared" si="33"/>
        <v>43929</v>
      </c>
      <c r="Y113" s="385">
        <f t="shared" si="34"/>
        <v>39.679000000000002</v>
      </c>
      <c r="Z113" s="385">
        <f t="shared" si="35"/>
        <v>40.265578026654119</v>
      </c>
      <c r="AA113" s="386">
        <f t="shared" si="36"/>
        <v>41.615252576929663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3.2432208546146618E-2</v>
      </c>
      <c r="AD113" s="231">
        <f>(INDEX(Models!$BJ113:$BT113,,AH113)*(1-AF113)+INDEX(Models!$BJ113:$BT113,,AH113+1)*AF113-ERP_i)*AE113*Ramure*Pc/MaxiM</f>
        <v>6.9950746251841487E-7</v>
      </c>
      <c r="AE113" s="305">
        <f t="shared" si="38"/>
        <v>0.5</v>
      </c>
      <c r="AF113" s="177">
        <f t="shared" si="39"/>
        <v>3.3037818837119648E-2</v>
      </c>
      <c r="AG113" s="811">
        <f t="shared" si="47"/>
        <v>-1</v>
      </c>
      <c r="AH113" s="176">
        <f t="shared" si="40"/>
        <v>5</v>
      </c>
      <c r="AI113" s="225">
        <f t="shared" si="41"/>
        <v>-0.96696218116288035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7">
        <v>55.353000000000002</v>
      </c>
      <c r="C114" s="390"/>
      <c r="D114" s="393">
        <f t="shared" si="24"/>
        <v>56.172518422051411</v>
      </c>
      <c r="E114" s="385">
        <f t="shared" si="45"/>
        <v>58.060378704747485</v>
      </c>
      <c r="F114" s="385">
        <f t="shared" si="25"/>
        <v>58.06042842516851</v>
      </c>
      <c r="G114" s="110">
        <f t="shared" si="46"/>
        <v>1.0050880789581171</v>
      </c>
      <c r="H114" s="414" t="b">
        <f>Wh_hp&gt;='2019'!Maxi_hp</f>
        <v>1</v>
      </c>
      <c r="I114" s="380">
        <f>IF(H114,Wh_hp,'2019'!Maxi_hp)</f>
        <v>58.06042842516851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1.4589312444458491E-2</v>
      </c>
      <c r="M114" s="845"/>
      <c r="N114" s="845"/>
      <c r="O114" s="48">
        <f>IF(t&lt;Tnet,'2019'!Resal+('2019'!Salim-'2019'!Resal)*(1-EXP(('2019'!Tnet-t)/('2019'!Tau_j))),Resal+(Salim-Resal)*(1-EXP((Tnet-t)/(Tau_j))))*Salcycl</f>
        <v>3.2515466223469701E-2</v>
      </c>
      <c r="P114" s="169">
        <f>(INDEX(Models!$BJ114:$BT114,,T114)*(1-R114)+INDEX(Models!$BJ114:$BT114,,T114+1)*R114-ERP_i)*Q114*Ramure*Pc/MaxiM</f>
        <v>8.5635642676587732E-7</v>
      </c>
      <c r="Q114" s="305">
        <f t="shared" si="27"/>
        <v>0.5</v>
      </c>
      <c r="R114" s="177">
        <f t="shared" si="28"/>
        <v>3.4447624943462207E-2</v>
      </c>
      <c r="S114" s="811">
        <f t="shared" si="29"/>
        <v>-1</v>
      </c>
      <c r="T114" s="176">
        <f t="shared" si="30"/>
        <v>5</v>
      </c>
      <c r="U114" s="251">
        <f t="shared" si="31"/>
        <v>-0.96555237505653779</v>
      </c>
      <c r="V114" s="383">
        <f t="shared" si="32"/>
        <v>55.072785319849181</v>
      </c>
      <c r="W114" s="402"/>
      <c r="X114" s="157">
        <f t="shared" si="33"/>
        <v>43930</v>
      </c>
      <c r="Y114" s="385">
        <f t="shared" si="34"/>
        <v>55.353000000000002</v>
      </c>
      <c r="Z114" s="385">
        <f t="shared" si="35"/>
        <v>56.172518422051411</v>
      </c>
      <c r="AA114" s="386">
        <f t="shared" si="36"/>
        <v>58.060378704747485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3.2515466223469701E-2</v>
      </c>
      <c r="AD114" s="231">
        <f>(INDEX(Models!$BJ114:$BT114,,AH114)*(1-AF114)+INDEX(Models!$BJ114:$BT114,,AH114+1)*AF114-ERP_i)*AE114*Ramure*Pc/MaxiM</f>
        <v>8.5635642676587732E-7</v>
      </c>
      <c r="AE114" s="305">
        <f t="shared" si="38"/>
        <v>0.5</v>
      </c>
      <c r="AF114" s="177">
        <f t="shared" si="39"/>
        <v>3.4447624943462207E-2</v>
      </c>
      <c r="AG114" s="811">
        <f t="shared" si="47"/>
        <v>-1</v>
      </c>
      <c r="AH114" s="176">
        <f t="shared" si="40"/>
        <v>5</v>
      </c>
      <c r="AI114" s="225">
        <f t="shared" si="41"/>
        <v>-0.96555237505653779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7">
        <v>56.36</v>
      </c>
      <c r="C115" s="390"/>
      <c r="D115" s="393">
        <f t="shared" si="24"/>
        <v>57.195680103180472</v>
      </c>
      <c r="E115" s="385">
        <f t="shared" si="45"/>
        <v>59.123037291530103</v>
      </c>
      <c r="F115" s="385">
        <f t="shared" si="25"/>
        <v>59.123099904366789</v>
      </c>
      <c r="G115" s="110">
        <f t="shared" si="46"/>
        <v>1.0189349932726561</v>
      </c>
      <c r="H115" s="414" t="b">
        <f>Wh_hp&gt;='2019'!Maxi_hp</f>
        <v>1</v>
      </c>
      <c r="I115" s="380">
        <f>IF(H115,Wh_hp,'2019'!Maxi_hp)</f>
        <v>59.123099904366789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1.4610895467505824E-2</v>
      </c>
      <c r="M115" s="845"/>
      <c r="N115" s="845"/>
      <c r="O115" s="48">
        <f>IF(t&lt;Tnet,'2019'!Resal+('2019'!Salim-'2019'!Resal)*(1-EXP(('2019'!Tnet-t)/('2019'!Tau_j))),Resal+(Salim-Resal)*(1-EXP((Tnet-t)/(Tau_j))))*Salcycl</f>
        <v>3.2599089570551278E-2</v>
      </c>
      <c r="P115" s="169">
        <f>(INDEX(Models!$BJ115:$BT115,,T115)*(1-R115)+INDEX(Models!$BJ115:$BT115,,T115+1)*R115-ERP_i)*Q115*Ramure*Pc/MaxiM</f>
        <v>1.0590249291119009E-6</v>
      </c>
      <c r="Q115" s="305">
        <f t="shared" si="27"/>
        <v>0.5</v>
      </c>
      <c r="R115" s="177">
        <f t="shared" si="28"/>
        <v>3.5907500409359305E-2</v>
      </c>
      <c r="S115" s="811">
        <f t="shared" si="29"/>
        <v>-1</v>
      </c>
      <c r="T115" s="176">
        <f t="shared" si="30"/>
        <v>5</v>
      </c>
      <c r="U115" s="251">
        <f t="shared" si="31"/>
        <v>-0.96409249959064069</v>
      </c>
      <c r="V115" s="383">
        <f t="shared" si="32"/>
        <v>55.312655245042372</v>
      </c>
      <c r="W115" s="402"/>
      <c r="X115" s="157">
        <f t="shared" si="33"/>
        <v>43931</v>
      </c>
      <c r="Y115" s="385">
        <f t="shared" si="34"/>
        <v>56.36</v>
      </c>
      <c r="Z115" s="385">
        <f t="shared" si="35"/>
        <v>57.195680103180472</v>
      </c>
      <c r="AA115" s="386">
        <f t="shared" si="36"/>
        <v>59.123037291530103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3.2599089570551278E-2</v>
      </c>
      <c r="AD115" s="231">
        <f>(INDEX(Models!$BJ115:$BT115,,AH115)*(1-AF115)+INDEX(Models!$BJ115:$BT115,,AH115+1)*AF115-ERP_i)*AE115*Ramure*Pc/MaxiM</f>
        <v>1.0590249291119009E-6</v>
      </c>
      <c r="AE115" s="305">
        <f t="shared" si="38"/>
        <v>0.5</v>
      </c>
      <c r="AF115" s="177">
        <f t="shared" si="39"/>
        <v>3.5907500409359305E-2</v>
      </c>
      <c r="AG115" s="811">
        <f t="shared" si="47"/>
        <v>-1</v>
      </c>
      <c r="AH115" s="176">
        <f t="shared" si="40"/>
        <v>5</v>
      </c>
      <c r="AI115" s="225">
        <f t="shared" si="41"/>
        <v>-0.96409249959064069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7">
        <v>55.3</v>
      </c>
      <c r="C116" s="390"/>
      <c r="D116" s="393">
        <f t="shared" si="24"/>
        <v>56.121192109882244</v>
      </c>
      <c r="E116" s="385">
        <f t="shared" si="45"/>
        <v>58.017379303681921</v>
      </c>
      <c r="F116" s="385">
        <f t="shared" si="25"/>
        <v>58.017454693837799</v>
      </c>
      <c r="G116" s="110">
        <f t="shared" si="46"/>
        <v>0.99556632301904624</v>
      </c>
      <c r="H116" s="414" t="b">
        <f>Wh_hp&gt;='2019'!Maxi_hp</f>
        <v>0</v>
      </c>
      <c r="I116" s="380">
        <f>IF(H116,Wh_hp,'2019'!Maxi_hp)</f>
        <v>58.323508945597986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1.4632478017829631E-2</v>
      </c>
      <c r="M116" s="845"/>
      <c r="N116" s="845"/>
      <c r="O116" s="48">
        <f>IF(t&lt;Tnet,'2019'!Resal+('2019'!Salim-'2019'!Resal)*(1-EXP(('2019'!Tnet-t)/('2019'!Tau_j))),Resal+(Salim-Resal)*(1-EXP((Tnet-t)/(Tau_j))))*Salcycl</f>
        <v>3.2683089387309475E-2</v>
      </c>
      <c r="P116" s="169">
        <f>(INDEX(Models!$BJ116:$BT116,,T116)*(1-R116)+INDEX(Models!$BJ116:$BT116,,T116+1)*R116-ERP_i)*Q116*Ramure*Pc/MaxiM</f>
        <v>1.3077220831513732E-6</v>
      </c>
      <c r="Q116" s="305">
        <f t="shared" si="27"/>
        <v>0.5</v>
      </c>
      <c r="R116" s="177">
        <f t="shared" si="28"/>
        <v>3.7418861277987658E-2</v>
      </c>
      <c r="S116" s="811">
        <f t="shared" si="29"/>
        <v>-1</v>
      </c>
      <c r="T116" s="176">
        <f t="shared" si="30"/>
        <v>5</v>
      </c>
      <c r="U116" s="251">
        <f t="shared" si="31"/>
        <v>-0.96258113872201234</v>
      </c>
      <c r="V116" s="383">
        <f t="shared" si="32"/>
        <v>55.546273777381415</v>
      </c>
      <c r="W116" s="402"/>
      <c r="X116" s="157">
        <f t="shared" si="33"/>
        <v>43932</v>
      </c>
      <c r="Y116" s="385">
        <f t="shared" si="34"/>
        <v>55.3</v>
      </c>
      <c r="Z116" s="385">
        <f t="shared" si="35"/>
        <v>56.121192109882244</v>
      </c>
      <c r="AA116" s="386">
        <f t="shared" si="36"/>
        <v>58.017379303681921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3.2683089387309475E-2</v>
      </c>
      <c r="AD116" s="231">
        <f>(INDEX(Models!$BJ116:$BT116,,AH116)*(1-AF116)+INDEX(Models!$BJ116:$BT116,,AH116+1)*AF116-ERP_i)*AE116*Ramure*Pc/MaxiM</f>
        <v>1.3077220831513732E-6</v>
      </c>
      <c r="AE116" s="305">
        <f t="shared" si="38"/>
        <v>0.5</v>
      </c>
      <c r="AF116" s="177">
        <f t="shared" si="39"/>
        <v>3.7418861277987658E-2</v>
      </c>
      <c r="AG116" s="811">
        <f t="shared" si="47"/>
        <v>-1</v>
      </c>
      <c r="AH116" s="176">
        <f t="shared" si="40"/>
        <v>5</v>
      </c>
      <c r="AI116" s="225">
        <f t="shared" si="41"/>
        <v>-0.96258113872201234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7">
        <v>43.499000000000002</v>
      </c>
      <c r="C117" s="390"/>
      <c r="D117" s="393">
        <f t="shared" si="24"/>
        <v>44.14591691950676</v>
      </c>
      <c r="E117" s="385">
        <f t="shared" si="45"/>
        <v>45.641472787070022</v>
      </c>
      <c r="F117" s="385">
        <f t="shared" si="25"/>
        <v>45.641522940191713</v>
      </c>
      <c r="G117" s="110">
        <f t="shared" si="46"/>
        <v>0.77992141655036573</v>
      </c>
      <c r="H117" s="414" t="b">
        <f>Wh_hp&gt;='2019'!Maxi_hp</f>
        <v>0</v>
      </c>
      <c r="I117" s="380">
        <f>IF(H117,Wh_hp,'2019'!Maxi_hp)</f>
        <v>59.034851740298983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1.4654060095440125E-2</v>
      </c>
      <c r="M117" s="845"/>
      <c r="N117" s="845"/>
      <c r="O117" s="48">
        <f>IF(t&lt;Tnet,'2019'!Resal+('2019'!Salim-'2019'!Resal)*(1-EXP(('2019'!Tnet-t)/('2019'!Tau_j))),Resal+(Salim-Resal)*(1-EXP((Tnet-t)/(Tau_j))))*Salcycl</f>
        <v>3.2767476074675381E-2</v>
      </c>
      <c r="P117" s="169">
        <f>(INDEX(Models!$BJ117:$BT117,,T117)*(1-R117)+INDEX(Models!$BJ117:$BT117,,T117+1)*R117-ERP_i)*Q117*Ramure*Pc/MaxiM</f>
        <v>1.6027485638493E-6</v>
      </c>
      <c r="Q117" s="305">
        <f t="shared" si="27"/>
        <v>0.5</v>
      </c>
      <c r="R117" s="177">
        <f t="shared" si="28"/>
        <v>3.8983135210909126E-2</v>
      </c>
      <c r="S117" s="811">
        <f t="shared" si="29"/>
        <v>-1</v>
      </c>
      <c r="T117" s="176">
        <f t="shared" si="30"/>
        <v>5</v>
      </c>
      <c r="U117" s="251">
        <f t="shared" si="31"/>
        <v>-0.96101686478909087</v>
      </c>
      <c r="V117" s="383">
        <f t="shared" si="32"/>
        <v>55.773539689713729</v>
      </c>
      <c r="W117" s="402"/>
      <c r="X117" s="157">
        <f t="shared" si="33"/>
        <v>43933</v>
      </c>
      <c r="Y117" s="385">
        <f t="shared" si="34"/>
        <v>43.499000000000002</v>
      </c>
      <c r="Z117" s="385">
        <f t="shared" si="35"/>
        <v>44.14591691950676</v>
      </c>
      <c r="AA117" s="386">
        <f t="shared" si="36"/>
        <v>45.641472787070022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3.2767476074675381E-2</v>
      </c>
      <c r="AD117" s="231">
        <f>(INDEX(Models!$BJ117:$BT117,,AH117)*(1-AF117)+INDEX(Models!$BJ117:$BT117,,AH117+1)*AF117-ERP_i)*AE117*Ramure*Pc/MaxiM</f>
        <v>1.6027485638493E-6</v>
      </c>
      <c r="AE117" s="305">
        <f t="shared" si="38"/>
        <v>0.5</v>
      </c>
      <c r="AF117" s="177">
        <f t="shared" si="39"/>
        <v>3.8983135210909126E-2</v>
      </c>
      <c r="AG117" s="811">
        <f t="shared" si="47"/>
        <v>-1</v>
      </c>
      <c r="AH117" s="176">
        <f t="shared" si="40"/>
        <v>5</v>
      </c>
      <c r="AI117" s="225">
        <f t="shared" si="41"/>
        <v>-0.96101686478909087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7">
        <v>17.007999999999999</v>
      </c>
      <c r="C118" s="390"/>
      <c r="D118" s="393">
        <f t="shared" si="24"/>
        <v>17.261320961708737</v>
      </c>
      <c r="E118" s="385">
        <f t="shared" si="45"/>
        <v>17.847656816856809</v>
      </c>
      <c r="F118" s="385">
        <f t="shared" si="25"/>
        <v>17.847657002523245</v>
      </c>
      <c r="G118" s="110">
        <f t="shared" si="46"/>
        <v>0.30374433403742185</v>
      </c>
      <c r="H118" s="414" t="b">
        <f>Wh_hp&gt;='2019'!Maxi_hp</f>
        <v>0</v>
      </c>
      <c r="I118" s="380">
        <f>IF(H118,Wh_hp,'2019'!Maxi_hp)</f>
        <v>30.867491835484916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1.4675641700347741E-2</v>
      </c>
      <c r="M118" s="845"/>
      <c r="N118" s="845"/>
      <c r="O118" s="48">
        <f>IF(t&lt;Tnet,'2019'!Resal+('2019'!Salim-'2019'!Resal)*(1-EXP(('2019'!Tnet-t)/('2019'!Tau_j))),Resal+(Salim-Resal)*(1-EXP((Tnet-t)/(Tau_j))))*Salcycl</f>
        <v>3.285225960834736E-2</v>
      </c>
      <c r="P118" s="169">
        <f>(INDEX(Models!$BJ118:$BT118,,T118)*(1-R118)+INDEX(Models!$BJ118:$BT118,,T118+1)*R118-ERP_i)*Q118*Ramure*Pc/MaxiM</f>
        <v>1.9444980470851996E-6</v>
      </c>
      <c r="Q118" s="305">
        <f t="shared" si="27"/>
        <v>0.5</v>
      </c>
      <c r="R118" s="177">
        <f t="shared" si="28"/>
        <v>4.06017590904727E-2</v>
      </c>
      <c r="S118" s="811">
        <f t="shared" si="29"/>
        <v>-1</v>
      </c>
      <c r="T118" s="176">
        <f t="shared" si="30"/>
        <v>5</v>
      </c>
      <c r="U118" s="251">
        <f t="shared" si="31"/>
        <v>-0.9593982409095273</v>
      </c>
      <c r="V118" s="383">
        <f t="shared" si="32"/>
        <v>55.994351824890579</v>
      </c>
      <c r="W118" s="402"/>
      <c r="X118" s="157">
        <f t="shared" si="33"/>
        <v>43934</v>
      </c>
      <c r="Y118" s="385">
        <f t="shared" si="34"/>
        <v>17.007999999999999</v>
      </c>
      <c r="Z118" s="385">
        <f t="shared" si="35"/>
        <v>17.261320961708737</v>
      </c>
      <c r="AA118" s="386">
        <f t="shared" si="36"/>
        <v>17.847656816856809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3.285225960834736E-2</v>
      </c>
      <c r="AD118" s="231">
        <f>(INDEX(Models!$BJ118:$BT118,,AH118)*(1-AF118)+INDEX(Models!$BJ118:$BT118,,AH118+1)*AF118-ERP_i)*AE118*Ramure*Pc/MaxiM</f>
        <v>1.9444980470851996E-6</v>
      </c>
      <c r="AE118" s="305">
        <f t="shared" si="38"/>
        <v>0.5</v>
      </c>
      <c r="AF118" s="177">
        <f t="shared" si="39"/>
        <v>4.06017590904727E-2</v>
      </c>
      <c r="AG118" s="811">
        <f t="shared" si="47"/>
        <v>-1</v>
      </c>
      <c r="AH118" s="176">
        <f t="shared" si="40"/>
        <v>5</v>
      </c>
      <c r="AI118" s="225">
        <f t="shared" si="41"/>
        <v>-0.9593982409095273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7">
        <v>53.067999999999998</v>
      </c>
      <c r="C119" s="390"/>
      <c r="D119" s="393">
        <f t="shared" si="24"/>
        <v>53.859586342140084</v>
      </c>
      <c r="E119" s="385">
        <f t="shared" si="45"/>
        <v>55.694004813802181</v>
      </c>
      <c r="F119" s="385">
        <f t="shared" si="25"/>
        <v>55.694124400308006</v>
      </c>
      <c r="G119" s="110">
        <f t="shared" si="46"/>
        <v>0.94412565913711877</v>
      </c>
      <c r="H119" s="414" t="b">
        <f>Wh_hp&gt;='2019'!Maxi_hp</f>
        <v>1</v>
      </c>
      <c r="I119" s="380">
        <f>IF(H119,Wh_hp,'2019'!Maxi_hp)</f>
        <v>55.694124400308006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1.4697222832562806E-2</v>
      </c>
      <c r="M119" s="845"/>
      <c r="N119" s="845"/>
      <c r="O119" s="48">
        <f>IF(t&lt;Tnet,'2019'!Resal+('2019'!Salim-'2019'!Resal)*(1-EXP(('2019'!Tnet-t)/('2019'!Tau_j))),Resal+(Salim-Resal)*(1-EXP((Tnet-t)/(Tau_j))))*Salcycl</f>
        <v>3.2937449511755881E-2</v>
      </c>
      <c r="P119" s="169">
        <f>(INDEX(Models!$BJ119:$BT119,,T119)*(1-R119)+INDEX(Models!$BJ119:$BT119,,T119+1)*R119-ERP_i)*Q119*Ramure*Pc/MaxiM</f>
        <v>2.3334586937173329E-6</v>
      </c>
      <c r="Q119" s="305">
        <f t="shared" si="27"/>
        <v>0.5</v>
      </c>
      <c r="R119" s="177">
        <f t="shared" si="28"/>
        <v>4.2276176400004251E-2</v>
      </c>
      <c r="S119" s="811">
        <f t="shared" si="29"/>
        <v>-1</v>
      </c>
      <c r="T119" s="176">
        <f t="shared" si="30"/>
        <v>5</v>
      </c>
      <c r="U119" s="251">
        <f t="shared" si="31"/>
        <v>-0.95772382359999575</v>
      </c>
      <c r="V119" s="383">
        <f t="shared" si="32"/>
        <v>56.208609099960078</v>
      </c>
      <c r="W119" s="402"/>
      <c r="X119" s="157">
        <f t="shared" si="33"/>
        <v>43935</v>
      </c>
      <c r="Y119" s="385">
        <f t="shared" si="34"/>
        <v>53.067999999999998</v>
      </c>
      <c r="Z119" s="385">
        <f t="shared" si="35"/>
        <v>53.859586342140084</v>
      </c>
      <c r="AA119" s="386">
        <f t="shared" si="36"/>
        <v>55.694004813802181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3.2937449511755881E-2</v>
      </c>
      <c r="AD119" s="231">
        <f>(INDEX(Models!$BJ119:$BT119,,AH119)*(1-AF119)+INDEX(Models!$BJ119:$BT119,,AH119+1)*AF119-ERP_i)*AE119*Ramure*Pc/MaxiM</f>
        <v>2.3334586937173329E-6</v>
      </c>
      <c r="AE119" s="305">
        <f t="shared" si="38"/>
        <v>0.5</v>
      </c>
      <c r="AF119" s="177">
        <f t="shared" si="39"/>
        <v>4.2276176400004251E-2</v>
      </c>
      <c r="AG119" s="811">
        <f t="shared" si="47"/>
        <v>-1</v>
      </c>
      <c r="AH119" s="176">
        <f t="shared" si="40"/>
        <v>5</v>
      </c>
      <c r="AI119" s="225">
        <f t="shared" si="41"/>
        <v>-0.95772382359999575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7">
        <v>50.350999999999999</v>
      </c>
      <c r="C120" s="390"/>
      <c r="D120" s="393">
        <f t="shared" si="24"/>
        <v>51.103177629348032</v>
      </c>
      <c r="E120" s="385">
        <f t="shared" si="45"/>
        <v>52.84839300927041</v>
      </c>
      <c r="F120" s="385">
        <f t="shared" si="25"/>
        <v>52.848516926149152</v>
      </c>
      <c r="G120" s="110">
        <f t="shared" si="46"/>
        <v>0.8924913269306991</v>
      </c>
      <c r="H120" s="414" t="b">
        <f>Wh_hp&gt;='2019'!Maxi_hp</f>
        <v>1</v>
      </c>
      <c r="I120" s="380">
        <f>IF(H120,Wh_hp,'2019'!Maxi_hp)</f>
        <v>52.848516926149152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1.4718803492095645E-2</v>
      </c>
      <c r="M120" s="845"/>
      <c r="N120" s="845"/>
      <c r="O120" s="48">
        <f>IF(t&lt;Tnet,'2019'!Resal+('2019'!Salim-'2019'!Resal)*(1-EXP(('2019'!Tnet-t)/('2019'!Tau_j))),Resal+(Salim-Resal)*(1-EXP((Tnet-t)/(Tau_j))))*Salcycl</f>
        <v>3.3023054828104935E-2</v>
      </c>
      <c r="P120" s="169">
        <f>(INDEX(Models!$BJ120:$BT120,,T120)*(1-R120)+INDEX(Models!$BJ120:$BT120,,T120+1)*R120-ERP_i)*Q120*Ramure*Pc/MaxiM</f>
        <v>2.7702146758476557E-6</v>
      </c>
      <c r="Q120" s="305">
        <f t="shared" si="27"/>
        <v>0.5</v>
      </c>
      <c r="R120" s="177">
        <f t="shared" si="28"/>
        <v>4.4007834373646637E-2</v>
      </c>
      <c r="S120" s="811">
        <f t="shared" si="29"/>
        <v>-1</v>
      </c>
      <c r="T120" s="176">
        <f t="shared" si="30"/>
        <v>5</v>
      </c>
      <c r="U120" s="251">
        <f t="shared" si="31"/>
        <v>-0.95599216562635336</v>
      </c>
      <c r="V120" s="383">
        <f t="shared" si="32"/>
        <v>56.416210509114769</v>
      </c>
      <c r="W120" s="402"/>
      <c r="X120" s="157">
        <f t="shared" si="33"/>
        <v>43936</v>
      </c>
      <c r="Y120" s="385">
        <f t="shared" si="34"/>
        <v>50.350999999999999</v>
      </c>
      <c r="Z120" s="385">
        <f t="shared" si="35"/>
        <v>51.103177629348032</v>
      </c>
      <c r="AA120" s="386">
        <f t="shared" si="36"/>
        <v>52.84839300927041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3.3023054828104935E-2</v>
      </c>
      <c r="AD120" s="231">
        <f>(INDEX(Models!$BJ120:$BT120,,AH120)*(1-AF120)+INDEX(Models!$BJ120:$BT120,,AH120+1)*AF120-ERP_i)*AE120*Ramure*Pc/MaxiM</f>
        <v>2.7702146758476557E-6</v>
      </c>
      <c r="AE120" s="305">
        <f t="shared" si="38"/>
        <v>0.5</v>
      </c>
      <c r="AF120" s="177">
        <f t="shared" si="39"/>
        <v>4.4007834373646637E-2</v>
      </c>
      <c r="AG120" s="811">
        <f t="shared" si="47"/>
        <v>-1</v>
      </c>
      <c r="AH120" s="176">
        <f t="shared" si="40"/>
        <v>5</v>
      </c>
      <c r="AI120" s="225">
        <f t="shared" si="41"/>
        <v>-0.95599216562635336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7">
        <v>45.506</v>
      </c>
      <c r="C121" s="390"/>
      <c r="D121" s="393">
        <f t="shared" si="24"/>
        <v>46.186811319760857</v>
      </c>
      <c r="E121" s="385">
        <f t="shared" si="45"/>
        <v>47.768378583179974</v>
      </c>
      <c r="F121" s="385">
        <f t="shared" si="25"/>
        <v>47.7684904955386</v>
      </c>
      <c r="G121" s="110">
        <f t="shared" si="46"/>
        <v>0.80375581507986638</v>
      </c>
      <c r="H121" s="414" t="b">
        <f>Wh_hp&gt;='2019'!Maxi_hp</f>
        <v>1</v>
      </c>
      <c r="I121" s="380">
        <f>IF(H121,Wh_hp,'2019'!Maxi_hp)</f>
        <v>47.7684904955386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1.4740383678956692E-2</v>
      </c>
      <c r="M121" s="845"/>
      <c r="N121" s="845"/>
      <c r="O121" s="48">
        <f>IF(t&lt;Tnet,'2019'!Resal+('2019'!Salim-'2019'!Resal)*(1-EXP(('2019'!Tnet-t)/('2019'!Tau_j))),Resal+(Salim-Resal)*(1-EXP((Tnet-t)/(Tau_j))))*Salcycl</f>
        <v>3.3109084091374426E-2</v>
      </c>
      <c r="P121" s="169">
        <f>(INDEX(Models!$BJ121:$BT121,,T121)*(1-R121)+INDEX(Models!$BJ121:$BT121,,T121+1)*R121-ERP_i)*Q121*Ramure*Pc/MaxiM</f>
        <v>3.2554712657921175E-6</v>
      </c>
      <c r="Q121" s="305">
        <f t="shared" si="27"/>
        <v>0.5</v>
      </c>
      <c r="R121" s="177">
        <f t="shared" si="28"/>
        <v>4.5798180908323438E-2</v>
      </c>
      <c r="S121" s="811">
        <f t="shared" si="29"/>
        <v>-1</v>
      </c>
      <c r="T121" s="176">
        <f t="shared" si="30"/>
        <v>5</v>
      </c>
      <c r="U121" s="251">
        <f t="shared" si="31"/>
        <v>-0.95420181909167656</v>
      </c>
      <c r="V121" s="383">
        <f t="shared" si="32"/>
        <v>56.616646019146181</v>
      </c>
      <c r="W121" s="402"/>
      <c r="X121" s="157">
        <f t="shared" si="33"/>
        <v>43937</v>
      </c>
      <c r="Y121" s="385">
        <f t="shared" si="34"/>
        <v>45.506</v>
      </c>
      <c r="Z121" s="385">
        <f t="shared" si="35"/>
        <v>46.186811319760857</v>
      </c>
      <c r="AA121" s="386">
        <f t="shared" si="36"/>
        <v>47.768378583179974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3.3109084091374426E-2</v>
      </c>
      <c r="AD121" s="231">
        <f>(INDEX(Models!$BJ121:$BT121,,AH121)*(1-AF121)+INDEX(Models!$BJ121:$BT121,,AH121+1)*AF121-ERP_i)*AE121*Ramure*Pc/MaxiM</f>
        <v>3.2554712657921175E-6</v>
      </c>
      <c r="AE121" s="305">
        <f t="shared" si="38"/>
        <v>0.5</v>
      </c>
      <c r="AF121" s="177">
        <f t="shared" si="39"/>
        <v>4.5798180908323438E-2</v>
      </c>
      <c r="AG121" s="811">
        <f t="shared" si="47"/>
        <v>-1</v>
      </c>
      <c r="AH121" s="176">
        <f t="shared" si="40"/>
        <v>5</v>
      </c>
      <c r="AI121" s="225">
        <f t="shared" si="41"/>
        <v>-0.95420181909167656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7">
        <v>34.100999999999999</v>
      </c>
      <c r="C122" s="390"/>
      <c r="D122" s="393">
        <f t="shared" si="24"/>
        <v>34.61194019411159</v>
      </c>
      <c r="E122" s="385">
        <f t="shared" si="45"/>
        <v>35.800352414300058</v>
      </c>
      <c r="F122" s="385">
        <f t="shared" si="25"/>
        <v>35.800411509106489</v>
      </c>
      <c r="G122" s="110">
        <f t="shared" si="46"/>
        <v>0.60026615015503526</v>
      </c>
      <c r="H122" s="414" t="b">
        <f>Wh_hp&gt;='2019'!Maxi_hp</f>
        <v>1</v>
      </c>
      <c r="I122" s="380">
        <f>IF(H122,Wh_hp,'2019'!Maxi_hp)</f>
        <v>35.800411509106489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1.4761963393156274E-2</v>
      </c>
      <c r="M122" s="845"/>
      <c r="N122" s="845"/>
      <c r="O122" s="48">
        <f>IF(t&lt;Tnet,'2019'!Resal+('2019'!Salim-'2019'!Resal)*(1-EXP(('2019'!Tnet-t)/('2019'!Tau_j))),Resal+(Salim-Resal)*(1-EXP((Tnet-t)/(Tau_j))))*Salcycl</f>
        <v>3.3195545296190045E-2</v>
      </c>
      <c r="P122" s="169">
        <f>(INDEX(Models!$BJ122:$BT122,,T122)*(1-R122)+INDEX(Models!$BJ122:$BT122,,T122+1)*R122-ERP_i)*Q122*Ramure*Pc/MaxiM</f>
        <v>3.8481416692324749E-6</v>
      </c>
      <c r="Q122" s="305">
        <f t="shared" si="27"/>
        <v>0.5</v>
      </c>
      <c r="R122" s="177">
        <f t="shared" si="28"/>
        <v>4.7648661231046274E-2</v>
      </c>
      <c r="S122" s="811">
        <f t="shared" si="29"/>
        <v>-1</v>
      </c>
      <c r="T122" s="176">
        <f t="shared" si="30"/>
        <v>5</v>
      </c>
      <c r="U122" s="251">
        <f t="shared" si="31"/>
        <v>-0.95235133876895373</v>
      </c>
      <c r="V122" s="383">
        <f t="shared" si="32"/>
        <v>56.809675266915974</v>
      </c>
      <c r="W122" s="402"/>
      <c r="X122" s="157">
        <f t="shared" si="33"/>
        <v>43938</v>
      </c>
      <c r="Y122" s="385">
        <f t="shared" si="34"/>
        <v>34.100999999999999</v>
      </c>
      <c r="Z122" s="385">
        <f t="shared" si="35"/>
        <v>34.61194019411159</v>
      </c>
      <c r="AA122" s="386">
        <f t="shared" si="36"/>
        <v>35.800352414300058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3.3195545296190045E-2</v>
      </c>
      <c r="AD122" s="231">
        <f>(INDEX(Models!$BJ122:$BT122,,AH122)*(1-AF122)+INDEX(Models!$BJ122:$BT122,,AH122+1)*AF122-ERP_i)*AE122*Ramure*Pc/MaxiM</f>
        <v>3.8481416692324749E-6</v>
      </c>
      <c r="AE122" s="305">
        <f t="shared" si="38"/>
        <v>0.5</v>
      </c>
      <c r="AF122" s="177">
        <f t="shared" si="39"/>
        <v>4.7648661231046274E-2</v>
      </c>
      <c r="AG122" s="811">
        <f t="shared" si="47"/>
        <v>-1</v>
      </c>
      <c r="AH122" s="176">
        <f t="shared" si="40"/>
        <v>5</v>
      </c>
      <c r="AI122" s="225">
        <f t="shared" si="41"/>
        <v>-0.95235133876895373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7">
        <v>44.314999999999998</v>
      </c>
      <c r="C123" s="390"/>
      <c r="D123" s="393">
        <f t="shared" si="24"/>
        <v>44.979963203729788</v>
      </c>
      <c r="E123" s="385">
        <f t="shared" si="45"/>
        <v>46.528547052242558</v>
      </c>
      <c r="F123" s="385">
        <f t="shared" si="25"/>
        <v>46.528691099328618</v>
      </c>
      <c r="G123" s="110">
        <f t="shared" si="46"/>
        <v>0.77751493836256491</v>
      </c>
      <c r="H123" s="414" t="b">
        <f>Wh_hp&gt;='2019'!Maxi_hp</f>
        <v>0</v>
      </c>
      <c r="I123" s="380">
        <f>IF(H123,Wh_hp,'2019'!Maxi_hp)</f>
        <v>53.932097208526116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1.4783542634704716E-2</v>
      </c>
      <c r="M123" s="845"/>
      <c r="N123" s="845"/>
      <c r="O123" s="48">
        <f>IF(t&lt;Tnet,'2019'!Resal+('2019'!Salim-'2019'!Resal)*(1-EXP(('2019'!Tnet-t)/('2019'!Tau_j))),Resal+(Salim-Resal)*(1-EXP((Tnet-t)/(Tau_j))))*Salcycl</f>
        <v>3.3282445866491692E-2</v>
      </c>
      <c r="P123" s="169">
        <f>(INDEX(Models!$BJ123:$BT123,,T123)*(1-R123)+INDEX(Models!$BJ123:$BT123,,T123+1)*R123-ERP_i)*Q123*Ramure*Pc/MaxiM</f>
        <v>4.5383052068145593E-6</v>
      </c>
      <c r="Q123" s="305">
        <f t="shared" si="27"/>
        <v>0.5</v>
      </c>
      <c r="R123" s="177">
        <f t="shared" si="28"/>
        <v>4.9560714315683208E-2</v>
      </c>
      <c r="S123" s="811">
        <f t="shared" si="29"/>
        <v>-1</v>
      </c>
      <c r="T123" s="176">
        <f t="shared" si="30"/>
        <v>5</v>
      </c>
      <c r="U123" s="251">
        <f t="shared" si="31"/>
        <v>-0.95043928568431679</v>
      </c>
      <c r="V123" s="383">
        <f t="shared" si="32"/>
        <v>56.995607276568926</v>
      </c>
      <c r="W123" s="402"/>
      <c r="X123" s="157">
        <f t="shared" si="33"/>
        <v>43939</v>
      </c>
      <c r="Y123" s="385">
        <f t="shared" si="34"/>
        <v>44.314999999999998</v>
      </c>
      <c r="Z123" s="385">
        <f t="shared" si="35"/>
        <v>44.979963203729788</v>
      </c>
      <c r="AA123" s="386">
        <f t="shared" si="36"/>
        <v>46.528547052242558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3.3282445866491692E-2</v>
      </c>
      <c r="AD123" s="231">
        <f>(INDEX(Models!$BJ123:$BT123,,AH123)*(1-AF123)+INDEX(Models!$BJ123:$BT123,,AH123+1)*AF123-ERP_i)*AE123*Ramure*Pc/MaxiM</f>
        <v>4.5383052068145593E-6</v>
      </c>
      <c r="AE123" s="305">
        <f t="shared" si="38"/>
        <v>0.5</v>
      </c>
      <c r="AF123" s="177">
        <f t="shared" si="39"/>
        <v>4.9560714315683208E-2</v>
      </c>
      <c r="AG123" s="811">
        <f t="shared" si="47"/>
        <v>-1</v>
      </c>
      <c r="AH123" s="176">
        <f t="shared" si="40"/>
        <v>5</v>
      </c>
      <c r="AI123" s="225">
        <f t="shared" si="41"/>
        <v>-0.95043928568431679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7">
        <v>17.963000000000001</v>
      </c>
      <c r="C124" s="390"/>
      <c r="D124" s="393">
        <f t="shared" si="24"/>
        <v>18.232940903623032</v>
      </c>
      <c r="E124" s="385">
        <f t="shared" si="45"/>
        <v>18.862374426615823</v>
      </c>
      <c r="F124" s="385">
        <f t="shared" si="25"/>
        <v>18.862376461788866</v>
      </c>
      <c r="G124" s="110">
        <f t="shared" si="46"/>
        <v>0.31417550813520001</v>
      </c>
      <c r="H124" s="414" t="b">
        <f>Wh_hp&gt;='2019'!Maxi_hp</f>
        <v>0</v>
      </c>
      <c r="I124" s="380">
        <f>IF(H124,Wh_hp,'2019'!Maxi_hp)</f>
        <v>54.953153725787914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1.4805121403612453E-2</v>
      </c>
      <c r="M124" s="845"/>
      <c r="N124" s="845"/>
      <c r="O124" s="48">
        <f>IF(t&lt;Tnet,'2019'!Resal+('2019'!Salim-'2019'!Resal)*(1-EXP(('2019'!Tnet-t)/('2019'!Tau_j))),Resal+(Salim-Resal)*(1-EXP((Tnet-t)/(Tau_j))))*Salcycl</f>
        <v>3.3369792622959846E-2</v>
      </c>
      <c r="P124" s="169">
        <f>(INDEX(Models!$BJ124:$BT124,,T124)*(1-R124)+INDEX(Models!$BJ124:$BT124,,T124+1)*R124-ERP_i)*Q124*Ramure*Pc/MaxiM</f>
        <v>5.3273852084326667E-6</v>
      </c>
      <c r="Q124" s="305">
        <f t="shared" si="27"/>
        <v>0.5</v>
      </c>
      <c r="R124" s="177">
        <f t="shared" si="28"/>
        <v>5.153576904435242E-2</v>
      </c>
      <c r="S124" s="811">
        <f t="shared" si="29"/>
        <v>-1</v>
      </c>
      <c r="T124" s="176">
        <f t="shared" si="30"/>
        <v>5</v>
      </c>
      <c r="U124" s="251">
        <f t="shared" si="31"/>
        <v>-0.94846423095564758</v>
      </c>
      <c r="V124" s="383">
        <f t="shared" si="32"/>
        <v>57.174750345508706</v>
      </c>
      <c r="W124" s="402"/>
      <c r="X124" s="157">
        <f t="shared" si="33"/>
        <v>43940</v>
      </c>
      <c r="Y124" s="385">
        <f t="shared" si="34"/>
        <v>17.963000000000001</v>
      </c>
      <c r="Z124" s="385">
        <f t="shared" si="35"/>
        <v>18.232940903623032</v>
      </c>
      <c r="AA124" s="386">
        <f t="shared" si="36"/>
        <v>18.862374426615823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3.3369792622959846E-2</v>
      </c>
      <c r="AD124" s="231">
        <f>(INDEX(Models!$BJ124:$BT124,,AH124)*(1-AF124)+INDEX(Models!$BJ124:$BT124,,AH124+1)*AF124-ERP_i)*AE124*Ramure*Pc/MaxiM</f>
        <v>5.3273852084326667E-6</v>
      </c>
      <c r="AE124" s="305">
        <f t="shared" si="38"/>
        <v>0.5</v>
      </c>
      <c r="AF124" s="177">
        <f t="shared" si="39"/>
        <v>5.153576904435242E-2</v>
      </c>
      <c r="AG124" s="811">
        <f t="shared" si="47"/>
        <v>-1</v>
      </c>
      <c r="AH124" s="176">
        <f t="shared" si="40"/>
        <v>5</v>
      </c>
      <c r="AI124" s="225">
        <f t="shared" si="41"/>
        <v>-0.94846423095564758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7">
        <v>15.452</v>
      </c>
      <c r="C125" s="390"/>
      <c r="D125" s="393">
        <f t="shared" si="24"/>
        <v>15.684550114475194</v>
      </c>
      <c r="E125" s="385">
        <f t="shared" si="45"/>
        <v>16.227482602506935</v>
      </c>
      <c r="F125" s="385">
        <f t="shared" si="25"/>
        <v>16.227482602506935</v>
      </c>
      <c r="G125" s="110">
        <f t="shared" si="46"/>
        <v>0.26944378506114897</v>
      </c>
      <c r="H125" s="414" t="b">
        <f>Wh_hp&gt;='2019'!Maxi_hp</f>
        <v>0</v>
      </c>
      <c r="I125" s="380">
        <f>IF(H125,Wh_hp,'2019'!Maxi_hp)</f>
        <v>19.28374779266824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1.48266996998897E-2</v>
      </c>
      <c r="M125" s="845"/>
      <c r="N125" s="845"/>
      <c r="O125" s="48">
        <f>IF(t&lt;Tnet,'2019'!Resal+('2019'!Salim-'2019'!Resal)*(1-EXP(('2019'!Tnet-t)/('2019'!Tau_j))),Resal+(Salim-Resal)*(1-EXP((Tnet-t)/(Tau_j))))*Salcycl</f>
        <v>3.3457591749188963E-2</v>
      </c>
      <c r="P125" s="169">
        <f>(INDEX(Models!$BJ125:$BT125,,T125)*(1-R125)+INDEX(Models!$BJ125:$BT125,,T125+1)*R125-ERP_i)*Q125*Ramure*Pc/MaxiM</f>
        <v>6.2170008855256259E-6</v>
      </c>
      <c r="Q125" s="305">
        <f t="shared" si="27"/>
        <v>0.5</v>
      </c>
      <c r="R125" s="177">
        <f t="shared" si="28"/>
        <v>5.3575240109825506E-2</v>
      </c>
      <c r="S125" s="811">
        <f t="shared" si="29"/>
        <v>-1</v>
      </c>
      <c r="T125" s="176">
        <f t="shared" si="30"/>
        <v>5</v>
      </c>
      <c r="U125" s="251">
        <f t="shared" si="31"/>
        <v>-0.94642475989017449</v>
      </c>
      <c r="V125" s="383">
        <f t="shared" si="32"/>
        <v>57.347412676063691</v>
      </c>
      <c r="W125" s="402"/>
      <c r="X125" s="157">
        <f t="shared" si="33"/>
        <v>43941</v>
      </c>
      <c r="Y125" s="385">
        <f t="shared" si="34"/>
        <v>15.451999999999998</v>
      </c>
      <c r="Z125" s="385">
        <f t="shared" si="35"/>
        <v>15.684550114475192</v>
      </c>
      <c r="AA125" s="386">
        <f t="shared" si="36"/>
        <v>16.227482602506935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3.3457591749188963E-2</v>
      </c>
      <c r="AD125" s="231">
        <f>(INDEX(Models!$BJ125:$BT125,,AH125)*(1-AF125)+INDEX(Models!$BJ125:$BT125,,AH125+1)*AF125-ERP_i)*AE125*Ramure*Pc/MaxiM</f>
        <v>6.2170008855256259E-6</v>
      </c>
      <c r="AE125" s="305">
        <f t="shared" si="38"/>
        <v>0.5</v>
      </c>
      <c r="AF125" s="177">
        <f t="shared" si="39"/>
        <v>5.3575240109825506E-2</v>
      </c>
      <c r="AG125" s="811">
        <f t="shared" si="47"/>
        <v>-1</v>
      </c>
      <c r="AH125" s="176">
        <f t="shared" si="40"/>
        <v>5</v>
      </c>
      <c r="AI125" s="225">
        <f t="shared" si="41"/>
        <v>-0.94642475989017449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7">
        <v>15.348000000000001</v>
      </c>
      <c r="C126" s="390"/>
      <c r="D126" s="393">
        <f t="shared" si="24"/>
        <v>15.579326158430227</v>
      </c>
      <c r="E126" s="385">
        <f t="shared" si="45"/>
        <v>16.120088199100802</v>
      </c>
      <c r="F126" s="385">
        <f t="shared" si="25"/>
        <v>16.120088199100802</v>
      </c>
      <c r="G126" s="110">
        <f t="shared" si="46"/>
        <v>0.26685529449809792</v>
      </c>
      <c r="H126" s="414" t="b">
        <f>Wh_hp&gt;='2019'!Maxi_hp</f>
        <v>0</v>
      </c>
      <c r="I126" s="380">
        <f>IF(H126,Wh_hp,'2019'!Maxi_hp)</f>
        <v>34.439974387722657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1.4848277523546893E-2</v>
      </c>
      <c r="M126" s="845"/>
      <c r="N126" s="845"/>
      <c r="O126" s="48">
        <f>IF(t&lt;Tnet,'2019'!Resal+('2019'!Salim-'2019'!Resal)*(1-EXP(('2019'!Tnet-t)/('2019'!Tau_j))),Resal+(Salim-Resal)*(1-EXP((Tnet-t)/(Tau_j))))*Salcycl</f>
        <v>3.3545848756630213E-2</v>
      </c>
      <c r="P126" s="169">
        <f>(INDEX(Models!$BJ126:$BT126,,T126)*(1-R126)+INDEX(Models!$BJ126:$BT126,,T126+1)*R126-ERP_i)*Q126*Ramure*Pc/MaxiM</f>
        <v>7.2089577042504353E-6</v>
      </c>
      <c r="Q126" s="305">
        <f t="shared" si="27"/>
        <v>0.5</v>
      </c>
      <c r="R126" s="177">
        <f t="shared" si="28"/>
        <v>5.5680523656707948E-2</v>
      </c>
      <c r="S126" s="811">
        <f t="shared" si="29"/>
        <v>-1</v>
      </c>
      <c r="T126" s="176">
        <f t="shared" si="30"/>
        <v>5</v>
      </c>
      <c r="U126" s="251">
        <f t="shared" si="31"/>
        <v>-0.94431947634329205</v>
      </c>
      <c r="V126" s="383">
        <f t="shared" si="32"/>
        <v>57.513902378378909</v>
      </c>
      <c r="W126" s="402"/>
      <c r="X126" s="157">
        <f t="shared" si="33"/>
        <v>43942</v>
      </c>
      <c r="Y126" s="385">
        <f t="shared" si="34"/>
        <v>15.348000000000001</v>
      </c>
      <c r="Z126" s="385">
        <f t="shared" si="35"/>
        <v>15.579326158430227</v>
      </c>
      <c r="AA126" s="386">
        <f t="shared" si="36"/>
        <v>16.120088199100802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3.3545848756630213E-2</v>
      </c>
      <c r="AD126" s="231">
        <f>(INDEX(Models!$BJ126:$BT126,,AH126)*(1-AF126)+INDEX(Models!$BJ126:$BT126,,AH126+1)*AF126-ERP_i)*AE126*Ramure*Pc/MaxiM</f>
        <v>7.2089577042504353E-6</v>
      </c>
      <c r="AE126" s="305">
        <f t="shared" si="38"/>
        <v>0.5</v>
      </c>
      <c r="AF126" s="177">
        <f t="shared" si="39"/>
        <v>5.5680523656707948E-2</v>
      </c>
      <c r="AG126" s="811">
        <f t="shared" si="47"/>
        <v>-1</v>
      </c>
      <c r="AH126" s="176">
        <f t="shared" si="40"/>
        <v>5</v>
      </c>
      <c r="AI126" s="225">
        <f t="shared" si="41"/>
        <v>-0.94431947634329205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7">
        <v>9.9529999999999994</v>
      </c>
      <c r="C127" s="390"/>
      <c r="D127" s="393">
        <f t="shared" si="24"/>
        <v>10.103233617658708</v>
      </c>
      <c r="E127" s="385">
        <f t="shared" si="45"/>
        <v>10.454878959646241</v>
      </c>
      <c r="F127" s="385">
        <f t="shared" si="25"/>
        <v>10.454878959646241</v>
      </c>
      <c r="G127" s="110">
        <f t="shared" si="46"/>
        <v>0.17257041843439869</v>
      </c>
      <c r="H127" s="414" t="b">
        <f>Wh_hp&gt;='2019'!Maxi_hp</f>
        <v>0</v>
      </c>
      <c r="I127" s="380">
        <f>IF(H127,Wh_hp,'2019'!Maxi_hp)</f>
        <v>36.480967732620293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1.4869854874594357E-2</v>
      </c>
      <c r="M127" s="845"/>
      <c r="N127" s="845"/>
      <c r="O127" s="48">
        <f>IF(t&lt;Tnet,'2019'!Resal+('2019'!Salim-'2019'!Resal)*(1-EXP(('2019'!Tnet-t)/('2019'!Tau_j))),Resal+(Salim-Resal)*(1-EXP((Tnet-t)/(Tau_j))))*Salcycl</f>
        <v>3.3634568448359312E-2</v>
      </c>
      <c r="P127" s="169">
        <f>(INDEX(Models!$BJ127:$BT127,,T127)*(1-R127)+INDEX(Models!$BJ127:$BT127,,T127+1)*R127-ERP_i)*Q127*Ramure*Pc/MaxiM</f>
        <v>8.3052228861572685E-6</v>
      </c>
      <c r="Q127" s="305">
        <f t="shared" si="27"/>
        <v>0.5</v>
      </c>
      <c r="R127" s="177">
        <f t="shared" si="28"/>
        <v>5.7852992660741287E-2</v>
      </c>
      <c r="S127" s="811">
        <f t="shared" si="29"/>
        <v>-1</v>
      </c>
      <c r="T127" s="176">
        <f t="shared" si="30"/>
        <v>5</v>
      </c>
      <c r="U127" s="251">
        <f t="shared" si="31"/>
        <v>-0.94214700733925871</v>
      </c>
      <c r="V127" s="383">
        <f t="shared" si="32"/>
        <v>57.674527467754494</v>
      </c>
      <c r="W127" s="402"/>
      <c r="X127" s="157">
        <f t="shared" si="33"/>
        <v>43943</v>
      </c>
      <c r="Y127" s="385">
        <f t="shared" si="34"/>
        <v>9.9529999999999994</v>
      </c>
      <c r="Z127" s="385">
        <f t="shared" si="35"/>
        <v>10.103233617658708</v>
      </c>
      <c r="AA127" s="386">
        <f t="shared" si="36"/>
        <v>10.454878959646241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3.3634568448359312E-2</v>
      </c>
      <c r="AD127" s="231">
        <f>(INDEX(Models!$BJ127:$BT127,,AH127)*(1-AF127)+INDEX(Models!$BJ127:$BT127,,AH127+1)*AF127-ERP_i)*AE127*Ramure*Pc/MaxiM</f>
        <v>8.3052228861572685E-6</v>
      </c>
      <c r="AE127" s="305">
        <f t="shared" si="38"/>
        <v>0.5</v>
      </c>
      <c r="AF127" s="177">
        <f t="shared" si="39"/>
        <v>5.7852992660741287E-2</v>
      </c>
      <c r="AG127" s="811">
        <f t="shared" si="47"/>
        <v>-1</v>
      </c>
      <c r="AH127" s="176">
        <f t="shared" si="40"/>
        <v>5</v>
      </c>
      <c r="AI127" s="225">
        <f t="shared" si="41"/>
        <v>-0.94214700733925871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7">
        <v>16.052</v>
      </c>
      <c r="C128" s="390"/>
      <c r="D128" s="393">
        <f t="shared" si="24"/>
        <v>16.294650678518831</v>
      </c>
      <c r="E128" s="385">
        <f t="shared" si="45"/>
        <v>16.863346026399448</v>
      </c>
      <c r="F128" s="385">
        <f t="shared" si="25"/>
        <v>16.863346026399448</v>
      </c>
      <c r="G128" s="110">
        <f t="shared" si="46"/>
        <v>0.27757149494167005</v>
      </c>
      <c r="H128" s="414" t="b">
        <f>Wh_hp&gt;='2019'!Maxi_hp</f>
        <v>0</v>
      </c>
      <c r="I128" s="380">
        <f>IF(H128,Wh_hp,'2019'!Maxi_hp)</f>
        <v>53.769712691918087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1.4891431753042528E-2</v>
      </c>
      <c r="M128" s="845"/>
      <c r="N128" s="845"/>
      <c r="O128" s="48">
        <f>IF(t&lt;Tnet,'2019'!Resal+('2019'!Salim-'2019'!Resal)*(1-EXP(('2019'!Tnet-t)/('2019'!Tau_j))),Resal+(Salim-Resal)*(1-EXP((Tnet-t)/(Tau_j))))*Salcycl</f>
        <v>3.3723754881761159E-2</v>
      </c>
      <c r="P128" s="169">
        <f>(INDEX(Models!$BJ128:$BT128,,T128)*(1-R128)+INDEX(Models!$BJ128:$BT128,,T128+1)*R128-ERP_i)*Q128*Ramure*Pc/MaxiM</f>
        <v>9.5989817179197003E-6</v>
      </c>
      <c r="Q128" s="305">
        <f t="shared" si="27"/>
        <v>0.5</v>
      </c>
      <c r="R128" s="177">
        <f t="shared" si="28"/>
        <v>6.0093992047322797E-2</v>
      </c>
      <c r="S128" s="811">
        <f t="shared" si="29"/>
        <v>-1</v>
      </c>
      <c r="T128" s="176">
        <f t="shared" si="30"/>
        <v>5</v>
      </c>
      <c r="U128" s="251">
        <f t="shared" si="31"/>
        <v>-0.9399060079526772</v>
      </c>
      <c r="V128" s="383">
        <f t="shared" si="32"/>
        <v>57.829590608785892</v>
      </c>
      <c r="W128" s="402"/>
      <c r="X128" s="157">
        <f t="shared" si="33"/>
        <v>43944</v>
      </c>
      <c r="Y128" s="385">
        <f t="shared" si="34"/>
        <v>16.052</v>
      </c>
      <c r="Z128" s="385">
        <f t="shared" si="35"/>
        <v>16.294650678518831</v>
      </c>
      <c r="AA128" s="386">
        <f t="shared" si="36"/>
        <v>16.863346026399448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3.3723754881761159E-2</v>
      </c>
      <c r="AD128" s="231">
        <f>(INDEX(Models!$BJ128:$BT128,,AH128)*(1-AF128)+INDEX(Models!$BJ128:$BT128,,AH128+1)*AF128-ERP_i)*AE128*Ramure*Pc/MaxiM</f>
        <v>9.5989817179197003E-6</v>
      </c>
      <c r="AE128" s="305">
        <f t="shared" si="38"/>
        <v>0.5</v>
      </c>
      <c r="AF128" s="177">
        <f t="shared" si="39"/>
        <v>6.0093992047322797E-2</v>
      </c>
      <c r="AG128" s="811">
        <f t="shared" si="47"/>
        <v>-1</v>
      </c>
      <c r="AH128" s="176">
        <f t="shared" si="40"/>
        <v>5</v>
      </c>
      <c r="AI128" s="225">
        <f t="shared" si="41"/>
        <v>-0.9399060079526772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7">
        <v>51.570999999999998</v>
      </c>
      <c r="C129" s="390"/>
      <c r="D129" s="393">
        <f t="shared" si="24"/>
        <v>52.35172165213077</v>
      </c>
      <c r="E129" s="385">
        <f t="shared" si="45"/>
        <v>54.183862895684925</v>
      </c>
      <c r="F129" s="385">
        <f t="shared" si="25"/>
        <v>54.184367462537033</v>
      </c>
      <c r="G129" s="110">
        <f t="shared" si="46"/>
        <v>0.8894695104723519</v>
      </c>
      <c r="H129" s="414" t="b">
        <f>Wh_hp&gt;='2019'!Maxi_hp</f>
        <v>1</v>
      </c>
      <c r="I129" s="380">
        <f>IF(H129,Wh_hp,'2019'!Maxi_hp)</f>
        <v>54.184367462537033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1.4913008158901619E-2</v>
      </c>
      <c r="M129" s="845"/>
      <c r="N129" s="845"/>
      <c r="O129" s="48">
        <f>IF(t&lt;Tnet,'2019'!Resal+('2019'!Salim-'2019'!Resal)*(1-EXP(('2019'!Tnet-t)/('2019'!Tau_j))),Resal+(Salim-Resal)*(1-EXP((Tnet-t)/(Tau_j))))*Salcycl</f>
        <v>3.3813411330259023E-2</v>
      </c>
      <c r="P129" s="169">
        <f>(INDEX(Models!$BJ129:$BT129,,T129)*(1-R129)+INDEX(Models!$BJ129:$BT129,,T129+1)*R129-ERP_i)*Q129*Ramure*Pc/MaxiM</f>
        <v>1.1058093482114739E-5</v>
      </c>
      <c r="Q129" s="305">
        <f t="shared" si="27"/>
        <v>0.5</v>
      </c>
      <c r="R129" s="177">
        <f t="shared" si="28"/>
        <v>6.2404833552288652E-2</v>
      </c>
      <c r="S129" s="811">
        <f t="shared" si="29"/>
        <v>-1</v>
      </c>
      <c r="T129" s="176">
        <f t="shared" si="30"/>
        <v>5</v>
      </c>
      <c r="U129" s="251">
        <f t="shared" si="31"/>
        <v>-0.93759516644771135</v>
      </c>
      <c r="V129" s="383">
        <f t="shared" si="32"/>
        <v>57.979401594004706</v>
      </c>
      <c r="W129" s="402"/>
      <c r="X129" s="157">
        <f t="shared" si="33"/>
        <v>43945</v>
      </c>
      <c r="Y129" s="385">
        <f t="shared" si="34"/>
        <v>51.570999999999998</v>
      </c>
      <c r="Z129" s="385">
        <f t="shared" si="35"/>
        <v>52.35172165213077</v>
      </c>
      <c r="AA129" s="386">
        <f t="shared" si="36"/>
        <v>54.183862895684925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3.3813411330259023E-2</v>
      </c>
      <c r="AD129" s="231">
        <f>(INDEX(Models!$BJ129:$BT129,,AH129)*(1-AF129)+INDEX(Models!$BJ129:$BT129,,AH129+1)*AF129-ERP_i)*AE129*Ramure*Pc/MaxiM</f>
        <v>1.1058093482114739E-5</v>
      </c>
      <c r="AE129" s="305">
        <f t="shared" si="38"/>
        <v>0.5</v>
      </c>
      <c r="AF129" s="177">
        <f t="shared" si="39"/>
        <v>6.2404833552288652E-2</v>
      </c>
      <c r="AG129" s="811">
        <f t="shared" si="47"/>
        <v>-1</v>
      </c>
      <c r="AH129" s="176">
        <f t="shared" si="40"/>
        <v>5</v>
      </c>
      <c r="AI129" s="225">
        <f t="shared" si="41"/>
        <v>-0.93759516644771135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7">
        <v>46.466000000000001</v>
      </c>
      <c r="C130" s="390"/>
      <c r="D130" s="393">
        <f t="shared" si="24"/>
        <v>47.170471371363497</v>
      </c>
      <c r="E130" s="385">
        <f t="shared" si="45"/>
        <v>48.825840209878571</v>
      </c>
      <c r="F130" s="385">
        <f t="shared" si="25"/>
        <v>48.826282134758507</v>
      </c>
      <c r="G130" s="110">
        <f t="shared" si="46"/>
        <v>0.79942221407178138</v>
      </c>
      <c r="H130" s="414" t="b">
        <f>Wh_hp&gt;='2019'!Maxi_hp</f>
        <v>1</v>
      </c>
      <c r="I130" s="380">
        <f>IF(H130,Wh_hp,'2019'!Maxi_hp)</f>
        <v>48.826282134758507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1.4934584092182068E-2</v>
      </c>
      <c r="M130" s="845"/>
      <c r="N130" s="845"/>
      <c r="O130" s="48">
        <f>IF(t&lt;Tnet,'2019'!Resal+('2019'!Salim-'2019'!Resal)*(1-EXP(('2019'!Tnet-t)/('2019'!Tau_j))),Resal+(Salim-Resal)*(1-EXP((Tnet-t)/(Tau_j))))*Salcycl</f>
        <v>3.3903540244252746E-2</v>
      </c>
      <c r="P130" s="169">
        <f>(INDEX(Models!$BJ130:$BT130,,T130)*(1-R130)+INDEX(Models!$BJ130:$BT130,,T130+1)*R130-ERP_i)*Q130*Ramure*Pc/MaxiM</f>
        <v>1.2685934178008693E-5</v>
      </c>
      <c r="Q130" s="305">
        <f t="shared" si="27"/>
        <v>0.5</v>
      </c>
      <c r="R130" s="177">
        <f t="shared" si="28"/>
        <v>6.4786790330147559E-2</v>
      </c>
      <c r="S130" s="811">
        <f t="shared" si="29"/>
        <v>-1</v>
      </c>
      <c r="T130" s="176">
        <f t="shared" si="30"/>
        <v>5</v>
      </c>
      <c r="U130" s="251">
        <f t="shared" si="31"/>
        <v>-0.93521320966985244</v>
      </c>
      <c r="V130" s="383">
        <f t="shared" si="32"/>
        <v>58.124268100129164</v>
      </c>
      <c r="W130" s="402"/>
      <c r="X130" s="157">
        <f t="shared" si="33"/>
        <v>43946</v>
      </c>
      <c r="Y130" s="385">
        <f t="shared" si="34"/>
        <v>46.466000000000001</v>
      </c>
      <c r="Z130" s="385">
        <f t="shared" si="35"/>
        <v>47.170471371363497</v>
      </c>
      <c r="AA130" s="386">
        <f t="shared" si="36"/>
        <v>48.825840209878571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3.3903540244252746E-2</v>
      </c>
      <c r="AD130" s="231">
        <f>(INDEX(Models!$BJ130:$BT130,,AH130)*(1-AF130)+INDEX(Models!$BJ130:$BT130,,AH130+1)*AF130-ERP_i)*AE130*Ramure*Pc/MaxiM</f>
        <v>1.2685934178008693E-5</v>
      </c>
      <c r="AE130" s="305">
        <f t="shared" si="38"/>
        <v>0.5</v>
      </c>
      <c r="AF130" s="177">
        <f t="shared" si="39"/>
        <v>6.4786790330147559E-2</v>
      </c>
      <c r="AG130" s="811">
        <f t="shared" si="47"/>
        <v>-1</v>
      </c>
      <c r="AH130" s="176">
        <f t="shared" si="40"/>
        <v>5</v>
      </c>
      <c r="AI130" s="225">
        <f t="shared" si="41"/>
        <v>-0.93521320966985244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7">
        <v>23.257999999999999</v>
      </c>
      <c r="C131" s="390"/>
      <c r="D131" s="393">
        <f t="shared" si="24"/>
        <v>23.611131855251564</v>
      </c>
      <c r="E131" s="385">
        <f t="shared" si="45"/>
        <v>24.442017291433707</v>
      </c>
      <c r="F131" s="385">
        <f t="shared" si="25"/>
        <v>24.442067458070795</v>
      </c>
      <c r="G131" s="110">
        <f t="shared" si="46"/>
        <v>0.39917465575710198</v>
      </c>
      <c r="H131" s="414" t="b">
        <f>Wh_hp&gt;='2019'!Maxi_hp</f>
        <v>0</v>
      </c>
      <c r="I131" s="380">
        <f>IF(H131,Wh_hp,'2019'!Maxi_hp)</f>
        <v>30.433144925485259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1.4956159552894199E-2</v>
      </c>
      <c r="M131" s="845"/>
      <c r="N131" s="845"/>
      <c r="O131" s="48">
        <f>IF(t&lt;Tnet,'2019'!Resal+('2019'!Salim-'2019'!Resal)*(1-EXP(('2019'!Tnet-t)/('2019'!Tau_j))),Resal+(Salim-Resal)*(1-EXP((Tnet-t)/(Tau_j))))*Salcycl</f>
        <v>3.3994143211466758E-2</v>
      </c>
      <c r="P131" s="169">
        <f>(INDEX(Models!$BJ131:$BT131,,T131)*(1-R131)+INDEX(Models!$BJ131:$BT131,,T131+1)*R131-ERP_i)*Q131*Ramure*Pc/MaxiM</f>
        <v>1.4486139230677204E-5</v>
      </c>
      <c r="Q131" s="305">
        <f t="shared" si="27"/>
        <v>0.5</v>
      </c>
      <c r="R131" s="177">
        <f t="shared" si="28"/>
        <v>6.7241091317282509E-2</v>
      </c>
      <c r="S131" s="811">
        <f t="shared" si="29"/>
        <v>-1</v>
      </c>
      <c r="T131" s="176">
        <f t="shared" si="30"/>
        <v>5</v>
      </c>
      <c r="U131" s="251">
        <f t="shared" si="31"/>
        <v>-0.93275890868271749</v>
      </c>
      <c r="V131" s="383">
        <f t="shared" si="32"/>
        <v>58.2644977122631</v>
      </c>
      <c r="W131" s="402"/>
      <c r="X131" s="157">
        <f t="shared" si="33"/>
        <v>43947</v>
      </c>
      <c r="Y131" s="385">
        <f t="shared" si="34"/>
        <v>23.257999999999999</v>
      </c>
      <c r="Z131" s="385">
        <f t="shared" si="35"/>
        <v>23.611131855251564</v>
      </c>
      <c r="AA131" s="386">
        <f t="shared" si="36"/>
        <v>24.442017291433707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3.3994143211466758E-2</v>
      </c>
      <c r="AD131" s="231">
        <f>(INDEX(Models!$BJ131:$BT131,,AH131)*(1-AF131)+INDEX(Models!$BJ131:$BT131,,AH131+1)*AF131-ERP_i)*AE131*Ramure*Pc/MaxiM</f>
        <v>1.4486139230677204E-5</v>
      </c>
      <c r="AE131" s="305">
        <f t="shared" si="38"/>
        <v>0.5</v>
      </c>
      <c r="AF131" s="177">
        <f t="shared" si="39"/>
        <v>6.7241091317282509E-2</v>
      </c>
      <c r="AG131" s="811">
        <f t="shared" si="47"/>
        <v>-1</v>
      </c>
      <c r="AH131" s="176">
        <f t="shared" si="40"/>
        <v>5</v>
      </c>
      <c r="AI131" s="225">
        <f t="shared" si="41"/>
        <v>-0.93275890868271749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7">
        <v>22.376000000000001</v>
      </c>
      <c r="C132" s="390"/>
      <c r="D132" s="393">
        <f t="shared" si="24"/>
        <v>22.716237779228621</v>
      </c>
      <c r="E132" s="385">
        <f t="shared" si="45"/>
        <v>23.517848852870006</v>
      </c>
      <c r="F132" s="385">
        <f t="shared" si="25"/>
        <v>23.517894841545729</v>
      </c>
      <c r="G132" s="110">
        <f t="shared" si="46"/>
        <v>0.38314251584144093</v>
      </c>
      <c r="H132" s="414" t="b">
        <f>Wh_hp&gt;='2019'!Maxi_hp</f>
        <v>0</v>
      </c>
      <c r="I132" s="380">
        <f>IF(H132,Wh_hp,'2019'!Maxi_hp)</f>
        <v>46.870510731346037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1.4977734541048338E-2</v>
      </c>
      <c r="M132" s="845"/>
      <c r="N132" s="845"/>
      <c r="O132" s="48">
        <f>IF(t&lt;Tnet,'2019'!Resal+('2019'!Salim-'2019'!Resal)*(1-EXP(('2019'!Tnet-t)/('2019'!Tau_j))),Resal+(Salim-Resal)*(1-EXP((Tnet-t)/(Tau_j))))*Salcycl</f>
        <v>3.4085220916944499E-2</v>
      </c>
      <c r="P132" s="169">
        <f>(INDEX(Models!$BJ132:$BT132,,T132)*(1-R132)+INDEX(Models!$BJ132:$BT132,,T132+1)*R132-ERP_i)*Q132*Ramure*Pc/MaxiM</f>
        <v>1.6462595402010196E-5</v>
      </c>
      <c r="Q132" s="305">
        <f t="shared" si="27"/>
        <v>0.5</v>
      </c>
      <c r="R132" s="177">
        <f t="shared" si="28"/>
        <v>6.9768915360159833E-2</v>
      </c>
      <c r="S132" s="811">
        <f t="shared" si="29"/>
        <v>-1</v>
      </c>
      <c r="T132" s="176">
        <f t="shared" si="30"/>
        <v>5</v>
      </c>
      <c r="U132" s="251">
        <f t="shared" si="31"/>
        <v>-0.93023108463984017</v>
      </c>
      <c r="V132" s="383">
        <f t="shared" si="32"/>
        <v>58.40039792743427</v>
      </c>
      <c r="W132" s="402"/>
      <c r="X132" s="157">
        <f t="shared" si="33"/>
        <v>43948</v>
      </c>
      <c r="Y132" s="385">
        <f t="shared" si="34"/>
        <v>22.376000000000001</v>
      </c>
      <c r="Z132" s="385">
        <f t="shared" si="35"/>
        <v>22.716237779228621</v>
      </c>
      <c r="AA132" s="386">
        <f t="shared" si="36"/>
        <v>23.517848852870006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3.4085220916944499E-2</v>
      </c>
      <c r="AD132" s="231">
        <f>(INDEX(Models!$BJ132:$BT132,,AH132)*(1-AF132)+INDEX(Models!$BJ132:$BT132,,AH132+1)*AF132-ERP_i)*AE132*Ramure*Pc/MaxiM</f>
        <v>1.6462595402010196E-5</v>
      </c>
      <c r="AE132" s="305">
        <f t="shared" si="38"/>
        <v>0.5</v>
      </c>
      <c r="AF132" s="177">
        <f t="shared" si="39"/>
        <v>6.9768915360159833E-2</v>
      </c>
      <c r="AG132" s="811">
        <f t="shared" si="47"/>
        <v>-1</v>
      </c>
      <c r="AH132" s="176">
        <f t="shared" si="40"/>
        <v>5</v>
      </c>
      <c r="AI132" s="225">
        <f t="shared" si="41"/>
        <v>-0.93023108463984017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7">
        <v>31.454000000000001</v>
      </c>
      <c r="C133" s="390"/>
      <c r="D133" s="393">
        <f t="shared" si="24"/>
        <v>31.932972523984919</v>
      </c>
      <c r="E133" s="385">
        <f t="shared" si="45"/>
        <v>33.062957728380546</v>
      </c>
      <c r="F133" s="385">
        <f t="shared" si="25"/>
        <v>33.063166491906863</v>
      </c>
      <c r="G133" s="110">
        <f t="shared" si="46"/>
        <v>0.53737211348428948</v>
      </c>
      <c r="H133" s="414" t="b">
        <f>Wh_hp&gt;='2019'!Maxi_hp</f>
        <v>0</v>
      </c>
      <c r="I133" s="380">
        <f>IF(H133,Wh_hp,'2019'!Maxi_hp)</f>
        <v>52.731591737433121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1.4999309056654919E-2</v>
      </c>
      <c r="M133" s="845"/>
      <c r="N133" s="845"/>
      <c r="O133" s="48">
        <f>IF(t&lt;Tnet,'2019'!Resal+('2019'!Salim-'2019'!Resal)*(1-EXP(('2019'!Tnet-t)/('2019'!Tau_j))),Resal+(Salim-Resal)*(1-EXP((Tnet-t)/(Tau_j))))*Salcycl</f>
        <v>3.4176773102960231E-2</v>
      </c>
      <c r="P133" s="169">
        <f>(INDEX(Models!$BJ133:$BT133,,T133)*(1-R133)+INDEX(Models!$BJ133:$BT133,,T133+1)*R133-ERP_i)*Q133*Ramure*Pc/MaxiM</f>
        <v>1.8619431860852938E-5</v>
      </c>
      <c r="Q133" s="305">
        <f t="shared" si="27"/>
        <v>0.5</v>
      </c>
      <c r="R133" s="177">
        <f t="shared" si="28"/>
        <v>7.2371385121291931E-2</v>
      </c>
      <c r="S133" s="811">
        <f t="shared" si="29"/>
        <v>-1</v>
      </c>
      <c r="T133" s="176">
        <f t="shared" si="30"/>
        <v>5</v>
      </c>
      <c r="U133" s="251">
        <f t="shared" si="31"/>
        <v>-0.92762861487870807</v>
      </c>
      <c r="V133" s="383">
        <f t="shared" si="32"/>
        <v>58.532276156127594</v>
      </c>
      <c r="W133" s="402"/>
      <c r="X133" s="157">
        <f t="shared" si="33"/>
        <v>43949</v>
      </c>
      <c r="Y133" s="385">
        <f t="shared" si="34"/>
        <v>31.454000000000001</v>
      </c>
      <c r="Z133" s="385">
        <f t="shared" si="35"/>
        <v>31.932972523984919</v>
      </c>
      <c r="AA133" s="386">
        <f t="shared" si="36"/>
        <v>33.062957728380546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3.4176773102960231E-2</v>
      </c>
      <c r="AD133" s="231">
        <f>(INDEX(Models!$BJ133:$BT133,,AH133)*(1-AF133)+INDEX(Models!$BJ133:$BT133,,AH133+1)*AF133-ERP_i)*AE133*Ramure*Pc/MaxiM</f>
        <v>1.8619431860852938E-5</v>
      </c>
      <c r="AE133" s="305">
        <f t="shared" si="38"/>
        <v>0.5</v>
      </c>
      <c r="AF133" s="177">
        <f t="shared" si="39"/>
        <v>7.2371385121291931E-2</v>
      </c>
      <c r="AG133" s="811">
        <f t="shared" si="47"/>
        <v>-1</v>
      </c>
      <c r="AH133" s="176">
        <f t="shared" si="40"/>
        <v>5</v>
      </c>
      <c r="AI133" s="225">
        <f t="shared" si="41"/>
        <v>-0.92762861487870807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7">
        <v>51.802999999999997</v>
      </c>
      <c r="C134" s="390"/>
      <c r="D134" s="393">
        <f t="shared" si="24"/>
        <v>52.592993202763289</v>
      </c>
      <c r="E134" s="385">
        <f t="shared" si="45"/>
        <v>54.459246136670359</v>
      </c>
      <c r="F134" s="385">
        <f t="shared" si="25"/>
        <v>54.460197039161585</v>
      </c>
      <c r="G134" s="110">
        <f t="shared" si="46"/>
        <v>0.88309632360674206</v>
      </c>
      <c r="H134" s="414" t="b">
        <f>Wh_hp&gt;='2019'!Maxi_hp</f>
        <v>0</v>
      </c>
      <c r="I134" s="380">
        <f>IF(H134,Wh_hp,'2019'!Maxi_hp)</f>
        <v>62.081683557920357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1.5020883099724158E-2</v>
      </c>
      <c r="M134" s="845"/>
      <c r="N134" s="845"/>
      <c r="O134" s="48">
        <f>IF(t&lt;Tnet,'2019'!Resal+('2019'!Salim-'2019'!Resal)*(1-EXP(('2019'!Tnet-t)/('2019'!Tau_j))),Resal+(Salim-Resal)*(1-EXP((Tnet-t)/(Tau_j))))*Salcycl</f>
        <v>3.4268798529152371E-2</v>
      </c>
      <c r="P134" s="169">
        <f>(INDEX(Models!$BJ134:$BT134,,T134)*(1-R134)+INDEX(Models!$BJ134:$BT134,,T134+1)*R134-ERP_i)*Q134*Ramure*Pc/MaxiM</f>
        <v>2.0961010292365099E-5</v>
      </c>
      <c r="Q134" s="305">
        <f t="shared" si="27"/>
        <v>0.5</v>
      </c>
      <c r="R134" s="177">
        <f t="shared" si="28"/>
        <v>7.5049560778571056E-2</v>
      </c>
      <c r="S134" s="811">
        <f t="shared" si="29"/>
        <v>-1</v>
      </c>
      <c r="T134" s="176">
        <f t="shared" si="30"/>
        <v>5</v>
      </c>
      <c r="U134" s="251">
        <f t="shared" si="31"/>
        <v>-0.92495043922142894</v>
      </c>
      <c r="V134" s="383">
        <f t="shared" si="32"/>
        <v>58.660439722516344</v>
      </c>
      <c r="W134" s="402"/>
      <c r="X134" s="157">
        <f t="shared" si="33"/>
        <v>43950</v>
      </c>
      <c r="Y134" s="385">
        <f t="shared" si="34"/>
        <v>51.802999999999997</v>
      </c>
      <c r="Z134" s="385">
        <f t="shared" si="35"/>
        <v>52.592993202763289</v>
      </c>
      <c r="AA134" s="386">
        <f t="shared" si="36"/>
        <v>54.459246136670359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3.4268798529152371E-2</v>
      </c>
      <c r="AD134" s="231">
        <f>(INDEX(Models!$BJ134:$BT134,,AH134)*(1-AF134)+INDEX(Models!$BJ134:$BT134,,AH134+1)*AF134-ERP_i)*AE134*Ramure*Pc/MaxiM</f>
        <v>2.0961010292365099E-5</v>
      </c>
      <c r="AE134" s="305">
        <f t="shared" si="38"/>
        <v>0.5</v>
      </c>
      <c r="AF134" s="177">
        <f t="shared" si="39"/>
        <v>7.5049560778571056E-2</v>
      </c>
      <c r="AG134" s="811">
        <f t="shared" si="47"/>
        <v>-1</v>
      </c>
      <c r="AH134" s="176">
        <f t="shared" si="40"/>
        <v>5</v>
      </c>
      <c r="AI134" s="225">
        <f t="shared" si="41"/>
        <v>-0.92495043922142894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7">
        <v>42.966000000000001</v>
      </c>
      <c r="C135" s="390"/>
      <c r="D135" s="393">
        <f t="shared" si="24"/>
        <v>43.622184825093839</v>
      </c>
      <c r="E135" s="385">
        <f t="shared" si="45"/>
        <v>45.174436977520244</v>
      </c>
      <c r="F135" s="385">
        <f t="shared" si="25"/>
        <v>45.175090279294274</v>
      </c>
      <c r="G135" s="110">
        <f t="shared" si="46"/>
        <v>0.7309039770294341</v>
      </c>
      <c r="H135" s="414" t="b">
        <f>Wh_hp&gt;='2019'!Maxi_hp</f>
        <v>0</v>
      </c>
      <c r="I135" s="380">
        <f>IF(H135,Wh_hp,'2019'!Maxi_hp)</f>
        <v>57.93362071879104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1.5042456670266602E-2</v>
      </c>
      <c r="M135" s="845"/>
      <c r="N135" s="845"/>
      <c r="O135" s="48">
        <f>IF(t&lt;Tnet,'2019'!Resal+('2019'!Salim-'2019'!Resal)*(1-EXP(('2019'!Tnet-t)/('2019'!Tau_j))),Resal+(Salim-Resal)*(1-EXP((Tnet-t)/(Tau_j))))*Salcycl</f>
        <v>3.4361294933212681E-2</v>
      </c>
      <c r="P135" s="169">
        <f>(INDEX(Models!$BJ135:$BT135,,T135)*(1-R135)+INDEX(Models!$BJ135:$BT135,,T135+1)*R135-ERP_i)*Q135*Ramure*Pc/MaxiM</f>
        <v>2.3492308389092096E-5</v>
      </c>
      <c r="Q135" s="305">
        <f t="shared" si="27"/>
        <v>0.5</v>
      </c>
      <c r="R135" s="177">
        <f t="shared" si="28"/>
        <v>7.7804433536631024E-2</v>
      </c>
      <c r="S135" s="811">
        <f t="shared" si="29"/>
        <v>-1</v>
      </c>
      <c r="T135" s="176">
        <f t="shared" si="30"/>
        <v>5</v>
      </c>
      <c r="U135" s="251">
        <f t="shared" si="31"/>
        <v>-0.92219556646336898</v>
      </c>
      <c r="V135" s="383">
        <f t="shared" si="32"/>
        <v>58.784208773081005</v>
      </c>
      <c r="W135" s="402"/>
      <c r="X135" s="157">
        <f t="shared" si="33"/>
        <v>43951</v>
      </c>
      <c r="Y135" s="385">
        <f t="shared" si="34"/>
        <v>42.966000000000001</v>
      </c>
      <c r="Z135" s="385">
        <f t="shared" si="35"/>
        <v>43.622184825093839</v>
      </c>
      <c r="AA135" s="386">
        <f t="shared" si="36"/>
        <v>45.174436977520244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3.4361294933212681E-2</v>
      </c>
      <c r="AD135" s="231">
        <f>(INDEX(Models!$BJ135:$BT135,,AH135)*(1-AF135)+INDEX(Models!$BJ135:$BT135,,AH135+1)*AF135-ERP_i)*AE135*Ramure*Pc/MaxiM</f>
        <v>2.3492308389092096E-5</v>
      </c>
      <c r="AE135" s="305">
        <f t="shared" si="38"/>
        <v>0.5</v>
      </c>
      <c r="AF135" s="177">
        <f t="shared" si="39"/>
        <v>7.7804433536631024E-2</v>
      </c>
      <c r="AG135" s="811">
        <f t="shared" si="47"/>
        <v>-1</v>
      </c>
      <c r="AH135" s="176">
        <f t="shared" si="40"/>
        <v>5</v>
      </c>
      <c r="AI135" s="225">
        <f t="shared" si="41"/>
        <v>-0.92219556646336898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7">
        <v>20.38</v>
      </c>
      <c r="C136" s="390"/>
      <c r="D136" s="393">
        <f t="shared" si="24"/>
        <v>20.691700390641206</v>
      </c>
      <c r="E136" s="385">
        <f t="shared" si="45"/>
        <v>21.430057129194406</v>
      </c>
      <c r="F136" s="385">
        <f t="shared" si="25"/>
        <v>21.430094178125596</v>
      </c>
      <c r="G136" s="110">
        <f t="shared" si="46"/>
        <v>0.34598545513881696</v>
      </c>
      <c r="H136" s="414" t="b">
        <f>Wh_hp&gt;='2019'!Maxi_hp</f>
        <v>0</v>
      </c>
      <c r="I136" s="380">
        <f>IF(H136,Wh_hp,'2019'!Maxi_hp)</f>
        <v>34.655229664918352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1.5064029768292353E-2</v>
      </c>
      <c r="M136" s="845"/>
      <c r="N136" s="845"/>
      <c r="O136" s="48">
        <f>IF(t&lt;Tnet,'2019'!Resal+('2019'!Salim-'2019'!Resal)*(1-EXP(('2019'!Tnet-t)/('2019'!Tau_j))),Resal+(Salim-Resal)*(1-EXP((Tnet-t)/(Tau_j))))*Salcycl</f>
        <v>3.4454258992493755E-2</v>
      </c>
      <c r="P136" s="169">
        <f>(INDEX(Models!$BJ136:$BT136,,T136)*(1-R136)+INDEX(Models!$BJ136:$BT136,,T136+1)*R136-ERP_i)*Q136*Ramure*Pc/MaxiM</f>
        <v>2.6311695501479382E-5</v>
      </c>
      <c r="Q136" s="305">
        <f t="shared" si="27"/>
        <v>0.5</v>
      </c>
      <c r="R136" s="177">
        <f t="shared" si="28"/>
        <v>8.0636918972066152E-2</v>
      </c>
      <c r="S136" s="811">
        <f t="shared" si="29"/>
        <v>-1</v>
      </c>
      <c r="T136" s="176">
        <f t="shared" si="30"/>
        <v>5</v>
      </c>
      <c r="U136" s="251">
        <f t="shared" si="31"/>
        <v>-0.91936308102793385</v>
      </c>
      <c r="V136" s="383">
        <f t="shared" si="32"/>
        <v>58.902762233466078</v>
      </c>
      <c r="W136" s="402"/>
      <c r="X136" s="157">
        <f t="shared" si="33"/>
        <v>43952</v>
      </c>
      <c r="Y136" s="385">
        <f t="shared" si="34"/>
        <v>20.38</v>
      </c>
      <c r="Z136" s="385">
        <f t="shared" si="35"/>
        <v>20.691700390641206</v>
      </c>
      <c r="AA136" s="386">
        <f t="shared" si="36"/>
        <v>21.430057129194406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3.4454258992493755E-2</v>
      </c>
      <c r="AD136" s="231">
        <f>(INDEX(Models!$BJ136:$BT136,,AH136)*(1-AF136)+INDEX(Models!$BJ136:$BT136,,AH136+1)*AF136-ERP_i)*AE136*Ramure*Pc/MaxiM</f>
        <v>2.6311695501479382E-5</v>
      </c>
      <c r="AE136" s="305">
        <f t="shared" si="38"/>
        <v>0.5</v>
      </c>
      <c r="AF136" s="177">
        <f t="shared" si="39"/>
        <v>8.0636918972066152E-2</v>
      </c>
      <c r="AG136" s="811">
        <f t="shared" si="47"/>
        <v>-1</v>
      </c>
      <c r="AH136" s="176">
        <f t="shared" si="40"/>
        <v>5</v>
      </c>
      <c r="AI136" s="225">
        <f t="shared" si="41"/>
        <v>-0.91936308102793385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7">
        <v>36.270000000000003</v>
      </c>
      <c r="C137" s="390"/>
      <c r="D137" s="393">
        <f t="shared" si="24"/>
        <v>36.82553538475365</v>
      </c>
      <c r="E137" s="385">
        <f t="shared" si="45"/>
        <v>38.143298080797607</v>
      </c>
      <c r="F137" s="385">
        <f t="shared" si="25"/>
        <v>38.143801437129397</v>
      </c>
      <c r="G137" s="110">
        <f t="shared" si="46"/>
        <v>0.61456700198859615</v>
      </c>
      <c r="H137" s="414" t="b">
        <f>Wh_hp&gt;='2019'!Maxi_hp</f>
        <v>1</v>
      </c>
      <c r="I137" s="380">
        <f>IF(H137,Wh_hp,'2019'!Maxi_hp)</f>
        <v>38.143801437129397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1.5085602393811959E-2</v>
      </c>
      <c r="M137" s="845"/>
      <c r="N137" s="845"/>
      <c r="O137" s="48">
        <f>IF(t&lt;Tnet,'2019'!Resal+('2019'!Salim-'2019'!Resal)*(1-EXP(('2019'!Tnet-t)/('2019'!Tau_j))),Resal+(Salim-Resal)*(1-EXP((Tnet-t)/(Tau_j))))*Salcycl</f>
        <v>3.454768628692214E-2</v>
      </c>
      <c r="P137" s="169">
        <f>(INDEX(Models!$BJ137:$BT137,,T137)*(1-R137)+INDEX(Models!$BJ137:$BT137,,T137+1)*R137-ERP_i)*Q137*Ramure*Pc/MaxiM</f>
        <v>2.9364507498717321E-5</v>
      </c>
      <c r="Q137" s="305">
        <f t="shared" si="27"/>
        <v>0.5</v>
      </c>
      <c r="R137" s="177">
        <f t="shared" si="28"/>
        <v>8.3547850237629895E-2</v>
      </c>
      <c r="S137" s="811">
        <f t="shared" si="29"/>
        <v>-1</v>
      </c>
      <c r="T137" s="176">
        <f t="shared" si="30"/>
        <v>5</v>
      </c>
      <c r="U137" s="251">
        <f t="shared" si="31"/>
        <v>-0.91645214976237011</v>
      </c>
      <c r="V137" s="383">
        <f t="shared" si="32"/>
        <v>59.016207270055098</v>
      </c>
      <c r="W137" s="402"/>
      <c r="X137" s="157">
        <f t="shared" si="33"/>
        <v>43953</v>
      </c>
      <c r="Y137" s="385">
        <f t="shared" si="34"/>
        <v>36.270000000000003</v>
      </c>
      <c r="Z137" s="385">
        <f t="shared" si="35"/>
        <v>36.82553538475365</v>
      </c>
      <c r="AA137" s="386">
        <f t="shared" si="36"/>
        <v>38.143298080797607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3.454768628692214E-2</v>
      </c>
      <c r="AD137" s="231">
        <f>(INDEX(Models!$BJ137:$BT137,,AH137)*(1-AF137)+INDEX(Models!$BJ137:$BT137,,AH137+1)*AF137-ERP_i)*AE137*Ramure*Pc/MaxiM</f>
        <v>2.9364507498717321E-5</v>
      </c>
      <c r="AE137" s="305">
        <f t="shared" si="38"/>
        <v>0.5</v>
      </c>
      <c r="AF137" s="177">
        <f t="shared" si="39"/>
        <v>8.3547850237629895E-2</v>
      </c>
      <c r="AG137" s="811">
        <f t="shared" si="47"/>
        <v>-1</v>
      </c>
      <c r="AH137" s="176">
        <f t="shared" si="40"/>
        <v>5</v>
      </c>
      <c r="AI137" s="225">
        <f t="shared" si="41"/>
        <v>-0.91645214976237011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7">
        <v>54.433999999999997</v>
      </c>
      <c r="C138" s="390"/>
      <c r="D138" s="393">
        <f t="shared" si="24"/>
        <v>55.268957792391355</v>
      </c>
      <c r="E138" s="385">
        <f t="shared" si="45"/>
        <v>57.252266253827365</v>
      </c>
      <c r="F138" s="385">
        <f t="shared" si="25"/>
        <v>57.253924122877009</v>
      </c>
      <c r="G138" s="110">
        <f t="shared" si="46"/>
        <v>0.92066170106212863</v>
      </c>
      <c r="H138" s="414" t="b">
        <f>Wh_hp&gt;='2019'!Maxi_hp</f>
        <v>1</v>
      </c>
      <c r="I138" s="380">
        <f>IF(H138,Wh_hp,'2019'!Maxi_hp)</f>
        <v>57.253924122877009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1.5107174546835744E-2</v>
      </c>
      <c r="M138" s="845"/>
      <c r="N138" s="845"/>
      <c r="O138" s="48">
        <f>IF(t&lt;Tnet,'2019'!Resal+('2019'!Salim-'2019'!Resal)*(1-EXP(('2019'!Tnet-t)/('2019'!Tau_j))),Resal+(Salim-Resal)*(1-EXP((Tnet-t)/(Tau_j))))*Salcycl</f>
        <v>3.4641571263625326E-2</v>
      </c>
      <c r="P138" s="169">
        <f>(INDEX(Models!$BJ138:$BT138,,T138)*(1-R138)+INDEX(Models!$BJ138:$BT138,,T138+1)*R138-ERP_i)*Q138*Ramure*Pc/MaxiM</f>
        <v>3.2657705920389156E-5</v>
      </c>
      <c r="Q138" s="305">
        <f t="shared" si="27"/>
        <v>0.5</v>
      </c>
      <c r="R138" s="177">
        <f t="shared" si="28"/>
        <v>8.6537971153920368E-2</v>
      </c>
      <c r="S138" s="811">
        <f t="shared" si="29"/>
        <v>-1</v>
      </c>
      <c r="T138" s="176">
        <f t="shared" si="30"/>
        <v>5</v>
      </c>
      <c r="U138" s="251">
        <f t="shared" si="31"/>
        <v>-0.91346202884607963</v>
      </c>
      <c r="V138" s="383">
        <f t="shared" si="32"/>
        <v>59.124647474666993</v>
      </c>
      <c r="W138" s="402"/>
      <c r="X138" s="157">
        <f t="shared" si="33"/>
        <v>43954</v>
      </c>
      <c r="Y138" s="385">
        <f t="shared" si="34"/>
        <v>54.433999999999997</v>
      </c>
      <c r="Z138" s="385">
        <f t="shared" si="35"/>
        <v>55.268957792391355</v>
      </c>
      <c r="AA138" s="386">
        <f t="shared" si="36"/>
        <v>57.252266253827365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3.4641571263625326E-2</v>
      </c>
      <c r="AD138" s="231">
        <f>(INDEX(Models!$BJ138:$BT138,,AH138)*(1-AF138)+INDEX(Models!$BJ138:$BT138,,AH138+1)*AF138-ERP_i)*AE138*Ramure*Pc/MaxiM</f>
        <v>3.2657705920389156E-5</v>
      </c>
      <c r="AE138" s="305">
        <f t="shared" si="38"/>
        <v>0.5</v>
      </c>
      <c r="AF138" s="177">
        <f t="shared" si="39"/>
        <v>8.6537971153920368E-2</v>
      </c>
      <c r="AG138" s="811">
        <f t="shared" si="47"/>
        <v>-1</v>
      </c>
      <c r="AH138" s="176">
        <f t="shared" si="40"/>
        <v>5</v>
      </c>
      <c r="AI138" s="225">
        <f t="shared" si="41"/>
        <v>-0.91346202884607963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7">
        <v>57.389000000000003</v>
      </c>
      <c r="C139" s="390"/>
      <c r="D139" s="393">
        <f t="shared" si="24"/>
        <v>58.27056052267438</v>
      </c>
      <c r="E139" s="385">
        <f t="shared" si="45"/>
        <v>60.367479695498353</v>
      </c>
      <c r="F139" s="385">
        <f t="shared" si="25"/>
        <v>60.369568048217943</v>
      </c>
      <c r="G139" s="110">
        <f t="shared" si="46"/>
        <v>0.96894588997755804</v>
      </c>
      <c r="H139" s="414" t="b">
        <f>Wh_hp&gt;='2019'!Maxi_hp</f>
        <v>1</v>
      </c>
      <c r="I139" s="380">
        <f>IF(H139,Wh_hp,'2019'!Maxi_hp)</f>
        <v>60.369568048217943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1.5128746227373924E-2</v>
      </c>
      <c r="M139" s="845"/>
      <c r="N139" s="845"/>
      <c r="O139" s="48">
        <f>IF(t&lt;Tnet,'2019'!Resal+('2019'!Salim-'2019'!Resal)*(1-EXP(('2019'!Tnet-t)/('2019'!Tau_j))),Resal+(Salim-Resal)*(1-EXP((Tnet-t)/(Tau_j))))*Salcycl</f>
        <v>3.4735907203698388E-2</v>
      </c>
      <c r="P139" s="169">
        <f>(INDEX(Models!$BJ139:$BT139,,T139)*(1-R139)+INDEX(Models!$BJ139:$BT139,,T139+1)*R139-ERP_i)*Q139*Ramure*Pc/MaxiM</f>
        <v>3.6198604129889406E-5</v>
      </c>
      <c r="Q139" s="305">
        <f t="shared" si="27"/>
        <v>0.5</v>
      </c>
      <c r="R139" s="177">
        <f t="shared" si="28"/>
        <v>8.9607929220496763E-2</v>
      </c>
      <c r="S139" s="811">
        <f t="shared" si="29"/>
        <v>-1</v>
      </c>
      <c r="T139" s="176">
        <f t="shared" si="30"/>
        <v>5</v>
      </c>
      <c r="U139" s="251">
        <f t="shared" si="31"/>
        <v>-0.91039207077950324</v>
      </c>
      <c r="V139" s="383">
        <f t="shared" si="32"/>
        <v>59.228186460399655</v>
      </c>
      <c r="W139" s="402"/>
      <c r="X139" s="157">
        <f t="shared" si="33"/>
        <v>43955</v>
      </c>
      <c r="Y139" s="385">
        <f t="shared" si="34"/>
        <v>57.389000000000003</v>
      </c>
      <c r="Z139" s="385">
        <f t="shared" si="35"/>
        <v>58.27056052267438</v>
      </c>
      <c r="AA139" s="386">
        <f t="shared" si="36"/>
        <v>60.367479695498353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3.4735907203698388E-2</v>
      </c>
      <c r="AD139" s="231">
        <f>(INDEX(Models!$BJ139:$BT139,,AH139)*(1-AF139)+INDEX(Models!$BJ139:$BT139,,AH139+1)*AF139-ERP_i)*AE139*Ramure*Pc/MaxiM</f>
        <v>3.6198604129889406E-5</v>
      </c>
      <c r="AE139" s="305">
        <f t="shared" si="38"/>
        <v>0.5</v>
      </c>
      <c r="AF139" s="177">
        <f t="shared" si="39"/>
        <v>8.9607929220496763E-2</v>
      </c>
      <c r="AG139" s="811">
        <f t="shared" si="47"/>
        <v>-1</v>
      </c>
      <c r="AH139" s="176">
        <f t="shared" si="40"/>
        <v>5</v>
      </c>
      <c r="AI139" s="225">
        <f t="shared" si="41"/>
        <v>-0.91039207077950324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7">
        <v>49.935000000000002</v>
      </c>
      <c r="C140" s="390"/>
      <c r="D140" s="393">
        <f t="shared" si="24"/>
        <v>50.703169106952984</v>
      </c>
      <c r="E140" s="385">
        <f t="shared" si="45"/>
        <v>52.532927002086168</v>
      </c>
      <c r="F140" s="385">
        <f t="shared" si="25"/>
        <v>52.534552938618141</v>
      </c>
      <c r="G140" s="110">
        <f t="shared" si="46"/>
        <v>0.84168437706137011</v>
      </c>
      <c r="H140" s="414" t="b">
        <f>Wh_hp&gt;='2019'!Maxi_hp</f>
        <v>0</v>
      </c>
      <c r="I140" s="380">
        <f>IF(H140,Wh_hp,'2019'!Maxi_hp)</f>
        <v>64.189889106761925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1.5150317435437044E-2</v>
      </c>
      <c r="M140" s="845"/>
      <c r="N140" s="845"/>
      <c r="O140" s="48">
        <f>IF(t&lt;Tnet,'2019'!Resal+('2019'!Salim-'2019'!Resal)*(1-EXP(('2019'!Tnet-t)/('2019'!Tau_j))),Resal+(Salim-Resal)*(1-EXP((Tnet-t)/(Tau_j))))*Salcycl</f>
        <v>3.4830686191548381E-2</v>
      </c>
      <c r="P140" s="169">
        <f>(INDEX(Models!$BJ140:$BT140,,T140)*(1-R140)+INDEX(Models!$BJ140:$BT140,,T140+1)*R140-ERP_i)*Q140*Ramure*Pc/MaxiM</f>
        <v>3.9994859378241207E-5</v>
      </c>
      <c r="Q140" s="305">
        <f t="shared" si="27"/>
        <v>0.5</v>
      </c>
      <c r="R140" s="177">
        <f t="shared" si="28"/>
        <v>9.275826858183811E-2</v>
      </c>
      <c r="S140" s="811">
        <f t="shared" si="29"/>
        <v>-1</v>
      </c>
      <c r="T140" s="176">
        <f t="shared" si="30"/>
        <v>5</v>
      </c>
      <c r="U140" s="251">
        <f t="shared" si="31"/>
        <v>-0.90724173141816189</v>
      </c>
      <c r="V140" s="383">
        <f t="shared" si="32"/>
        <v>59.32692786554508</v>
      </c>
      <c r="W140" s="402"/>
      <c r="X140" s="157">
        <f t="shared" si="33"/>
        <v>43956</v>
      </c>
      <c r="Y140" s="385">
        <f t="shared" si="34"/>
        <v>49.935000000000002</v>
      </c>
      <c r="Z140" s="385">
        <f t="shared" si="35"/>
        <v>50.703169106952984</v>
      </c>
      <c r="AA140" s="386">
        <f t="shared" si="36"/>
        <v>52.532927002086168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3.4830686191548381E-2</v>
      </c>
      <c r="AD140" s="231">
        <f>(INDEX(Models!$BJ140:$BT140,,AH140)*(1-AF140)+INDEX(Models!$BJ140:$BT140,,AH140+1)*AF140-ERP_i)*AE140*Ramure*Pc/MaxiM</f>
        <v>3.9994859378241207E-5</v>
      </c>
      <c r="AE140" s="305">
        <f t="shared" si="38"/>
        <v>0.5</v>
      </c>
      <c r="AF140" s="177">
        <f t="shared" si="39"/>
        <v>9.275826858183811E-2</v>
      </c>
      <c r="AG140" s="811">
        <f t="shared" si="47"/>
        <v>-1</v>
      </c>
      <c r="AH140" s="176">
        <f t="shared" si="40"/>
        <v>5</v>
      </c>
      <c r="AI140" s="225">
        <f t="shared" si="41"/>
        <v>-0.90724173141816189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7">
        <v>57.131999999999998</v>
      </c>
      <c r="C141" s="390"/>
      <c r="D141" s="393">
        <f t="shared" si="24"/>
        <v>58.012153911709333</v>
      </c>
      <c r="E141" s="385">
        <f t="shared" si="45"/>
        <v>60.111605789486305</v>
      </c>
      <c r="F141" s="385">
        <f t="shared" si="25"/>
        <v>60.114108347336412</v>
      </c>
      <c r="G141" s="110">
        <f t="shared" si="46"/>
        <v>0.96147633304617097</v>
      </c>
      <c r="H141" s="414" t="b">
        <f>Wh_hp&gt;='2019'!Maxi_hp</f>
        <v>1</v>
      </c>
      <c r="I141" s="380">
        <f>IF(H141,Wh_hp,'2019'!Maxi_hp)</f>
        <v>60.114108347336412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1.5171888171035208E-2</v>
      </c>
      <c r="M141" s="845"/>
      <c r="N141" s="845"/>
      <c r="O141" s="48">
        <f>IF(t&lt;Tnet,'2019'!Resal+('2019'!Salim-'2019'!Resal)*(1-EXP(('2019'!Tnet-t)/('2019'!Tau_j))),Resal+(Salim-Resal)*(1-EXP((Tnet-t)/(Tau_j))))*Salcycl</f>
        <v>3.4925899087263679E-2</v>
      </c>
      <c r="P141" s="169">
        <f>(INDEX(Models!$BJ141:$BT141,,T141)*(1-R141)+INDEX(Models!$BJ141:$BT141,,T141+1)*R141-ERP_i)*Q141*Ramure*Pc/MaxiM</f>
        <v>4.4054463347163909E-5</v>
      </c>
      <c r="Q141" s="305">
        <f t="shared" si="27"/>
        <v>0.5</v>
      </c>
      <c r="R141" s="177">
        <f t="shared" si="28"/>
        <v>9.5989422986990425E-2</v>
      </c>
      <c r="S141" s="811">
        <f t="shared" si="29"/>
        <v>-1</v>
      </c>
      <c r="T141" s="176">
        <f t="shared" si="30"/>
        <v>5</v>
      </c>
      <c r="U141" s="251">
        <f t="shared" si="31"/>
        <v>-0.90401057701300958</v>
      </c>
      <c r="V141" s="383">
        <f t="shared" si="32"/>
        <v>59.420975351451304</v>
      </c>
      <c r="W141" s="402"/>
      <c r="X141" s="157">
        <f t="shared" si="33"/>
        <v>43957</v>
      </c>
      <c r="Y141" s="385">
        <f t="shared" si="34"/>
        <v>57.131999999999998</v>
      </c>
      <c r="Z141" s="385">
        <f t="shared" si="35"/>
        <v>58.012153911709333</v>
      </c>
      <c r="AA141" s="386">
        <f t="shared" si="36"/>
        <v>60.111605789486305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3.4925899087263679E-2</v>
      </c>
      <c r="AD141" s="231">
        <f>(INDEX(Models!$BJ141:$BT141,,AH141)*(1-AF141)+INDEX(Models!$BJ141:$BT141,,AH141+1)*AF141-ERP_i)*AE141*Ramure*Pc/MaxiM</f>
        <v>4.4054463347163909E-5</v>
      </c>
      <c r="AE141" s="305">
        <f t="shared" si="38"/>
        <v>0.5</v>
      </c>
      <c r="AF141" s="177">
        <f t="shared" si="39"/>
        <v>9.5989422986990425E-2</v>
      </c>
      <c r="AG141" s="811">
        <f t="shared" si="47"/>
        <v>-1</v>
      </c>
      <c r="AH141" s="176">
        <f t="shared" si="40"/>
        <v>5</v>
      </c>
      <c r="AI141" s="225">
        <f t="shared" si="41"/>
        <v>-0.90401057701300958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7">
        <v>52.11</v>
      </c>
      <c r="C142" s="390"/>
      <c r="D142" s="393">
        <f t="shared" si="24"/>
        <v>52.91394583665766</v>
      </c>
      <c r="E142" s="385">
        <f t="shared" si="45"/>
        <v>54.834328208774679</v>
      </c>
      <c r="F142" s="385">
        <f t="shared" si="25"/>
        <v>54.836497832007403</v>
      </c>
      <c r="G142" s="110">
        <f t="shared" si="46"/>
        <v>0.8756370617139978</v>
      </c>
      <c r="H142" s="414" t="b">
        <f>Wh_hp&gt;='2019'!Maxi_hp</f>
        <v>1</v>
      </c>
      <c r="I142" s="380">
        <f>IF(H142,Wh_hp,'2019'!Maxi_hp)</f>
        <v>54.836497832007403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1.5193458434179075E-2</v>
      </c>
      <c r="M142" s="845"/>
      <c r="N142" s="845"/>
      <c r="O142" s="48">
        <f>IF(t&lt;Tnet,'2019'!Resal+('2019'!Salim-'2019'!Resal)*(1-EXP(('2019'!Tnet-t)/('2019'!Tau_j))),Resal+(Salim-Resal)*(1-EXP((Tnet-t)/(Tau_j))))*Salcycl</f>
        <v>3.5021535502457693E-2</v>
      </c>
      <c r="P142" s="169">
        <f>(INDEX(Models!$BJ142:$BT142,,T142)*(1-R142)+INDEX(Models!$BJ142:$BT142,,T142+1)*R142-ERP_i)*Q142*Ramure*Pc/MaxiM</f>
        <v>4.8112536958432189E-5</v>
      </c>
      <c r="Q142" s="305">
        <f t="shared" si="27"/>
        <v>0.5</v>
      </c>
      <c r="R142" s="177">
        <f t="shared" si="28"/>
        <v>9.9301708785123344E-2</v>
      </c>
      <c r="S142" s="811">
        <f t="shared" si="29"/>
        <v>-1</v>
      </c>
      <c r="T142" s="176">
        <f t="shared" si="30"/>
        <v>5</v>
      </c>
      <c r="U142" s="251">
        <f t="shared" si="31"/>
        <v>-0.90069829121487666</v>
      </c>
      <c r="V142" s="383">
        <f t="shared" si="32"/>
        <v>59.510448866299015</v>
      </c>
      <c r="W142" s="402"/>
      <c r="X142" s="157">
        <f t="shared" si="33"/>
        <v>43958</v>
      </c>
      <c r="Y142" s="385">
        <f t="shared" si="34"/>
        <v>52.11</v>
      </c>
      <c r="Z142" s="385">
        <f t="shared" si="35"/>
        <v>52.91394583665766</v>
      </c>
      <c r="AA142" s="386">
        <f t="shared" si="36"/>
        <v>54.834328208774679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3.5021535502457693E-2</v>
      </c>
      <c r="AD142" s="231">
        <f>(INDEX(Models!$BJ142:$BT142,,AH142)*(1-AF142)+INDEX(Models!$BJ142:$BT142,,AH142+1)*AF142-ERP_i)*AE142*Ramure*Pc/MaxiM</f>
        <v>4.8112536958432189E-5</v>
      </c>
      <c r="AE142" s="305">
        <f t="shared" si="38"/>
        <v>0.5</v>
      </c>
      <c r="AF142" s="177">
        <f t="shared" si="39"/>
        <v>9.9301708785123344E-2</v>
      </c>
      <c r="AG142" s="811">
        <f t="shared" si="47"/>
        <v>-1</v>
      </c>
      <c r="AH142" s="176">
        <f t="shared" si="40"/>
        <v>5</v>
      </c>
      <c r="AI142" s="225">
        <f t="shared" si="41"/>
        <v>-0.90069829121487666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7">
        <v>52.463999999999999</v>
      </c>
      <c r="C143" s="390"/>
      <c r="D143" s="393">
        <f t="shared" ref="D143:D206" si="48">Wh/(1-Ppv)</f>
        <v>53.274574149350769</v>
      </c>
      <c r="E143" s="385">
        <f t="shared" si="45"/>
        <v>55.213540275777753</v>
      </c>
      <c r="F143" s="385">
        <f t="shared" ref="F143:F206" si="49">Wh_sa/(1-Pvg*MEDIAN((-Sdif+Wh/Env_an)/Csdif,0,1))</f>
        <v>55.215923921937936</v>
      </c>
      <c r="G143" s="110">
        <f t="shared" si="46"/>
        <v>0.88032770015576745</v>
      </c>
      <c r="H143" s="414" t="b">
        <f>Wh_hp&gt;='2019'!Maxi_hp</f>
        <v>1</v>
      </c>
      <c r="I143" s="380">
        <f>IF(H143,Wh_hp,'2019'!Maxi_hp)</f>
        <v>55.215923921937936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1.5215028224878746E-2</v>
      </c>
      <c r="M143" s="845"/>
      <c r="N143" s="845"/>
      <c r="O143" s="48">
        <f>IF(t&lt;Tnet,'2019'!Resal+('2019'!Salim-'2019'!Resal)*(1-EXP(('2019'!Tnet-t)/('2019'!Tau_j))),Resal+(Salim-Resal)*(1-EXP((Tnet-t)/(Tau_j))))*Salcycl</f>
        <v>3.5117583780035426E-2</v>
      </c>
      <c r="P143" s="169">
        <f>(INDEX(Models!$BJ143:$BT143,,T143)*(1-R143)+INDEX(Models!$BJ143:$BT143,,T143+1)*R143-ERP_i)*Q143*Ramure*Pc/MaxiM</f>
        <v>5.2071047959192969E-5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0.10269531800246878</v>
      </c>
      <c r="S143" s="81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-0.89730468199753122</v>
      </c>
      <c r="V143" s="383">
        <f t="shared" ref="V143:V206" si="56">MaxiM*(1-Ppv)*(1-Pvg)*(1-Psa)</f>
        <v>59.595458557034618</v>
      </c>
      <c r="W143" s="402"/>
      <c r="X143" s="157">
        <f t="shared" ref="X143:X206" si="57">t</f>
        <v>43959</v>
      </c>
      <c r="Y143" s="385">
        <f t="shared" ref="Y143:Y206" si="58">Wh_pvt_s*(1-Ppv)</f>
        <v>52.463999999999999</v>
      </c>
      <c r="Z143" s="385">
        <f t="shared" ref="Z143:Z206" si="59">Wh_sa_s*(1-Psa_s)</f>
        <v>53.274574149350769</v>
      </c>
      <c r="AA143" s="386">
        <f t="shared" ref="AA143:AA206" si="60">Wh_hp*(1-Pvg_s*MEDIAN((-Sdif+Wh/Env_an)/Csdif,0,1))</f>
        <v>55.213540275777753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3.5117583780035426E-2</v>
      </c>
      <c r="AD143" s="231">
        <f>(INDEX(Models!$BJ143:$BT143,,AH143)*(1-AF143)+INDEX(Models!$BJ143:$BT143,,AH143+1)*AF143-ERP_i)*AE143*Ramure*Pc/MaxiM</f>
        <v>5.2071047959192969E-5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0.10269531800246878</v>
      </c>
      <c r="AG143" s="81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-0.89730468199753122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7">
        <v>48.648000000000003</v>
      </c>
      <c r="C144" s="390"/>
      <c r="D144" s="393">
        <f t="shared" si="48"/>
        <v>49.400698562344651</v>
      </c>
      <c r="E144" s="385">
        <f t="shared" ref="E144:E169" si="69">Wh_pvt/(1-Psa)</f>
        <v>51.203790424562804</v>
      </c>
      <c r="F144" s="385">
        <f t="shared" si="49"/>
        <v>51.205898275626573</v>
      </c>
      <c r="G144" s="110">
        <f t="shared" ref="G144:G169" si="70">+Wh_hp/MaxiM</f>
        <v>0.81518856752258229</v>
      </c>
      <c r="H144" s="414" t="b">
        <f>Wh_hp&gt;='2019'!Maxi_hp</f>
        <v>1</v>
      </c>
      <c r="I144" s="380">
        <f>IF(H144,Wh_hp,'2019'!Maxi_hp)</f>
        <v>51.205898275626573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1.5236597543144548E-2</v>
      </c>
      <c r="M144" s="845"/>
      <c r="N144" s="845"/>
      <c r="O144" s="48">
        <f>IF(t&lt;Tnet,'2019'!Resal+('2019'!Salim-'2019'!Resal)*(1-EXP(('2019'!Tnet-t)/('2019'!Tau_j))),Resal+(Salim-Resal)*(1-EXP((Tnet-t)/(Tau_j))))*Salcycl</f>
        <v>3.521403097832379E-2</v>
      </c>
      <c r="P144" s="169">
        <f>(INDEX(Models!$BJ144:$BT144,,T144)*(1-R144)+INDEX(Models!$BJ144:$BT144,,T144+1)*R144-ERP_i)*Q144*Ramure*Pc/MaxiM</f>
        <v>5.592958644392768E-5</v>
      </c>
      <c r="Q144" s="305">
        <f t="shared" si="51"/>
        <v>0.5</v>
      </c>
      <c r="R144" s="177">
        <f t="shared" si="52"/>
        <v>0.10617031154918699</v>
      </c>
      <c r="S144" s="811">
        <f t="shared" si="53"/>
        <v>-1</v>
      </c>
      <c r="T144" s="176">
        <f t="shared" si="54"/>
        <v>5</v>
      </c>
      <c r="U144" s="251">
        <f t="shared" si="55"/>
        <v>-0.89382968845081301</v>
      </c>
      <c r="V144" s="383">
        <f t="shared" si="56"/>
        <v>59.676108820954106</v>
      </c>
      <c r="W144" s="402"/>
      <c r="X144" s="157">
        <f t="shared" si="57"/>
        <v>43960</v>
      </c>
      <c r="Y144" s="385">
        <f t="shared" si="58"/>
        <v>48.648000000000003</v>
      </c>
      <c r="Z144" s="385">
        <f t="shared" si="59"/>
        <v>49.400698562344651</v>
      </c>
      <c r="AA144" s="386">
        <f t="shared" si="60"/>
        <v>51.203790424562804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3.521403097832379E-2</v>
      </c>
      <c r="AD144" s="231">
        <f>(INDEX(Models!$BJ144:$BT144,,AH144)*(1-AF144)+INDEX(Models!$BJ144:$BT144,,AH144+1)*AF144-ERP_i)*AE144*Ramure*Pc/MaxiM</f>
        <v>5.592958644392768E-5</v>
      </c>
      <c r="AE144" s="305">
        <f t="shared" si="62"/>
        <v>0.5</v>
      </c>
      <c r="AF144" s="177">
        <f t="shared" si="63"/>
        <v>0.10617031154918699</v>
      </c>
      <c r="AG144" s="811">
        <f t="shared" ref="AG144:AG207" si="71">INDEX(Echel_vg,AH144)</f>
        <v>-1</v>
      </c>
      <c r="AH144" s="176">
        <f t="shared" si="64"/>
        <v>5</v>
      </c>
      <c r="AI144" s="225">
        <f t="shared" si="65"/>
        <v>-0.89382968845081301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7">
        <v>11.712999999999999</v>
      </c>
      <c r="C145" s="390"/>
      <c r="D145" s="393">
        <f t="shared" si="48"/>
        <v>11.894488078209136</v>
      </c>
      <c r="E145" s="385">
        <f t="shared" si="69"/>
        <v>12.329866296071792</v>
      </c>
      <c r="F145" s="385">
        <f t="shared" si="49"/>
        <v>12.329866296071792</v>
      </c>
      <c r="G145" s="110">
        <f t="shared" si="70"/>
        <v>0.19601355717920926</v>
      </c>
      <c r="H145" s="414" t="b">
        <f>Wh_hp&gt;='2019'!Maxi_hp</f>
        <v>0</v>
      </c>
      <c r="I145" s="380">
        <f>IF(H145,Wh_hp,'2019'!Maxi_hp)</f>
        <v>38.866308209024936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1.5258166388987027E-2</v>
      </c>
      <c r="M145" s="845"/>
      <c r="N145" s="845"/>
      <c r="O145" s="48">
        <f>IF(t&lt;Tnet,'2019'!Resal+('2019'!Salim-'2019'!Resal)*(1-EXP(('2019'!Tnet-t)/('2019'!Tau_j))),Resal+(Salim-Resal)*(1-EXP((Tnet-t)/(Tau_j))))*Salcycl</f>
        <v>3.5310862859994172E-2</v>
      </c>
      <c r="P145" s="169">
        <f>(INDEX(Models!$BJ145:$BT145,,T145)*(1-R145)+INDEX(Models!$BJ145:$BT145,,T145+1)*R145-ERP_i)*Q145*Ramure*Pc/MaxiM</f>
        <v>5.9687444848065244E-5</v>
      </c>
      <c r="Q145" s="305">
        <f t="shared" si="51"/>
        <v>0.5</v>
      </c>
      <c r="R145" s="177">
        <f t="shared" si="52"/>
        <v>0.10972661260755123</v>
      </c>
      <c r="S145" s="811">
        <f t="shared" si="53"/>
        <v>-1</v>
      </c>
      <c r="T145" s="176">
        <f t="shared" si="54"/>
        <v>5</v>
      </c>
      <c r="U145" s="251">
        <f t="shared" si="55"/>
        <v>-0.89027338739244877</v>
      </c>
      <c r="V145" s="383">
        <f t="shared" si="56"/>
        <v>59.752504109959553</v>
      </c>
      <c r="W145" s="402"/>
      <c r="X145" s="157">
        <f t="shared" si="57"/>
        <v>43961</v>
      </c>
      <c r="Y145" s="385">
        <f t="shared" si="58"/>
        <v>11.712999999999999</v>
      </c>
      <c r="Z145" s="385">
        <f t="shared" si="59"/>
        <v>11.894488078209136</v>
      </c>
      <c r="AA145" s="386">
        <f t="shared" si="60"/>
        <v>12.329866296071792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3.5310862859994172E-2</v>
      </c>
      <c r="AD145" s="231">
        <f>(INDEX(Models!$BJ145:$BT145,,AH145)*(1-AF145)+INDEX(Models!$BJ145:$BT145,,AH145+1)*AF145-ERP_i)*AE145*Ramure*Pc/MaxiM</f>
        <v>5.9687444848065244E-5</v>
      </c>
      <c r="AE145" s="305">
        <f t="shared" si="62"/>
        <v>0.5</v>
      </c>
      <c r="AF145" s="177">
        <f t="shared" si="63"/>
        <v>0.10972661260755123</v>
      </c>
      <c r="AG145" s="811">
        <f t="shared" si="71"/>
        <v>-1</v>
      </c>
      <c r="AH145" s="176">
        <f t="shared" si="64"/>
        <v>5</v>
      </c>
      <c r="AI145" s="225">
        <f t="shared" si="65"/>
        <v>-0.89027338739244877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7">
        <v>8.8780000000000001</v>
      </c>
      <c r="C146" s="390"/>
      <c r="D146" s="393">
        <f t="shared" si="48"/>
        <v>9.0157583969880051</v>
      </c>
      <c r="E146" s="385">
        <f t="shared" si="69"/>
        <v>9.3467072027484139</v>
      </c>
      <c r="F146" s="385">
        <f t="shared" si="49"/>
        <v>9.3467072027484139</v>
      </c>
      <c r="G146" s="110">
        <f t="shared" si="70"/>
        <v>0.14839072110413035</v>
      </c>
      <c r="H146" s="414" t="b">
        <f>Wh_hp&gt;='2019'!Maxi_hp</f>
        <v>0</v>
      </c>
      <c r="I146" s="380">
        <f>IF(H146,Wh_hp,'2019'!Maxi_hp)</f>
        <v>59.238727729135654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1.5279734762416397E-2</v>
      </c>
      <c r="M146" s="845"/>
      <c r="N146" s="845"/>
      <c r="O146" s="48">
        <f>IF(t&lt;Tnet,'2019'!Resal+('2019'!Salim-'2019'!Resal)*(1-EXP(('2019'!Tnet-t)/('2019'!Tau_j))),Resal+(Salim-Resal)*(1-EXP((Tnet-t)/(Tau_j))))*Salcycl</f>
        <v>3.5408063886187946E-2</v>
      </c>
      <c r="P146" s="169">
        <f>(INDEX(Models!$BJ146:$BT146,,T146)*(1-R146)+INDEX(Models!$BJ146:$BT146,,T146+1)*R146-ERP_i)*Q146*Ramure*Pc/MaxiM</f>
        <v>6.3343618892987633E-5</v>
      </c>
      <c r="Q146" s="305">
        <f t="shared" si="51"/>
        <v>0.5</v>
      </c>
      <c r="R146" s="177">
        <f t="shared" si="52"/>
        <v>0.11336400025537996</v>
      </c>
      <c r="S146" s="811">
        <f t="shared" si="53"/>
        <v>-1</v>
      </c>
      <c r="T146" s="176">
        <f t="shared" si="54"/>
        <v>5</v>
      </c>
      <c r="U146" s="251">
        <f t="shared" si="55"/>
        <v>-0.88663599974462004</v>
      </c>
      <c r="V146" s="383">
        <f t="shared" si="56"/>
        <v>59.824748941828346</v>
      </c>
      <c r="W146" s="402"/>
      <c r="X146" s="157">
        <f t="shared" si="57"/>
        <v>43962</v>
      </c>
      <c r="Y146" s="385">
        <f t="shared" si="58"/>
        <v>8.8780000000000001</v>
      </c>
      <c r="Z146" s="385">
        <f t="shared" si="59"/>
        <v>9.0157583969880051</v>
      </c>
      <c r="AA146" s="386">
        <f t="shared" si="60"/>
        <v>9.3467072027484139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3.5408063886187946E-2</v>
      </c>
      <c r="AD146" s="231">
        <f>(INDEX(Models!$BJ146:$BT146,,AH146)*(1-AF146)+INDEX(Models!$BJ146:$BT146,,AH146+1)*AF146-ERP_i)*AE146*Ramure*Pc/MaxiM</f>
        <v>6.3343618892987633E-5</v>
      </c>
      <c r="AE146" s="305">
        <f t="shared" si="62"/>
        <v>0.5</v>
      </c>
      <c r="AF146" s="177">
        <f t="shared" si="63"/>
        <v>0.11336400025537996</v>
      </c>
      <c r="AG146" s="811">
        <f t="shared" si="71"/>
        <v>-1</v>
      </c>
      <c r="AH146" s="176">
        <f t="shared" si="64"/>
        <v>5</v>
      </c>
      <c r="AI146" s="225">
        <f t="shared" si="65"/>
        <v>-0.88663599974462004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7">
        <v>20.327000000000002</v>
      </c>
      <c r="C147" s="390"/>
      <c r="D147" s="393">
        <f t="shared" si="48"/>
        <v>20.642862689857406</v>
      </c>
      <c r="E147" s="385">
        <f t="shared" si="69"/>
        <v>21.402781662944502</v>
      </c>
      <c r="F147" s="385">
        <f t="shared" si="49"/>
        <v>21.402862229121819</v>
      </c>
      <c r="G147" s="110">
        <f t="shared" si="70"/>
        <v>0.33936744502305377</v>
      </c>
      <c r="H147" s="414" t="b">
        <f>Wh_hp&gt;='2019'!Maxi_hp</f>
        <v>0</v>
      </c>
      <c r="I147" s="380">
        <f>IF(H147,Wh_hp,'2019'!Maxi_hp)</f>
        <v>65.408960512497771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1.5301302663443095E-2</v>
      </c>
      <c r="M147" s="845"/>
      <c r="N147" s="845"/>
      <c r="O147" s="48">
        <f>IF(t&lt;Tnet,'2019'!Resal+('2019'!Salim-'2019'!Resal)*(1-EXP(('2019'!Tnet-t)/('2019'!Tau_j))),Resal+(Salim-Resal)*(1-EXP((Tnet-t)/(Tau_j))))*Salcycl</f>
        <v>3.5505617216232049E-2</v>
      </c>
      <c r="P147" s="169">
        <f>(INDEX(Models!$BJ147:$BT147,,T147)*(1-R147)+INDEX(Models!$BJ147:$BT147,,T147+1)*R147-ERP_i)*Q147*Ramure*Pc/MaxiM</f>
        <v>6.689680905806538E-5</v>
      </c>
      <c r="Q147" s="305">
        <f t="shared" si="51"/>
        <v>0.5</v>
      </c>
      <c r="R147" s="177">
        <f t="shared" si="52"/>
        <v>0.11708210338083214</v>
      </c>
      <c r="S147" s="811">
        <f t="shared" si="53"/>
        <v>-1</v>
      </c>
      <c r="T147" s="176">
        <f t="shared" si="54"/>
        <v>5</v>
      </c>
      <c r="U147" s="251">
        <f t="shared" si="55"/>
        <v>-0.88291789661916786</v>
      </c>
      <c r="V147" s="383">
        <f t="shared" si="56"/>
        <v>59.892947889244276</v>
      </c>
      <c r="W147" s="402"/>
      <c r="X147" s="157">
        <f t="shared" si="57"/>
        <v>43963</v>
      </c>
      <c r="Y147" s="385">
        <f t="shared" si="58"/>
        <v>20.327000000000002</v>
      </c>
      <c r="Z147" s="385">
        <f t="shared" si="59"/>
        <v>20.642862689857406</v>
      </c>
      <c r="AA147" s="386">
        <f t="shared" si="60"/>
        <v>21.402781662944502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3.5505617216232049E-2</v>
      </c>
      <c r="AD147" s="231">
        <f>(INDEX(Models!$BJ147:$BT147,,AH147)*(1-AF147)+INDEX(Models!$BJ147:$BT147,,AH147+1)*AF147-ERP_i)*AE147*Ramure*Pc/MaxiM</f>
        <v>6.689680905806538E-5</v>
      </c>
      <c r="AE147" s="305">
        <f t="shared" si="62"/>
        <v>0.5</v>
      </c>
      <c r="AF147" s="177">
        <f t="shared" si="63"/>
        <v>0.11708210338083214</v>
      </c>
      <c r="AG147" s="811">
        <f t="shared" si="71"/>
        <v>-1</v>
      </c>
      <c r="AH147" s="176">
        <f t="shared" si="64"/>
        <v>5</v>
      </c>
      <c r="AI147" s="225">
        <f t="shared" si="65"/>
        <v>-0.88291789661916786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7">
        <v>30.978000000000002</v>
      </c>
      <c r="C148" s="390"/>
      <c r="D148" s="393">
        <f t="shared" si="48"/>
        <v>31.460058387764892</v>
      </c>
      <c r="E148" s="385">
        <f t="shared" si="69"/>
        <v>32.621498047245005</v>
      </c>
      <c r="F148" s="385">
        <f t="shared" si="49"/>
        <v>32.622208355651487</v>
      </c>
      <c r="G148" s="110">
        <f t="shared" si="70"/>
        <v>0.51664341277229364</v>
      </c>
      <c r="H148" s="414" t="b">
        <f>Wh_hp&gt;='2019'!Maxi_hp</f>
        <v>0</v>
      </c>
      <c r="I148" s="380">
        <f>IF(H148,Wh_hp,'2019'!Maxi_hp)</f>
        <v>63.832836981428784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1.5322870092077334E-2</v>
      </c>
      <c r="M148" s="845"/>
      <c r="N148" s="845"/>
      <c r="O148" s="48">
        <f>IF(t&lt;Tnet,'2019'!Resal+('2019'!Salim-'2019'!Resal)*(1-EXP(('2019'!Tnet-t)/('2019'!Tau_j))),Resal+(Salim-Resal)*(1-EXP((Tnet-t)/(Tau_j))))*Salcycl</f>
        <v>3.5603504713303528E-2</v>
      </c>
      <c r="P148" s="169">
        <f>(INDEX(Models!$BJ148:$BT148,,T148)*(1-R148)+INDEX(Models!$BJ148:$BT148,,T148+1)*R148-ERP_i)*Q148*Ramure*Pc/MaxiM</f>
        <v>7.0345422617061726E-5</v>
      </c>
      <c r="Q148" s="305">
        <f t="shared" si="51"/>
        <v>0.5</v>
      </c>
      <c r="R148" s="177">
        <f t="shared" si="52"/>
        <v>0.12088039494643454</v>
      </c>
      <c r="S148" s="811">
        <f t="shared" si="53"/>
        <v>-1</v>
      </c>
      <c r="T148" s="176">
        <f t="shared" si="54"/>
        <v>5</v>
      </c>
      <c r="U148" s="251">
        <f t="shared" si="55"/>
        <v>-0.87911960505356546</v>
      </c>
      <c r="V148" s="383">
        <f t="shared" si="56"/>
        <v>59.957205586559624</v>
      </c>
      <c r="W148" s="402"/>
      <c r="X148" s="157">
        <f t="shared" si="57"/>
        <v>43964</v>
      </c>
      <c r="Y148" s="385">
        <f t="shared" si="58"/>
        <v>30.978000000000005</v>
      </c>
      <c r="Z148" s="385">
        <f t="shared" si="59"/>
        <v>31.460058387764896</v>
      </c>
      <c r="AA148" s="386">
        <f t="shared" si="60"/>
        <v>32.621498047245005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3.5603504713303528E-2</v>
      </c>
      <c r="AD148" s="231">
        <f>(INDEX(Models!$BJ148:$BT148,,AH148)*(1-AF148)+INDEX(Models!$BJ148:$BT148,,AH148+1)*AF148-ERP_i)*AE148*Ramure*Pc/MaxiM</f>
        <v>7.0345422617061726E-5</v>
      </c>
      <c r="AE148" s="305">
        <f t="shared" si="62"/>
        <v>0.5</v>
      </c>
      <c r="AF148" s="177">
        <f t="shared" si="63"/>
        <v>0.12088039494643454</v>
      </c>
      <c r="AG148" s="811">
        <f t="shared" si="71"/>
        <v>-1</v>
      </c>
      <c r="AH148" s="176">
        <f t="shared" si="64"/>
        <v>5</v>
      </c>
      <c r="AI148" s="225">
        <f t="shared" si="65"/>
        <v>-0.87911960505356546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7">
        <v>20.306000000000001</v>
      </c>
      <c r="C149" s="390"/>
      <c r="D149" s="393">
        <f t="shared" si="48"/>
        <v>20.622439728192216</v>
      </c>
      <c r="E149" s="385">
        <f t="shared" si="69"/>
        <v>21.385954820163828</v>
      </c>
      <c r="F149" s="385">
        <f t="shared" si="49"/>
        <v>21.386041129861098</v>
      </c>
      <c r="G149" s="110">
        <f t="shared" si="70"/>
        <v>0.33831429870908908</v>
      </c>
      <c r="H149" s="414" t="b">
        <f>Wh_hp&gt;='2019'!Maxi_hp</f>
        <v>0</v>
      </c>
      <c r="I149" s="380">
        <f>IF(H149,Wh_hp,'2019'!Maxi_hp)</f>
        <v>64.337487236928794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1.5344437048329551E-2</v>
      </c>
      <c r="M149" s="845"/>
      <c r="N149" s="845"/>
      <c r="O149" s="48">
        <f>IF(t&lt;Tnet,'2019'!Resal+('2019'!Salim-'2019'!Resal)*(1-EXP(('2019'!Tnet-t)/('2019'!Tau_j))),Resal+(Salim-Resal)*(1-EXP((Tnet-t)/(Tau_j))))*Salcycl</f>
        <v>3.5701706956367839E-2</v>
      </c>
      <c r="P149" s="169">
        <f>(INDEX(Models!$BJ149:$BT149,,T149)*(1-R149)+INDEX(Models!$BJ149:$BT149,,T149+1)*R149-ERP_i)*Q149*Ramure*Pc/MaxiM</f>
        <v>7.3688431541984008E-5</v>
      </c>
      <c r="Q149" s="305">
        <f t="shared" si="51"/>
        <v>0.5</v>
      </c>
      <c r="R149" s="177">
        <f t="shared" si="52"/>
        <v>0.12475818666147409</v>
      </c>
      <c r="S149" s="811">
        <f t="shared" si="53"/>
        <v>-1</v>
      </c>
      <c r="T149" s="176">
        <f t="shared" si="54"/>
        <v>5</v>
      </c>
      <c r="U149" s="251">
        <f t="shared" si="55"/>
        <v>-0.87524181333852591</v>
      </c>
      <c r="V149" s="383">
        <f t="shared" si="56"/>
        <v>60.016930130796126</v>
      </c>
      <c r="W149" s="402"/>
      <c r="X149" s="157">
        <f t="shared" si="57"/>
        <v>43965</v>
      </c>
      <c r="Y149" s="385">
        <f t="shared" si="58"/>
        <v>20.306000000000001</v>
      </c>
      <c r="Z149" s="385">
        <f t="shared" si="59"/>
        <v>20.622439728192216</v>
      </c>
      <c r="AA149" s="386">
        <f t="shared" si="60"/>
        <v>21.385954820163828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3.5701706956367839E-2</v>
      </c>
      <c r="AD149" s="231">
        <f>(INDEX(Models!$BJ149:$BT149,,AH149)*(1-AF149)+INDEX(Models!$BJ149:$BT149,,AH149+1)*AF149-ERP_i)*AE149*Ramure*Pc/MaxiM</f>
        <v>7.3688431541984008E-5</v>
      </c>
      <c r="AE149" s="305">
        <f t="shared" si="62"/>
        <v>0.5</v>
      </c>
      <c r="AF149" s="177">
        <f t="shared" si="63"/>
        <v>0.12475818666147409</v>
      </c>
      <c r="AG149" s="811">
        <f t="shared" si="71"/>
        <v>-1</v>
      </c>
      <c r="AH149" s="176">
        <f t="shared" si="64"/>
        <v>5</v>
      </c>
      <c r="AI149" s="225">
        <f t="shared" si="65"/>
        <v>-0.87524181333852591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7">
        <v>15.879</v>
      </c>
      <c r="C150" s="390"/>
      <c r="D150" s="393">
        <f t="shared" si="48"/>
        <v>16.126804535455065</v>
      </c>
      <c r="E150" s="385">
        <f t="shared" si="69"/>
        <v>16.725583836418906</v>
      </c>
      <c r="F150" s="385">
        <f t="shared" si="49"/>
        <v>16.725583836418906</v>
      </c>
      <c r="G150" s="110">
        <f t="shared" si="70"/>
        <v>0.26431423582926028</v>
      </c>
      <c r="H150" s="414" t="b">
        <f>Wh_hp&gt;='2019'!Maxi_hp</f>
        <v>0</v>
      </c>
      <c r="I150" s="380">
        <f>IF(H150,Wh_hp,'2019'!Maxi_hp)</f>
        <v>55.759884023555387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1.5366003532210071E-2</v>
      </c>
      <c r="M150" s="845"/>
      <c r="N150" s="845"/>
      <c r="O150" s="48">
        <f>IF(t&lt;Tnet,'2019'!Resal+('2019'!Salim-'2019'!Resal)*(1-EXP(('2019'!Tnet-t)/('2019'!Tau_j))),Resal+(Salim-Resal)*(1-EXP((Tnet-t)/(Tau_j))))*Salcycl</f>
        <v>3.5800203258677152E-2</v>
      </c>
      <c r="P150" s="169">
        <f>(INDEX(Models!$BJ150:$BT150,,T150)*(1-R150)+INDEX(Models!$BJ150:$BT150,,T150+1)*R150-ERP_i)*Q150*Ramure*Pc/MaxiM</f>
        <v>7.6508135615993363E-5</v>
      </c>
      <c r="Q150" s="305">
        <f t="shared" si="51"/>
        <v>0.5</v>
      </c>
      <c r="R150" s="177">
        <f t="shared" si="52"/>
        <v>0.12871462412260026</v>
      </c>
      <c r="S150" s="811">
        <f t="shared" si="53"/>
        <v>-1</v>
      </c>
      <c r="T150" s="176">
        <f t="shared" si="54"/>
        <v>5</v>
      </c>
      <c r="U150" s="251">
        <f t="shared" si="55"/>
        <v>-0.87128537587739974</v>
      </c>
      <c r="V150" s="383">
        <f t="shared" si="56"/>
        <v>60.07162299639117</v>
      </c>
      <c r="W150" s="402"/>
      <c r="X150" s="157">
        <f t="shared" si="57"/>
        <v>43966</v>
      </c>
      <c r="Y150" s="385">
        <f t="shared" si="58"/>
        <v>15.879000000000001</v>
      </c>
      <c r="Z150" s="385">
        <f t="shared" si="59"/>
        <v>16.126804535455065</v>
      </c>
      <c r="AA150" s="386">
        <f t="shared" si="60"/>
        <v>16.725583836418906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3.5800203258677152E-2</v>
      </c>
      <c r="AD150" s="231">
        <f>(INDEX(Models!$BJ150:$BT150,,AH150)*(1-AF150)+INDEX(Models!$BJ150:$BT150,,AH150+1)*AF150-ERP_i)*AE150*Ramure*Pc/MaxiM</f>
        <v>7.6508135615993363E-5</v>
      </c>
      <c r="AE150" s="305">
        <f t="shared" si="62"/>
        <v>0.5</v>
      </c>
      <c r="AF150" s="177">
        <f t="shared" si="63"/>
        <v>0.12871462412260026</v>
      </c>
      <c r="AG150" s="811">
        <f t="shared" si="71"/>
        <v>-1</v>
      </c>
      <c r="AH150" s="176">
        <f t="shared" si="64"/>
        <v>5</v>
      </c>
      <c r="AI150" s="225">
        <f t="shared" si="65"/>
        <v>-0.87128537587739974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7">
        <v>34.332000000000001</v>
      </c>
      <c r="C151" s="390"/>
      <c r="D151" s="393">
        <f t="shared" si="48"/>
        <v>34.868542116709314</v>
      </c>
      <c r="E151" s="385">
        <f t="shared" si="69"/>
        <v>36.166896510775906</v>
      </c>
      <c r="F151" s="385">
        <f t="shared" si="49"/>
        <v>36.167998382004193</v>
      </c>
      <c r="G151" s="110">
        <f t="shared" si="70"/>
        <v>0.57101611457008816</v>
      </c>
      <c r="H151" s="414" t="b">
        <f>Wh_hp&gt;='2019'!Maxi_hp</f>
        <v>1</v>
      </c>
      <c r="I151" s="380">
        <f>IF(H151,Wh_hp,'2019'!Maxi_hp)</f>
        <v>36.167998382004193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1.5387569543729218E-2</v>
      </c>
      <c r="M151" s="845"/>
      <c r="N151" s="845"/>
      <c r="O151" s="48">
        <f>IF(t&lt;Tnet,'2019'!Resal+('2019'!Salim-'2019'!Resal)*(1-EXP(('2019'!Tnet-t)/('2019'!Tau_j))),Resal+(Salim-Resal)*(1-EXP((Tnet-t)/(Tau_j))))*Salcycl</f>
        <v>3.5898971693071526E-2</v>
      </c>
      <c r="P151" s="169">
        <f>(INDEX(Models!$BJ151:$BT151,,T151)*(1-R151)+INDEX(Models!$BJ151:$BT151,,T151+1)*R151-ERP_i)*Q151*Ramure*Pc/MaxiM</f>
        <v>7.868014911429433E-5</v>
      </c>
      <c r="Q151" s="305">
        <f t="shared" si="51"/>
        <v>0.5</v>
      </c>
      <c r="R151" s="177">
        <f t="shared" si="52"/>
        <v>0.1327486824825741</v>
      </c>
      <c r="S151" s="811">
        <f t="shared" si="53"/>
        <v>-1</v>
      </c>
      <c r="T151" s="176">
        <f t="shared" si="54"/>
        <v>5</v>
      </c>
      <c r="U151" s="251">
        <f t="shared" si="55"/>
        <v>-0.8672513175174259</v>
      </c>
      <c r="V151" s="383">
        <f t="shared" si="56"/>
        <v>60.121498787133277</v>
      </c>
      <c r="W151" s="402"/>
      <c r="X151" s="157">
        <f t="shared" si="57"/>
        <v>43967</v>
      </c>
      <c r="Y151" s="385">
        <f t="shared" si="58"/>
        <v>34.332000000000001</v>
      </c>
      <c r="Z151" s="385">
        <f t="shared" si="59"/>
        <v>34.868542116709314</v>
      </c>
      <c r="AA151" s="386">
        <f t="shared" si="60"/>
        <v>36.166896510775906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3.5898971693071526E-2</v>
      </c>
      <c r="AD151" s="231">
        <f>(INDEX(Models!$BJ151:$BT151,,AH151)*(1-AF151)+INDEX(Models!$BJ151:$BT151,,AH151+1)*AF151-ERP_i)*AE151*Ramure*Pc/MaxiM</f>
        <v>7.868014911429433E-5</v>
      </c>
      <c r="AE151" s="305">
        <f t="shared" si="62"/>
        <v>0.5</v>
      </c>
      <c r="AF151" s="177">
        <f t="shared" si="63"/>
        <v>0.1327486824825741</v>
      </c>
      <c r="AG151" s="811">
        <f t="shared" si="71"/>
        <v>-1</v>
      </c>
      <c r="AH151" s="176">
        <f t="shared" si="64"/>
        <v>5</v>
      </c>
      <c r="AI151" s="225">
        <f t="shared" si="65"/>
        <v>-0.8672513175174259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7">
        <v>60.713999999999999</v>
      </c>
      <c r="C152" s="390"/>
      <c r="D152" s="393">
        <f t="shared" si="48"/>
        <v>61.664191862182065</v>
      </c>
      <c r="E152" s="385">
        <f t="shared" si="69"/>
        <v>63.966870573397337</v>
      </c>
      <c r="F152" s="385">
        <f t="shared" si="49"/>
        <v>63.972000087795209</v>
      </c>
      <c r="G152" s="110">
        <f t="shared" si="70"/>
        <v>1.0090952892418232</v>
      </c>
      <c r="H152" s="414" t="b">
        <f>Wh_hp&gt;='2019'!Maxi_hp</f>
        <v>1</v>
      </c>
      <c r="I152" s="380">
        <f>IF(H152,Wh_hp,'2019'!Maxi_hp)</f>
        <v>63.972000087795209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1.5409135082897429E-2</v>
      </c>
      <c r="M152" s="845"/>
      <c r="N152" s="845"/>
      <c r="O152" s="48">
        <f>IF(t&lt;Tnet,'2019'!Resal+('2019'!Salim-'2019'!Resal)*(1-EXP(('2019'!Tnet-t)/('2019'!Tau_j))),Resal+(Salim-Resal)*(1-EXP((Tnet-t)/(Tau_j))))*Salcycl</f>
        <v>3.5997989124278255E-2</v>
      </c>
      <c r="P152" s="169">
        <f>(INDEX(Models!$BJ152:$BT152,,T152)*(1-R152)+INDEX(Models!$BJ152:$BT152,,T152+1)*R152-ERP_i)*Q152*Ramure*Pc/MaxiM</f>
        <v>8.0183742744219605E-5</v>
      </c>
      <c r="Q152" s="305">
        <f t="shared" si="51"/>
        <v>0.5</v>
      </c>
      <c r="R152" s="177">
        <f t="shared" si="52"/>
        <v>0.1368591627065312</v>
      </c>
      <c r="S152" s="811">
        <f t="shared" si="53"/>
        <v>-1</v>
      </c>
      <c r="T152" s="176">
        <f t="shared" si="54"/>
        <v>5</v>
      </c>
      <c r="U152" s="251">
        <f t="shared" si="55"/>
        <v>-0.8631408372934688</v>
      </c>
      <c r="V152" s="383">
        <f t="shared" si="56"/>
        <v>60.166765861742405</v>
      </c>
      <c r="W152" s="402"/>
      <c r="X152" s="157">
        <f t="shared" si="57"/>
        <v>43968</v>
      </c>
      <c r="Y152" s="385">
        <f t="shared" si="58"/>
        <v>60.713999999999999</v>
      </c>
      <c r="Z152" s="385">
        <f t="shared" si="59"/>
        <v>61.664191862182065</v>
      </c>
      <c r="AA152" s="386">
        <f t="shared" si="60"/>
        <v>63.966870573397337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3.5997989124278255E-2</v>
      </c>
      <c r="AD152" s="231">
        <f>(INDEX(Models!$BJ152:$BT152,,AH152)*(1-AF152)+INDEX(Models!$BJ152:$BT152,,AH152+1)*AF152-ERP_i)*AE152*Ramure*Pc/MaxiM</f>
        <v>8.0183742744219605E-5</v>
      </c>
      <c r="AE152" s="305">
        <f t="shared" si="62"/>
        <v>0.5</v>
      </c>
      <c r="AF152" s="177">
        <f t="shared" si="63"/>
        <v>0.1368591627065312</v>
      </c>
      <c r="AG152" s="811">
        <f t="shared" si="71"/>
        <v>-1</v>
      </c>
      <c r="AH152" s="176">
        <f t="shared" si="64"/>
        <v>5</v>
      </c>
      <c r="AI152" s="225">
        <f t="shared" si="65"/>
        <v>-0.8631408372934688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7">
        <v>59.832000000000001</v>
      </c>
      <c r="C153" s="390"/>
      <c r="D153" s="393">
        <f t="shared" si="48"/>
        <v>60.769719316963005</v>
      </c>
      <c r="E153" s="385">
        <f t="shared" si="69"/>
        <v>63.045486834388917</v>
      </c>
      <c r="F153" s="385">
        <f t="shared" si="49"/>
        <v>63.050548226982031</v>
      </c>
      <c r="G153" s="110">
        <f t="shared" si="70"/>
        <v>0.99376032907858713</v>
      </c>
      <c r="H153" s="414" t="b">
        <f>Wh_hp&gt;='2019'!Maxi_hp</f>
        <v>1</v>
      </c>
      <c r="I153" s="380">
        <f>IF(H153,Wh_hp,'2019'!Maxi_hp)</f>
        <v>63.050548226982031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1.5430700149724919E-2</v>
      </c>
      <c r="M153" s="845"/>
      <c r="N153" s="845"/>
      <c r="O153" s="48">
        <f>IF(t&lt;Tnet,'2019'!Resal+('2019'!Salim-'2019'!Resal)*(1-EXP(('2019'!Tnet-t)/('2019'!Tau_j))),Resal+(Salim-Resal)*(1-EXP((Tnet-t)/(Tau_j))))*Salcycl</f>
        <v>3.6097231248352769E-2</v>
      </c>
      <c r="P153" s="169">
        <f>(INDEX(Models!$BJ153:$BT153,,T153)*(1-R153)+INDEX(Models!$BJ153:$BT153,,T153+1)*R153-ERP_i)*Q153*Ramure*Pc/MaxiM</f>
        <v>8.099706586484511E-5</v>
      </c>
      <c r="Q153" s="305">
        <f t="shared" si="51"/>
        <v>0.5</v>
      </c>
      <c r="R153" s="177">
        <f t="shared" si="52"/>
        <v>0.14104468847382767</v>
      </c>
      <c r="S153" s="811">
        <f t="shared" si="53"/>
        <v>-1</v>
      </c>
      <c r="T153" s="176">
        <f t="shared" si="54"/>
        <v>5</v>
      </c>
      <c r="U153" s="251">
        <f t="shared" si="55"/>
        <v>-0.85895531152617233</v>
      </c>
      <c r="V153" s="383">
        <f t="shared" si="56"/>
        <v>60.207632617711575</v>
      </c>
      <c r="W153" s="402"/>
      <c r="X153" s="157">
        <f t="shared" si="57"/>
        <v>43969</v>
      </c>
      <c r="Y153" s="385">
        <f t="shared" si="58"/>
        <v>59.832000000000001</v>
      </c>
      <c r="Z153" s="385">
        <f t="shared" si="59"/>
        <v>60.769719316963005</v>
      </c>
      <c r="AA153" s="386">
        <f t="shared" si="60"/>
        <v>63.045486834388917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3.6097231248352769E-2</v>
      </c>
      <c r="AD153" s="231">
        <f>(INDEX(Models!$BJ153:$BT153,,AH153)*(1-AF153)+INDEX(Models!$BJ153:$BT153,,AH153+1)*AF153-ERP_i)*AE153*Ramure*Pc/MaxiM</f>
        <v>8.099706586484511E-5</v>
      </c>
      <c r="AE153" s="305">
        <f t="shared" si="62"/>
        <v>0.5</v>
      </c>
      <c r="AF153" s="177">
        <f t="shared" si="63"/>
        <v>0.14104468847382767</v>
      </c>
      <c r="AG153" s="811">
        <f t="shared" si="71"/>
        <v>-1</v>
      </c>
      <c r="AH153" s="176">
        <f t="shared" si="64"/>
        <v>5</v>
      </c>
      <c r="AI153" s="225">
        <f t="shared" si="65"/>
        <v>-0.85895531152617233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7">
        <v>58.527000000000001</v>
      </c>
      <c r="C154" s="390"/>
      <c r="D154" s="393">
        <f t="shared" si="48"/>
        <v>59.445568664880568</v>
      </c>
      <c r="E154" s="385">
        <f t="shared" si="69"/>
        <v>61.678111059930323</v>
      </c>
      <c r="F154" s="385">
        <f t="shared" si="49"/>
        <v>61.682909665143029</v>
      </c>
      <c r="G154" s="110">
        <f t="shared" si="70"/>
        <v>0.97149106948272634</v>
      </c>
      <c r="H154" s="414" t="b">
        <f>Wh_hp&gt;='2019'!Maxi_hp</f>
        <v>1</v>
      </c>
      <c r="I154" s="380">
        <f>IF(H154,Wh_hp,'2019'!Maxi_hp)</f>
        <v>61.682909665143029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1.5452264744222122E-2</v>
      </c>
      <c r="M154" s="845"/>
      <c r="N154" s="845"/>
      <c r="O154" s="48">
        <f>IF(t&lt;Tnet,'2019'!Resal+('2019'!Salim-'2019'!Resal)*(1-EXP(('2019'!Tnet-t)/('2019'!Tau_j))),Resal+(Salim-Resal)*(1-EXP((Tnet-t)/(Tau_j))))*Salcycl</f>
        <v>3.6196672639349753E-2</v>
      </c>
      <c r="P154" s="169">
        <f>(INDEX(Models!$BJ154:$BT154,,T154)*(1-R154)+INDEX(Models!$BJ154:$BT154,,T154+1)*R154-ERP_i)*Q154*Ramure*Pc/MaxiM</f>
        <v>8.1097206266133459E-5</v>
      </c>
      <c r="Q154" s="305">
        <f t="shared" si="51"/>
        <v>0.5</v>
      </c>
      <c r="R154" s="177">
        <f t="shared" si="52"/>
        <v>0.14530370378148827</v>
      </c>
      <c r="S154" s="811">
        <f t="shared" si="53"/>
        <v>-1</v>
      </c>
      <c r="T154" s="176">
        <f t="shared" si="54"/>
        <v>5</v>
      </c>
      <c r="U154" s="251">
        <f t="shared" si="55"/>
        <v>-0.85469629621851173</v>
      </c>
      <c r="V154" s="383">
        <f t="shared" si="56"/>
        <v>60.244307476764583</v>
      </c>
      <c r="W154" s="402"/>
      <c r="X154" s="157">
        <f t="shared" si="57"/>
        <v>43970</v>
      </c>
      <c r="Y154" s="385">
        <f t="shared" si="58"/>
        <v>58.527000000000001</v>
      </c>
      <c r="Z154" s="385">
        <f t="shared" si="59"/>
        <v>59.445568664880568</v>
      </c>
      <c r="AA154" s="386">
        <f t="shared" si="60"/>
        <v>61.678111059930323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3.6196672639349753E-2</v>
      </c>
      <c r="AD154" s="231">
        <f>(INDEX(Models!$BJ154:$BT154,,AH154)*(1-AF154)+INDEX(Models!$BJ154:$BT154,,AH154+1)*AF154-ERP_i)*AE154*Ramure*Pc/MaxiM</f>
        <v>8.1097206266133459E-5</v>
      </c>
      <c r="AE154" s="305">
        <f t="shared" si="62"/>
        <v>0.5</v>
      </c>
      <c r="AF154" s="177">
        <f t="shared" si="63"/>
        <v>0.14530370378148827</v>
      </c>
      <c r="AG154" s="811">
        <f t="shared" si="71"/>
        <v>-1</v>
      </c>
      <c r="AH154" s="176">
        <f t="shared" si="64"/>
        <v>5</v>
      </c>
      <c r="AI154" s="225">
        <f t="shared" si="65"/>
        <v>-0.85469629621851173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7">
        <v>58.040999999999997</v>
      </c>
      <c r="C155" s="390"/>
      <c r="D155" s="393">
        <f t="shared" si="48"/>
        <v>58.953232226595439</v>
      </c>
      <c r="E155" s="385">
        <f t="shared" si="69"/>
        <v>61.173607011473472</v>
      </c>
      <c r="F155" s="385">
        <f t="shared" si="49"/>
        <v>61.178268574854386</v>
      </c>
      <c r="G155" s="110">
        <f t="shared" si="70"/>
        <v>0.9629005023156717</v>
      </c>
      <c r="H155" s="414" t="b">
        <f>Wh_hp&gt;='2019'!Maxi_hp</f>
        <v>1</v>
      </c>
      <c r="I155" s="380">
        <f>IF(H155,Wh_hp,'2019'!Maxi_hp)</f>
        <v>61.178268574854386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1.5473828866399475E-2</v>
      </c>
      <c r="M155" s="845"/>
      <c r="N155" s="845"/>
      <c r="O155" s="48">
        <f>IF(t&lt;Tnet,'2019'!Resal+('2019'!Salim-'2019'!Resal)*(1-EXP(('2019'!Tnet-t)/('2019'!Tau_j))),Resal+(Salim-Resal)*(1-EXP((Tnet-t)/(Tau_j))))*Salcycl</f>
        <v>3.6296286803254668E-2</v>
      </c>
      <c r="P155" s="169">
        <f>(INDEX(Models!$BJ155:$BT155,,T155)*(1-R155)+INDEX(Models!$BJ155:$BT155,,T155+1)*R155-ERP_i)*Q155*Ramure*Pc/MaxiM</f>
        <v>8.0460256671456847E-5</v>
      </c>
      <c r="Q155" s="305">
        <f t="shared" si="51"/>
        <v>0.5</v>
      </c>
      <c r="R155" s="177">
        <f t="shared" si="52"/>
        <v>0.14963447130243113</v>
      </c>
      <c r="S155" s="811">
        <f t="shared" si="53"/>
        <v>-1</v>
      </c>
      <c r="T155" s="176">
        <f t="shared" si="54"/>
        <v>5</v>
      </c>
      <c r="U155" s="251">
        <f t="shared" si="55"/>
        <v>-0.85036552869756887</v>
      </c>
      <c r="V155" s="383">
        <f t="shared" si="56"/>
        <v>60.276998882682825</v>
      </c>
      <c r="W155" s="402"/>
      <c r="X155" s="157">
        <f t="shared" si="57"/>
        <v>43971</v>
      </c>
      <c r="Y155" s="385">
        <f t="shared" si="58"/>
        <v>58.040999999999997</v>
      </c>
      <c r="Z155" s="385">
        <f t="shared" si="59"/>
        <v>58.953232226595439</v>
      </c>
      <c r="AA155" s="386">
        <f t="shared" si="60"/>
        <v>61.173607011473472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3.6296286803254668E-2</v>
      </c>
      <c r="AD155" s="231">
        <f>(INDEX(Models!$BJ155:$BT155,,AH155)*(1-AF155)+INDEX(Models!$BJ155:$BT155,,AH155+1)*AF155-ERP_i)*AE155*Ramure*Pc/MaxiM</f>
        <v>8.0460256671456847E-5</v>
      </c>
      <c r="AE155" s="305">
        <f t="shared" si="62"/>
        <v>0.5</v>
      </c>
      <c r="AF155" s="177">
        <f t="shared" si="63"/>
        <v>0.14963447130243113</v>
      </c>
      <c r="AG155" s="811">
        <f t="shared" si="71"/>
        <v>-1</v>
      </c>
      <c r="AH155" s="176">
        <f t="shared" si="64"/>
        <v>5</v>
      </c>
      <c r="AI155" s="225">
        <f t="shared" si="65"/>
        <v>-0.85036552869756887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7">
        <v>53.38</v>
      </c>
      <c r="C156" s="390"/>
      <c r="D156" s="393">
        <f t="shared" si="48"/>
        <v>54.220162703384815</v>
      </c>
      <c r="E156" s="385">
        <f t="shared" si="69"/>
        <v>56.268099037751647</v>
      </c>
      <c r="F156" s="385">
        <f t="shared" si="49"/>
        <v>56.271823959119381</v>
      </c>
      <c r="G156" s="110">
        <f t="shared" si="70"/>
        <v>0.88514224347639803</v>
      </c>
      <c r="H156" s="414" t="b">
        <f>Wh_hp&gt;='2019'!Maxi_hp</f>
        <v>0</v>
      </c>
      <c r="I156" s="380">
        <f>IF(H156,Wh_hp,'2019'!Maxi_hp)</f>
        <v>62.875998222350205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1.5495392516267081E-2</v>
      </c>
      <c r="M156" s="845"/>
      <c r="N156" s="845"/>
      <c r="O156" s="48">
        <f>IF(t&lt;Tnet,'2019'!Resal+('2019'!Salim-'2019'!Resal)*(1-EXP(('2019'!Tnet-t)/('2019'!Tau_j))),Resal+(Salim-Resal)*(1-EXP((Tnet-t)/(Tau_j))))*Salcycl</f>
        <v>3.6396046239145656E-2</v>
      </c>
      <c r="P156" s="169">
        <f>(INDEX(Models!$BJ156:$BT156,,T156)*(1-R156)+INDEX(Models!$BJ156:$BT156,,T156+1)*R156-ERP_i)*Q156*Ramure*Pc/MaxiM</f>
        <v>7.9187050833814249E-5</v>
      </c>
      <c r="Q156" s="305">
        <f t="shared" si="51"/>
        <v>0.5</v>
      </c>
      <c r="R156" s="177">
        <f t="shared" si="52"/>
        <v>0.15403507154798679</v>
      </c>
      <c r="S156" s="811">
        <f t="shared" si="53"/>
        <v>-1</v>
      </c>
      <c r="T156" s="176">
        <f t="shared" si="54"/>
        <v>5</v>
      </c>
      <c r="U156" s="251">
        <f t="shared" si="55"/>
        <v>-0.84596492845201321</v>
      </c>
      <c r="V156" s="383">
        <f t="shared" si="56"/>
        <v>60.305907710765077</v>
      </c>
      <c r="W156" s="402"/>
      <c r="X156" s="157">
        <f t="shared" si="57"/>
        <v>43972</v>
      </c>
      <c r="Y156" s="385">
        <f t="shared" si="58"/>
        <v>53.38</v>
      </c>
      <c r="Z156" s="385">
        <f t="shared" si="59"/>
        <v>54.220162703384815</v>
      </c>
      <c r="AA156" s="386">
        <f t="shared" si="60"/>
        <v>56.268099037751647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3.6396046239145656E-2</v>
      </c>
      <c r="AD156" s="231">
        <f>(INDEX(Models!$BJ156:$BT156,,AH156)*(1-AF156)+INDEX(Models!$BJ156:$BT156,,AH156+1)*AF156-ERP_i)*AE156*Ramure*Pc/MaxiM</f>
        <v>7.9187050833814249E-5</v>
      </c>
      <c r="AE156" s="305">
        <f t="shared" si="62"/>
        <v>0.5</v>
      </c>
      <c r="AF156" s="177">
        <f t="shared" si="63"/>
        <v>0.15403507154798679</v>
      </c>
      <c r="AG156" s="811">
        <f t="shared" si="71"/>
        <v>-1</v>
      </c>
      <c r="AH156" s="176">
        <f t="shared" si="64"/>
        <v>5</v>
      </c>
      <c r="AI156" s="225">
        <f t="shared" si="65"/>
        <v>-0.84596492845201321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7">
        <v>55.741</v>
      </c>
      <c r="C157" s="390"/>
      <c r="D157" s="393">
        <f t="shared" si="48"/>
        <v>56.619563254423191</v>
      </c>
      <c r="E157" s="385">
        <f t="shared" si="69"/>
        <v>58.764217585642243</v>
      </c>
      <c r="F157" s="385">
        <f t="shared" si="49"/>
        <v>58.76828057791041</v>
      </c>
      <c r="G157" s="110">
        <f t="shared" si="70"/>
        <v>0.92390849822931831</v>
      </c>
      <c r="H157" s="414" t="b">
        <f>Wh_hp&gt;='2019'!Maxi_hp</f>
        <v>1</v>
      </c>
      <c r="I157" s="380">
        <f>IF(H157,Wh_hp,'2019'!Maxi_hp)</f>
        <v>58.76828057791041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1.5516955693835377E-2</v>
      </c>
      <c r="M157" s="845"/>
      <c r="N157" s="845"/>
      <c r="O157" s="48">
        <f>IF(t&lt;Tnet,'2019'!Resal+('2019'!Salim-'2019'!Resal)*(1-EXP(('2019'!Tnet-t)/('2019'!Tau_j))),Resal+(Salim-Resal)*(1-EXP((Tnet-t)/(Tau_j))))*Salcycl</f>
        <v>3.6495922507492888E-2</v>
      </c>
      <c r="P157" s="169">
        <f>(INDEX(Models!$BJ157:$BT157,,T157)*(1-R157)+INDEX(Models!$BJ157:$BT157,,T157+1)*R157-ERP_i)*Q157*Ramure*Pc/MaxiM</f>
        <v>7.7566595095983974E-5</v>
      </c>
      <c r="Q157" s="305">
        <f t="shared" si="51"/>
        <v>0.5</v>
      </c>
      <c r="R157" s="177">
        <f t="shared" si="52"/>
        <v>0.15850340287975906</v>
      </c>
      <c r="S157" s="811">
        <f t="shared" si="53"/>
        <v>-1</v>
      </c>
      <c r="T157" s="176">
        <f t="shared" si="54"/>
        <v>5</v>
      </c>
      <c r="U157" s="251">
        <f t="shared" si="55"/>
        <v>-0.84149659712024094</v>
      </c>
      <c r="V157" s="383">
        <f t="shared" si="56"/>
        <v>60.331223420449859</v>
      </c>
      <c r="W157" s="402"/>
      <c r="X157" s="157">
        <f t="shared" si="57"/>
        <v>43973</v>
      </c>
      <c r="Y157" s="385">
        <f t="shared" si="58"/>
        <v>55.741</v>
      </c>
      <c r="Z157" s="385">
        <f t="shared" si="59"/>
        <v>56.619563254423191</v>
      </c>
      <c r="AA157" s="386">
        <f t="shared" si="60"/>
        <v>58.764217585642243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3.6495922507492888E-2</v>
      </c>
      <c r="AD157" s="231">
        <f>(INDEX(Models!$BJ157:$BT157,,AH157)*(1-AF157)+INDEX(Models!$BJ157:$BT157,,AH157+1)*AF157-ERP_i)*AE157*Ramure*Pc/MaxiM</f>
        <v>7.7566595095983974E-5</v>
      </c>
      <c r="AE157" s="305">
        <f t="shared" si="62"/>
        <v>0.5</v>
      </c>
      <c r="AF157" s="177">
        <f t="shared" si="63"/>
        <v>0.15850340287975906</v>
      </c>
      <c r="AG157" s="811">
        <f t="shared" si="71"/>
        <v>-1</v>
      </c>
      <c r="AH157" s="176">
        <f t="shared" si="64"/>
        <v>5</v>
      </c>
      <c r="AI157" s="225">
        <f t="shared" si="65"/>
        <v>-0.84149659712024094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7">
        <v>17.707000000000001</v>
      </c>
      <c r="C158" s="390"/>
      <c r="D158" s="393">
        <f t="shared" si="48"/>
        <v>17.986483301719137</v>
      </c>
      <c r="E158" s="385">
        <f t="shared" si="69"/>
        <v>18.669718185801312</v>
      </c>
      <c r="F158" s="385">
        <f t="shared" si="49"/>
        <v>18.669718185801312</v>
      </c>
      <c r="G158" s="110">
        <f t="shared" si="70"/>
        <v>0.293367629334575</v>
      </c>
      <c r="H158" s="414" t="b">
        <f>Wh_hp&gt;='2019'!Maxi_hp</f>
        <v>1</v>
      </c>
      <c r="I158" s="380">
        <f>IF(H158,Wh_hp,'2019'!Maxi_hp)</f>
        <v>18.669718185801312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1.5538518399114909E-2</v>
      </c>
      <c r="M158" s="845"/>
      <c r="N158" s="845"/>
      <c r="O158" s="48">
        <f>IF(t&lt;Tnet,'2019'!Resal+('2019'!Salim-'2019'!Resal)*(1-EXP(('2019'!Tnet-t)/('2019'!Tau_j))),Resal+(Salim-Resal)*(1-EXP((Tnet-t)/(Tau_j))))*Salcycl</f>
        <v>3.6595886305439168E-2</v>
      </c>
      <c r="P158" s="169">
        <f>(INDEX(Models!$BJ158:$BT158,,T158)*(1-R158)+INDEX(Models!$BJ158:$BT158,,T158+1)*R158-ERP_i)*Q158*Ramure*Pc/MaxiM</f>
        <v>7.5584453494646458E-5</v>
      </c>
      <c r="Q158" s="305">
        <f t="shared" si="51"/>
        <v>0.5</v>
      </c>
      <c r="R158" s="177">
        <f t="shared" si="52"/>
        <v>0.16303718241058862</v>
      </c>
      <c r="S158" s="811">
        <f t="shared" si="53"/>
        <v>-1</v>
      </c>
      <c r="T158" s="176">
        <f t="shared" si="54"/>
        <v>5</v>
      </c>
      <c r="U158" s="251">
        <f t="shared" si="55"/>
        <v>-0.83696281758941138</v>
      </c>
      <c r="V158" s="383">
        <f t="shared" si="56"/>
        <v>60.353153707661853</v>
      </c>
      <c r="W158" s="402"/>
      <c r="X158" s="157">
        <f t="shared" si="57"/>
        <v>43974</v>
      </c>
      <c r="Y158" s="385">
        <f t="shared" si="58"/>
        <v>17.707000000000001</v>
      </c>
      <c r="Z158" s="385">
        <f t="shared" si="59"/>
        <v>17.986483301719137</v>
      </c>
      <c r="AA158" s="386">
        <f t="shared" si="60"/>
        <v>18.669718185801312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3.6595886305439168E-2</v>
      </c>
      <c r="AD158" s="231">
        <f>(INDEX(Models!$BJ158:$BT158,,AH158)*(1-AF158)+INDEX(Models!$BJ158:$BT158,,AH158+1)*AF158-ERP_i)*AE158*Ramure*Pc/MaxiM</f>
        <v>7.5584453494646458E-5</v>
      </c>
      <c r="AE158" s="305">
        <f t="shared" si="62"/>
        <v>0.5</v>
      </c>
      <c r="AF158" s="177">
        <f t="shared" si="63"/>
        <v>0.16303718241058862</v>
      </c>
      <c r="AG158" s="811">
        <f t="shared" si="71"/>
        <v>-1</v>
      </c>
      <c r="AH158" s="176">
        <f t="shared" si="64"/>
        <v>5</v>
      </c>
      <c r="AI158" s="225">
        <f t="shared" si="65"/>
        <v>-0.83696281758941138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7">
        <v>56.603000000000002</v>
      </c>
      <c r="C159" s="390"/>
      <c r="D159" s="393">
        <f t="shared" si="48"/>
        <v>57.497668355774501</v>
      </c>
      <c r="E159" s="385">
        <f t="shared" si="69"/>
        <v>59.687972683132472</v>
      </c>
      <c r="F159" s="385">
        <f t="shared" si="49"/>
        <v>59.691953884707942</v>
      </c>
      <c r="G159" s="110">
        <f t="shared" si="70"/>
        <v>0.93756573022027312</v>
      </c>
      <c r="H159" s="414" t="b">
        <f>Wh_hp&gt;='2019'!Maxi_hp</f>
        <v>1</v>
      </c>
      <c r="I159" s="380">
        <f>IF(H159,Wh_hp,'2019'!Maxi_hp)</f>
        <v>59.691953884707942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1.5560080632115669E-2</v>
      </c>
      <c r="M159" s="845"/>
      <c r="N159" s="845"/>
      <c r="O159" s="48">
        <f>IF(t&lt;Tnet,'2019'!Resal+('2019'!Salim-'2019'!Resal)*(1-EXP(('2019'!Tnet-t)/('2019'!Tau_j))),Resal+(Salim-Resal)*(1-EXP((Tnet-t)/(Tau_j))))*Salcycl</f>
        <v>3.6695907548840868E-2</v>
      </c>
      <c r="P159" s="169">
        <f>(INDEX(Models!$BJ159:$BT159,,T159)*(1-R159)+INDEX(Models!$BJ159:$BT159,,T159+1)*R159-ERP_i)*Q159*Ramure*Pc/MaxiM</f>
        <v>7.3226331307058807E-5</v>
      </c>
      <c r="Q159" s="305">
        <f t="shared" si="51"/>
        <v>0.5</v>
      </c>
      <c r="R159" s="177">
        <f t="shared" si="52"/>
        <v>0.16763394782830565</v>
      </c>
      <c r="S159" s="811">
        <f t="shared" si="53"/>
        <v>-1</v>
      </c>
      <c r="T159" s="176">
        <f t="shared" si="54"/>
        <v>5</v>
      </c>
      <c r="U159" s="251">
        <f t="shared" si="55"/>
        <v>-0.83236605217169435</v>
      </c>
      <c r="V159" s="383">
        <f t="shared" si="56"/>
        <v>60.371906205865692</v>
      </c>
      <c r="W159" s="402"/>
      <c r="X159" s="157">
        <f t="shared" si="57"/>
        <v>43975</v>
      </c>
      <c r="Y159" s="385">
        <f t="shared" si="58"/>
        <v>56.603000000000002</v>
      </c>
      <c r="Z159" s="385">
        <f t="shared" si="59"/>
        <v>57.497668355774501</v>
      </c>
      <c r="AA159" s="386">
        <f t="shared" si="60"/>
        <v>59.687972683132472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3.6695907548840868E-2</v>
      </c>
      <c r="AD159" s="231">
        <f>(INDEX(Models!$BJ159:$BT159,,AH159)*(1-AF159)+INDEX(Models!$BJ159:$BT159,,AH159+1)*AF159-ERP_i)*AE159*Ramure*Pc/MaxiM</f>
        <v>7.3226331307058807E-5</v>
      </c>
      <c r="AE159" s="305">
        <f t="shared" si="62"/>
        <v>0.5</v>
      </c>
      <c r="AF159" s="177">
        <f t="shared" si="63"/>
        <v>0.16763394782830565</v>
      </c>
      <c r="AG159" s="811">
        <f t="shared" si="71"/>
        <v>-1</v>
      </c>
      <c r="AH159" s="176">
        <f t="shared" si="64"/>
        <v>5</v>
      </c>
      <c r="AI159" s="225">
        <f t="shared" si="65"/>
        <v>-0.83236605217169435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7">
        <v>58.776000000000003</v>
      </c>
      <c r="C160" s="390"/>
      <c r="D160" s="393">
        <f t="shared" si="48"/>
        <v>59.706322566828369</v>
      </c>
      <c r="E160" s="385">
        <f t="shared" si="69"/>
        <v>61.987200848384177</v>
      </c>
      <c r="F160" s="385">
        <f t="shared" si="49"/>
        <v>61.991403277896538</v>
      </c>
      <c r="G160" s="110">
        <f t="shared" si="70"/>
        <v>0.97330835974249041</v>
      </c>
      <c r="H160" s="414" t="b">
        <f>Wh_hp&gt;='2019'!Maxi_hp</f>
        <v>1</v>
      </c>
      <c r="I160" s="380">
        <f>IF(H160,Wh_hp,'2019'!Maxi_hp)</f>
        <v>61.991403277896538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1.5581642392848316E-2</v>
      </c>
      <c r="M160" s="845"/>
      <c r="N160" s="845"/>
      <c r="O160" s="48">
        <f>IF(t&lt;Tnet,'2019'!Resal+('2019'!Salim-'2019'!Resal)*(1-EXP(('2019'!Tnet-t)/('2019'!Tau_j))),Resal+(Salim-Resal)*(1-EXP((Tnet-t)/(Tau_j))))*Salcycl</f>
        <v>3.6795955460783888E-2</v>
      </c>
      <c r="P160" s="169">
        <f>(INDEX(Models!$BJ160:$BT160,,T160)*(1-R160)+INDEX(Models!$BJ160:$BT160,,T160+1)*R160-ERP_i)*Q160*Ramure*Pc/MaxiM</f>
        <v>7.0477634092775421E-5</v>
      </c>
      <c r="Q160" s="305">
        <f t="shared" si="51"/>
        <v>0.5</v>
      </c>
      <c r="R160" s="177">
        <f t="shared" si="52"/>
        <v>0.17229106016913798</v>
      </c>
      <c r="S160" s="811">
        <f t="shared" si="53"/>
        <v>-1</v>
      </c>
      <c r="T160" s="176">
        <f t="shared" si="54"/>
        <v>5</v>
      </c>
      <c r="U160" s="251">
        <f t="shared" si="55"/>
        <v>-0.82770893983086202</v>
      </c>
      <c r="V160" s="383">
        <f t="shared" si="56"/>
        <v>60.387688509190639</v>
      </c>
      <c r="W160" s="402"/>
      <c r="X160" s="157">
        <f t="shared" si="57"/>
        <v>43976</v>
      </c>
      <c r="Y160" s="385">
        <f t="shared" si="58"/>
        <v>58.776000000000003</v>
      </c>
      <c r="Z160" s="385">
        <f t="shared" si="59"/>
        <v>59.706322566828369</v>
      </c>
      <c r="AA160" s="386">
        <f t="shared" si="60"/>
        <v>61.987200848384177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3.6795955460783888E-2</v>
      </c>
      <c r="AD160" s="231">
        <f>(INDEX(Models!$BJ160:$BT160,,AH160)*(1-AF160)+INDEX(Models!$BJ160:$BT160,,AH160+1)*AF160-ERP_i)*AE160*Ramure*Pc/MaxiM</f>
        <v>7.0477634092775421E-5</v>
      </c>
      <c r="AE160" s="305">
        <f t="shared" si="62"/>
        <v>0.5</v>
      </c>
      <c r="AF160" s="177">
        <f t="shared" si="63"/>
        <v>0.17229106016913798</v>
      </c>
      <c r="AG160" s="811">
        <f t="shared" si="71"/>
        <v>-1</v>
      </c>
      <c r="AH160" s="176">
        <f t="shared" si="64"/>
        <v>5</v>
      </c>
      <c r="AI160" s="225">
        <f t="shared" si="65"/>
        <v>-0.82770893983086202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7">
        <v>58.795999999999999</v>
      </c>
      <c r="C161" s="390"/>
      <c r="D161" s="393">
        <f t="shared" si="48"/>
        <v>59.727947327620193</v>
      </c>
      <c r="E161" s="385">
        <f t="shared" si="69"/>
        <v>62.016093012701354</v>
      </c>
      <c r="F161" s="385">
        <f t="shared" si="49"/>
        <v>62.020109951481395</v>
      </c>
      <c r="G161" s="110">
        <f t="shared" si="70"/>
        <v>0.97342980811661217</v>
      </c>
      <c r="H161" s="414" t="b">
        <f>Wh_hp&gt;='2019'!Maxi_hp</f>
        <v>1</v>
      </c>
      <c r="I161" s="380">
        <f>IF(H161,Wh_hp,'2019'!Maxi_hp)</f>
        <v>62.020109951481395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1.5603203681323063E-2</v>
      </c>
      <c r="M161" s="845"/>
      <c r="N161" s="845"/>
      <c r="O161" s="48">
        <f>IF(t&lt;Tnet,'2019'!Resal+('2019'!Salim-'2019'!Resal)*(1-EXP(('2019'!Tnet-t)/('2019'!Tau_j))),Resal+(Salim-Resal)*(1-EXP((Tnet-t)/(Tau_j))))*Salcycl</f>
        <v>3.6895998666225713E-2</v>
      </c>
      <c r="P161" s="169">
        <f>(INDEX(Models!$BJ161:$BT161,,T161)*(1-R161)+INDEX(Models!$BJ161:$BT161,,T161+1)*R161-ERP_i)*Q161*Ramure*Pc/MaxiM</f>
        <v>6.7323514779743727E-5</v>
      </c>
      <c r="Q161" s="305">
        <f t="shared" si="51"/>
        <v>0.5</v>
      </c>
      <c r="R161" s="177">
        <f t="shared" si="52"/>
        <v>0.17700570756011391</v>
      </c>
      <c r="S161" s="811">
        <f t="shared" si="53"/>
        <v>-1</v>
      </c>
      <c r="T161" s="176">
        <f t="shared" si="54"/>
        <v>5</v>
      </c>
      <c r="U161" s="251">
        <f t="shared" si="55"/>
        <v>-0.82299429243988609</v>
      </c>
      <c r="V161" s="383">
        <f t="shared" si="56"/>
        <v>60.400708161201017</v>
      </c>
      <c r="W161" s="402"/>
      <c r="X161" s="157">
        <f t="shared" si="57"/>
        <v>43977</v>
      </c>
      <c r="Y161" s="385">
        <f t="shared" si="58"/>
        <v>58.795999999999999</v>
      </c>
      <c r="Z161" s="385">
        <f t="shared" si="59"/>
        <v>59.727947327620193</v>
      </c>
      <c r="AA161" s="386">
        <f t="shared" si="60"/>
        <v>62.016093012701354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3.6895998666225713E-2</v>
      </c>
      <c r="AD161" s="231">
        <f>(INDEX(Models!$BJ161:$BT161,,AH161)*(1-AF161)+INDEX(Models!$BJ161:$BT161,,AH161+1)*AF161-ERP_i)*AE161*Ramure*Pc/MaxiM</f>
        <v>6.7323514779743727E-5</v>
      </c>
      <c r="AE161" s="305">
        <f t="shared" si="62"/>
        <v>0.5</v>
      </c>
      <c r="AF161" s="177">
        <f t="shared" si="63"/>
        <v>0.17700570756011391</v>
      </c>
      <c r="AG161" s="811">
        <f t="shared" si="71"/>
        <v>-1</v>
      </c>
      <c r="AH161" s="176">
        <f t="shared" si="64"/>
        <v>5</v>
      </c>
      <c r="AI161" s="225">
        <f t="shared" si="65"/>
        <v>-0.82299429243988609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7">
        <v>58.1</v>
      </c>
      <c r="C162" s="390"/>
      <c r="D162" s="393">
        <f t="shared" si="48"/>
        <v>59.022208101714696</v>
      </c>
      <c r="E162" s="385">
        <f t="shared" si="69"/>
        <v>61.28968148219662</v>
      </c>
      <c r="F162" s="385">
        <f t="shared" si="49"/>
        <v>61.293375317013549</v>
      </c>
      <c r="G162" s="110">
        <f t="shared" si="70"/>
        <v>0.9617392779902092</v>
      </c>
      <c r="H162" s="414" t="b">
        <f>Wh_hp&gt;='2019'!Maxi_hp</f>
        <v>1</v>
      </c>
      <c r="I162" s="380">
        <f>IF(H162,Wh_hp,'2019'!Maxi_hp)</f>
        <v>61.293375317013549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1.5624764497550236E-2</v>
      </c>
      <c r="M162" s="845"/>
      <c r="N162" s="845"/>
      <c r="O162" s="48">
        <f>IF(t&lt;Tnet,'2019'!Resal+('2019'!Salim-'2019'!Resal)*(1-EXP(('2019'!Tnet-t)/('2019'!Tau_j))),Resal+(Salim-Resal)*(1-EXP((Tnet-t)/(Tau_j))))*Salcycl</f>
        <v>3.6996005292352169E-2</v>
      </c>
      <c r="P162" s="169">
        <f>(INDEX(Models!$BJ162:$BT162,,T162)*(1-R162)+INDEX(Models!$BJ162:$BT162,,T162+1)*R162-ERP_i)*Q162*Ramure*Pc/MaxiM</f>
        <v>6.3748924199501692E-5</v>
      </c>
      <c r="Q162" s="305">
        <f t="shared" si="51"/>
        <v>0.5</v>
      </c>
      <c r="R162" s="177">
        <f t="shared" si="52"/>
        <v>0.18177490994165624</v>
      </c>
      <c r="S162" s="811">
        <f t="shared" si="53"/>
        <v>-1</v>
      </c>
      <c r="T162" s="176">
        <f t="shared" si="54"/>
        <v>5</v>
      </c>
      <c r="U162" s="251">
        <f t="shared" si="55"/>
        <v>-0.81822509005834376</v>
      </c>
      <c r="V162" s="383">
        <f t="shared" si="56"/>
        <v>60.411172644748021</v>
      </c>
      <c r="W162" s="402"/>
      <c r="X162" s="157">
        <f t="shared" si="57"/>
        <v>43978</v>
      </c>
      <c r="Y162" s="385">
        <f t="shared" si="58"/>
        <v>58.1</v>
      </c>
      <c r="Z162" s="385">
        <f t="shared" si="59"/>
        <v>59.022208101714696</v>
      </c>
      <c r="AA162" s="386">
        <f t="shared" si="60"/>
        <v>61.28968148219662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3.6996005292352169E-2</v>
      </c>
      <c r="AD162" s="231">
        <f>(INDEX(Models!$BJ162:$BT162,,AH162)*(1-AF162)+INDEX(Models!$BJ162:$BT162,,AH162+1)*AF162-ERP_i)*AE162*Ramure*Pc/MaxiM</f>
        <v>6.3748924199501692E-5</v>
      </c>
      <c r="AE162" s="305">
        <f t="shared" si="62"/>
        <v>0.5</v>
      </c>
      <c r="AF162" s="177">
        <f t="shared" si="63"/>
        <v>0.18177490994165624</v>
      </c>
      <c r="AG162" s="811">
        <f t="shared" si="71"/>
        <v>-1</v>
      </c>
      <c r="AH162" s="176">
        <f t="shared" si="64"/>
        <v>5</v>
      </c>
      <c r="AI162" s="225">
        <f t="shared" si="65"/>
        <v>-0.81822509005834376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7">
        <v>58.164999999999999</v>
      </c>
      <c r="C163" s="390"/>
      <c r="D163" s="393">
        <f t="shared" si="48"/>
        <v>59.08953404439383</v>
      </c>
      <c r="E163" s="385">
        <f t="shared" si="69"/>
        <v>61.365962288126262</v>
      </c>
      <c r="F163" s="385">
        <f t="shared" si="49"/>
        <v>61.369433048161632</v>
      </c>
      <c r="G163" s="110">
        <f t="shared" si="70"/>
        <v>0.96269077269053571</v>
      </c>
      <c r="H163" s="414" t="b">
        <f>Wh_hp&gt;='2019'!Maxi_hp</f>
        <v>1</v>
      </c>
      <c r="I163" s="380">
        <f>IF(H163,Wh_hp,'2019'!Maxi_hp)</f>
        <v>61.369433048161632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1.564632484154016E-2</v>
      </c>
      <c r="M163" s="845"/>
      <c r="N163" s="845"/>
      <c r="O163" s="48">
        <f>IF(t&lt;Tnet,'2019'!Resal+('2019'!Salim-'2019'!Resal)*(1-EXP(('2019'!Tnet-t)/('2019'!Tau_j))),Resal+(Salim-Resal)*(1-EXP((Tnet-t)/(Tau_j))))*Salcycl</f>
        <v>3.709594307417715E-2</v>
      </c>
      <c r="P163" s="169">
        <f>(INDEX(Models!$BJ163:$BT163,,T163)*(1-R163)+INDEX(Models!$BJ163:$BT163,,T163+1)*R163-ERP_i)*Q163*Ramure*Pc/MaxiM</f>
        <v>5.9738949958095208E-5</v>
      </c>
      <c r="Q163" s="305">
        <f t="shared" si="51"/>
        <v>0.5</v>
      </c>
      <c r="R163" s="177">
        <f t="shared" si="52"/>
        <v>0.18659552477287822</v>
      </c>
      <c r="S163" s="811">
        <f t="shared" si="53"/>
        <v>-1</v>
      </c>
      <c r="T163" s="176">
        <f t="shared" si="54"/>
        <v>5</v>
      </c>
      <c r="U163" s="251">
        <f t="shared" si="55"/>
        <v>-0.81340447522712178</v>
      </c>
      <c r="V163" s="383">
        <f t="shared" si="56"/>
        <v>60.419001050205729</v>
      </c>
      <c r="W163" s="402"/>
      <c r="X163" s="157">
        <f t="shared" si="57"/>
        <v>43979</v>
      </c>
      <c r="Y163" s="385">
        <f t="shared" si="58"/>
        <v>58.164999999999999</v>
      </c>
      <c r="Z163" s="385">
        <f t="shared" si="59"/>
        <v>59.08953404439383</v>
      </c>
      <c r="AA163" s="386">
        <f t="shared" si="60"/>
        <v>61.365962288126262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3.709594307417715E-2</v>
      </c>
      <c r="AD163" s="231">
        <f>(INDEX(Models!$BJ163:$BT163,,AH163)*(1-AF163)+INDEX(Models!$BJ163:$BT163,,AH163+1)*AF163-ERP_i)*AE163*Ramure*Pc/MaxiM</f>
        <v>5.9738949958095208E-5</v>
      </c>
      <c r="AE163" s="305">
        <f t="shared" si="62"/>
        <v>0.5</v>
      </c>
      <c r="AF163" s="177">
        <f t="shared" si="63"/>
        <v>0.18659552477287822</v>
      </c>
      <c r="AG163" s="811">
        <f t="shared" si="71"/>
        <v>-1</v>
      </c>
      <c r="AH163" s="176">
        <f t="shared" si="64"/>
        <v>5</v>
      </c>
      <c r="AI163" s="225">
        <f t="shared" si="65"/>
        <v>-0.81340447522712178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7">
        <v>54.029000000000003</v>
      </c>
      <c r="C164" s="390"/>
      <c r="D164" s="393">
        <f t="shared" si="48"/>
        <v>54.888994436865964</v>
      </c>
      <c r="E164" s="385">
        <f t="shared" si="69"/>
        <v>57.009507505438279</v>
      </c>
      <c r="F164" s="385">
        <f t="shared" si="49"/>
        <v>57.012195181562404</v>
      </c>
      <c r="G164" s="110">
        <f t="shared" si="70"/>
        <v>0.89415864072429718</v>
      </c>
      <c r="H164" s="414" t="b">
        <f>Wh_hp&gt;='2019'!Maxi_hp</f>
        <v>0</v>
      </c>
      <c r="I164" s="380">
        <f>IF(H164,Wh_hp,'2019'!Maxi_hp)</f>
        <v>57.223999787813696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1.5667884713303271E-2</v>
      </c>
      <c r="M164" s="845"/>
      <c r="N164" s="845"/>
      <c r="O164" s="48">
        <f>IF(t&lt;Tnet,'2019'!Resal+('2019'!Salim-'2019'!Resal)*(1-EXP(('2019'!Tnet-t)/('2019'!Tau_j))),Resal+(Salim-Resal)*(1-EXP((Tnet-t)/(Tau_j))))*Salcycl</f>
        <v>3.7195779464855631E-2</v>
      </c>
      <c r="P164" s="169">
        <f>(INDEX(Models!$BJ164:$BT164,,T164)*(1-R164)+INDEX(Models!$BJ164:$BT164,,T164+1)*R164-ERP_i)*Q164*Ramure*Pc/MaxiM</f>
        <v>5.5539159654289441E-5</v>
      </c>
      <c r="Q164" s="305">
        <f t="shared" si="51"/>
        <v>0.5</v>
      </c>
      <c r="R164" s="177">
        <f t="shared" si="52"/>
        <v>0.19146425371296583</v>
      </c>
      <c r="S164" s="811">
        <f t="shared" si="53"/>
        <v>-1</v>
      </c>
      <c r="T164" s="176">
        <f t="shared" si="54"/>
        <v>5</v>
      </c>
      <c r="U164" s="251">
        <f t="shared" si="55"/>
        <v>-0.80853574628703417</v>
      </c>
      <c r="V164" s="383">
        <f t="shared" si="56"/>
        <v>60.423893294313778</v>
      </c>
      <c r="W164" s="402"/>
      <c r="X164" s="157">
        <f t="shared" si="57"/>
        <v>43980</v>
      </c>
      <c r="Y164" s="385">
        <f t="shared" si="58"/>
        <v>54.029000000000003</v>
      </c>
      <c r="Z164" s="385">
        <f t="shared" si="59"/>
        <v>54.888994436865964</v>
      </c>
      <c r="AA164" s="386">
        <f t="shared" si="60"/>
        <v>57.009507505438279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3.7195779464855631E-2</v>
      </c>
      <c r="AD164" s="231">
        <f>(INDEX(Models!$BJ164:$BT164,,AH164)*(1-AF164)+INDEX(Models!$BJ164:$BT164,,AH164+1)*AF164-ERP_i)*AE164*Ramure*Pc/MaxiM</f>
        <v>5.5539159654289441E-5</v>
      </c>
      <c r="AE164" s="305">
        <f t="shared" si="62"/>
        <v>0.5</v>
      </c>
      <c r="AF164" s="177">
        <f t="shared" si="63"/>
        <v>0.19146425371296583</v>
      </c>
      <c r="AG164" s="811">
        <f t="shared" si="71"/>
        <v>-1</v>
      </c>
      <c r="AH164" s="176">
        <f t="shared" si="64"/>
        <v>5</v>
      </c>
      <c r="AI164" s="225">
        <f t="shared" si="65"/>
        <v>-0.80853574628703417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7">
        <v>59.581000000000003</v>
      </c>
      <c r="C165" s="390"/>
      <c r="D165" s="393">
        <f t="shared" si="48"/>
        <v>60.530692923739082</v>
      </c>
      <c r="E165" s="385">
        <f t="shared" si="69"/>
        <v>62.875671378149789</v>
      </c>
      <c r="F165" s="385">
        <f t="shared" si="49"/>
        <v>62.878853356113552</v>
      </c>
      <c r="G165" s="110">
        <f t="shared" si="70"/>
        <v>0.98601948304343046</v>
      </c>
      <c r="H165" s="414" t="b">
        <f>Wh_hp&gt;='2019'!Maxi_hp</f>
        <v>0</v>
      </c>
      <c r="I165" s="380">
        <f>IF(H165,Wh_hp,'2019'!Maxi_hp)</f>
        <v>63.126585406149495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1.5689444112849782E-2</v>
      </c>
      <c r="M165" s="845"/>
      <c r="N165" s="845"/>
      <c r="O165" s="48">
        <f>IF(t&lt;Tnet,'2019'!Resal+('2019'!Salim-'2019'!Resal)*(1-EXP(('2019'!Tnet-t)/('2019'!Tau_j))),Resal+(Salim-Resal)*(1-EXP((Tnet-t)/(Tau_j))))*Salcycl</f>
        <v>3.7295481750126112E-2</v>
      </c>
      <c r="P165" s="169">
        <f>(INDEX(Models!$BJ165:$BT165,,T165)*(1-R165)+INDEX(Models!$BJ165:$BT165,,T165+1)*R165-ERP_i)*Q165*Ramure*Pc/MaxiM</f>
        <v>5.1636108021048667E-5</v>
      </c>
      <c r="Q165" s="305">
        <f t="shared" si="51"/>
        <v>0.5</v>
      </c>
      <c r="R165" s="177">
        <f t="shared" si="52"/>
        <v>0.19637765026259246</v>
      </c>
      <c r="S165" s="811">
        <f t="shared" si="53"/>
        <v>-1</v>
      </c>
      <c r="T165" s="176">
        <f t="shared" si="54"/>
        <v>5</v>
      </c>
      <c r="U165" s="251">
        <f t="shared" si="55"/>
        <v>-0.80362234973740754</v>
      </c>
      <c r="V165" s="383">
        <f t="shared" si="56"/>
        <v>60.42572137871764</v>
      </c>
      <c r="W165" s="402"/>
      <c r="X165" s="157">
        <f t="shared" si="57"/>
        <v>43981</v>
      </c>
      <c r="Y165" s="385">
        <f t="shared" si="58"/>
        <v>59.581000000000003</v>
      </c>
      <c r="Z165" s="385">
        <f t="shared" si="59"/>
        <v>60.530692923739082</v>
      </c>
      <c r="AA165" s="386">
        <f t="shared" si="60"/>
        <v>62.875671378149789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3.7295481750126112E-2</v>
      </c>
      <c r="AD165" s="231">
        <f>(INDEX(Models!$BJ165:$BT165,,AH165)*(1-AF165)+INDEX(Models!$BJ165:$BT165,,AH165+1)*AF165-ERP_i)*AE165*Ramure*Pc/MaxiM</f>
        <v>5.1636108021048667E-5</v>
      </c>
      <c r="AE165" s="305">
        <f t="shared" si="62"/>
        <v>0.5</v>
      </c>
      <c r="AF165" s="177">
        <f t="shared" si="63"/>
        <v>0.19637765026259246</v>
      </c>
      <c r="AG165" s="811">
        <f t="shared" si="71"/>
        <v>-1</v>
      </c>
      <c r="AH165" s="176">
        <f t="shared" si="64"/>
        <v>5</v>
      </c>
      <c r="AI165" s="225">
        <f t="shared" si="65"/>
        <v>-0.80362234973740754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7">
        <v>59.365000000000002</v>
      </c>
      <c r="C166" s="390"/>
      <c r="D166" s="393">
        <f t="shared" si="48"/>
        <v>60.31257098612469</v>
      </c>
      <c r="E166" s="385">
        <f t="shared" si="69"/>
        <v>62.65557737772594</v>
      </c>
      <c r="F166" s="385">
        <f t="shared" si="49"/>
        <v>62.658512112155563</v>
      </c>
      <c r="G166" s="110">
        <f t="shared" si="70"/>
        <v>0.98246639098033817</v>
      </c>
      <c r="H166" s="414" t="b">
        <f>Wh_hp&gt;='2019'!Maxi_hp</f>
        <v>0</v>
      </c>
      <c r="I166" s="380">
        <f>IF(H166,Wh_hp,'2019'!Maxi_hp)</f>
        <v>64.729267905613341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1.571100304019013E-2</v>
      </c>
      <c r="M166" s="845"/>
      <c r="N166" s="845"/>
      <c r="O166" s="48">
        <f>IF(t&lt;Tnet,'2019'!Resal+('2019'!Salim-'2019'!Resal)*(1-EXP(('2019'!Tnet-t)/('2019'!Tau_j))),Resal+(Salim-Resal)*(1-EXP((Tnet-t)/(Tau_j))))*Salcycl</f>
        <v>3.7395017166248122E-2</v>
      </c>
      <c r="P166" s="169">
        <f>(INDEX(Models!$BJ166:$BT166,,T166)*(1-R166)+INDEX(Models!$BJ166:$BT166,,T166+1)*R166-ERP_i)*Q166*Ramure*Pc/MaxiM</f>
        <v>4.8040193512064636E-5</v>
      </c>
      <c r="Q166" s="305">
        <f t="shared" si="51"/>
        <v>0.5</v>
      </c>
      <c r="R166" s="177">
        <f t="shared" si="52"/>
        <v>0.20133212833967473</v>
      </c>
      <c r="S166" s="811">
        <f t="shared" si="53"/>
        <v>-1</v>
      </c>
      <c r="T166" s="176">
        <f t="shared" si="54"/>
        <v>5</v>
      </c>
      <c r="U166" s="251">
        <f t="shared" si="55"/>
        <v>-0.79866787166032527</v>
      </c>
      <c r="V166" s="383">
        <f t="shared" si="56"/>
        <v>60.424386128520858</v>
      </c>
      <c r="W166" s="402"/>
      <c r="X166" s="157">
        <f t="shared" si="57"/>
        <v>43982</v>
      </c>
      <c r="Y166" s="385">
        <f t="shared" si="58"/>
        <v>59.365000000000002</v>
      </c>
      <c r="Z166" s="385">
        <f t="shared" si="59"/>
        <v>60.31257098612469</v>
      </c>
      <c r="AA166" s="386">
        <f t="shared" si="60"/>
        <v>62.65557737772594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3.7395017166248122E-2</v>
      </c>
      <c r="AD166" s="231">
        <f>(INDEX(Models!$BJ166:$BT166,,AH166)*(1-AF166)+INDEX(Models!$BJ166:$BT166,,AH166+1)*AF166-ERP_i)*AE166*Ramure*Pc/MaxiM</f>
        <v>4.8040193512064636E-5</v>
      </c>
      <c r="AE166" s="305">
        <f t="shared" si="62"/>
        <v>0.5</v>
      </c>
      <c r="AF166" s="177">
        <f t="shared" si="63"/>
        <v>0.20133212833967473</v>
      </c>
      <c r="AG166" s="811">
        <f t="shared" si="71"/>
        <v>-1</v>
      </c>
      <c r="AH166" s="176">
        <f t="shared" si="64"/>
        <v>5</v>
      </c>
      <c r="AI166" s="225">
        <f t="shared" si="65"/>
        <v>-0.79866787166032527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7">
        <v>31.018999999999998</v>
      </c>
      <c r="C167" s="390"/>
      <c r="D167" s="393">
        <f t="shared" si="48"/>
        <v>31.514808665341185</v>
      </c>
      <c r="E167" s="385">
        <f t="shared" si="69"/>
        <v>32.742466253832511</v>
      </c>
      <c r="F167" s="385">
        <f t="shared" si="49"/>
        <v>32.742913047083832</v>
      </c>
      <c r="G167" s="110">
        <f t="shared" si="70"/>
        <v>0.5133754288466762</v>
      </c>
      <c r="H167" s="414" t="b">
        <f>Wh_hp&gt;='2019'!Maxi_hp</f>
        <v>0</v>
      </c>
      <c r="I167" s="380">
        <f>IF(H167,Wh_hp,'2019'!Maxi_hp)</f>
        <v>63.739845271535835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1.573256149533464E-2</v>
      </c>
      <c r="M167" s="845"/>
      <c r="N167" s="845"/>
      <c r="O167" s="48">
        <f>IF(t&lt;Tnet,'2019'!Resal+('2019'!Salim-'2019'!Resal)*(1-EXP(('2019'!Tnet-t)/('2019'!Tau_j))),Resal+(Salim-Resal)*(1-EXP((Tnet-t)/(Tau_j))))*Salcycl</f>
        <v>3.7494353020754101E-2</v>
      </c>
      <c r="P167" s="169">
        <f>(INDEX(Models!$BJ167:$BT167,,T167)*(1-R167)+INDEX(Models!$BJ167:$BT167,,T167+1)*R167-ERP_i)*Q167*Ramure*Pc/MaxiM</f>
        <v>4.4762095438214002E-5</v>
      </c>
      <c r="Q167" s="305">
        <f t="shared" si="51"/>
        <v>0.5</v>
      </c>
      <c r="R167" s="177">
        <f t="shared" si="52"/>
        <v>0.20632397175408734</v>
      </c>
      <c r="S167" s="811">
        <f t="shared" si="53"/>
        <v>-1</v>
      </c>
      <c r="T167" s="176">
        <f t="shared" si="54"/>
        <v>5</v>
      </c>
      <c r="U167" s="251">
        <f t="shared" si="55"/>
        <v>-0.79367602824591266</v>
      </c>
      <c r="V167" s="383">
        <f t="shared" si="56"/>
        <v>60.419788400623318</v>
      </c>
      <c r="W167" s="402"/>
      <c r="X167" s="157">
        <f t="shared" si="57"/>
        <v>43983</v>
      </c>
      <c r="Y167" s="385">
        <f t="shared" si="58"/>
        <v>31.018999999999998</v>
      </c>
      <c r="Z167" s="385">
        <f t="shared" si="59"/>
        <v>31.514808665341185</v>
      </c>
      <c r="AA167" s="386">
        <f t="shared" si="60"/>
        <v>32.742466253832511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3.7494353020754101E-2</v>
      </c>
      <c r="AD167" s="231">
        <f>(INDEX(Models!$BJ167:$BT167,,AH167)*(1-AF167)+INDEX(Models!$BJ167:$BT167,,AH167+1)*AF167-ERP_i)*AE167*Ramure*Pc/MaxiM</f>
        <v>4.4762095438214002E-5</v>
      </c>
      <c r="AE167" s="305">
        <f t="shared" si="62"/>
        <v>0.5</v>
      </c>
      <c r="AF167" s="177">
        <f t="shared" si="63"/>
        <v>0.20632397175408734</v>
      </c>
      <c r="AG167" s="811">
        <f t="shared" si="71"/>
        <v>-1</v>
      </c>
      <c r="AH167" s="176">
        <f t="shared" si="64"/>
        <v>5</v>
      </c>
      <c r="AI167" s="225">
        <f t="shared" si="65"/>
        <v>-0.79367602824591266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7">
        <v>51.244</v>
      </c>
      <c r="C168" s="390"/>
      <c r="D168" s="393">
        <f t="shared" si="48"/>
        <v>52.064226037540301</v>
      </c>
      <c r="E168" s="385">
        <f t="shared" si="69"/>
        <v>54.097955179371759</v>
      </c>
      <c r="F168" s="385">
        <f t="shared" si="49"/>
        <v>54.099726837934256</v>
      </c>
      <c r="G168" s="110">
        <f t="shared" si="70"/>
        <v>0.84823678169683592</v>
      </c>
      <c r="H168" s="414" t="b">
        <f>Wh_hp&gt;='2019'!Maxi_hp</f>
        <v>1</v>
      </c>
      <c r="I168" s="380">
        <f>IF(H168,Wh_hp,'2019'!Maxi_hp)</f>
        <v>54.099726837934256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1.5754119478293749E-2</v>
      </c>
      <c r="M168" s="845"/>
      <c r="N168" s="845"/>
      <c r="O168" s="48">
        <f>IF(t&lt;Tnet,'2019'!Resal+('2019'!Salim-'2019'!Resal)*(1-EXP(('2019'!Tnet-t)/('2019'!Tau_j))),Resal+(Salim-Resal)*(1-EXP((Tnet-t)/(Tau_j))))*Salcycl</f>
        <v>3.7593456815294635E-2</v>
      </c>
      <c r="P168" s="169">
        <f>(INDEX(Models!$BJ168:$BT168,,T168)*(1-R168)+INDEX(Models!$BJ168:$BT168,,T168+1)*R168-ERP_i)*Q168*Ramure*Pc/MaxiM</f>
        <v>4.1812750280054575E-5</v>
      </c>
      <c r="Q168" s="305">
        <f t="shared" si="51"/>
        <v>0.5</v>
      </c>
      <c r="R168" s="177">
        <f t="shared" si="52"/>
        <v>0.21134934453635923</v>
      </c>
      <c r="S168" s="811">
        <f t="shared" si="53"/>
        <v>-1</v>
      </c>
      <c r="T168" s="176">
        <f t="shared" si="54"/>
        <v>5</v>
      </c>
      <c r="U168" s="251">
        <f t="shared" si="55"/>
        <v>-0.78865065546364077</v>
      </c>
      <c r="V168" s="383">
        <f t="shared" si="56"/>
        <v>60.411829075468688</v>
      </c>
      <c r="W168" s="402"/>
      <c r="X168" s="157">
        <f t="shared" si="57"/>
        <v>43984</v>
      </c>
      <c r="Y168" s="385">
        <f t="shared" si="58"/>
        <v>51.244</v>
      </c>
      <c r="Z168" s="385">
        <f t="shared" si="59"/>
        <v>52.064226037540301</v>
      </c>
      <c r="AA168" s="386">
        <f t="shared" si="60"/>
        <v>54.097955179371759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3.7593456815294635E-2</v>
      </c>
      <c r="AD168" s="231">
        <f>(INDEX(Models!$BJ168:$BT168,,AH168)*(1-AF168)+INDEX(Models!$BJ168:$BT168,,AH168+1)*AF168-ERP_i)*AE168*Ramure*Pc/MaxiM</f>
        <v>4.1812750280054575E-5</v>
      </c>
      <c r="AE168" s="305">
        <f t="shared" si="62"/>
        <v>0.5</v>
      </c>
      <c r="AF168" s="177">
        <f t="shared" si="63"/>
        <v>0.21134934453635923</v>
      </c>
      <c r="AG168" s="811">
        <f t="shared" si="71"/>
        <v>-1</v>
      </c>
      <c r="AH168" s="176">
        <f t="shared" si="64"/>
        <v>5</v>
      </c>
      <c r="AI168" s="225">
        <f t="shared" si="65"/>
        <v>-0.78865065546364077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7">
        <v>27.533999999999999</v>
      </c>
      <c r="C169" s="390"/>
      <c r="D169" s="393">
        <f t="shared" si="48"/>
        <v>27.975329766052166</v>
      </c>
      <c r="E169" s="385">
        <f t="shared" si="69"/>
        <v>29.071085745774344</v>
      </c>
      <c r="F169" s="385">
        <f t="shared" si="49"/>
        <v>29.071339503094674</v>
      </c>
      <c r="G169" s="110">
        <f t="shared" si="70"/>
        <v>0.45584394771975101</v>
      </c>
      <c r="H169" s="414" t="b">
        <f>Wh_hp&gt;='2019'!Maxi_hp</f>
        <v>0</v>
      </c>
      <c r="I169" s="380">
        <f>IF(H169,Wh_hp,'2019'!Maxi_hp)</f>
        <v>59.953702782585943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1.5775676989077669E-2</v>
      </c>
      <c r="M169" s="845"/>
      <c r="N169" s="845"/>
      <c r="O169" s="48">
        <f>IF(t&lt;Tnet,'2019'!Resal+('2019'!Salim-'2019'!Resal)*(1-EXP(('2019'!Tnet-t)/('2019'!Tau_j))),Resal+(Salim-Resal)*(1-EXP((Tnet-t)/(Tau_j))))*Salcycl</f>
        <v>3.7692296369820112E-2</v>
      </c>
      <c r="P169" s="169">
        <f>(INDEX(Models!$BJ169:$BT169,,T169)*(1-R169)+INDEX(Models!$BJ169:$BT169,,T169+1)*R169-ERP_i)*Q169*Ramure*Pc/MaxiM</f>
        <v>3.9203326874317453E-5</v>
      </c>
      <c r="Q169" s="305">
        <f t="shared" si="51"/>
        <v>0.5</v>
      </c>
      <c r="R169" s="177">
        <f t="shared" si="52"/>
        <v>0.21640430206601902</v>
      </c>
      <c r="S169" s="811">
        <f t="shared" si="53"/>
        <v>-1</v>
      </c>
      <c r="T169" s="176">
        <f t="shared" si="54"/>
        <v>5</v>
      </c>
      <c r="U169" s="251">
        <f t="shared" si="55"/>
        <v>-0.78359569793398098</v>
      </c>
      <c r="V169" s="383">
        <f t="shared" si="56"/>
        <v>60.400409052755698</v>
      </c>
      <c r="W169" s="402"/>
      <c r="X169" s="157">
        <f t="shared" si="57"/>
        <v>43985</v>
      </c>
      <c r="Y169" s="385">
        <f t="shared" si="58"/>
        <v>27.533999999999999</v>
      </c>
      <c r="Z169" s="385">
        <f t="shared" si="59"/>
        <v>27.975329766052166</v>
      </c>
      <c r="AA169" s="386">
        <f t="shared" si="60"/>
        <v>29.071085745774344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3.7692296369820112E-2</v>
      </c>
      <c r="AD169" s="231">
        <f>(INDEX(Models!$BJ169:$BT169,,AH169)*(1-AF169)+INDEX(Models!$BJ169:$BT169,,AH169+1)*AF169-ERP_i)*AE169*Ramure*Pc/MaxiM</f>
        <v>3.9203326874317453E-5</v>
      </c>
      <c r="AE169" s="305">
        <f t="shared" si="62"/>
        <v>0.5</v>
      </c>
      <c r="AF169" s="177">
        <f t="shared" si="63"/>
        <v>0.21640430206601902</v>
      </c>
      <c r="AG169" s="811">
        <f t="shared" si="71"/>
        <v>-1</v>
      </c>
      <c r="AH169" s="176">
        <f t="shared" si="64"/>
        <v>5</v>
      </c>
      <c r="AI169" s="225">
        <f t="shared" si="65"/>
        <v>-0.78359569793398098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7">
        <v>35.698999999999998</v>
      </c>
      <c r="C170" s="390"/>
      <c r="D170" s="393">
        <f t="shared" si="48"/>
        <v>36.271997228876529</v>
      </c>
      <c r="E170" s="385">
        <f t="shared" ref="E170:E232" si="72">Wh_pvt/(1-Psa)</f>
        <v>37.696582754305119</v>
      </c>
      <c r="F170" s="385">
        <f t="shared" si="49"/>
        <v>37.69716267195605</v>
      </c>
      <c r="G170" s="110">
        <f t="shared" ref="G170:G232" si="73">+Wh_hp/MaxiM</f>
        <v>0.59117291553749973</v>
      </c>
      <c r="H170" s="414" t="b">
        <f>Wh_hp&gt;='2019'!Maxi_hp</f>
        <v>1</v>
      </c>
      <c r="I170" s="380">
        <f>IF(H170,Wh_hp,'2019'!Maxi_hp)</f>
        <v>37.69716267195605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1.5797234027696727E-2</v>
      </c>
      <c r="M170" s="845"/>
      <c r="N170" s="845"/>
      <c r="O170" s="48">
        <f>IF(t&lt;Tnet,'2019'!Resal+('2019'!Salim-'2019'!Resal)*(1-EXP(('2019'!Tnet-t)/('2019'!Tau_j))),Resal+(Salim-Resal)*(1-EXP((Tnet-t)/(Tau_j))))*Salcycl</f>
        <v>3.7790839947313089E-2</v>
      </c>
      <c r="P170" s="169">
        <f>(INDEX(Models!$BJ170:$BT170,,T170)*(1-R170)+INDEX(Models!$BJ170:$BT170,,T170+1)*R170-ERP_i)*Q170*Ramure*Pc/MaxiM</f>
        <v>3.6981598933431419E-5</v>
      </c>
      <c r="Q170" s="305">
        <f t="shared" si="51"/>
        <v>0.5</v>
      </c>
      <c r="R170" s="177">
        <f t="shared" si="52"/>
        <v>0.22148480293629103</v>
      </c>
      <c r="S170" s="811">
        <f t="shared" si="53"/>
        <v>-1</v>
      </c>
      <c r="T170" s="176">
        <f t="shared" si="54"/>
        <v>5</v>
      </c>
      <c r="U170" s="251">
        <f t="shared" si="55"/>
        <v>-0.77851519706370897</v>
      </c>
      <c r="V170" s="383">
        <f t="shared" si="56"/>
        <v>60.385427042643066</v>
      </c>
      <c r="W170" s="402"/>
      <c r="X170" s="157">
        <f t="shared" si="57"/>
        <v>43986</v>
      </c>
      <c r="Y170" s="385">
        <f t="shared" si="58"/>
        <v>35.698999999999998</v>
      </c>
      <c r="Z170" s="385">
        <f t="shared" si="59"/>
        <v>36.271997228876529</v>
      </c>
      <c r="AA170" s="386">
        <f t="shared" si="60"/>
        <v>37.696582754305119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3.7790839947313089E-2</v>
      </c>
      <c r="AD170" s="231">
        <f>(INDEX(Models!$BJ170:$BT170,,AH170)*(1-AF170)+INDEX(Models!$BJ170:$BT170,,AH170+1)*AF170-ERP_i)*AE170*Ramure*Pc/MaxiM</f>
        <v>3.6981598933431419E-5</v>
      </c>
      <c r="AE170" s="305">
        <f t="shared" si="62"/>
        <v>0.5</v>
      </c>
      <c r="AF170" s="177">
        <f t="shared" si="63"/>
        <v>0.22148480293629103</v>
      </c>
      <c r="AG170" s="811">
        <f t="shared" si="71"/>
        <v>-1</v>
      </c>
      <c r="AH170" s="176">
        <f t="shared" si="64"/>
        <v>5</v>
      </c>
      <c r="AI170" s="225">
        <f t="shared" si="65"/>
        <v>-0.77851519706370897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7">
        <v>24.677</v>
      </c>
      <c r="C171" s="390"/>
      <c r="D171" s="393">
        <f t="shared" si="48"/>
        <v>25.073634574772857</v>
      </c>
      <c r="E171" s="385">
        <f t="shared" si="72"/>
        <v>26.061063686051138</v>
      </c>
      <c r="F171" s="385">
        <f t="shared" si="49"/>
        <v>26.061205514941292</v>
      </c>
      <c r="G171" s="110">
        <f t="shared" si="73"/>
        <v>0.40877225937300321</v>
      </c>
      <c r="H171" s="414" t="b">
        <f>Wh_hp&gt;='2019'!Maxi_hp</f>
        <v>0</v>
      </c>
      <c r="I171" s="380">
        <f>IF(H171,Wh_hp,'2019'!Maxi_hp)</f>
        <v>62.343880742671914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1.5818790594161358E-2</v>
      </c>
      <c r="M171" s="845"/>
      <c r="N171" s="845"/>
      <c r="O171" s="48">
        <f>IF(t&lt;Tnet,'2019'!Resal+('2019'!Salim-'2019'!Resal)*(1-EXP(('2019'!Tnet-t)/('2019'!Tau_j))),Resal+(Salim-Resal)*(1-EXP((Tnet-t)/(Tau_j))))*Salcycl</f>
        <v>3.788905637826253E-2</v>
      </c>
      <c r="P171" s="169">
        <f>(INDEX(Models!$BJ171:$BT171,,T171)*(1-R171)+INDEX(Models!$BJ171:$BT171,,T171+1)*R171-ERP_i)*Q171*Ramure*Pc/MaxiM</f>
        <v>3.5018845371471639E-5</v>
      </c>
      <c r="Q171" s="305">
        <f t="shared" si="51"/>
        <v>0.5</v>
      </c>
      <c r="R171" s="177">
        <f t="shared" si="52"/>
        <v>0.22658672148343095</v>
      </c>
      <c r="S171" s="811">
        <f t="shared" si="53"/>
        <v>-1</v>
      </c>
      <c r="T171" s="176">
        <f t="shared" si="54"/>
        <v>5</v>
      </c>
      <c r="U171" s="251">
        <f t="shared" si="55"/>
        <v>-0.77341327851656905</v>
      </c>
      <c r="V171" s="383">
        <f t="shared" si="56"/>
        <v>60.36679242782251</v>
      </c>
      <c r="W171" s="402"/>
      <c r="X171" s="157">
        <f t="shared" si="57"/>
        <v>43987</v>
      </c>
      <c r="Y171" s="385">
        <f t="shared" si="58"/>
        <v>24.677</v>
      </c>
      <c r="Z171" s="385">
        <f t="shared" si="59"/>
        <v>25.073634574772857</v>
      </c>
      <c r="AA171" s="386">
        <f t="shared" si="60"/>
        <v>26.061063686051138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3.788905637826253E-2</v>
      </c>
      <c r="AD171" s="231">
        <f>(INDEX(Models!$BJ171:$BT171,,AH171)*(1-AF171)+INDEX(Models!$BJ171:$BT171,,AH171+1)*AF171-ERP_i)*AE171*Ramure*Pc/MaxiM</f>
        <v>3.5018845371471639E-5</v>
      </c>
      <c r="AE171" s="305">
        <f t="shared" si="62"/>
        <v>0.5</v>
      </c>
      <c r="AF171" s="177">
        <f t="shared" si="63"/>
        <v>0.22658672148343095</v>
      </c>
      <c r="AG171" s="811">
        <f t="shared" si="71"/>
        <v>-1</v>
      </c>
      <c r="AH171" s="176">
        <f t="shared" si="64"/>
        <v>5</v>
      </c>
      <c r="AI171" s="225">
        <f t="shared" si="65"/>
        <v>-0.77341327851656905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7">
        <v>27.04</v>
      </c>
      <c r="C172" s="390"/>
      <c r="D172" s="393">
        <f t="shared" si="48"/>
        <v>27.475216962019644</v>
      </c>
      <c r="E172" s="385">
        <f t="shared" si="72"/>
        <v>28.560128126818856</v>
      </c>
      <c r="F172" s="385">
        <f t="shared" si="49"/>
        <v>28.560329487216588</v>
      </c>
      <c r="G172" s="110">
        <f t="shared" si="73"/>
        <v>0.44808278385221095</v>
      </c>
      <c r="H172" s="414" t="b">
        <f>Wh_hp&gt;='2019'!Maxi_hp</f>
        <v>1</v>
      </c>
      <c r="I172" s="380">
        <f>IF(H172,Wh_hp,'2019'!Maxi_hp)</f>
        <v>28.560329487216588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1.5840346688481777E-2</v>
      </c>
      <c r="M172" s="845"/>
      <c r="N172" s="845"/>
      <c r="O172" s="48">
        <f>IF(t&lt;Tnet,'2019'!Resal+('2019'!Salim-'2019'!Resal)*(1-EXP(('2019'!Tnet-t)/('2019'!Tau_j))),Resal+(Salim-Resal)*(1-EXP((Tnet-t)/(Tau_j))))*Salcycl</f>
        <v>3.7986915184055101E-2</v>
      </c>
      <c r="P172" s="169">
        <f>(INDEX(Models!$BJ172:$BT172,,T172)*(1-R172)+INDEX(Models!$BJ172:$BT172,,T172+1)*R172-ERP_i)*Q172*Ramure*Pc/MaxiM</f>
        <v>3.3324971658216961E-5</v>
      </c>
      <c r="Q172" s="305">
        <f t="shared" si="51"/>
        <v>0.5</v>
      </c>
      <c r="R172" s="177">
        <f t="shared" si="52"/>
        <v>0.231705860901257</v>
      </c>
      <c r="S172" s="811">
        <f t="shared" si="53"/>
        <v>-1</v>
      </c>
      <c r="T172" s="176">
        <f t="shared" si="54"/>
        <v>5</v>
      </c>
      <c r="U172" s="251">
        <f t="shared" si="55"/>
        <v>-0.768294139098743</v>
      </c>
      <c r="V172" s="383">
        <f t="shared" si="56"/>
        <v>60.344406220735479</v>
      </c>
      <c r="W172" s="402"/>
      <c r="X172" s="157">
        <f t="shared" si="57"/>
        <v>43988</v>
      </c>
      <c r="Y172" s="385">
        <f t="shared" si="58"/>
        <v>27.04</v>
      </c>
      <c r="Z172" s="385">
        <f t="shared" si="59"/>
        <v>27.475216962019644</v>
      </c>
      <c r="AA172" s="386">
        <f t="shared" si="60"/>
        <v>28.560128126818856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3.7986915184055101E-2</v>
      </c>
      <c r="AD172" s="231">
        <f>(INDEX(Models!$BJ172:$BT172,,AH172)*(1-AF172)+INDEX(Models!$BJ172:$BT172,,AH172+1)*AF172-ERP_i)*AE172*Ramure*Pc/MaxiM</f>
        <v>3.3324971658216961E-5</v>
      </c>
      <c r="AE172" s="305">
        <f t="shared" si="62"/>
        <v>0.5</v>
      </c>
      <c r="AF172" s="177">
        <f t="shared" si="63"/>
        <v>0.231705860901257</v>
      </c>
      <c r="AG172" s="811">
        <f t="shared" si="71"/>
        <v>-1</v>
      </c>
      <c r="AH172" s="176">
        <f t="shared" si="64"/>
        <v>5</v>
      </c>
      <c r="AI172" s="225">
        <f t="shared" si="65"/>
        <v>-0.768294139098743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7">
        <v>37.923999999999999</v>
      </c>
      <c r="C173" s="390"/>
      <c r="D173" s="393">
        <f t="shared" si="48"/>
        <v>38.535242248056619</v>
      </c>
      <c r="E173" s="385">
        <f t="shared" si="72"/>
        <v>40.060938522240455</v>
      </c>
      <c r="F173" s="385">
        <f t="shared" si="49"/>
        <v>40.06153886549351</v>
      </c>
      <c r="G173" s="110">
        <f t="shared" si="73"/>
        <v>0.62872196736585328</v>
      </c>
      <c r="H173" s="414" t="b">
        <f>Wh_hp&gt;='2019'!Maxi_hp</f>
        <v>0</v>
      </c>
      <c r="I173" s="380">
        <f>IF(H173,Wh_hp,'2019'!Maxi_hp)</f>
        <v>64.469263284236831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1.586190231066853E-2</v>
      </c>
      <c r="M173" s="845"/>
      <c r="N173" s="845"/>
      <c r="O173" s="48">
        <f>IF(t&lt;Tnet,'2019'!Resal+('2019'!Salim-'2019'!Resal)*(1-EXP(('2019'!Tnet-t)/('2019'!Tau_j))),Resal+(Salim-Resal)*(1-EXP((Tnet-t)/(Tau_j))))*Salcycl</f>
        <v>3.8084386698449921E-2</v>
      </c>
      <c r="P173" s="169">
        <f>(INDEX(Models!$BJ173:$BT173,,T173)*(1-R173)+INDEX(Models!$BJ173:$BT173,,T173+1)*R173-ERP_i)*Q173*Ramure*Pc/MaxiM</f>
        <v>3.1910033539416766E-5</v>
      </c>
      <c r="Q173" s="305">
        <f t="shared" si="51"/>
        <v>0.5</v>
      </c>
      <c r="R173" s="177">
        <f t="shared" si="52"/>
        <v>0.23683796685452341</v>
      </c>
      <c r="S173" s="811">
        <f t="shared" si="53"/>
        <v>-1</v>
      </c>
      <c r="T173" s="176">
        <f t="shared" si="54"/>
        <v>5</v>
      </c>
      <c r="U173" s="251">
        <f t="shared" si="55"/>
        <v>-0.76316203314547659</v>
      </c>
      <c r="V173" s="383">
        <f t="shared" si="56"/>
        <v>60.318169419567333</v>
      </c>
      <c r="W173" s="402"/>
      <c r="X173" s="157">
        <f t="shared" si="57"/>
        <v>43989</v>
      </c>
      <c r="Y173" s="385">
        <f t="shared" si="58"/>
        <v>37.923999999999999</v>
      </c>
      <c r="Z173" s="385">
        <f t="shared" si="59"/>
        <v>38.535242248056619</v>
      </c>
      <c r="AA173" s="386">
        <f t="shared" si="60"/>
        <v>40.060938522240455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3.8084386698449921E-2</v>
      </c>
      <c r="AD173" s="231">
        <f>(INDEX(Models!$BJ173:$BT173,,AH173)*(1-AF173)+INDEX(Models!$BJ173:$BT173,,AH173+1)*AF173-ERP_i)*AE173*Ramure*Pc/MaxiM</f>
        <v>3.1910033539416766E-5</v>
      </c>
      <c r="AE173" s="305">
        <f t="shared" si="62"/>
        <v>0.5</v>
      </c>
      <c r="AF173" s="177">
        <f t="shared" si="63"/>
        <v>0.23683796685452341</v>
      </c>
      <c r="AG173" s="811">
        <f t="shared" si="71"/>
        <v>-1</v>
      </c>
      <c r="AH173" s="176">
        <f t="shared" si="64"/>
        <v>5</v>
      </c>
      <c r="AI173" s="225">
        <f t="shared" si="65"/>
        <v>-0.76316203314547659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7">
        <v>42.36</v>
      </c>
      <c r="C174" s="390"/>
      <c r="D174" s="393">
        <f t="shared" si="48"/>
        <v>43.043682499941056</v>
      </c>
      <c r="E174" s="385">
        <f t="shared" si="72"/>
        <v>44.752393422084992</v>
      </c>
      <c r="F174" s="385">
        <f t="shared" si="49"/>
        <v>44.753185845876473</v>
      </c>
      <c r="G174" s="110">
        <f t="shared" si="73"/>
        <v>0.7026183977510746</v>
      </c>
      <c r="H174" s="414" t="b">
        <f>Wh_hp&gt;='2019'!Maxi_hp</f>
        <v>0</v>
      </c>
      <c r="I174" s="380">
        <f>IF(H174,Wh_hp,'2019'!Maxi_hp)</f>
        <v>50.609598764783627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1.588345746073172E-2</v>
      </c>
      <c r="M174" s="845"/>
      <c r="N174" s="845"/>
      <c r="O174" s="48">
        <f>IF(t&lt;Tnet,'2019'!Resal+('2019'!Salim-'2019'!Resal)*(1-EXP(('2019'!Tnet-t)/('2019'!Tau_j))),Resal+(Salim-Resal)*(1-EXP((Tnet-t)/(Tau_j))))*Salcycl</f>
        <v>3.8181442186301075E-2</v>
      </c>
      <c r="P174" s="169">
        <f>(INDEX(Models!$BJ174:$BT174,,T174)*(1-R174)+INDEX(Models!$BJ174:$BT174,,T174+1)*R174-ERP_i)*Q174*Ramure*Pc/MaxiM</f>
        <v>3.0784213430602146E-5</v>
      </c>
      <c r="Q174" s="305">
        <f t="shared" si="51"/>
        <v>0.5</v>
      </c>
      <c r="R174" s="177">
        <f t="shared" si="52"/>
        <v>0.24197874149882925</v>
      </c>
      <c r="S174" s="811">
        <f t="shared" si="53"/>
        <v>-1</v>
      </c>
      <c r="T174" s="176">
        <f t="shared" si="54"/>
        <v>5</v>
      </c>
      <c r="U174" s="251">
        <f t="shared" si="55"/>
        <v>-0.75802125850117075</v>
      </c>
      <c r="V174" s="383">
        <f t="shared" si="56"/>
        <v>60.287983000813725</v>
      </c>
      <c r="W174" s="402"/>
      <c r="X174" s="157">
        <f t="shared" si="57"/>
        <v>43990</v>
      </c>
      <c r="Y174" s="385">
        <f t="shared" si="58"/>
        <v>42.36</v>
      </c>
      <c r="Z174" s="385">
        <f t="shared" si="59"/>
        <v>43.043682499941056</v>
      </c>
      <c r="AA174" s="386">
        <f t="shared" si="60"/>
        <v>44.752393422084992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3.8181442186301075E-2</v>
      </c>
      <c r="AD174" s="231">
        <f>(INDEX(Models!$BJ174:$BT174,,AH174)*(1-AF174)+INDEX(Models!$BJ174:$BT174,,AH174+1)*AF174-ERP_i)*AE174*Ramure*Pc/MaxiM</f>
        <v>3.0784213430602146E-5</v>
      </c>
      <c r="AE174" s="305">
        <f t="shared" si="62"/>
        <v>0.5</v>
      </c>
      <c r="AF174" s="177">
        <f t="shared" si="63"/>
        <v>0.24197874149882925</v>
      </c>
      <c r="AG174" s="811">
        <f t="shared" si="71"/>
        <v>-1</v>
      </c>
      <c r="AH174" s="176">
        <f t="shared" si="64"/>
        <v>5</v>
      </c>
      <c r="AI174" s="225">
        <f t="shared" si="65"/>
        <v>-0.75802125850117075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7">
        <v>24.109000000000002</v>
      </c>
      <c r="C175" s="390"/>
      <c r="D175" s="393">
        <f t="shared" si="48"/>
        <v>24.498651347056267</v>
      </c>
      <c r="E175" s="385">
        <f t="shared" si="72"/>
        <v>25.47373640364464</v>
      </c>
      <c r="F175" s="385">
        <f t="shared" si="49"/>
        <v>25.473845559402736</v>
      </c>
      <c r="G175" s="110">
        <f t="shared" si="73"/>
        <v>0.40011421508663697</v>
      </c>
      <c r="H175" s="414" t="b">
        <f>Wh_hp&gt;='2019'!Maxi_hp</f>
        <v>1</v>
      </c>
      <c r="I175" s="380">
        <f>IF(H175,Wh_hp,'2019'!Maxi_hp)</f>
        <v>25.473845559402736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1.5905012138681895E-2</v>
      </c>
      <c r="M175" s="845"/>
      <c r="N175" s="845"/>
      <c r="O175" s="48">
        <f>IF(t&lt;Tnet,'2019'!Resal+('2019'!Salim-'2019'!Resal)*(1-EXP(('2019'!Tnet-t)/('2019'!Tau_j))),Resal+(Salim-Resal)*(1-EXP((Tnet-t)/(Tau_j))))*Salcycl</f>
        <v>3.8278053958698592E-2</v>
      </c>
      <c r="P175" s="169">
        <f>(INDEX(Models!$BJ175:$BT175,,T175)*(1-R175)+INDEX(Models!$BJ175:$BT175,,T175+1)*R175-ERP_i)*Q175*Ramure*Pc/MaxiM</f>
        <v>2.995779695183926E-5</v>
      </c>
      <c r="Q175" s="305">
        <f t="shared" si="51"/>
        <v>0.5</v>
      </c>
      <c r="R175" s="177">
        <f t="shared" si="52"/>
        <v>0.24712385780984081</v>
      </c>
      <c r="S175" s="811">
        <f t="shared" si="53"/>
        <v>-1</v>
      </c>
      <c r="T175" s="176">
        <f t="shared" si="54"/>
        <v>5</v>
      </c>
      <c r="U175" s="251">
        <f t="shared" si="55"/>
        <v>-0.75287614219015919</v>
      </c>
      <c r="V175" s="383">
        <f t="shared" si="56"/>
        <v>60.253747912900543</v>
      </c>
      <c r="W175" s="402"/>
      <c r="X175" s="157">
        <f t="shared" si="57"/>
        <v>43991</v>
      </c>
      <c r="Y175" s="385">
        <f t="shared" si="58"/>
        <v>24.109000000000002</v>
      </c>
      <c r="Z175" s="385">
        <f t="shared" si="59"/>
        <v>24.498651347056267</v>
      </c>
      <c r="AA175" s="386">
        <f t="shared" si="60"/>
        <v>25.47373640364464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3.8278053958698592E-2</v>
      </c>
      <c r="AD175" s="231">
        <f>(INDEX(Models!$BJ175:$BT175,,AH175)*(1-AF175)+INDEX(Models!$BJ175:$BT175,,AH175+1)*AF175-ERP_i)*AE175*Ramure*Pc/MaxiM</f>
        <v>2.995779695183926E-5</v>
      </c>
      <c r="AE175" s="305">
        <f t="shared" si="62"/>
        <v>0.5</v>
      </c>
      <c r="AF175" s="177">
        <f t="shared" si="63"/>
        <v>0.24712385780984081</v>
      </c>
      <c r="AG175" s="811">
        <f t="shared" si="71"/>
        <v>-1</v>
      </c>
      <c r="AH175" s="176">
        <f t="shared" si="64"/>
        <v>5</v>
      </c>
      <c r="AI175" s="225">
        <f t="shared" si="65"/>
        <v>-0.75287614219015919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7">
        <v>41.101999999999997</v>
      </c>
      <c r="C176" s="390"/>
      <c r="D176" s="393">
        <f t="shared" si="48"/>
        <v>41.767208212624119</v>
      </c>
      <c r="E176" s="385">
        <f t="shared" si="72"/>
        <v>43.43395114447204</v>
      </c>
      <c r="F176" s="385">
        <f t="shared" si="49"/>
        <v>43.434650050868335</v>
      </c>
      <c r="G176" s="110">
        <f t="shared" si="73"/>
        <v>0.68257414401619554</v>
      </c>
      <c r="H176" s="414" t="b">
        <f>Wh_hp&gt;='2019'!Maxi_hp</f>
        <v>1</v>
      </c>
      <c r="I176" s="380">
        <f>IF(H176,Wh_hp,'2019'!Maxi_hp)</f>
        <v>43.434650050868335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1.5926566344529269E-2</v>
      </c>
      <c r="M176" s="845"/>
      <c r="N176" s="845"/>
      <c r="O176" s="48">
        <f>IF(t&lt;Tnet,'2019'!Resal+('2019'!Salim-'2019'!Resal)*(1-EXP(('2019'!Tnet-t)/('2019'!Tau_j))),Resal+(Salim-Resal)*(1-EXP((Tnet-t)/(Tau_j))))*Salcycl</f>
        <v>3.8374195483711022E-2</v>
      </c>
      <c r="P176" s="169">
        <f>(INDEX(Models!$BJ176:$BT176,,T176)*(1-R176)+INDEX(Models!$BJ176:$BT176,,T176+1)*R176-ERP_i)*Q176*Ramure*Pc/MaxiM</f>
        <v>2.9441149902295155E-5</v>
      </c>
      <c r="Q176" s="305">
        <f t="shared" si="51"/>
        <v>0.5</v>
      </c>
      <c r="R176" s="177">
        <f t="shared" si="52"/>
        <v>0.25226897412085236</v>
      </c>
      <c r="S176" s="811">
        <f t="shared" si="53"/>
        <v>-1</v>
      </c>
      <c r="T176" s="176">
        <f t="shared" si="54"/>
        <v>5</v>
      </c>
      <c r="U176" s="251">
        <f t="shared" si="55"/>
        <v>-0.74773102587914764</v>
      </c>
      <c r="V176" s="383">
        <f t="shared" si="56"/>
        <v>60.215365075132702</v>
      </c>
      <c r="W176" s="402"/>
      <c r="X176" s="157">
        <f t="shared" si="57"/>
        <v>43992</v>
      </c>
      <c r="Y176" s="385">
        <f t="shared" si="58"/>
        <v>41.101999999999997</v>
      </c>
      <c r="Z176" s="385">
        <f t="shared" si="59"/>
        <v>41.767208212624119</v>
      </c>
      <c r="AA176" s="386">
        <f t="shared" si="60"/>
        <v>43.43395114447204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3.8374195483711022E-2</v>
      </c>
      <c r="AD176" s="231">
        <f>(INDEX(Models!$BJ176:$BT176,,AH176)*(1-AF176)+INDEX(Models!$BJ176:$BT176,,AH176+1)*AF176-ERP_i)*AE176*Ramure*Pc/MaxiM</f>
        <v>2.9441149902295155E-5</v>
      </c>
      <c r="AE176" s="305">
        <f t="shared" si="62"/>
        <v>0.5</v>
      </c>
      <c r="AF176" s="177">
        <f t="shared" si="63"/>
        <v>0.25226897412085236</v>
      </c>
      <c r="AG176" s="811">
        <f t="shared" si="71"/>
        <v>-1</v>
      </c>
      <c r="AH176" s="176">
        <f t="shared" si="64"/>
        <v>5</v>
      </c>
      <c r="AI176" s="225">
        <f t="shared" si="65"/>
        <v>-0.74773102587914764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7">
        <v>26.87</v>
      </c>
      <c r="C177" s="390"/>
      <c r="D177" s="393">
        <f t="shared" si="48"/>
        <v>27.305470929172543</v>
      </c>
      <c r="E177" s="385">
        <f t="shared" si="72"/>
        <v>28.39793498681351</v>
      </c>
      <c r="F177" s="385">
        <f t="shared" si="49"/>
        <v>28.398108861341544</v>
      </c>
      <c r="G177" s="110">
        <f t="shared" si="73"/>
        <v>0.44654208042581067</v>
      </c>
      <c r="H177" s="414" t="b">
        <f>Wh_hp&gt;='2019'!Maxi_hp</f>
        <v>0</v>
      </c>
      <c r="I177" s="380">
        <f>IF(H177,Wh_hp,'2019'!Maxi_hp)</f>
        <v>58.244062693126686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1.5948120078284167E-2</v>
      </c>
      <c r="M177" s="845"/>
      <c r="N177" s="845"/>
      <c r="O177" s="48">
        <f>IF(t&lt;Tnet,'2019'!Resal+('2019'!Salim-'2019'!Resal)*(1-EXP(('2019'!Tnet-t)/('2019'!Tau_j))),Resal+(Salim-Resal)*(1-EXP((Tnet-t)/(Tau_j))))*Salcycl</f>
        <v>3.8469841491934192E-2</v>
      </c>
      <c r="P177" s="169">
        <f>(INDEX(Models!$BJ177:$BT177,,T177)*(1-R177)+INDEX(Models!$BJ177:$BT177,,T177+1)*R177-ERP_i)*Q177*Ramure*Pc/MaxiM</f>
        <v>2.9245000446467257E-5</v>
      </c>
      <c r="Q177" s="305">
        <f t="shared" si="51"/>
        <v>0.5</v>
      </c>
      <c r="R177" s="177">
        <f t="shared" si="52"/>
        <v>0.25740974876515832</v>
      </c>
      <c r="S177" s="811">
        <f t="shared" si="53"/>
        <v>-1</v>
      </c>
      <c r="T177" s="176">
        <f t="shared" si="54"/>
        <v>5</v>
      </c>
      <c r="U177" s="251">
        <f t="shared" si="55"/>
        <v>-0.74259025123484168</v>
      </c>
      <c r="V177" s="383">
        <f t="shared" si="56"/>
        <v>60.172108921316322</v>
      </c>
      <c r="W177" s="402"/>
      <c r="X177" s="157">
        <f t="shared" si="57"/>
        <v>43993</v>
      </c>
      <c r="Y177" s="385">
        <f t="shared" si="58"/>
        <v>26.87</v>
      </c>
      <c r="Z177" s="385">
        <f t="shared" si="59"/>
        <v>27.305470929172543</v>
      </c>
      <c r="AA177" s="386">
        <f t="shared" si="60"/>
        <v>28.39793498681351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3.8469841491934192E-2</v>
      </c>
      <c r="AD177" s="231">
        <f>(INDEX(Models!$BJ177:$BT177,,AH177)*(1-AF177)+INDEX(Models!$BJ177:$BT177,,AH177+1)*AF177-ERP_i)*AE177*Ramure*Pc/MaxiM</f>
        <v>2.9245000446467257E-5</v>
      </c>
      <c r="AE177" s="305">
        <f t="shared" si="62"/>
        <v>0.5</v>
      </c>
      <c r="AF177" s="177">
        <f t="shared" si="63"/>
        <v>0.25740974876515832</v>
      </c>
      <c r="AG177" s="811">
        <f t="shared" si="71"/>
        <v>-1</v>
      </c>
      <c r="AH177" s="176">
        <f t="shared" si="64"/>
        <v>5</v>
      </c>
      <c r="AI177" s="225">
        <f t="shared" si="65"/>
        <v>-0.74259025123484168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7">
        <v>52.835000000000001</v>
      </c>
      <c r="C178" s="390"/>
      <c r="D178" s="393">
        <f t="shared" si="48"/>
        <v>53.692450901722182</v>
      </c>
      <c r="E178" s="385">
        <f t="shared" si="72"/>
        <v>55.846156130049202</v>
      </c>
      <c r="F178" s="385">
        <f t="shared" si="49"/>
        <v>55.847512518503805</v>
      </c>
      <c r="G178" s="110">
        <f t="shared" si="73"/>
        <v>0.87876869188894602</v>
      </c>
      <c r="H178" s="414" t="b">
        <f>Wh_hp&gt;='2019'!Maxi_hp</f>
        <v>0</v>
      </c>
      <c r="I178" s="380">
        <f>IF(H178,Wh_hp,'2019'!Maxi_hp)</f>
        <v>66.115436428019962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1.5969673339957025E-2</v>
      </c>
      <c r="M178" s="845"/>
      <c r="N178" s="845"/>
      <c r="O178" s="48">
        <f>IF(t&lt;Tnet,'2019'!Resal+('2019'!Salim-'2019'!Resal)*(1-EXP(('2019'!Tnet-t)/('2019'!Tau_j))),Resal+(Salim-Resal)*(1-EXP((Tnet-t)/(Tau_j))))*Salcycl</f>
        <v>3.8564968076078135E-2</v>
      </c>
      <c r="P178" s="169">
        <f>(INDEX(Models!$BJ178:$BT178,,T178)*(1-R178)+INDEX(Models!$BJ178:$BT178,,T178+1)*R178-ERP_i)*Q178*Ramure*Pc/MaxiM</f>
        <v>2.9374460945780165E-5</v>
      </c>
      <c r="Q178" s="305">
        <f t="shared" si="51"/>
        <v>0.5</v>
      </c>
      <c r="R178" s="177">
        <f t="shared" si="52"/>
        <v>0.26254185471842484</v>
      </c>
      <c r="S178" s="811">
        <f t="shared" si="53"/>
        <v>-1</v>
      </c>
      <c r="T178" s="176">
        <f t="shared" si="54"/>
        <v>5</v>
      </c>
      <c r="U178" s="251">
        <f t="shared" si="55"/>
        <v>-0.73745814528157516</v>
      </c>
      <c r="V178" s="383">
        <f t="shared" si="56"/>
        <v>60.123593050119148</v>
      </c>
      <c r="W178" s="402"/>
      <c r="X178" s="157">
        <f t="shared" si="57"/>
        <v>43994</v>
      </c>
      <c r="Y178" s="385">
        <f t="shared" si="58"/>
        <v>52.835000000000001</v>
      </c>
      <c r="Z178" s="385">
        <f t="shared" si="59"/>
        <v>53.692450901722182</v>
      </c>
      <c r="AA178" s="386">
        <f t="shared" si="60"/>
        <v>55.846156130049202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3.8564968076078135E-2</v>
      </c>
      <c r="AD178" s="231">
        <f>(INDEX(Models!$BJ178:$BT178,,AH178)*(1-AF178)+INDEX(Models!$BJ178:$BT178,,AH178+1)*AF178-ERP_i)*AE178*Ramure*Pc/MaxiM</f>
        <v>2.9374460945780165E-5</v>
      </c>
      <c r="AE178" s="305">
        <f t="shared" si="62"/>
        <v>0.5</v>
      </c>
      <c r="AF178" s="177">
        <f t="shared" si="63"/>
        <v>0.26254185471842484</v>
      </c>
      <c r="AG178" s="811">
        <f t="shared" si="71"/>
        <v>-1</v>
      </c>
      <c r="AH178" s="176">
        <f t="shared" si="64"/>
        <v>5</v>
      </c>
      <c r="AI178" s="225">
        <f t="shared" si="65"/>
        <v>-0.73745814528157516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7">
        <v>39.570999999999998</v>
      </c>
      <c r="C179" s="390"/>
      <c r="D179" s="393">
        <f t="shared" si="48"/>
        <v>40.214072324125496</v>
      </c>
      <c r="E179" s="385">
        <f t="shared" si="72"/>
        <v>41.831249731120579</v>
      </c>
      <c r="F179" s="385">
        <f t="shared" si="49"/>
        <v>41.831882896282742</v>
      </c>
      <c r="G179" s="110">
        <f t="shared" si="73"/>
        <v>0.65873595845487898</v>
      </c>
      <c r="H179" s="414" t="b">
        <f>Wh_hp&gt;='2019'!Maxi_hp</f>
        <v>1</v>
      </c>
      <c r="I179" s="380">
        <f>IF(H179,Wh_hp,'2019'!Maxi_hp)</f>
        <v>41.831882896282742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1.5991226129558167E-2</v>
      </c>
      <c r="M179" s="845"/>
      <c r="N179" s="845"/>
      <c r="O179" s="48">
        <f>IF(t&lt;Tnet,'2019'!Resal+('2019'!Salim-'2019'!Resal)*(1-EXP(('2019'!Tnet-t)/('2019'!Tau_j))),Resal+(Salim-Resal)*(1-EXP((Tnet-t)/(Tau_j))))*Salcycl</f>
        <v>3.8659552783860067E-2</v>
      </c>
      <c r="P179" s="169">
        <f>(INDEX(Models!$BJ179:$BT179,,T179)*(1-R179)+INDEX(Models!$BJ179:$BT179,,T179+1)*R179-ERP_i)*Q179*Ramure*Pc/MaxiM</f>
        <v>2.9533930245740762E-5</v>
      </c>
      <c r="Q179" s="305">
        <f t="shared" si="51"/>
        <v>0.5</v>
      </c>
      <c r="R179" s="177">
        <f t="shared" si="52"/>
        <v>0.26766099413625066</v>
      </c>
      <c r="S179" s="811">
        <f t="shared" si="53"/>
        <v>-1</v>
      </c>
      <c r="T179" s="176">
        <f t="shared" si="54"/>
        <v>5</v>
      </c>
      <c r="U179" s="251">
        <f t="shared" si="55"/>
        <v>-0.73233900586374934</v>
      </c>
      <c r="V179" s="383">
        <f t="shared" si="56"/>
        <v>60.070244748133675</v>
      </c>
      <c r="W179" s="402"/>
      <c r="X179" s="157">
        <f t="shared" si="57"/>
        <v>43995</v>
      </c>
      <c r="Y179" s="385">
        <f t="shared" si="58"/>
        <v>39.570999999999998</v>
      </c>
      <c r="Z179" s="385">
        <f t="shared" si="59"/>
        <v>40.214072324125496</v>
      </c>
      <c r="AA179" s="386">
        <f t="shared" si="60"/>
        <v>41.831249731120579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3.8659552783860067E-2</v>
      </c>
      <c r="AD179" s="231">
        <f>(INDEX(Models!$BJ179:$BT179,,AH179)*(1-AF179)+INDEX(Models!$BJ179:$BT179,,AH179+1)*AF179-ERP_i)*AE179*Ramure*Pc/MaxiM</f>
        <v>2.9533930245740762E-5</v>
      </c>
      <c r="AE179" s="305">
        <f t="shared" si="62"/>
        <v>0.5</v>
      </c>
      <c r="AF179" s="177">
        <f t="shared" si="63"/>
        <v>0.26766099413625066</v>
      </c>
      <c r="AG179" s="811">
        <f t="shared" si="71"/>
        <v>-1</v>
      </c>
      <c r="AH179" s="176">
        <f t="shared" si="64"/>
        <v>5</v>
      </c>
      <c r="AI179" s="225">
        <f t="shared" si="65"/>
        <v>-0.73233900586374934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7">
        <v>52.915999999999997</v>
      </c>
      <c r="C180" s="390"/>
      <c r="D180" s="393">
        <f t="shared" si="48"/>
        <v>53.777121126115226</v>
      </c>
      <c r="E180" s="385">
        <f t="shared" si="72"/>
        <v>55.945197517408928</v>
      </c>
      <c r="F180" s="385">
        <f t="shared" si="49"/>
        <v>55.946579571912302</v>
      </c>
      <c r="G180" s="110">
        <f t="shared" si="73"/>
        <v>0.88174560269814728</v>
      </c>
      <c r="H180" s="414" t="b">
        <f>Wh_hp&gt;='2019'!Maxi_hp</f>
        <v>1</v>
      </c>
      <c r="I180" s="380">
        <f>IF(H180,Wh_hp,'2019'!Maxi_hp)</f>
        <v>55.946579571912302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1.6012778447097809E-2</v>
      </c>
      <c r="M180" s="845"/>
      <c r="N180" s="845"/>
      <c r="O180" s="48">
        <f>IF(t&lt;Tnet,'2019'!Resal+('2019'!Salim-'2019'!Resal)*(1-EXP(('2019'!Tnet-t)/('2019'!Tau_j))),Resal+(Salim-Resal)*(1-EXP((Tnet-t)/(Tau_j))))*Salcycl</f>
        <v>3.8753574703513129E-2</v>
      </c>
      <c r="P180" s="169">
        <f>(INDEX(Models!$BJ180:$BT180,,T180)*(1-R180)+INDEX(Models!$BJ180:$BT180,,T180+1)*R180-ERP_i)*Q180*Ramure*Pc/MaxiM</f>
        <v>2.9724410870936343E-5</v>
      </c>
      <c r="Q180" s="305">
        <f t="shared" si="51"/>
        <v>0.5</v>
      </c>
      <c r="R180" s="177">
        <f t="shared" si="52"/>
        <v>0.27276291268339081</v>
      </c>
      <c r="S180" s="811">
        <f t="shared" si="53"/>
        <v>-1</v>
      </c>
      <c r="T180" s="176">
        <f t="shared" si="54"/>
        <v>5</v>
      </c>
      <c r="U180" s="251">
        <f t="shared" si="55"/>
        <v>-0.72723708731660919</v>
      </c>
      <c r="V180" s="383">
        <f t="shared" si="56"/>
        <v>60.012473126433605</v>
      </c>
      <c r="W180" s="402"/>
      <c r="X180" s="157">
        <f t="shared" si="57"/>
        <v>43996</v>
      </c>
      <c r="Y180" s="385">
        <f t="shared" si="58"/>
        <v>52.915999999999997</v>
      </c>
      <c r="Z180" s="385">
        <f t="shared" si="59"/>
        <v>53.777121126115226</v>
      </c>
      <c r="AA180" s="386">
        <f t="shared" si="60"/>
        <v>55.945197517408928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3.8753574703513129E-2</v>
      </c>
      <c r="AD180" s="231">
        <f>(INDEX(Models!$BJ180:$BT180,,AH180)*(1-AF180)+INDEX(Models!$BJ180:$BT180,,AH180+1)*AF180-ERP_i)*AE180*Ramure*Pc/MaxiM</f>
        <v>2.9724410870936343E-5</v>
      </c>
      <c r="AE180" s="305">
        <f t="shared" si="62"/>
        <v>0.5</v>
      </c>
      <c r="AF180" s="177">
        <f t="shared" si="63"/>
        <v>0.27276291268339081</v>
      </c>
      <c r="AG180" s="811">
        <f t="shared" si="71"/>
        <v>-1</v>
      </c>
      <c r="AH180" s="176">
        <f t="shared" si="64"/>
        <v>5</v>
      </c>
      <c r="AI180" s="225">
        <f t="shared" si="65"/>
        <v>-0.72723708731660919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7">
        <v>43.787999999999997</v>
      </c>
      <c r="C181" s="390"/>
      <c r="D181" s="393">
        <f t="shared" si="48"/>
        <v>44.501552592805957</v>
      </c>
      <c r="E181" s="385">
        <f t="shared" si="72"/>
        <v>46.300176211351683</v>
      </c>
      <c r="F181" s="385">
        <f t="shared" si="49"/>
        <v>46.301028756330346</v>
      </c>
      <c r="G181" s="110">
        <f t="shared" si="73"/>
        <v>0.73039187960174989</v>
      </c>
      <c r="H181" s="414" t="b">
        <f>Wh_hp&gt;='2019'!Maxi_hp</f>
        <v>0</v>
      </c>
      <c r="I181" s="380">
        <f>IF(H181,Wh_hp,'2019'!Maxi_hp)</f>
        <v>64.761857489550721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1.6034330292586496E-2</v>
      </c>
      <c r="M181" s="845"/>
      <c r="N181" s="845"/>
      <c r="O181" s="48">
        <f>IF(t&lt;Tnet,'2019'!Resal+('2019'!Salim-'2019'!Resal)*(1-EXP(('2019'!Tnet-t)/('2019'!Tau_j))),Resal+(Salim-Resal)*(1-EXP((Tnet-t)/(Tau_j))))*Salcycl</f>
        <v>3.884701454126975E-2</v>
      </c>
      <c r="P181" s="169">
        <f>(INDEX(Models!$BJ181:$BT181,,T181)*(1-R181)+INDEX(Models!$BJ181:$BT181,,T181+1)*R181-ERP_i)*Q181*Ramure*Pc/MaxiM</f>
        <v>2.9946917812909357E-5</v>
      </c>
      <c r="Q181" s="305">
        <f t="shared" si="51"/>
        <v>0.5</v>
      </c>
      <c r="R181" s="177">
        <f t="shared" si="52"/>
        <v>0.27784341355366271</v>
      </c>
      <c r="S181" s="811">
        <f t="shared" si="53"/>
        <v>-1</v>
      </c>
      <c r="T181" s="176">
        <f t="shared" si="54"/>
        <v>5</v>
      </c>
      <c r="U181" s="251">
        <f t="shared" si="55"/>
        <v>-0.72215658644633729</v>
      </c>
      <c r="V181" s="383">
        <f t="shared" si="56"/>
        <v>59.950686980931764</v>
      </c>
      <c r="W181" s="402"/>
      <c r="X181" s="157">
        <f t="shared" si="57"/>
        <v>43997</v>
      </c>
      <c r="Y181" s="385">
        <f t="shared" si="58"/>
        <v>43.787999999999997</v>
      </c>
      <c r="Z181" s="385">
        <f t="shared" si="59"/>
        <v>44.501552592805957</v>
      </c>
      <c r="AA181" s="386">
        <f t="shared" si="60"/>
        <v>46.300176211351683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3.884701454126975E-2</v>
      </c>
      <c r="AD181" s="231">
        <f>(INDEX(Models!$BJ181:$BT181,,AH181)*(1-AF181)+INDEX(Models!$BJ181:$BT181,,AH181+1)*AF181-ERP_i)*AE181*Ramure*Pc/MaxiM</f>
        <v>2.9946917812909357E-5</v>
      </c>
      <c r="AE181" s="305">
        <f t="shared" si="62"/>
        <v>0.5</v>
      </c>
      <c r="AF181" s="177">
        <f t="shared" si="63"/>
        <v>0.27784341355366271</v>
      </c>
      <c r="AG181" s="811">
        <f t="shared" si="71"/>
        <v>-1</v>
      </c>
      <c r="AH181" s="176">
        <f t="shared" si="64"/>
        <v>5</v>
      </c>
      <c r="AI181" s="225">
        <f t="shared" si="65"/>
        <v>-0.72215658644633729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7">
        <v>30.463999999999999</v>
      </c>
      <c r="C182" s="390"/>
      <c r="D182" s="393">
        <f t="shared" si="48"/>
        <v>30.961107884441923</v>
      </c>
      <c r="E182" s="385">
        <f t="shared" si="72"/>
        <v>32.215577802846688</v>
      </c>
      <c r="F182" s="385">
        <f t="shared" si="49"/>
        <v>32.215867903656388</v>
      </c>
      <c r="G182" s="110">
        <f t="shared" si="73"/>
        <v>0.50869507010876902</v>
      </c>
      <c r="H182" s="414" t="b">
        <f>Wh_hp&gt;='2019'!Maxi_hp</f>
        <v>0</v>
      </c>
      <c r="I182" s="380">
        <f>IF(H182,Wh_hp,'2019'!Maxi_hp)</f>
        <v>62.682408537874828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1.6055881666034444E-2</v>
      </c>
      <c r="M182" s="845"/>
      <c r="N182" s="845"/>
      <c r="O182" s="48">
        <f>IF(t&lt;Tnet,'2019'!Resal+('2019'!Salim-'2019'!Resal)*(1-EXP(('2019'!Tnet-t)/('2019'!Tau_j))),Resal+(Salim-Resal)*(1-EXP((Tnet-t)/(Tau_j))))*Salcycl</f>
        <v>3.8939854690233679E-2</v>
      </c>
      <c r="P182" s="169">
        <f>(INDEX(Models!$BJ182:$BT182,,T182)*(1-R182)+INDEX(Models!$BJ182:$BT182,,T182+1)*R182-ERP_i)*Q182*Ramure*Pc/MaxiM</f>
        <v>3.0202473735209884E-5</v>
      </c>
      <c r="Q182" s="305">
        <f t="shared" si="51"/>
        <v>0.5</v>
      </c>
      <c r="R182" s="177">
        <f t="shared" si="52"/>
        <v>0.28289837108332239</v>
      </c>
      <c r="S182" s="811">
        <f t="shared" si="53"/>
        <v>-1</v>
      </c>
      <c r="T182" s="176">
        <f t="shared" si="54"/>
        <v>5</v>
      </c>
      <c r="U182" s="251">
        <f t="shared" si="55"/>
        <v>-0.71710162891667761</v>
      </c>
      <c r="V182" s="383">
        <f t="shared" si="56"/>
        <v>59.885294789505494</v>
      </c>
      <c r="W182" s="402"/>
      <c r="X182" s="157">
        <f t="shared" si="57"/>
        <v>43998</v>
      </c>
      <c r="Y182" s="385">
        <f t="shared" si="58"/>
        <v>30.463999999999999</v>
      </c>
      <c r="Z182" s="385">
        <f t="shared" si="59"/>
        <v>30.961107884441923</v>
      </c>
      <c r="AA182" s="386">
        <f t="shared" si="60"/>
        <v>32.215577802846688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3.8939854690233679E-2</v>
      </c>
      <c r="AD182" s="231">
        <f>(INDEX(Models!$BJ182:$BT182,,AH182)*(1-AF182)+INDEX(Models!$BJ182:$BT182,,AH182+1)*AF182-ERP_i)*AE182*Ramure*Pc/MaxiM</f>
        <v>3.0202473735209884E-5</v>
      </c>
      <c r="AE182" s="305">
        <f t="shared" si="62"/>
        <v>0.5</v>
      </c>
      <c r="AF182" s="177">
        <f t="shared" si="63"/>
        <v>0.28289837108332239</v>
      </c>
      <c r="AG182" s="811">
        <f t="shared" si="71"/>
        <v>-1</v>
      </c>
      <c r="AH182" s="176">
        <f t="shared" si="64"/>
        <v>5</v>
      </c>
      <c r="AI182" s="225">
        <f t="shared" si="65"/>
        <v>-0.71710162891667761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7">
        <v>51.921999999999997</v>
      </c>
      <c r="C183" s="390"/>
      <c r="D183" s="393">
        <f t="shared" si="48"/>
        <v>52.77041275258631</v>
      </c>
      <c r="E183" s="385">
        <f t="shared" si="72"/>
        <v>54.913813057988307</v>
      </c>
      <c r="F183" s="385">
        <f t="shared" si="49"/>
        <v>54.915171822205146</v>
      </c>
      <c r="G183" s="110">
        <f t="shared" si="73"/>
        <v>0.8680134042126354</v>
      </c>
      <c r="H183" s="414" t="b">
        <f>Wh_hp&gt;='2019'!Maxi_hp</f>
        <v>0</v>
      </c>
      <c r="I183" s="380">
        <f>IF(H183,Wh_hp,'2019'!Maxi_hp)</f>
        <v>60.904385564297691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1.6077432567451977E-2</v>
      </c>
      <c r="M183" s="845"/>
      <c r="N183" s="845"/>
      <c r="O183" s="48">
        <f>IF(t&lt;Tnet,'2019'!Resal+('2019'!Salim-'2019'!Resal)*(1-EXP(('2019'!Tnet-t)/('2019'!Tau_j))),Resal+(Salim-Resal)*(1-EXP((Tnet-t)/(Tau_j))))*Salcycl</f>
        <v>3.9032079290115755E-2</v>
      </c>
      <c r="P183" s="169">
        <f>(INDEX(Models!$BJ183:$BT183,,T183)*(1-R183)+INDEX(Models!$BJ183:$BT183,,T183+1)*R183-ERP_i)*Q183*Ramure*Pc/MaxiM</f>
        <v>3.0492104134653942E-5</v>
      </c>
      <c r="Q183" s="305">
        <f t="shared" si="51"/>
        <v>0.5</v>
      </c>
      <c r="R183" s="177">
        <f t="shared" si="52"/>
        <v>0.28792374386559438</v>
      </c>
      <c r="S183" s="811">
        <f t="shared" si="53"/>
        <v>-1</v>
      </c>
      <c r="T183" s="176">
        <f t="shared" si="54"/>
        <v>5</v>
      </c>
      <c r="U183" s="251">
        <f t="shared" si="55"/>
        <v>-0.71207625613440562</v>
      </c>
      <c r="V183" s="383">
        <f t="shared" si="56"/>
        <v>59.816704712007805</v>
      </c>
      <c r="W183" s="402"/>
      <c r="X183" s="157">
        <f t="shared" si="57"/>
        <v>43999</v>
      </c>
      <c r="Y183" s="385">
        <f t="shared" si="58"/>
        <v>51.921999999999997</v>
      </c>
      <c r="Z183" s="385">
        <f t="shared" si="59"/>
        <v>52.77041275258631</v>
      </c>
      <c r="AA183" s="386">
        <f t="shared" si="60"/>
        <v>54.913813057988307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3.9032079290115755E-2</v>
      </c>
      <c r="AD183" s="231">
        <f>(INDEX(Models!$BJ183:$BT183,,AH183)*(1-AF183)+INDEX(Models!$BJ183:$BT183,,AH183+1)*AF183-ERP_i)*AE183*Ramure*Pc/MaxiM</f>
        <v>3.0492104134653942E-5</v>
      </c>
      <c r="AE183" s="305">
        <f t="shared" si="62"/>
        <v>0.5</v>
      </c>
      <c r="AF183" s="177">
        <f t="shared" si="63"/>
        <v>0.28792374386559438</v>
      </c>
      <c r="AG183" s="811">
        <f t="shared" si="71"/>
        <v>-1</v>
      </c>
      <c r="AH183" s="176">
        <f t="shared" si="64"/>
        <v>5</v>
      </c>
      <c r="AI183" s="225">
        <f t="shared" si="65"/>
        <v>-0.71207625613440562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7">
        <v>44.9</v>
      </c>
      <c r="C184" s="390"/>
      <c r="D184" s="393">
        <f t="shared" si="48"/>
        <v>45.634671805462951</v>
      </c>
      <c r="E184" s="385">
        <f t="shared" si="72"/>
        <v>47.492763203571997</v>
      </c>
      <c r="F184" s="385">
        <f t="shared" si="49"/>
        <v>47.493707104569701</v>
      </c>
      <c r="G184" s="110">
        <f t="shared" si="73"/>
        <v>0.7515150177493185</v>
      </c>
      <c r="H184" s="414" t="b">
        <f>Wh_hp&gt;='2019'!Maxi_hp</f>
        <v>0</v>
      </c>
      <c r="I184" s="380">
        <f>IF(H184,Wh_hp,'2019'!Maxi_hp)</f>
        <v>51.67282048424785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1.609898299684942E-2</v>
      </c>
      <c r="M184" s="845"/>
      <c r="N184" s="845"/>
      <c r="O184" s="48">
        <f>IF(t&lt;Tnet,'2019'!Resal+('2019'!Salim-'2019'!Resal)*(1-EXP(('2019'!Tnet-t)/('2019'!Tau_j))),Resal+(Salim-Resal)*(1-EXP((Tnet-t)/(Tau_j))))*Salcycl</f>
        <v>3.9123674277374912E-2</v>
      </c>
      <c r="P184" s="169">
        <f>(INDEX(Models!$BJ184:$BT184,,T184)*(1-R184)+INDEX(Models!$BJ184:$BT184,,T184+1)*R184-ERP_i)*Q184*Ramure*Pc/MaxiM</f>
        <v>3.0811178478294955E-5</v>
      </c>
      <c r="Q184" s="305">
        <f t="shared" si="51"/>
        <v>0.5</v>
      </c>
      <c r="R184" s="177">
        <f t="shared" si="52"/>
        <v>0.29291558728000688</v>
      </c>
      <c r="S184" s="811">
        <f t="shared" si="53"/>
        <v>-1</v>
      </c>
      <c r="T184" s="176">
        <f t="shared" si="54"/>
        <v>5</v>
      </c>
      <c r="U184" s="251">
        <f t="shared" si="55"/>
        <v>-0.70708441271999312</v>
      </c>
      <c r="V184" s="383">
        <f t="shared" si="56"/>
        <v>59.745324924913369</v>
      </c>
      <c r="W184" s="402"/>
      <c r="X184" s="157">
        <f t="shared" si="57"/>
        <v>44000</v>
      </c>
      <c r="Y184" s="385">
        <f t="shared" si="58"/>
        <v>44.9</v>
      </c>
      <c r="Z184" s="385">
        <f t="shared" si="59"/>
        <v>45.634671805462951</v>
      </c>
      <c r="AA184" s="386">
        <f t="shared" si="60"/>
        <v>47.492763203571997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3.9123674277374912E-2</v>
      </c>
      <c r="AD184" s="231">
        <f>(INDEX(Models!$BJ184:$BT184,,AH184)*(1-AF184)+INDEX(Models!$BJ184:$BT184,,AH184+1)*AF184-ERP_i)*AE184*Ramure*Pc/MaxiM</f>
        <v>3.0811178478294955E-5</v>
      </c>
      <c r="AE184" s="305">
        <f t="shared" si="62"/>
        <v>0.5</v>
      </c>
      <c r="AF184" s="177">
        <f t="shared" si="63"/>
        <v>0.29291558728000688</v>
      </c>
      <c r="AG184" s="811">
        <f t="shared" si="71"/>
        <v>-1</v>
      </c>
      <c r="AH184" s="176">
        <f t="shared" si="64"/>
        <v>5</v>
      </c>
      <c r="AI184" s="225">
        <f t="shared" si="65"/>
        <v>-0.70708441271999312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7">
        <v>55.023000000000003</v>
      </c>
      <c r="C185" s="390"/>
      <c r="D185" s="393">
        <f t="shared" si="48"/>
        <v>55.924533281718276</v>
      </c>
      <c r="E185" s="385">
        <f t="shared" si="72"/>
        <v>58.207103145062362</v>
      </c>
      <c r="F185" s="385">
        <f t="shared" si="49"/>
        <v>58.208712843769881</v>
      </c>
      <c r="G185" s="110">
        <f t="shared" si="73"/>
        <v>0.92209428283344075</v>
      </c>
      <c r="H185" s="414" t="b">
        <f>Wh_hp&gt;='2019'!Maxi_hp</f>
        <v>1</v>
      </c>
      <c r="I185" s="380">
        <f>IF(H185,Wh_hp,'2019'!Maxi_hp)</f>
        <v>58.208712843769881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1.612053295423721E-2</v>
      </c>
      <c r="M185" s="845"/>
      <c r="N185" s="845"/>
      <c r="O185" s="48">
        <f>IF(t&lt;Tnet,'2019'!Resal+('2019'!Salim-'2019'!Resal)*(1-EXP(('2019'!Tnet-t)/('2019'!Tau_j))),Resal+(Salim-Resal)*(1-EXP((Tnet-t)/(Tau_j))))*Salcycl</f>
        <v>3.921462742537668E-2</v>
      </c>
      <c r="P185" s="169">
        <f>(INDEX(Models!$BJ185:$BT185,,T185)*(1-R185)+INDEX(Models!$BJ185:$BT185,,T185+1)*R185-ERP_i)*Q185*Ramure*Pc/MaxiM</f>
        <v>3.1116891104587084E-5</v>
      </c>
      <c r="Q185" s="305">
        <f t="shared" si="51"/>
        <v>0.5</v>
      </c>
      <c r="R185" s="177">
        <f t="shared" si="52"/>
        <v>0.29787006535708915</v>
      </c>
      <c r="S185" s="811">
        <f t="shared" si="53"/>
        <v>-1</v>
      </c>
      <c r="T185" s="176">
        <f t="shared" si="54"/>
        <v>5</v>
      </c>
      <c r="U185" s="251">
        <f t="shared" si="55"/>
        <v>-0.70212993464291085</v>
      </c>
      <c r="V185" s="383">
        <f t="shared" si="56"/>
        <v>59.671565560775107</v>
      </c>
      <c r="W185" s="402"/>
      <c r="X185" s="157">
        <f t="shared" si="57"/>
        <v>44001</v>
      </c>
      <c r="Y185" s="385">
        <f t="shared" si="58"/>
        <v>55.023000000000003</v>
      </c>
      <c r="Z185" s="385">
        <f t="shared" si="59"/>
        <v>55.924533281718276</v>
      </c>
      <c r="AA185" s="386">
        <f t="shared" si="60"/>
        <v>58.207103145062362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3.921462742537668E-2</v>
      </c>
      <c r="AD185" s="231">
        <f>(INDEX(Models!$BJ185:$BT185,,AH185)*(1-AF185)+INDEX(Models!$BJ185:$BT185,,AH185+1)*AF185-ERP_i)*AE185*Ramure*Pc/MaxiM</f>
        <v>3.1116891104587084E-5</v>
      </c>
      <c r="AE185" s="305">
        <f t="shared" si="62"/>
        <v>0.5</v>
      </c>
      <c r="AF185" s="177">
        <f t="shared" si="63"/>
        <v>0.29787006535708915</v>
      </c>
      <c r="AG185" s="811">
        <f t="shared" si="71"/>
        <v>-1</v>
      </c>
      <c r="AH185" s="176">
        <f t="shared" si="64"/>
        <v>5</v>
      </c>
      <c r="AI185" s="225">
        <f t="shared" si="65"/>
        <v>-0.70212993464291085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7">
        <v>51.444000000000003</v>
      </c>
      <c r="C186" s="390"/>
      <c r="D186" s="393">
        <f t="shared" si="48"/>
        <v>52.288037817049066</v>
      </c>
      <c r="E186" s="385">
        <f t="shared" si="72"/>
        <v>54.427298901996323</v>
      </c>
      <c r="F186" s="385">
        <f t="shared" si="49"/>
        <v>54.428674381419142</v>
      </c>
      <c r="G186" s="110">
        <f t="shared" si="73"/>
        <v>0.86320940385245759</v>
      </c>
      <c r="H186" s="414" t="b">
        <f>Wh_hp&gt;='2019'!Maxi_hp</f>
        <v>1</v>
      </c>
      <c r="I186" s="380">
        <f>IF(H186,Wh_hp,'2019'!Maxi_hp)</f>
        <v>54.428674381419142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1.614208243962556E-2</v>
      </c>
      <c r="M186" s="845"/>
      <c r="N186" s="845"/>
      <c r="O186" s="48">
        <f>IF(t&lt;Tnet,'2019'!Resal+('2019'!Salim-'2019'!Resal)*(1-EXP(('2019'!Tnet-t)/('2019'!Tau_j))),Resal+(Salim-Resal)*(1-EXP((Tnet-t)/(Tau_j))))*Salcycl</f>
        <v>3.930492837425726E-2</v>
      </c>
      <c r="P186" s="169">
        <f>(INDEX(Models!$BJ186:$BT186,,T186)*(1-R186)+INDEX(Models!$BJ186:$BT186,,T186+1)*R186-ERP_i)*Q186*Ramure*Pc/MaxiM</f>
        <v>3.1408731549144193E-5</v>
      </c>
      <c r="Q186" s="305">
        <f t="shared" si="51"/>
        <v>0.5</v>
      </c>
      <c r="R186" s="177">
        <f t="shared" si="52"/>
        <v>0.3027834619067159</v>
      </c>
      <c r="S186" s="811">
        <f t="shared" si="53"/>
        <v>-1</v>
      </c>
      <c r="T186" s="176">
        <f t="shared" si="54"/>
        <v>5</v>
      </c>
      <c r="U186" s="251">
        <f t="shared" si="55"/>
        <v>-0.6972165380932841</v>
      </c>
      <c r="V186" s="383">
        <f t="shared" si="56"/>
        <v>59.595833901578743</v>
      </c>
      <c r="W186" s="402"/>
      <c r="X186" s="157">
        <f t="shared" si="57"/>
        <v>44002</v>
      </c>
      <c r="Y186" s="385">
        <f t="shared" si="58"/>
        <v>51.444000000000003</v>
      </c>
      <c r="Z186" s="385">
        <f t="shared" si="59"/>
        <v>52.288037817049066</v>
      </c>
      <c r="AA186" s="386">
        <f t="shared" si="60"/>
        <v>54.427298901996323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3.930492837425726E-2</v>
      </c>
      <c r="AD186" s="231">
        <f>(INDEX(Models!$BJ186:$BT186,,AH186)*(1-AF186)+INDEX(Models!$BJ186:$BT186,,AH186+1)*AF186-ERP_i)*AE186*Ramure*Pc/MaxiM</f>
        <v>3.1408731549144193E-5</v>
      </c>
      <c r="AE186" s="305">
        <f t="shared" si="62"/>
        <v>0.5</v>
      </c>
      <c r="AF186" s="177">
        <f t="shared" si="63"/>
        <v>0.3027834619067159</v>
      </c>
      <c r="AG186" s="811">
        <f t="shared" si="71"/>
        <v>-1</v>
      </c>
      <c r="AH186" s="176">
        <f t="shared" si="64"/>
        <v>5</v>
      </c>
      <c r="AI186" s="225">
        <f t="shared" si="65"/>
        <v>-0.6972165380932841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7">
        <v>59.542000000000002</v>
      </c>
      <c r="C187" s="390"/>
      <c r="D187" s="393">
        <f t="shared" si="48"/>
        <v>60.520226638843816</v>
      </c>
      <c r="E187" s="385">
        <f t="shared" si="72"/>
        <v>63.002169947974586</v>
      </c>
      <c r="F187" s="385">
        <f t="shared" si="49"/>
        <v>63.004166310746122</v>
      </c>
      <c r="G187" s="110">
        <f t="shared" si="73"/>
        <v>1.0003942148256568</v>
      </c>
      <c r="H187" s="414" t="b">
        <f>Wh_hp&gt;='2019'!Maxi_hp</f>
        <v>1</v>
      </c>
      <c r="I187" s="380">
        <f>IF(H187,Wh_hp,'2019'!Maxi_hp)</f>
        <v>63.004166310746122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1.6163631453024907E-2</v>
      </c>
      <c r="M187" s="845"/>
      <c r="N187" s="845"/>
      <c r="O187" s="48">
        <f>IF(t&lt;Tnet,'2019'!Resal+('2019'!Salim-'2019'!Resal)*(1-EXP(('2019'!Tnet-t)/('2019'!Tau_j))),Resal+(Salim-Resal)*(1-EXP((Tnet-t)/(Tau_j))))*Salcycl</f>
        <v>3.9394568650259087E-2</v>
      </c>
      <c r="P187" s="169">
        <f>(INDEX(Models!$BJ187:$BT187,,T187)*(1-R187)+INDEX(Models!$BJ187:$BT187,,T187+1)*R187-ERP_i)*Q187*Ramure*Pc/MaxiM</f>
        <v>3.1686202491560257E-5</v>
      </c>
      <c r="Q187" s="305">
        <f t="shared" si="51"/>
        <v>0.5</v>
      </c>
      <c r="R187" s="177">
        <f t="shared" si="52"/>
        <v>0.30765219084680351</v>
      </c>
      <c r="S187" s="811">
        <f t="shared" si="53"/>
        <v>-1</v>
      </c>
      <c r="T187" s="176">
        <f t="shared" si="54"/>
        <v>5</v>
      </c>
      <c r="U187" s="251">
        <f t="shared" si="55"/>
        <v>-0.69234780915319649</v>
      </c>
      <c r="V187" s="383">
        <f t="shared" si="56"/>
        <v>59.518536910348537</v>
      </c>
      <c r="W187" s="402"/>
      <c r="X187" s="157">
        <f t="shared" si="57"/>
        <v>44003</v>
      </c>
      <c r="Y187" s="385">
        <f t="shared" si="58"/>
        <v>59.542000000000002</v>
      </c>
      <c r="Z187" s="385">
        <f t="shared" si="59"/>
        <v>60.520226638843816</v>
      </c>
      <c r="AA187" s="386">
        <f t="shared" si="60"/>
        <v>63.002169947974586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3.9394568650259087E-2</v>
      </c>
      <c r="AD187" s="231">
        <f>(INDEX(Models!$BJ187:$BT187,,AH187)*(1-AF187)+INDEX(Models!$BJ187:$BT187,,AH187+1)*AF187-ERP_i)*AE187*Ramure*Pc/MaxiM</f>
        <v>3.1686202491560257E-5</v>
      </c>
      <c r="AE187" s="305">
        <f t="shared" si="62"/>
        <v>0.5</v>
      </c>
      <c r="AF187" s="177">
        <f t="shared" si="63"/>
        <v>0.30765219084680351</v>
      </c>
      <c r="AG187" s="811">
        <f t="shared" si="71"/>
        <v>-1</v>
      </c>
      <c r="AH187" s="176">
        <f t="shared" si="64"/>
        <v>5</v>
      </c>
      <c r="AI187" s="225">
        <f t="shared" si="65"/>
        <v>-0.69234780915319649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7">
        <v>47.536999999999999</v>
      </c>
      <c r="C188" s="390"/>
      <c r="D188" s="393">
        <f t="shared" si="48"/>
        <v>48.319052562891471</v>
      </c>
      <c r="E188" s="385">
        <f t="shared" si="72"/>
        <v>50.305283313022983</v>
      </c>
      <c r="F188" s="385">
        <f t="shared" si="49"/>
        <v>50.30643074161776</v>
      </c>
      <c r="G188" s="110">
        <f t="shared" si="73"/>
        <v>0.79973924184876477</v>
      </c>
      <c r="H188" s="414" t="b">
        <f>Wh_hp&gt;='2019'!Maxi_hp</f>
        <v>0</v>
      </c>
      <c r="I188" s="380">
        <f>IF(H188,Wh_hp,'2019'!Maxi_hp)</f>
        <v>55.386626209177535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1.6185179994445575E-2</v>
      </c>
      <c r="M188" s="845"/>
      <c r="N188" s="845"/>
      <c r="O188" s="48">
        <f>IF(t&lt;Tnet,'2019'!Resal+('2019'!Salim-'2019'!Resal)*(1-EXP(('2019'!Tnet-t)/('2019'!Tau_j))),Resal+(Salim-Resal)*(1-EXP((Tnet-t)/(Tau_j))))*Salcycl</f>
        <v>3.9483541674385551E-2</v>
      </c>
      <c r="P188" s="169">
        <f>(INDEX(Models!$BJ188:$BT188,,T188)*(1-R188)+INDEX(Models!$BJ188:$BT188,,T188+1)*R188-ERP_i)*Q188*Ramure*Pc/MaxiM</f>
        <v>3.1948494485113866E-5</v>
      </c>
      <c r="Q188" s="305">
        <f t="shared" si="51"/>
        <v>0.5</v>
      </c>
      <c r="R188" s="177">
        <f t="shared" si="52"/>
        <v>0.31247280567802549</v>
      </c>
      <c r="S188" s="811">
        <f t="shared" si="53"/>
        <v>-1</v>
      </c>
      <c r="T188" s="176">
        <f t="shared" si="54"/>
        <v>5</v>
      </c>
      <c r="U188" s="251">
        <f t="shared" si="55"/>
        <v>-0.68752719432197451</v>
      </c>
      <c r="V188" s="383">
        <f t="shared" si="56"/>
        <v>59.440081251808444</v>
      </c>
      <c r="W188" s="402"/>
      <c r="X188" s="157">
        <f t="shared" si="57"/>
        <v>44004</v>
      </c>
      <c r="Y188" s="385">
        <f t="shared" si="58"/>
        <v>47.536999999999999</v>
      </c>
      <c r="Z188" s="385">
        <f t="shared" si="59"/>
        <v>48.319052562891471</v>
      </c>
      <c r="AA188" s="386">
        <f t="shared" si="60"/>
        <v>50.305283313022983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3.9483541674385551E-2</v>
      </c>
      <c r="AD188" s="231">
        <f>(INDEX(Models!$BJ188:$BT188,,AH188)*(1-AF188)+INDEX(Models!$BJ188:$BT188,,AH188+1)*AF188-ERP_i)*AE188*Ramure*Pc/MaxiM</f>
        <v>3.1948494485113866E-5</v>
      </c>
      <c r="AE188" s="305">
        <f t="shared" si="62"/>
        <v>0.5</v>
      </c>
      <c r="AF188" s="177">
        <f t="shared" si="63"/>
        <v>0.31247280567802549</v>
      </c>
      <c r="AG188" s="811">
        <f t="shared" si="71"/>
        <v>-1</v>
      </c>
      <c r="AH188" s="176">
        <f t="shared" si="64"/>
        <v>5</v>
      </c>
      <c r="AI188" s="225">
        <f t="shared" si="65"/>
        <v>-0.68752719432197451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7">
        <v>58.609000000000002</v>
      </c>
      <c r="C189" s="390"/>
      <c r="D189" s="393">
        <f t="shared" si="48"/>
        <v>59.574507848236927</v>
      </c>
      <c r="E189" s="385">
        <f t="shared" si="72"/>
        <v>62.029114201999512</v>
      </c>
      <c r="F189" s="385">
        <f t="shared" si="49"/>
        <v>62.031075143124923</v>
      </c>
      <c r="G189" s="110">
        <f t="shared" si="73"/>
        <v>0.98733328227196848</v>
      </c>
      <c r="H189" s="414" t="b">
        <f>Wh_hp&gt;='2019'!Maxi_hp</f>
        <v>1</v>
      </c>
      <c r="I189" s="380">
        <f>IF(H189,Wh_hp,'2019'!Maxi_hp)</f>
        <v>62.031075143124923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1.6206728063897891E-2</v>
      </c>
      <c r="M189" s="845"/>
      <c r="N189" s="845"/>
      <c r="O189" s="48">
        <f>IF(t&lt;Tnet,'2019'!Resal+('2019'!Salim-'2019'!Resal)*(1-EXP(('2019'!Tnet-t)/('2019'!Tau_j))),Resal+(Salim-Resal)*(1-EXP((Tnet-t)/(Tau_j))))*Salcycl</f>
        <v>3.9571842760305891E-2</v>
      </c>
      <c r="P189" s="169">
        <f>(INDEX(Models!$BJ189:$BT189,,T189)*(1-R189)+INDEX(Models!$BJ189:$BT189,,T189+1)*R189-ERP_i)*Q189*Ramure*Pc/MaxiM</f>
        <v>3.2194786455698827E-5</v>
      </c>
      <c r="Q189" s="305">
        <f t="shared" si="51"/>
        <v>0.5</v>
      </c>
      <c r="R189" s="177">
        <f t="shared" si="52"/>
        <v>0.31724200805956781</v>
      </c>
      <c r="S189" s="811">
        <f t="shared" si="53"/>
        <v>-1</v>
      </c>
      <c r="T189" s="176">
        <f t="shared" si="54"/>
        <v>5</v>
      </c>
      <c r="U189" s="251">
        <f t="shared" si="55"/>
        <v>-0.68275799194043219</v>
      </c>
      <c r="V189" s="383">
        <f t="shared" si="56"/>
        <v>59.36087328230844</v>
      </c>
      <c r="W189" s="402"/>
      <c r="X189" s="157">
        <f t="shared" si="57"/>
        <v>44005</v>
      </c>
      <c r="Y189" s="385">
        <f t="shared" si="58"/>
        <v>58.609000000000002</v>
      </c>
      <c r="Z189" s="385">
        <f t="shared" si="59"/>
        <v>59.574507848236927</v>
      </c>
      <c r="AA189" s="386">
        <f t="shared" si="60"/>
        <v>62.029114201999512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3.9571842760305891E-2</v>
      </c>
      <c r="AD189" s="231">
        <f>(INDEX(Models!$BJ189:$BT189,,AH189)*(1-AF189)+INDEX(Models!$BJ189:$BT189,,AH189+1)*AF189-ERP_i)*AE189*Ramure*Pc/MaxiM</f>
        <v>3.2194786455698827E-5</v>
      </c>
      <c r="AE189" s="305">
        <f t="shared" si="62"/>
        <v>0.5</v>
      </c>
      <c r="AF189" s="177">
        <f t="shared" si="63"/>
        <v>0.31724200805956781</v>
      </c>
      <c r="AG189" s="811">
        <f t="shared" si="71"/>
        <v>-1</v>
      </c>
      <c r="AH189" s="176">
        <f t="shared" si="64"/>
        <v>5</v>
      </c>
      <c r="AI189" s="225">
        <f t="shared" si="65"/>
        <v>-0.68275799194043219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7">
        <v>54.673000000000002</v>
      </c>
      <c r="C190" s="390"/>
      <c r="D190" s="393">
        <f t="shared" si="48"/>
        <v>55.574884546266865</v>
      </c>
      <c r="E190" s="385">
        <f t="shared" si="72"/>
        <v>57.869977115588519</v>
      </c>
      <c r="F190" s="385">
        <f t="shared" si="49"/>
        <v>57.871645194626801</v>
      </c>
      <c r="G190" s="110">
        <f t="shared" si="73"/>
        <v>0.92226023341908037</v>
      </c>
      <c r="H190" s="414" t="b">
        <f>Wh_hp&gt;='2019'!Maxi_hp</f>
        <v>1</v>
      </c>
      <c r="I190" s="380">
        <f>IF(H190,Wh_hp,'2019'!Maxi_hp)</f>
        <v>57.871645194626801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1.6228275661392177E-2</v>
      </c>
      <c r="M190" s="845"/>
      <c r="N190" s="845"/>
      <c r="O190" s="48">
        <f>IF(t&lt;Tnet,'2019'!Resal+('2019'!Salim-'2019'!Resal)*(1-EXP(('2019'!Tnet-t)/('2019'!Tau_j))),Resal+(Salim-Resal)*(1-EXP((Tnet-t)/(Tau_j))))*Salcycl</f>
        <v>3.9659469101525138E-2</v>
      </c>
      <c r="P190" s="169">
        <f>(INDEX(Models!$BJ190:$BT190,,T190)*(1-R190)+INDEX(Models!$BJ190:$BT190,,T190+1)*R190-ERP_i)*Q190*Ramure*Pc/MaxiM</f>
        <v>3.2424588316924054E-5</v>
      </c>
      <c r="Q190" s="305">
        <f t="shared" si="51"/>
        <v>0.5</v>
      </c>
      <c r="R190" s="177">
        <f t="shared" si="52"/>
        <v>0.32195665545054375</v>
      </c>
      <c r="S190" s="811">
        <f t="shared" si="53"/>
        <v>-1</v>
      </c>
      <c r="T190" s="176">
        <f t="shared" si="54"/>
        <v>5</v>
      </c>
      <c r="U190" s="251">
        <f t="shared" si="55"/>
        <v>-0.67804334454945625</v>
      </c>
      <c r="V190" s="383">
        <f t="shared" si="56"/>
        <v>59.281319030901919</v>
      </c>
      <c r="W190" s="402"/>
      <c r="X190" s="157">
        <f t="shared" si="57"/>
        <v>44006</v>
      </c>
      <c r="Y190" s="385">
        <f t="shared" si="58"/>
        <v>54.673000000000002</v>
      </c>
      <c r="Z190" s="385">
        <f t="shared" si="59"/>
        <v>55.574884546266865</v>
      </c>
      <c r="AA190" s="386">
        <f t="shared" si="60"/>
        <v>57.869977115588519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3.9659469101525138E-2</v>
      </c>
      <c r="AD190" s="231">
        <f>(INDEX(Models!$BJ190:$BT190,,AH190)*(1-AF190)+INDEX(Models!$BJ190:$BT190,,AH190+1)*AF190-ERP_i)*AE190*Ramure*Pc/MaxiM</f>
        <v>3.2424588316924054E-5</v>
      </c>
      <c r="AE190" s="305">
        <f t="shared" si="62"/>
        <v>0.5</v>
      </c>
      <c r="AF190" s="177">
        <f t="shared" si="63"/>
        <v>0.32195665545054375</v>
      </c>
      <c r="AG190" s="811">
        <f t="shared" si="71"/>
        <v>-1</v>
      </c>
      <c r="AH190" s="176">
        <f t="shared" si="64"/>
        <v>5</v>
      </c>
      <c r="AI190" s="225">
        <f t="shared" si="65"/>
        <v>-0.67804334454945625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7">
        <v>51.091999999999999</v>
      </c>
      <c r="C191" s="390"/>
      <c r="D191" s="393">
        <f t="shared" si="48"/>
        <v>51.935949983503242</v>
      </c>
      <c r="E191" s="385">
        <f t="shared" si="72"/>
        <v>54.085661383183066</v>
      </c>
      <c r="F191" s="385">
        <f t="shared" si="49"/>
        <v>54.087081256022664</v>
      </c>
      <c r="G191" s="110">
        <f t="shared" si="73"/>
        <v>0.86302321993627706</v>
      </c>
      <c r="H191" s="414" t="b">
        <f>Wh_hp&gt;='2019'!Maxi_hp</f>
        <v>0</v>
      </c>
      <c r="I191" s="380">
        <f>IF(H191,Wh_hp,'2019'!Maxi_hp)</f>
        <v>61.557220620707511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1.6249822786938761E-2</v>
      </c>
      <c r="M191" s="845"/>
      <c r="N191" s="845"/>
      <c r="O191" s="48">
        <f>IF(t&lt;Tnet,'2019'!Resal+('2019'!Salim-'2019'!Resal)*(1-EXP(('2019'!Tnet-t)/('2019'!Tau_j))),Resal+(Salim-Resal)*(1-EXP((Tnet-t)/(Tau_j))))*Salcycl</f>
        <v>3.9746419747919287E-2</v>
      </c>
      <c r="P191" s="169">
        <f>(INDEX(Models!$BJ191:$BT191,,T191)*(1-R191)+INDEX(Models!$BJ191:$BT191,,T191+1)*R191-ERP_i)*Q191*Ramure*Pc/MaxiM</f>
        <v>3.2637988730836387E-5</v>
      </c>
      <c r="Q191" s="305">
        <f t="shared" si="51"/>
        <v>0.5</v>
      </c>
      <c r="R191" s="177">
        <f t="shared" si="52"/>
        <v>0.32661376779137596</v>
      </c>
      <c r="S191" s="811">
        <f t="shared" si="53"/>
        <v>-1</v>
      </c>
      <c r="T191" s="176">
        <f t="shared" si="54"/>
        <v>5</v>
      </c>
      <c r="U191" s="251">
        <f t="shared" si="55"/>
        <v>-0.67338623220862404</v>
      </c>
      <c r="V191" s="383">
        <f t="shared" si="56"/>
        <v>59.200810034088846</v>
      </c>
      <c r="W191" s="402"/>
      <c r="X191" s="157">
        <f t="shared" si="57"/>
        <v>44007</v>
      </c>
      <c r="Y191" s="385">
        <f t="shared" si="58"/>
        <v>51.091999999999999</v>
      </c>
      <c r="Z191" s="385">
        <f t="shared" si="59"/>
        <v>51.935949983503242</v>
      </c>
      <c r="AA191" s="386">
        <f t="shared" si="60"/>
        <v>54.085661383183066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3.9746419747919287E-2</v>
      </c>
      <c r="AD191" s="231">
        <f>(INDEX(Models!$BJ191:$BT191,,AH191)*(1-AF191)+INDEX(Models!$BJ191:$BT191,,AH191+1)*AF191-ERP_i)*AE191*Ramure*Pc/MaxiM</f>
        <v>3.2637988730836387E-5</v>
      </c>
      <c r="AE191" s="305">
        <f t="shared" si="62"/>
        <v>0.5</v>
      </c>
      <c r="AF191" s="177">
        <f t="shared" si="63"/>
        <v>0.32661376779137596</v>
      </c>
      <c r="AG191" s="811">
        <f t="shared" si="71"/>
        <v>-1</v>
      </c>
      <c r="AH191" s="176">
        <f t="shared" si="64"/>
        <v>5</v>
      </c>
      <c r="AI191" s="225">
        <f t="shared" si="65"/>
        <v>-0.67338623220862404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7">
        <v>48.33</v>
      </c>
      <c r="C192" s="390"/>
      <c r="D192" s="393">
        <f t="shared" si="48"/>
        <v>49.129402661092065</v>
      </c>
      <c r="E192" s="385">
        <f t="shared" si="72"/>
        <v>51.167543858776462</v>
      </c>
      <c r="F192" s="385">
        <f t="shared" si="49"/>
        <v>51.168787766988729</v>
      </c>
      <c r="G192" s="110">
        <f t="shared" si="73"/>
        <v>0.81750407194984576</v>
      </c>
      <c r="H192" s="414" t="b">
        <f>Wh_hp&gt;='2019'!Maxi_hp</f>
        <v>0</v>
      </c>
      <c r="I192" s="380">
        <f>IF(H192,Wh_hp,'2019'!Maxi_hp)</f>
        <v>61.321800192772599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1.6271369440547967E-2</v>
      </c>
      <c r="M192" s="845"/>
      <c r="N192" s="845"/>
      <c r="O192" s="48">
        <f>IF(t&lt;Tnet,'2019'!Resal+('2019'!Salim-'2019'!Resal)*(1-EXP(('2019'!Tnet-t)/('2019'!Tau_j))),Resal+(Salim-Resal)*(1-EXP((Tnet-t)/(Tau_j))))*Salcycl</f>
        <v>3.9832695571820072E-2</v>
      </c>
      <c r="P192" s="169">
        <f>(INDEX(Models!$BJ192:$BT192,,T192)*(1-R192)+INDEX(Models!$BJ192:$BT192,,T192+1)*R192-ERP_i)*Q192*Ramure*Pc/MaxiM</f>
        <v>3.2882255089423239E-5</v>
      </c>
      <c r="Q192" s="305">
        <f t="shared" si="51"/>
        <v>0.5</v>
      </c>
      <c r="R192" s="177">
        <f t="shared" si="52"/>
        <v>0.33121053320909311</v>
      </c>
      <c r="S192" s="811">
        <f t="shared" si="53"/>
        <v>-1</v>
      </c>
      <c r="T192" s="176">
        <f t="shared" si="54"/>
        <v>5</v>
      </c>
      <c r="U192" s="251">
        <f t="shared" si="55"/>
        <v>-0.66878946679090689</v>
      </c>
      <c r="V192" s="383">
        <f t="shared" si="56"/>
        <v>59.118464783701711</v>
      </c>
      <c r="W192" s="402"/>
      <c r="X192" s="157">
        <f t="shared" si="57"/>
        <v>44008</v>
      </c>
      <c r="Y192" s="385">
        <f t="shared" si="58"/>
        <v>48.33</v>
      </c>
      <c r="Z192" s="385">
        <f t="shared" si="59"/>
        <v>49.129402661092065</v>
      </c>
      <c r="AA192" s="386">
        <f t="shared" si="60"/>
        <v>51.167543858776462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3.9832695571820072E-2</v>
      </c>
      <c r="AD192" s="231">
        <f>(INDEX(Models!$BJ192:$BT192,,AH192)*(1-AF192)+INDEX(Models!$BJ192:$BT192,,AH192+1)*AF192-ERP_i)*AE192*Ramure*Pc/MaxiM</f>
        <v>3.2882255089423239E-5</v>
      </c>
      <c r="AE192" s="305">
        <f t="shared" si="62"/>
        <v>0.5</v>
      </c>
      <c r="AF192" s="177">
        <f t="shared" si="63"/>
        <v>0.33121053320909311</v>
      </c>
      <c r="AG192" s="811">
        <f t="shared" si="71"/>
        <v>-1</v>
      </c>
      <c r="AH192" s="176">
        <f t="shared" si="64"/>
        <v>5</v>
      </c>
      <c r="AI192" s="225">
        <f t="shared" si="65"/>
        <v>-0.66878946679090689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7">
        <v>42.011000000000003</v>
      </c>
      <c r="C193" s="390"/>
      <c r="D193" s="393">
        <f t="shared" si="48"/>
        <v>42.706818591810261</v>
      </c>
      <c r="E193" s="385">
        <f t="shared" si="72"/>
        <v>44.482483685803132</v>
      </c>
      <c r="F193" s="385">
        <f t="shared" si="49"/>
        <v>44.483351219096079</v>
      </c>
      <c r="G193" s="110">
        <f t="shared" si="73"/>
        <v>0.71162761313076572</v>
      </c>
      <c r="H193" s="414" t="b">
        <f>Wh_hp&gt;='2019'!Maxi_hp</f>
        <v>0</v>
      </c>
      <c r="I193" s="380">
        <f>IF(H193,Wh_hp,'2019'!Maxi_hp)</f>
        <v>58.28331019002183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1.6292915622230231E-2</v>
      </c>
      <c r="M193" s="845"/>
      <c r="N193" s="845"/>
      <c r="O193" s="48">
        <f>IF(t&lt;Tnet,'2019'!Resal+('2019'!Salim-'2019'!Resal)*(1-EXP(('2019'!Tnet-t)/('2019'!Tau_j))),Resal+(Salim-Resal)*(1-EXP((Tnet-t)/(Tau_j))))*Salcycl</f>
        <v>3.9918299223916417E-2</v>
      </c>
      <c r="P193" s="169">
        <f>(INDEX(Models!$BJ193:$BT193,,T193)*(1-R193)+INDEX(Models!$BJ193:$BT193,,T193+1)*R193-ERP_i)*Q193*Ramure*Pc/MaxiM</f>
        <v>3.3164383913819222E-5</v>
      </c>
      <c r="Q193" s="305">
        <f t="shared" si="51"/>
        <v>0.5</v>
      </c>
      <c r="R193" s="177">
        <f t="shared" si="52"/>
        <v>0.33574431273992267</v>
      </c>
      <c r="S193" s="811">
        <f t="shared" si="53"/>
        <v>-1</v>
      </c>
      <c r="T193" s="176">
        <f t="shared" si="54"/>
        <v>5</v>
      </c>
      <c r="U193" s="251">
        <f t="shared" si="55"/>
        <v>-0.66425568726007733</v>
      </c>
      <c r="V193" s="383">
        <f t="shared" si="56"/>
        <v>59.034283185690235</v>
      </c>
      <c r="W193" s="402"/>
      <c r="X193" s="157">
        <f t="shared" si="57"/>
        <v>44009</v>
      </c>
      <c r="Y193" s="385">
        <f t="shared" si="58"/>
        <v>42.011000000000003</v>
      </c>
      <c r="Z193" s="385">
        <f t="shared" si="59"/>
        <v>42.706818591810261</v>
      </c>
      <c r="AA193" s="386">
        <f t="shared" si="60"/>
        <v>44.482483685803132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3.9918299223916417E-2</v>
      </c>
      <c r="AD193" s="231">
        <f>(INDEX(Models!$BJ193:$BT193,,AH193)*(1-AF193)+INDEX(Models!$BJ193:$BT193,,AH193+1)*AF193-ERP_i)*AE193*Ramure*Pc/MaxiM</f>
        <v>3.3164383913819222E-5</v>
      </c>
      <c r="AE193" s="305">
        <f t="shared" si="62"/>
        <v>0.5</v>
      </c>
      <c r="AF193" s="177">
        <f t="shared" si="63"/>
        <v>0.33574431273992267</v>
      </c>
      <c r="AG193" s="811">
        <f t="shared" si="71"/>
        <v>-1</v>
      </c>
      <c r="AH193" s="176">
        <f t="shared" si="64"/>
        <v>5</v>
      </c>
      <c r="AI193" s="225">
        <f t="shared" si="65"/>
        <v>-0.66425568726007733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7">
        <v>48.124000000000002</v>
      </c>
      <c r="C194" s="390"/>
      <c r="D194" s="393">
        <f t="shared" si="48"/>
        <v>48.922138334130729</v>
      </c>
      <c r="E194" s="385">
        <f t="shared" si="72"/>
        <v>50.960732495981901</v>
      </c>
      <c r="F194" s="385">
        <f t="shared" si="49"/>
        <v>50.961991342047789</v>
      </c>
      <c r="G194" s="110">
        <f t="shared" si="73"/>
        <v>0.81636969242607305</v>
      </c>
      <c r="H194" s="414" t="b">
        <f>Wh_hp&gt;='2019'!Maxi_hp</f>
        <v>0</v>
      </c>
      <c r="I194" s="380">
        <f>IF(H194,Wh_hp,'2019'!Maxi_hp)</f>
        <v>58.263031779023748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1.6314461331995767E-2</v>
      </c>
      <c r="M194" s="845"/>
      <c r="N194" s="845"/>
      <c r="O194" s="48">
        <f>IF(t&lt;Tnet,'2019'!Resal+('2019'!Salim-'2019'!Resal)*(1-EXP(('2019'!Tnet-t)/('2019'!Tau_j))),Resal+(Salim-Resal)*(1-EXP((Tnet-t)/(Tau_j))))*Salcycl</f>
        <v>4.0003235079321332E-2</v>
      </c>
      <c r="P194" s="169">
        <f>(INDEX(Models!$BJ194:$BT194,,T194)*(1-R194)+INDEX(Models!$BJ194:$BT194,,T194+1)*R194-ERP_i)*Q194*Ramure*Pc/MaxiM</f>
        <v>3.3485555037231483E-5</v>
      </c>
      <c r="Q194" s="305">
        <f t="shared" si="51"/>
        <v>0.5</v>
      </c>
      <c r="R194" s="177">
        <f t="shared" si="52"/>
        <v>0.34021264407169494</v>
      </c>
      <c r="S194" s="811">
        <f t="shared" si="53"/>
        <v>-1</v>
      </c>
      <c r="T194" s="176">
        <f t="shared" si="54"/>
        <v>5</v>
      </c>
      <c r="U194" s="251">
        <f t="shared" si="55"/>
        <v>-0.65978735592830506</v>
      </c>
      <c r="V194" s="383">
        <f t="shared" si="56"/>
        <v>58.948265375515682</v>
      </c>
      <c r="W194" s="402"/>
      <c r="X194" s="157">
        <f t="shared" si="57"/>
        <v>44010</v>
      </c>
      <c r="Y194" s="385">
        <f t="shared" si="58"/>
        <v>48.124000000000002</v>
      </c>
      <c r="Z194" s="385">
        <f t="shared" si="59"/>
        <v>48.922138334130729</v>
      </c>
      <c r="AA194" s="386">
        <f t="shared" si="60"/>
        <v>50.960732495981901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4.0003235079321332E-2</v>
      </c>
      <c r="AD194" s="231">
        <f>(INDEX(Models!$BJ194:$BT194,,AH194)*(1-AF194)+INDEX(Models!$BJ194:$BT194,,AH194+1)*AF194-ERP_i)*AE194*Ramure*Pc/MaxiM</f>
        <v>3.3485555037231483E-5</v>
      </c>
      <c r="AE194" s="305">
        <f t="shared" si="62"/>
        <v>0.5</v>
      </c>
      <c r="AF194" s="177">
        <f t="shared" si="63"/>
        <v>0.34021264407169494</v>
      </c>
      <c r="AG194" s="811">
        <f t="shared" si="71"/>
        <v>-1</v>
      </c>
      <c r="AH194" s="176">
        <f t="shared" si="64"/>
        <v>5</v>
      </c>
      <c r="AI194" s="225">
        <f t="shared" si="65"/>
        <v>-0.65978735592830506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7">
        <v>25.640999999999998</v>
      </c>
      <c r="C195" s="390"/>
      <c r="D195" s="393">
        <f t="shared" si="48"/>
        <v>26.066827871361845</v>
      </c>
      <c r="E195" s="385">
        <f t="shared" si="72"/>
        <v>27.155421062328013</v>
      </c>
      <c r="F195" s="385">
        <f t="shared" si="49"/>
        <v>27.155599142972463</v>
      </c>
      <c r="G195" s="110">
        <f t="shared" si="73"/>
        <v>0.43561197877945995</v>
      </c>
      <c r="H195" s="414" t="b">
        <f>Wh_hp&gt;='2019'!Maxi_hp</f>
        <v>0</v>
      </c>
      <c r="I195" s="380">
        <f>IF(H195,Wh_hp,'2019'!Maxi_hp)</f>
        <v>52.467807817786799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1.6336006569855011E-2</v>
      </c>
      <c r="M195" s="845"/>
      <c r="N195" s="845"/>
      <c r="O195" s="48">
        <f>IF(t&lt;Tnet,'2019'!Resal+('2019'!Salim-'2019'!Resal)*(1-EXP(('2019'!Tnet-t)/('2019'!Tau_j))),Resal+(Salim-Resal)*(1-EXP((Tnet-t)/(Tau_j))))*Salcycl</f>
        <v>4.0087509174230512E-2</v>
      </c>
      <c r="P195" s="169">
        <f>(INDEX(Models!$BJ195:$BT195,,T195)*(1-R195)+INDEX(Models!$BJ195:$BT195,,T195+1)*R195-ERP_i)*Q195*Ramure*Pc/MaxiM</f>
        <v>3.3846927209039942E-5</v>
      </c>
      <c r="Q195" s="305">
        <f t="shared" si="51"/>
        <v>0.5</v>
      </c>
      <c r="R195" s="177">
        <f t="shared" si="52"/>
        <v>0.34461324431725049</v>
      </c>
      <c r="S195" s="811">
        <f t="shared" si="53"/>
        <v>-1</v>
      </c>
      <c r="T195" s="176">
        <f t="shared" si="54"/>
        <v>5</v>
      </c>
      <c r="U195" s="251">
        <f t="shared" si="55"/>
        <v>-0.65538675568274951</v>
      </c>
      <c r="V195" s="383">
        <f t="shared" si="56"/>
        <v>58.860411383584129</v>
      </c>
      <c r="W195" s="402"/>
      <c r="X195" s="157">
        <f t="shared" si="57"/>
        <v>44011</v>
      </c>
      <c r="Y195" s="385">
        <f t="shared" si="58"/>
        <v>25.640999999999998</v>
      </c>
      <c r="Z195" s="385">
        <f t="shared" si="59"/>
        <v>26.066827871361845</v>
      </c>
      <c r="AA195" s="386">
        <f t="shared" si="60"/>
        <v>27.155421062328013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4.0087509174230512E-2</v>
      </c>
      <c r="AD195" s="231">
        <f>(INDEX(Models!$BJ195:$BT195,,AH195)*(1-AF195)+INDEX(Models!$BJ195:$BT195,,AH195+1)*AF195-ERP_i)*AE195*Ramure*Pc/MaxiM</f>
        <v>3.3846927209039942E-5</v>
      </c>
      <c r="AE195" s="305">
        <f t="shared" si="62"/>
        <v>0.5</v>
      </c>
      <c r="AF195" s="177">
        <f t="shared" si="63"/>
        <v>0.34461324431725049</v>
      </c>
      <c r="AG195" s="811">
        <f t="shared" si="71"/>
        <v>-1</v>
      </c>
      <c r="AH195" s="176">
        <f t="shared" si="64"/>
        <v>5</v>
      </c>
      <c r="AI195" s="225">
        <f t="shared" si="65"/>
        <v>-0.65538675568274951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7">
        <v>57.09</v>
      </c>
      <c r="C196" s="390"/>
      <c r="D196" s="393">
        <f t="shared" si="48"/>
        <v>58.039382173400575</v>
      </c>
      <c r="E196" s="385">
        <f t="shared" si="72"/>
        <v>60.468468843842082</v>
      </c>
      <c r="F196" s="385">
        <f t="shared" si="49"/>
        <v>60.470455322225597</v>
      </c>
      <c r="G196" s="110">
        <f t="shared" si="73"/>
        <v>0.97140070781075027</v>
      </c>
      <c r="H196" s="414" t="b">
        <f>Wh_hp&gt;='2019'!Maxi_hp</f>
        <v>1</v>
      </c>
      <c r="I196" s="380">
        <f>IF(H196,Wh_hp,'2019'!Maxi_hp)</f>
        <v>60.470455322225597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1.6357551335818177E-2</v>
      </c>
      <c r="M196" s="845"/>
      <c r="N196" s="845"/>
      <c r="O196" s="48">
        <f>IF(t&lt;Tnet,'2019'!Resal+('2019'!Salim-'2019'!Resal)*(1-EXP(('2019'!Tnet-t)/('2019'!Tau_j))),Resal+(Salim-Resal)*(1-EXP((Tnet-t)/(Tau_j))))*Salcycl</f>
        <v>4.0171129133673732E-2</v>
      </c>
      <c r="P196" s="169">
        <f>(INDEX(Models!$BJ196:$BT196,,T196)*(1-R196)+INDEX(Models!$BJ196:$BT196,,T196+1)*R196-ERP_i)*Q196*Ramure*Pc/MaxiM</f>
        <v>3.4249636833978289E-5</v>
      </c>
      <c r="Q196" s="305">
        <f t="shared" si="51"/>
        <v>0.5</v>
      </c>
      <c r="R196" s="177">
        <f t="shared" si="52"/>
        <v>0.34894401183819346</v>
      </c>
      <c r="S196" s="811">
        <f t="shared" si="53"/>
        <v>-1</v>
      </c>
      <c r="T196" s="176">
        <f t="shared" si="54"/>
        <v>5</v>
      </c>
      <c r="U196" s="251">
        <f t="shared" si="55"/>
        <v>-0.65105598816180654</v>
      </c>
      <c r="V196" s="383">
        <f t="shared" si="56"/>
        <v>58.770721140775493</v>
      </c>
      <c r="W196" s="402"/>
      <c r="X196" s="157">
        <f t="shared" si="57"/>
        <v>44012</v>
      </c>
      <c r="Y196" s="385">
        <f t="shared" si="58"/>
        <v>57.09</v>
      </c>
      <c r="Z196" s="385">
        <f t="shared" si="59"/>
        <v>58.039382173400575</v>
      </c>
      <c r="AA196" s="386">
        <f t="shared" si="60"/>
        <v>60.468468843842082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4.0171129133673732E-2</v>
      </c>
      <c r="AD196" s="231">
        <f>(INDEX(Models!$BJ196:$BT196,,AH196)*(1-AF196)+INDEX(Models!$BJ196:$BT196,,AH196+1)*AF196-ERP_i)*AE196*Ramure*Pc/MaxiM</f>
        <v>3.4249636833978289E-5</v>
      </c>
      <c r="AE196" s="305">
        <f t="shared" si="62"/>
        <v>0.5</v>
      </c>
      <c r="AF196" s="177">
        <f t="shared" si="63"/>
        <v>0.34894401183819346</v>
      </c>
      <c r="AG196" s="811">
        <f t="shared" si="71"/>
        <v>-1</v>
      </c>
      <c r="AH196" s="176">
        <f t="shared" si="64"/>
        <v>5</v>
      </c>
      <c r="AI196" s="225">
        <f t="shared" si="65"/>
        <v>-0.65105598816180654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7">
        <v>39.488999999999997</v>
      </c>
      <c r="C197" s="390"/>
      <c r="D197" s="393">
        <f t="shared" si="48"/>
        <v>40.146564417811092</v>
      </c>
      <c r="E197" s="385">
        <f t="shared" si="72"/>
        <v>41.830410100148796</v>
      </c>
      <c r="F197" s="385">
        <f t="shared" si="49"/>
        <v>41.831183374605963</v>
      </c>
      <c r="G197" s="110">
        <f t="shared" si="73"/>
        <v>0.67295333980953931</v>
      </c>
      <c r="H197" s="414" t="b">
        <f>Wh_hp&gt;='2019'!Maxi_hp</f>
        <v>1</v>
      </c>
      <c r="I197" s="380">
        <f>IF(H197,Wh_hp,'2019'!Maxi_hp)</f>
        <v>41.831183374605963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1.6379095629895701E-2</v>
      </c>
      <c r="M197" s="845"/>
      <c r="N197" s="845"/>
      <c r="O197" s="48">
        <f>IF(t&lt;Tnet,'2019'!Resal+('2019'!Salim-'2019'!Resal)*(1-EXP(('2019'!Tnet-t)/('2019'!Tau_j))),Resal+(Salim-Resal)*(1-EXP((Tnet-t)/(Tau_j))))*Salcycl</f>
        <v>4.0254104090930685E-2</v>
      </c>
      <c r="P197" s="169">
        <f>(INDEX(Models!$BJ197:$BT197,,T197)*(1-R197)+INDEX(Models!$BJ197:$BT197,,T197+1)*R197-ERP_i)*Q197*Ramure*Pc/MaxiM</f>
        <v>3.4694797030844946E-5</v>
      </c>
      <c r="Q197" s="305">
        <f t="shared" si="51"/>
        <v>0.5</v>
      </c>
      <c r="R197" s="177">
        <f t="shared" si="52"/>
        <v>0.35320302714585405</v>
      </c>
      <c r="S197" s="811">
        <f t="shared" si="53"/>
        <v>-1</v>
      </c>
      <c r="T197" s="176">
        <f t="shared" si="54"/>
        <v>5</v>
      </c>
      <c r="U197" s="251">
        <f t="shared" si="55"/>
        <v>-0.64679697285414595</v>
      </c>
      <c r="V197" s="383">
        <f t="shared" si="56"/>
        <v>58.679194480704169</v>
      </c>
      <c r="W197" s="402"/>
      <c r="X197" s="157">
        <f t="shared" si="57"/>
        <v>44013</v>
      </c>
      <c r="Y197" s="385">
        <f t="shared" si="58"/>
        <v>39.488999999999997</v>
      </c>
      <c r="Z197" s="385">
        <f t="shared" si="59"/>
        <v>40.146564417811092</v>
      </c>
      <c r="AA197" s="386">
        <f t="shared" si="60"/>
        <v>41.830410100148796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4.0254104090930685E-2</v>
      </c>
      <c r="AD197" s="231">
        <f>(INDEX(Models!$BJ197:$BT197,,AH197)*(1-AF197)+INDEX(Models!$BJ197:$BT197,,AH197+1)*AF197-ERP_i)*AE197*Ramure*Pc/MaxiM</f>
        <v>3.4694797030844946E-5</v>
      </c>
      <c r="AE197" s="305">
        <f t="shared" si="62"/>
        <v>0.5</v>
      </c>
      <c r="AF197" s="177">
        <f t="shared" si="63"/>
        <v>0.35320302714585405</v>
      </c>
      <c r="AG197" s="811">
        <f t="shared" si="71"/>
        <v>-1</v>
      </c>
      <c r="AH197" s="176">
        <f t="shared" si="64"/>
        <v>5</v>
      </c>
      <c r="AI197" s="225">
        <f t="shared" si="65"/>
        <v>-0.64679697285414595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7">
        <v>18.920000000000002</v>
      </c>
      <c r="C198" s="390"/>
      <c r="D198" s="393">
        <f t="shared" si="48"/>
        <v>19.235474074994158</v>
      </c>
      <c r="E198" s="385">
        <f t="shared" si="72"/>
        <v>20.043976836195966</v>
      </c>
      <c r="F198" s="385">
        <f t="shared" si="49"/>
        <v>20.044000188118922</v>
      </c>
      <c r="G198" s="110">
        <f t="shared" si="73"/>
        <v>0.32293399272157725</v>
      </c>
      <c r="H198" s="414" t="b">
        <f>Wh_hp&gt;='2019'!Maxi_hp</f>
        <v>0</v>
      </c>
      <c r="I198" s="380">
        <f>IF(H198,Wh_hp,'2019'!Maxi_hp)</f>
        <v>53.763656051916264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1.6400639452097909E-2</v>
      </c>
      <c r="M198" s="845"/>
      <c r="N198" s="845"/>
      <c r="O198" s="48">
        <f>IF(t&lt;Tnet,'2019'!Resal+('2019'!Salim-'2019'!Resal)*(1-EXP(('2019'!Tnet-t)/('2019'!Tau_j))),Resal+(Salim-Resal)*(1-EXP((Tnet-t)/(Tau_j))))*Salcycl</f>
        <v>4.0336444599246991E-2</v>
      </c>
      <c r="P198" s="169">
        <f>(INDEX(Models!$BJ198:$BT198,,T198)*(1-R198)+INDEX(Models!$BJ198:$BT198,,T198+1)*R198-ERP_i)*Q198*Ramure*Pc/MaxiM</f>
        <v>3.5542374284684347E-5</v>
      </c>
      <c r="Q198" s="305">
        <f t="shared" si="51"/>
        <v>0.5</v>
      </c>
      <c r="R198" s="177">
        <f t="shared" si="52"/>
        <v>0.35738855291315053</v>
      </c>
      <c r="S198" s="811">
        <f t="shared" si="53"/>
        <v>-1</v>
      </c>
      <c r="T198" s="176">
        <f t="shared" si="54"/>
        <v>5</v>
      </c>
      <c r="U198" s="251">
        <f t="shared" si="55"/>
        <v>-0.64261144708684947</v>
      </c>
      <c r="V198" s="383">
        <f t="shared" si="56"/>
        <v>58.585810123302721</v>
      </c>
      <c r="W198" s="402"/>
      <c r="X198" s="157">
        <f t="shared" si="57"/>
        <v>44014</v>
      </c>
      <c r="Y198" s="385">
        <f t="shared" si="58"/>
        <v>18.920000000000002</v>
      </c>
      <c r="Z198" s="385">
        <f t="shared" si="59"/>
        <v>19.235474074994158</v>
      </c>
      <c r="AA198" s="386">
        <f t="shared" si="60"/>
        <v>20.043976836195966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4.0336444599246991E-2</v>
      </c>
      <c r="AD198" s="231">
        <f>(INDEX(Models!$BJ198:$BT198,,AH198)*(1-AF198)+INDEX(Models!$BJ198:$BT198,,AH198+1)*AF198-ERP_i)*AE198*Ramure*Pc/MaxiM</f>
        <v>3.5542374284684347E-5</v>
      </c>
      <c r="AE198" s="305">
        <f t="shared" si="62"/>
        <v>0.5</v>
      </c>
      <c r="AF198" s="177">
        <f t="shared" si="63"/>
        <v>0.35738855291315053</v>
      </c>
      <c r="AG198" s="811">
        <f t="shared" si="71"/>
        <v>-1</v>
      </c>
      <c r="AH198" s="176">
        <f t="shared" si="64"/>
        <v>5</v>
      </c>
      <c r="AI198" s="225">
        <f t="shared" si="65"/>
        <v>-0.64261144708684947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7">
        <v>44.515999999999998</v>
      </c>
      <c r="C199" s="390"/>
      <c r="D199" s="393">
        <f t="shared" si="48"/>
        <v>45.259255771786442</v>
      </c>
      <c r="E199" s="385">
        <f t="shared" si="72"/>
        <v>47.165602770707096</v>
      </c>
      <c r="F199" s="385">
        <f t="shared" si="49"/>
        <v>47.166746277829766</v>
      </c>
      <c r="G199" s="110">
        <f t="shared" si="73"/>
        <v>0.76107042520773727</v>
      </c>
      <c r="H199" s="414" t="b">
        <f>Wh_hp&gt;='2019'!Maxi_hp</f>
        <v>0</v>
      </c>
      <c r="I199" s="380">
        <f>IF(H199,Wh_hp,'2019'!Maxi_hp)</f>
        <v>58.995697367701958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1.6422182802435126E-2</v>
      </c>
      <c r="M199" s="845"/>
      <c r="N199" s="845"/>
      <c r="O199" s="48">
        <f>IF(t&lt;Tnet,'2019'!Resal+('2019'!Salim-'2019'!Resal)*(1-EXP(('2019'!Tnet-t)/('2019'!Tau_j))),Resal+(Salim-Resal)*(1-EXP((Tnet-t)/(Tau_j))))*Salcycl</f>
        <v>4.041816253654705E-2</v>
      </c>
      <c r="P199" s="169">
        <f>(INDEX(Models!$BJ199:$BT199,,T199)*(1-R199)+INDEX(Models!$BJ199:$BT199,,T199+1)*R199-ERP_i)*Q199*Ramure*Pc/MaxiM</f>
        <v>3.6806517166650291E-5</v>
      </c>
      <c r="Q199" s="305">
        <f t="shared" si="51"/>
        <v>0.5</v>
      </c>
      <c r="R199" s="177">
        <f t="shared" si="52"/>
        <v>0.36149903313710763</v>
      </c>
      <c r="S199" s="811">
        <f t="shared" si="53"/>
        <v>-1</v>
      </c>
      <c r="T199" s="176">
        <f t="shared" si="54"/>
        <v>5</v>
      </c>
      <c r="U199" s="251">
        <f t="shared" si="55"/>
        <v>-0.63850096686289237</v>
      </c>
      <c r="V199" s="383">
        <f t="shared" si="56"/>
        <v>58.490567069398175</v>
      </c>
      <c r="W199" s="402"/>
      <c r="X199" s="157">
        <f t="shared" si="57"/>
        <v>44015</v>
      </c>
      <c r="Y199" s="385">
        <f t="shared" si="58"/>
        <v>44.515999999999998</v>
      </c>
      <c r="Z199" s="385">
        <f t="shared" si="59"/>
        <v>45.259255771786442</v>
      </c>
      <c r="AA199" s="386">
        <f t="shared" si="60"/>
        <v>47.165602770707096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4.041816253654705E-2</v>
      </c>
      <c r="AD199" s="231">
        <f>(INDEX(Models!$BJ199:$BT199,,AH199)*(1-AF199)+INDEX(Models!$BJ199:$BT199,,AH199+1)*AF199-ERP_i)*AE199*Ramure*Pc/MaxiM</f>
        <v>3.6806517166650291E-5</v>
      </c>
      <c r="AE199" s="305">
        <f t="shared" si="62"/>
        <v>0.5</v>
      </c>
      <c r="AF199" s="177">
        <f t="shared" si="63"/>
        <v>0.36149903313710763</v>
      </c>
      <c r="AG199" s="811">
        <f t="shared" si="71"/>
        <v>-1</v>
      </c>
      <c r="AH199" s="176">
        <f t="shared" si="64"/>
        <v>5</v>
      </c>
      <c r="AI199" s="225">
        <f t="shared" si="65"/>
        <v>-0.63850096686289237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7">
        <v>57.869</v>
      </c>
      <c r="C200" s="390"/>
      <c r="D200" s="393">
        <f t="shared" si="48"/>
        <v>58.836491120005114</v>
      </c>
      <c r="E200" s="385">
        <f t="shared" si="72"/>
        <v>61.319902467988413</v>
      </c>
      <c r="F200" s="385">
        <f t="shared" si="49"/>
        <v>61.322232788721351</v>
      </c>
      <c r="G200" s="110">
        <f t="shared" si="73"/>
        <v>0.99101794691406775</v>
      </c>
      <c r="H200" s="414" t="b">
        <f>Wh_hp&gt;='2019'!Maxi_hp</f>
        <v>1</v>
      </c>
      <c r="I200" s="380">
        <f>IF(H200,Wh_hp,'2019'!Maxi_hp)</f>
        <v>61.322232788721351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1.6443725680917676E-2</v>
      </c>
      <c r="M200" s="845"/>
      <c r="N200" s="845"/>
      <c r="O200" s="48">
        <f>IF(t&lt;Tnet,'2019'!Resal+('2019'!Salim-'2019'!Resal)*(1-EXP(('2019'!Tnet-t)/('2019'!Tau_j))),Resal+(Salim-Resal)*(1-EXP((Tnet-t)/(Tau_j))))*Salcycl</f>
        <v>4.0499271003892147E-2</v>
      </c>
      <c r="P200" s="169">
        <f>(INDEX(Models!$BJ200:$BT200,,T200)*(1-R200)+INDEX(Models!$BJ200:$BT200,,T200+1)*R200-ERP_i)*Q200*Ramure*Pc/MaxiM</f>
        <v>3.8495161425612294E-5</v>
      </c>
      <c r="Q200" s="305">
        <f t="shared" si="51"/>
        <v>0.5</v>
      </c>
      <c r="R200" s="177">
        <f t="shared" si="52"/>
        <v>0.36553309149708146</v>
      </c>
      <c r="S200" s="811">
        <f t="shared" si="53"/>
        <v>-1</v>
      </c>
      <c r="T200" s="176">
        <f t="shared" si="54"/>
        <v>5</v>
      </c>
      <c r="U200" s="251">
        <f t="shared" si="55"/>
        <v>-0.63446690850291854</v>
      </c>
      <c r="V200" s="383">
        <f t="shared" si="56"/>
        <v>58.393464615074905</v>
      </c>
      <c r="W200" s="402"/>
      <c r="X200" s="157">
        <f t="shared" si="57"/>
        <v>44016</v>
      </c>
      <c r="Y200" s="385">
        <f t="shared" si="58"/>
        <v>57.869</v>
      </c>
      <c r="Z200" s="385">
        <f t="shared" si="59"/>
        <v>58.836491120005114</v>
      </c>
      <c r="AA200" s="386">
        <f t="shared" si="60"/>
        <v>61.319902467988413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4.0499271003892147E-2</v>
      </c>
      <c r="AD200" s="231">
        <f>(INDEX(Models!$BJ200:$BT200,,AH200)*(1-AF200)+INDEX(Models!$BJ200:$BT200,,AH200+1)*AF200-ERP_i)*AE200*Ramure*Pc/MaxiM</f>
        <v>3.8495161425612294E-5</v>
      </c>
      <c r="AE200" s="305">
        <f t="shared" si="62"/>
        <v>0.5</v>
      </c>
      <c r="AF200" s="177">
        <f t="shared" si="63"/>
        <v>0.36553309149708146</v>
      </c>
      <c r="AG200" s="811">
        <f t="shared" si="71"/>
        <v>-1</v>
      </c>
      <c r="AH200" s="176">
        <f t="shared" si="64"/>
        <v>5</v>
      </c>
      <c r="AI200" s="225">
        <f t="shared" si="65"/>
        <v>-0.63446690850291854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7">
        <v>57.311</v>
      </c>
      <c r="C201" s="390"/>
      <c r="D201" s="393">
        <f t="shared" si="48"/>
        <v>58.270438389665252</v>
      </c>
      <c r="E201" s="385">
        <f t="shared" si="72"/>
        <v>60.735053765986741</v>
      </c>
      <c r="F201" s="385">
        <f t="shared" si="49"/>
        <v>60.73746121896113</v>
      </c>
      <c r="G201" s="110">
        <f t="shared" si="73"/>
        <v>0.98312777222037795</v>
      </c>
      <c r="H201" s="414" t="b">
        <f>Wh_hp&gt;='2019'!Maxi_hp</f>
        <v>1</v>
      </c>
      <c r="I201" s="380">
        <f>IF(H201,Wh_hp,'2019'!Maxi_hp)</f>
        <v>60.73746121896113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1.6465268087555995E-2</v>
      </c>
      <c r="M201" s="845"/>
      <c r="N201" s="845"/>
      <c r="O201" s="48">
        <f>IF(t&lt;Tnet,'2019'!Resal+('2019'!Salim-'2019'!Resal)*(1-EXP(('2019'!Tnet-t)/('2019'!Tau_j))),Resal+(Salim-Resal)*(1-EXP((Tnet-t)/(Tau_j))))*Salcycl</f>
        <v>4.0579784218479457E-2</v>
      </c>
      <c r="P201" s="169">
        <f>(INDEX(Models!$BJ201:$BT201,,T201)*(1-R201)+INDEX(Models!$BJ201:$BT201,,T201+1)*R201-ERP_i)*Q201*Ramure*Pc/MaxiM</f>
        <v>4.0615954540394281E-5</v>
      </c>
      <c r="Q201" s="305">
        <f t="shared" si="51"/>
        <v>0.5</v>
      </c>
      <c r="R201" s="177">
        <f t="shared" si="52"/>
        <v>0.36948952895820764</v>
      </c>
      <c r="S201" s="811">
        <f t="shared" si="53"/>
        <v>-1</v>
      </c>
      <c r="T201" s="176">
        <f t="shared" si="54"/>
        <v>5</v>
      </c>
      <c r="U201" s="251">
        <f t="shared" si="55"/>
        <v>-0.63051047104179236</v>
      </c>
      <c r="V201" s="383">
        <f t="shared" si="56"/>
        <v>58.294502011244433</v>
      </c>
      <c r="W201" s="402"/>
      <c r="X201" s="157">
        <f t="shared" si="57"/>
        <v>44017</v>
      </c>
      <c r="Y201" s="385">
        <f t="shared" si="58"/>
        <v>57.311</v>
      </c>
      <c r="Z201" s="385">
        <f t="shared" si="59"/>
        <v>58.270438389665252</v>
      </c>
      <c r="AA201" s="386">
        <f t="shared" si="60"/>
        <v>60.735053765986741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4.0579784218479457E-2</v>
      </c>
      <c r="AD201" s="231">
        <f>(INDEX(Models!$BJ201:$BT201,,AH201)*(1-AF201)+INDEX(Models!$BJ201:$BT201,,AH201+1)*AF201-ERP_i)*AE201*Ramure*Pc/MaxiM</f>
        <v>4.0615954540394281E-5</v>
      </c>
      <c r="AE201" s="305">
        <f t="shared" si="62"/>
        <v>0.5</v>
      </c>
      <c r="AF201" s="177">
        <f t="shared" si="63"/>
        <v>0.36948952895820764</v>
      </c>
      <c r="AG201" s="811">
        <f t="shared" si="71"/>
        <v>-1</v>
      </c>
      <c r="AH201" s="176">
        <f t="shared" si="64"/>
        <v>5</v>
      </c>
      <c r="AI201" s="225">
        <f t="shared" si="65"/>
        <v>-0.63051047104179236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7">
        <v>38.076999999999998</v>
      </c>
      <c r="C202" s="390"/>
      <c r="D202" s="393">
        <f t="shared" si="48"/>
        <v>38.715291658534525</v>
      </c>
      <c r="E202" s="385">
        <f t="shared" si="72"/>
        <v>40.356161792445405</v>
      </c>
      <c r="F202" s="385">
        <f t="shared" si="49"/>
        <v>40.357043766868408</v>
      </c>
      <c r="G202" s="110">
        <f t="shared" si="73"/>
        <v>0.65430110464336111</v>
      </c>
      <c r="H202" s="414" t="b">
        <f>Wh_hp&gt;='2019'!Maxi_hp</f>
        <v>0</v>
      </c>
      <c r="I202" s="380">
        <f>IF(H202,Wh_hp,'2019'!Maxi_hp)</f>
        <v>54.208935934270478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1.6486810022360188E-2</v>
      </c>
      <c r="M202" s="845"/>
      <c r="N202" s="845"/>
      <c r="O202" s="48">
        <f>IF(t&lt;Tnet,'2019'!Resal+('2019'!Salim-'2019'!Resal)*(1-EXP(('2019'!Tnet-t)/('2019'!Tau_j))),Resal+(Salim-Resal)*(1-EXP((Tnet-t)/(Tau_j))))*Salcycl</f>
        <v>4.0659717402016349E-2</v>
      </c>
      <c r="P202" s="169">
        <f>(INDEX(Models!$BJ202:$BT202,,T202)*(1-R202)+INDEX(Models!$BJ202:$BT202,,T202+1)*R202-ERP_i)*Q202*Ramure*Pc/MaxiM</f>
        <v>4.3176265686396103E-5</v>
      </c>
      <c r="Q202" s="305">
        <f t="shared" si="51"/>
        <v>0.5</v>
      </c>
      <c r="R202" s="177">
        <f t="shared" si="52"/>
        <v>0.37336732067324718</v>
      </c>
      <c r="S202" s="811">
        <f t="shared" si="53"/>
        <v>-1</v>
      </c>
      <c r="T202" s="176">
        <f t="shared" si="54"/>
        <v>5</v>
      </c>
      <c r="U202" s="251">
        <f t="shared" si="55"/>
        <v>-0.62663267932675282</v>
      </c>
      <c r="V202" s="383">
        <f t="shared" si="56"/>
        <v>58.193678468621904</v>
      </c>
      <c r="W202" s="402"/>
      <c r="X202" s="157">
        <f t="shared" si="57"/>
        <v>44018</v>
      </c>
      <c r="Y202" s="385">
        <f t="shared" si="58"/>
        <v>38.076999999999998</v>
      </c>
      <c r="Z202" s="385">
        <f t="shared" si="59"/>
        <v>38.715291658534525</v>
      </c>
      <c r="AA202" s="386">
        <f t="shared" si="60"/>
        <v>40.356161792445405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4.0659717402016349E-2</v>
      </c>
      <c r="AD202" s="231">
        <f>(INDEX(Models!$BJ202:$BT202,,AH202)*(1-AF202)+INDEX(Models!$BJ202:$BT202,,AH202+1)*AF202-ERP_i)*AE202*Ramure*Pc/MaxiM</f>
        <v>4.3176265686396103E-5</v>
      </c>
      <c r="AE202" s="305">
        <f t="shared" si="62"/>
        <v>0.5</v>
      </c>
      <c r="AF202" s="177">
        <f t="shared" si="63"/>
        <v>0.37336732067324718</v>
      </c>
      <c r="AG202" s="811">
        <f t="shared" si="71"/>
        <v>-1</v>
      </c>
      <c r="AH202" s="176">
        <f t="shared" si="64"/>
        <v>5</v>
      </c>
      <c r="AI202" s="225">
        <f t="shared" si="65"/>
        <v>-0.62663267932675282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7">
        <v>59.558</v>
      </c>
      <c r="C203" s="390"/>
      <c r="D203" s="393">
        <f t="shared" si="48"/>
        <v>60.557707927615688</v>
      </c>
      <c r="E203" s="385">
        <f t="shared" si="72"/>
        <v>63.129548057055544</v>
      </c>
      <c r="F203" s="385">
        <f t="shared" si="49"/>
        <v>63.132463716134929</v>
      </c>
      <c r="G203" s="110">
        <f t="shared" si="73"/>
        <v>1.0252536021642322</v>
      </c>
      <c r="H203" s="414" t="b">
        <f>Wh_hp&gt;='2019'!Maxi_hp</f>
        <v>1</v>
      </c>
      <c r="I203" s="380">
        <f>IF(H203,Wh_hp,'2019'!Maxi_hp)</f>
        <v>63.132463716134929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1.65083514853408E-2</v>
      </c>
      <c r="M203" s="845"/>
      <c r="N203" s="845"/>
      <c r="O203" s="48">
        <f>IF(t&lt;Tnet,'2019'!Resal+('2019'!Salim-'2019'!Resal)*(1-EXP(('2019'!Tnet-t)/('2019'!Tau_j))),Resal+(Salim-Resal)*(1-EXP((Tnet-t)/(Tau_j))))*Salcycl</f>
        <v>4.0739086665335662E-2</v>
      </c>
      <c r="P203" s="169">
        <f>(INDEX(Models!$BJ203:$BT203,,T203)*(1-R203)+INDEX(Models!$BJ203:$BT203,,T203+1)*R203-ERP_i)*Q203*Ramure*Pc/MaxiM</f>
        <v>4.6183198116397367E-5</v>
      </c>
      <c r="Q203" s="305">
        <f t="shared" si="51"/>
        <v>0.5</v>
      </c>
      <c r="R203" s="177">
        <f t="shared" si="52"/>
        <v>0.37716561223884959</v>
      </c>
      <c r="S203" s="811">
        <f t="shared" si="53"/>
        <v>-1</v>
      </c>
      <c r="T203" s="176">
        <f t="shared" si="54"/>
        <v>5</v>
      </c>
      <c r="U203" s="251">
        <f t="shared" si="55"/>
        <v>-0.62283438776115041</v>
      </c>
      <c r="V203" s="383">
        <f t="shared" si="56"/>
        <v>58.090993169180393</v>
      </c>
      <c r="W203" s="402"/>
      <c r="X203" s="157">
        <f t="shared" si="57"/>
        <v>44019</v>
      </c>
      <c r="Y203" s="385">
        <f t="shared" si="58"/>
        <v>59.558</v>
      </c>
      <c r="Z203" s="385">
        <f t="shared" si="59"/>
        <v>60.557707927615688</v>
      </c>
      <c r="AA203" s="386">
        <f t="shared" si="60"/>
        <v>63.129548057055544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4.0739086665335662E-2</v>
      </c>
      <c r="AD203" s="231">
        <f>(INDEX(Models!$BJ203:$BT203,,AH203)*(1-AF203)+INDEX(Models!$BJ203:$BT203,,AH203+1)*AF203-ERP_i)*AE203*Ramure*Pc/MaxiM</f>
        <v>4.6183198116397367E-5</v>
      </c>
      <c r="AE203" s="305">
        <f t="shared" si="62"/>
        <v>0.5</v>
      </c>
      <c r="AF203" s="177">
        <f t="shared" si="63"/>
        <v>0.37716561223884959</v>
      </c>
      <c r="AG203" s="811">
        <f t="shared" si="71"/>
        <v>-1</v>
      </c>
      <c r="AH203" s="176">
        <f t="shared" si="64"/>
        <v>5</v>
      </c>
      <c r="AI203" s="225">
        <f t="shared" si="65"/>
        <v>-0.62283438776115041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7">
        <v>57.103000000000002</v>
      </c>
      <c r="C204" s="390"/>
      <c r="D204" s="393">
        <f t="shared" si="48"/>
        <v>58.062771367594408</v>
      </c>
      <c r="E204" s="385">
        <f t="shared" si="72"/>
        <v>60.533627457963298</v>
      </c>
      <c r="F204" s="385">
        <f t="shared" si="49"/>
        <v>60.536567302517156</v>
      </c>
      <c r="G204" s="110">
        <f t="shared" si="73"/>
        <v>0.98476356042645741</v>
      </c>
      <c r="H204" s="414" t="b">
        <f>Wh_hp&gt;='2019'!Maxi_hp</f>
        <v>1</v>
      </c>
      <c r="I204" s="380">
        <f>IF(H204,Wh_hp,'2019'!Maxi_hp)</f>
        <v>60.536567302517156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1.6529892476508046E-2</v>
      </c>
      <c r="M204" s="845"/>
      <c r="N204" s="845"/>
      <c r="O204" s="48">
        <f>IF(t&lt;Tnet,'2019'!Resal+('2019'!Salim-'2019'!Resal)*(1-EXP(('2019'!Tnet-t)/('2019'!Tau_j))),Resal+(Salim-Resal)*(1-EXP((Tnet-t)/(Tau_j))))*Salcycl</f>
        <v>4.08179088901411E-2</v>
      </c>
      <c r="P204" s="169">
        <f>(INDEX(Models!$BJ204:$BT204,,T204)*(1-R204)+INDEX(Models!$BJ204:$BT204,,T204+1)*R204-ERP_i)*Q204*Ramure*Pc/MaxiM</f>
        <v>4.9643603735929718E-5</v>
      </c>
      <c r="Q204" s="305">
        <f t="shared" si="51"/>
        <v>0.5</v>
      </c>
      <c r="R204" s="177">
        <f t="shared" si="52"/>
        <v>0.38088371536430166</v>
      </c>
      <c r="S204" s="811">
        <f t="shared" si="53"/>
        <v>-1</v>
      </c>
      <c r="T204" s="176">
        <f t="shared" si="54"/>
        <v>5</v>
      </c>
      <c r="U204" s="251">
        <f t="shared" si="55"/>
        <v>-0.61911628463569834</v>
      </c>
      <c r="V204" s="383">
        <f t="shared" si="56"/>
        <v>57.986445267517027</v>
      </c>
      <c r="W204" s="402"/>
      <c r="X204" s="157">
        <f t="shared" si="57"/>
        <v>44020</v>
      </c>
      <c r="Y204" s="385">
        <f t="shared" si="58"/>
        <v>57.103000000000002</v>
      </c>
      <c r="Z204" s="385">
        <f t="shared" si="59"/>
        <v>58.062771367594408</v>
      </c>
      <c r="AA204" s="386">
        <f t="shared" si="60"/>
        <v>60.533627457963298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4.08179088901411E-2</v>
      </c>
      <c r="AD204" s="231">
        <f>(INDEX(Models!$BJ204:$BT204,,AH204)*(1-AF204)+INDEX(Models!$BJ204:$BT204,,AH204+1)*AF204-ERP_i)*AE204*Ramure*Pc/MaxiM</f>
        <v>4.9643603735929718E-5</v>
      </c>
      <c r="AE204" s="305">
        <f t="shared" si="62"/>
        <v>0.5</v>
      </c>
      <c r="AF204" s="177">
        <f t="shared" si="63"/>
        <v>0.38088371536430166</v>
      </c>
      <c r="AG204" s="811">
        <f t="shared" si="71"/>
        <v>-1</v>
      </c>
      <c r="AH204" s="176">
        <f t="shared" si="64"/>
        <v>5</v>
      </c>
      <c r="AI204" s="225">
        <f t="shared" si="65"/>
        <v>-0.61911628463569834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7">
        <v>53.753</v>
      </c>
      <c r="C205" s="390"/>
      <c r="D205" s="393">
        <f t="shared" si="48"/>
        <v>54.657662640912044</v>
      </c>
      <c r="E205" s="385">
        <f t="shared" si="72"/>
        <v>56.988266267523933</v>
      </c>
      <c r="F205" s="385">
        <f t="shared" si="49"/>
        <v>56.991008014722723</v>
      </c>
      <c r="G205" s="110">
        <f t="shared" si="73"/>
        <v>0.92869521415667022</v>
      </c>
      <c r="H205" s="414" t="b">
        <f>Wh_hp&gt;='2019'!Maxi_hp</f>
        <v>0</v>
      </c>
      <c r="I205" s="380">
        <f>IF(H205,Wh_hp,'2019'!Maxi_hp)</f>
        <v>59.982897259607313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1.6551432995872251E-2</v>
      </c>
      <c r="M205" s="845"/>
      <c r="N205" s="845"/>
      <c r="O205" s="48">
        <f>IF(t&lt;Tnet,'2019'!Resal+('2019'!Salim-'2019'!Resal)*(1-EXP(('2019'!Tnet-t)/('2019'!Tau_j))),Resal+(Salim-Resal)*(1-EXP((Tnet-t)/(Tau_j))))*Salcycl</f>
        <v>4.0896201608786903E-2</v>
      </c>
      <c r="P205" s="169">
        <f>(INDEX(Models!$BJ205:$BT205,,T205)*(1-R205)+INDEX(Models!$BJ205:$BT205,,T205+1)*R205-ERP_i)*Q205*Ramure*Pc/MaxiM</f>
        <v>5.3564302653948192E-5</v>
      </c>
      <c r="Q205" s="305">
        <f t="shared" si="51"/>
        <v>0.5</v>
      </c>
      <c r="R205" s="177">
        <f t="shared" si="52"/>
        <v>0.38452110301213038</v>
      </c>
      <c r="S205" s="811">
        <f t="shared" si="53"/>
        <v>-1</v>
      </c>
      <c r="T205" s="176">
        <f t="shared" si="54"/>
        <v>5</v>
      </c>
      <c r="U205" s="251">
        <f t="shared" si="55"/>
        <v>-0.61547889698786962</v>
      </c>
      <c r="V205" s="383">
        <f t="shared" si="56"/>
        <v>57.879814492744643</v>
      </c>
      <c r="W205" s="402"/>
      <c r="X205" s="157">
        <f t="shared" si="57"/>
        <v>44021</v>
      </c>
      <c r="Y205" s="385">
        <f t="shared" si="58"/>
        <v>53.753</v>
      </c>
      <c r="Z205" s="385">
        <f t="shared" si="59"/>
        <v>54.657662640912044</v>
      </c>
      <c r="AA205" s="386">
        <f t="shared" si="60"/>
        <v>56.988266267523933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4.0896201608786903E-2</v>
      </c>
      <c r="AD205" s="231">
        <f>(INDEX(Models!$BJ205:$BT205,,AH205)*(1-AF205)+INDEX(Models!$BJ205:$BT205,,AH205+1)*AF205-ERP_i)*AE205*Ramure*Pc/MaxiM</f>
        <v>5.3564302653948192E-5</v>
      </c>
      <c r="AE205" s="305">
        <f t="shared" si="62"/>
        <v>0.5</v>
      </c>
      <c r="AF205" s="177">
        <f t="shared" si="63"/>
        <v>0.38452110301213038</v>
      </c>
      <c r="AG205" s="811">
        <f t="shared" si="71"/>
        <v>-1</v>
      </c>
      <c r="AH205" s="176">
        <f t="shared" si="64"/>
        <v>5</v>
      </c>
      <c r="AI205" s="225">
        <f t="shared" si="65"/>
        <v>-0.61547889698786962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7">
        <v>47.039000000000001</v>
      </c>
      <c r="C206" s="390"/>
      <c r="D206" s="393">
        <f t="shared" si="48"/>
        <v>47.831713701801682</v>
      </c>
      <c r="E206" s="385">
        <f t="shared" si="72"/>
        <v>49.875303535134869</v>
      </c>
      <c r="F206" s="385">
        <f t="shared" si="49"/>
        <v>49.877433313545708</v>
      </c>
      <c r="G206" s="110">
        <f t="shared" si="73"/>
        <v>0.81422036591448099</v>
      </c>
      <c r="H206" s="414" t="b">
        <f>Wh_hp&gt;='2019'!Maxi_hp</f>
        <v>0</v>
      </c>
      <c r="I206" s="380">
        <f>IF(H206,Wh_hp,'2019'!Maxi_hp)</f>
        <v>61.452728703103304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1.657297304344385E-2</v>
      </c>
      <c r="M206" s="845"/>
      <c r="N206" s="845"/>
      <c r="O206" s="48">
        <f>IF(t&lt;Tnet,'2019'!Resal+('2019'!Salim-'2019'!Resal)*(1-EXP(('2019'!Tnet-t)/('2019'!Tau_j))),Resal+(Salim-Resal)*(1-EXP((Tnet-t)/(Tau_j))))*Salcycl</f>
        <v>4.097398288300276E-2</v>
      </c>
      <c r="P206" s="169">
        <f>(INDEX(Models!$BJ206:$BT206,,T206)*(1-R206)+INDEX(Models!$BJ206:$BT206,,T206+1)*R206-ERP_i)*Q206*Ramure*Pc/MaxiM</f>
        <v>5.8125738348582696E-5</v>
      </c>
      <c r="Q206" s="305">
        <f t="shared" si="51"/>
        <v>0.5</v>
      </c>
      <c r="R206" s="177">
        <f t="shared" si="52"/>
        <v>0.38807740407049462</v>
      </c>
      <c r="S206" s="811">
        <f t="shared" si="53"/>
        <v>-1</v>
      </c>
      <c r="T206" s="176">
        <f t="shared" si="54"/>
        <v>5</v>
      </c>
      <c r="U206" s="251">
        <f t="shared" si="55"/>
        <v>-0.61192259592950538</v>
      </c>
      <c r="V206" s="383">
        <f t="shared" si="56"/>
        <v>57.770938112317737</v>
      </c>
      <c r="W206" s="402"/>
      <c r="X206" s="157">
        <f t="shared" si="57"/>
        <v>44022</v>
      </c>
      <c r="Y206" s="385">
        <f t="shared" si="58"/>
        <v>47.039000000000001</v>
      </c>
      <c r="Z206" s="385">
        <f t="shared" si="59"/>
        <v>47.831713701801682</v>
      </c>
      <c r="AA206" s="386">
        <f t="shared" si="60"/>
        <v>49.875303535134869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4.097398288300276E-2</v>
      </c>
      <c r="AD206" s="231">
        <f>(INDEX(Models!$BJ206:$BT206,,AH206)*(1-AF206)+INDEX(Models!$BJ206:$BT206,,AH206+1)*AF206-ERP_i)*AE206*Ramure*Pc/MaxiM</f>
        <v>5.8125738348582696E-5</v>
      </c>
      <c r="AE206" s="305">
        <f t="shared" si="62"/>
        <v>0.5</v>
      </c>
      <c r="AF206" s="177">
        <f t="shared" si="63"/>
        <v>0.38807740407049462</v>
      </c>
      <c r="AG206" s="811">
        <f t="shared" si="71"/>
        <v>-1</v>
      </c>
      <c r="AH206" s="176">
        <f t="shared" si="64"/>
        <v>5</v>
      </c>
      <c r="AI206" s="225">
        <f t="shared" si="65"/>
        <v>-0.61192259592950538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7">
        <v>48.207000000000001</v>
      </c>
      <c r="C207" s="390"/>
      <c r="D207" s="393">
        <f t="shared" ref="D207:D270" si="74">Wh/(1-Ppv)</f>
        <v>49.020470821650633</v>
      </c>
      <c r="E207" s="385">
        <f t="shared" si="72"/>
        <v>51.118969501213513</v>
      </c>
      <c r="F207" s="385">
        <f t="shared" ref="F207:F270" si="75">Wh_sa/(1-Pvg*MEDIAN((-Sdif+Wh/Env_an)/Csdif,0,1))</f>
        <v>51.121446951736054</v>
      </c>
      <c r="G207" s="110">
        <f t="shared" si="73"/>
        <v>0.83604496525994587</v>
      </c>
      <c r="H207" s="414" t="b">
        <f>Wh_hp&gt;='2019'!Maxi_hp</f>
        <v>0</v>
      </c>
      <c r="I207" s="380">
        <f>IF(H207,Wh_hp,'2019'!Maxi_hp)</f>
        <v>61.87528776158792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1.659451261923317E-2</v>
      </c>
      <c r="M207" s="845"/>
      <c r="N207" s="845"/>
      <c r="O207" s="48">
        <f>IF(t&lt;Tnet,'2019'!Resal+('2019'!Salim-'2019'!Resal)*(1-EXP(('2019'!Tnet-t)/('2019'!Tau_j))),Resal+(Salim-Resal)*(1-EXP((Tnet-t)/(Tau_j))))*Salcycl</f>
        <v>4.1051271182473023E-2</v>
      </c>
      <c r="P207" s="169">
        <f>(INDEX(Models!$BJ207:$BT207,,T207)*(1-R207)+INDEX(Models!$BJ207:$BT207,,T207+1)*R207-ERP_i)*Q207*Ramure*Pc/MaxiM</f>
        <v>6.328322907934986E-5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0.39155239761721283</v>
      </c>
      <c r="S207" s="81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-0.60844760238278717</v>
      </c>
      <c r="V207" s="383">
        <f t="shared" ref="V207:V270" si="82">MaxiM*(1-Ppv)*(1-Pvg)*(1-Psa)</f>
        <v>57.659919602752296</v>
      </c>
      <c r="W207" s="402"/>
      <c r="X207" s="157">
        <f t="shared" ref="X207:X270" si="83">t</f>
        <v>44023</v>
      </c>
      <c r="Y207" s="385">
        <f t="shared" ref="Y207:Y270" si="84">Wh_pvt_s*(1-Ppv)</f>
        <v>48.207000000000001</v>
      </c>
      <c r="Z207" s="385">
        <f t="shared" ref="Z207:Z270" si="85">Wh_sa_s*(1-Psa_s)</f>
        <v>49.020470821650633</v>
      </c>
      <c r="AA207" s="386">
        <f t="shared" ref="AA207:AA270" si="86">Wh_hp*(1-Pvg_s*MEDIAN((-Sdif+Wh/Env_an)/Csdif,0,1))</f>
        <v>51.118969501213513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4.1051271182473023E-2</v>
      </c>
      <c r="AD207" s="231">
        <f>(INDEX(Models!$BJ207:$BT207,,AH207)*(1-AF207)+INDEX(Models!$BJ207:$BT207,,AH207+1)*AF207-ERP_i)*AE207*Ramure*Pc/MaxiM</f>
        <v>6.328322907934986E-5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0.39155239761721283</v>
      </c>
      <c r="AG207" s="81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-0.60844760238278717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7">
        <v>38.825000000000003</v>
      </c>
      <c r="C208" s="390"/>
      <c r="D208" s="393">
        <f t="shared" si="74"/>
        <v>39.4810186479408</v>
      </c>
      <c r="E208" s="385">
        <f t="shared" si="72"/>
        <v>41.174444721136524</v>
      </c>
      <c r="F208" s="385">
        <f t="shared" si="75"/>
        <v>41.175966374172262</v>
      </c>
      <c r="G208" s="110">
        <f t="shared" si="73"/>
        <v>0.67464592354736252</v>
      </c>
      <c r="H208" s="414" t="b">
        <f>Wh_hp&gt;='2019'!Maxi_hp</f>
        <v>0</v>
      </c>
      <c r="I208" s="380">
        <f>IF(H208,Wh_hp,'2019'!Maxi_hp)</f>
        <v>52.848178882001989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1.6616051723250425E-2</v>
      </c>
      <c r="M208" s="845"/>
      <c r="N208" s="845"/>
      <c r="O208" s="48">
        <f>IF(t&lt;Tnet,'2019'!Resal+('2019'!Salim-'2019'!Resal)*(1-EXP(('2019'!Tnet-t)/('2019'!Tau_j))),Resal+(Salim-Resal)*(1-EXP((Tnet-t)/(Tau_j))))*Salcycl</f>
        <v>4.1128085264169084E-2</v>
      </c>
      <c r="P208" s="169">
        <f>(INDEX(Models!$BJ208:$BT208,,T208)*(1-R208)+INDEX(Models!$BJ208:$BT208,,T208+1)*R208-ERP_i)*Q208*Ramure*Pc/MaxiM</f>
        <v>6.9043654146238312E-5</v>
      </c>
      <c r="Q208" s="305">
        <f t="shared" si="77"/>
        <v>0.5</v>
      </c>
      <c r="R208" s="177">
        <f t="shared" si="78"/>
        <v>0.39494600683455827</v>
      </c>
      <c r="S208" s="811">
        <f t="shared" si="79"/>
        <v>-1</v>
      </c>
      <c r="T208" s="176">
        <f t="shared" si="80"/>
        <v>5</v>
      </c>
      <c r="U208" s="251">
        <f t="shared" si="81"/>
        <v>-0.60505399316544173</v>
      </c>
      <c r="V208" s="383">
        <f t="shared" si="82"/>
        <v>57.546859400400599</v>
      </c>
      <c r="W208" s="402"/>
      <c r="X208" s="157">
        <f t="shared" si="83"/>
        <v>44024</v>
      </c>
      <c r="Y208" s="385">
        <f t="shared" si="84"/>
        <v>38.825000000000003</v>
      </c>
      <c r="Z208" s="385">
        <f t="shared" si="85"/>
        <v>39.4810186479408</v>
      </c>
      <c r="AA208" s="386">
        <f t="shared" si="86"/>
        <v>41.174444721136524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4.1128085264169084E-2</v>
      </c>
      <c r="AD208" s="231">
        <f>(INDEX(Models!$BJ208:$BT208,,AH208)*(1-AF208)+INDEX(Models!$BJ208:$BT208,,AH208+1)*AF208-ERP_i)*AE208*Ramure*Pc/MaxiM</f>
        <v>6.9043654146238312E-5</v>
      </c>
      <c r="AE208" s="305">
        <f t="shared" si="88"/>
        <v>0.5</v>
      </c>
      <c r="AF208" s="177">
        <f t="shared" si="89"/>
        <v>0.39494600683455827</v>
      </c>
      <c r="AG208" s="811">
        <f t="shared" ref="AG208:AG271" si="95">INDEX(Echel_vg,AH208)</f>
        <v>-1</v>
      </c>
      <c r="AH208" s="176">
        <f t="shared" si="90"/>
        <v>5</v>
      </c>
      <c r="AI208" s="225">
        <f t="shared" si="91"/>
        <v>-0.60505399316544173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7">
        <v>57.051000000000002</v>
      </c>
      <c r="C209" s="390"/>
      <c r="D209" s="393">
        <f t="shared" si="74"/>
        <v>58.016250611638824</v>
      </c>
      <c r="E209" s="385">
        <f t="shared" si="72"/>
        <v>60.509511388332825</v>
      </c>
      <c r="F209" s="385">
        <f t="shared" si="75"/>
        <v>60.514031741406733</v>
      </c>
      <c r="G209" s="110">
        <f t="shared" si="73"/>
        <v>0.99336781556650777</v>
      </c>
      <c r="H209" s="414" t="b">
        <f>Wh_hp&gt;='2019'!Maxi_hp</f>
        <v>0</v>
      </c>
      <c r="I209" s="380">
        <f>IF(H209,Wh_hp,'2019'!Maxi_hp)</f>
        <v>61.910407700916835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1.6637590355506049E-2</v>
      </c>
      <c r="M209" s="845"/>
      <c r="N209" s="845"/>
      <c r="O209" s="48">
        <f>IF(t&lt;Tnet,'2019'!Resal+('2019'!Salim-'2019'!Resal)*(1-EXP(('2019'!Tnet-t)/('2019'!Tau_j))),Resal+(Salim-Resal)*(1-EXP((Tnet-t)/(Tau_j))))*Salcycl</f>
        <v>4.1204444053315289E-2</v>
      </c>
      <c r="P209" s="169">
        <f>(INDEX(Models!$BJ209:$BT209,,T209)*(1-R209)+INDEX(Models!$BJ209:$BT209,,T209+1)*R209-ERP_i)*Q209*Ramure*Pc/MaxiM</f>
        <v>7.5413689007084234E-5</v>
      </c>
      <c r="Q209" s="305">
        <f t="shared" si="77"/>
        <v>0.5</v>
      </c>
      <c r="R209" s="177">
        <f t="shared" si="78"/>
        <v>0.39825829263269119</v>
      </c>
      <c r="S209" s="811">
        <f t="shared" si="79"/>
        <v>-1</v>
      </c>
      <c r="T209" s="176">
        <f t="shared" si="80"/>
        <v>5</v>
      </c>
      <c r="U209" s="251">
        <f t="shared" si="81"/>
        <v>-0.60174170736730881</v>
      </c>
      <c r="V209" s="383">
        <f t="shared" si="82"/>
        <v>57.4318579117963</v>
      </c>
      <c r="W209" s="402"/>
      <c r="X209" s="157">
        <f t="shared" si="83"/>
        <v>44025</v>
      </c>
      <c r="Y209" s="385">
        <f t="shared" si="84"/>
        <v>57.051000000000002</v>
      </c>
      <c r="Z209" s="385">
        <f t="shared" si="85"/>
        <v>58.016250611638824</v>
      </c>
      <c r="AA209" s="386">
        <f t="shared" si="86"/>
        <v>60.509511388332825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4.1204444053315289E-2</v>
      </c>
      <c r="AD209" s="231">
        <f>(INDEX(Models!$BJ209:$BT209,,AH209)*(1-AF209)+INDEX(Models!$BJ209:$BT209,,AH209+1)*AF209-ERP_i)*AE209*Ramure*Pc/MaxiM</f>
        <v>7.5413689007084234E-5</v>
      </c>
      <c r="AE209" s="305">
        <f t="shared" si="88"/>
        <v>0.5</v>
      </c>
      <c r="AF209" s="177">
        <f t="shared" si="89"/>
        <v>0.39825829263269119</v>
      </c>
      <c r="AG209" s="811">
        <f t="shared" si="95"/>
        <v>-1</v>
      </c>
      <c r="AH209" s="176">
        <f t="shared" si="90"/>
        <v>5</v>
      </c>
      <c r="AI209" s="225">
        <f t="shared" si="91"/>
        <v>-0.60174170736730881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7">
        <v>45.905000000000001</v>
      </c>
      <c r="C210" s="390"/>
      <c r="D210" s="393">
        <f t="shared" si="74"/>
        <v>46.682692981858231</v>
      </c>
      <c r="E210" s="385">
        <f t="shared" si="72"/>
        <v>48.692747443525917</v>
      </c>
      <c r="F210" s="385">
        <f t="shared" si="75"/>
        <v>48.69561882172404</v>
      </c>
      <c r="G210" s="110">
        <f t="shared" si="73"/>
        <v>0.80090572743581601</v>
      </c>
      <c r="H210" s="414" t="b">
        <f>Wh_hp&gt;='2019'!Maxi_hp</f>
        <v>0</v>
      </c>
      <c r="I210" s="380">
        <f>IF(H210,Wh_hp,'2019'!Maxi_hp)</f>
        <v>63.341573131215071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1.6659128516010369E-2</v>
      </c>
      <c r="M210" s="845"/>
      <c r="N210" s="845"/>
      <c r="O210" s="48">
        <f>IF(t&lt;Tnet,'2019'!Resal+('2019'!Salim-'2019'!Resal)*(1-EXP(('2019'!Tnet-t)/('2019'!Tau_j))),Resal+(Salim-Resal)*(1-EXP((Tnet-t)/(Tau_j))))*Salcycl</f>
        <v>4.1280366526841784E-2</v>
      </c>
      <c r="P210" s="169">
        <f>(INDEX(Models!$BJ210:$BT210,,T210)*(1-R210)+INDEX(Models!$BJ210:$BT210,,T210+1)*R210-ERP_i)*Q210*Ramure*Pc/MaxiM</f>
        <v>8.2399822894194363E-5</v>
      </c>
      <c r="Q210" s="305">
        <f t="shared" si="77"/>
        <v>0.5</v>
      </c>
      <c r="R210" s="177">
        <f t="shared" si="78"/>
        <v>0.40148944703784362</v>
      </c>
      <c r="S210" s="811">
        <f t="shared" si="79"/>
        <v>-1</v>
      </c>
      <c r="T210" s="176">
        <f t="shared" si="80"/>
        <v>5</v>
      </c>
      <c r="U210" s="251">
        <f t="shared" si="81"/>
        <v>-0.59851055296215638</v>
      </c>
      <c r="V210" s="383">
        <f t="shared" si="82"/>
        <v>57.315015522074674</v>
      </c>
      <c r="W210" s="402"/>
      <c r="X210" s="157">
        <f t="shared" si="83"/>
        <v>44026</v>
      </c>
      <c r="Y210" s="385">
        <f t="shared" si="84"/>
        <v>45.905000000000001</v>
      </c>
      <c r="Z210" s="385">
        <f t="shared" si="85"/>
        <v>46.682692981858231</v>
      </c>
      <c r="AA210" s="386">
        <f t="shared" si="86"/>
        <v>48.692747443525917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4.1280366526841784E-2</v>
      </c>
      <c r="AD210" s="231">
        <f>(INDEX(Models!$BJ210:$BT210,,AH210)*(1-AF210)+INDEX(Models!$BJ210:$BT210,,AH210+1)*AF210-ERP_i)*AE210*Ramure*Pc/MaxiM</f>
        <v>8.2399822894194363E-5</v>
      </c>
      <c r="AE210" s="305">
        <f t="shared" si="88"/>
        <v>0.5</v>
      </c>
      <c r="AF210" s="177">
        <f t="shared" si="89"/>
        <v>0.40148944703784362</v>
      </c>
      <c r="AG210" s="811">
        <f t="shared" si="95"/>
        <v>-1</v>
      </c>
      <c r="AH210" s="176">
        <f t="shared" si="90"/>
        <v>5</v>
      </c>
      <c r="AI210" s="225">
        <f t="shared" si="91"/>
        <v>-0.59851055296215638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7">
        <v>20.506</v>
      </c>
      <c r="C211" s="390"/>
      <c r="D211" s="393">
        <f t="shared" si="74"/>
        <v>20.853856214598057</v>
      </c>
      <c r="E211" s="385">
        <f t="shared" si="72"/>
        <v>21.753490786415977</v>
      </c>
      <c r="F211" s="385">
        <f t="shared" si="75"/>
        <v>21.753654472966002</v>
      </c>
      <c r="G211" s="110">
        <f t="shared" si="73"/>
        <v>0.35848929107378003</v>
      </c>
      <c r="H211" s="414" t="b">
        <f>Wh_hp&gt;='2019'!Maxi_hp</f>
        <v>0</v>
      </c>
      <c r="I211" s="380">
        <f>IF(H211,Wh_hp,'2019'!Maxi_hp)</f>
        <v>61.340662594559738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1.6680666204773709E-2</v>
      </c>
      <c r="M211" s="845"/>
      <c r="N211" s="845"/>
      <c r="O211" s="48">
        <f>IF(t&lt;Tnet,'2019'!Resal+('2019'!Salim-'2019'!Resal)*(1-EXP(('2019'!Tnet-t)/('2019'!Tau_j))),Resal+(Salim-Resal)*(1-EXP((Tnet-t)/(Tau_j))))*Salcycl</f>
        <v>4.1355871600143285E-2</v>
      </c>
      <c r="P211" s="169">
        <f>(INDEX(Models!$BJ211:$BT211,,T211)*(1-R211)+INDEX(Models!$BJ211:$BT211,,T211+1)*R211-ERP_i)*Q211*Ramure*Pc/MaxiM</f>
        <v>9.0008376359336406E-5</v>
      </c>
      <c r="Q211" s="305">
        <f t="shared" si="77"/>
        <v>0.5</v>
      </c>
      <c r="R211" s="177">
        <f t="shared" si="78"/>
        <v>0.40463978639918508</v>
      </c>
      <c r="S211" s="811">
        <f t="shared" si="79"/>
        <v>-1</v>
      </c>
      <c r="T211" s="176">
        <f t="shared" si="80"/>
        <v>5</v>
      </c>
      <c r="U211" s="251">
        <f t="shared" si="81"/>
        <v>-0.59536021360081492</v>
      </c>
      <c r="V211" s="383">
        <f t="shared" si="82"/>
        <v>57.196432598020444</v>
      </c>
      <c r="W211" s="402"/>
      <c r="X211" s="157">
        <f t="shared" si="83"/>
        <v>44027</v>
      </c>
      <c r="Y211" s="385">
        <f t="shared" si="84"/>
        <v>20.506</v>
      </c>
      <c r="Z211" s="385">
        <f t="shared" si="85"/>
        <v>20.853856214598057</v>
      </c>
      <c r="AA211" s="386">
        <f t="shared" si="86"/>
        <v>21.753490786415977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4.1355871600143285E-2</v>
      </c>
      <c r="AD211" s="231">
        <f>(INDEX(Models!$BJ211:$BT211,,AH211)*(1-AF211)+INDEX(Models!$BJ211:$BT211,,AH211+1)*AF211-ERP_i)*AE211*Ramure*Pc/MaxiM</f>
        <v>9.0008376359336406E-5</v>
      </c>
      <c r="AE211" s="305">
        <f t="shared" si="88"/>
        <v>0.5</v>
      </c>
      <c r="AF211" s="177">
        <f t="shared" si="89"/>
        <v>0.40463978639918508</v>
      </c>
      <c r="AG211" s="811">
        <f t="shared" si="95"/>
        <v>-1</v>
      </c>
      <c r="AH211" s="176">
        <f t="shared" si="90"/>
        <v>5</v>
      </c>
      <c r="AI211" s="225">
        <f t="shared" si="91"/>
        <v>-0.59536021360081492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7">
        <v>24.061</v>
      </c>
      <c r="C212" s="390"/>
      <c r="D212" s="393">
        <f t="shared" si="74"/>
        <v>24.469697871520275</v>
      </c>
      <c r="E212" s="385">
        <f t="shared" si="72"/>
        <v>25.527319692559121</v>
      </c>
      <c r="F212" s="385">
        <f t="shared" si="75"/>
        <v>25.527751970255242</v>
      </c>
      <c r="G212" s="110">
        <f t="shared" si="73"/>
        <v>0.42152490037862472</v>
      </c>
      <c r="H212" s="414" t="b">
        <f>Wh_hp&gt;='2019'!Maxi_hp</f>
        <v>0</v>
      </c>
      <c r="I212" s="380">
        <f>IF(H212,Wh_hp,'2019'!Maxi_hp)</f>
        <v>53.167525253576699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1.6702203421806394E-2</v>
      </c>
      <c r="M212" s="845"/>
      <c r="N212" s="845"/>
      <c r="O212" s="48">
        <f>IF(t&lt;Tnet,'2019'!Resal+('2019'!Salim-'2019'!Resal)*(1-EXP(('2019'!Tnet-t)/('2019'!Tau_j))),Resal+(Salim-Resal)*(1-EXP((Tnet-t)/(Tau_j))))*Salcycl</f>
        <v>4.1430978017920526E-2</v>
      </c>
      <c r="P212" s="169">
        <f>(INDEX(Models!$BJ212:$BT212,,T212)*(1-R212)+INDEX(Models!$BJ212:$BT212,,T212+1)*R212-ERP_i)*Q212*Ramure*Pc/MaxiM</f>
        <v>9.7512803590056975E-5</v>
      </c>
      <c r="Q212" s="305">
        <f t="shared" si="77"/>
        <v>0.5</v>
      </c>
      <c r="R212" s="177">
        <f t="shared" si="78"/>
        <v>0.40770974446576136</v>
      </c>
      <c r="S212" s="811">
        <f t="shared" si="79"/>
        <v>-1</v>
      </c>
      <c r="T212" s="176">
        <f t="shared" si="80"/>
        <v>5</v>
      </c>
      <c r="U212" s="251">
        <f t="shared" si="81"/>
        <v>-0.59229025553423864</v>
      </c>
      <c r="V212" s="383">
        <f t="shared" si="82"/>
        <v>57.07625132048107</v>
      </c>
      <c r="W212" s="402"/>
      <c r="X212" s="157">
        <f t="shared" si="83"/>
        <v>44028</v>
      </c>
      <c r="Y212" s="385">
        <f t="shared" si="84"/>
        <v>24.061</v>
      </c>
      <c r="Z212" s="385">
        <f t="shared" si="85"/>
        <v>24.469697871520275</v>
      </c>
      <c r="AA212" s="386">
        <f t="shared" si="86"/>
        <v>25.527319692559121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4.1430978017920526E-2</v>
      </c>
      <c r="AD212" s="231">
        <f>(INDEX(Models!$BJ212:$BT212,,AH212)*(1-AF212)+INDEX(Models!$BJ212:$BT212,,AH212+1)*AF212-ERP_i)*AE212*Ramure*Pc/MaxiM</f>
        <v>9.7512803590056975E-5</v>
      </c>
      <c r="AE212" s="305">
        <f t="shared" si="88"/>
        <v>0.5</v>
      </c>
      <c r="AF212" s="177">
        <f t="shared" si="89"/>
        <v>0.40770974446576136</v>
      </c>
      <c r="AG212" s="811">
        <f t="shared" si="95"/>
        <v>-1</v>
      </c>
      <c r="AH212" s="176">
        <f t="shared" si="90"/>
        <v>5</v>
      </c>
      <c r="AI212" s="225">
        <f t="shared" si="91"/>
        <v>-0.59229025553423864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7">
        <v>26.225999999999999</v>
      </c>
      <c r="C213" s="390"/>
      <c r="D213" s="393">
        <f t="shared" si="74"/>
        <v>26.672056543353747</v>
      </c>
      <c r="E213" s="385">
        <f t="shared" si="72"/>
        <v>27.827037324701848</v>
      </c>
      <c r="F213" s="385">
        <f t="shared" si="75"/>
        <v>27.827704086183811</v>
      </c>
      <c r="G213" s="110">
        <f t="shared" si="73"/>
        <v>0.46043497313277865</v>
      </c>
      <c r="H213" s="414" t="b">
        <f>Wh_hp&gt;='2019'!Maxi_hp</f>
        <v>0</v>
      </c>
      <c r="I213" s="380">
        <f>IF(H213,Wh_hp,'2019'!Maxi_hp)</f>
        <v>40.946955028301232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1.672374016711875E-2</v>
      </c>
      <c r="M213" s="845"/>
      <c r="N213" s="845"/>
      <c r="O213" s="48">
        <f>IF(t&lt;Tnet,'2019'!Resal+('2019'!Salim-'2019'!Resal)*(1-EXP(('2019'!Tnet-t)/('2019'!Tau_j))),Resal+(Salim-Resal)*(1-EXP((Tnet-t)/(Tau_j))))*Salcycl</f>
        <v>4.1505704249831563E-2</v>
      </c>
      <c r="P213" s="169">
        <f>(INDEX(Models!$BJ213:$BT213,,T213)*(1-R213)+INDEX(Models!$BJ213:$BT213,,T213+1)*R213-ERP_i)*Q213*Ramure*Pc/MaxiM</f>
        <v>1.0451815037919345E-4</v>
      </c>
      <c r="Q213" s="305">
        <f t="shared" si="77"/>
        <v>0.5</v>
      </c>
      <c r="R213" s="177">
        <f t="shared" si="78"/>
        <v>0.41069986538205172</v>
      </c>
      <c r="S213" s="811">
        <f t="shared" si="79"/>
        <v>-1</v>
      </c>
      <c r="T213" s="176">
        <f t="shared" si="80"/>
        <v>5</v>
      </c>
      <c r="U213" s="251">
        <f t="shared" si="81"/>
        <v>-0.58930013461794828</v>
      </c>
      <c r="V213" s="383">
        <f t="shared" si="82"/>
        <v>56.954594613075912</v>
      </c>
      <c r="W213" s="402"/>
      <c r="X213" s="157">
        <f t="shared" si="83"/>
        <v>44029</v>
      </c>
      <c r="Y213" s="385">
        <f t="shared" si="84"/>
        <v>26.225999999999999</v>
      </c>
      <c r="Z213" s="385">
        <f t="shared" si="85"/>
        <v>26.672056543353747</v>
      </c>
      <c r="AA213" s="386">
        <f t="shared" si="86"/>
        <v>27.827037324701848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4.1505704249831563E-2</v>
      </c>
      <c r="AD213" s="231">
        <f>(INDEX(Models!$BJ213:$BT213,,AH213)*(1-AF213)+INDEX(Models!$BJ213:$BT213,,AH213+1)*AF213-ERP_i)*AE213*Ramure*Pc/MaxiM</f>
        <v>1.0451815037919345E-4</v>
      </c>
      <c r="AE213" s="305">
        <f t="shared" si="88"/>
        <v>0.5</v>
      </c>
      <c r="AF213" s="177">
        <f t="shared" si="89"/>
        <v>0.41069986538205172</v>
      </c>
      <c r="AG213" s="811">
        <f t="shared" si="95"/>
        <v>-1</v>
      </c>
      <c r="AH213" s="176">
        <f t="shared" si="90"/>
        <v>5</v>
      </c>
      <c r="AI213" s="225">
        <f t="shared" si="91"/>
        <v>-0.58930013461794828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7">
        <v>57.085000000000001</v>
      </c>
      <c r="C214" s="390"/>
      <c r="D214" s="393">
        <f t="shared" si="74"/>
        <v>58.057183588560129</v>
      </c>
      <c r="E214" s="385">
        <f t="shared" si="72"/>
        <v>60.575935113464617</v>
      </c>
      <c r="F214" s="385">
        <f t="shared" si="75"/>
        <v>60.582660665176114</v>
      </c>
      <c r="G214" s="110">
        <f t="shared" si="73"/>
        <v>1.0044594355515597</v>
      </c>
      <c r="H214" s="414" t="b">
        <f>Wh_hp&gt;='2019'!Maxi_hp</f>
        <v>1</v>
      </c>
      <c r="I214" s="380">
        <f>IF(H214,Wh_hp,'2019'!Maxi_hp)</f>
        <v>60.582660665176114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1.6745276440720991E-2</v>
      </c>
      <c r="M214" s="845"/>
      <c r="N214" s="845"/>
      <c r="O214" s="48">
        <f>IF(t&lt;Tnet,'2019'!Resal+('2019'!Salim-'2019'!Resal)*(1-EXP(('2019'!Tnet-t)/('2019'!Tau_j))),Resal+(Salim-Resal)*(1-EXP((Tnet-t)/(Tau_j))))*Salcycl</f>
        <v>4.1580068391624883E-2</v>
      </c>
      <c r="P214" s="169">
        <f>(INDEX(Models!$BJ214:$BT214,,T214)*(1-R214)+INDEX(Models!$BJ214:$BT214,,T214+1)*R214-ERP_i)*Q214*Ramure*Pc/MaxiM</f>
        <v>1.1101446581663855E-4</v>
      </c>
      <c r="Q214" s="305">
        <f t="shared" si="77"/>
        <v>0.5</v>
      </c>
      <c r="R214" s="177">
        <f t="shared" si="78"/>
        <v>0.41361079664761546</v>
      </c>
      <c r="S214" s="811">
        <f t="shared" si="79"/>
        <v>-1</v>
      </c>
      <c r="T214" s="176">
        <f t="shared" si="80"/>
        <v>5</v>
      </c>
      <c r="U214" s="251">
        <f t="shared" si="81"/>
        <v>-0.58638920335238454</v>
      </c>
      <c r="V214" s="383">
        <f t="shared" si="82"/>
        <v>56.831563306141874</v>
      </c>
      <c r="W214" s="402"/>
      <c r="X214" s="157">
        <f t="shared" si="83"/>
        <v>44030</v>
      </c>
      <c r="Y214" s="385">
        <f t="shared" si="84"/>
        <v>57.085000000000001</v>
      </c>
      <c r="Z214" s="385">
        <f t="shared" si="85"/>
        <v>58.057183588560129</v>
      </c>
      <c r="AA214" s="386">
        <f t="shared" si="86"/>
        <v>60.575935113464617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4.1580068391624883E-2</v>
      </c>
      <c r="AD214" s="231">
        <f>(INDEX(Models!$BJ214:$BT214,,AH214)*(1-AF214)+INDEX(Models!$BJ214:$BT214,,AH214+1)*AF214-ERP_i)*AE214*Ramure*Pc/MaxiM</f>
        <v>1.1101446581663855E-4</v>
      </c>
      <c r="AE214" s="305">
        <f t="shared" si="88"/>
        <v>0.5</v>
      </c>
      <c r="AF214" s="177">
        <f t="shared" si="89"/>
        <v>0.41361079664761546</v>
      </c>
      <c r="AG214" s="811">
        <f t="shared" si="95"/>
        <v>-1</v>
      </c>
      <c r="AH214" s="176">
        <f t="shared" si="90"/>
        <v>5</v>
      </c>
      <c r="AI214" s="225">
        <f t="shared" si="91"/>
        <v>-0.58638920335238454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7">
        <v>55.914999999999999</v>
      </c>
      <c r="C215" s="390"/>
      <c r="D215" s="393">
        <f t="shared" si="74"/>
        <v>56.868503521056539</v>
      </c>
      <c r="E215" s="385">
        <f t="shared" si="72"/>
        <v>59.340268282326242</v>
      </c>
      <c r="F215" s="385">
        <f t="shared" si="75"/>
        <v>59.347072848746947</v>
      </c>
      <c r="G215" s="110">
        <f t="shared" si="73"/>
        <v>0.98602667819363476</v>
      </c>
      <c r="H215" s="414" t="b">
        <f>Wh_hp&gt;='2019'!Maxi_hp</f>
        <v>1</v>
      </c>
      <c r="I215" s="380">
        <f>IF(H215,Wh_hp,'2019'!Maxi_hp)</f>
        <v>59.347072848746947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1.6766812242623663E-2</v>
      </c>
      <c r="M215" s="845"/>
      <c r="N215" s="845"/>
      <c r="O215" s="48">
        <f>IF(t&lt;Tnet,'2019'!Resal+('2019'!Salim-'2019'!Resal)*(1-EXP(('2019'!Tnet-t)/('2019'!Tau_j))),Resal+(Salim-Resal)*(1-EXP((Tnet-t)/(Tau_j))))*Salcycl</f>
        <v>4.1654088072363558E-2</v>
      </c>
      <c r="P215" s="169">
        <f>(INDEX(Models!$BJ215:$BT215,,T215)*(1-R215)+INDEX(Models!$BJ215:$BT215,,T215+1)*R215-ERP_i)*Q215*Ramure*Pc/MaxiM</f>
        <v>1.169921525885705E-4</v>
      </c>
      <c r="Q215" s="305">
        <f t="shared" si="77"/>
        <v>0.5</v>
      </c>
      <c r="R215" s="177">
        <f t="shared" si="78"/>
        <v>0.41644328208305059</v>
      </c>
      <c r="S215" s="811">
        <f t="shared" si="79"/>
        <v>-1</v>
      </c>
      <c r="T215" s="176">
        <f t="shared" si="80"/>
        <v>5</v>
      </c>
      <c r="U215" s="251">
        <f t="shared" si="81"/>
        <v>-0.58355671791694941</v>
      </c>
      <c r="V215" s="383">
        <f t="shared" si="82"/>
        <v>56.707258190994352</v>
      </c>
      <c r="W215" s="402"/>
      <c r="X215" s="157">
        <f t="shared" si="83"/>
        <v>44031</v>
      </c>
      <c r="Y215" s="385">
        <f t="shared" si="84"/>
        <v>55.914999999999999</v>
      </c>
      <c r="Z215" s="385">
        <f t="shared" si="85"/>
        <v>56.868503521056539</v>
      </c>
      <c r="AA215" s="386">
        <f t="shared" si="86"/>
        <v>59.340268282326242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4.1654088072363558E-2</v>
      </c>
      <c r="AD215" s="231">
        <f>(INDEX(Models!$BJ215:$BT215,,AH215)*(1-AF215)+INDEX(Models!$BJ215:$BT215,,AH215+1)*AF215-ERP_i)*AE215*Ramure*Pc/MaxiM</f>
        <v>1.169921525885705E-4</v>
      </c>
      <c r="AE215" s="305">
        <f t="shared" si="88"/>
        <v>0.5</v>
      </c>
      <c r="AF215" s="177">
        <f t="shared" si="89"/>
        <v>0.41644328208305059</v>
      </c>
      <c r="AG215" s="811">
        <f t="shared" si="95"/>
        <v>-1</v>
      </c>
      <c r="AH215" s="176">
        <f t="shared" si="90"/>
        <v>5</v>
      </c>
      <c r="AI215" s="225">
        <f t="shared" si="91"/>
        <v>-0.58355671791694941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7">
        <v>49.61</v>
      </c>
      <c r="C216" s="390"/>
      <c r="D216" s="393">
        <f t="shared" si="74"/>
        <v>50.457091184316639</v>
      </c>
      <c r="E216" s="385">
        <f t="shared" si="72"/>
        <v>52.654235561277467</v>
      </c>
      <c r="F216" s="385">
        <f t="shared" si="75"/>
        <v>52.659548349792288</v>
      </c>
      <c r="G216" s="110">
        <f t="shared" si="73"/>
        <v>0.87676511140649782</v>
      </c>
      <c r="H216" s="414" t="b">
        <f>Wh_hp&gt;='2019'!Maxi_hp</f>
        <v>1</v>
      </c>
      <c r="I216" s="380">
        <f>IF(H216,Wh_hp,'2019'!Maxi_hp)</f>
        <v>52.659548349792288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1.6788347572837092E-2</v>
      </c>
      <c r="M216" s="845"/>
      <c r="N216" s="845"/>
      <c r="O216" s="48">
        <f>IF(t&lt;Tnet,'2019'!Resal+('2019'!Salim-'2019'!Resal)*(1-EXP(('2019'!Tnet-t)/('2019'!Tau_j))),Resal+(Salim-Resal)*(1-EXP((Tnet-t)/(Tau_j))))*Salcycl</f>
        <v>4.1727780368283209E-2</v>
      </c>
      <c r="P216" s="169">
        <f>(INDEX(Models!$BJ216:$BT216,,T216)*(1-R216)+INDEX(Models!$BJ216:$BT216,,T216+1)*R216-ERP_i)*Q216*Ramure*Pc/MaxiM</f>
        <v>1.2244194680494737E-4</v>
      </c>
      <c r="Q216" s="305">
        <f t="shared" si="77"/>
        <v>0.5</v>
      </c>
      <c r="R216" s="177">
        <f t="shared" si="78"/>
        <v>0.41919815484111056</v>
      </c>
      <c r="S216" s="811">
        <f t="shared" si="79"/>
        <v>-1</v>
      </c>
      <c r="T216" s="176">
        <f t="shared" si="80"/>
        <v>5</v>
      </c>
      <c r="U216" s="251">
        <f t="shared" si="81"/>
        <v>-0.58080184515888944</v>
      </c>
      <c r="V216" s="383">
        <f t="shared" si="82"/>
        <v>56.581780026652716</v>
      </c>
      <c r="W216" s="402"/>
      <c r="X216" s="157">
        <f t="shared" si="83"/>
        <v>44032</v>
      </c>
      <c r="Y216" s="385">
        <f t="shared" si="84"/>
        <v>49.61</v>
      </c>
      <c r="Z216" s="385">
        <f t="shared" si="85"/>
        <v>50.457091184316639</v>
      </c>
      <c r="AA216" s="386">
        <f t="shared" si="86"/>
        <v>52.654235561277467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4.1727780368283209E-2</v>
      </c>
      <c r="AD216" s="231">
        <f>(INDEX(Models!$BJ216:$BT216,,AH216)*(1-AF216)+INDEX(Models!$BJ216:$BT216,,AH216+1)*AF216-ERP_i)*AE216*Ramure*Pc/MaxiM</f>
        <v>1.2244194680494737E-4</v>
      </c>
      <c r="AE216" s="305">
        <f t="shared" si="88"/>
        <v>0.5</v>
      </c>
      <c r="AF216" s="177">
        <f t="shared" si="89"/>
        <v>0.41919815484111056</v>
      </c>
      <c r="AG216" s="811">
        <f t="shared" si="95"/>
        <v>-1</v>
      </c>
      <c r="AH216" s="176">
        <f t="shared" si="90"/>
        <v>5</v>
      </c>
      <c r="AI216" s="225">
        <f t="shared" si="91"/>
        <v>-0.58080184515888944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7">
        <v>52.11</v>
      </c>
      <c r="C217" s="390"/>
      <c r="D217" s="393">
        <f t="shared" si="74"/>
        <v>53.000939562802934</v>
      </c>
      <c r="E217" s="385">
        <f t="shared" si="72"/>
        <v>55.313091026231156</v>
      </c>
      <c r="F217" s="385">
        <f t="shared" si="75"/>
        <v>55.319361571777101</v>
      </c>
      <c r="G217" s="110">
        <f t="shared" si="73"/>
        <v>0.92301936650766248</v>
      </c>
      <c r="H217" s="414" t="b">
        <f>Wh_hp&gt;='2019'!Maxi_hp</f>
        <v>1</v>
      </c>
      <c r="I217" s="380">
        <f>IF(H217,Wh_hp,'2019'!Maxi_hp)</f>
        <v>55.319361571777101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1.6809882431371381E-2</v>
      </c>
      <c r="M217" s="845"/>
      <c r="N217" s="845"/>
      <c r="O217" s="48">
        <f>IF(t&lt;Tnet,'2019'!Resal+('2019'!Salim-'2019'!Resal)*(1-EXP(('2019'!Tnet-t)/('2019'!Tau_j))),Resal+(Salim-Resal)*(1-EXP((Tnet-t)/(Tau_j))))*Salcycl</f>
        <v>4.1801161723754171E-2</v>
      </c>
      <c r="P217" s="169">
        <f>(INDEX(Models!$BJ217:$BT217,,T217)*(1-R217)+INDEX(Models!$BJ217:$BT217,,T217+1)*R217-ERP_i)*Q217*Ramure*Pc/MaxiM</f>
        <v>1.2735489716309781E-4</v>
      </c>
      <c r="Q217" s="305">
        <f t="shared" si="77"/>
        <v>0.5</v>
      </c>
      <c r="R217" s="177">
        <f t="shared" si="78"/>
        <v>0.42187633049838968</v>
      </c>
      <c r="S217" s="811">
        <f t="shared" si="79"/>
        <v>-1</v>
      </c>
      <c r="T217" s="176">
        <f t="shared" si="80"/>
        <v>5</v>
      </c>
      <c r="U217" s="251">
        <f t="shared" si="81"/>
        <v>-0.57812366950161032</v>
      </c>
      <c r="V217" s="383">
        <f t="shared" si="82"/>
        <v>56.455229546910054</v>
      </c>
      <c r="W217" s="402"/>
      <c r="X217" s="157">
        <f t="shared" si="83"/>
        <v>44033</v>
      </c>
      <c r="Y217" s="385">
        <f t="shared" si="84"/>
        <v>52.11</v>
      </c>
      <c r="Z217" s="385">
        <f t="shared" si="85"/>
        <v>53.000939562802934</v>
      </c>
      <c r="AA217" s="386">
        <f t="shared" si="86"/>
        <v>55.313091026231156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4.1801161723754171E-2</v>
      </c>
      <c r="AD217" s="231">
        <f>(INDEX(Models!$BJ217:$BT217,,AH217)*(1-AF217)+INDEX(Models!$BJ217:$BT217,,AH217+1)*AF217-ERP_i)*AE217*Ramure*Pc/MaxiM</f>
        <v>1.2735489716309781E-4</v>
      </c>
      <c r="AE217" s="305">
        <f t="shared" si="88"/>
        <v>0.5</v>
      </c>
      <c r="AF217" s="177">
        <f t="shared" si="89"/>
        <v>0.42187633049838968</v>
      </c>
      <c r="AG217" s="811">
        <f t="shared" si="95"/>
        <v>-1</v>
      </c>
      <c r="AH217" s="176">
        <f t="shared" si="90"/>
        <v>5</v>
      </c>
      <c r="AI217" s="225">
        <f t="shared" si="91"/>
        <v>-0.57812366950161032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7">
        <v>50.957999999999998</v>
      </c>
      <c r="C218" s="390"/>
      <c r="D218" s="393">
        <f t="shared" si="74"/>
        <v>51.830378707879397</v>
      </c>
      <c r="E218" s="385">
        <f t="shared" si="72"/>
        <v>54.095590890008772</v>
      </c>
      <c r="F218" s="385">
        <f t="shared" si="75"/>
        <v>54.101746786144005</v>
      </c>
      <c r="G218" s="110">
        <f t="shared" si="73"/>
        <v>0.90465399834549887</v>
      </c>
      <c r="H218" s="414" t="b">
        <f>Wh_hp&gt;='2019'!Maxi_hp</f>
        <v>0</v>
      </c>
      <c r="I218" s="380">
        <f>IF(H218,Wh_hp,'2019'!Maxi_hp)</f>
        <v>57.937152506467669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1.6831416818237077E-2</v>
      </c>
      <c r="M218" s="845"/>
      <c r="N218" s="845"/>
      <c r="O218" s="48">
        <f>IF(t&lt;Tnet,'2019'!Resal+('2019'!Salim-'2019'!Resal)*(1-EXP(('2019'!Tnet-t)/('2019'!Tau_j))),Resal+(Salim-Resal)*(1-EXP((Tnet-t)/(Tau_j))))*Salcycl</f>
        <v>4.1874247879742539E-2</v>
      </c>
      <c r="P218" s="169">
        <f>(INDEX(Models!$BJ218:$BT218,,T218)*(1-R218)+INDEX(Models!$BJ218:$BT218,,T218+1)*R218-ERP_i)*Q218*Ramure*Pc/MaxiM</f>
        <v>1.3172234382091927E-4</v>
      </c>
      <c r="Q218" s="305">
        <f t="shared" si="77"/>
        <v>0.5</v>
      </c>
      <c r="R218" s="177">
        <f t="shared" si="78"/>
        <v>0.42447880025952189</v>
      </c>
      <c r="S218" s="811">
        <f t="shared" si="79"/>
        <v>-1</v>
      </c>
      <c r="T218" s="176">
        <f t="shared" si="80"/>
        <v>5</v>
      </c>
      <c r="U218" s="251">
        <f t="shared" si="81"/>
        <v>-0.57552119974047811</v>
      </c>
      <c r="V218" s="383">
        <f t="shared" si="82"/>
        <v>56.327707467179984</v>
      </c>
      <c r="W218" s="402"/>
      <c r="X218" s="157">
        <f t="shared" si="83"/>
        <v>44034</v>
      </c>
      <c r="Y218" s="385">
        <f t="shared" si="84"/>
        <v>50.957999999999998</v>
      </c>
      <c r="Z218" s="385">
        <f t="shared" si="85"/>
        <v>51.830378707879397</v>
      </c>
      <c r="AA218" s="386">
        <f t="shared" si="86"/>
        <v>54.095590890008772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4.1874247879742539E-2</v>
      </c>
      <c r="AD218" s="231">
        <f>(INDEX(Models!$BJ218:$BT218,,AH218)*(1-AF218)+INDEX(Models!$BJ218:$BT218,,AH218+1)*AF218-ERP_i)*AE218*Ramure*Pc/MaxiM</f>
        <v>1.3172234382091927E-4</v>
      </c>
      <c r="AE218" s="305">
        <f t="shared" si="88"/>
        <v>0.5</v>
      </c>
      <c r="AF218" s="177">
        <f t="shared" si="89"/>
        <v>0.42447880025952189</v>
      </c>
      <c r="AG218" s="811">
        <f t="shared" si="95"/>
        <v>-1</v>
      </c>
      <c r="AH218" s="176">
        <f t="shared" si="90"/>
        <v>5</v>
      </c>
      <c r="AI218" s="225">
        <f t="shared" si="91"/>
        <v>-0.57552119974047811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7">
        <v>48.616</v>
      </c>
      <c r="C219" s="390"/>
      <c r="D219" s="393">
        <f t="shared" si="74"/>
        <v>49.449367758636271</v>
      </c>
      <c r="E219" s="385">
        <f t="shared" si="72"/>
        <v>51.614441514210377</v>
      </c>
      <c r="F219" s="385">
        <f t="shared" si="75"/>
        <v>51.620089282585603</v>
      </c>
      <c r="G219" s="110">
        <f t="shared" si="73"/>
        <v>0.8650452206340502</v>
      </c>
      <c r="H219" s="414" t="b">
        <f>Wh_hp&gt;='2019'!Maxi_hp</f>
        <v>0</v>
      </c>
      <c r="I219" s="380">
        <f>IF(H219,Wh_hp,'2019'!Maxi_hp)</f>
        <v>57.924820130429069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1.6852950733444394E-2</v>
      </c>
      <c r="M219" s="845"/>
      <c r="N219" s="845"/>
      <c r="O219" s="48">
        <f>IF(t&lt;Tnet,'2019'!Resal+('2019'!Salim-'2019'!Resal)*(1-EXP(('2019'!Tnet-t)/('2019'!Tau_j))),Resal+(Salim-Resal)*(1-EXP((Tnet-t)/(Tau_j))))*Salcycl</f>
        <v>4.1947053810085809E-2</v>
      </c>
      <c r="P219" s="169">
        <f>(INDEX(Models!$BJ219:$BT219,,T219)*(1-R219)+INDEX(Models!$BJ219:$BT219,,T219+1)*R219-ERP_i)*Q219*Ramure*Pc/MaxiM</f>
        <v>1.3553628808633938E-4</v>
      </c>
      <c r="Q219" s="305">
        <f t="shared" si="77"/>
        <v>0.5</v>
      </c>
      <c r="R219" s="177">
        <f t="shared" si="78"/>
        <v>0.42700662430239911</v>
      </c>
      <c r="S219" s="811">
        <f t="shared" si="79"/>
        <v>-1</v>
      </c>
      <c r="T219" s="176">
        <f t="shared" si="80"/>
        <v>5</v>
      </c>
      <c r="U219" s="251">
        <f t="shared" si="81"/>
        <v>-0.57299337569760089</v>
      </c>
      <c r="V219" s="383">
        <f t="shared" si="82"/>
        <v>56.199061689898663</v>
      </c>
      <c r="W219" s="402"/>
      <c r="X219" s="157">
        <f t="shared" si="83"/>
        <v>44035</v>
      </c>
      <c r="Y219" s="385">
        <f t="shared" si="84"/>
        <v>48.616</v>
      </c>
      <c r="Z219" s="385">
        <f t="shared" si="85"/>
        <v>49.449367758636271</v>
      </c>
      <c r="AA219" s="386">
        <f t="shared" si="86"/>
        <v>51.614441514210377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4.1947053810085809E-2</v>
      </c>
      <c r="AD219" s="231">
        <f>(INDEX(Models!$BJ219:$BT219,,AH219)*(1-AF219)+INDEX(Models!$BJ219:$BT219,,AH219+1)*AF219-ERP_i)*AE219*Ramure*Pc/MaxiM</f>
        <v>1.3553628808633938E-4</v>
      </c>
      <c r="AE219" s="305">
        <f t="shared" si="88"/>
        <v>0.5</v>
      </c>
      <c r="AF219" s="177">
        <f t="shared" si="89"/>
        <v>0.42700662430239911</v>
      </c>
      <c r="AG219" s="811">
        <f t="shared" si="95"/>
        <v>-1</v>
      </c>
      <c r="AH219" s="176">
        <f t="shared" si="90"/>
        <v>5</v>
      </c>
      <c r="AI219" s="225">
        <f t="shared" si="91"/>
        <v>-0.57299337569760089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7">
        <v>54.643000000000001</v>
      </c>
      <c r="C220" s="390"/>
      <c r="D220" s="393">
        <f t="shared" si="74"/>
        <v>55.580899000731492</v>
      </c>
      <c r="E220" s="385">
        <f t="shared" si="72"/>
        <v>58.018826515897061</v>
      </c>
      <c r="F220" s="385">
        <f t="shared" si="75"/>
        <v>58.026560165421124</v>
      </c>
      <c r="G220" s="110">
        <f t="shared" si="73"/>
        <v>0.97456041397706794</v>
      </c>
      <c r="H220" s="414" t="b">
        <f>Wh_hp&gt;='2019'!Maxi_hp</f>
        <v>0</v>
      </c>
      <c r="I220" s="380">
        <f>IF(H220,Wh_hp,'2019'!Maxi_hp)</f>
        <v>58.619065963281635</v>
      </c>
      <c r="J220" s="85">
        <f>IF(H220,An,'2019'!An_max)</f>
        <v>2019</v>
      </c>
      <c r="K220" s="197">
        <f t="shared" si="76"/>
        <v>44036</v>
      </c>
      <c r="L220" s="147">
        <f>IF(t&lt;Tvie,1-EXP((T0-t)*PertePVj)+'2019'!Pspv,1-EXP((T0-t)*PertePVj)+Pspv)</f>
        <v>1.6874484177003768E-2</v>
      </c>
      <c r="M220" s="845"/>
      <c r="N220" s="845"/>
      <c r="O220" s="48">
        <f>IF(t&lt;Tnet,'2019'!Resal+('2019'!Salim-'2019'!Resal)*(1-EXP(('2019'!Tnet-t)/('2019'!Tau_j))),Resal+(Salim-Resal)*(1-EXP((Tnet-t)/(Tau_j))))*Salcycl</f>
        <v>4.2019593665817798E-2</v>
      </c>
      <c r="P220" s="169">
        <f>(INDEX(Models!$BJ220:$BT220,,T220)*(1-R220)+INDEX(Models!$BJ220:$BT220,,T220+1)*R220-ERP_i)*Q220*Ramure*Pc/MaxiM</f>
        <v>1.3830303022800455E-4</v>
      </c>
      <c r="Q220" s="305">
        <f t="shared" si="77"/>
        <v>0.5</v>
      </c>
      <c r="R220" s="177">
        <f t="shared" si="78"/>
        <v>0.42946092528953406</v>
      </c>
      <c r="S220" s="811">
        <f t="shared" si="79"/>
        <v>-1</v>
      </c>
      <c r="T220" s="176">
        <f t="shared" si="80"/>
        <v>5</v>
      </c>
      <c r="U220" s="251">
        <f t="shared" si="81"/>
        <v>-0.57053907471046594</v>
      </c>
      <c r="V220" s="383">
        <f t="shared" si="82"/>
        <v>56.069100061386614</v>
      </c>
      <c r="W220" s="402"/>
      <c r="X220" s="157">
        <f t="shared" si="83"/>
        <v>44036</v>
      </c>
      <c r="Y220" s="385">
        <f t="shared" si="84"/>
        <v>54.643000000000001</v>
      </c>
      <c r="Z220" s="385">
        <f t="shared" si="85"/>
        <v>55.580899000731492</v>
      </c>
      <c r="AA220" s="386">
        <f t="shared" si="86"/>
        <v>58.018826515897061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4.2019593665817798E-2</v>
      </c>
      <c r="AD220" s="231">
        <f>(INDEX(Models!$BJ220:$BT220,,AH220)*(1-AF220)+INDEX(Models!$BJ220:$BT220,,AH220+1)*AF220-ERP_i)*AE220*Ramure*Pc/MaxiM</f>
        <v>1.3830303022800455E-4</v>
      </c>
      <c r="AE220" s="305">
        <f t="shared" si="88"/>
        <v>0.5</v>
      </c>
      <c r="AF220" s="177">
        <f t="shared" si="89"/>
        <v>0.42946092528953406</v>
      </c>
      <c r="AG220" s="811">
        <f t="shared" si="95"/>
        <v>-1</v>
      </c>
      <c r="AH220" s="176">
        <f t="shared" si="90"/>
        <v>5</v>
      </c>
      <c r="AI220" s="225">
        <f t="shared" si="91"/>
        <v>-0.57053907471046594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7">
        <v>54.648000000000003</v>
      </c>
      <c r="C221" s="390"/>
      <c r="D221" s="393">
        <f t="shared" si="74"/>
        <v>55.587202323722401</v>
      </c>
      <c r="E221" s="385">
        <f t="shared" si="72"/>
        <v>58.029785117543796</v>
      </c>
      <c r="F221" s="385">
        <f t="shared" si="75"/>
        <v>58.03763301162973</v>
      </c>
      <c r="G221" s="110">
        <f t="shared" si="73"/>
        <v>0.97693717556042692</v>
      </c>
      <c r="H221" s="414" t="b">
        <f>Wh_hp&gt;='2019'!Maxi_hp</f>
        <v>1</v>
      </c>
      <c r="I221" s="380">
        <f>IF(H221,Wh_hp,'2019'!Maxi_hp)</f>
        <v>58.03763301162973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1.6896017148925413E-2</v>
      </c>
      <c r="M221" s="845"/>
      <c r="N221" s="845"/>
      <c r="O221" s="48">
        <f>IF(t&lt;Tnet,'2019'!Resal+('2019'!Salim-'2019'!Resal)*(1-EXP(('2019'!Tnet-t)/('2019'!Tau_j))),Resal+(Salim-Resal)*(1-EXP((Tnet-t)/(Tau_j))))*Salcycl</f>
        <v>4.20918807276945E-2</v>
      </c>
      <c r="P221" s="169">
        <f>(INDEX(Models!$BJ221:$BT221,,T221)*(1-R221)+INDEX(Models!$BJ221:$BT221,,T221+1)*R221-ERP_i)*Q221*Ramure*Pc/MaxiM</f>
        <v>1.3982673890650427E-4</v>
      </c>
      <c r="Q221" s="305">
        <f t="shared" si="77"/>
        <v>0.5</v>
      </c>
      <c r="R221" s="177">
        <f t="shared" si="78"/>
        <v>0.43184288206739296</v>
      </c>
      <c r="S221" s="811">
        <f t="shared" si="79"/>
        <v>-1</v>
      </c>
      <c r="T221" s="176">
        <f t="shared" si="80"/>
        <v>5</v>
      </c>
      <c r="U221" s="251">
        <f t="shared" si="81"/>
        <v>-0.56815711793260704</v>
      </c>
      <c r="V221" s="383">
        <f t="shared" si="82"/>
        <v>55.937832674085826</v>
      </c>
      <c r="W221" s="402"/>
      <c r="X221" s="157">
        <f t="shared" si="83"/>
        <v>44037</v>
      </c>
      <c r="Y221" s="385">
        <f t="shared" si="84"/>
        <v>54.648000000000003</v>
      </c>
      <c r="Z221" s="385">
        <f t="shared" si="85"/>
        <v>55.587202323722401</v>
      </c>
      <c r="AA221" s="386">
        <f t="shared" si="86"/>
        <v>58.029785117543796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4.20918807276945E-2</v>
      </c>
      <c r="AD221" s="231">
        <f>(INDEX(Models!$BJ221:$BT221,,AH221)*(1-AF221)+INDEX(Models!$BJ221:$BT221,,AH221+1)*AF221-ERP_i)*AE221*Ramure*Pc/MaxiM</f>
        <v>1.3982673890650427E-4</v>
      </c>
      <c r="AE221" s="305">
        <f t="shared" si="88"/>
        <v>0.5</v>
      </c>
      <c r="AF221" s="177">
        <f t="shared" si="89"/>
        <v>0.43184288206739296</v>
      </c>
      <c r="AG221" s="811">
        <f t="shared" si="95"/>
        <v>-1</v>
      </c>
      <c r="AH221" s="176">
        <f t="shared" si="90"/>
        <v>5</v>
      </c>
      <c r="AI221" s="225">
        <f t="shared" si="91"/>
        <v>-0.56815711793260704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7">
        <v>43.6</v>
      </c>
      <c r="C222" s="390"/>
      <c r="D222" s="393">
        <f t="shared" si="74"/>
        <v>44.350298374711898</v>
      </c>
      <c r="E222" s="385">
        <f t="shared" si="72"/>
        <v>46.302597742844114</v>
      </c>
      <c r="F222" s="385">
        <f t="shared" si="75"/>
        <v>46.307058112205148</v>
      </c>
      <c r="G222" s="110">
        <f t="shared" si="73"/>
        <v>0.78125416528338465</v>
      </c>
      <c r="H222" s="414" t="b">
        <f>Wh_hp&gt;='2019'!Maxi_hp</f>
        <v>0</v>
      </c>
      <c r="I222" s="380">
        <f>IF(H222,Wh_hp,'2019'!Maxi_hp)</f>
        <v>50.330259368541505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1.6917549649219654E-2</v>
      </c>
      <c r="M222" s="845"/>
      <c r="N222" s="845"/>
      <c r="O222" s="48">
        <f>IF(t&lt;Tnet,'2019'!Resal+('2019'!Salim-'2019'!Resal)*(1-EXP(('2019'!Tnet-t)/('2019'!Tau_j))),Resal+(Salim-Resal)*(1-EXP((Tnet-t)/(Tau_j))))*Salcycl</f>
        <v>4.2163927366989581E-2</v>
      </c>
      <c r="P222" s="169">
        <f>(INDEX(Models!$BJ222:$BT222,,T222)*(1-R222)+INDEX(Models!$BJ222:$BT222,,T222+1)*R222-ERP_i)*Q222*Ramure*Pc/MaxiM</f>
        <v>1.4009295900929746E-4</v>
      </c>
      <c r="Q222" s="305">
        <f t="shared" si="77"/>
        <v>0.5</v>
      </c>
      <c r="R222" s="177">
        <f t="shared" si="78"/>
        <v>0.43415372357235893</v>
      </c>
      <c r="S222" s="811">
        <f t="shared" si="79"/>
        <v>-1</v>
      </c>
      <c r="T222" s="176">
        <f t="shared" si="80"/>
        <v>5</v>
      </c>
      <c r="U222" s="251">
        <f t="shared" si="81"/>
        <v>-0.56584627642764107</v>
      </c>
      <c r="V222" s="383">
        <f t="shared" si="82"/>
        <v>55.805259442754483</v>
      </c>
      <c r="W222" s="402"/>
      <c r="X222" s="157">
        <f t="shared" si="83"/>
        <v>44038</v>
      </c>
      <c r="Y222" s="385">
        <f t="shared" si="84"/>
        <v>43.6</v>
      </c>
      <c r="Z222" s="385">
        <f t="shared" si="85"/>
        <v>44.350298374711898</v>
      </c>
      <c r="AA222" s="386">
        <f t="shared" si="86"/>
        <v>46.302597742844114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4.2163927366989581E-2</v>
      </c>
      <c r="AD222" s="231">
        <f>(INDEX(Models!$BJ222:$BT222,,AH222)*(1-AF222)+INDEX(Models!$BJ222:$BT222,,AH222+1)*AF222-ERP_i)*AE222*Ramure*Pc/MaxiM</f>
        <v>1.4009295900929746E-4</v>
      </c>
      <c r="AE222" s="305">
        <f t="shared" si="88"/>
        <v>0.5</v>
      </c>
      <c r="AF222" s="177">
        <f t="shared" si="89"/>
        <v>0.43415372357235893</v>
      </c>
      <c r="AG222" s="811">
        <f t="shared" si="95"/>
        <v>-1</v>
      </c>
      <c r="AH222" s="176">
        <f t="shared" si="90"/>
        <v>5</v>
      </c>
      <c r="AI222" s="225">
        <f t="shared" si="91"/>
        <v>-0.56584627642764107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7">
        <v>53.134</v>
      </c>
      <c r="C223" s="390"/>
      <c r="D223" s="393">
        <f t="shared" si="74"/>
        <v>54.049549737659774</v>
      </c>
      <c r="E223" s="385">
        <f t="shared" si="72"/>
        <v>56.433041279537619</v>
      </c>
      <c r="F223" s="385">
        <f t="shared" si="75"/>
        <v>56.44038029737262</v>
      </c>
      <c r="G223" s="110">
        <f t="shared" si="73"/>
        <v>0.95441353264810536</v>
      </c>
      <c r="H223" s="414" t="b">
        <f>Wh_hp&gt;='2019'!Maxi_hp</f>
        <v>1</v>
      </c>
      <c r="I223" s="380">
        <f>IF(H223,Wh_hp,'2019'!Maxi_hp)</f>
        <v>56.44038029737262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1.6939081677896928E-2</v>
      </c>
      <c r="M223" s="845"/>
      <c r="N223" s="845"/>
      <c r="O223" s="48">
        <f>IF(t&lt;Tnet,'2019'!Resal+('2019'!Salim-'2019'!Resal)*(1-EXP(('2019'!Tnet-t)/('2019'!Tau_j))),Resal+(Salim-Resal)*(1-EXP((Tnet-t)/(Tau_j))))*Salcycl</f>
        <v>4.2235745014545079E-2</v>
      </c>
      <c r="P223" s="169">
        <f>(INDEX(Models!$BJ223:$BT223,,T223)*(1-R223)+INDEX(Models!$BJ223:$BT223,,T223+1)*R223-ERP_i)*Q223*Ramure*Pc/MaxiM</f>
        <v>1.3908748152976206E-4</v>
      </c>
      <c r="Q223" s="305">
        <f t="shared" si="77"/>
        <v>0.5</v>
      </c>
      <c r="R223" s="177">
        <f t="shared" si="78"/>
        <v>0.43639472295894044</v>
      </c>
      <c r="S223" s="811">
        <f t="shared" si="79"/>
        <v>-1</v>
      </c>
      <c r="T223" s="176">
        <f t="shared" si="80"/>
        <v>5</v>
      </c>
      <c r="U223" s="251">
        <f t="shared" si="81"/>
        <v>-0.56360527704105956</v>
      </c>
      <c r="V223" s="383">
        <f t="shared" si="82"/>
        <v>55.671380308863952</v>
      </c>
      <c r="W223" s="402"/>
      <c r="X223" s="157">
        <f t="shared" si="83"/>
        <v>44039</v>
      </c>
      <c r="Y223" s="385">
        <f t="shared" si="84"/>
        <v>53.134</v>
      </c>
      <c r="Z223" s="385">
        <f t="shared" si="85"/>
        <v>54.049549737659774</v>
      </c>
      <c r="AA223" s="386">
        <f t="shared" si="86"/>
        <v>56.433041279537619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4.2235745014545079E-2</v>
      </c>
      <c r="AD223" s="231">
        <f>(INDEX(Models!$BJ223:$BT223,,AH223)*(1-AF223)+INDEX(Models!$BJ223:$BT223,,AH223+1)*AF223-ERP_i)*AE223*Ramure*Pc/MaxiM</f>
        <v>1.3908748152976206E-4</v>
      </c>
      <c r="AE223" s="305">
        <f t="shared" si="88"/>
        <v>0.5</v>
      </c>
      <c r="AF223" s="177">
        <f t="shared" si="89"/>
        <v>0.43639472295894044</v>
      </c>
      <c r="AG223" s="811">
        <f t="shared" si="95"/>
        <v>-1</v>
      </c>
      <c r="AH223" s="176">
        <f t="shared" si="90"/>
        <v>5</v>
      </c>
      <c r="AI223" s="225">
        <f t="shared" si="91"/>
        <v>-0.56360527704105956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7">
        <v>33.682000000000002</v>
      </c>
      <c r="C224" s="390"/>
      <c r="D224" s="393">
        <f t="shared" si="74"/>
        <v>34.263123587387575</v>
      </c>
      <c r="E224" s="385">
        <f t="shared" si="72"/>
        <v>35.776742546435585</v>
      </c>
      <c r="F224" s="385">
        <f t="shared" si="75"/>
        <v>35.778885514429021</v>
      </c>
      <c r="G224" s="110">
        <f t="shared" si="73"/>
        <v>0.60644070950007245</v>
      </c>
      <c r="H224" s="414" t="b">
        <f>Wh_hp&gt;='2019'!Maxi_hp</f>
        <v>0</v>
      </c>
      <c r="I224" s="380">
        <f>IF(H224,Wh_hp,'2019'!Maxi_hp)</f>
        <v>59.643858292588483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1.6960613234967559E-2</v>
      </c>
      <c r="M224" s="845"/>
      <c r="N224" s="845"/>
      <c r="O224" s="48">
        <f>IF(t&lt;Tnet,'2019'!Resal+('2019'!Salim-'2019'!Resal)*(1-EXP(('2019'!Tnet-t)/('2019'!Tau_j))),Resal+(Salim-Resal)*(1-EXP((Tnet-t)/(Tau_j))))*Salcycl</f>
        <v>4.2307344137981345E-2</v>
      </c>
      <c r="P224" s="169">
        <f>(INDEX(Models!$BJ224:$BT224,,T224)*(1-R224)+INDEX(Models!$BJ224:$BT224,,T224+1)*R224-ERP_i)*Q224*Ramure*Pc/MaxiM</f>
        <v>1.3679630255786454E-4</v>
      </c>
      <c r="Q224" s="305">
        <f t="shared" si="77"/>
        <v>0.5</v>
      </c>
      <c r="R224" s="177">
        <f t="shared" si="78"/>
        <v>0.43856719196297378</v>
      </c>
      <c r="S224" s="811">
        <f t="shared" si="79"/>
        <v>-1</v>
      </c>
      <c r="T224" s="176">
        <f t="shared" si="80"/>
        <v>5</v>
      </c>
      <c r="U224" s="251">
        <f t="shared" si="81"/>
        <v>-0.56143280803702622</v>
      </c>
      <c r="V224" s="383">
        <f t="shared" si="82"/>
        <v>55.536195245002482</v>
      </c>
      <c r="W224" s="402"/>
      <c r="X224" s="157">
        <f t="shared" si="83"/>
        <v>44040</v>
      </c>
      <c r="Y224" s="385">
        <f t="shared" si="84"/>
        <v>33.682000000000002</v>
      </c>
      <c r="Z224" s="385">
        <f t="shared" si="85"/>
        <v>34.263123587387575</v>
      </c>
      <c r="AA224" s="386">
        <f t="shared" si="86"/>
        <v>35.776742546435585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4.2307344137981345E-2</v>
      </c>
      <c r="AD224" s="231">
        <f>(INDEX(Models!$BJ224:$BT224,,AH224)*(1-AF224)+INDEX(Models!$BJ224:$BT224,,AH224+1)*AF224-ERP_i)*AE224*Ramure*Pc/MaxiM</f>
        <v>1.3679630255786454E-4</v>
      </c>
      <c r="AE224" s="305">
        <f t="shared" si="88"/>
        <v>0.5</v>
      </c>
      <c r="AF224" s="177">
        <f t="shared" si="89"/>
        <v>0.43856719196297378</v>
      </c>
      <c r="AG224" s="811">
        <f t="shared" si="95"/>
        <v>-1</v>
      </c>
      <c r="AH224" s="176">
        <f t="shared" si="90"/>
        <v>5</v>
      </c>
      <c r="AI224" s="225">
        <f t="shared" si="91"/>
        <v>-0.56143280803702622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7">
        <v>47.972000000000001</v>
      </c>
      <c r="C225" s="390"/>
      <c r="D225" s="393">
        <f t="shared" si="74"/>
        <v>48.800741230521247</v>
      </c>
      <c r="E225" s="385">
        <f t="shared" si="72"/>
        <v>50.960377525788651</v>
      </c>
      <c r="F225" s="385">
        <f t="shared" si="75"/>
        <v>50.965866141662275</v>
      </c>
      <c r="G225" s="110">
        <f t="shared" si="73"/>
        <v>0.86590310497143563</v>
      </c>
      <c r="H225" s="414" t="b">
        <f>Wh_hp&gt;='2019'!Maxi_hp</f>
        <v>0</v>
      </c>
      <c r="I225" s="380">
        <f>IF(H225,Wh_hp,'2019'!Maxi_hp)</f>
        <v>55.994393253662331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1.6982144320441761E-2</v>
      </c>
      <c r="M225" s="845"/>
      <c r="N225" s="845"/>
      <c r="O225" s="48">
        <f>IF(t&lt;Tnet,'2019'!Resal+('2019'!Salim-'2019'!Resal)*(1-EXP(('2019'!Tnet-t)/('2019'!Tau_j))),Resal+(Salim-Resal)*(1-EXP((Tnet-t)/(Tau_j))))*Salcycl</f>
        <v>4.2378734226890508E-2</v>
      </c>
      <c r="P225" s="169">
        <f>(INDEX(Models!$BJ225:$BT225,,T225)*(1-R225)+INDEX(Models!$BJ225:$BT225,,T225+1)*R225-ERP_i)*Q225*Ramure*Pc/MaxiM</f>
        <v>1.3320558522552433E-4</v>
      </c>
      <c r="Q225" s="305">
        <f t="shared" si="77"/>
        <v>0.5</v>
      </c>
      <c r="R225" s="177">
        <f t="shared" si="78"/>
        <v>0.44067247550985622</v>
      </c>
      <c r="S225" s="811">
        <f t="shared" si="79"/>
        <v>-1</v>
      </c>
      <c r="T225" s="176">
        <f t="shared" si="80"/>
        <v>5</v>
      </c>
      <c r="U225" s="251">
        <f t="shared" si="81"/>
        <v>-0.55932752449014378</v>
      </c>
      <c r="V225" s="383">
        <f t="shared" si="82"/>
        <v>55.399704256606576</v>
      </c>
      <c r="W225" s="402"/>
      <c r="X225" s="157">
        <f t="shared" si="83"/>
        <v>44041</v>
      </c>
      <c r="Y225" s="385">
        <f t="shared" si="84"/>
        <v>47.972000000000001</v>
      </c>
      <c r="Z225" s="385">
        <f t="shared" si="85"/>
        <v>48.800741230521247</v>
      </c>
      <c r="AA225" s="386">
        <f t="shared" si="86"/>
        <v>50.960377525788651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4.2378734226890508E-2</v>
      </c>
      <c r="AD225" s="231">
        <f>(INDEX(Models!$BJ225:$BT225,,AH225)*(1-AF225)+INDEX(Models!$BJ225:$BT225,,AH225+1)*AF225-ERP_i)*AE225*Ramure*Pc/MaxiM</f>
        <v>1.3320558522552433E-4</v>
      </c>
      <c r="AE225" s="305">
        <f t="shared" si="88"/>
        <v>0.5</v>
      </c>
      <c r="AF225" s="177">
        <f t="shared" si="89"/>
        <v>0.44067247550985622</v>
      </c>
      <c r="AG225" s="811">
        <f t="shared" si="95"/>
        <v>-1</v>
      </c>
      <c r="AH225" s="176">
        <f t="shared" si="90"/>
        <v>5</v>
      </c>
      <c r="AI225" s="225">
        <f t="shared" si="91"/>
        <v>-0.55932752449014378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7">
        <v>52.856000000000002</v>
      </c>
      <c r="C226" s="390"/>
      <c r="D226" s="393">
        <f t="shared" si="74"/>
        <v>53.770292576087613</v>
      </c>
      <c r="E226" s="385">
        <f t="shared" si="72"/>
        <v>56.154026731085764</v>
      </c>
      <c r="F226" s="385">
        <f t="shared" si="75"/>
        <v>56.160795352722573</v>
      </c>
      <c r="G226" s="110">
        <f t="shared" si="73"/>
        <v>0.95645610625210487</v>
      </c>
      <c r="H226" s="414" t="b">
        <f>Wh_hp&gt;='2019'!Maxi_hp</f>
        <v>0</v>
      </c>
      <c r="I226" s="380">
        <f>IF(H226,Wh_hp,'2019'!Maxi_hp)</f>
        <v>58.250484133448317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1.7003674934329971E-2</v>
      </c>
      <c r="M226" s="845"/>
      <c r="N226" s="845"/>
      <c r="O226" s="48">
        <f>IF(t&lt;Tnet,'2019'!Resal+('2019'!Salim-'2019'!Resal)*(1-EXP(('2019'!Tnet-t)/('2019'!Tau_j))),Resal+(Salim-Resal)*(1-EXP((Tnet-t)/(Tau_j))))*Salcycl</f>
        <v>4.2449923785760554E-2</v>
      </c>
      <c r="P226" s="169">
        <f>(INDEX(Models!$BJ226:$BT226,,T226)*(1-R226)+INDEX(Models!$BJ226:$BT226,,T226+1)*R226-ERP_i)*Q226*Ramure*Pc/MaxiM</f>
        <v>1.2851513522074316E-4</v>
      </c>
      <c r="Q226" s="305">
        <f t="shared" si="77"/>
        <v>0.5</v>
      </c>
      <c r="R226" s="177">
        <f t="shared" si="78"/>
        <v>0.44271194657532931</v>
      </c>
      <c r="S226" s="811">
        <f t="shared" si="79"/>
        <v>-1</v>
      </c>
      <c r="T226" s="176">
        <f t="shared" si="80"/>
        <v>5</v>
      </c>
      <c r="U226" s="251">
        <f t="shared" si="81"/>
        <v>-0.55728805342467069</v>
      </c>
      <c r="V226" s="383">
        <f t="shared" si="82"/>
        <v>55.261895583156821</v>
      </c>
      <c r="W226" s="402"/>
      <c r="X226" s="157">
        <f t="shared" si="83"/>
        <v>44042</v>
      </c>
      <c r="Y226" s="385">
        <f t="shared" si="84"/>
        <v>52.856000000000002</v>
      </c>
      <c r="Z226" s="385">
        <f t="shared" si="85"/>
        <v>53.770292576087613</v>
      </c>
      <c r="AA226" s="386">
        <f t="shared" si="86"/>
        <v>56.154026731085764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4.2449923785760554E-2</v>
      </c>
      <c r="AD226" s="231">
        <f>(INDEX(Models!$BJ226:$BT226,,AH226)*(1-AF226)+INDEX(Models!$BJ226:$BT226,,AH226+1)*AF226-ERP_i)*AE226*Ramure*Pc/MaxiM</f>
        <v>1.2851513522074316E-4</v>
      </c>
      <c r="AE226" s="305">
        <f t="shared" si="88"/>
        <v>0.5</v>
      </c>
      <c r="AF226" s="177">
        <f t="shared" si="89"/>
        <v>0.44271194657532931</v>
      </c>
      <c r="AG226" s="811">
        <f t="shared" si="95"/>
        <v>-1</v>
      </c>
      <c r="AH226" s="176">
        <f t="shared" si="90"/>
        <v>5</v>
      </c>
      <c r="AI226" s="225">
        <f t="shared" si="91"/>
        <v>-0.55728805342467069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7">
        <v>51.23</v>
      </c>
      <c r="C227" s="390"/>
      <c r="D227" s="393">
        <f t="shared" si="74"/>
        <v>52.117307854261306</v>
      </c>
      <c r="E227" s="385">
        <f t="shared" si="72"/>
        <v>54.431798000702138</v>
      </c>
      <c r="F227" s="385">
        <f t="shared" si="75"/>
        <v>54.437842614852151</v>
      </c>
      <c r="G227" s="110">
        <f t="shared" si="73"/>
        <v>0.92936915949410281</v>
      </c>
      <c r="H227" s="414" t="b">
        <f>Wh_hp&gt;='2019'!Maxi_hp</f>
        <v>0</v>
      </c>
      <c r="I227" s="380">
        <f>IF(H227,Wh_hp,'2019'!Maxi_hp)</f>
        <v>54.762972636889117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1.7025205076642513E-2</v>
      </c>
      <c r="M227" s="845"/>
      <c r="N227" s="845"/>
      <c r="O227" s="48">
        <f>IF(t&lt;Tnet,'2019'!Resal+('2019'!Salim-'2019'!Resal)*(1-EXP(('2019'!Tnet-t)/('2019'!Tau_j))),Resal+(Salim-Resal)*(1-EXP((Tnet-t)/(Tau_j))))*Salcycl</f>
        <v>4.2520920334304872E-2</v>
      </c>
      <c r="P227" s="169">
        <f>(INDEX(Models!$BJ227:$BT227,,T227)*(1-R227)+INDEX(Models!$BJ227:$BT227,,T227+1)*R227-ERP_i)*Q227*Ramure*Pc/MaxiM</f>
        <v>1.2349582315439889E-4</v>
      </c>
      <c r="Q227" s="305">
        <f t="shared" si="77"/>
        <v>0.5</v>
      </c>
      <c r="R227" s="177">
        <f t="shared" si="78"/>
        <v>0.44468700130399852</v>
      </c>
      <c r="S227" s="811">
        <f t="shared" si="79"/>
        <v>-1</v>
      </c>
      <c r="T227" s="176">
        <f t="shared" si="80"/>
        <v>5</v>
      </c>
      <c r="U227" s="251">
        <f t="shared" si="81"/>
        <v>-0.55531299869600148</v>
      </c>
      <c r="V227" s="383">
        <f t="shared" si="82"/>
        <v>55.122726141408656</v>
      </c>
      <c r="W227" s="402"/>
      <c r="X227" s="157">
        <f t="shared" si="83"/>
        <v>44043</v>
      </c>
      <c r="Y227" s="385">
        <f t="shared" si="84"/>
        <v>51.23</v>
      </c>
      <c r="Z227" s="385">
        <f t="shared" si="85"/>
        <v>52.117307854261306</v>
      </c>
      <c r="AA227" s="386">
        <f t="shared" si="86"/>
        <v>54.431798000702138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4.2520920334304872E-2</v>
      </c>
      <c r="AD227" s="231">
        <f>(INDEX(Models!$BJ227:$BT227,,AH227)*(1-AF227)+INDEX(Models!$BJ227:$BT227,,AH227+1)*AF227-ERP_i)*AE227*Ramure*Pc/MaxiM</f>
        <v>1.2349582315439889E-4</v>
      </c>
      <c r="AE227" s="305">
        <f t="shared" si="88"/>
        <v>0.5</v>
      </c>
      <c r="AF227" s="177">
        <f t="shared" si="89"/>
        <v>0.44468700130399852</v>
      </c>
      <c r="AG227" s="811">
        <f t="shared" si="95"/>
        <v>-1</v>
      </c>
      <c r="AH227" s="176">
        <f t="shared" si="90"/>
        <v>5</v>
      </c>
      <c r="AI227" s="225">
        <f t="shared" si="91"/>
        <v>-0.55531299869600148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7">
        <v>45.75</v>
      </c>
      <c r="C228" s="390"/>
      <c r="D228" s="393">
        <f t="shared" si="74"/>
        <v>46.543413219389073</v>
      </c>
      <c r="E228" s="385">
        <f t="shared" si="72"/>
        <v>48.613966160491046</v>
      </c>
      <c r="F228" s="385">
        <f t="shared" si="75"/>
        <v>48.618332361701739</v>
      </c>
      <c r="G228" s="110">
        <f t="shared" si="73"/>
        <v>0.83206395518901233</v>
      </c>
      <c r="H228" s="414" t="b">
        <f>Wh_hp&gt;='2019'!Maxi_hp</f>
        <v>0</v>
      </c>
      <c r="I228" s="380">
        <f>IF(H228,Wh_hp,'2019'!Maxi_hp)</f>
        <v>56.845203333586923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1.7046734747389602E-2</v>
      </c>
      <c r="M228" s="845"/>
      <c r="N228" s="845"/>
      <c r="O228" s="48">
        <f>IF(t&lt;Tnet,'2019'!Resal+('2019'!Salim-'2019'!Resal)*(1-EXP(('2019'!Tnet-t)/('2019'!Tau_j))),Resal+(Salim-Resal)*(1-EXP((Tnet-t)/(Tau_j))))*Salcycl</f>
        <v>4.2591730414802575E-2</v>
      </c>
      <c r="P228" s="169">
        <f>(INDEX(Models!$BJ228:$BT228,,T228)*(1-R228)+INDEX(Models!$BJ228:$BT228,,T228+1)*R228-ERP_i)*Q228*Ramure*Pc/MaxiM</f>
        <v>1.1814589576029054E-4</v>
      </c>
      <c r="Q228" s="305">
        <f t="shared" si="77"/>
        <v>0.5</v>
      </c>
      <c r="R228" s="177">
        <f t="shared" si="78"/>
        <v>0.44659905438863534</v>
      </c>
      <c r="S228" s="811">
        <f t="shared" si="79"/>
        <v>-1</v>
      </c>
      <c r="T228" s="176">
        <f t="shared" si="80"/>
        <v>5</v>
      </c>
      <c r="U228" s="251">
        <f t="shared" si="81"/>
        <v>-0.55340094561136466</v>
      </c>
      <c r="V228" s="383">
        <f t="shared" si="82"/>
        <v>54.982195818312775</v>
      </c>
      <c r="W228" s="402"/>
      <c r="X228" s="157">
        <f t="shared" si="83"/>
        <v>44044</v>
      </c>
      <c r="Y228" s="385">
        <f t="shared" si="84"/>
        <v>45.75</v>
      </c>
      <c r="Z228" s="385">
        <f t="shared" si="85"/>
        <v>46.543413219389073</v>
      </c>
      <c r="AA228" s="386">
        <f t="shared" si="86"/>
        <v>48.613966160491046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4.2591730414802575E-2</v>
      </c>
      <c r="AD228" s="231">
        <f>(INDEX(Models!$BJ228:$BT228,,AH228)*(1-AF228)+INDEX(Models!$BJ228:$BT228,,AH228+1)*AF228-ERP_i)*AE228*Ramure*Pc/MaxiM</f>
        <v>1.1814589576029054E-4</v>
      </c>
      <c r="AE228" s="305">
        <f t="shared" si="88"/>
        <v>0.5</v>
      </c>
      <c r="AF228" s="177">
        <f t="shared" si="89"/>
        <v>0.44659905438863534</v>
      </c>
      <c r="AG228" s="811">
        <f t="shared" si="95"/>
        <v>-1</v>
      </c>
      <c r="AH228" s="176">
        <f t="shared" si="90"/>
        <v>5</v>
      </c>
      <c r="AI228" s="225">
        <f t="shared" si="91"/>
        <v>-0.55340094561136466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7">
        <v>34.143000000000001</v>
      </c>
      <c r="C229" s="390"/>
      <c r="D229" s="393">
        <f t="shared" si="74"/>
        <v>34.735881188543154</v>
      </c>
      <c r="E229" s="385">
        <f t="shared" si="72"/>
        <v>36.283835214341977</v>
      </c>
      <c r="F229" s="385">
        <f t="shared" si="75"/>
        <v>36.285715828057278</v>
      </c>
      <c r="G229" s="110">
        <f t="shared" si="73"/>
        <v>0.62255178717481729</v>
      </c>
      <c r="H229" s="414" t="b">
        <f>Wh_hp&gt;='2019'!Maxi_hp</f>
        <v>0</v>
      </c>
      <c r="I229" s="380">
        <f>IF(H229,Wh_hp,'2019'!Maxi_hp)</f>
        <v>57.532187418566849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1.7068263946581674E-2</v>
      </c>
      <c r="M229" s="845"/>
      <c r="N229" s="845"/>
      <c r="O229" s="48">
        <f>IF(t&lt;Tnet,'2019'!Resal+('2019'!Salim-'2019'!Resal)*(1-EXP(('2019'!Tnet-t)/('2019'!Tau_j))),Resal+(Salim-Resal)*(1-EXP((Tnet-t)/(Tau_j))))*Salcycl</f>
        <v>4.2662359605992267E-2</v>
      </c>
      <c r="P229" s="169">
        <f>(INDEX(Models!$BJ229:$BT229,,T229)*(1-R229)+INDEX(Models!$BJ229:$BT229,,T229+1)*R229-ERP_i)*Q229*Ramure*Pc/MaxiM</f>
        <v>1.1246351744493693E-4</v>
      </c>
      <c r="Q229" s="305">
        <f t="shared" si="77"/>
        <v>0.5</v>
      </c>
      <c r="R229" s="177">
        <f t="shared" si="78"/>
        <v>0.44844953471135829</v>
      </c>
      <c r="S229" s="811">
        <f t="shared" si="79"/>
        <v>-1</v>
      </c>
      <c r="T229" s="176">
        <f t="shared" si="80"/>
        <v>5</v>
      </c>
      <c r="U229" s="251">
        <f t="shared" si="81"/>
        <v>-0.55155046528864171</v>
      </c>
      <c r="V229" s="383">
        <f t="shared" si="82"/>
        <v>54.840304558328903</v>
      </c>
      <c r="W229" s="402"/>
      <c r="X229" s="157">
        <f t="shared" si="83"/>
        <v>44045</v>
      </c>
      <c r="Y229" s="385">
        <f t="shared" si="84"/>
        <v>34.143000000000001</v>
      </c>
      <c r="Z229" s="385">
        <f t="shared" si="85"/>
        <v>34.735881188543154</v>
      </c>
      <c r="AA229" s="386">
        <f t="shared" si="86"/>
        <v>36.283835214341977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4.2662359605992267E-2</v>
      </c>
      <c r="AD229" s="231">
        <f>(INDEX(Models!$BJ229:$BT229,,AH229)*(1-AF229)+INDEX(Models!$BJ229:$BT229,,AH229+1)*AF229-ERP_i)*AE229*Ramure*Pc/MaxiM</f>
        <v>1.1246351744493693E-4</v>
      </c>
      <c r="AE229" s="305">
        <f t="shared" si="88"/>
        <v>0.5</v>
      </c>
      <c r="AF229" s="177">
        <f t="shared" si="89"/>
        <v>0.44844953471135829</v>
      </c>
      <c r="AG229" s="811">
        <f t="shared" si="95"/>
        <v>-1</v>
      </c>
      <c r="AH229" s="176">
        <f t="shared" si="90"/>
        <v>5</v>
      </c>
      <c r="AI229" s="225">
        <f t="shared" si="91"/>
        <v>-0.55155046528864171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7">
        <v>48.209000000000003</v>
      </c>
      <c r="C230" s="390"/>
      <c r="D230" s="393">
        <f t="shared" si="74"/>
        <v>49.047206591905756</v>
      </c>
      <c r="E230" s="385">
        <f t="shared" si="72"/>
        <v>51.236694660140678</v>
      </c>
      <c r="F230" s="385">
        <f t="shared" si="75"/>
        <v>51.241224841278388</v>
      </c>
      <c r="G230" s="110">
        <f t="shared" si="73"/>
        <v>0.88136614778935118</v>
      </c>
      <c r="H230" s="414" t="b">
        <f>Wh_hp&gt;='2019'!Maxi_hp</f>
        <v>0</v>
      </c>
      <c r="I230" s="380">
        <f>IF(H230,Wh_hp,'2019'!Maxi_hp)</f>
        <v>54.820289563876685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1.7089792674229054E-2</v>
      </c>
      <c r="M230" s="845"/>
      <c r="N230" s="845"/>
      <c r="O230" s="48">
        <f>IF(t&lt;Tnet,'2019'!Resal+('2019'!Salim-'2019'!Resal)*(1-EXP(('2019'!Tnet-t)/('2019'!Tau_j))),Resal+(Salim-Resal)*(1-EXP((Tnet-t)/(Tau_j))))*Salcycl</f>
        <v>4.2732812543003942E-2</v>
      </c>
      <c r="P230" s="169">
        <f>(INDEX(Models!$BJ230:$BT230,,T230)*(1-R230)+INDEX(Models!$BJ230:$BT230,,T230+1)*R230-ERP_i)*Q230*Ramure*Pc/MaxiM</f>
        <v>1.0644677007888451E-4</v>
      </c>
      <c r="Q230" s="305">
        <f t="shared" si="77"/>
        <v>0.5</v>
      </c>
      <c r="R230" s="177">
        <f t="shared" si="78"/>
        <v>0.45023988124603509</v>
      </c>
      <c r="S230" s="811">
        <f t="shared" si="79"/>
        <v>-1</v>
      </c>
      <c r="T230" s="176">
        <f t="shared" si="80"/>
        <v>5</v>
      </c>
      <c r="U230" s="251">
        <f t="shared" si="81"/>
        <v>-0.54976011875396491</v>
      </c>
      <c r="V230" s="383">
        <f t="shared" si="82"/>
        <v>54.697052362537335</v>
      </c>
      <c r="W230" s="402"/>
      <c r="X230" s="157">
        <f t="shared" si="83"/>
        <v>44046</v>
      </c>
      <c r="Y230" s="385">
        <f t="shared" si="84"/>
        <v>48.209000000000003</v>
      </c>
      <c r="Z230" s="385">
        <f t="shared" si="85"/>
        <v>49.047206591905756</v>
      </c>
      <c r="AA230" s="386">
        <f t="shared" si="86"/>
        <v>51.236694660140678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4.2732812543003942E-2</v>
      </c>
      <c r="AD230" s="231">
        <f>(INDEX(Models!$BJ230:$BT230,,AH230)*(1-AF230)+INDEX(Models!$BJ230:$BT230,,AH230+1)*AF230-ERP_i)*AE230*Ramure*Pc/MaxiM</f>
        <v>1.0644677007888451E-4</v>
      </c>
      <c r="AE230" s="305">
        <f t="shared" si="88"/>
        <v>0.5</v>
      </c>
      <c r="AF230" s="177">
        <f t="shared" si="89"/>
        <v>0.45023988124603509</v>
      </c>
      <c r="AG230" s="811">
        <f t="shared" si="95"/>
        <v>-1</v>
      </c>
      <c r="AH230" s="176">
        <f t="shared" si="90"/>
        <v>5</v>
      </c>
      <c r="AI230" s="225">
        <f t="shared" si="91"/>
        <v>-0.54976011875396491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7">
        <v>53.097000000000001</v>
      </c>
      <c r="C231" s="390"/>
      <c r="D231" s="393">
        <f t="shared" si="74"/>
        <v>54.021377121016755</v>
      </c>
      <c r="E231" s="385">
        <f t="shared" si="72"/>
        <v>56.437057749275056</v>
      </c>
      <c r="F231" s="385">
        <f t="shared" si="75"/>
        <v>56.442491959447445</v>
      </c>
      <c r="G231" s="110">
        <f t="shared" si="73"/>
        <v>0.97331664932939033</v>
      </c>
      <c r="H231" s="414" t="b">
        <f>Wh_hp&gt;='2019'!Maxi_hp</f>
        <v>1</v>
      </c>
      <c r="I231" s="380">
        <f>IF(H231,Wh_hp,'2019'!Maxi_hp)</f>
        <v>56.442491959447445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1.7111320930342067E-2</v>
      </c>
      <c r="M231" s="845"/>
      <c r="N231" s="845"/>
      <c r="O231" s="48">
        <f>IF(t&lt;Tnet,'2019'!Resal+('2019'!Salim-'2019'!Resal)*(1-EXP(('2019'!Tnet-t)/('2019'!Tau_j))),Resal+(Salim-Resal)*(1-EXP((Tnet-t)/(Tau_j))))*Salcycl</f>
        <v>4.2803092942762924E-2</v>
      </c>
      <c r="P231" s="169">
        <f>(INDEX(Models!$BJ231:$BT231,,T231)*(1-R231)+INDEX(Models!$BJ231:$BT231,,T231+1)*R231-ERP_i)*Q231*Ramure*Pc/MaxiM</f>
        <v>1.000936537036199E-4</v>
      </c>
      <c r="Q231" s="305">
        <f t="shared" si="77"/>
        <v>0.5</v>
      </c>
      <c r="R231" s="177">
        <f t="shared" si="78"/>
        <v>0.45197153921967748</v>
      </c>
      <c r="S231" s="811">
        <f t="shared" si="79"/>
        <v>-1</v>
      </c>
      <c r="T231" s="176">
        <f t="shared" si="80"/>
        <v>5</v>
      </c>
      <c r="U231" s="251">
        <f t="shared" si="81"/>
        <v>-0.54802846078032252</v>
      </c>
      <c r="V231" s="383">
        <f t="shared" si="82"/>
        <v>54.552439285692955</v>
      </c>
      <c r="W231" s="402"/>
      <c r="X231" s="157">
        <f t="shared" si="83"/>
        <v>44047</v>
      </c>
      <c r="Y231" s="385">
        <f t="shared" si="84"/>
        <v>53.097000000000001</v>
      </c>
      <c r="Z231" s="385">
        <f t="shared" si="85"/>
        <v>54.021377121016755</v>
      </c>
      <c r="AA231" s="386">
        <f t="shared" si="86"/>
        <v>56.437057749275056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4.2803092942762924E-2</v>
      </c>
      <c r="AD231" s="231">
        <f>(INDEX(Models!$BJ231:$BT231,,AH231)*(1-AF231)+INDEX(Models!$BJ231:$BT231,,AH231+1)*AF231-ERP_i)*AE231*Ramure*Pc/MaxiM</f>
        <v>1.000936537036199E-4</v>
      </c>
      <c r="AE231" s="305">
        <f t="shared" si="88"/>
        <v>0.5</v>
      </c>
      <c r="AF231" s="177">
        <f t="shared" si="89"/>
        <v>0.45197153921967748</v>
      </c>
      <c r="AG231" s="811">
        <f t="shared" si="95"/>
        <v>-1</v>
      </c>
      <c r="AH231" s="176">
        <f t="shared" si="90"/>
        <v>5</v>
      </c>
      <c r="AI231" s="225">
        <f t="shared" si="91"/>
        <v>-0.54802846078032252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7">
        <v>54.051000000000002</v>
      </c>
      <c r="C232" s="390"/>
      <c r="D232" s="393">
        <f t="shared" si="74"/>
        <v>54.993190004702022</v>
      </c>
      <c r="E232" s="385">
        <f t="shared" si="72"/>
        <v>57.45653576256958</v>
      </c>
      <c r="F232" s="385">
        <f t="shared" si="75"/>
        <v>57.46185272567628</v>
      </c>
      <c r="G232" s="110">
        <f t="shared" si="73"/>
        <v>0.99346561927378441</v>
      </c>
      <c r="H232" s="414" t="b">
        <f>Wh_hp&gt;='2019'!Maxi_hp</f>
        <v>1</v>
      </c>
      <c r="I232" s="380">
        <f>IF(H232,Wh_hp,'2019'!Maxi_hp)</f>
        <v>57.46185272567628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1.7132848714931037E-2</v>
      </c>
      <c r="M232" s="845"/>
      <c r="N232" s="845"/>
      <c r="O232" s="48">
        <f>IF(t&lt;Tnet,'2019'!Resal+('2019'!Salim-'2019'!Resal)*(1-EXP(('2019'!Tnet-t)/('2019'!Tau_j))),Resal+(Salim-Resal)*(1-EXP((Tnet-t)/(Tau_j))))*Salcycl</f>
        <v>4.2873203634255938E-2</v>
      </c>
      <c r="P232" s="169">
        <f>(INDEX(Models!$BJ232:$BT232,,T232)*(1-R232)+INDEX(Models!$BJ232:$BT232,,T232+1)*R232-ERP_i)*Q232*Ramure*Pc/MaxiM</f>
        <v>9.3402088062357426E-5</v>
      </c>
      <c r="Q232" s="305">
        <f t="shared" si="77"/>
        <v>0.5</v>
      </c>
      <c r="R232" s="177">
        <f t="shared" si="78"/>
        <v>0.45364595652920903</v>
      </c>
      <c r="S232" s="811">
        <f t="shared" si="79"/>
        <v>-1</v>
      </c>
      <c r="T232" s="176">
        <f t="shared" si="80"/>
        <v>5</v>
      </c>
      <c r="U232" s="251">
        <f t="shared" si="81"/>
        <v>-0.54635404347079097</v>
      </c>
      <c r="V232" s="383">
        <f t="shared" si="82"/>
        <v>54.40646543433634</v>
      </c>
      <c r="W232" s="402"/>
      <c r="X232" s="157">
        <f t="shared" si="83"/>
        <v>44048</v>
      </c>
      <c r="Y232" s="385">
        <f t="shared" si="84"/>
        <v>54.051000000000002</v>
      </c>
      <c r="Z232" s="385">
        <f t="shared" si="85"/>
        <v>54.993190004702022</v>
      </c>
      <c r="AA232" s="386">
        <f t="shared" si="86"/>
        <v>57.45653576256958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4.2873203634255938E-2</v>
      </c>
      <c r="AD232" s="231">
        <f>(INDEX(Models!$BJ232:$BT232,,AH232)*(1-AF232)+INDEX(Models!$BJ232:$BT232,,AH232+1)*AF232-ERP_i)*AE232*Ramure*Pc/MaxiM</f>
        <v>9.3402088062357426E-5</v>
      </c>
      <c r="AE232" s="305">
        <f t="shared" si="88"/>
        <v>0.5</v>
      </c>
      <c r="AF232" s="177">
        <f t="shared" si="89"/>
        <v>0.45364595652920903</v>
      </c>
      <c r="AG232" s="811">
        <f t="shared" si="95"/>
        <v>-1</v>
      </c>
      <c r="AH232" s="176">
        <f t="shared" si="90"/>
        <v>5</v>
      </c>
      <c r="AI232" s="225">
        <f t="shared" si="91"/>
        <v>-0.54635404347079097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7">
        <v>52.503</v>
      </c>
      <c r="C233" s="390"/>
      <c r="D233" s="393">
        <f t="shared" si="74"/>
        <v>53.41937606418653</v>
      </c>
      <c r="E233" s="385">
        <f t="shared" ref="E233:E296" si="96">Wh_pvt/(1-Psa)</f>
        <v>55.816303779677334</v>
      </c>
      <c r="F233" s="385">
        <f t="shared" si="75"/>
        <v>55.820902062700583</v>
      </c>
      <c r="G233" s="110">
        <f t="shared" ref="G233:G296" si="97">+Wh_hp/MaxiM</f>
        <v>0.9676266028070647</v>
      </c>
      <c r="H233" s="414" t="b">
        <f>Wh_hp&gt;='2019'!Maxi_hp</f>
        <v>1</v>
      </c>
      <c r="I233" s="380">
        <f>IF(H233,Wh_hp,'2019'!Maxi_hp)</f>
        <v>55.820902062700583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1.715437602800618E-2</v>
      </c>
      <c r="M233" s="845"/>
      <c r="N233" s="845"/>
      <c r="O233" s="48">
        <f>IF(t&lt;Tnet,'2019'!Resal+('2019'!Salim-'2019'!Resal)*(1-EXP(('2019'!Tnet-t)/('2019'!Tau_j))),Resal+(Salim-Resal)*(1-EXP((Tnet-t)/(Tau_j))))*Salcycl</f>
        <v>4.2943146593012627E-2</v>
      </c>
      <c r="P233" s="169">
        <f>(INDEX(Models!$BJ233:$BT233,,T233)*(1-R233)+INDEX(Models!$BJ233:$BT233,,T233+1)*R233-ERP_i)*Q233*Ramure*Pc/MaxiM</f>
        <v>8.6369566601219257E-5</v>
      </c>
      <c r="Q233" s="305">
        <f t="shared" si="77"/>
        <v>0.5</v>
      </c>
      <c r="R233" s="177">
        <f t="shared" si="78"/>
        <v>0.45526458040877249</v>
      </c>
      <c r="S233" s="811">
        <f t="shared" si="79"/>
        <v>-1</v>
      </c>
      <c r="T233" s="176">
        <f t="shared" si="80"/>
        <v>5</v>
      </c>
      <c r="U233" s="251">
        <f t="shared" si="81"/>
        <v>-0.54473541959122751</v>
      </c>
      <c r="V233" s="383">
        <f t="shared" si="82"/>
        <v>54.259349771645859</v>
      </c>
      <c r="W233" s="402"/>
      <c r="X233" s="157">
        <f t="shared" si="83"/>
        <v>44049</v>
      </c>
      <c r="Y233" s="385">
        <f t="shared" si="84"/>
        <v>52.503</v>
      </c>
      <c r="Z233" s="385">
        <f t="shared" si="85"/>
        <v>53.41937606418653</v>
      </c>
      <c r="AA233" s="386">
        <f t="shared" si="86"/>
        <v>55.816303779677334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4.2943146593012627E-2</v>
      </c>
      <c r="AD233" s="231">
        <f>(INDEX(Models!$BJ233:$BT233,,AH233)*(1-AF233)+INDEX(Models!$BJ233:$BT233,,AH233+1)*AF233-ERP_i)*AE233*Ramure*Pc/MaxiM</f>
        <v>8.6369566601219257E-5</v>
      </c>
      <c r="AE233" s="305">
        <f t="shared" si="88"/>
        <v>0.5</v>
      </c>
      <c r="AF233" s="177">
        <f t="shared" si="89"/>
        <v>0.45526458040877249</v>
      </c>
      <c r="AG233" s="811">
        <f t="shared" si="95"/>
        <v>-1</v>
      </c>
      <c r="AH233" s="176">
        <f t="shared" si="90"/>
        <v>5</v>
      </c>
      <c r="AI233" s="225">
        <f t="shared" si="91"/>
        <v>-0.54473541959122751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7">
        <v>51.725000000000001</v>
      </c>
      <c r="C234" s="390"/>
      <c r="D234" s="393">
        <f t="shared" si="74"/>
        <v>52.628949728667493</v>
      </c>
      <c r="E234" s="385">
        <f t="shared" si="96"/>
        <v>54.994420502001859</v>
      </c>
      <c r="F234" s="385">
        <f t="shared" si="75"/>
        <v>54.998501236505938</v>
      </c>
      <c r="G234" s="110">
        <f t="shared" si="97"/>
        <v>0.95589655954334352</v>
      </c>
      <c r="H234" s="414" t="b">
        <f>Wh_hp&gt;='2019'!Maxi_hp</f>
        <v>0</v>
      </c>
      <c r="I234" s="380">
        <f>IF(H234,Wh_hp,'2019'!Maxi_hp)</f>
        <v>55.053603871117858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1.717590286957793E-2</v>
      </c>
      <c r="M234" s="845"/>
      <c r="N234" s="845"/>
      <c r="O234" s="48">
        <f>IF(t&lt;Tnet,'2019'!Resal+('2019'!Salim-'2019'!Resal)*(1-EXP(('2019'!Tnet-t)/('2019'!Tau_j))),Resal+(Salim-Resal)*(1-EXP((Tnet-t)/(Tau_j))))*Salcycl</f>
        <v>4.301292297912758E-2</v>
      </c>
      <c r="P234" s="169">
        <f>(INDEX(Models!$BJ234:$BT234,,T234)*(1-R234)+INDEX(Models!$BJ234:$BT234,,T234+1)*R234-ERP_i)*Q234*Ramure*Pc/MaxiM</f>
        <v>7.9185746440064755E-5</v>
      </c>
      <c r="Q234" s="305">
        <f t="shared" si="77"/>
        <v>0.5</v>
      </c>
      <c r="R234" s="177">
        <f t="shared" si="78"/>
        <v>0.45682885434169407</v>
      </c>
      <c r="S234" s="811">
        <f t="shared" si="79"/>
        <v>-1</v>
      </c>
      <c r="T234" s="176">
        <f t="shared" si="80"/>
        <v>5</v>
      </c>
      <c r="U234" s="251">
        <f t="shared" si="81"/>
        <v>-0.54317114565830593</v>
      </c>
      <c r="V234" s="383">
        <f t="shared" si="82"/>
        <v>54.11123351330442</v>
      </c>
      <c r="W234" s="402"/>
      <c r="X234" s="157">
        <f t="shared" si="83"/>
        <v>44050</v>
      </c>
      <c r="Y234" s="385">
        <f t="shared" si="84"/>
        <v>51.725000000000001</v>
      </c>
      <c r="Z234" s="385">
        <f t="shared" si="85"/>
        <v>52.628949728667493</v>
      </c>
      <c r="AA234" s="386">
        <f t="shared" si="86"/>
        <v>54.994420502001859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4.301292297912758E-2</v>
      </c>
      <c r="AD234" s="231">
        <f>(INDEX(Models!$BJ234:$BT234,,AH234)*(1-AF234)+INDEX(Models!$BJ234:$BT234,,AH234+1)*AF234-ERP_i)*AE234*Ramure*Pc/MaxiM</f>
        <v>7.9185746440064755E-5</v>
      </c>
      <c r="AE234" s="305">
        <f t="shared" si="88"/>
        <v>0.5</v>
      </c>
      <c r="AF234" s="177">
        <f t="shared" si="89"/>
        <v>0.45682885434169407</v>
      </c>
      <c r="AG234" s="811">
        <f t="shared" si="95"/>
        <v>-1</v>
      </c>
      <c r="AH234" s="176">
        <f t="shared" si="90"/>
        <v>5</v>
      </c>
      <c r="AI234" s="225">
        <f t="shared" si="91"/>
        <v>-0.54317114565830593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7">
        <v>49.494999999999997</v>
      </c>
      <c r="C235" s="390"/>
      <c r="D235" s="393">
        <f t="shared" si="74"/>
        <v>50.361081129151188</v>
      </c>
      <c r="E235" s="385">
        <f t="shared" si="96"/>
        <v>52.628447985604339</v>
      </c>
      <c r="F235" s="385">
        <f t="shared" si="75"/>
        <v>52.631806166083933</v>
      </c>
      <c r="G235" s="110">
        <f t="shared" si="97"/>
        <v>0.91721187624731271</v>
      </c>
      <c r="H235" s="414" t="b">
        <f>Wh_hp&gt;='2019'!Maxi_hp</f>
        <v>0</v>
      </c>
      <c r="I235" s="380">
        <f>IF(H235,Wh_hp,'2019'!Maxi_hp)</f>
        <v>53.129673681331845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1.7197429239656725E-2</v>
      </c>
      <c r="M235" s="845"/>
      <c r="N235" s="845"/>
      <c r="O235" s="48">
        <f>IF(t&lt;Tnet,'2019'!Resal+('2019'!Salim-'2019'!Resal)*(1-EXP(('2019'!Tnet-t)/('2019'!Tau_j))),Resal+(Salim-Resal)*(1-EXP((Tnet-t)/(Tau_j))))*Salcycl</f>
        <v>4.308253317812738E-2</v>
      </c>
      <c r="P235" s="169">
        <f>(INDEX(Models!$BJ235:$BT235,,T235)*(1-R235)+INDEX(Models!$BJ235:$BT235,,T235+1)*R235-ERP_i)*Q235*Ramure*Pc/MaxiM</f>
        <v>7.2362573153641988E-5</v>
      </c>
      <c r="Q235" s="305">
        <f t="shared" si="77"/>
        <v>0.5</v>
      </c>
      <c r="R235" s="177">
        <f t="shared" si="78"/>
        <v>0.45834021521032242</v>
      </c>
      <c r="S235" s="811">
        <f t="shared" si="79"/>
        <v>-1</v>
      </c>
      <c r="T235" s="176">
        <f t="shared" si="80"/>
        <v>5</v>
      </c>
      <c r="U235" s="251">
        <f t="shared" si="81"/>
        <v>-0.54165978478967758</v>
      </c>
      <c r="V235" s="383">
        <f t="shared" si="82"/>
        <v>53.961988178781596</v>
      </c>
      <c r="W235" s="402"/>
      <c r="X235" s="157">
        <f t="shared" si="83"/>
        <v>44051</v>
      </c>
      <c r="Y235" s="385">
        <f t="shared" si="84"/>
        <v>49.494999999999997</v>
      </c>
      <c r="Z235" s="385">
        <f t="shared" si="85"/>
        <v>50.361081129151188</v>
      </c>
      <c r="AA235" s="386">
        <f t="shared" si="86"/>
        <v>52.628447985604339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4.308253317812738E-2</v>
      </c>
      <c r="AD235" s="231">
        <f>(INDEX(Models!$BJ235:$BT235,,AH235)*(1-AF235)+INDEX(Models!$BJ235:$BT235,,AH235+1)*AF235-ERP_i)*AE235*Ramure*Pc/MaxiM</f>
        <v>7.2362573153641988E-5</v>
      </c>
      <c r="AE235" s="305">
        <f t="shared" si="88"/>
        <v>0.5</v>
      </c>
      <c r="AF235" s="177">
        <f t="shared" si="89"/>
        <v>0.45834021521032242</v>
      </c>
      <c r="AG235" s="811">
        <f t="shared" si="95"/>
        <v>-1</v>
      </c>
      <c r="AH235" s="176">
        <f t="shared" si="90"/>
        <v>5</v>
      </c>
      <c r="AI235" s="225">
        <f t="shared" si="91"/>
        <v>-0.54165978478967758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7">
        <v>40.295000000000002</v>
      </c>
      <c r="C236" s="390"/>
      <c r="D236" s="393">
        <f t="shared" si="74"/>
        <v>41.000994281150895</v>
      </c>
      <c r="E236" s="385">
        <f t="shared" si="96"/>
        <v>42.850059036454994</v>
      </c>
      <c r="F236" s="385">
        <f t="shared" si="75"/>
        <v>42.851869791704615</v>
      </c>
      <c r="G236" s="110">
        <f t="shared" si="97"/>
        <v>0.74879974224196377</v>
      </c>
      <c r="H236" s="414" t="b">
        <f>Wh_hp&gt;='2019'!Maxi_hp</f>
        <v>0</v>
      </c>
      <c r="I236" s="380">
        <f>IF(H236,Wh_hp,'2019'!Maxi_hp)</f>
        <v>52.024091924029669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1.7218955138252667E-2</v>
      </c>
      <c r="M236" s="845"/>
      <c r="N236" s="845"/>
      <c r="O236" s="48">
        <f>IF(t&lt;Tnet,'2019'!Resal+('2019'!Salim-'2019'!Resal)*(1-EXP(('2019'!Tnet-t)/('2019'!Tau_j))),Resal+(Salim-Resal)*(1-EXP((Tnet-t)/(Tau_j))))*Salcycl</f>
        <v>4.3151976843975669E-2</v>
      </c>
      <c r="P236" s="169">
        <f>(INDEX(Models!$BJ236:$BT236,,T236)*(1-R236)+INDEX(Models!$BJ236:$BT236,,T236+1)*R236-ERP_i)*Q236*Ramure*Pc/MaxiM</f>
        <v>6.5904987324239711E-5</v>
      </c>
      <c r="Q236" s="305">
        <f t="shared" si="77"/>
        <v>0.5</v>
      </c>
      <c r="R236" s="177">
        <f t="shared" si="78"/>
        <v>0.45980009067621952</v>
      </c>
      <c r="S236" s="811">
        <f t="shared" si="79"/>
        <v>-1</v>
      </c>
      <c r="T236" s="176">
        <f t="shared" si="80"/>
        <v>5</v>
      </c>
      <c r="U236" s="251">
        <f t="shared" si="81"/>
        <v>-0.54019990932378048</v>
      </c>
      <c r="V236" s="383">
        <f t="shared" si="82"/>
        <v>53.811512954567789</v>
      </c>
      <c r="W236" s="402"/>
      <c r="X236" s="157">
        <f t="shared" si="83"/>
        <v>44052</v>
      </c>
      <c r="Y236" s="385">
        <f t="shared" si="84"/>
        <v>40.295000000000002</v>
      </c>
      <c r="Z236" s="385">
        <f t="shared" si="85"/>
        <v>41.000994281150895</v>
      </c>
      <c r="AA236" s="386">
        <f t="shared" si="86"/>
        <v>42.850059036454994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4.3151976843975669E-2</v>
      </c>
      <c r="AD236" s="231">
        <f>(INDEX(Models!$BJ236:$BT236,,AH236)*(1-AF236)+INDEX(Models!$BJ236:$BT236,,AH236+1)*AF236-ERP_i)*AE236*Ramure*Pc/MaxiM</f>
        <v>6.5904987324239711E-5</v>
      </c>
      <c r="AE236" s="305">
        <f t="shared" si="88"/>
        <v>0.5</v>
      </c>
      <c r="AF236" s="177">
        <f t="shared" si="89"/>
        <v>0.45980009067621952</v>
      </c>
      <c r="AG236" s="811">
        <f t="shared" si="95"/>
        <v>-1</v>
      </c>
      <c r="AH236" s="176">
        <f t="shared" si="90"/>
        <v>5</v>
      </c>
      <c r="AI236" s="225">
        <f t="shared" si="91"/>
        <v>-0.54019990932378048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7">
        <v>37.061999999999998</v>
      </c>
      <c r="C237" s="390"/>
      <c r="D237" s="393">
        <f t="shared" si="74"/>
        <v>37.712176038062253</v>
      </c>
      <c r="E237" s="385">
        <f t="shared" si="96"/>
        <v>39.415775229208201</v>
      </c>
      <c r="F237" s="385">
        <f t="shared" si="75"/>
        <v>39.417091195499061</v>
      </c>
      <c r="G237" s="110">
        <f t="shared" si="97"/>
        <v>0.69066758530066041</v>
      </c>
      <c r="H237" s="414" t="b">
        <f>Wh_hp&gt;='2019'!Maxi_hp</f>
        <v>0</v>
      </c>
      <c r="I237" s="380">
        <f>IF(H237,Wh_hp,'2019'!Maxi_hp)</f>
        <v>54.934751797677123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1.7240480565376193E-2</v>
      </c>
      <c r="M237" s="845"/>
      <c r="N237" s="845"/>
      <c r="O237" s="48">
        <f>IF(t&lt;Tnet,'2019'!Resal+('2019'!Salim-'2019'!Resal)*(1-EXP(('2019'!Tnet-t)/('2019'!Tau_j))),Resal+(Salim-Resal)*(1-EXP((Tnet-t)/(Tau_j))))*Salcycl</f>
        <v>4.322125294350504E-2</v>
      </c>
      <c r="P237" s="169">
        <f>(INDEX(Models!$BJ237:$BT237,,T237)*(1-R237)+INDEX(Models!$BJ237:$BT237,,T237+1)*R237-ERP_i)*Q237*Ramure*Pc/MaxiM</f>
        <v>5.9817816919950035E-5</v>
      </c>
      <c r="Q237" s="305">
        <f t="shared" si="77"/>
        <v>0.5</v>
      </c>
      <c r="R237" s="177">
        <f t="shared" si="78"/>
        <v>0.46120989678256197</v>
      </c>
      <c r="S237" s="811">
        <f t="shared" si="79"/>
        <v>-1</v>
      </c>
      <c r="T237" s="176">
        <f t="shared" si="80"/>
        <v>5</v>
      </c>
      <c r="U237" s="251">
        <f t="shared" si="81"/>
        <v>-0.53879010321743803</v>
      </c>
      <c r="V237" s="383">
        <f t="shared" si="82"/>
        <v>53.659707112510972</v>
      </c>
      <c r="W237" s="402"/>
      <c r="X237" s="157">
        <f t="shared" si="83"/>
        <v>44053</v>
      </c>
      <c r="Y237" s="385">
        <f t="shared" si="84"/>
        <v>37.061999999999998</v>
      </c>
      <c r="Z237" s="385">
        <f t="shared" si="85"/>
        <v>37.712176038062253</v>
      </c>
      <c r="AA237" s="386">
        <f t="shared" si="86"/>
        <v>39.415775229208201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4.322125294350504E-2</v>
      </c>
      <c r="AD237" s="231">
        <f>(INDEX(Models!$BJ237:$BT237,,AH237)*(1-AF237)+INDEX(Models!$BJ237:$BT237,,AH237+1)*AF237-ERP_i)*AE237*Ramure*Pc/MaxiM</f>
        <v>5.9817816919950035E-5</v>
      </c>
      <c r="AE237" s="305">
        <f t="shared" si="88"/>
        <v>0.5</v>
      </c>
      <c r="AF237" s="177">
        <f t="shared" si="89"/>
        <v>0.46120989678256197</v>
      </c>
      <c r="AG237" s="811">
        <f t="shared" si="95"/>
        <v>-1</v>
      </c>
      <c r="AH237" s="176">
        <f t="shared" si="90"/>
        <v>5</v>
      </c>
      <c r="AI237" s="225">
        <f t="shared" si="91"/>
        <v>-0.53879010321743803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7">
        <v>42.587000000000003</v>
      </c>
      <c r="C238" s="390"/>
      <c r="D238" s="393">
        <f t="shared" si="74"/>
        <v>43.335049870112321</v>
      </c>
      <c r="E238" s="385">
        <f t="shared" si="96"/>
        <v>45.295926840586944</v>
      </c>
      <c r="F238" s="385">
        <f t="shared" si="75"/>
        <v>45.297663182616709</v>
      </c>
      <c r="G238" s="110">
        <f t="shared" si="97"/>
        <v>0.79590988164506982</v>
      </c>
      <c r="H238" s="414" t="b">
        <f>Wh_hp&gt;='2019'!Maxi_hp</f>
        <v>0</v>
      </c>
      <c r="I238" s="380">
        <f>IF(H238,Wh_hp,'2019'!Maxi_hp)</f>
        <v>52.198759439863373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1.7262005521037627E-2</v>
      </c>
      <c r="M238" s="845"/>
      <c r="N238" s="845"/>
      <c r="O238" s="48">
        <f>IF(t&lt;Tnet,'2019'!Resal+('2019'!Salim-'2019'!Resal)*(1-EXP(('2019'!Tnet-t)/('2019'!Tau_j))),Resal+(Salim-Resal)*(1-EXP((Tnet-t)/(Tau_j))))*Salcycl</f>
        <v>4.3290359801570491E-2</v>
      </c>
      <c r="P238" s="169">
        <f>(INDEX(Models!$BJ238:$BT238,,T238)*(1-R238)+INDEX(Models!$BJ238:$BT238,,T238+1)*R238-ERP_i)*Q238*Ramure*Pc/MaxiM</f>
        <v>5.4105792446999389E-5</v>
      </c>
      <c r="Q238" s="305">
        <f t="shared" si="77"/>
        <v>0.5</v>
      </c>
      <c r="R238" s="177">
        <f t="shared" si="78"/>
        <v>0.46257103577012804</v>
      </c>
      <c r="S238" s="811">
        <f t="shared" si="79"/>
        <v>-1</v>
      </c>
      <c r="T238" s="176">
        <f t="shared" si="80"/>
        <v>5</v>
      </c>
      <c r="U238" s="251">
        <f t="shared" si="81"/>
        <v>-0.53742896422987196</v>
      </c>
      <c r="V238" s="383">
        <f t="shared" si="82"/>
        <v>53.506470004130719</v>
      </c>
      <c r="W238" s="402"/>
      <c r="X238" s="157">
        <f t="shared" si="83"/>
        <v>44054</v>
      </c>
      <c r="Y238" s="385">
        <f t="shared" si="84"/>
        <v>42.587000000000003</v>
      </c>
      <c r="Z238" s="385">
        <f t="shared" si="85"/>
        <v>43.335049870112321</v>
      </c>
      <c r="AA238" s="386">
        <f t="shared" si="86"/>
        <v>45.295926840586944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4.3290359801570491E-2</v>
      </c>
      <c r="AD238" s="231">
        <f>(INDEX(Models!$BJ238:$BT238,,AH238)*(1-AF238)+INDEX(Models!$BJ238:$BT238,,AH238+1)*AF238-ERP_i)*AE238*Ramure*Pc/MaxiM</f>
        <v>5.4105792446999389E-5</v>
      </c>
      <c r="AE238" s="305">
        <f t="shared" si="88"/>
        <v>0.5</v>
      </c>
      <c r="AF238" s="177">
        <f t="shared" si="89"/>
        <v>0.46257103577012804</v>
      </c>
      <c r="AG238" s="811">
        <f t="shared" si="95"/>
        <v>-1</v>
      </c>
      <c r="AH238" s="176">
        <f t="shared" si="90"/>
        <v>5</v>
      </c>
      <c r="AI238" s="225">
        <f t="shared" si="91"/>
        <v>-0.53742896422987196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7">
        <v>27.704000000000001</v>
      </c>
      <c r="C239" s="390"/>
      <c r="D239" s="393">
        <f t="shared" si="74"/>
        <v>28.191244215280047</v>
      </c>
      <c r="E239" s="385">
        <f t="shared" si="96"/>
        <v>29.468999251489489</v>
      </c>
      <c r="F239" s="385">
        <f t="shared" si="75"/>
        <v>29.46944948723948</v>
      </c>
      <c r="G239" s="110">
        <f t="shared" si="97"/>
        <v>0.51925377217685786</v>
      </c>
      <c r="H239" s="414" t="b">
        <f>Wh_hp&gt;='2019'!Maxi_hp</f>
        <v>0</v>
      </c>
      <c r="I239" s="380">
        <f>IF(H239,Wh_hp,'2019'!Maxi_hp)</f>
        <v>49.571963401626377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1.7283530005247294E-2</v>
      </c>
      <c r="M239" s="845"/>
      <c r="N239" s="845"/>
      <c r="O239" s="48">
        <f>IF(t&lt;Tnet,'2019'!Resal+('2019'!Salim-'2019'!Resal)*(1-EXP(('2019'!Tnet-t)/('2019'!Tau_j))),Resal+(Salim-Resal)*(1-EXP((Tnet-t)/(Tau_j))))*Salcycl</f>
        <v>4.3359295146232602E-2</v>
      </c>
      <c r="P239" s="169">
        <f>(INDEX(Models!$BJ239:$BT239,,T239)*(1-R239)+INDEX(Models!$BJ239:$BT239,,T239+1)*R239-ERP_i)*Q239*Ramure*Pc/MaxiM</f>
        <v>4.8773561326997554E-5</v>
      </c>
      <c r="Q239" s="305">
        <f t="shared" si="77"/>
        <v>0.5</v>
      </c>
      <c r="R239" s="177">
        <f t="shared" si="78"/>
        <v>0.4638848940978717</v>
      </c>
      <c r="S239" s="811">
        <f t="shared" si="79"/>
        <v>-1</v>
      </c>
      <c r="T239" s="176">
        <f t="shared" si="80"/>
        <v>5</v>
      </c>
      <c r="U239" s="251">
        <f t="shared" si="81"/>
        <v>-0.5361151059021283</v>
      </c>
      <c r="V239" s="383">
        <f t="shared" si="82"/>
        <v>53.351701057583298</v>
      </c>
      <c r="W239" s="402"/>
      <c r="X239" s="157">
        <f t="shared" si="83"/>
        <v>44055</v>
      </c>
      <c r="Y239" s="385">
        <f t="shared" si="84"/>
        <v>27.704000000000001</v>
      </c>
      <c r="Z239" s="385">
        <f t="shared" si="85"/>
        <v>28.191244215280047</v>
      </c>
      <c r="AA239" s="386">
        <f t="shared" si="86"/>
        <v>29.468999251489489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4.3359295146232602E-2</v>
      </c>
      <c r="AD239" s="231">
        <f>(INDEX(Models!$BJ239:$BT239,,AH239)*(1-AF239)+INDEX(Models!$BJ239:$BT239,,AH239+1)*AF239-ERP_i)*AE239*Ramure*Pc/MaxiM</f>
        <v>4.8773561326997554E-5</v>
      </c>
      <c r="AE239" s="305">
        <f t="shared" si="88"/>
        <v>0.5</v>
      </c>
      <c r="AF239" s="177">
        <f t="shared" si="89"/>
        <v>0.4638848940978717</v>
      </c>
      <c r="AG239" s="811">
        <f t="shared" si="95"/>
        <v>-1</v>
      </c>
      <c r="AH239" s="176">
        <f t="shared" si="90"/>
        <v>5</v>
      </c>
      <c r="AI239" s="225">
        <f t="shared" si="91"/>
        <v>-0.5361151059021283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7">
        <v>17.427</v>
      </c>
      <c r="C240" s="390"/>
      <c r="D240" s="393">
        <f t="shared" si="74"/>
        <v>17.733885852629069</v>
      </c>
      <c r="E240" s="385">
        <f t="shared" si="96"/>
        <v>18.538998521444299</v>
      </c>
      <c r="F240" s="385">
        <f t="shared" si="75"/>
        <v>18.539030655230604</v>
      </c>
      <c r="G240" s="110">
        <f t="shared" si="97"/>
        <v>0.32759034215424476</v>
      </c>
      <c r="H240" s="414" t="b">
        <f>Wh_hp&gt;='2019'!Maxi_hp</f>
        <v>0</v>
      </c>
      <c r="I240" s="380">
        <f>IF(H240,Wh_hp,'2019'!Maxi_hp)</f>
        <v>57.385484130512104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1.730505401801552E-2</v>
      </c>
      <c r="M240" s="845"/>
      <c r="N240" s="845"/>
      <c r="O240" s="48">
        <f>IF(t&lt;Tnet,'2019'!Resal+('2019'!Salim-'2019'!Resal)*(1-EXP(('2019'!Tnet-t)/('2019'!Tau_j))),Resal+(Salim-Resal)*(1-EXP((Tnet-t)/(Tau_j))))*Salcycl</f>
        <v>4.3428056153300039E-2</v>
      </c>
      <c r="P240" s="169">
        <f>(INDEX(Models!$BJ240:$BT240,,T240)*(1-R240)+INDEX(Models!$BJ240:$BT240,,T240+1)*R240-ERP_i)*Q240*Ramure*Pc/MaxiM</f>
        <v>4.3953975806156057E-5</v>
      </c>
      <c r="Q240" s="305">
        <f t="shared" si="77"/>
        <v>0.5</v>
      </c>
      <c r="R240" s="177">
        <f t="shared" si="78"/>
        <v>0.46515284065882057</v>
      </c>
      <c r="S240" s="811">
        <f t="shared" si="79"/>
        <v>-1</v>
      </c>
      <c r="T240" s="176">
        <f t="shared" si="80"/>
        <v>5</v>
      </c>
      <c r="U240" s="251">
        <f t="shared" si="81"/>
        <v>-0.53484715934117943</v>
      </c>
      <c r="V240" s="383">
        <f t="shared" si="82"/>
        <v>53.195292951834659</v>
      </c>
      <c r="W240" s="402"/>
      <c r="X240" s="157">
        <f t="shared" si="83"/>
        <v>44056</v>
      </c>
      <c r="Y240" s="385">
        <f t="shared" si="84"/>
        <v>17.427</v>
      </c>
      <c r="Z240" s="385">
        <f t="shared" si="85"/>
        <v>17.733885852629069</v>
      </c>
      <c r="AA240" s="386">
        <f t="shared" si="86"/>
        <v>18.538998521444299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4.3428056153300039E-2</v>
      </c>
      <c r="AD240" s="231">
        <f>(INDEX(Models!$BJ240:$BT240,,AH240)*(1-AF240)+INDEX(Models!$BJ240:$BT240,,AH240+1)*AF240-ERP_i)*AE240*Ramure*Pc/MaxiM</f>
        <v>4.3953975806156057E-5</v>
      </c>
      <c r="AE240" s="305">
        <f t="shared" si="88"/>
        <v>0.5</v>
      </c>
      <c r="AF240" s="177">
        <f t="shared" si="89"/>
        <v>0.46515284065882057</v>
      </c>
      <c r="AG240" s="811">
        <f t="shared" si="95"/>
        <v>-1</v>
      </c>
      <c r="AH240" s="176">
        <f t="shared" si="90"/>
        <v>5</v>
      </c>
      <c r="AI240" s="225">
        <f t="shared" si="91"/>
        <v>-0.53484715934117943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7">
        <v>44.186</v>
      </c>
      <c r="C241" s="390"/>
      <c r="D241" s="393">
        <f t="shared" si="74"/>
        <v>44.965091139084713</v>
      </c>
      <c r="E241" s="385">
        <f t="shared" si="96"/>
        <v>47.009862166182558</v>
      </c>
      <c r="F241" s="385">
        <f t="shared" si="75"/>
        <v>47.01127376482291</v>
      </c>
      <c r="G241" s="110">
        <f t="shared" si="97"/>
        <v>0.83310620212302688</v>
      </c>
      <c r="H241" s="414" t="b">
        <f>Wh_hp&gt;='2019'!Maxi_hp</f>
        <v>0</v>
      </c>
      <c r="I241" s="380">
        <f>IF(H241,Wh_hp,'2019'!Maxi_hp)</f>
        <v>56.300151621417385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1.7326577559352629E-2</v>
      </c>
      <c r="M241" s="845"/>
      <c r="N241" s="845"/>
      <c r="O241" s="48">
        <f>IF(t&lt;Tnet,'2019'!Resal+('2019'!Salim-'2019'!Resal)*(1-EXP(('2019'!Tnet-t)/('2019'!Tau_j))),Resal+(Salim-Resal)*(1-EXP((Tnet-t)/(Tau_j))))*Salcycl</f>
        <v>4.3496639489591774E-2</v>
      </c>
      <c r="P241" s="169">
        <f>(INDEX(Models!$BJ241:$BT241,,T241)*(1-R241)+INDEX(Models!$BJ241:$BT241,,T241+1)*R241-ERP_i)*Q241*Ramure*Pc/MaxiM</f>
        <v>3.9426401311730509E-5</v>
      </c>
      <c r="Q241" s="305">
        <f t="shared" si="77"/>
        <v>0.5</v>
      </c>
      <c r="R241" s="177">
        <f t="shared" si="78"/>
        <v>0.46637622518186084</v>
      </c>
      <c r="S241" s="811">
        <f t="shared" si="79"/>
        <v>-1</v>
      </c>
      <c r="T241" s="176">
        <f t="shared" si="80"/>
        <v>5</v>
      </c>
      <c r="U241" s="251">
        <f t="shared" si="81"/>
        <v>-0.53362377481813916</v>
      </c>
      <c r="V241" s="383">
        <f t="shared" si="82"/>
        <v>53.037157261150405</v>
      </c>
      <c r="W241" s="402"/>
      <c r="X241" s="157">
        <f t="shared" si="83"/>
        <v>44057</v>
      </c>
      <c r="Y241" s="385">
        <f t="shared" si="84"/>
        <v>44.186</v>
      </c>
      <c r="Z241" s="385">
        <f t="shared" si="85"/>
        <v>44.965091139084713</v>
      </c>
      <c r="AA241" s="386">
        <f t="shared" si="86"/>
        <v>47.009862166182558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4.3496639489591774E-2</v>
      </c>
      <c r="AD241" s="231">
        <f>(INDEX(Models!$BJ241:$BT241,,AH241)*(1-AF241)+INDEX(Models!$BJ241:$BT241,,AH241+1)*AF241-ERP_i)*AE241*Ramure*Pc/MaxiM</f>
        <v>3.9426401311730509E-5</v>
      </c>
      <c r="AE241" s="305">
        <f t="shared" si="88"/>
        <v>0.5</v>
      </c>
      <c r="AF241" s="177">
        <f t="shared" si="89"/>
        <v>0.46637622518186084</v>
      </c>
      <c r="AG241" s="811">
        <f t="shared" si="95"/>
        <v>-1</v>
      </c>
      <c r="AH241" s="176">
        <f t="shared" si="90"/>
        <v>5</v>
      </c>
      <c r="AI241" s="225">
        <f t="shared" si="91"/>
        <v>-0.53362377481813916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7">
        <v>46.08</v>
      </c>
      <c r="C242" s="390"/>
      <c r="D242" s="393">
        <f t="shared" si="74"/>
        <v>46.893513389134675</v>
      </c>
      <c r="E242" s="385">
        <f t="shared" si="96"/>
        <v>49.029484927585791</v>
      </c>
      <c r="F242" s="385">
        <f t="shared" si="75"/>
        <v>49.030893639999135</v>
      </c>
      <c r="G242" s="110">
        <f t="shared" si="97"/>
        <v>0.87144757508044324</v>
      </c>
      <c r="H242" s="414" t="b">
        <f>Wh_hp&gt;='2019'!Maxi_hp</f>
        <v>0</v>
      </c>
      <c r="I242" s="380">
        <f>IF(H242,Wh_hp,'2019'!Maxi_hp)</f>
        <v>56.421516120211891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1.7348100629268948E-2</v>
      </c>
      <c r="M242" s="845"/>
      <c r="N242" s="845"/>
      <c r="O242" s="48">
        <f>IF(t&lt;Tnet,'2019'!Resal+('2019'!Salim-'2019'!Resal)*(1-EXP(('2019'!Tnet-t)/('2019'!Tau_j))),Resal+(Salim-Resal)*(1-EXP((Tnet-t)/(Tau_j))))*Salcycl</f>
        <v>4.3565041354316617E-2</v>
      </c>
      <c r="P242" s="169">
        <f>(INDEX(Models!$BJ242:$BT242,,T242)*(1-R242)+INDEX(Models!$BJ242:$BT242,,T242+1)*R242-ERP_i)*Q242*Ramure*Pc/MaxiM</f>
        <v>3.5194102789431293E-5</v>
      </c>
      <c r="Q242" s="305">
        <f t="shared" si="77"/>
        <v>0.5</v>
      </c>
      <c r="R242" s="177">
        <f t="shared" si="78"/>
        <v>0.4675563768098796</v>
      </c>
      <c r="S242" s="811">
        <f t="shared" si="79"/>
        <v>-1</v>
      </c>
      <c r="T242" s="176">
        <f t="shared" si="80"/>
        <v>5</v>
      </c>
      <c r="U242" s="251">
        <f t="shared" si="81"/>
        <v>-0.5324436231901204</v>
      </c>
      <c r="V242" s="383">
        <f t="shared" si="82"/>
        <v>52.877193642855303</v>
      </c>
      <c r="W242" s="402"/>
      <c r="X242" s="157">
        <f t="shared" si="83"/>
        <v>44058</v>
      </c>
      <c r="Y242" s="385">
        <f t="shared" si="84"/>
        <v>46.08</v>
      </c>
      <c r="Z242" s="385">
        <f t="shared" si="85"/>
        <v>46.893513389134675</v>
      </c>
      <c r="AA242" s="386">
        <f t="shared" si="86"/>
        <v>49.029484927585791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4.3565041354316617E-2</v>
      </c>
      <c r="AD242" s="231">
        <f>(INDEX(Models!$BJ242:$BT242,,AH242)*(1-AF242)+INDEX(Models!$BJ242:$BT242,,AH242+1)*AF242-ERP_i)*AE242*Ramure*Pc/MaxiM</f>
        <v>3.5194102789431293E-5</v>
      </c>
      <c r="AE242" s="305">
        <f t="shared" si="88"/>
        <v>0.5</v>
      </c>
      <c r="AF242" s="177">
        <f t="shared" si="89"/>
        <v>0.4675563768098796</v>
      </c>
      <c r="AG242" s="811">
        <f t="shared" si="95"/>
        <v>-1</v>
      </c>
      <c r="AH242" s="176">
        <f t="shared" si="90"/>
        <v>5</v>
      </c>
      <c r="AI242" s="225">
        <f t="shared" si="91"/>
        <v>-0.5324436231901204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7">
        <v>18.878</v>
      </c>
      <c r="C243" s="390"/>
      <c r="D243" s="393">
        <f t="shared" si="74"/>
        <v>19.211699990398262</v>
      </c>
      <c r="E243" s="385">
        <f t="shared" si="96"/>
        <v>20.088214214287262</v>
      </c>
      <c r="F243" s="385">
        <f t="shared" si="75"/>
        <v>20.088266346505218</v>
      </c>
      <c r="G243" s="110">
        <f t="shared" si="97"/>
        <v>0.35810207297809449</v>
      </c>
      <c r="H243" s="414" t="b">
        <f>Wh_hp&gt;='2019'!Maxi_hp</f>
        <v>0</v>
      </c>
      <c r="I243" s="380">
        <f>IF(H243,Wh_hp,'2019'!Maxi_hp)</f>
        <v>55.293372982977111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1.73696232277748E-2</v>
      </c>
      <c r="M243" s="845"/>
      <c r="N243" s="845"/>
      <c r="O243" s="48">
        <f>IF(t&lt;Tnet,'2019'!Resal+('2019'!Salim-'2019'!Resal)*(1-EXP(('2019'!Tnet-t)/('2019'!Tau_j))),Resal+(Salim-Resal)*(1-EXP((Tnet-t)/(Tau_j))))*Salcycl</f>
        <v>4.3633257518012745E-2</v>
      </c>
      <c r="P243" s="169">
        <f>(INDEX(Models!$BJ243:$BT243,,T243)*(1-R243)+INDEX(Models!$BJ243:$BT243,,T243+1)*R243-ERP_i)*Q243*Ramure*Pc/MaxiM</f>
        <v>3.1260320991053164E-5</v>
      </c>
      <c r="Q243" s="305">
        <f t="shared" si="77"/>
        <v>0.5</v>
      </c>
      <c r="R243" s="177">
        <f t="shared" si="78"/>
        <v>0.4686946028447323</v>
      </c>
      <c r="S243" s="811">
        <f t="shared" si="79"/>
        <v>-1</v>
      </c>
      <c r="T243" s="176">
        <f t="shared" si="80"/>
        <v>5</v>
      </c>
      <c r="U243" s="251">
        <f t="shared" si="81"/>
        <v>-0.5313053971552677</v>
      </c>
      <c r="V243" s="383">
        <f t="shared" si="82"/>
        <v>52.715301815068614</v>
      </c>
      <c r="W243" s="402"/>
      <c r="X243" s="157">
        <f t="shared" si="83"/>
        <v>44059</v>
      </c>
      <c r="Y243" s="385">
        <f t="shared" si="84"/>
        <v>18.878</v>
      </c>
      <c r="Z243" s="385">
        <f t="shared" si="85"/>
        <v>19.211699990398262</v>
      </c>
      <c r="AA243" s="386">
        <f t="shared" si="86"/>
        <v>20.088214214287262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4.3633257518012745E-2</v>
      </c>
      <c r="AD243" s="231">
        <f>(INDEX(Models!$BJ243:$BT243,,AH243)*(1-AF243)+INDEX(Models!$BJ243:$BT243,,AH243+1)*AF243-ERP_i)*AE243*Ramure*Pc/MaxiM</f>
        <v>3.1260320991053164E-5</v>
      </c>
      <c r="AE243" s="305">
        <f t="shared" si="88"/>
        <v>0.5</v>
      </c>
      <c r="AF243" s="177">
        <f t="shared" si="89"/>
        <v>0.4686946028447323</v>
      </c>
      <c r="AG243" s="811">
        <f t="shared" si="95"/>
        <v>-1</v>
      </c>
      <c r="AH243" s="176">
        <f t="shared" si="90"/>
        <v>5</v>
      </c>
      <c r="AI243" s="225">
        <f t="shared" si="91"/>
        <v>-0.5313053971552677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7">
        <v>41.728999999999999</v>
      </c>
      <c r="C244" s="390"/>
      <c r="D244" s="393">
        <f t="shared" si="74"/>
        <v>42.467559500133859</v>
      </c>
      <c r="E244" s="385">
        <f t="shared" si="96"/>
        <v>44.408257337498959</v>
      </c>
      <c r="F244" s="385">
        <f t="shared" si="75"/>
        <v>44.409123318875373</v>
      </c>
      <c r="G244" s="110">
        <f t="shared" si="97"/>
        <v>0.79405449631518854</v>
      </c>
      <c r="H244" s="414" t="b">
        <f>Wh_hp&gt;='2019'!Maxi_hp</f>
        <v>1</v>
      </c>
      <c r="I244" s="380">
        <f>IF(H244,Wh_hp,'2019'!Maxi_hp)</f>
        <v>44.409123318875373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1.73911453548804E-2</v>
      </c>
      <c r="M244" s="845"/>
      <c r="N244" s="845"/>
      <c r="O244" s="48">
        <f>IF(t&lt;Tnet,'2019'!Resal+('2019'!Salim-'2019'!Resal)*(1-EXP(('2019'!Tnet-t)/('2019'!Tau_j))),Resal+(Salim-Resal)*(1-EXP((Tnet-t)/(Tau_j))))*Salcycl</f>
        <v>4.370128335854221E-2</v>
      </c>
      <c r="P244" s="169">
        <f>(INDEX(Models!$BJ244:$BT244,,T244)*(1-R244)+INDEX(Models!$BJ244:$BT244,,T244+1)*R244-ERP_i)*Q244*Ramure*Pc/MaxiM</f>
        <v>2.7628280888409212E-5</v>
      </c>
      <c r="Q244" s="305">
        <f t="shared" si="77"/>
        <v>0.5</v>
      </c>
      <c r="R244" s="177">
        <f t="shared" si="78"/>
        <v>0.46979218764954589</v>
      </c>
      <c r="S244" s="811">
        <f t="shared" si="79"/>
        <v>-1</v>
      </c>
      <c r="T244" s="176">
        <f t="shared" si="80"/>
        <v>5</v>
      </c>
      <c r="U244" s="251">
        <f t="shared" si="81"/>
        <v>-0.53020781235045411</v>
      </c>
      <c r="V244" s="383">
        <f t="shared" si="82"/>
        <v>52.551381555367691</v>
      </c>
      <c r="W244" s="402"/>
      <c r="X244" s="157">
        <f t="shared" si="83"/>
        <v>44060</v>
      </c>
      <c r="Y244" s="385">
        <f t="shared" si="84"/>
        <v>41.728999999999999</v>
      </c>
      <c r="Z244" s="385">
        <f t="shared" si="85"/>
        <v>42.467559500133859</v>
      </c>
      <c r="AA244" s="386">
        <f t="shared" si="86"/>
        <v>44.408257337498959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4.370128335854221E-2</v>
      </c>
      <c r="AD244" s="231">
        <f>(INDEX(Models!$BJ244:$BT244,,AH244)*(1-AF244)+INDEX(Models!$BJ244:$BT244,,AH244+1)*AF244-ERP_i)*AE244*Ramure*Pc/MaxiM</f>
        <v>2.7628280888409212E-5</v>
      </c>
      <c r="AE244" s="305">
        <f t="shared" si="88"/>
        <v>0.5</v>
      </c>
      <c r="AF244" s="177">
        <f t="shared" si="89"/>
        <v>0.46979218764954589</v>
      </c>
      <c r="AG244" s="811">
        <f t="shared" si="95"/>
        <v>-1</v>
      </c>
      <c r="AH244" s="176">
        <f t="shared" si="90"/>
        <v>5</v>
      </c>
      <c r="AI244" s="225">
        <f t="shared" si="91"/>
        <v>-0.53020781235045411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7">
        <v>40.152000000000001</v>
      </c>
      <c r="C245" s="390"/>
      <c r="D245" s="393">
        <f t="shared" si="74"/>
        <v>40.863543271866099</v>
      </c>
      <c r="E245" s="385">
        <f t="shared" si="96"/>
        <v>42.733971330144996</v>
      </c>
      <c r="F245" s="385">
        <f t="shared" si="75"/>
        <v>42.734663380163497</v>
      </c>
      <c r="G245" s="110">
        <f t="shared" si="97"/>
        <v>0.76646787203057232</v>
      </c>
      <c r="H245" s="414" t="b">
        <f>Wh_hp&gt;='2019'!Maxi_hp</f>
        <v>0</v>
      </c>
      <c r="I245" s="380">
        <f>IF(H245,Wh_hp,'2019'!Maxi_hp)</f>
        <v>53.076716411968974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1.7412667010596294E-2</v>
      </c>
      <c r="M245" s="845"/>
      <c r="N245" s="845"/>
      <c r="O245" s="48">
        <f>IF(t&lt;Tnet,'2019'!Resal+('2019'!Salim-'2019'!Resal)*(1-EXP(('2019'!Tnet-t)/('2019'!Tau_j))),Resal+(Salim-Resal)*(1-EXP((Tnet-t)/(Tau_j))))*Salcycl</f>
        <v>4.3769113893692209E-2</v>
      </c>
      <c r="P245" s="169">
        <f>(INDEX(Models!$BJ245:$BT245,,T245)*(1-R245)+INDEX(Models!$BJ245:$BT245,,T245+1)*R245-ERP_i)*Q245*Ramure*Pc/MaxiM</f>
        <v>2.4301199725189231E-5</v>
      </c>
      <c r="Q245" s="305">
        <f t="shared" si="77"/>
        <v>0.5</v>
      </c>
      <c r="R245" s="177">
        <f t="shared" si="78"/>
        <v>0.47085039169898524</v>
      </c>
      <c r="S245" s="811">
        <f t="shared" si="79"/>
        <v>-1</v>
      </c>
      <c r="T245" s="176">
        <f t="shared" si="80"/>
        <v>5</v>
      </c>
      <c r="U245" s="251">
        <f t="shared" si="81"/>
        <v>-0.52914960830101476</v>
      </c>
      <c r="V245" s="383">
        <f t="shared" si="82"/>
        <v>52.385332698496185</v>
      </c>
      <c r="W245" s="402"/>
      <c r="X245" s="157">
        <f t="shared" si="83"/>
        <v>44061</v>
      </c>
      <c r="Y245" s="385">
        <f t="shared" si="84"/>
        <v>40.152000000000001</v>
      </c>
      <c r="Z245" s="385">
        <f t="shared" si="85"/>
        <v>40.863543271866099</v>
      </c>
      <c r="AA245" s="386">
        <f t="shared" si="86"/>
        <v>42.733971330144996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4.3769113893692209E-2</v>
      </c>
      <c r="AD245" s="231">
        <f>(INDEX(Models!$BJ245:$BT245,,AH245)*(1-AF245)+INDEX(Models!$BJ245:$BT245,,AH245+1)*AF245-ERP_i)*AE245*Ramure*Pc/MaxiM</f>
        <v>2.4301199725189231E-5</v>
      </c>
      <c r="AE245" s="305">
        <f t="shared" si="88"/>
        <v>0.5</v>
      </c>
      <c r="AF245" s="177">
        <f t="shared" si="89"/>
        <v>0.47085039169898524</v>
      </c>
      <c r="AG245" s="811">
        <f t="shared" si="95"/>
        <v>-1</v>
      </c>
      <c r="AH245" s="176">
        <f t="shared" si="90"/>
        <v>5</v>
      </c>
      <c r="AI245" s="225">
        <f t="shared" si="91"/>
        <v>-0.52914960830101476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7">
        <v>50.383000000000003</v>
      </c>
      <c r="C246" s="390"/>
      <c r="D246" s="393">
        <f t="shared" si="74"/>
        <v>51.276972386655316</v>
      </c>
      <c r="E246" s="385">
        <f t="shared" si="96"/>
        <v>53.62784237388226</v>
      </c>
      <c r="F246" s="385">
        <f t="shared" si="75"/>
        <v>53.628926451512207</v>
      </c>
      <c r="G246" s="110">
        <f t="shared" si="97"/>
        <v>0.96487528968878922</v>
      </c>
      <c r="H246" s="414" t="b">
        <f>Wh_hp&gt;='2019'!Maxi_hp</f>
        <v>0</v>
      </c>
      <c r="I246" s="380">
        <f>IF(H246,Wh_hp,'2019'!Maxi_hp)</f>
        <v>53.656818151544883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1.7434188194932698E-2</v>
      </c>
      <c r="M246" s="845"/>
      <c r="N246" s="845"/>
      <c r="O246" s="48">
        <f>IF(t&lt;Tnet,'2019'!Resal+('2019'!Salim-'2019'!Resal)*(1-EXP(('2019'!Tnet-t)/('2019'!Tau_j))),Resal+(Salim-Resal)*(1-EXP((Tnet-t)/(Tau_j))))*Salcycl</f>
        <v>4.3836743809999974E-2</v>
      </c>
      <c r="P246" s="169">
        <f>(INDEX(Models!$BJ246:$BT246,,T246)*(1-R246)+INDEX(Models!$BJ246:$BT246,,T246+1)*R246-ERP_i)*Q246*Ramure*Pc/MaxiM</f>
        <v>2.128229476156397E-5</v>
      </c>
      <c r="Q246" s="305">
        <f t="shared" si="77"/>
        <v>0.5</v>
      </c>
      <c r="R246" s="177">
        <f t="shared" si="78"/>
        <v>0.4718704507682705</v>
      </c>
      <c r="S246" s="811">
        <f t="shared" si="79"/>
        <v>-1</v>
      </c>
      <c r="T246" s="176">
        <f t="shared" si="80"/>
        <v>5</v>
      </c>
      <c r="U246" s="251">
        <f t="shared" si="81"/>
        <v>-0.5281295492317295</v>
      </c>
      <c r="V246" s="383">
        <f t="shared" si="82"/>
        <v>52.217055130944551</v>
      </c>
      <c r="W246" s="402"/>
      <c r="X246" s="157">
        <f t="shared" si="83"/>
        <v>44062</v>
      </c>
      <c r="Y246" s="385">
        <f t="shared" si="84"/>
        <v>50.383000000000003</v>
      </c>
      <c r="Z246" s="385">
        <f t="shared" si="85"/>
        <v>51.276972386655316</v>
      </c>
      <c r="AA246" s="386">
        <f t="shared" si="86"/>
        <v>53.62784237388226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4.3836743809999974E-2</v>
      </c>
      <c r="AD246" s="231">
        <f>(INDEX(Models!$BJ246:$BT246,,AH246)*(1-AF246)+INDEX(Models!$BJ246:$BT246,,AH246+1)*AF246-ERP_i)*AE246*Ramure*Pc/MaxiM</f>
        <v>2.128229476156397E-5</v>
      </c>
      <c r="AE246" s="305">
        <f t="shared" si="88"/>
        <v>0.5</v>
      </c>
      <c r="AF246" s="177">
        <f t="shared" si="89"/>
        <v>0.4718704507682705</v>
      </c>
      <c r="AG246" s="811">
        <f t="shared" si="95"/>
        <v>-1</v>
      </c>
      <c r="AH246" s="176">
        <f t="shared" si="90"/>
        <v>5</v>
      </c>
      <c r="AI246" s="225">
        <f t="shared" si="91"/>
        <v>-0.5281295492317295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7">
        <v>51.195</v>
      </c>
      <c r="C247" s="390"/>
      <c r="D247" s="393">
        <f t="shared" si="74"/>
        <v>52.104521357603787</v>
      </c>
      <c r="E247" s="385">
        <f t="shared" si="96"/>
        <v>54.497174431436243</v>
      </c>
      <c r="F247" s="385">
        <f t="shared" si="75"/>
        <v>54.498162972904758</v>
      </c>
      <c r="G247" s="110">
        <f t="shared" si="97"/>
        <v>0.98360236671178747</v>
      </c>
      <c r="H247" s="414" t="b">
        <f>Wh_hp&gt;='2019'!Maxi_hp</f>
        <v>1</v>
      </c>
      <c r="I247" s="380">
        <f>IF(H247,Wh_hp,'2019'!Maxi_hp)</f>
        <v>54.498162972904758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1.7455708907899936E-2</v>
      </c>
      <c r="M247" s="845"/>
      <c r="N247" s="845"/>
      <c r="O247" s="48">
        <f>IF(t&lt;Tnet,'2019'!Resal+('2019'!Salim-'2019'!Resal)*(1-EXP(('2019'!Tnet-t)/('2019'!Tau_j))),Resal+(Salim-Resal)*(1-EXP((Tnet-t)/(Tau_j))))*Salcycl</f>
        <v>4.3904167487484935E-2</v>
      </c>
      <c r="P247" s="169">
        <f>(INDEX(Models!$BJ247:$BT247,,T247)*(1-R247)+INDEX(Models!$BJ247:$BT247,,T247+1)*R247-ERP_i)*Q247*Ramure*Pc/MaxiM</f>
        <v>1.8574076911097603E-5</v>
      </c>
      <c r="Q247" s="305">
        <f t="shared" si="77"/>
        <v>0.5</v>
      </c>
      <c r="R247" s="177">
        <f t="shared" si="78"/>
        <v>0.47285357525193472</v>
      </c>
      <c r="S247" s="811">
        <f t="shared" si="79"/>
        <v>-1</v>
      </c>
      <c r="T247" s="176">
        <f t="shared" si="80"/>
        <v>5</v>
      </c>
      <c r="U247" s="251">
        <f t="shared" si="81"/>
        <v>-0.52714642474806528</v>
      </c>
      <c r="V247" s="383">
        <f t="shared" si="82"/>
        <v>52.048449106841026</v>
      </c>
      <c r="W247" s="402"/>
      <c r="X247" s="157">
        <f t="shared" si="83"/>
        <v>44063</v>
      </c>
      <c r="Y247" s="385">
        <f t="shared" si="84"/>
        <v>51.195</v>
      </c>
      <c r="Z247" s="385">
        <f t="shared" si="85"/>
        <v>52.104521357603787</v>
      </c>
      <c r="AA247" s="386">
        <f t="shared" si="86"/>
        <v>54.497174431436243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4.3904167487484935E-2</v>
      </c>
      <c r="AD247" s="231">
        <f>(INDEX(Models!$BJ247:$BT247,,AH247)*(1-AF247)+INDEX(Models!$BJ247:$BT247,,AH247+1)*AF247-ERP_i)*AE247*Ramure*Pc/MaxiM</f>
        <v>1.8574076911097603E-5</v>
      </c>
      <c r="AE247" s="305">
        <f t="shared" si="88"/>
        <v>0.5</v>
      </c>
      <c r="AF247" s="177">
        <f t="shared" si="89"/>
        <v>0.47285357525193472</v>
      </c>
      <c r="AG247" s="811">
        <f t="shared" si="95"/>
        <v>-1</v>
      </c>
      <c r="AH247" s="176">
        <f t="shared" si="90"/>
        <v>5</v>
      </c>
      <c r="AI247" s="225">
        <f t="shared" si="91"/>
        <v>-0.52714642474806528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7">
        <v>46.527999999999999</v>
      </c>
      <c r="C248" s="390"/>
      <c r="D248" s="393">
        <f t="shared" si="74"/>
        <v>47.355645467355849</v>
      </c>
      <c r="E248" s="385">
        <f t="shared" si="96"/>
        <v>49.533711050214208</v>
      </c>
      <c r="F248" s="385">
        <f t="shared" si="75"/>
        <v>49.534397650484649</v>
      </c>
      <c r="G248" s="110">
        <f t="shared" si="97"/>
        <v>0.89682046854996622</v>
      </c>
      <c r="H248" s="414" t="b">
        <f>Wh_hp&gt;='2019'!Maxi_hp</f>
        <v>0</v>
      </c>
      <c r="I248" s="380">
        <f>IF(H248,Wh_hp,'2019'!Maxi_hp)</f>
        <v>56.835581680919191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1.7477229149508333E-2</v>
      </c>
      <c r="M248" s="845"/>
      <c r="N248" s="845"/>
      <c r="O248" s="48">
        <f>IF(t&lt;Tnet,'2019'!Resal+('2019'!Salim-'2019'!Resal)*(1-EXP(('2019'!Tnet-t)/('2019'!Tau_j))),Resal+(Salim-Resal)*(1-EXP((Tnet-t)/(Tau_j))))*Salcycl</f>
        <v>4.3971379020044964E-2</v>
      </c>
      <c r="P248" s="169">
        <f>(INDEX(Models!$BJ248:$BT248,,T248)*(1-R248)+INDEX(Models!$BJ248:$BT248,,T248+1)*R248-ERP_i)*Q248*Ramure*Pc/MaxiM</f>
        <v>1.6257353562884049E-5</v>
      </c>
      <c r="Q248" s="305">
        <f t="shared" si="77"/>
        <v>0.5</v>
      </c>
      <c r="R248" s="177">
        <f t="shared" si="78"/>
        <v>0.47380094960355312</v>
      </c>
      <c r="S248" s="811">
        <f t="shared" si="79"/>
        <v>-1</v>
      </c>
      <c r="T248" s="176">
        <f t="shared" si="80"/>
        <v>5</v>
      </c>
      <c r="U248" s="251">
        <f t="shared" si="81"/>
        <v>-0.52619905039644688</v>
      </c>
      <c r="V248" s="383">
        <f t="shared" si="82"/>
        <v>51.880939537305451</v>
      </c>
      <c r="W248" s="402"/>
      <c r="X248" s="157">
        <f t="shared" si="83"/>
        <v>44064</v>
      </c>
      <c r="Y248" s="385">
        <f t="shared" si="84"/>
        <v>46.527999999999999</v>
      </c>
      <c r="Z248" s="385">
        <f t="shared" si="85"/>
        <v>47.355645467355849</v>
      </c>
      <c r="AA248" s="386">
        <f t="shared" si="86"/>
        <v>49.533711050214208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4.3971379020044964E-2</v>
      </c>
      <c r="AD248" s="231">
        <f>(INDEX(Models!$BJ248:$BT248,,AH248)*(1-AF248)+INDEX(Models!$BJ248:$BT248,,AH248+1)*AF248-ERP_i)*AE248*Ramure*Pc/MaxiM</f>
        <v>1.6257353562884049E-5</v>
      </c>
      <c r="AE248" s="305">
        <f t="shared" si="88"/>
        <v>0.5</v>
      </c>
      <c r="AF248" s="177">
        <f t="shared" si="89"/>
        <v>0.47380094960355312</v>
      </c>
      <c r="AG248" s="811">
        <f t="shared" si="95"/>
        <v>-1</v>
      </c>
      <c r="AH248" s="176">
        <f t="shared" si="90"/>
        <v>5</v>
      </c>
      <c r="AI248" s="225">
        <f t="shared" si="91"/>
        <v>-0.52619905039644688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7">
        <v>36.17</v>
      </c>
      <c r="C249" s="390"/>
      <c r="D249" s="393">
        <f t="shared" si="74"/>
        <v>36.814202485983735</v>
      </c>
      <c r="E249" s="385">
        <f t="shared" si="96"/>
        <v>38.510125737905653</v>
      </c>
      <c r="F249" s="385">
        <f t="shared" si="75"/>
        <v>38.510436341373989</v>
      </c>
      <c r="G249" s="110">
        <f t="shared" si="97"/>
        <v>0.69942315939938471</v>
      </c>
      <c r="H249" s="414" t="b">
        <f>Wh_hp&gt;='2019'!Maxi_hp</f>
        <v>0</v>
      </c>
      <c r="I249" s="380">
        <f>IF(H249,Wh_hp,'2019'!Maxi_hp)</f>
        <v>54.138140935976416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1.7498748919768103E-2</v>
      </c>
      <c r="M249" s="845"/>
      <c r="N249" s="845"/>
      <c r="O249" s="48">
        <f>IF(t&lt;Tnet,'2019'!Resal+('2019'!Salim-'2019'!Resal)*(1-EXP(('2019'!Tnet-t)/('2019'!Tau_j))),Resal+(Salim-Resal)*(1-EXP((Tnet-t)/(Tau_j))))*Salcycl</f>
        <v>4.4038372231348467E-2</v>
      </c>
      <c r="P249" s="169">
        <f>(INDEX(Models!$BJ249:$BT249,,T249)*(1-R249)+INDEX(Models!$BJ249:$BT249,,T249+1)*R249-ERP_i)*Q249*Ramure*Pc/MaxiM</f>
        <v>1.4134747127524617E-5</v>
      </c>
      <c r="Q249" s="305">
        <f t="shared" si="77"/>
        <v>0.5</v>
      </c>
      <c r="R249" s="177">
        <f t="shared" si="78"/>
        <v>0.47471373188793931</v>
      </c>
      <c r="S249" s="811">
        <f t="shared" si="79"/>
        <v>-1</v>
      </c>
      <c r="T249" s="176">
        <f t="shared" si="80"/>
        <v>5</v>
      </c>
      <c r="U249" s="251">
        <f t="shared" si="81"/>
        <v>-0.52528626811206069</v>
      </c>
      <c r="V249" s="383">
        <f t="shared" si="82"/>
        <v>51.713730071955503</v>
      </c>
      <c r="W249" s="402"/>
      <c r="X249" s="157">
        <f t="shared" si="83"/>
        <v>44065</v>
      </c>
      <c r="Y249" s="385">
        <f t="shared" si="84"/>
        <v>36.17</v>
      </c>
      <c r="Z249" s="385">
        <f t="shared" si="85"/>
        <v>36.814202485983735</v>
      </c>
      <c r="AA249" s="386">
        <f t="shared" si="86"/>
        <v>38.510125737905653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4.4038372231348467E-2</v>
      </c>
      <c r="AD249" s="231">
        <f>(INDEX(Models!$BJ249:$BT249,,AH249)*(1-AF249)+INDEX(Models!$BJ249:$BT249,,AH249+1)*AF249-ERP_i)*AE249*Ramure*Pc/MaxiM</f>
        <v>1.4134747127524617E-5</v>
      </c>
      <c r="AE249" s="305">
        <f t="shared" si="88"/>
        <v>0.5</v>
      </c>
      <c r="AF249" s="177">
        <f t="shared" si="89"/>
        <v>0.47471373188793931</v>
      </c>
      <c r="AG249" s="811">
        <f t="shared" si="95"/>
        <v>-1</v>
      </c>
      <c r="AH249" s="176">
        <f t="shared" si="90"/>
        <v>5</v>
      </c>
      <c r="AI249" s="225">
        <f t="shared" si="91"/>
        <v>-0.52528626811206069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7">
        <v>42.743000000000002</v>
      </c>
      <c r="C250" s="390"/>
      <c r="D250" s="393">
        <f t="shared" si="74"/>
        <v>43.505223179010223</v>
      </c>
      <c r="E250" s="385">
        <f t="shared" si="96"/>
        <v>45.51256108881875</v>
      </c>
      <c r="F250" s="385">
        <f t="shared" si="75"/>
        <v>45.512981179630906</v>
      </c>
      <c r="G250" s="110">
        <f t="shared" si="97"/>
        <v>0.82921780330656436</v>
      </c>
      <c r="H250" s="414" t="b">
        <f>Wh_hp&gt;='2019'!Maxi_hp</f>
        <v>0</v>
      </c>
      <c r="I250" s="380">
        <f>IF(H250,Wh_hp,'2019'!Maxi_hp)</f>
        <v>54.480093410292213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1.7520268218689794E-2</v>
      </c>
      <c r="M250" s="845"/>
      <c r="N250" s="845"/>
      <c r="O250" s="48">
        <f>IF(t&lt;Tnet,'2019'!Resal+('2019'!Salim-'2019'!Resal)*(1-EXP(('2019'!Tnet-t)/('2019'!Tau_j))),Resal+(Salim-Resal)*(1-EXP((Tnet-t)/(Tau_j))))*Salcycl</f>
        <v>4.4105140686132062E-2</v>
      </c>
      <c r="P250" s="169">
        <f>(INDEX(Models!$BJ250:$BT250,,T250)*(1-R250)+INDEX(Models!$BJ250:$BT250,,T250+1)*R250-ERP_i)*Q250*Ramure*Pc/MaxiM</f>
        <v>1.2208701262498527E-5</v>
      </c>
      <c r="Q250" s="305">
        <f t="shared" si="77"/>
        <v>0.5</v>
      </c>
      <c r="R250" s="177">
        <f t="shared" si="78"/>
        <v>0.47559305343760361</v>
      </c>
      <c r="S250" s="811">
        <f t="shared" si="79"/>
        <v>-1</v>
      </c>
      <c r="T250" s="176">
        <f t="shared" si="80"/>
        <v>5</v>
      </c>
      <c r="U250" s="251">
        <f t="shared" si="81"/>
        <v>-0.52440694656239639</v>
      </c>
      <c r="V250" s="383">
        <f t="shared" si="82"/>
        <v>51.54601422616296</v>
      </c>
      <c r="W250" s="402"/>
      <c r="X250" s="157">
        <f t="shared" si="83"/>
        <v>44066</v>
      </c>
      <c r="Y250" s="385">
        <f t="shared" si="84"/>
        <v>42.743000000000002</v>
      </c>
      <c r="Z250" s="385">
        <f t="shared" si="85"/>
        <v>43.505223179010223</v>
      </c>
      <c r="AA250" s="386">
        <f t="shared" si="86"/>
        <v>45.51256108881875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4.4105140686132062E-2</v>
      </c>
      <c r="AD250" s="231">
        <f>(INDEX(Models!$BJ250:$BT250,,AH250)*(1-AF250)+INDEX(Models!$BJ250:$BT250,,AH250+1)*AF250-ERP_i)*AE250*Ramure*Pc/MaxiM</f>
        <v>1.2208701262498527E-5</v>
      </c>
      <c r="AE250" s="305">
        <f t="shared" si="88"/>
        <v>0.5</v>
      </c>
      <c r="AF250" s="177">
        <f t="shared" si="89"/>
        <v>0.47559305343760361</v>
      </c>
      <c r="AG250" s="811">
        <f t="shared" si="95"/>
        <v>-1</v>
      </c>
      <c r="AH250" s="176">
        <f t="shared" si="90"/>
        <v>5</v>
      </c>
      <c r="AI250" s="225">
        <f t="shared" si="91"/>
        <v>-0.52440694656239639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7">
        <v>46.996000000000002</v>
      </c>
      <c r="C251" s="390"/>
      <c r="D251" s="393">
        <f t="shared" si="74"/>
        <v>47.835113372108353</v>
      </c>
      <c r="E251" s="385">
        <f t="shared" si="96"/>
        <v>50.045716637531392</v>
      </c>
      <c r="F251" s="385">
        <f t="shared" si="75"/>
        <v>50.04617729749566</v>
      </c>
      <c r="G251" s="110">
        <f t="shared" si="97"/>
        <v>0.91472746483800627</v>
      </c>
      <c r="H251" s="414" t="b">
        <f>Wh_hp&gt;='2019'!Maxi_hp</f>
        <v>1</v>
      </c>
      <c r="I251" s="380">
        <f>IF(H251,Wh_hp,'2019'!Maxi_hp)</f>
        <v>50.04617729749566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1.7541787046283508E-2</v>
      </c>
      <c r="M251" s="845"/>
      <c r="N251" s="845"/>
      <c r="O251" s="48">
        <f>IF(t&lt;Tnet,'2019'!Resal+('2019'!Salim-'2019'!Resal)*(1-EXP(('2019'!Tnet-t)/('2019'!Tau_j))),Resal+(Salim-Resal)*(1-EXP((Tnet-t)/(Tau_j))))*Salcycl</f>
        <v>4.4171677696892397E-2</v>
      </c>
      <c r="P251" s="169">
        <f>(INDEX(Models!$BJ251:$BT251,,T251)*(1-R251)+INDEX(Models!$BJ251:$BT251,,T251+1)*R251-ERP_i)*Q251*Ramure*Pc/MaxiM</f>
        <v>1.0481517343999885E-5</v>
      </c>
      <c r="Q251" s="305">
        <f t="shared" si="77"/>
        <v>0.5</v>
      </c>
      <c r="R251" s="177">
        <f t="shared" si="78"/>
        <v>0.47644001860556817</v>
      </c>
      <c r="S251" s="811">
        <f t="shared" si="79"/>
        <v>-1</v>
      </c>
      <c r="T251" s="176">
        <f t="shared" si="80"/>
        <v>5</v>
      </c>
      <c r="U251" s="251">
        <f t="shared" si="81"/>
        <v>-0.52355998139443183</v>
      </c>
      <c r="V251" s="383">
        <f t="shared" si="82"/>
        <v>51.376985824279068</v>
      </c>
      <c r="W251" s="402"/>
      <c r="X251" s="157">
        <f t="shared" si="83"/>
        <v>44067</v>
      </c>
      <c r="Y251" s="385">
        <f t="shared" si="84"/>
        <v>46.996000000000002</v>
      </c>
      <c r="Z251" s="385">
        <f t="shared" si="85"/>
        <v>47.835113372108353</v>
      </c>
      <c r="AA251" s="386">
        <f t="shared" si="86"/>
        <v>50.045716637531392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4.4171677696892397E-2</v>
      </c>
      <c r="AD251" s="231">
        <f>(INDEX(Models!$BJ251:$BT251,,AH251)*(1-AF251)+INDEX(Models!$BJ251:$BT251,,AH251+1)*AF251-ERP_i)*AE251*Ramure*Pc/MaxiM</f>
        <v>1.0481517343999885E-5</v>
      </c>
      <c r="AE251" s="305">
        <f t="shared" si="88"/>
        <v>0.5</v>
      </c>
      <c r="AF251" s="177">
        <f t="shared" si="89"/>
        <v>0.47644001860556817</v>
      </c>
      <c r="AG251" s="811">
        <f t="shared" si="95"/>
        <v>-1</v>
      </c>
      <c r="AH251" s="176">
        <f t="shared" si="90"/>
        <v>5</v>
      </c>
      <c r="AI251" s="225">
        <f t="shared" si="91"/>
        <v>-0.52355998139443183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7">
        <v>49.780999999999999</v>
      </c>
      <c r="C252" s="390"/>
      <c r="D252" s="393">
        <f t="shared" si="74"/>
        <v>50.67094935862314</v>
      </c>
      <c r="E252" s="385">
        <f t="shared" si="96"/>
        <v>53.01628240452937</v>
      </c>
      <c r="F252" s="385">
        <f t="shared" si="75"/>
        <v>53.016738316039692</v>
      </c>
      <c r="G252" s="110">
        <f t="shared" si="97"/>
        <v>0.97217394060455997</v>
      </c>
      <c r="H252" s="414" t="b">
        <f>Wh_hp&gt;='2019'!Maxi_hp</f>
        <v>0</v>
      </c>
      <c r="I252" s="380">
        <f>IF(H252,Wh_hp,'2019'!Maxi_hp)</f>
        <v>54.589001673677714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1.7563305402559792E-2</v>
      </c>
      <c r="M252" s="845"/>
      <c r="N252" s="845"/>
      <c r="O252" s="48">
        <f>IF(t&lt;Tnet,'2019'!Resal+('2019'!Salim-'2019'!Resal)*(1-EXP(('2019'!Tnet-t)/('2019'!Tau_j))),Resal+(Salim-Resal)*(1-EXP((Tnet-t)/(Tau_j))))*Salcycl</f>
        <v>4.4237976326040158E-2</v>
      </c>
      <c r="P252" s="169">
        <f>(INDEX(Models!$BJ252:$BT252,,T252)*(1-R252)+INDEX(Models!$BJ252:$BT252,,T252+1)*R252-ERP_i)*Q252*Ramure*Pc/MaxiM</f>
        <v>8.9553733492602344E-6</v>
      </c>
      <c r="Q252" s="305">
        <f t="shared" si="77"/>
        <v>0.5</v>
      </c>
      <c r="R252" s="177">
        <f t="shared" si="78"/>
        <v>0.47725570460697186</v>
      </c>
      <c r="S252" s="811">
        <f t="shared" si="79"/>
        <v>-1</v>
      </c>
      <c r="T252" s="176">
        <f t="shared" si="80"/>
        <v>5</v>
      </c>
      <c r="U252" s="251">
        <f t="shared" si="81"/>
        <v>-0.52274429539302814</v>
      </c>
      <c r="V252" s="383">
        <f t="shared" si="82"/>
        <v>51.205838995839109</v>
      </c>
      <c r="W252" s="402"/>
      <c r="X252" s="157">
        <f t="shared" si="83"/>
        <v>44068</v>
      </c>
      <c r="Y252" s="385">
        <f t="shared" si="84"/>
        <v>49.780999999999999</v>
      </c>
      <c r="Z252" s="385">
        <f t="shared" si="85"/>
        <v>50.67094935862314</v>
      </c>
      <c r="AA252" s="386">
        <f t="shared" si="86"/>
        <v>53.01628240452937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4.4237976326040158E-2</v>
      </c>
      <c r="AD252" s="231">
        <f>(INDEX(Models!$BJ252:$BT252,,AH252)*(1-AF252)+INDEX(Models!$BJ252:$BT252,,AH252+1)*AF252-ERP_i)*AE252*Ramure*Pc/MaxiM</f>
        <v>8.9553733492602344E-6</v>
      </c>
      <c r="AE252" s="305">
        <f t="shared" si="88"/>
        <v>0.5</v>
      </c>
      <c r="AF252" s="177">
        <f t="shared" si="89"/>
        <v>0.47725570460697186</v>
      </c>
      <c r="AG252" s="811">
        <f t="shared" si="95"/>
        <v>-1</v>
      </c>
      <c r="AH252" s="176">
        <f t="shared" si="90"/>
        <v>5</v>
      </c>
      <c r="AI252" s="225">
        <f t="shared" si="91"/>
        <v>-0.52274429539302814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7">
        <v>26.308</v>
      </c>
      <c r="C253" s="390"/>
      <c r="D253" s="393">
        <f t="shared" si="74"/>
        <v>26.778902264149064</v>
      </c>
      <c r="E253" s="385">
        <f t="shared" si="96"/>
        <v>28.020315128962118</v>
      </c>
      <c r="F253" s="385">
        <f t="shared" si="75"/>
        <v>28.020380974561427</v>
      </c>
      <c r="G253" s="110">
        <f t="shared" si="97"/>
        <v>0.51551929259926654</v>
      </c>
      <c r="H253" s="414" t="b">
        <f>Wh_hp&gt;='2019'!Maxi_hp</f>
        <v>0</v>
      </c>
      <c r="I253" s="380">
        <f>IF(H253,Wh_hp,'2019'!Maxi_hp)</f>
        <v>52.049973436944512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1.758482328752875E-2</v>
      </c>
      <c r="M253" s="845"/>
      <c r="N253" s="845"/>
      <c r="O253" s="48">
        <f>IF(t&lt;Tnet,'2019'!Resal+('2019'!Salim-'2019'!Resal)*(1-EXP(('2019'!Tnet-t)/('2019'!Tau_j))),Resal+(Salim-Resal)*(1-EXP((Tnet-t)/(Tau_j))))*Salcycl</f>
        <v>4.4304029383663672E-2</v>
      </c>
      <c r="P253" s="169">
        <f>(INDEX(Models!$BJ253:$BT253,,T253)*(1-R253)+INDEX(Models!$BJ253:$BT253,,T253+1)*R253-ERP_i)*Q253*Ramure*Pc/MaxiM</f>
        <v>7.6323647770337869E-6</v>
      </c>
      <c r="Q253" s="305">
        <f t="shared" si="77"/>
        <v>0.5</v>
      </c>
      <c r="R253" s="177">
        <f t="shared" si="78"/>
        <v>0.47804116144221909</v>
      </c>
      <c r="S253" s="811">
        <f t="shared" si="79"/>
        <v>-1</v>
      </c>
      <c r="T253" s="176">
        <f t="shared" si="80"/>
        <v>5</v>
      </c>
      <c r="U253" s="251">
        <f t="shared" si="81"/>
        <v>-0.52195883855778091</v>
      </c>
      <c r="V253" s="383">
        <f t="shared" si="82"/>
        <v>51.031768173835047</v>
      </c>
      <c r="W253" s="402"/>
      <c r="X253" s="157">
        <f t="shared" si="83"/>
        <v>44069</v>
      </c>
      <c r="Y253" s="385">
        <f t="shared" si="84"/>
        <v>26.308</v>
      </c>
      <c r="Z253" s="385">
        <f t="shared" si="85"/>
        <v>26.778902264149064</v>
      </c>
      <c r="AA253" s="386">
        <f t="shared" si="86"/>
        <v>28.020315128962118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4.4304029383663672E-2</v>
      </c>
      <c r="AD253" s="231">
        <f>(INDEX(Models!$BJ253:$BT253,,AH253)*(1-AF253)+INDEX(Models!$BJ253:$BT253,,AH253+1)*AF253-ERP_i)*AE253*Ramure*Pc/MaxiM</f>
        <v>7.6323647770337869E-6</v>
      </c>
      <c r="AE253" s="305">
        <f t="shared" si="88"/>
        <v>0.5</v>
      </c>
      <c r="AF253" s="177">
        <f t="shared" si="89"/>
        <v>0.47804116144221909</v>
      </c>
      <c r="AG253" s="811">
        <f t="shared" si="95"/>
        <v>-1</v>
      </c>
      <c r="AH253" s="176">
        <f t="shared" si="90"/>
        <v>5</v>
      </c>
      <c r="AI253" s="225">
        <f t="shared" si="91"/>
        <v>-0.52195883855778091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7">
        <v>48.046999999999997</v>
      </c>
      <c r="C254" s="390"/>
      <c r="D254" s="393">
        <f t="shared" si="74"/>
        <v>48.908092540310562</v>
      </c>
      <c r="E254" s="385">
        <f t="shared" si="96"/>
        <v>51.17889121341203</v>
      </c>
      <c r="F254" s="385">
        <f t="shared" si="75"/>
        <v>51.179199658851765</v>
      </c>
      <c r="G254" s="110">
        <f t="shared" si="97"/>
        <v>0.94480290067303485</v>
      </c>
      <c r="H254" s="414" t="b">
        <f>Wh_hp&gt;='2019'!Maxi_hp</f>
        <v>1</v>
      </c>
      <c r="I254" s="380">
        <f>IF(H254,Wh_hp,'2019'!Maxi_hp)</f>
        <v>51.179199658851765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1.7606340701200818E-2</v>
      </c>
      <c r="M254" s="845"/>
      <c r="N254" s="845"/>
      <c r="O254" s="48">
        <f>IF(t&lt;Tnet,'2019'!Resal+('2019'!Salim-'2019'!Resal)*(1-EXP(('2019'!Tnet-t)/('2019'!Tau_j))),Resal+(Salim-Resal)*(1-EXP((Tnet-t)/(Tau_j))))*Salcycl</f>
        <v>4.4369829421126238E-2</v>
      </c>
      <c r="P254" s="169">
        <f>(INDEX(Models!$BJ254:$BT254,,T254)*(1-R254)+INDEX(Models!$BJ254:$BT254,,T254+1)*R254-ERP_i)*Q254*Ramure*Pc/MaxiM</f>
        <v>6.5426786924380129E-6</v>
      </c>
      <c r="Q254" s="305">
        <f t="shared" si="77"/>
        <v>0.5</v>
      </c>
      <c r="R254" s="177">
        <f t="shared" si="78"/>
        <v>0.47879741189477887</v>
      </c>
      <c r="S254" s="811">
        <f t="shared" si="79"/>
        <v>-1</v>
      </c>
      <c r="T254" s="176">
        <f t="shared" si="80"/>
        <v>5</v>
      </c>
      <c r="U254" s="251">
        <f t="shared" si="81"/>
        <v>-0.52120258810522113</v>
      </c>
      <c r="V254" s="383">
        <f t="shared" si="82"/>
        <v>50.853966661113219</v>
      </c>
      <c r="W254" s="402"/>
      <c r="X254" s="157">
        <f t="shared" si="83"/>
        <v>44070</v>
      </c>
      <c r="Y254" s="385">
        <f t="shared" si="84"/>
        <v>48.046999999999997</v>
      </c>
      <c r="Z254" s="385">
        <f t="shared" si="85"/>
        <v>48.908092540310562</v>
      </c>
      <c r="AA254" s="386">
        <f t="shared" si="86"/>
        <v>51.17889121341203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4.4369829421126238E-2</v>
      </c>
      <c r="AD254" s="231">
        <f>(INDEX(Models!$BJ254:$BT254,,AH254)*(1-AF254)+INDEX(Models!$BJ254:$BT254,,AH254+1)*AF254-ERP_i)*AE254*Ramure*Pc/MaxiM</f>
        <v>6.5426786924380129E-6</v>
      </c>
      <c r="AE254" s="305">
        <f t="shared" si="88"/>
        <v>0.5</v>
      </c>
      <c r="AF254" s="177">
        <f t="shared" si="89"/>
        <v>0.47879741189477887</v>
      </c>
      <c r="AG254" s="811">
        <f t="shared" si="95"/>
        <v>-1</v>
      </c>
      <c r="AH254" s="176">
        <f t="shared" si="90"/>
        <v>5</v>
      </c>
      <c r="AI254" s="225">
        <f t="shared" si="91"/>
        <v>-0.52120258810522113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7">
        <v>9.3520000000000003</v>
      </c>
      <c r="C255" s="390"/>
      <c r="D255" s="393">
        <f t="shared" si="74"/>
        <v>9.5198139246572904</v>
      </c>
      <c r="E255" s="385">
        <f t="shared" si="96"/>
        <v>9.9625013453179356</v>
      </c>
      <c r="F255" s="385">
        <f t="shared" si="75"/>
        <v>9.9625013453179356</v>
      </c>
      <c r="G255" s="110">
        <f t="shared" si="97"/>
        <v>0.18455981964159524</v>
      </c>
      <c r="H255" s="414" t="b">
        <f>Wh_hp&gt;='2019'!Maxi_hp</f>
        <v>0</v>
      </c>
      <c r="I255" s="380">
        <f>IF(H255,Wh_hp,'2019'!Maxi_hp)</f>
        <v>51.040823369252443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1.762785764358632E-2</v>
      </c>
      <c r="M255" s="845"/>
      <c r="N255" s="845"/>
      <c r="O255" s="48">
        <f>IF(t&lt;Tnet,'2019'!Resal+('2019'!Salim-'2019'!Resal)*(1-EXP(('2019'!Tnet-t)/('2019'!Tau_j))),Resal+(Salim-Resal)*(1-EXP((Tnet-t)/(Tau_j))))*Salcycl</f>
        <v>4.4435368720797716E-2</v>
      </c>
      <c r="P255" s="169">
        <f>(INDEX(Models!$BJ255:$BT255,,T255)*(1-R255)+INDEX(Models!$BJ255:$BT255,,T255+1)*R255-ERP_i)*Q255*Ramure*Pc/MaxiM</f>
        <v>5.5538207877917456E-6</v>
      </c>
      <c r="Q255" s="305">
        <f t="shared" si="77"/>
        <v>0.5</v>
      </c>
      <c r="R255" s="177">
        <f t="shared" si="78"/>
        <v>0.47952545159707349</v>
      </c>
      <c r="S255" s="811">
        <f t="shared" si="79"/>
        <v>-1</v>
      </c>
      <c r="T255" s="176">
        <f t="shared" si="80"/>
        <v>5</v>
      </c>
      <c r="U255" s="251">
        <f t="shared" si="81"/>
        <v>-0.52047454840292651</v>
      </c>
      <c r="V255" s="383">
        <f t="shared" si="82"/>
        <v>50.671636322732375</v>
      </c>
      <c r="W255" s="402"/>
      <c r="X255" s="157">
        <f t="shared" si="83"/>
        <v>44071</v>
      </c>
      <c r="Y255" s="385">
        <f t="shared" si="84"/>
        <v>9.3520000000000003</v>
      </c>
      <c r="Z255" s="385">
        <f t="shared" si="85"/>
        <v>9.5198139246572904</v>
      </c>
      <c r="AA255" s="386">
        <f t="shared" si="86"/>
        <v>9.9625013453179356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4.4435368720797716E-2</v>
      </c>
      <c r="AD255" s="231">
        <f>(INDEX(Models!$BJ255:$BT255,,AH255)*(1-AF255)+INDEX(Models!$BJ255:$BT255,,AH255+1)*AF255-ERP_i)*AE255*Ramure*Pc/MaxiM</f>
        <v>5.5538207877917456E-6</v>
      </c>
      <c r="AE255" s="305">
        <f t="shared" si="88"/>
        <v>0.5</v>
      </c>
      <c r="AF255" s="177">
        <f t="shared" si="89"/>
        <v>0.47952545159707349</v>
      </c>
      <c r="AG255" s="811">
        <f t="shared" si="95"/>
        <v>-1</v>
      </c>
      <c r="AH255" s="176">
        <f t="shared" si="90"/>
        <v>5</v>
      </c>
      <c r="AI255" s="225">
        <f t="shared" si="91"/>
        <v>-0.52047454840292651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7">
        <v>22.911999999999999</v>
      </c>
      <c r="C256" s="390"/>
      <c r="D256" s="393">
        <f t="shared" si="74"/>
        <v>23.323647785485424</v>
      </c>
      <c r="E256" s="385">
        <f t="shared" si="96"/>
        <v>24.409904123814609</v>
      </c>
      <c r="F256" s="385">
        <f t="shared" si="75"/>
        <v>24.409929160261967</v>
      </c>
      <c r="G256" s="110">
        <f t="shared" si="97"/>
        <v>0.45384535820523053</v>
      </c>
      <c r="H256" s="414" t="b">
        <f>Wh_hp&gt;='2019'!Maxi_hp</f>
        <v>0</v>
      </c>
      <c r="I256" s="380">
        <f>IF(H256,Wh_hp,'2019'!Maxi_hp)</f>
        <v>50.619616686697206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1.7649374114695582E-2</v>
      </c>
      <c r="M256" s="845"/>
      <c r="N256" s="845"/>
      <c r="O256" s="48">
        <f>IF(t&lt;Tnet,'2019'!Resal+('2019'!Salim-'2019'!Resal)*(1-EXP(('2019'!Tnet-t)/('2019'!Tau_j))),Resal+(Salim-Resal)*(1-EXP((Tnet-t)/(Tau_j))))*Salcycl</f>
        <v>4.4500639282291213E-2</v>
      </c>
      <c r="P256" s="169">
        <f>(INDEX(Models!$BJ256:$BT256,,T256)*(1-R256)+INDEX(Models!$BJ256:$BT256,,T256+1)*R256-ERP_i)*Q256*Ramure*Pc/MaxiM</f>
        <v>4.6667567231475665E-6</v>
      </c>
      <c r="Q256" s="305">
        <f t="shared" si="77"/>
        <v>0.5</v>
      </c>
      <c r="R256" s="177">
        <f t="shared" si="78"/>
        <v>0.4802262491582483</v>
      </c>
      <c r="S256" s="811">
        <f t="shared" si="79"/>
        <v>-1</v>
      </c>
      <c r="T256" s="176">
        <f t="shared" si="80"/>
        <v>5</v>
      </c>
      <c r="U256" s="251">
        <f t="shared" si="81"/>
        <v>-0.5197737508417517</v>
      </c>
      <c r="V256" s="383">
        <f t="shared" si="82"/>
        <v>50.483972483189071</v>
      </c>
      <c r="W256" s="402"/>
      <c r="X256" s="157">
        <f t="shared" si="83"/>
        <v>44072</v>
      </c>
      <c r="Y256" s="385">
        <f t="shared" si="84"/>
        <v>22.911999999999999</v>
      </c>
      <c r="Z256" s="385">
        <f t="shared" si="85"/>
        <v>23.323647785485424</v>
      </c>
      <c r="AA256" s="386">
        <f t="shared" si="86"/>
        <v>24.409904123814609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4.4500639282291213E-2</v>
      </c>
      <c r="AD256" s="231">
        <f>(INDEX(Models!$BJ256:$BT256,,AH256)*(1-AF256)+INDEX(Models!$BJ256:$BT256,,AH256+1)*AF256-ERP_i)*AE256*Ramure*Pc/MaxiM</f>
        <v>4.6667567231475665E-6</v>
      </c>
      <c r="AE256" s="305">
        <f t="shared" si="88"/>
        <v>0.5</v>
      </c>
      <c r="AF256" s="177">
        <f t="shared" si="89"/>
        <v>0.4802262491582483</v>
      </c>
      <c r="AG256" s="811">
        <f t="shared" si="95"/>
        <v>-1</v>
      </c>
      <c r="AH256" s="176">
        <f t="shared" si="90"/>
        <v>5</v>
      </c>
      <c r="AI256" s="225">
        <f t="shared" si="91"/>
        <v>-0.5197737508417517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7">
        <v>31.228999999999999</v>
      </c>
      <c r="C257" s="390"/>
      <c r="D257" s="393">
        <f t="shared" si="74"/>
        <v>31.790771224972943</v>
      </c>
      <c r="E257" s="385">
        <f t="shared" si="96"/>
        <v>33.273631676372439</v>
      </c>
      <c r="F257" s="385">
        <f t="shared" si="75"/>
        <v>33.273690911675942</v>
      </c>
      <c r="G257" s="110">
        <f t="shared" si="97"/>
        <v>0.62097491174467911</v>
      </c>
      <c r="H257" s="414" t="b">
        <f>Wh_hp&gt;='2019'!Maxi_hp</f>
        <v>0</v>
      </c>
      <c r="I257" s="380">
        <f>IF(H257,Wh_hp,'2019'!Maxi_hp)</f>
        <v>47.913117386310404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1.7670890114538929E-2</v>
      </c>
      <c r="M257" s="845"/>
      <c r="N257" s="845"/>
      <c r="O257" s="48">
        <f>IF(t&lt;Tnet,'2019'!Resal+('2019'!Salim-'2019'!Resal)*(1-EXP(('2019'!Tnet-t)/('2019'!Tau_j))),Resal+(Salim-Resal)*(1-EXP((Tnet-t)/(Tau_j))))*Salcycl</f>
        <v>4.4565632805645156E-2</v>
      </c>
      <c r="P257" s="169">
        <f>(INDEX(Models!$BJ257:$BT257,,T257)*(1-R257)+INDEX(Models!$BJ257:$BT257,,T257+1)*R257-ERP_i)*Q257*Ramure*Pc/MaxiM</f>
        <v>3.8824406507731185E-6</v>
      </c>
      <c r="Q257" s="305">
        <f t="shared" si="77"/>
        <v>0.5</v>
      </c>
      <c r="R257" s="177">
        <f t="shared" si="78"/>
        <v>0.48090074634794844</v>
      </c>
      <c r="S257" s="811">
        <f t="shared" si="79"/>
        <v>-1</v>
      </c>
      <c r="T257" s="176">
        <f t="shared" si="80"/>
        <v>5</v>
      </c>
      <c r="U257" s="251">
        <f t="shared" si="81"/>
        <v>-0.51909925365205156</v>
      </c>
      <c r="V257" s="383">
        <f t="shared" si="82"/>
        <v>50.290170761742523</v>
      </c>
      <c r="W257" s="402"/>
      <c r="X257" s="157">
        <f t="shared" si="83"/>
        <v>44073</v>
      </c>
      <c r="Y257" s="385">
        <f t="shared" si="84"/>
        <v>31.228999999999996</v>
      </c>
      <c r="Z257" s="385">
        <f t="shared" si="85"/>
        <v>31.790771224972939</v>
      </c>
      <c r="AA257" s="386">
        <f t="shared" si="86"/>
        <v>33.273631676372439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4.4565632805645156E-2</v>
      </c>
      <c r="AD257" s="231">
        <f>(INDEX(Models!$BJ257:$BT257,,AH257)*(1-AF257)+INDEX(Models!$BJ257:$BT257,,AH257+1)*AF257-ERP_i)*AE257*Ramure*Pc/MaxiM</f>
        <v>3.8824406507731185E-6</v>
      </c>
      <c r="AE257" s="305">
        <f t="shared" si="88"/>
        <v>0.5</v>
      </c>
      <c r="AF257" s="177">
        <f t="shared" si="89"/>
        <v>0.48090074634794844</v>
      </c>
      <c r="AG257" s="811">
        <f t="shared" si="95"/>
        <v>-1</v>
      </c>
      <c r="AH257" s="176">
        <f t="shared" si="90"/>
        <v>5</v>
      </c>
      <c r="AI257" s="225">
        <f t="shared" si="91"/>
        <v>-0.51909925365205156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7">
        <v>43.753</v>
      </c>
      <c r="C258" s="390"/>
      <c r="D258" s="393">
        <f t="shared" si="74"/>
        <v>44.541038114080273</v>
      </c>
      <c r="E258" s="385">
        <f t="shared" si="96"/>
        <v>46.621784226859241</v>
      </c>
      <c r="F258" s="385">
        <f t="shared" si="75"/>
        <v>46.621906525674554</v>
      </c>
      <c r="G258" s="110">
        <f t="shared" si="97"/>
        <v>0.87349720779457396</v>
      </c>
      <c r="H258" s="414" t="b">
        <f>Wh_hp&gt;='2019'!Maxi_hp</f>
        <v>0</v>
      </c>
      <c r="I258" s="380">
        <f>IF(H258,Wh_hp,'2019'!Maxi_hp)</f>
        <v>53.475031417285187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1.7692405643126574E-2</v>
      </c>
      <c r="M258" s="845"/>
      <c r="N258" s="845"/>
      <c r="O258" s="48">
        <f>IF(t&lt;Tnet,'2019'!Resal+('2019'!Salim-'2019'!Resal)*(1-EXP(('2019'!Tnet-t)/('2019'!Tau_j))),Resal+(Salim-Resal)*(1-EXP((Tnet-t)/(Tau_j))))*Salcycl</f>
        <v>4.4630340671952005E-2</v>
      </c>
      <c r="P258" s="169">
        <f>(INDEX(Models!$BJ258:$BT258,,T258)*(1-R258)+INDEX(Models!$BJ258:$BT258,,T258+1)*R258-ERP_i)*Q258*Ramure*Pc/MaxiM</f>
        <v>3.2018322179149331E-6</v>
      </c>
      <c r="Q258" s="305">
        <f t="shared" si="77"/>
        <v>0.5</v>
      </c>
      <c r="R258" s="177">
        <f t="shared" si="78"/>
        <v>0.48154985833056996</v>
      </c>
      <c r="S258" s="811">
        <f t="shared" si="79"/>
        <v>-1</v>
      </c>
      <c r="T258" s="176">
        <f t="shared" si="80"/>
        <v>5</v>
      </c>
      <c r="U258" s="251">
        <f t="shared" si="81"/>
        <v>-0.51845014166943004</v>
      </c>
      <c r="V258" s="383">
        <f t="shared" si="82"/>
        <v>50.08942706722857</v>
      </c>
      <c r="W258" s="402"/>
      <c r="X258" s="157">
        <f t="shared" si="83"/>
        <v>44074</v>
      </c>
      <c r="Y258" s="385">
        <f t="shared" si="84"/>
        <v>43.753</v>
      </c>
      <c r="Z258" s="385">
        <f t="shared" si="85"/>
        <v>44.541038114080273</v>
      </c>
      <c r="AA258" s="386">
        <f t="shared" si="86"/>
        <v>46.621784226859241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4.4630340671952005E-2</v>
      </c>
      <c r="AD258" s="231">
        <f>(INDEX(Models!$BJ258:$BT258,,AH258)*(1-AF258)+INDEX(Models!$BJ258:$BT258,,AH258+1)*AF258-ERP_i)*AE258*Ramure*Pc/MaxiM</f>
        <v>3.2018322179149331E-6</v>
      </c>
      <c r="AE258" s="305">
        <f t="shared" si="88"/>
        <v>0.5</v>
      </c>
      <c r="AF258" s="177">
        <f t="shared" si="89"/>
        <v>0.48154985833056996</v>
      </c>
      <c r="AG258" s="811">
        <f t="shared" si="95"/>
        <v>-1</v>
      </c>
      <c r="AH258" s="176">
        <f t="shared" si="90"/>
        <v>5</v>
      </c>
      <c r="AI258" s="225">
        <f t="shared" si="91"/>
        <v>-0.51845014166943004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7">
        <v>46.345999999999997</v>
      </c>
      <c r="C259" s="390"/>
      <c r="D259" s="393">
        <f t="shared" si="74"/>
        <v>47.181774206806807</v>
      </c>
      <c r="E259" s="385">
        <f t="shared" si="96"/>
        <v>49.389212924885491</v>
      </c>
      <c r="F259" s="385">
        <f t="shared" si="75"/>
        <v>49.389329487084815</v>
      </c>
      <c r="G259" s="110">
        <f t="shared" si="97"/>
        <v>0.92913224789284521</v>
      </c>
      <c r="H259" s="414" t="b">
        <f>Wh_hp&gt;='2019'!Maxi_hp</f>
        <v>0</v>
      </c>
      <c r="I259" s="380">
        <f>IF(H259,Wh_hp,'2019'!Maxi_hp)</f>
        <v>51.427835350869806</v>
      </c>
      <c r="J259" s="85">
        <f>IF(H259,An,'2019'!An_max)</f>
        <v>2019</v>
      </c>
      <c r="K259" s="197">
        <f t="shared" si="76"/>
        <v>44075</v>
      </c>
      <c r="L259" s="147">
        <f>IF(t&lt;Tvie,1-EXP((T0-t)*PertePVj)+'2019'!Pspv,1-EXP((T0-t)*PertePVj)+Pspv)</f>
        <v>1.7713920700469066E-2</v>
      </c>
      <c r="M259" s="845"/>
      <c r="N259" s="845"/>
      <c r="O259" s="48">
        <f>IF(t&lt;Tnet,'2019'!Resal+('2019'!Salim-'2019'!Resal)*(1-EXP(('2019'!Tnet-t)/('2019'!Tau_j))),Resal+(Salim-Resal)*(1-EXP((Tnet-t)/(Tau_j))))*Salcycl</f>
        <v>4.469475392199318E-2</v>
      </c>
      <c r="P259" s="169">
        <f>(INDEX(Models!$BJ259:$BT259,,T259)*(1-R259)+INDEX(Models!$BJ259:$BT259,,T259+1)*R259-ERP_i)*Q259*Ramure*Pc/MaxiM</f>
        <v>2.6259141644716939E-6</v>
      </c>
      <c r="Q259" s="305">
        <f t="shared" si="77"/>
        <v>0.5</v>
      </c>
      <c r="R259" s="177">
        <f t="shared" si="78"/>
        <v>0.48217447394477653</v>
      </c>
      <c r="S259" s="811">
        <f t="shared" si="79"/>
        <v>-1</v>
      </c>
      <c r="T259" s="176">
        <f t="shared" si="80"/>
        <v>5</v>
      </c>
      <c r="U259" s="251">
        <f t="shared" si="81"/>
        <v>-0.51782552605522347</v>
      </c>
      <c r="V259" s="383">
        <f t="shared" si="82"/>
        <v>49.880937599780083</v>
      </c>
      <c r="W259" s="402"/>
      <c r="X259" s="157">
        <f t="shared" si="83"/>
        <v>44075</v>
      </c>
      <c r="Y259" s="385">
        <f t="shared" si="84"/>
        <v>46.345999999999997</v>
      </c>
      <c r="Z259" s="385">
        <f t="shared" si="85"/>
        <v>47.181774206806807</v>
      </c>
      <c r="AA259" s="386">
        <f t="shared" si="86"/>
        <v>49.389212924885491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4.469475392199318E-2</v>
      </c>
      <c r="AD259" s="231">
        <f>(INDEX(Models!$BJ259:$BT259,,AH259)*(1-AF259)+INDEX(Models!$BJ259:$BT259,,AH259+1)*AF259-ERP_i)*AE259*Ramure*Pc/MaxiM</f>
        <v>2.6259141644716939E-6</v>
      </c>
      <c r="AE259" s="305">
        <f t="shared" si="88"/>
        <v>0.5</v>
      </c>
      <c r="AF259" s="177">
        <f t="shared" si="89"/>
        <v>0.48217447394477653</v>
      </c>
      <c r="AG259" s="811">
        <f t="shared" si="95"/>
        <v>-1</v>
      </c>
      <c r="AH259" s="176">
        <f t="shared" si="90"/>
        <v>5</v>
      </c>
      <c r="AI259" s="225">
        <f t="shared" si="91"/>
        <v>-0.51782552605522347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7">
        <v>50.808999999999997</v>
      </c>
      <c r="C260" s="390"/>
      <c r="D260" s="393">
        <f t="shared" si="74"/>
        <v>51.72639004321973</v>
      </c>
      <c r="E260" s="385">
        <f t="shared" si="96"/>
        <v>54.150086352346008</v>
      </c>
      <c r="F260" s="385">
        <f t="shared" si="75"/>
        <v>54.150203084511908</v>
      </c>
      <c r="G260" s="110">
        <f t="shared" si="97"/>
        <v>1.0230570129436911</v>
      </c>
      <c r="H260" s="414" t="b">
        <f>Wh_hp&gt;='2019'!Maxi_hp</f>
        <v>1</v>
      </c>
      <c r="I260" s="380">
        <f>IF(H260,Wh_hp,'2019'!Maxi_hp)</f>
        <v>54.150203084511908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1.7735435286576395E-2</v>
      </c>
      <c r="M260" s="845"/>
      <c r="N260" s="845"/>
      <c r="O260" s="48">
        <f>IF(t&lt;Tnet,'2019'!Resal+('2019'!Salim-'2019'!Resal)*(1-EXP(('2019'!Tnet-t)/('2019'!Tau_j))),Resal+(Salim-Resal)*(1-EXP((Tnet-t)/(Tau_j))))*Salcycl</f>
        <v>4.4758863233489141E-2</v>
      </c>
      <c r="P260" s="169">
        <f>(INDEX(Models!$BJ260:$BT260,,T260)*(1-R260)+INDEX(Models!$BJ260:$BT260,,T260+1)*R260-ERP_i)*Q260*Ramure*Pc/MaxiM</f>
        <v>2.1557105836552286E-6</v>
      </c>
      <c r="Q260" s="305">
        <f t="shared" si="77"/>
        <v>0.5</v>
      </c>
      <c r="R260" s="177">
        <f t="shared" si="78"/>
        <v>0.48277545602340199</v>
      </c>
      <c r="S260" s="811">
        <f t="shared" si="79"/>
        <v>-1</v>
      </c>
      <c r="T260" s="176">
        <f t="shared" si="80"/>
        <v>5</v>
      </c>
      <c r="U260" s="251">
        <f t="shared" si="81"/>
        <v>-0.51722454397659801</v>
      </c>
      <c r="V260" s="383">
        <f t="shared" si="82"/>
        <v>49.663898841575616</v>
      </c>
      <c r="W260" s="402"/>
      <c r="X260" s="157">
        <f t="shared" si="83"/>
        <v>44076</v>
      </c>
      <c r="Y260" s="385">
        <f t="shared" si="84"/>
        <v>50.808999999999997</v>
      </c>
      <c r="Z260" s="385">
        <f t="shared" si="85"/>
        <v>51.72639004321973</v>
      </c>
      <c r="AA260" s="386">
        <f t="shared" si="86"/>
        <v>54.150086352346008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4.4758863233489141E-2</v>
      </c>
      <c r="AD260" s="231">
        <f>(INDEX(Models!$BJ260:$BT260,,AH260)*(1-AF260)+INDEX(Models!$BJ260:$BT260,,AH260+1)*AF260-ERP_i)*AE260*Ramure*Pc/MaxiM</f>
        <v>2.1557105836552286E-6</v>
      </c>
      <c r="AE260" s="305">
        <f t="shared" si="88"/>
        <v>0.5</v>
      </c>
      <c r="AF260" s="177">
        <f t="shared" si="89"/>
        <v>0.48277545602340199</v>
      </c>
      <c r="AG260" s="811">
        <f t="shared" si="95"/>
        <v>-1</v>
      </c>
      <c r="AH260" s="176">
        <f t="shared" si="90"/>
        <v>5</v>
      </c>
      <c r="AI260" s="225">
        <f t="shared" si="91"/>
        <v>-0.51722454397659801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7">
        <v>47.978000000000002</v>
      </c>
      <c r="C261" s="390"/>
      <c r="D261" s="393">
        <f t="shared" si="74"/>
        <v>48.845344307362694</v>
      </c>
      <c r="E261" s="385">
        <f t="shared" si="96"/>
        <v>51.137461291732095</v>
      </c>
      <c r="F261" s="385">
        <f t="shared" si="75"/>
        <v>51.137549075420111</v>
      </c>
      <c r="G261" s="110">
        <f t="shared" si="97"/>
        <v>0.9704552448498257</v>
      </c>
      <c r="H261" s="414" t="b">
        <f>Wh_hp&gt;='2019'!Maxi_hp</f>
        <v>0</v>
      </c>
      <c r="I261" s="380">
        <f>IF(H261,Wh_hp,'2019'!Maxi_hp)</f>
        <v>53.283178554064911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1.7756949401459221E-2</v>
      </c>
      <c r="M261" s="845"/>
      <c r="N261" s="845"/>
      <c r="O261" s="48">
        <f>IF(t&lt;Tnet,'2019'!Resal+('2019'!Salim-'2019'!Resal)*(1-EXP(('2019'!Tnet-t)/('2019'!Tau_j))),Resal+(Salim-Resal)*(1-EXP((Tnet-t)/(Tau_j))))*Salcycl</f>
        <v>4.4822658897617079E-2</v>
      </c>
      <c r="P261" s="169">
        <f>(INDEX(Models!$BJ261:$BT261,,T261)*(1-R261)+INDEX(Models!$BJ261:$BT261,,T261+1)*R261-ERP_i)*Q261*Ramure*Pc/MaxiM</f>
        <v>1.7922645442279947E-6</v>
      </c>
      <c r="Q261" s="305">
        <f t="shared" si="77"/>
        <v>0.5</v>
      </c>
      <c r="R261" s="177">
        <f t="shared" si="78"/>
        <v>0.48335364174916617</v>
      </c>
      <c r="S261" s="811">
        <f t="shared" si="79"/>
        <v>-1</v>
      </c>
      <c r="T261" s="176">
        <f t="shared" si="80"/>
        <v>5</v>
      </c>
      <c r="U261" s="251">
        <f t="shared" si="81"/>
        <v>-0.51664635825083383</v>
      </c>
      <c r="V261" s="383">
        <f t="shared" si="82"/>
        <v>49.438649154908674</v>
      </c>
      <c r="W261" s="402"/>
      <c r="X261" s="157">
        <f t="shared" si="83"/>
        <v>44077</v>
      </c>
      <c r="Y261" s="385">
        <f t="shared" si="84"/>
        <v>47.978000000000002</v>
      </c>
      <c r="Z261" s="385">
        <f t="shared" si="85"/>
        <v>48.845344307362694</v>
      </c>
      <c r="AA261" s="386">
        <f t="shared" si="86"/>
        <v>51.137461291732095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4.4822658897617079E-2</v>
      </c>
      <c r="AD261" s="231">
        <f>(INDEX(Models!$BJ261:$BT261,,AH261)*(1-AF261)+INDEX(Models!$BJ261:$BT261,,AH261+1)*AF261-ERP_i)*AE261*Ramure*Pc/MaxiM</f>
        <v>1.7922645442279947E-6</v>
      </c>
      <c r="AE261" s="305">
        <f t="shared" si="88"/>
        <v>0.5</v>
      </c>
      <c r="AF261" s="177">
        <f t="shared" si="89"/>
        <v>0.48335364174916617</v>
      </c>
      <c r="AG261" s="811">
        <f t="shared" si="95"/>
        <v>-1</v>
      </c>
      <c r="AH261" s="176">
        <f t="shared" si="90"/>
        <v>5</v>
      </c>
      <c r="AI261" s="225">
        <f t="shared" si="91"/>
        <v>-0.51664635825083383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7">
        <v>49.521999999999998</v>
      </c>
      <c r="C262" s="390"/>
      <c r="D262" s="393">
        <f t="shared" si="74"/>
        <v>50.418360967252198</v>
      </c>
      <c r="E262" s="385">
        <f t="shared" si="96"/>
        <v>52.787801112388877</v>
      </c>
      <c r="F262" s="385">
        <f t="shared" si="75"/>
        <v>52.787883333438941</v>
      </c>
      <c r="G262" s="110">
        <f t="shared" si="97"/>
        <v>1.006415200872719</v>
      </c>
      <c r="H262" s="414" t="b">
        <f>Wh_hp&gt;='2019'!Maxi_hp</f>
        <v>1</v>
      </c>
      <c r="I262" s="380">
        <f>IF(H262,Wh_hp,'2019'!Maxi_hp)</f>
        <v>52.787883333438941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1.7778463045127646E-2</v>
      </c>
      <c r="M262" s="845"/>
      <c r="N262" s="845"/>
      <c r="O262" s="48">
        <f>IF(t&lt;Tnet,'2019'!Resal+('2019'!Salim-'2019'!Resal)*(1-EXP(('2019'!Tnet-t)/('2019'!Tau_j))),Resal+(Salim-Resal)*(1-EXP((Tnet-t)/(Tau_j))))*Salcycl</f>
        <v>4.4886130795484022E-2</v>
      </c>
      <c r="P262" s="169">
        <f>(INDEX(Models!$BJ262:$BT262,,T262)*(1-R262)+INDEX(Models!$BJ262:$BT262,,T262+1)*R262-ERP_i)*Q262*Ramure*Pc/MaxiM</f>
        <v>1.557574293039787E-6</v>
      </c>
      <c r="Q262" s="305">
        <f t="shared" si="77"/>
        <v>0.5</v>
      </c>
      <c r="R262" s="177">
        <f t="shared" si="78"/>
        <v>0.48390984304193818</v>
      </c>
      <c r="S262" s="811">
        <f t="shared" si="79"/>
        <v>-1</v>
      </c>
      <c r="T262" s="176">
        <f t="shared" si="80"/>
        <v>5</v>
      </c>
      <c r="U262" s="251">
        <f t="shared" si="81"/>
        <v>-0.51609015695806182</v>
      </c>
      <c r="V262" s="383">
        <f t="shared" si="82"/>
        <v>49.206331499222884</v>
      </c>
      <c r="W262" s="402"/>
      <c r="X262" s="157">
        <f t="shared" si="83"/>
        <v>44078</v>
      </c>
      <c r="Y262" s="385">
        <f t="shared" si="84"/>
        <v>49.521999999999998</v>
      </c>
      <c r="Z262" s="385">
        <f t="shared" si="85"/>
        <v>50.418360967252198</v>
      </c>
      <c r="AA262" s="386">
        <f t="shared" si="86"/>
        <v>52.787801112388877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4.4886130795484022E-2</v>
      </c>
      <c r="AD262" s="231">
        <f>(INDEX(Models!$BJ262:$BT262,,AH262)*(1-AF262)+INDEX(Models!$BJ262:$BT262,,AH262+1)*AF262-ERP_i)*AE262*Ramure*Pc/MaxiM</f>
        <v>1.557574293039787E-6</v>
      </c>
      <c r="AE262" s="305">
        <f t="shared" si="88"/>
        <v>0.5</v>
      </c>
      <c r="AF262" s="177">
        <f t="shared" si="89"/>
        <v>0.48390984304193818</v>
      </c>
      <c r="AG262" s="811">
        <f t="shared" si="95"/>
        <v>-1</v>
      </c>
      <c r="AH262" s="176">
        <f t="shared" si="90"/>
        <v>5</v>
      </c>
      <c r="AI262" s="225">
        <f t="shared" si="91"/>
        <v>-0.51609015695806182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7">
        <v>43.970999999999997</v>
      </c>
      <c r="C263" s="390"/>
      <c r="D263" s="393">
        <f t="shared" si="74"/>
        <v>44.767866967330811</v>
      </c>
      <c r="E263" s="385">
        <f t="shared" si="96"/>
        <v>46.874857517958041</v>
      </c>
      <c r="F263" s="385">
        <f t="shared" si="75"/>
        <v>46.874912422944824</v>
      </c>
      <c r="G263" s="110">
        <f t="shared" si="97"/>
        <v>0.89796541528146201</v>
      </c>
      <c r="H263" s="414" t="b">
        <f>Wh_hp&gt;='2019'!Maxi_hp</f>
        <v>0</v>
      </c>
      <c r="I263" s="380">
        <f>IF(H263,Wh_hp,'2019'!Maxi_hp)</f>
        <v>54.673871330579189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1.7799976217592106E-2</v>
      </c>
      <c r="M263" s="845"/>
      <c r="N263" s="845"/>
      <c r="O263" s="48">
        <f>IF(t&lt;Tnet,'2019'!Resal+('2019'!Salim-'2019'!Resal)*(1-EXP(('2019'!Tnet-t)/('2019'!Tau_j))),Resal+(Salim-Resal)*(1-EXP((Tnet-t)/(Tau_j))))*Salcycl</f>
        <v>4.494926837526983E-2</v>
      </c>
      <c r="P263" s="169">
        <f>(INDEX(Models!$BJ263:$BT263,,T263)*(1-R263)+INDEX(Models!$BJ263:$BT263,,T263+1)*R263-ERP_i)*Q263*Ramure*Pc/MaxiM</f>
        <v>1.3711758808830954E-6</v>
      </c>
      <c r="Q263" s="305">
        <f t="shared" si="77"/>
        <v>0.5</v>
      </c>
      <c r="R263" s="177">
        <f t="shared" si="78"/>
        <v>0.48444484697356982</v>
      </c>
      <c r="S263" s="811">
        <f t="shared" si="79"/>
        <v>-1</v>
      </c>
      <c r="T263" s="176">
        <f t="shared" si="80"/>
        <v>5</v>
      </c>
      <c r="U263" s="251">
        <f t="shared" si="81"/>
        <v>-0.51555515302643018</v>
      </c>
      <c r="V263" s="383">
        <f t="shared" si="82"/>
        <v>48.967354937430258</v>
      </c>
      <c r="W263" s="402"/>
      <c r="X263" s="157">
        <f t="shared" si="83"/>
        <v>44079</v>
      </c>
      <c r="Y263" s="385">
        <f t="shared" si="84"/>
        <v>43.970999999999997</v>
      </c>
      <c r="Z263" s="385">
        <f t="shared" si="85"/>
        <v>44.767866967330811</v>
      </c>
      <c r="AA263" s="386">
        <f t="shared" si="86"/>
        <v>46.874857517958041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4.494926837526983E-2</v>
      </c>
      <c r="AD263" s="231">
        <f>(INDEX(Models!$BJ263:$BT263,,AH263)*(1-AF263)+INDEX(Models!$BJ263:$BT263,,AH263+1)*AF263-ERP_i)*AE263*Ramure*Pc/MaxiM</f>
        <v>1.3711758808830954E-6</v>
      </c>
      <c r="AE263" s="305">
        <f t="shared" si="88"/>
        <v>0.5</v>
      </c>
      <c r="AF263" s="177">
        <f t="shared" si="89"/>
        <v>0.48444484697356982</v>
      </c>
      <c r="AG263" s="811">
        <f t="shared" si="95"/>
        <v>-1</v>
      </c>
      <c r="AH263" s="176">
        <f t="shared" si="90"/>
        <v>5</v>
      </c>
      <c r="AI263" s="225">
        <f t="shared" si="91"/>
        <v>-0.51555515302643018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7">
        <v>27.567</v>
      </c>
      <c r="C264" s="390"/>
      <c r="D264" s="393">
        <f t="shared" si="74"/>
        <v>28.067199280969309</v>
      </c>
      <c r="E264" s="385">
        <f t="shared" si="96"/>
        <v>29.390108632688907</v>
      </c>
      <c r="F264" s="385">
        <f t="shared" si="75"/>
        <v>29.390122399969826</v>
      </c>
      <c r="G264" s="110">
        <f t="shared" si="97"/>
        <v>0.56580001933812163</v>
      </c>
      <c r="H264" s="414" t="b">
        <f>Wh_hp&gt;='2019'!Maxi_hp</f>
        <v>0</v>
      </c>
      <c r="I264" s="380">
        <f>IF(H264,Wh_hp,'2019'!Maxi_hp)</f>
        <v>50.140065797662274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1.7821488918862816E-2</v>
      </c>
      <c r="M264" s="845"/>
      <c r="N264" s="845"/>
      <c r="O264" s="48">
        <f>IF(t&lt;Tnet,'2019'!Resal+('2019'!Salim-'2019'!Resal)*(1-EXP(('2019'!Tnet-t)/('2019'!Tau_j))),Resal+(Salim-Resal)*(1-EXP((Tnet-t)/(Tau_j))))*Salcycl</f>
        <v>4.5012060630773017E-2</v>
      </c>
      <c r="P264" s="169">
        <f>(INDEX(Models!$BJ264:$BT264,,T264)*(1-R264)+INDEX(Models!$BJ264:$BT264,,T264+1)*R264-ERP_i)*Q264*Ramure*Pc/MaxiM</f>
        <v>1.2336418780380595E-6</v>
      </c>
      <c r="Q264" s="305">
        <f t="shared" si="77"/>
        <v>0.5</v>
      </c>
      <c r="R264" s="177">
        <f t="shared" si="78"/>
        <v>0.48495941620660732</v>
      </c>
      <c r="S264" s="811">
        <f t="shared" si="79"/>
        <v>-1</v>
      </c>
      <c r="T264" s="176">
        <f t="shared" si="80"/>
        <v>5</v>
      </c>
      <c r="U264" s="251">
        <f t="shared" si="81"/>
        <v>-0.51504058379339268</v>
      </c>
      <c r="V264" s="383">
        <f t="shared" si="82"/>
        <v>48.722124360660494</v>
      </c>
      <c r="W264" s="402"/>
      <c r="X264" s="157">
        <f t="shared" si="83"/>
        <v>44080</v>
      </c>
      <c r="Y264" s="385">
        <f t="shared" si="84"/>
        <v>27.567</v>
      </c>
      <c r="Z264" s="385">
        <f t="shared" si="85"/>
        <v>28.067199280969309</v>
      </c>
      <c r="AA264" s="386">
        <f t="shared" si="86"/>
        <v>29.390108632688907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4.5012060630773017E-2</v>
      </c>
      <c r="AD264" s="231">
        <f>(INDEX(Models!$BJ264:$BT264,,AH264)*(1-AF264)+INDEX(Models!$BJ264:$BT264,,AH264+1)*AF264-ERP_i)*AE264*Ramure*Pc/MaxiM</f>
        <v>1.2336418780380595E-6</v>
      </c>
      <c r="AE264" s="305">
        <f t="shared" si="88"/>
        <v>0.5</v>
      </c>
      <c r="AF264" s="177">
        <f t="shared" si="89"/>
        <v>0.48495941620660732</v>
      </c>
      <c r="AG264" s="811">
        <f t="shared" si="95"/>
        <v>-1</v>
      </c>
      <c r="AH264" s="176">
        <f t="shared" si="90"/>
        <v>5</v>
      </c>
      <c r="AI264" s="225">
        <f t="shared" si="91"/>
        <v>-0.51504058379339268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7">
        <v>43.188000000000002</v>
      </c>
      <c r="C265" s="390"/>
      <c r="D265" s="393">
        <f t="shared" si="74"/>
        <v>43.972603209591071</v>
      </c>
      <c r="E265" s="385">
        <f t="shared" si="96"/>
        <v>46.048202743752135</v>
      </c>
      <c r="F265" s="385">
        <f t="shared" si="75"/>
        <v>46.048247281994044</v>
      </c>
      <c r="G265" s="110">
        <f t="shared" si="97"/>
        <v>0.89100601649988731</v>
      </c>
      <c r="H265" s="414" t="b">
        <f>Wh_hp&gt;='2019'!Maxi_hp</f>
        <v>0</v>
      </c>
      <c r="I265" s="380">
        <f>IF(H265,Wh_hp,'2019'!Maxi_hp)</f>
        <v>49.195092920557293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1.784300114895021E-2</v>
      </c>
      <c r="M265" s="845"/>
      <c r="N265" s="845"/>
      <c r="O265" s="48">
        <f>IF(t&lt;Tnet,'2019'!Resal+('2019'!Salim-'2019'!Resal)*(1-EXP(('2019'!Tnet-t)/('2019'!Tau_j))),Resal+(Salim-Resal)*(1-EXP((Tnet-t)/(Tau_j))))*Salcycl</f>
        <v>4.5074496082101373E-2</v>
      </c>
      <c r="P265" s="169">
        <f>(INDEX(Models!$BJ265:$BT265,,T265)*(1-R265)+INDEX(Models!$BJ265:$BT265,,T265+1)*R265-ERP_i)*Q265*Ramure*Pc/MaxiM</f>
        <v>1.145581486585267E-6</v>
      </c>
      <c r="Q265" s="305">
        <f t="shared" si="77"/>
        <v>0.5</v>
      </c>
      <c r="R265" s="177">
        <f t="shared" si="78"/>
        <v>0.48545428945345326</v>
      </c>
      <c r="S265" s="811">
        <f t="shared" si="79"/>
        <v>-1</v>
      </c>
      <c r="T265" s="176">
        <f t="shared" si="80"/>
        <v>5</v>
      </c>
      <c r="U265" s="251">
        <f t="shared" si="81"/>
        <v>-0.51454571054654674</v>
      </c>
      <c r="V265" s="383">
        <f t="shared" si="82"/>
        <v>48.471044523426158</v>
      </c>
      <c r="W265" s="402"/>
      <c r="X265" s="157">
        <f t="shared" si="83"/>
        <v>44081</v>
      </c>
      <c r="Y265" s="385">
        <f t="shared" si="84"/>
        <v>43.188000000000002</v>
      </c>
      <c r="Z265" s="385">
        <f t="shared" si="85"/>
        <v>43.972603209591071</v>
      </c>
      <c r="AA265" s="386">
        <f t="shared" si="86"/>
        <v>46.048202743752135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4.5074496082101373E-2</v>
      </c>
      <c r="AD265" s="231">
        <f>(INDEX(Models!$BJ265:$BT265,,AH265)*(1-AF265)+INDEX(Models!$BJ265:$BT265,,AH265+1)*AF265-ERP_i)*AE265*Ramure*Pc/MaxiM</f>
        <v>1.145581486585267E-6</v>
      </c>
      <c r="AE265" s="305">
        <f t="shared" si="88"/>
        <v>0.5</v>
      </c>
      <c r="AF265" s="177">
        <f t="shared" si="89"/>
        <v>0.48545428945345326</v>
      </c>
      <c r="AG265" s="811">
        <f t="shared" si="95"/>
        <v>-1</v>
      </c>
      <c r="AH265" s="176">
        <f t="shared" si="90"/>
        <v>5</v>
      </c>
      <c r="AI265" s="225">
        <f t="shared" si="91"/>
        <v>-0.51454571054654674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7">
        <v>46.143999999999998</v>
      </c>
      <c r="C266" s="390"/>
      <c r="D266" s="393">
        <f t="shared" si="74"/>
        <v>46.983334383549433</v>
      </c>
      <c r="E266" s="385">
        <f t="shared" si="96"/>
        <v>49.204244870152543</v>
      </c>
      <c r="F266" s="385">
        <f t="shared" si="75"/>
        <v>49.204296027158733</v>
      </c>
      <c r="G266" s="110">
        <f t="shared" si="97"/>
        <v>0.95705602441555615</v>
      </c>
      <c r="H266" s="414" t="b">
        <f>Wh_hp&gt;='2019'!Maxi_hp</f>
        <v>1</v>
      </c>
      <c r="I266" s="380">
        <f>IF(H266,Wh_hp,'2019'!Maxi_hp)</f>
        <v>49.204296027158733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1.7864512907864505E-2</v>
      </c>
      <c r="M266" s="845"/>
      <c r="N266" s="845"/>
      <c r="O266" s="48">
        <f>IF(t&lt;Tnet,'2019'!Resal+('2019'!Salim-'2019'!Resal)*(1-EXP(('2019'!Tnet-t)/('2019'!Tau_j))),Resal+(Salim-Resal)*(1-EXP((Tnet-t)/(Tau_j))))*Salcycl</f>
        <v>4.5136562759249314E-2</v>
      </c>
      <c r="P266" s="169">
        <f>(INDEX(Models!$BJ266:$BT266,,T266)*(1-R266)+INDEX(Models!$BJ266:$BT266,,T266+1)*R266-ERP_i)*Q266*Ramure*Pc/MaxiM</f>
        <v>1.1076376091213652E-6</v>
      </c>
      <c r="Q266" s="305">
        <f t="shared" si="77"/>
        <v>0.5</v>
      </c>
      <c r="R266" s="177">
        <f t="shared" si="78"/>
        <v>0.48593018195280835</v>
      </c>
      <c r="S266" s="811">
        <f t="shared" si="79"/>
        <v>-1</v>
      </c>
      <c r="T266" s="176">
        <f t="shared" si="80"/>
        <v>5</v>
      </c>
      <c r="U266" s="251">
        <f t="shared" si="81"/>
        <v>-0.51406981804719165</v>
      </c>
      <c r="V266" s="383">
        <f t="shared" si="82"/>
        <v>48.214520035653671</v>
      </c>
      <c r="W266" s="402"/>
      <c r="X266" s="157">
        <f t="shared" si="83"/>
        <v>44082</v>
      </c>
      <c r="Y266" s="385">
        <f t="shared" si="84"/>
        <v>46.143999999999998</v>
      </c>
      <c r="Z266" s="385">
        <f t="shared" si="85"/>
        <v>46.983334383549433</v>
      </c>
      <c r="AA266" s="386">
        <f t="shared" si="86"/>
        <v>49.204244870152543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4.5136562759249314E-2</v>
      </c>
      <c r="AD266" s="231">
        <f>(INDEX(Models!$BJ266:$BT266,,AH266)*(1-AF266)+INDEX(Models!$BJ266:$BT266,,AH266+1)*AF266-ERP_i)*AE266*Ramure*Pc/MaxiM</f>
        <v>1.1076376091213652E-6</v>
      </c>
      <c r="AE266" s="305">
        <f t="shared" si="88"/>
        <v>0.5</v>
      </c>
      <c r="AF266" s="177">
        <f t="shared" si="89"/>
        <v>0.48593018195280835</v>
      </c>
      <c r="AG266" s="811">
        <f t="shared" si="95"/>
        <v>-1</v>
      </c>
      <c r="AH266" s="176">
        <f t="shared" si="90"/>
        <v>5</v>
      </c>
      <c r="AI266" s="225">
        <f t="shared" si="91"/>
        <v>-0.51406981804719165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7">
        <v>23.864000000000001</v>
      </c>
      <c r="C267" s="390"/>
      <c r="D267" s="393">
        <f t="shared" si="74"/>
        <v>24.298605444907345</v>
      </c>
      <c r="E267" s="385">
        <f t="shared" si="96"/>
        <v>25.448848830479157</v>
      </c>
      <c r="F267" s="385">
        <f t="shared" si="75"/>
        <v>25.448856882081273</v>
      </c>
      <c r="G267" s="110">
        <f t="shared" si="97"/>
        <v>0.49765401580947138</v>
      </c>
      <c r="H267" s="414" t="b">
        <f>Wh_hp&gt;='2019'!Maxi_hp</f>
        <v>0</v>
      </c>
      <c r="I267" s="380">
        <f>IF(H267,Wh_hp,'2019'!Maxi_hp)</f>
        <v>39.947514243105942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1.7886024195616135E-2</v>
      </c>
      <c r="M267" s="845"/>
      <c r="N267" s="845"/>
      <c r="O267" s="48">
        <f>IF(t&lt;Tnet,'2019'!Resal+('2019'!Salim-'2019'!Resal)*(1-EXP(('2019'!Tnet-t)/('2019'!Tau_j))),Resal+(Salim-Resal)*(1-EXP((Tnet-t)/(Tau_j))))*Salcycl</f>
        <v>4.5198248189293654E-2</v>
      </c>
      <c r="P267" s="169">
        <f>(INDEX(Models!$BJ267:$BT267,,T267)*(1-R267)+INDEX(Models!$BJ267:$BT267,,T267+1)*R267-ERP_i)*Q267*Ramure*Pc/MaxiM</f>
        <v>1.1204837027126116E-6</v>
      </c>
      <c r="Q267" s="305">
        <f t="shared" si="77"/>
        <v>0.5</v>
      </c>
      <c r="R267" s="177">
        <f t="shared" si="78"/>
        <v>0.48638778596047327</v>
      </c>
      <c r="S267" s="811">
        <f t="shared" si="79"/>
        <v>-1</v>
      </c>
      <c r="T267" s="176">
        <f t="shared" si="80"/>
        <v>5</v>
      </c>
      <c r="U267" s="251">
        <f t="shared" si="81"/>
        <v>-0.51361221403952673</v>
      </c>
      <c r="V267" s="383">
        <f t="shared" si="82"/>
        <v>47.952955372285352</v>
      </c>
      <c r="W267" s="402"/>
      <c r="X267" s="157">
        <f t="shared" si="83"/>
        <v>44083</v>
      </c>
      <c r="Y267" s="385">
        <f t="shared" si="84"/>
        <v>23.864000000000001</v>
      </c>
      <c r="Z267" s="385">
        <f t="shared" si="85"/>
        <v>24.298605444907345</v>
      </c>
      <c r="AA267" s="386">
        <f t="shared" si="86"/>
        <v>25.448848830479157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4.5198248189293654E-2</v>
      </c>
      <c r="AD267" s="231">
        <f>(INDEX(Models!$BJ267:$BT267,,AH267)*(1-AF267)+INDEX(Models!$BJ267:$BT267,,AH267+1)*AF267-ERP_i)*AE267*Ramure*Pc/MaxiM</f>
        <v>1.1204837027126116E-6</v>
      </c>
      <c r="AE267" s="305">
        <f t="shared" si="88"/>
        <v>0.5</v>
      </c>
      <c r="AF267" s="177">
        <f t="shared" si="89"/>
        <v>0.48638778596047327</v>
      </c>
      <c r="AG267" s="811">
        <f t="shared" si="95"/>
        <v>-1</v>
      </c>
      <c r="AH267" s="176">
        <f t="shared" si="90"/>
        <v>5</v>
      </c>
      <c r="AI267" s="225">
        <f t="shared" si="91"/>
        <v>-0.51361221403952673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7">
        <v>39.665999999999997</v>
      </c>
      <c r="C268" s="390"/>
      <c r="D268" s="393">
        <f t="shared" si="74"/>
        <v>40.389272307972924</v>
      </c>
      <c r="E268" s="385">
        <f t="shared" si="96"/>
        <v>42.303928632164165</v>
      </c>
      <c r="F268" s="385">
        <f t="shared" si="75"/>
        <v>42.303967425500829</v>
      </c>
      <c r="G268" s="110">
        <f t="shared" si="97"/>
        <v>0.83180307593157743</v>
      </c>
      <c r="H268" s="414" t="b">
        <f>Wh_hp&gt;='2019'!Maxi_hp</f>
        <v>0</v>
      </c>
      <c r="I268" s="380">
        <f>IF(H268,Wh_hp,'2019'!Maxi_hp)</f>
        <v>46.653482601520295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1.7907535012215314E-2</v>
      </c>
      <c r="M268" s="845"/>
      <c r="N268" s="845"/>
      <c r="O268" s="48">
        <f>IF(t&lt;Tnet,'2019'!Resal+('2019'!Salim-'2019'!Resal)*(1-EXP(('2019'!Tnet-t)/('2019'!Tau_j))),Resal+(Salim-Resal)*(1-EXP((Tnet-t)/(Tau_j))))*Salcycl</f>
        <v>4.5259539387921252E-2</v>
      </c>
      <c r="P268" s="169">
        <f>(INDEX(Models!$BJ268:$BT268,,T268)*(1-R268)+INDEX(Models!$BJ268:$BT268,,T268+1)*R268-ERP_i)*Q268*Ramure*Pc/MaxiM</f>
        <v>1.2070438132980731E-6</v>
      </c>
      <c r="Q268" s="305">
        <f t="shared" si="77"/>
        <v>0.5</v>
      </c>
      <c r="R268" s="177">
        <f t="shared" si="78"/>
        <v>0.48682777125180998</v>
      </c>
      <c r="S268" s="811">
        <f t="shared" si="79"/>
        <v>-1</v>
      </c>
      <c r="T268" s="176">
        <f t="shared" si="80"/>
        <v>5</v>
      </c>
      <c r="U268" s="251">
        <f t="shared" si="81"/>
        <v>-0.51317222874819002</v>
      </c>
      <c r="V268" s="383">
        <f t="shared" si="82"/>
        <v>47.68675380437714</v>
      </c>
      <c r="W268" s="402"/>
      <c r="X268" s="157">
        <f t="shared" si="83"/>
        <v>44084</v>
      </c>
      <c r="Y268" s="385">
        <f t="shared" si="84"/>
        <v>39.665999999999997</v>
      </c>
      <c r="Z268" s="385">
        <f t="shared" si="85"/>
        <v>40.389272307972924</v>
      </c>
      <c r="AA268" s="386">
        <f t="shared" si="86"/>
        <v>42.303928632164165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4.5259539387921252E-2</v>
      </c>
      <c r="AD268" s="231">
        <f>(INDEX(Models!$BJ268:$BT268,,AH268)*(1-AF268)+INDEX(Models!$BJ268:$BT268,,AH268+1)*AF268-ERP_i)*AE268*Ramure*Pc/MaxiM</f>
        <v>1.2070438132980731E-6</v>
      </c>
      <c r="AE268" s="305">
        <f t="shared" si="88"/>
        <v>0.5</v>
      </c>
      <c r="AF268" s="177">
        <f t="shared" si="89"/>
        <v>0.48682777125180998</v>
      </c>
      <c r="AG268" s="811">
        <f t="shared" si="95"/>
        <v>-1</v>
      </c>
      <c r="AH268" s="176">
        <f t="shared" si="90"/>
        <v>5</v>
      </c>
      <c r="AI268" s="225">
        <f t="shared" si="91"/>
        <v>-0.51317222874819002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7">
        <v>44.475000000000001</v>
      </c>
      <c r="C269" s="390"/>
      <c r="D269" s="393">
        <f t="shared" si="74"/>
        <v>45.28695181316904</v>
      </c>
      <c r="E269" s="385">
        <f t="shared" si="96"/>
        <v>47.436808011172985</v>
      </c>
      <c r="F269" s="385">
        <f t="shared" si="75"/>
        <v>47.43686587633227</v>
      </c>
      <c r="G269" s="110">
        <f t="shared" si="97"/>
        <v>0.93796806317939219</v>
      </c>
      <c r="H269" s="414" t="b">
        <f>Wh_hp&gt;='2019'!Maxi_hp</f>
        <v>0</v>
      </c>
      <c r="I269" s="380">
        <f>IF(H269,Wh_hp,'2019'!Maxi_hp)</f>
        <v>50.761032411385656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1.792904535767248E-2</v>
      </c>
      <c r="M269" s="845"/>
      <c r="N269" s="845"/>
      <c r="O269" s="48">
        <f>IF(t&lt;Tnet,'2019'!Resal+('2019'!Salim-'2019'!Resal)*(1-EXP(('2019'!Tnet-t)/('2019'!Tau_j))),Resal+(Salim-Resal)*(1-EXP((Tnet-t)/(Tau_j))))*Salcycl</f>
        <v>4.5320422855972632E-2</v>
      </c>
      <c r="P269" s="169">
        <f>(INDEX(Models!$BJ269:$BT269,,T269)*(1-R269)+INDEX(Models!$BJ269:$BT269,,T269+1)*R269-ERP_i)*Q269*Ramure*Pc/MaxiM</f>
        <v>1.3384439566223839E-6</v>
      </c>
      <c r="Q269" s="305">
        <f t="shared" si="77"/>
        <v>0.5</v>
      </c>
      <c r="R269" s="177">
        <f t="shared" si="78"/>
        <v>0.48725078563339697</v>
      </c>
      <c r="S269" s="811">
        <f t="shared" si="79"/>
        <v>-1</v>
      </c>
      <c r="T269" s="176">
        <f t="shared" si="80"/>
        <v>5</v>
      </c>
      <c r="U269" s="251">
        <f t="shared" si="81"/>
        <v>-0.51274921436660303</v>
      </c>
      <c r="V269" s="383">
        <f t="shared" si="82"/>
        <v>47.416320950325861</v>
      </c>
      <c r="W269" s="402"/>
      <c r="X269" s="157">
        <f t="shared" si="83"/>
        <v>44085</v>
      </c>
      <c r="Y269" s="385">
        <f t="shared" si="84"/>
        <v>44.475000000000001</v>
      </c>
      <c r="Z269" s="385">
        <f t="shared" si="85"/>
        <v>45.28695181316904</v>
      </c>
      <c r="AA269" s="386">
        <f t="shared" si="86"/>
        <v>47.436808011172985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4.5320422855972632E-2</v>
      </c>
      <c r="AD269" s="231">
        <f>(INDEX(Models!$BJ269:$BT269,,AH269)*(1-AF269)+INDEX(Models!$BJ269:$BT269,,AH269+1)*AF269-ERP_i)*AE269*Ramure*Pc/MaxiM</f>
        <v>1.3384439566223839E-6</v>
      </c>
      <c r="AE269" s="305">
        <f t="shared" si="88"/>
        <v>0.5</v>
      </c>
      <c r="AF269" s="177">
        <f t="shared" si="89"/>
        <v>0.48725078563339697</v>
      </c>
      <c r="AG269" s="811">
        <f t="shared" si="95"/>
        <v>-1</v>
      </c>
      <c r="AH269" s="176">
        <f t="shared" si="90"/>
        <v>5</v>
      </c>
      <c r="AI269" s="225">
        <f t="shared" si="91"/>
        <v>-0.51274921436660303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7">
        <v>45.228999999999999</v>
      </c>
      <c r="C270" s="390"/>
      <c r="D270" s="393">
        <f t="shared" si="74"/>
        <v>46.055725850631504</v>
      </c>
      <c r="E270" s="385">
        <f t="shared" si="96"/>
        <v>48.245132646907095</v>
      </c>
      <c r="F270" s="385">
        <f t="shared" si="75"/>
        <v>48.245201516580117</v>
      </c>
      <c r="G270" s="110">
        <f t="shared" si="97"/>
        <v>0.95941915131640443</v>
      </c>
      <c r="H270" s="414" t="b">
        <f>Wh_hp&gt;='2019'!Maxi_hp</f>
        <v>1</v>
      </c>
      <c r="I270" s="380">
        <f>IF(H270,Wh_hp,'2019'!Maxi_hp)</f>
        <v>48.245201516580117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1.7950555231997734E-2</v>
      </c>
      <c r="M270" s="845"/>
      <c r="N270" s="845"/>
      <c r="O270" s="48">
        <f>IF(t&lt;Tnet,'2019'!Resal+('2019'!Salim-'2019'!Resal)*(1-EXP(('2019'!Tnet-t)/('2019'!Tau_j))),Resal+(Salim-Resal)*(1-EXP((Tnet-t)/(Tau_j))))*Salcycl</f>
        <v>4.5380884581648066E-2</v>
      </c>
      <c r="P270" s="169">
        <f>(INDEX(Models!$BJ270:$BT270,,T270)*(1-R270)+INDEX(Models!$BJ270:$BT270,,T270+1)*R270-ERP_i)*Q270*Ramure*Pc/MaxiM</f>
        <v>1.5153408283081631E-6</v>
      </c>
      <c r="Q270" s="305">
        <f t="shared" si="77"/>
        <v>0.5</v>
      </c>
      <c r="R270" s="177">
        <f t="shared" si="78"/>
        <v>0.4876574554616071</v>
      </c>
      <c r="S270" s="811">
        <f t="shared" si="79"/>
        <v>-1</v>
      </c>
      <c r="T270" s="176">
        <f t="shared" si="80"/>
        <v>5</v>
      </c>
      <c r="U270" s="251">
        <f t="shared" si="81"/>
        <v>-0.5123425445383929</v>
      </c>
      <c r="V270" s="383">
        <f t="shared" si="82"/>
        <v>47.14206086531977</v>
      </c>
      <c r="W270" s="402"/>
      <c r="X270" s="157">
        <f t="shared" si="83"/>
        <v>44086</v>
      </c>
      <c r="Y270" s="385">
        <f t="shared" si="84"/>
        <v>45.228999999999999</v>
      </c>
      <c r="Z270" s="385">
        <f t="shared" si="85"/>
        <v>46.055725850631504</v>
      </c>
      <c r="AA270" s="386">
        <f t="shared" si="86"/>
        <v>48.245132646907095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4.5380884581648066E-2</v>
      </c>
      <c r="AD270" s="231">
        <f>(INDEX(Models!$BJ270:$BT270,,AH270)*(1-AF270)+INDEX(Models!$BJ270:$BT270,,AH270+1)*AF270-ERP_i)*AE270*Ramure*Pc/MaxiM</f>
        <v>1.5153408283081631E-6</v>
      </c>
      <c r="AE270" s="305">
        <f t="shared" si="88"/>
        <v>0.5</v>
      </c>
      <c r="AF270" s="177">
        <f t="shared" si="89"/>
        <v>0.4876574554616071</v>
      </c>
      <c r="AG270" s="811">
        <f t="shared" si="95"/>
        <v>-1</v>
      </c>
      <c r="AH270" s="176">
        <f t="shared" si="90"/>
        <v>5</v>
      </c>
      <c r="AI270" s="225">
        <f t="shared" si="91"/>
        <v>-0.5123425445383929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7">
        <v>44.953000000000003</v>
      </c>
      <c r="C271" s="390"/>
      <c r="D271" s="393">
        <f t="shared" ref="D271:D334" si="98">Wh/(1-Ppv)</f>
        <v>45.775683543361836</v>
      </c>
      <c r="E271" s="385">
        <f t="shared" si="96"/>
        <v>47.954792977468252</v>
      </c>
      <c r="F271" s="385">
        <f t="shared" ref="F271:F334" si="99">Wh_sa/(1-Pvg*MEDIAN((-Sdif+Wh/Env_an)/Csdif,0,1))</f>
        <v>47.954871485084247</v>
      </c>
      <c r="G271" s="110">
        <f t="shared" si="97"/>
        <v>0.95921460769143452</v>
      </c>
      <c r="H271" s="414" t="b">
        <f>Wh_hp&gt;='2019'!Maxi_hp</f>
        <v>1</v>
      </c>
      <c r="I271" s="380">
        <f>IF(H271,Wh_hp,'2019'!Maxi_hp)</f>
        <v>47.954871485084247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1.7972064635201623E-2</v>
      </c>
      <c r="M271" s="845"/>
      <c r="N271" s="845"/>
      <c r="O271" s="48">
        <f>IF(t&lt;Tnet,'2019'!Resal+('2019'!Salim-'2019'!Resal)*(1-EXP(('2019'!Tnet-t)/('2019'!Tau_j))),Resal+(Salim-Resal)*(1-EXP((Tnet-t)/(Tau_j))))*Salcycl</f>
        <v>4.544091004897631E-2</v>
      </c>
      <c r="P271" s="169">
        <f>(INDEX(Models!$BJ271:$BT271,,T271)*(1-R271)+INDEX(Models!$BJ271:$BT271,,T271+1)*R271-ERP_i)*Q271*Ramure*Pc/MaxiM</f>
        <v>1.7384019947772311E-6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0.48804838616604262</v>
      </c>
      <c r="S271" s="81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-0.51195161383395738</v>
      </c>
      <c r="V271" s="383">
        <f t="shared" ref="V271:V334" si="106">MaxiM*(1-Ppv)*(1-Pvg)*(1-Psa)</f>
        <v>46.864377467109037</v>
      </c>
      <c r="W271" s="402"/>
      <c r="X271" s="157">
        <f t="shared" ref="X271:X334" si="107">t</f>
        <v>44087</v>
      </c>
      <c r="Y271" s="385">
        <f t="shared" ref="Y271:Y334" si="108">Wh_pvt_s*(1-Ppv)</f>
        <v>44.953000000000003</v>
      </c>
      <c r="Z271" s="385">
        <f t="shared" ref="Z271:Z334" si="109">Wh_sa_s*(1-Psa_s)</f>
        <v>45.775683543361836</v>
      </c>
      <c r="AA271" s="386">
        <f t="shared" ref="AA271:AA334" si="110">Wh_hp*(1-Pvg_s*MEDIAN((-Sdif+Wh/Env_an)/Csdif,0,1))</f>
        <v>47.954792977468252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4.544091004897631E-2</v>
      </c>
      <c r="AD271" s="231">
        <f>(INDEX(Models!$BJ271:$BT271,,AH271)*(1-AF271)+INDEX(Models!$BJ271:$BT271,,AH271+1)*AF271-ERP_i)*AE271*Ramure*Pc/MaxiM</f>
        <v>1.7384019947772311E-6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0.48804838616604262</v>
      </c>
      <c r="AG271" s="81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-0.51195161383395738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7">
        <v>45.850999999999999</v>
      </c>
      <c r="C272" s="390"/>
      <c r="D272" s="393">
        <f t="shared" si="98"/>
        <v>46.691140471005916</v>
      </c>
      <c r="E272" s="385">
        <f t="shared" si="96"/>
        <v>48.916882303988807</v>
      </c>
      <c r="F272" s="385">
        <f t="shared" si="99"/>
        <v>48.916978336718785</v>
      </c>
      <c r="G272" s="110">
        <f t="shared" si="97"/>
        <v>0.98427181600959701</v>
      </c>
      <c r="H272" s="414" t="b">
        <f>Wh_hp&gt;='2019'!Maxi_hp</f>
        <v>1</v>
      </c>
      <c r="I272" s="380">
        <f>IF(H272,Wh_hp,'2019'!Maxi_hp)</f>
        <v>48.916978336718785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1.7993573567294363E-2</v>
      </c>
      <c r="M272" s="845"/>
      <c r="N272" s="845"/>
      <c r="O272" s="48">
        <f>IF(t&lt;Tnet,'2019'!Resal+('2019'!Salim-'2019'!Resal)*(1-EXP(('2019'!Tnet-t)/('2019'!Tau_j))),Resal+(Salim-Resal)*(1-EXP((Tnet-t)/(Tau_j))))*Salcycl</f>
        <v>4.5500484253089876E-2</v>
      </c>
      <c r="P272" s="169">
        <f>(INDEX(Models!$BJ272:$BT272,,T272)*(1-R272)+INDEX(Models!$BJ272:$BT272,,T272+1)*R272-ERP_i)*Q272*Ramure*Pc/MaxiM</f>
        <v>2.0083019596102533E-6</v>
      </c>
      <c r="Q272" s="305">
        <f t="shared" si="101"/>
        <v>0.5</v>
      </c>
      <c r="R272" s="177">
        <f t="shared" si="102"/>
        <v>0.4884241627759407</v>
      </c>
      <c r="S272" s="811">
        <f t="shared" si="103"/>
        <v>-1</v>
      </c>
      <c r="T272" s="176">
        <f t="shared" si="104"/>
        <v>5</v>
      </c>
      <c r="U272" s="251">
        <f t="shared" si="105"/>
        <v>-0.5115758372240593</v>
      </c>
      <c r="V272" s="383">
        <f t="shared" si="106"/>
        <v>46.583674535048189</v>
      </c>
      <c r="W272" s="402"/>
      <c r="X272" s="157">
        <f t="shared" si="107"/>
        <v>44088</v>
      </c>
      <c r="Y272" s="385">
        <f t="shared" si="108"/>
        <v>45.850999999999999</v>
      </c>
      <c r="Z272" s="385">
        <f t="shared" si="109"/>
        <v>46.691140471005916</v>
      </c>
      <c r="AA272" s="386">
        <f t="shared" si="110"/>
        <v>48.916882303988807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4.5500484253089876E-2</v>
      </c>
      <c r="AD272" s="231">
        <f>(INDEX(Models!$BJ272:$BT272,,AH272)*(1-AF272)+INDEX(Models!$BJ272:$BT272,,AH272+1)*AF272-ERP_i)*AE272*Ramure*Pc/MaxiM</f>
        <v>2.0083019596102533E-6</v>
      </c>
      <c r="AE272" s="305">
        <f t="shared" si="112"/>
        <v>0.5</v>
      </c>
      <c r="AF272" s="177">
        <f t="shared" si="113"/>
        <v>0.4884241627759407</v>
      </c>
      <c r="AG272" s="811">
        <f t="shared" ref="AG272:AG335" si="119">INDEX(Echel_vg,AH272)</f>
        <v>-1</v>
      </c>
      <c r="AH272" s="176">
        <f t="shared" si="114"/>
        <v>5</v>
      </c>
      <c r="AI272" s="225">
        <f t="shared" si="115"/>
        <v>-0.5115758372240593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7">
        <v>38.341999999999999</v>
      </c>
      <c r="C273" s="390"/>
      <c r="D273" s="393">
        <f t="shared" si="98"/>
        <v>39.045406195438581</v>
      </c>
      <c r="E273" s="385">
        <f t="shared" si="96"/>
        <v>40.909213248752216</v>
      </c>
      <c r="F273" s="385">
        <f t="shared" si="99"/>
        <v>40.909285029677378</v>
      </c>
      <c r="G273" s="110">
        <f t="shared" si="97"/>
        <v>0.82811411523383494</v>
      </c>
      <c r="H273" s="414" t="b">
        <f>Wh_hp&gt;='2019'!Maxi_hp</f>
        <v>0</v>
      </c>
      <c r="I273" s="380">
        <f>IF(H273,Wh_hp,'2019'!Maxi_hp)</f>
        <v>46.225866499783969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1.8015082028286278E-2</v>
      </c>
      <c r="M273" s="845"/>
      <c r="N273" s="845"/>
      <c r="O273" s="48">
        <f>IF(t&lt;Tnet,'2019'!Resal+('2019'!Salim-'2019'!Resal)*(1-EXP(('2019'!Tnet-t)/('2019'!Tau_j))),Resal+(Salim-Resal)*(1-EXP((Tnet-t)/(Tau_j))))*Salcycl</f>
        <v>4.5559591722788291E-2</v>
      </c>
      <c r="P273" s="169">
        <f>(INDEX(Models!$BJ273:$BT273,,T273)*(1-R273)+INDEX(Models!$BJ273:$BT273,,T273+1)*R273-ERP_i)*Q273*Ramure*Pc/MaxiM</f>
        <v>2.3257179132401661E-6</v>
      </c>
      <c r="Q273" s="305">
        <f t="shared" si="101"/>
        <v>0.5</v>
      </c>
      <c r="R273" s="177">
        <f t="shared" si="102"/>
        <v>0.48878535044783633</v>
      </c>
      <c r="S273" s="811">
        <f t="shared" si="103"/>
        <v>-1</v>
      </c>
      <c r="T273" s="176">
        <f t="shared" si="104"/>
        <v>5</v>
      </c>
      <c r="U273" s="251">
        <f t="shared" si="105"/>
        <v>-0.51121464955216367</v>
      </c>
      <c r="V273" s="383">
        <f t="shared" si="106"/>
        <v>46.300355709710153</v>
      </c>
      <c r="W273" s="402"/>
      <c r="X273" s="157">
        <f t="shared" si="107"/>
        <v>44089</v>
      </c>
      <c r="Y273" s="385">
        <f t="shared" si="108"/>
        <v>38.341999999999999</v>
      </c>
      <c r="Z273" s="385">
        <f t="shared" si="109"/>
        <v>39.045406195438581</v>
      </c>
      <c r="AA273" s="386">
        <f t="shared" si="110"/>
        <v>40.909213248752216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4.5559591722788291E-2</v>
      </c>
      <c r="AD273" s="231">
        <f>(INDEX(Models!$BJ273:$BT273,,AH273)*(1-AF273)+INDEX(Models!$BJ273:$BT273,,AH273+1)*AF273-ERP_i)*AE273*Ramure*Pc/MaxiM</f>
        <v>2.3257179132401661E-6</v>
      </c>
      <c r="AE273" s="305">
        <f t="shared" si="112"/>
        <v>0.5</v>
      </c>
      <c r="AF273" s="177">
        <f t="shared" si="113"/>
        <v>0.48878535044783633</v>
      </c>
      <c r="AG273" s="811">
        <f t="shared" si="119"/>
        <v>-1</v>
      </c>
      <c r="AH273" s="176">
        <f t="shared" si="114"/>
        <v>5</v>
      </c>
      <c r="AI273" s="225">
        <f t="shared" si="115"/>
        <v>-0.51121464955216367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7">
        <v>40.247999999999998</v>
      </c>
      <c r="C274" s="390"/>
      <c r="D274" s="393">
        <f t="shared" si="98"/>
        <v>40.987270595699144</v>
      </c>
      <c r="E274" s="385">
        <f t="shared" si="96"/>
        <v>42.946409190217729</v>
      </c>
      <c r="F274" s="385">
        <f t="shared" si="99"/>
        <v>42.94650407967859</v>
      </c>
      <c r="G274" s="110">
        <f t="shared" si="97"/>
        <v>0.87467421750872887</v>
      </c>
      <c r="H274" s="414" t="b">
        <f>Wh_hp&gt;='2019'!Maxi_hp</f>
        <v>0</v>
      </c>
      <c r="I274" s="380">
        <f>IF(H274,Wh_hp,'2019'!Maxi_hp)</f>
        <v>43.928763597128906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1.8036590018187804E-2</v>
      </c>
      <c r="M274" s="845"/>
      <c r="N274" s="845"/>
      <c r="O274" s="48">
        <f>IF(t&lt;Tnet,'2019'!Resal+('2019'!Salim-'2019'!Resal)*(1-EXP(('2019'!Tnet-t)/('2019'!Tau_j))),Resal+(Salim-Resal)*(1-EXP((Tnet-t)/(Tau_j))))*Salcycl</f>
        <v>4.5618216550799132E-2</v>
      </c>
      <c r="P274" s="169">
        <f>(INDEX(Models!$BJ274:$BT274,,T274)*(1-R274)+INDEX(Models!$BJ274:$BT274,,T274+1)*R274-ERP_i)*Q274*Ramure*Pc/MaxiM</f>
        <v>2.6913251520991454E-6</v>
      </c>
      <c r="Q274" s="305">
        <f t="shared" si="101"/>
        <v>0.5</v>
      </c>
      <c r="R274" s="177">
        <f t="shared" si="102"/>
        <v>0.48913249499293465</v>
      </c>
      <c r="S274" s="811">
        <f t="shared" si="103"/>
        <v>-1</v>
      </c>
      <c r="T274" s="176">
        <f t="shared" si="104"/>
        <v>5</v>
      </c>
      <c r="U274" s="251">
        <f t="shared" si="105"/>
        <v>-0.51086750500706535</v>
      </c>
      <c r="V274" s="383">
        <f t="shared" si="106"/>
        <v>46.014824492376945</v>
      </c>
      <c r="W274" s="402"/>
      <c r="X274" s="157">
        <f t="shared" si="107"/>
        <v>44090</v>
      </c>
      <c r="Y274" s="385">
        <f t="shared" si="108"/>
        <v>40.247999999999998</v>
      </c>
      <c r="Z274" s="385">
        <f t="shared" si="109"/>
        <v>40.987270595699144</v>
      </c>
      <c r="AA274" s="386">
        <f t="shared" si="110"/>
        <v>42.946409190217729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4.5618216550799132E-2</v>
      </c>
      <c r="AD274" s="231">
        <f>(INDEX(Models!$BJ274:$BT274,,AH274)*(1-AF274)+INDEX(Models!$BJ274:$BT274,,AH274+1)*AF274-ERP_i)*AE274*Ramure*Pc/MaxiM</f>
        <v>2.6913251520991454E-6</v>
      </c>
      <c r="AE274" s="305">
        <f t="shared" si="112"/>
        <v>0.5</v>
      </c>
      <c r="AF274" s="177">
        <f t="shared" si="113"/>
        <v>0.48913249499293465</v>
      </c>
      <c r="AG274" s="811">
        <f t="shared" si="119"/>
        <v>-1</v>
      </c>
      <c r="AH274" s="176">
        <f t="shared" si="114"/>
        <v>5</v>
      </c>
      <c r="AI274" s="225">
        <f t="shared" si="115"/>
        <v>-0.51086750500706535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7">
        <v>40.880000000000003</v>
      </c>
      <c r="C275" s="390"/>
      <c r="D275" s="393">
        <f t="shared" si="98"/>
        <v>41.631790941461283</v>
      </c>
      <c r="E275" s="385">
        <f t="shared" si="96"/>
        <v>43.624393685847437</v>
      </c>
      <c r="F275" s="385">
        <f t="shared" si="99"/>
        <v>43.62450867340219</v>
      </c>
      <c r="G275" s="110">
        <f t="shared" si="97"/>
        <v>0.89404523392292523</v>
      </c>
      <c r="H275" s="414" t="b">
        <f>Wh_hp&gt;='2019'!Maxi_hp</f>
        <v>1</v>
      </c>
      <c r="I275" s="380">
        <f>IF(H275,Wh_hp,'2019'!Maxi_hp)</f>
        <v>43.62450867340219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1.8058097537009044E-2</v>
      </c>
      <c r="M275" s="845"/>
      <c r="N275" s="845"/>
      <c r="O275" s="48">
        <f>IF(t&lt;Tnet,'2019'!Resal+('2019'!Salim-'2019'!Resal)*(1-EXP(('2019'!Tnet-t)/('2019'!Tau_j))),Resal+(Salim-Resal)*(1-EXP((Tnet-t)/(Tau_j))))*Salcycl</f>
        <v>4.5676342432068993E-2</v>
      </c>
      <c r="P275" s="169">
        <f>(INDEX(Models!$BJ275:$BT275,,T275)*(1-R275)+INDEX(Models!$BJ275:$BT275,,T275+1)*R275-ERP_i)*Q275*Ramure*Pc/MaxiM</f>
        <v>3.1059789411417537E-6</v>
      </c>
      <c r="Q275" s="305">
        <f t="shared" si="101"/>
        <v>0.5</v>
      </c>
      <c r="R275" s="177">
        <f t="shared" si="102"/>
        <v>0.4894661234027925</v>
      </c>
      <c r="S275" s="811">
        <f t="shared" si="103"/>
        <v>-1</v>
      </c>
      <c r="T275" s="176">
        <f t="shared" si="104"/>
        <v>5</v>
      </c>
      <c r="U275" s="251">
        <f t="shared" si="105"/>
        <v>-0.5105338765972075</v>
      </c>
      <c r="V275" s="383">
        <f t="shared" si="106"/>
        <v>45.724734308580537</v>
      </c>
      <c r="W275" s="402"/>
      <c r="X275" s="157">
        <f t="shared" si="107"/>
        <v>44091</v>
      </c>
      <c r="Y275" s="385">
        <f t="shared" si="108"/>
        <v>40.880000000000003</v>
      </c>
      <c r="Z275" s="385">
        <f t="shared" si="109"/>
        <v>41.631790941461283</v>
      </c>
      <c r="AA275" s="386">
        <f t="shared" si="110"/>
        <v>43.624393685847437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4.5676342432068993E-2</v>
      </c>
      <c r="AD275" s="231">
        <f>(INDEX(Models!$BJ275:$BT275,,AH275)*(1-AF275)+INDEX(Models!$BJ275:$BT275,,AH275+1)*AF275-ERP_i)*AE275*Ramure*Pc/MaxiM</f>
        <v>3.1059789411417537E-6</v>
      </c>
      <c r="AE275" s="305">
        <f t="shared" si="112"/>
        <v>0.5</v>
      </c>
      <c r="AF275" s="177">
        <f t="shared" si="113"/>
        <v>0.4894661234027925</v>
      </c>
      <c r="AG275" s="811">
        <f t="shared" si="119"/>
        <v>-1</v>
      </c>
      <c r="AH275" s="176">
        <f t="shared" si="114"/>
        <v>5</v>
      </c>
      <c r="AI275" s="225">
        <f t="shared" si="115"/>
        <v>-0.5105338765972075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7">
        <v>19.838999999999999</v>
      </c>
      <c r="C276" s="390"/>
      <c r="D276" s="393">
        <f t="shared" si="98"/>
        <v>20.204285492624258</v>
      </c>
      <c r="E276" s="385">
        <f t="shared" si="96"/>
        <v>21.172591804988798</v>
      </c>
      <c r="F276" s="385">
        <f t="shared" si="99"/>
        <v>21.172607840938412</v>
      </c>
      <c r="G276" s="110">
        <f t="shared" si="97"/>
        <v>0.4367117386845093</v>
      </c>
      <c r="H276" s="414" t="b">
        <f>Wh_hp&gt;='2019'!Maxi_hp</f>
        <v>0</v>
      </c>
      <c r="I276" s="380">
        <f>IF(H276,Wh_hp,'2019'!Maxi_hp)</f>
        <v>42.413786815005437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1.8079604584760434E-2</v>
      </c>
      <c r="M276" s="845"/>
      <c r="N276" s="845"/>
      <c r="O276" s="48">
        <f>IF(t&lt;Tnet,'2019'!Resal+('2019'!Salim-'2019'!Resal)*(1-EXP(('2019'!Tnet-t)/('2019'!Tau_j))),Resal+(Salim-Resal)*(1-EXP((Tnet-t)/(Tau_j))))*Salcycl</f>
        <v>4.5733952710332919E-2</v>
      </c>
      <c r="P276" s="169">
        <f>(INDEX(Models!$BJ276:$BT276,,T276)*(1-R276)+INDEX(Models!$BJ276:$BT276,,T276+1)*R276-ERP_i)*Q276*Ramure*Pc/MaxiM</f>
        <v>3.878003828843383E-6</v>
      </c>
      <c r="Q276" s="305">
        <f t="shared" si="101"/>
        <v>0.5</v>
      </c>
      <c r="R276" s="177">
        <f t="shared" si="102"/>
        <v>0.48978674437205405</v>
      </c>
      <c r="S276" s="811">
        <f t="shared" si="103"/>
        <v>-1</v>
      </c>
      <c r="T276" s="176">
        <f t="shared" si="104"/>
        <v>5</v>
      </c>
      <c r="U276" s="251">
        <f t="shared" si="105"/>
        <v>-0.51021325562794595</v>
      </c>
      <c r="V276" s="383">
        <f t="shared" si="106"/>
        <v>45.427993646064685</v>
      </c>
      <c r="W276" s="402"/>
      <c r="X276" s="157">
        <f t="shared" si="107"/>
        <v>44092</v>
      </c>
      <c r="Y276" s="385">
        <f t="shared" si="108"/>
        <v>19.838999999999999</v>
      </c>
      <c r="Z276" s="385">
        <f t="shared" si="109"/>
        <v>20.204285492624258</v>
      </c>
      <c r="AA276" s="386">
        <f t="shared" si="110"/>
        <v>21.172591804988798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4.5733952710332919E-2</v>
      </c>
      <c r="AD276" s="231">
        <f>(INDEX(Models!$BJ276:$BT276,,AH276)*(1-AF276)+INDEX(Models!$BJ276:$BT276,,AH276+1)*AF276-ERP_i)*AE276*Ramure*Pc/MaxiM</f>
        <v>3.878003828843383E-6</v>
      </c>
      <c r="AE276" s="305">
        <f t="shared" si="112"/>
        <v>0.5</v>
      </c>
      <c r="AF276" s="177">
        <f t="shared" si="113"/>
        <v>0.48978674437205405</v>
      </c>
      <c r="AG276" s="811">
        <f t="shared" si="119"/>
        <v>-1</v>
      </c>
      <c r="AH276" s="176">
        <f t="shared" si="114"/>
        <v>5</v>
      </c>
      <c r="AI276" s="225">
        <f t="shared" si="115"/>
        <v>-0.51021325562794595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7">
        <v>32.354999999999997</v>
      </c>
      <c r="C277" s="390"/>
      <c r="D277" s="393">
        <f t="shared" si="98"/>
        <v>32.951458004267167</v>
      </c>
      <c r="E277" s="385">
        <f t="shared" si="96"/>
        <v>34.532748124579072</v>
      </c>
      <c r="F277" s="385">
        <f t="shared" si="99"/>
        <v>34.532850794388182</v>
      </c>
      <c r="G277" s="110">
        <f t="shared" si="97"/>
        <v>0.71700034435010962</v>
      </c>
      <c r="H277" s="414" t="b">
        <f>Wh_hp&gt;='2019'!Maxi_hp</f>
        <v>0</v>
      </c>
      <c r="I277" s="380">
        <f>IF(H277,Wh_hp,'2019'!Maxi_hp)</f>
        <v>48.16407719164706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1.8101111161452299E-2</v>
      </c>
      <c r="M277" s="845"/>
      <c r="N277" s="845"/>
      <c r="O277" s="48">
        <f>IF(t&lt;Tnet,'2019'!Resal+('2019'!Salim-'2019'!Resal)*(1-EXP(('2019'!Tnet-t)/('2019'!Tau_j))),Resal+(Salim-Resal)*(1-EXP((Tnet-t)/(Tau_j))))*Salcycl</f>
        <v>4.5791030433121022E-2</v>
      </c>
      <c r="P277" s="169">
        <f>(INDEX(Models!$BJ277:$BT277,,T277)*(1-R277)+INDEX(Models!$BJ277:$BT277,,T277+1)*R277-ERP_i)*Q277*Ramure*Pc/MaxiM</f>
        <v>4.990803167984624E-6</v>
      </c>
      <c r="Q277" s="305">
        <f t="shared" si="101"/>
        <v>0.5</v>
      </c>
      <c r="R277" s="177">
        <f t="shared" si="102"/>
        <v>0.49009484881711285</v>
      </c>
      <c r="S277" s="811">
        <f t="shared" si="103"/>
        <v>-1</v>
      </c>
      <c r="T277" s="176">
        <f t="shared" si="104"/>
        <v>5</v>
      </c>
      <c r="U277" s="251">
        <f t="shared" si="105"/>
        <v>-0.50990515118288715</v>
      </c>
      <c r="V277" s="383">
        <f t="shared" si="106"/>
        <v>45.125410290457928</v>
      </c>
      <c r="W277" s="402"/>
      <c r="X277" s="157">
        <f t="shared" si="107"/>
        <v>44093</v>
      </c>
      <c r="Y277" s="385">
        <f t="shared" si="108"/>
        <v>32.354999999999997</v>
      </c>
      <c r="Z277" s="385">
        <f t="shared" si="109"/>
        <v>32.951458004267167</v>
      </c>
      <c r="AA277" s="386">
        <f t="shared" si="110"/>
        <v>34.532748124579072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4.5791030433121022E-2</v>
      </c>
      <c r="AD277" s="231">
        <f>(INDEX(Models!$BJ277:$BT277,,AH277)*(1-AF277)+INDEX(Models!$BJ277:$BT277,,AH277+1)*AF277-ERP_i)*AE277*Ramure*Pc/MaxiM</f>
        <v>4.990803167984624E-6</v>
      </c>
      <c r="AE277" s="305">
        <f t="shared" si="112"/>
        <v>0.5</v>
      </c>
      <c r="AF277" s="177">
        <f t="shared" si="113"/>
        <v>0.49009484881711285</v>
      </c>
      <c r="AG277" s="811">
        <f t="shared" si="119"/>
        <v>-1</v>
      </c>
      <c r="AH277" s="176">
        <f t="shared" si="114"/>
        <v>5</v>
      </c>
      <c r="AI277" s="225">
        <f t="shared" si="115"/>
        <v>-0.50990515118288715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7">
        <v>30.72</v>
      </c>
      <c r="C278" s="390"/>
      <c r="D278" s="393">
        <f t="shared" si="98"/>
        <v>31.287002369374871</v>
      </c>
      <c r="E278" s="385">
        <f t="shared" si="96"/>
        <v>32.790360330065219</v>
      </c>
      <c r="F278" s="385">
        <f t="shared" si="99"/>
        <v>32.790476788296331</v>
      </c>
      <c r="G278" s="110">
        <f t="shared" si="97"/>
        <v>0.68544010012169443</v>
      </c>
      <c r="H278" s="414" t="b">
        <f>Wh_hp&gt;='2019'!Maxi_hp</f>
        <v>0</v>
      </c>
      <c r="I278" s="380">
        <f>IF(H278,Wh_hp,'2019'!Maxi_hp)</f>
        <v>34.911371761935094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1.8122617267094965E-2</v>
      </c>
      <c r="M278" s="845"/>
      <c r="N278" s="845"/>
      <c r="O278" s="48">
        <f>IF(t&lt;Tnet,'2019'!Resal+('2019'!Salim-'2019'!Resal)*(1-EXP(('2019'!Tnet-t)/('2019'!Tau_j))),Resal+(Salim-Resal)*(1-EXP((Tnet-t)/(Tau_j))))*Salcycl</f>
        <v>4.5847558415267893E-2</v>
      </c>
      <c r="P278" s="169">
        <f>(INDEX(Models!$BJ278:$BT278,,T278)*(1-R278)+INDEX(Models!$BJ278:$BT278,,T278+1)*R278-ERP_i)*Q278*Ramure*Pc/MaxiM</f>
        <v>6.4500244923978264E-6</v>
      </c>
      <c r="Q278" s="305">
        <f t="shared" si="101"/>
        <v>0.5</v>
      </c>
      <c r="R278" s="177">
        <f t="shared" si="102"/>
        <v>0.49039091038970051</v>
      </c>
      <c r="S278" s="811">
        <f t="shared" si="103"/>
        <v>-1</v>
      </c>
      <c r="T278" s="176">
        <f t="shared" si="104"/>
        <v>5</v>
      </c>
      <c r="U278" s="251">
        <f t="shared" si="105"/>
        <v>-0.50960908961029949</v>
      </c>
      <c r="V278" s="383">
        <f t="shared" si="106"/>
        <v>44.817790721946302</v>
      </c>
      <c r="W278" s="402"/>
      <c r="X278" s="157">
        <f t="shared" si="107"/>
        <v>44094</v>
      </c>
      <c r="Y278" s="385">
        <f t="shared" si="108"/>
        <v>30.72</v>
      </c>
      <c r="Z278" s="385">
        <f t="shared" si="109"/>
        <v>31.287002369374871</v>
      </c>
      <c r="AA278" s="386">
        <f t="shared" si="110"/>
        <v>32.790360330065219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4.5847558415267893E-2</v>
      </c>
      <c r="AD278" s="231">
        <f>(INDEX(Models!$BJ278:$BT278,,AH278)*(1-AF278)+INDEX(Models!$BJ278:$BT278,,AH278+1)*AF278-ERP_i)*AE278*Ramure*Pc/MaxiM</f>
        <v>6.4500244923978264E-6</v>
      </c>
      <c r="AE278" s="305">
        <f t="shared" si="112"/>
        <v>0.5</v>
      </c>
      <c r="AF278" s="177">
        <f t="shared" si="113"/>
        <v>0.49039091038970051</v>
      </c>
      <c r="AG278" s="811">
        <f t="shared" si="119"/>
        <v>-1</v>
      </c>
      <c r="AH278" s="176">
        <f t="shared" si="114"/>
        <v>5</v>
      </c>
      <c r="AI278" s="225">
        <f t="shared" si="115"/>
        <v>-0.50960908961029949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7">
        <v>27.236000000000001</v>
      </c>
      <c r="C279" s="390"/>
      <c r="D279" s="393">
        <f t="shared" si="98"/>
        <v>27.739305365764174</v>
      </c>
      <c r="E279" s="385">
        <f t="shared" si="96"/>
        <v>29.07389968122423</v>
      </c>
      <c r="F279" s="385">
        <f t="shared" si="99"/>
        <v>29.074006725540272</v>
      </c>
      <c r="G279" s="110">
        <f t="shared" si="97"/>
        <v>0.61196043881427775</v>
      </c>
      <c r="H279" s="414" t="b">
        <f>Wh_hp&gt;='2019'!Maxi_hp</f>
        <v>0</v>
      </c>
      <c r="I279" s="380">
        <f>IF(H279,Wh_hp,'2019'!Maxi_hp)</f>
        <v>43.945672735997164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1.8144122901698645E-2</v>
      </c>
      <c r="M279" s="845"/>
      <c r="N279" s="845"/>
      <c r="O279" s="48">
        <f>IF(t&lt;Tnet,'2019'!Resal+('2019'!Salim-'2019'!Resal)*(1-EXP(('2019'!Tnet-t)/('2019'!Tau_j))),Resal+(Salim-Resal)*(1-EXP((Tnet-t)/(Tau_j))))*Salcycl</f>
        <v>4.5903519310893412E-2</v>
      </c>
      <c r="P279" s="169">
        <f>(INDEX(Models!$BJ279:$BT279,,T279)*(1-R279)+INDEX(Models!$BJ279:$BT279,,T279+1)*R279-ERP_i)*Q279*Ramure*Pc/MaxiM</f>
        <v>8.2613941143793605E-6</v>
      </c>
      <c r="Q279" s="305">
        <f t="shared" si="101"/>
        <v>0.5</v>
      </c>
      <c r="R279" s="177">
        <f t="shared" si="102"/>
        <v>0.49067538598451066</v>
      </c>
      <c r="S279" s="811">
        <f t="shared" si="103"/>
        <v>-1</v>
      </c>
      <c r="T279" s="176">
        <f t="shared" si="104"/>
        <v>5</v>
      </c>
      <c r="U279" s="251">
        <f t="shared" si="105"/>
        <v>-0.50932461401548934</v>
      </c>
      <c r="V279" s="383">
        <f t="shared" si="106"/>
        <v>44.505941139182326</v>
      </c>
      <c r="W279" s="402"/>
      <c r="X279" s="157">
        <f t="shared" si="107"/>
        <v>44095</v>
      </c>
      <c r="Y279" s="385">
        <f t="shared" si="108"/>
        <v>27.236000000000001</v>
      </c>
      <c r="Z279" s="385">
        <f t="shared" si="109"/>
        <v>27.739305365764174</v>
      </c>
      <c r="AA279" s="386">
        <f t="shared" si="110"/>
        <v>29.07389968122423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4.5903519310893412E-2</v>
      </c>
      <c r="AD279" s="231">
        <f>(INDEX(Models!$BJ279:$BT279,,AH279)*(1-AF279)+INDEX(Models!$BJ279:$BT279,,AH279+1)*AF279-ERP_i)*AE279*Ramure*Pc/MaxiM</f>
        <v>8.2613941143793605E-6</v>
      </c>
      <c r="AE279" s="305">
        <f t="shared" si="112"/>
        <v>0.5</v>
      </c>
      <c r="AF279" s="177">
        <f t="shared" si="113"/>
        <v>0.49067538598451066</v>
      </c>
      <c r="AG279" s="811">
        <f t="shared" si="119"/>
        <v>-1</v>
      </c>
      <c r="AH279" s="176">
        <f t="shared" si="114"/>
        <v>5</v>
      </c>
      <c r="AI279" s="225">
        <f t="shared" si="115"/>
        <v>-0.50932461401548934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7">
        <v>23.952999999999999</v>
      </c>
      <c r="C280" s="390"/>
      <c r="D280" s="393">
        <f t="shared" si="98"/>
        <v>24.396171782823295</v>
      </c>
      <c r="E280" s="385">
        <f t="shared" si="96"/>
        <v>25.571405333277315</v>
      </c>
      <c r="F280" s="385">
        <f t="shared" si="99"/>
        <v>25.571497559569142</v>
      </c>
      <c r="G280" s="110">
        <f t="shared" si="97"/>
        <v>0.54203382574110859</v>
      </c>
      <c r="H280" s="414" t="b">
        <f>Wh_hp&gt;='2019'!Maxi_hp</f>
        <v>0</v>
      </c>
      <c r="I280" s="380">
        <f>IF(H280,Wh_hp,'2019'!Maxi_hp)</f>
        <v>44.303472000025792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1.8165628065273776E-2</v>
      </c>
      <c r="M280" s="845"/>
      <c r="N280" s="845"/>
      <c r="O280" s="48">
        <f>IF(t&lt;Tnet,'2019'!Resal+('2019'!Salim-'2019'!Resal)*(1-EXP(('2019'!Tnet-t)/('2019'!Tau_j))),Resal+(Salim-Resal)*(1-EXP((Tnet-t)/(Tau_j))))*Salcycl</f>
        <v>4.5958895693723523E-2</v>
      </c>
      <c r="P280" s="169">
        <f>(INDEX(Models!$BJ280:$BT280,,T280)*(1-R280)+INDEX(Models!$BJ280:$BT280,,T280+1)*R280-ERP_i)*Q280*Ramure*Pc/MaxiM</f>
        <v>1.0430711218077236E-5</v>
      </c>
      <c r="Q280" s="305">
        <f t="shared" si="101"/>
        <v>0.5</v>
      </c>
      <c r="R280" s="177">
        <f t="shared" si="102"/>
        <v>0.49094871624007586</v>
      </c>
      <c r="S280" s="811">
        <f t="shared" si="103"/>
        <v>-1</v>
      </c>
      <c r="T280" s="176">
        <f t="shared" si="104"/>
        <v>5</v>
      </c>
      <c r="U280" s="251">
        <f t="shared" si="105"/>
        <v>-0.50905128375992414</v>
      </c>
      <c r="V280" s="383">
        <f t="shared" si="106"/>
        <v>44.190667452985913</v>
      </c>
      <c r="W280" s="402"/>
      <c r="X280" s="157">
        <f t="shared" si="107"/>
        <v>44096</v>
      </c>
      <c r="Y280" s="385">
        <f t="shared" si="108"/>
        <v>23.952999999999999</v>
      </c>
      <c r="Z280" s="385">
        <f t="shared" si="109"/>
        <v>24.396171782823295</v>
      </c>
      <c r="AA280" s="386">
        <f t="shared" si="110"/>
        <v>25.571405333277315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4.5958895693723523E-2</v>
      </c>
      <c r="AD280" s="231">
        <f>(INDEX(Models!$BJ280:$BT280,,AH280)*(1-AF280)+INDEX(Models!$BJ280:$BT280,,AH280+1)*AF280-ERP_i)*AE280*Ramure*Pc/MaxiM</f>
        <v>1.0430711218077236E-5</v>
      </c>
      <c r="AE280" s="305">
        <f t="shared" si="112"/>
        <v>0.5</v>
      </c>
      <c r="AF280" s="177">
        <f t="shared" si="113"/>
        <v>0.49094871624007586</v>
      </c>
      <c r="AG280" s="811">
        <f t="shared" si="119"/>
        <v>-1</v>
      </c>
      <c r="AH280" s="176">
        <f t="shared" si="114"/>
        <v>5</v>
      </c>
      <c r="AI280" s="225">
        <f t="shared" si="115"/>
        <v>-0.50905128375992414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7">
        <v>34.865000000000002</v>
      </c>
      <c r="C281" s="390"/>
      <c r="D281" s="393">
        <f t="shared" si="98"/>
        <v>35.51084036811708</v>
      </c>
      <c r="E281" s="385">
        <f t="shared" si="96"/>
        <v>37.223636499627659</v>
      </c>
      <c r="F281" s="385">
        <f t="shared" si="99"/>
        <v>37.223977522302476</v>
      </c>
      <c r="G281" s="110">
        <f t="shared" si="97"/>
        <v>0.79468114792162226</v>
      </c>
      <c r="H281" s="414" t="b">
        <f>Wh_hp&gt;='2019'!Maxi_hp</f>
        <v>0</v>
      </c>
      <c r="I281" s="380">
        <f>IF(H281,Wh_hp,'2019'!Maxi_hp)</f>
        <v>40.084162591234495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1.8187132757830682E-2</v>
      </c>
      <c r="M281" s="845"/>
      <c r="N281" s="845"/>
      <c r="O281" s="48">
        <f>IF(t&lt;Tnet,'2019'!Resal+('2019'!Salim-'2019'!Resal)*(1-EXP(('2019'!Tnet-t)/('2019'!Tau_j))),Resal+(Salim-Resal)*(1-EXP((Tnet-t)/(Tau_j))))*Salcycl</f>
        <v>4.6013670145519298E-2</v>
      </c>
      <c r="P281" s="169">
        <f>(INDEX(Models!$BJ281:$BT281,,T281)*(1-R281)+INDEX(Models!$BJ281:$BT281,,T281+1)*R281-ERP_i)*Q281*Ramure*Pc/MaxiM</f>
        <v>1.296374579692184E-5</v>
      </c>
      <c r="Q281" s="305">
        <f t="shared" si="101"/>
        <v>0.5</v>
      </c>
      <c r="R281" s="177">
        <f t="shared" si="102"/>
        <v>0.49121132603221196</v>
      </c>
      <c r="S281" s="811">
        <f t="shared" si="103"/>
        <v>-1</v>
      </c>
      <c r="T281" s="176">
        <f t="shared" si="104"/>
        <v>5</v>
      </c>
      <c r="U281" s="251">
        <f t="shared" si="105"/>
        <v>-0.50878867396778804</v>
      </c>
      <c r="V281" s="383">
        <f t="shared" si="106"/>
        <v>43.872775288779145</v>
      </c>
      <c r="W281" s="402"/>
      <c r="X281" s="157">
        <f t="shared" si="107"/>
        <v>44097</v>
      </c>
      <c r="Y281" s="385">
        <f t="shared" si="108"/>
        <v>34.865000000000002</v>
      </c>
      <c r="Z281" s="385">
        <f t="shared" si="109"/>
        <v>35.51084036811708</v>
      </c>
      <c r="AA281" s="386">
        <f t="shared" si="110"/>
        <v>37.223636499627659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4.6013670145519298E-2</v>
      </c>
      <c r="AD281" s="231">
        <f>(INDEX(Models!$BJ281:$BT281,,AH281)*(1-AF281)+INDEX(Models!$BJ281:$BT281,,AH281+1)*AF281-ERP_i)*AE281*Ramure*Pc/MaxiM</f>
        <v>1.296374579692184E-5</v>
      </c>
      <c r="AE281" s="305">
        <f t="shared" si="112"/>
        <v>0.5</v>
      </c>
      <c r="AF281" s="177">
        <f t="shared" si="113"/>
        <v>0.49121132603221196</v>
      </c>
      <c r="AG281" s="811">
        <f t="shared" si="119"/>
        <v>-1</v>
      </c>
      <c r="AH281" s="176">
        <f t="shared" si="114"/>
        <v>5</v>
      </c>
      <c r="AI281" s="225">
        <f t="shared" si="115"/>
        <v>-0.50878867396778804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7">
        <v>21.306000000000001</v>
      </c>
      <c r="C282" s="390"/>
      <c r="D282" s="393">
        <f t="shared" si="98"/>
        <v>21.7011483320133</v>
      </c>
      <c r="E282" s="385">
        <f t="shared" si="96"/>
        <v>22.749152307424158</v>
      </c>
      <c r="F282" s="385">
        <f t="shared" si="99"/>
        <v>22.749252166298948</v>
      </c>
      <c r="G282" s="110">
        <f t="shared" si="97"/>
        <v>0.48919066975664049</v>
      </c>
      <c r="H282" s="414" t="b">
        <f>Wh_hp&gt;='2019'!Maxi_hp</f>
        <v>0</v>
      </c>
      <c r="I282" s="380">
        <f>IF(H282,Wh_hp,'2019'!Maxi_hp)</f>
        <v>46.514117854235721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1.8208636979379578E-2</v>
      </c>
      <c r="M282" s="845"/>
      <c r="N282" s="845"/>
      <c r="O282" s="48">
        <f>IF(t&lt;Tnet,'2019'!Resal+('2019'!Salim-'2019'!Resal)*(1-EXP(('2019'!Tnet-t)/('2019'!Tau_j))),Resal+(Salim-Resal)*(1-EXP((Tnet-t)/(Tau_j))))*Salcycl</f>
        <v>4.6067825352281037E-2</v>
      </c>
      <c r="P282" s="169">
        <f>(INDEX(Models!$BJ282:$BT282,,T282)*(1-R282)+INDEX(Models!$BJ282:$BT282,,T282+1)*R282-ERP_i)*Q282*Ramure*Pc/MaxiM</f>
        <v>1.6240693131756181E-5</v>
      </c>
      <c r="Q282" s="305">
        <f t="shared" si="101"/>
        <v>0.5</v>
      </c>
      <c r="R282" s="177">
        <f t="shared" si="102"/>
        <v>0.49146362495943019</v>
      </c>
      <c r="S282" s="811">
        <f t="shared" si="103"/>
        <v>-1</v>
      </c>
      <c r="T282" s="176">
        <f t="shared" si="104"/>
        <v>5</v>
      </c>
      <c r="U282" s="251">
        <f t="shared" si="105"/>
        <v>-0.50853637504056981</v>
      </c>
      <c r="V282" s="383">
        <f t="shared" si="106"/>
        <v>43.553053677284417</v>
      </c>
      <c r="W282" s="402"/>
      <c r="X282" s="157">
        <f t="shared" si="107"/>
        <v>44098</v>
      </c>
      <c r="Y282" s="385">
        <f t="shared" si="108"/>
        <v>21.306000000000001</v>
      </c>
      <c r="Z282" s="385">
        <f t="shared" si="109"/>
        <v>21.7011483320133</v>
      </c>
      <c r="AA282" s="386">
        <f t="shared" si="110"/>
        <v>22.749152307424158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4.6067825352281037E-2</v>
      </c>
      <c r="AD282" s="231">
        <f>(INDEX(Models!$BJ282:$BT282,,AH282)*(1-AF282)+INDEX(Models!$BJ282:$BT282,,AH282+1)*AF282-ERP_i)*AE282*Ramure*Pc/MaxiM</f>
        <v>1.6240693131756181E-5</v>
      </c>
      <c r="AE282" s="305">
        <f t="shared" si="112"/>
        <v>0.5</v>
      </c>
      <c r="AF282" s="177">
        <f t="shared" si="113"/>
        <v>0.49146362495943019</v>
      </c>
      <c r="AG282" s="811">
        <f t="shared" si="119"/>
        <v>-1</v>
      </c>
      <c r="AH282" s="176">
        <f t="shared" si="114"/>
        <v>5</v>
      </c>
      <c r="AI282" s="225">
        <f t="shared" si="115"/>
        <v>-0.50853637504056981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7">
        <v>20.68</v>
      </c>
      <c r="C283" s="390"/>
      <c r="D283" s="393">
        <f t="shared" si="98"/>
        <v>21.063999678473795</v>
      </c>
      <c r="E283" s="385">
        <f t="shared" si="96"/>
        <v>22.082473017471937</v>
      </c>
      <c r="F283" s="385">
        <f t="shared" si="99"/>
        <v>22.082586941197373</v>
      </c>
      <c r="G283" s="110">
        <f t="shared" si="97"/>
        <v>0.47833873560939533</v>
      </c>
      <c r="H283" s="414" t="b">
        <f>Wh_hp&gt;='2019'!Maxi_hp</f>
        <v>0</v>
      </c>
      <c r="I283" s="380">
        <f>IF(H283,Wh_hp,'2019'!Maxi_hp)</f>
        <v>46.475483095151723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1.8230140729930788E-2</v>
      </c>
      <c r="M283" s="845"/>
      <c r="N283" s="845"/>
      <c r="O283" s="48">
        <f>IF(t&lt;Tnet,'2019'!Resal+('2019'!Salim-'2019'!Resal)*(1-EXP(('2019'!Tnet-t)/('2019'!Tau_j))),Resal+(Salim-Resal)*(1-EXP((Tnet-t)/(Tau_j))))*Salcycl</f>
        <v>4.6121344207793798E-2</v>
      </c>
      <c r="P283" s="169">
        <f>(INDEX(Models!$BJ283:$BT283,,T283)*(1-R283)+INDEX(Models!$BJ283:$BT283,,T283+1)*R283-ERP_i)*Q283*Ramure*Pc/MaxiM</f>
        <v>2.0248786847743638E-5</v>
      </c>
      <c r="Q283" s="305">
        <f t="shared" si="101"/>
        <v>0.5</v>
      </c>
      <c r="R283" s="177">
        <f t="shared" si="102"/>
        <v>0.49170600781980811</v>
      </c>
      <c r="S283" s="811">
        <f t="shared" si="103"/>
        <v>-1</v>
      </c>
      <c r="T283" s="176">
        <f t="shared" si="104"/>
        <v>5</v>
      </c>
      <c r="U283" s="251">
        <f t="shared" si="105"/>
        <v>-0.50829399218019189</v>
      </c>
      <c r="V283" s="383">
        <f t="shared" si="106"/>
        <v>43.232308825948529</v>
      </c>
      <c r="W283" s="402"/>
      <c r="X283" s="157">
        <f t="shared" si="107"/>
        <v>44099</v>
      </c>
      <c r="Y283" s="385">
        <f t="shared" si="108"/>
        <v>20.68</v>
      </c>
      <c r="Z283" s="385">
        <f t="shared" si="109"/>
        <v>21.063999678473795</v>
      </c>
      <c r="AA283" s="386">
        <f t="shared" si="110"/>
        <v>22.082473017471937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4.6121344207793798E-2</v>
      </c>
      <c r="AD283" s="231">
        <f>(INDEX(Models!$BJ283:$BT283,,AH283)*(1-AF283)+INDEX(Models!$BJ283:$BT283,,AH283+1)*AF283-ERP_i)*AE283*Ramure*Pc/MaxiM</f>
        <v>2.0248786847743638E-5</v>
      </c>
      <c r="AE283" s="305">
        <f t="shared" si="112"/>
        <v>0.5</v>
      </c>
      <c r="AF283" s="177">
        <f t="shared" si="113"/>
        <v>0.49170600781980811</v>
      </c>
      <c r="AG283" s="811">
        <f t="shared" si="119"/>
        <v>-1</v>
      </c>
      <c r="AH283" s="176">
        <f t="shared" si="114"/>
        <v>5</v>
      </c>
      <c r="AI283" s="225">
        <f t="shared" si="115"/>
        <v>-0.50829399218019189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7">
        <v>14.837</v>
      </c>
      <c r="C284" s="390"/>
      <c r="D284" s="393">
        <f t="shared" si="98"/>
        <v>15.112834067372242</v>
      </c>
      <c r="E284" s="385">
        <f t="shared" si="96"/>
        <v>15.8444384966439</v>
      </c>
      <c r="F284" s="385">
        <f t="shared" si="99"/>
        <v>15.844464389207065</v>
      </c>
      <c r="G284" s="110">
        <f t="shared" si="97"/>
        <v>0.34575129550438444</v>
      </c>
      <c r="H284" s="414" t="b">
        <f>Wh_hp&gt;='2019'!Maxi_hp</f>
        <v>0</v>
      </c>
      <c r="I284" s="380">
        <f>IF(H284,Wh_hp,'2019'!Maxi_hp)</f>
        <v>45.12039737403196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1.825164400949475E-2</v>
      </c>
      <c r="M284" s="845"/>
      <c r="N284" s="845"/>
      <c r="O284" s="48">
        <f>IF(t&lt;Tnet,'2019'!Resal+('2019'!Salim-'2019'!Resal)*(1-EXP(('2019'!Tnet-t)/('2019'!Tau_j))),Resal+(Salim-Resal)*(1-EXP((Tnet-t)/(Tau_j))))*Salcycl</f>
        <v>4.6174209923982072E-2</v>
      </c>
      <c r="P284" s="169">
        <f>(INDEX(Models!$BJ284:$BT284,,T284)*(1-R284)+INDEX(Models!$BJ284:$BT284,,T284+1)*R284-ERP_i)*Q284*Ramure*Pc/MaxiM</f>
        <v>2.4998586170374612E-5</v>
      </c>
      <c r="Q284" s="305">
        <f t="shared" si="101"/>
        <v>0.5</v>
      </c>
      <c r="R284" s="177">
        <f t="shared" si="102"/>
        <v>0.49193885507887747</v>
      </c>
      <c r="S284" s="811">
        <f t="shared" si="103"/>
        <v>-1</v>
      </c>
      <c r="T284" s="176">
        <f t="shared" si="104"/>
        <v>5</v>
      </c>
      <c r="U284" s="251">
        <f t="shared" si="105"/>
        <v>-0.50806114492112253</v>
      </c>
      <c r="V284" s="383">
        <f t="shared" si="106"/>
        <v>42.911345624781596</v>
      </c>
      <c r="W284" s="402"/>
      <c r="X284" s="157">
        <f t="shared" si="107"/>
        <v>44100</v>
      </c>
      <c r="Y284" s="385">
        <f t="shared" si="108"/>
        <v>14.837</v>
      </c>
      <c r="Z284" s="385">
        <f t="shared" si="109"/>
        <v>15.112834067372242</v>
      </c>
      <c r="AA284" s="386">
        <f t="shared" si="110"/>
        <v>15.8444384966439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4.6174209923982072E-2</v>
      </c>
      <c r="AD284" s="231">
        <f>(INDEX(Models!$BJ284:$BT284,,AH284)*(1-AF284)+INDEX(Models!$BJ284:$BT284,,AH284+1)*AF284-ERP_i)*AE284*Ramure*Pc/MaxiM</f>
        <v>2.4998586170374612E-5</v>
      </c>
      <c r="AE284" s="305">
        <f t="shared" si="112"/>
        <v>0.5</v>
      </c>
      <c r="AF284" s="177">
        <f t="shared" si="113"/>
        <v>0.49193885507887747</v>
      </c>
      <c r="AG284" s="811">
        <f t="shared" si="119"/>
        <v>-1</v>
      </c>
      <c r="AH284" s="176">
        <f t="shared" si="114"/>
        <v>5</v>
      </c>
      <c r="AI284" s="225">
        <f t="shared" si="115"/>
        <v>-0.50806114492112253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7">
        <v>12.242000000000001</v>
      </c>
      <c r="C285" s="390"/>
      <c r="D285" s="393">
        <f t="shared" si="98"/>
        <v>12.46986364926447</v>
      </c>
      <c r="E285" s="385">
        <f t="shared" si="96"/>
        <v>13.074238718326489</v>
      </c>
      <c r="F285" s="385">
        <f t="shared" si="99"/>
        <v>13.074238718326489</v>
      </c>
      <c r="G285" s="110">
        <f t="shared" si="97"/>
        <v>0.28742306158006653</v>
      </c>
      <c r="H285" s="414" t="b">
        <f>Wh_hp&gt;='2019'!Maxi_hp</f>
        <v>0</v>
      </c>
      <c r="I285" s="380">
        <f>IF(H285,Wh_hp,'2019'!Maxi_hp)</f>
        <v>42.169880552957594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1.8273146818081676E-2</v>
      </c>
      <c r="M285" s="845"/>
      <c r="N285" s="845"/>
      <c r="O285" s="48">
        <f>IF(t&lt;Tnet,'2019'!Resal+('2019'!Salim-'2019'!Resal)*(1-EXP(('2019'!Tnet-t)/('2019'!Tau_j))),Resal+(Salim-Resal)*(1-EXP((Tnet-t)/(Tau_j))))*Salcycl</f>
        <v>4.6226406147445713E-2</v>
      </c>
      <c r="P285" s="169">
        <f>(INDEX(Models!$BJ285:$BT285,,T285)*(1-R285)+INDEX(Models!$BJ285:$BT285,,T285+1)*R285-ERP_i)*Q285*Ramure*Pc/MaxiM</f>
        <v>3.0500161598708003E-5</v>
      </c>
      <c r="Q285" s="305">
        <f t="shared" si="101"/>
        <v>0.5</v>
      </c>
      <c r="R285" s="177">
        <f t="shared" si="102"/>
        <v>0.49216253332816406</v>
      </c>
      <c r="S285" s="811">
        <f t="shared" si="103"/>
        <v>-1</v>
      </c>
      <c r="T285" s="176">
        <f t="shared" si="104"/>
        <v>5</v>
      </c>
      <c r="U285" s="251">
        <f t="shared" si="105"/>
        <v>-0.50783746667183594</v>
      </c>
      <c r="V285" s="383">
        <f t="shared" si="106"/>
        <v>42.590968691674028</v>
      </c>
      <c r="W285" s="402"/>
      <c r="X285" s="157">
        <f t="shared" si="107"/>
        <v>44101</v>
      </c>
      <c r="Y285" s="385">
        <f t="shared" si="108"/>
        <v>12.242000000000001</v>
      </c>
      <c r="Z285" s="385">
        <f t="shared" si="109"/>
        <v>12.46986364926447</v>
      </c>
      <c r="AA285" s="386">
        <f t="shared" si="110"/>
        <v>13.074238718326489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4.6226406147445713E-2</v>
      </c>
      <c r="AD285" s="231">
        <f>(INDEX(Models!$BJ285:$BT285,,AH285)*(1-AF285)+INDEX(Models!$BJ285:$BT285,,AH285+1)*AF285-ERP_i)*AE285*Ramure*Pc/MaxiM</f>
        <v>3.0500161598708003E-5</v>
      </c>
      <c r="AE285" s="305">
        <f t="shared" si="112"/>
        <v>0.5</v>
      </c>
      <c r="AF285" s="177">
        <f t="shared" si="113"/>
        <v>0.49216253332816406</v>
      </c>
      <c r="AG285" s="811">
        <f t="shared" si="119"/>
        <v>-1</v>
      </c>
      <c r="AH285" s="176">
        <f t="shared" si="114"/>
        <v>5</v>
      </c>
      <c r="AI285" s="225">
        <f t="shared" si="115"/>
        <v>-0.50783746667183594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7">
        <v>29.094000000000001</v>
      </c>
      <c r="C286" s="390"/>
      <c r="D286" s="393">
        <f t="shared" si="98"/>
        <v>29.636183580927035</v>
      </c>
      <c r="E286" s="385">
        <f t="shared" si="96"/>
        <v>31.074234425017778</v>
      </c>
      <c r="F286" s="385">
        <f t="shared" si="99"/>
        <v>31.074868062366047</v>
      </c>
      <c r="G286" s="110">
        <f t="shared" si="97"/>
        <v>0.6882460206884462</v>
      </c>
      <c r="H286" s="414" t="b">
        <f>Wh_hp&gt;='2019'!Maxi_hp</f>
        <v>0</v>
      </c>
      <c r="I286" s="380">
        <f>IF(H286,Wh_hp,'2019'!Maxi_hp)</f>
        <v>44.457549596928516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1.8294649155701892E-2</v>
      </c>
      <c r="M286" s="845"/>
      <c r="N286" s="845"/>
      <c r="O286" s="48">
        <f>IF(t&lt;Tnet,'2019'!Resal+('2019'!Salim-'2019'!Resal)*(1-EXP(('2019'!Tnet-t)/('2019'!Tau_j))),Resal+(Salim-Resal)*(1-EXP((Tnet-t)/(Tau_j))))*Salcycl</f>
        <v>4.6277917081457454E-2</v>
      </c>
      <c r="P286" s="169">
        <f>(INDEX(Models!$BJ286:$BT286,,T286)*(1-R286)+INDEX(Models!$BJ286:$BT286,,T286+1)*R286-ERP_i)*Q286*Ramure*Pc/MaxiM</f>
        <v>3.6762911301503292E-5</v>
      </c>
      <c r="Q286" s="305">
        <f t="shared" si="101"/>
        <v>0.5</v>
      </c>
      <c r="R286" s="177">
        <f t="shared" si="102"/>
        <v>0.49237739573407424</v>
      </c>
      <c r="S286" s="811">
        <f t="shared" si="103"/>
        <v>-1</v>
      </c>
      <c r="T286" s="176">
        <f t="shared" si="104"/>
        <v>5</v>
      </c>
      <c r="U286" s="251">
        <f t="shared" si="105"/>
        <v>-0.50762260426592576</v>
      </c>
      <c r="V286" s="383">
        <f t="shared" si="106"/>
        <v>42.271982375091625</v>
      </c>
      <c r="W286" s="402"/>
      <c r="X286" s="157">
        <f t="shared" si="107"/>
        <v>44102</v>
      </c>
      <c r="Y286" s="385">
        <f t="shared" si="108"/>
        <v>29.094000000000001</v>
      </c>
      <c r="Z286" s="385">
        <f t="shared" si="109"/>
        <v>29.636183580927035</v>
      </c>
      <c r="AA286" s="386">
        <f t="shared" si="110"/>
        <v>31.074234425017778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4.6277917081457454E-2</v>
      </c>
      <c r="AD286" s="231">
        <f>(INDEX(Models!$BJ286:$BT286,,AH286)*(1-AF286)+INDEX(Models!$BJ286:$BT286,,AH286+1)*AF286-ERP_i)*AE286*Ramure*Pc/MaxiM</f>
        <v>3.6762911301503292E-5</v>
      </c>
      <c r="AE286" s="305">
        <f t="shared" si="112"/>
        <v>0.5</v>
      </c>
      <c r="AF286" s="177">
        <f t="shared" si="113"/>
        <v>0.49237739573407424</v>
      </c>
      <c r="AG286" s="811">
        <f t="shared" si="119"/>
        <v>-1</v>
      </c>
      <c r="AH286" s="176">
        <f t="shared" si="114"/>
        <v>5</v>
      </c>
      <c r="AI286" s="225">
        <f t="shared" si="115"/>
        <v>-0.50762260426592576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7">
        <v>33.761000000000003</v>
      </c>
      <c r="C287" s="390"/>
      <c r="D287" s="393">
        <f t="shared" si="98"/>
        <v>34.390909084589801</v>
      </c>
      <c r="E287" s="385">
        <f t="shared" si="96"/>
        <v>36.061596988757891</v>
      </c>
      <c r="F287" s="385">
        <f t="shared" si="99"/>
        <v>36.062735703895534</v>
      </c>
      <c r="G287" s="110">
        <f t="shared" si="97"/>
        <v>0.80468201523934657</v>
      </c>
      <c r="H287" s="414" t="b">
        <f>Wh_hp&gt;='2019'!Maxi_hp</f>
        <v>0</v>
      </c>
      <c r="I287" s="380">
        <f>IF(H287,Wh_hp,'2019'!Maxi_hp)</f>
        <v>41.406216750872005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1.8316151022365723E-2</v>
      </c>
      <c r="M287" s="845"/>
      <c r="N287" s="845"/>
      <c r="O287" s="48">
        <f>IF(t&lt;Tnet,'2019'!Resal+('2019'!Salim-'2019'!Resal)*(1-EXP(('2019'!Tnet-t)/('2019'!Tau_j))),Resal+(Salim-Resal)*(1-EXP((Tnet-t)/(Tau_j))))*Salcycl</f>
        <v>4.632872761261575E-2</v>
      </c>
      <c r="P287" s="169">
        <f>(INDEX(Models!$BJ287:$BT287,,T287)*(1-R287)+INDEX(Models!$BJ287:$BT287,,T287+1)*R287-ERP_i)*Q287*Ramure*Pc/MaxiM</f>
        <v>4.3795367478701938E-5</v>
      </c>
      <c r="Q287" s="305">
        <f t="shared" si="101"/>
        <v>0.5</v>
      </c>
      <c r="R287" s="177">
        <f t="shared" si="102"/>
        <v>0.49258378247688328</v>
      </c>
      <c r="S287" s="811">
        <f t="shared" si="103"/>
        <v>-1</v>
      </c>
      <c r="T287" s="176">
        <f t="shared" si="104"/>
        <v>5</v>
      </c>
      <c r="U287" s="251">
        <f t="shared" si="105"/>
        <v>-0.50741621752311672</v>
      </c>
      <c r="V287" s="383">
        <f t="shared" si="106"/>
        <v>41.955190755911502</v>
      </c>
      <c r="W287" s="402"/>
      <c r="X287" s="157">
        <f t="shared" si="107"/>
        <v>44103</v>
      </c>
      <c r="Y287" s="385">
        <f t="shared" si="108"/>
        <v>33.761000000000003</v>
      </c>
      <c r="Z287" s="385">
        <f t="shared" si="109"/>
        <v>34.390909084589801</v>
      </c>
      <c r="AA287" s="386">
        <f t="shared" si="110"/>
        <v>36.061596988757891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4.632872761261575E-2</v>
      </c>
      <c r="AD287" s="231">
        <f>(INDEX(Models!$BJ287:$BT287,,AH287)*(1-AF287)+INDEX(Models!$BJ287:$BT287,,AH287+1)*AF287-ERP_i)*AE287*Ramure*Pc/MaxiM</f>
        <v>4.3795367478701938E-5</v>
      </c>
      <c r="AE287" s="305">
        <f t="shared" si="112"/>
        <v>0.5</v>
      </c>
      <c r="AF287" s="177">
        <f t="shared" si="113"/>
        <v>0.49258378247688328</v>
      </c>
      <c r="AG287" s="811">
        <f t="shared" si="119"/>
        <v>-1</v>
      </c>
      <c r="AH287" s="176">
        <f t="shared" si="114"/>
        <v>5</v>
      </c>
      <c r="AI287" s="225">
        <f t="shared" si="115"/>
        <v>-0.50741621752311672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7">
        <v>40.747999999999998</v>
      </c>
      <c r="C288" s="390"/>
      <c r="D288" s="393">
        <f t="shared" si="98"/>
        <v>41.509180932092043</v>
      </c>
      <c r="E288" s="385">
        <f t="shared" si="96"/>
        <v>43.527956333649513</v>
      </c>
      <c r="F288" s="385">
        <f t="shared" si="99"/>
        <v>43.530133856028712</v>
      </c>
      <c r="G288" s="110">
        <f t="shared" si="97"/>
        <v>0.97854389734941183</v>
      </c>
      <c r="H288" s="414" t="b">
        <f>Wh_hp&gt;='2019'!Maxi_hp</f>
        <v>1</v>
      </c>
      <c r="I288" s="380">
        <f>IF(H288,Wh_hp,'2019'!Maxi_hp)</f>
        <v>43.530133856028712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1.8337652418083605E-2</v>
      </c>
      <c r="M288" s="845"/>
      <c r="N288" s="845"/>
      <c r="O288" s="48">
        <f>IF(t&lt;Tnet,'2019'!Resal+('2019'!Salim-'2019'!Resal)*(1-EXP(('2019'!Tnet-t)/('2019'!Tau_j))),Resal+(Salim-Resal)*(1-EXP((Tnet-t)/(Tau_j))))*Salcycl</f>
        <v>4.6378823441266037E-2</v>
      </c>
      <c r="P288" s="169">
        <f>(INDEX(Models!$BJ288:$BT288,,T288)*(1-R288)+INDEX(Models!$BJ288:$BT288,,T288+1)*R288-ERP_i)*Q288*Ramure*Pc/MaxiM</f>
        <v>5.1604993172530222E-5</v>
      </c>
      <c r="Q288" s="305">
        <f t="shared" si="101"/>
        <v>0.5</v>
      </c>
      <c r="R288" s="177">
        <f t="shared" si="102"/>
        <v>0.49278202117963155</v>
      </c>
      <c r="S288" s="811">
        <f t="shared" si="103"/>
        <v>-1</v>
      </c>
      <c r="T288" s="176">
        <f t="shared" si="104"/>
        <v>5</v>
      </c>
      <c r="U288" s="251">
        <f t="shared" si="105"/>
        <v>-0.50721797882036845</v>
      </c>
      <c r="V288" s="383">
        <f t="shared" si="106"/>
        <v>41.64139764977255</v>
      </c>
      <c r="W288" s="402"/>
      <c r="X288" s="157">
        <f t="shared" si="107"/>
        <v>44104</v>
      </c>
      <c r="Y288" s="385">
        <f t="shared" si="108"/>
        <v>40.747999999999998</v>
      </c>
      <c r="Z288" s="385">
        <f t="shared" si="109"/>
        <v>41.509180932092043</v>
      </c>
      <c r="AA288" s="386">
        <f t="shared" si="110"/>
        <v>43.527956333649513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4.6378823441266037E-2</v>
      </c>
      <c r="AD288" s="231">
        <f>(INDEX(Models!$BJ288:$BT288,,AH288)*(1-AF288)+INDEX(Models!$BJ288:$BT288,,AH288+1)*AF288-ERP_i)*AE288*Ramure*Pc/MaxiM</f>
        <v>5.1604993172530222E-5</v>
      </c>
      <c r="AE288" s="305">
        <f t="shared" si="112"/>
        <v>0.5</v>
      </c>
      <c r="AF288" s="177">
        <f t="shared" si="113"/>
        <v>0.49278202117963155</v>
      </c>
      <c r="AG288" s="811">
        <f t="shared" si="119"/>
        <v>-1</v>
      </c>
      <c r="AH288" s="176">
        <f t="shared" si="114"/>
        <v>5</v>
      </c>
      <c r="AI288" s="225">
        <f t="shared" si="115"/>
        <v>-0.50721797882036845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7">
        <v>8.1020000000000003</v>
      </c>
      <c r="C289" s="390"/>
      <c r="D289" s="393">
        <f t="shared" si="98"/>
        <v>8.2535277821725064</v>
      </c>
      <c r="E289" s="385">
        <f t="shared" si="96"/>
        <v>8.6553814889792697</v>
      </c>
      <c r="F289" s="385">
        <f t="shared" si="99"/>
        <v>8.6553814889792697</v>
      </c>
      <c r="G289" s="110">
        <f t="shared" si="97"/>
        <v>0.19602299831552675</v>
      </c>
      <c r="H289" s="414" t="b">
        <f>Wh_hp&gt;='2019'!Maxi_hp</f>
        <v>0</v>
      </c>
      <c r="I289" s="380">
        <f>IF(H289,Wh_hp,'2019'!Maxi_hp)</f>
        <v>44.550821163435508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1.8359153342865642E-2</v>
      </c>
      <c r="M289" s="845"/>
      <c r="N289" s="845"/>
      <c r="O289" s="48">
        <f>IF(t&lt;Tnet,'2019'!Resal+('2019'!Salim-'2019'!Resal)*(1-EXP(('2019'!Tnet-t)/('2019'!Tau_j))),Resal+(Salim-Resal)*(1-EXP((Tnet-t)/(Tau_j))))*Salcycl</f>
        <v>4.6428191214729957E-2</v>
      </c>
      <c r="P289" s="169">
        <f>(INDEX(Models!$BJ289:$BT289,,T289)*(1-R289)+INDEX(Models!$BJ289:$BT289,,T289+1)*R289-ERP_i)*Q289*Ramure*Pc/MaxiM</f>
        <v>6.0200897668412401E-5</v>
      </c>
      <c r="Q289" s="305">
        <f t="shared" si="101"/>
        <v>0.5</v>
      </c>
      <c r="R289" s="177">
        <f t="shared" si="102"/>
        <v>0.49297242732678792</v>
      </c>
      <c r="S289" s="811">
        <f t="shared" si="103"/>
        <v>-1</v>
      </c>
      <c r="T289" s="176">
        <f t="shared" si="104"/>
        <v>5</v>
      </c>
      <c r="U289" s="251">
        <f t="shared" si="105"/>
        <v>-0.50702757267321208</v>
      </c>
      <c r="V289" s="383">
        <f t="shared" si="106"/>
        <v>41.329396662357745</v>
      </c>
      <c r="W289" s="402"/>
      <c r="X289" s="157">
        <f t="shared" si="107"/>
        <v>44105</v>
      </c>
      <c r="Y289" s="385">
        <f t="shared" si="108"/>
        <v>8.1020000000000003</v>
      </c>
      <c r="Z289" s="385">
        <f t="shared" si="109"/>
        <v>8.2535277821725064</v>
      </c>
      <c r="AA289" s="386">
        <f t="shared" si="110"/>
        <v>8.6553814889792697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4.6428191214729957E-2</v>
      </c>
      <c r="AD289" s="231">
        <f>(INDEX(Models!$BJ289:$BT289,,AH289)*(1-AF289)+INDEX(Models!$BJ289:$BT289,,AH289+1)*AF289-ERP_i)*AE289*Ramure*Pc/MaxiM</f>
        <v>6.0200897668412401E-5</v>
      </c>
      <c r="AE289" s="305">
        <f t="shared" si="112"/>
        <v>0.5</v>
      </c>
      <c r="AF289" s="177">
        <f t="shared" si="113"/>
        <v>0.49297242732678792</v>
      </c>
      <c r="AG289" s="811">
        <f t="shared" si="119"/>
        <v>-1</v>
      </c>
      <c r="AH289" s="176">
        <f t="shared" si="114"/>
        <v>5</v>
      </c>
      <c r="AI289" s="225">
        <f t="shared" si="115"/>
        <v>-0.50702757267321208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7">
        <v>5.6589999999999998</v>
      </c>
      <c r="C290" s="390"/>
      <c r="D290" s="393">
        <f t="shared" si="98"/>
        <v>5.7649638038288122</v>
      </c>
      <c r="E290" s="385">
        <f t="shared" si="96"/>
        <v>6.045960828913703</v>
      </c>
      <c r="F290" s="385">
        <f t="shared" si="99"/>
        <v>6.045960828913703</v>
      </c>
      <c r="G290" s="110">
        <f t="shared" si="97"/>
        <v>0.13795608338830109</v>
      </c>
      <c r="H290" s="414" t="b">
        <f>Wh_hp&gt;='2019'!Maxi_hp</f>
        <v>0</v>
      </c>
      <c r="I290" s="380">
        <f>IF(H290,Wh_hp,'2019'!Maxi_hp)</f>
        <v>42.516161138689995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1.8380653796722268E-2</v>
      </c>
      <c r="M290" s="845"/>
      <c r="N290" s="845"/>
      <c r="O290" s="48">
        <f>IF(t&lt;Tnet,'2019'!Resal+('2019'!Salim-'2019'!Resal)*(1-EXP(('2019'!Tnet-t)/('2019'!Tau_j))),Resal+(Salim-Resal)*(1-EXP((Tnet-t)/(Tau_j))))*Salcycl</f>
        <v>4.647681866231642E-2</v>
      </c>
      <c r="P290" s="169">
        <f>(INDEX(Models!$BJ290:$BT290,,T290)*(1-R290)+INDEX(Models!$BJ290:$BT290,,T290+1)*R290-ERP_i)*Q290*Ramure*Pc/MaxiM</f>
        <v>6.917766190172762E-5</v>
      </c>
      <c r="Q290" s="305">
        <f t="shared" si="101"/>
        <v>0.5</v>
      </c>
      <c r="R290" s="177">
        <f t="shared" si="102"/>
        <v>0.49315530467257607</v>
      </c>
      <c r="S290" s="811">
        <f t="shared" si="103"/>
        <v>-1</v>
      </c>
      <c r="T290" s="176">
        <f t="shared" si="104"/>
        <v>5</v>
      </c>
      <c r="U290" s="251">
        <f t="shared" si="105"/>
        <v>-0.50684469532742393</v>
      </c>
      <c r="V290" s="383">
        <f t="shared" si="106"/>
        <v>41.017462837678366</v>
      </c>
      <c r="W290" s="402"/>
      <c r="X290" s="157">
        <f t="shared" si="107"/>
        <v>44106</v>
      </c>
      <c r="Y290" s="385">
        <f t="shared" si="108"/>
        <v>5.6589999999999998</v>
      </c>
      <c r="Z290" s="385">
        <f t="shared" si="109"/>
        <v>5.7649638038288122</v>
      </c>
      <c r="AA290" s="386">
        <f t="shared" si="110"/>
        <v>6.045960828913703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4.647681866231642E-2</v>
      </c>
      <c r="AD290" s="231">
        <f>(INDEX(Models!$BJ290:$BT290,,AH290)*(1-AF290)+INDEX(Models!$BJ290:$BT290,,AH290+1)*AF290-ERP_i)*AE290*Ramure*Pc/MaxiM</f>
        <v>6.917766190172762E-5</v>
      </c>
      <c r="AE290" s="305">
        <f t="shared" si="112"/>
        <v>0.5</v>
      </c>
      <c r="AF290" s="177">
        <f t="shared" si="113"/>
        <v>0.49315530467257607</v>
      </c>
      <c r="AG290" s="811">
        <f t="shared" si="119"/>
        <v>-1</v>
      </c>
      <c r="AH290" s="176">
        <f t="shared" si="114"/>
        <v>5</v>
      </c>
      <c r="AI290" s="225">
        <f t="shared" si="115"/>
        <v>-0.50684469532742393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7">
        <v>17.209</v>
      </c>
      <c r="C291" s="390"/>
      <c r="D291" s="393">
        <f t="shared" si="98"/>
        <v>17.531619559133738</v>
      </c>
      <c r="E291" s="385">
        <f t="shared" si="96"/>
        <v>18.387072493910249</v>
      </c>
      <c r="F291" s="385">
        <f t="shared" si="99"/>
        <v>18.387324688213294</v>
      </c>
      <c r="G291" s="110">
        <f t="shared" si="97"/>
        <v>0.42274001801003636</v>
      </c>
      <c r="H291" s="414" t="b">
        <f>Wh_hp&gt;='2019'!Maxi_hp</f>
        <v>0</v>
      </c>
      <c r="I291" s="380">
        <f>IF(H291,Wh_hp,'2019'!Maxi_hp)</f>
        <v>42.093320826448114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1.8402153779663699E-2</v>
      </c>
      <c r="M291" s="845"/>
      <c r="N291" s="845"/>
      <c r="O291" s="48">
        <f>IF(t&lt;Tnet,'2019'!Resal+('2019'!Salim-'2019'!Resal)*(1-EXP(('2019'!Tnet-t)/('2019'!Tau_j))),Resal+(Salim-Resal)*(1-EXP((Tnet-t)/(Tau_j))))*Salcycl</f>
        <v>4.6524694731031081E-2</v>
      </c>
      <c r="P291" s="169">
        <f>(INDEX(Models!$BJ291:$BT291,,T291)*(1-R291)+INDEX(Models!$BJ291:$BT291,,T291+1)*R291-ERP_i)*Q291*Ramure*Pc/MaxiM</f>
        <v>7.8204568706526288E-5</v>
      </c>
      <c r="Q291" s="305">
        <f t="shared" si="101"/>
        <v>0.5</v>
      </c>
      <c r="R291" s="177">
        <f t="shared" si="102"/>
        <v>0.49333094563890645</v>
      </c>
      <c r="S291" s="811">
        <f t="shared" si="103"/>
        <v>-1</v>
      </c>
      <c r="T291" s="176">
        <f t="shared" si="104"/>
        <v>5</v>
      </c>
      <c r="U291" s="251">
        <f t="shared" si="105"/>
        <v>-0.50666905436109355</v>
      </c>
      <c r="V291" s="383">
        <f t="shared" si="106"/>
        <v>40.705609741324608</v>
      </c>
      <c r="W291" s="402"/>
      <c r="X291" s="157">
        <f t="shared" si="107"/>
        <v>44107</v>
      </c>
      <c r="Y291" s="385">
        <f t="shared" si="108"/>
        <v>17.209</v>
      </c>
      <c r="Z291" s="385">
        <f t="shared" si="109"/>
        <v>17.531619559133738</v>
      </c>
      <c r="AA291" s="386">
        <f t="shared" si="110"/>
        <v>18.387072493910249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4.6524694731031081E-2</v>
      </c>
      <c r="AD291" s="231">
        <f>(INDEX(Models!$BJ291:$BT291,,AH291)*(1-AF291)+INDEX(Models!$BJ291:$BT291,,AH291+1)*AF291-ERP_i)*AE291*Ramure*Pc/MaxiM</f>
        <v>7.8204568706526288E-5</v>
      </c>
      <c r="AE291" s="305">
        <f t="shared" si="112"/>
        <v>0.5</v>
      </c>
      <c r="AF291" s="177">
        <f t="shared" si="113"/>
        <v>0.49333094563890645</v>
      </c>
      <c r="AG291" s="811">
        <f t="shared" si="119"/>
        <v>-1</v>
      </c>
      <c r="AH291" s="176">
        <f t="shared" si="114"/>
        <v>5</v>
      </c>
      <c r="AI291" s="225">
        <f t="shared" si="115"/>
        <v>-0.50666905436109355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7">
        <v>20.800999999999998</v>
      </c>
      <c r="C292" s="390"/>
      <c r="D292" s="393">
        <f t="shared" si="98"/>
        <v>21.191423438182689</v>
      </c>
      <c r="E292" s="385">
        <f t="shared" si="96"/>
        <v>22.226554295586997</v>
      </c>
      <c r="F292" s="385">
        <f t="shared" si="99"/>
        <v>22.227150015533745</v>
      </c>
      <c r="G292" s="110">
        <f t="shared" si="97"/>
        <v>0.51492364712614558</v>
      </c>
      <c r="H292" s="414" t="b">
        <f>Wh_hp&gt;='2019'!Maxi_hp</f>
        <v>0</v>
      </c>
      <c r="I292" s="380">
        <f>IF(H292,Wh_hp,'2019'!Maxi_hp)</f>
        <v>42.281588278704412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1.842365329170037E-2</v>
      </c>
      <c r="M292" s="845"/>
      <c r="N292" s="845"/>
      <c r="O292" s="48">
        <f>IF(t&lt;Tnet,'2019'!Resal+('2019'!Salim-'2019'!Resal)*(1-EXP(('2019'!Tnet-t)/('2019'!Tau_j))),Resal+(Salim-Resal)*(1-EXP((Tnet-t)/(Tau_j))))*Salcycl</f>
        <v>4.6571809720853959E-2</v>
      </c>
      <c r="P292" s="169">
        <f>(INDEX(Models!$BJ292:$BT292,,T292)*(1-R292)+INDEX(Models!$BJ292:$BT292,,T292+1)*R292-ERP_i)*Q292*Ramure*Pc/MaxiM</f>
        <v>8.7278901561516469E-5</v>
      </c>
      <c r="Q292" s="305">
        <f t="shared" si="101"/>
        <v>0.5</v>
      </c>
      <c r="R292" s="177">
        <f t="shared" si="102"/>
        <v>0.49349963170288813</v>
      </c>
      <c r="S292" s="811">
        <f t="shared" si="103"/>
        <v>-1</v>
      </c>
      <c r="T292" s="176">
        <f t="shared" si="104"/>
        <v>5</v>
      </c>
      <c r="U292" s="251">
        <f t="shared" si="105"/>
        <v>-0.50650036829711187</v>
      </c>
      <c r="V292" s="383">
        <f t="shared" si="106"/>
        <v>40.393837204777668</v>
      </c>
      <c r="W292" s="402"/>
      <c r="X292" s="157">
        <f t="shared" si="107"/>
        <v>44108</v>
      </c>
      <c r="Y292" s="385">
        <f t="shared" si="108"/>
        <v>20.800999999999998</v>
      </c>
      <c r="Z292" s="385">
        <f t="shared" si="109"/>
        <v>21.191423438182689</v>
      </c>
      <c r="AA292" s="386">
        <f t="shared" si="110"/>
        <v>22.226554295586997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4.6571809720853959E-2</v>
      </c>
      <c r="AD292" s="231">
        <f>(INDEX(Models!$BJ292:$BT292,,AH292)*(1-AF292)+INDEX(Models!$BJ292:$BT292,,AH292+1)*AF292-ERP_i)*AE292*Ramure*Pc/MaxiM</f>
        <v>8.7278901561516469E-5</v>
      </c>
      <c r="AE292" s="305">
        <f t="shared" si="112"/>
        <v>0.5</v>
      </c>
      <c r="AF292" s="177">
        <f t="shared" si="113"/>
        <v>0.49349963170288813</v>
      </c>
      <c r="AG292" s="811">
        <f t="shared" si="119"/>
        <v>-1</v>
      </c>
      <c r="AH292" s="176">
        <f t="shared" si="114"/>
        <v>5</v>
      </c>
      <c r="AI292" s="225">
        <f t="shared" si="115"/>
        <v>-0.50650036829711187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7">
        <v>27.015000000000001</v>
      </c>
      <c r="C293" s="390"/>
      <c r="D293" s="393">
        <f t="shared" si="98"/>
        <v>27.522659649846396</v>
      </c>
      <c r="E293" s="385">
        <f t="shared" si="96"/>
        <v>28.868453711666216</v>
      </c>
      <c r="F293" s="385">
        <f t="shared" si="99"/>
        <v>28.869940592978708</v>
      </c>
      <c r="G293" s="110">
        <f t="shared" si="97"/>
        <v>0.6739606152962464</v>
      </c>
      <c r="H293" s="414" t="b">
        <f>Wh_hp&gt;='2019'!Maxi_hp</f>
        <v>0</v>
      </c>
      <c r="I293" s="380">
        <f>IF(H293,Wh_hp,'2019'!Maxi_hp)</f>
        <v>39.638043153684698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1.8445152332842607E-2</v>
      </c>
      <c r="M293" s="845"/>
      <c r="N293" s="845"/>
      <c r="O293" s="48">
        <f>IF(t&lt;Tnet,'2019'!Resal+('2019'!Salim-'2019'!Resal)*(1-EXP(('2019'!Tnet-t)/('2019'!Tau_j))),Resal+(Salim-Resal)*(1-EXP((Tnet-t)/(Tau_j))))*Salcycl</f>
        <v>4.661815541841656E-2</v>
      </c>
      <c r="P293" s="169">
        <f>(INDEX(Models!$BJ293:$BT293,,T293)*(1-R293)+INDEX(Models!$BJ293:$BT293,,T293+1)*R293-ERP_i)*Q293*Ramure*Pc/MaxiM</f>
        <v>9.6397871827142833E-5</v>
      </c>
      <c r="Q293" s="305">
        <f t="shared" si="101"/>
        <v>0.5</v>
      </c>
      <c r="R293" s="177">
        <f t="shared" si="102"/>
        <v>0.49366163377392724</v>
      </c>
      <c r="S293" s="811">
        <f t="shared" si="103"/>
        <v>-1</v>
      </c>
      <c r="T293" s="176">
        <f t="shared" si="104"/>
        <v>5</v>
      </c>
      <c r="U293" s="251">
        <f t="shared" si="105"/>
        <v>-0.50633836622607276</v>
      </c>
      <c r="V293" s="383">
        <f t="shared" si="106"/>
        <v>40.082144983980513</v>
      </c>
      <c r="W293" s="402"/>
      <c r="X293" s="157">
        <f t="shared" si="107"/>
        <v>44109</v>
      </c>
      <c r="Y293" s="385">
        <f t="shared" si="108"/>
        <v>27.015000000000001</v>
      </c>
      <c r="Z293" s="385">
        <f t="shared" si="109"/>
        <v>27.522659649846396</v>
      </c>
      <c r="AA293" s="386">
        <f t="shared" si="110"/>
        <v>28.868453711666216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4.661815541841656E-2</v>
      </c>
      <c r="AD293" s="231">
        <f>(INDEX(Models!$BJ293:$BT293,,AH293)*(1-AF293)+INDEX(Models!$BJ293:$BT293,,AH293+1)*AF293-ERP_i)*AE293*Ramure*Pc/MaxiM</f>
        <v>9.6397871827142833E-5</v>
      </c>
      <c r="AE293" s="305">
        <f t="shared" si="112"/>
        <v>0.5</v>
      </c>
      <c r="AF293" s="177">
        <f t="shared" si="113"/>
        <v>0.49366163377392724</v>
      </c>
      <c r="AG293" s="811">
        <f t="shared" si="119"/>
        <v>-1</v>
      </c>
      <c r="AH293" s="176">
        <f t="shared" si="114"/>
        <v>5</v>
      </c>
      <c r="AI293" s="225">
        <f t="shared" si="115"/>
        <v>-0.50633836622607276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7">
        <v>6.976</v>
      </c>
      <c r="C294" s="390"/>
      <c r="D294" s="393">
        <f t="shared" si="98"/>
        <v>7.1072470501573477</v>
      </c>
      <c r="E294" s="385">
        <f t="shared" si="96"/>
        <v>7.455131246166264</v>
      </c>
      <c r="F294" s="385">
        <f t="shared" si="99"/>
        <v>7.455131246166264</v>
      </c>
      <c r="G294" s="110">
        <f t="shared" si="97"/>
        <v>0.17538773407528419</v>
      </c>
      <c r="H294" s="414" t="b">
        <f>Wh_hp&gt;='2019'!Maxi_hp</f>
        <v>0</v>
      </c>
      <c r="I294" s="380">
        <f>IF(H294,Wh_hp,'2019'!Maxi_hp)</f>
        <v>32.487428789010735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1.8466650903100623E-2</v>
      </c>
      <c r="M294" s="845"/>
      <c r="N294" s="845"/>
      <c r="O294" s="48">
        <f>IF(t&lt;Tnet,'2019'!Resal+('2019'!Salim-'2019'!Resal)*(1-EXP(('2019'!Tnet-t)/('2019'!Tau_j))),Resal+(Salim-Resal)*(1-EXP((Tnet-t)/(Tau_j))))*Salcycl</f>
        <v>4.6663725227884222E-2</v>
      </c>
      <c r="P294" s="169">
        <f>(INDEX(Models!$BJ294:$BT294,,T294)*(1-R294)+INDEX(Models!$BJ294:$BT294,,T294+1)*R294-ERP_i)*Q294*Ramure*Pc/MaxiM</f>
        <v>1.055586294786202E-4</v>
      </c>
      <c r="Q294" s="305">
        <f t="shared" si="101"/>
        <v>0.5</v>
      </c>
      <c r="R294" s="177">
        <f t="shared" si="102"/>
        <v>0.49381721256045008</v>
      </c>
      <c r="S294" s="811">
        <f t="shared" si="103"/>
        <v>-1</v>
      </c>
      <c r="T294" s="176">
        <f t="shared" si="104"/>
        <v>5</v>
      </c>
      <c r="U294" s="251">
        <f t="shared" si="105"/>
        <v>-0.50618278743954992</v>
      </c>
      <c r="V294" s="383">
        <f t="shared" si="106"/>
        <v>39.770532755766517</v>
      </c>
      <c r="W294" s="402"/>
      <c r="X294" s="157">
        <f t="shared" si="107"/>
        <v>44110</v>
      </c>
      <c r="Y294" s="385">
        <f t="shared" si="108"/>
        <v>6.976</v>
      </c>
      <c r="Z294" s="385">
        <f t="shared" si="109"/>
        <v>7.1072470501573477</v>
      </c>
      <c r="AA294" s="386">
        <f t="shared" si="110"/>
        <v>7.455131246166264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4.6663725227884222E-2</v>
      </c>
      <c r="AD294" s="231">
        <f>(INDEX(Models!$BJ294:$BT294,,AH294)*(1-AF294)+INDEX(Models!$BJ294:$BT294,,AH294+1)*AF294-ERP_i)*AE294*Ramure*Pc/MaxiM</f>
        <v>1.055586294786202E-4</v>
      </c>
      <c r="AE294" s="305">
        <f t="shared" si="112"/>
        <v>0.5</v>
      </c>
      <c r="AF294" s="177">
        <f t="shared" si="113"/>
        <v>0.49381721256045008</v>
      </c>
      <c r="AG294" s="811">
        <f t="shared" si="119"/>
        <v>-1</v>
      </c>
      <c r="AH294" s="176">
        <f t="shared" si="114"/>
        <v>5</v>
      </c>
      <c r="AI294" s="225">
        <f t="shared" si="115"/>
        <v>-0.50618278743954992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7">
        <v>28.978999999999999</v>
      </c>
      <c r="C295" s="390"/>
      <c r="D295" s="393">
        <f t="shared" si="98"/>
        <v>29.524860011163902</v>
      </c>
      <c r="E295" s="385">
        <f t="shared" si="96"/>
        <v>30.971492407085471</v>
      </c>
      <c r="F295" s="385">
        <f t="shared" si="99"/>
        <v>30.973698260840962</v>
      </c>
      <c r="G295" s="110">
        <f t="shared" si="97"/>
        <v>0.73437588492376027</v>
      </c>
      <c r="H295" s="414" t="b">
        <f>Wh_hp&gt;='2019'!Maxi_hp</f>
        <v>0</v>
      </c>
      <c r="I295" s="380">
        <f>IF(H295,Wh_hp,'2019'!Maxi_hp)</f>
        <v>40.412475476580589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1.8488149002484744E-2</v>
      </c>
      <c r="M295" s="845"/>
      <c r="N295" s="845"/>
      <c r="O295" s="48">
        <f>IF(t&lt;Tnet,'2019'!Resal+('2019'!Salim-'2019'!Resal)*(1-EXP(('2019'!Tnet-t)/('2019'!Tau_j))),Resal+(Salim-Resal)*(1-EXP((Tnet-t)/(Tau_j))))*Salcycl</f>
        <v>4.6708514297832723E-2</v>
      </c>
      <c r="P295" s="169">
        <f>(INDEX(Models!$BJ295:$BT295,,T295)*(1-R295)+INDEX(Models!$BJ295:$BT295,,T295+1)*R295-ERP_i)*Q295*Ramure*Pc/MaxiM</f>
        <v>1.1475827565599746E-4</v>
      </c>
      <c r="Q295" s="305">
        <f t="shared" si="101"/>
        <v>0.5</v>
      </c>
      <c r="R295" s="177">
        <f t="shared" si="102"/>
        <v>0.49396661892631133</v>
      </c>
      <c r="S295" s="811">
        <f t="shared" si="103"/>
        <v>-1</v>
      </c>
      <c r="T295" s="176">
        <f t="shared" si="104"/>
        <v>5</v>
      </c>
      <c r="U295" s="251">
        <f t="shared" si="105"/>
        <v>-0.50603338107368867</v>
      </c>
      <c r="V295" s="383">
        <f t="shared" si="106"/>
        <v>39.459000114645775</v>
      </c>
      <c r="W295" s="402"/>
      <c r="X295" s="157">
        <f t="shared" si="107"/>
        <v>44111</v>
      </c>
      <c r="Y295" s="385">
        <f t="shared" si="108"/>
        <v>28.978999999999999</v>
      </c>
      <c r="Z295" s="385">
        <f t="shared" si="109"/>
        <v>29.524860011163902</v>
      </c>
      <c r="AA295" s="386">
        <f t="shared" si="110"/>
        <v>30.971492407085471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4.6708514297832723E-2</v>
      </c>
      <c r="AD295" s="231">
        <f>(INDEX(Models!$BJ295:$BT295,,AH295)*(1-AF295)+INDEX(Models!$BJ295:$BT295,,AH295+1)*AF295-ERP_i)*AE295*Ramure*Pc/MaxiM</f>
        <v>1.1475827565599746E-4</v>
      </c>
      <c r="AE295" s="305">
        <f t="shared" si="112"/>
        <v>0.5</v>
      </c>
      <c r="AF295" s="177">
        <f t="shared" si="113"/>
        <v>0.49396661892631133</v>
      </c>
      <c r="AG295" s="811">
        <f t="shared" si="119"/>
        <v>-1</v>
      </c>
      <c r="AH295" s="176">
        <f t="shared" si="114"/>
        <v>5</v>
      </c>
      <c r="AI295" s="225">
        <f t="shared" si="115"/>
        <v>-0.50603338107368867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7">
        <v>34.713999999999999</v>
      </c>
      <c r="C296" s="390"/>
      <c r="D296" s="393">
        <f t="shared" si="98"/>
        <v>35.368661424784428</v>
      </c>
      <c r="E296" s="385">
        <f t="shared" si="96"/>
        <v>37.103335863562961</v>
      </c>
      <c r="F296" s="385">
        <f t="shared" si="99"/>
        <v>37.107170971880073</v>
      </c>
      <c r="G296" s="110">
        <f t="shared" si="97"/>
        <v>0.88672947381791878</v>
      </c>
      <c r="H296" s="414" t="b">
        <f>Wh_hp&gt;='2019'!Maxi_hp</f>
        <v>1</v>
      </c>
      <c r="I296" s="380">
        <f>IF(H296,Wh_hp,'2019'!Maxi_hp)</f>
        <v>37.107170971880073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1.8509646631005405E-2</v>
      </c>
      <c r="M296" s="845"/>
      <c r="N296" s="845"/>
      <c r="O296" s="48">
        <f>IF(t&lt;Tnet,'2019'!Resal+('2019'!Salim-'2019'!Resal)*(1-EXP(('2019'!Tnet-t)/('2019'!Tau_j))),Resal+(Salim-Resal)*(1-EXP((Tnet-t)/(Tau_j))))*Salcycl</f>
        <v>4.6752519642905138E-2</v>
      </c>
      <c r="P296" s="169">
        <f>(INDEX(Models!$BJ296:$BT296,,T296)*(1-R296)+INDEX(Models!$BJ296:$BT296,,T296+1)*R296-ERP_i)*Q296*Ramure*Pc/MaxiM</f>
        <v>1.2330106539423558E-4</v>
      </c>
      <c r="Q296" s="305">
        <f t="shared" si="101"/>
        <v>0.5</v>
      </c>
      <c r="R296" s="177">
        <f t="shared" si="102"/>
        <v>0.49411009423697383</v>
      </c>
      <c r="S296" s="811">
        <f t="shared" si="103"/>
        <v>-1</v>
      </c>
      <c r="T296" s="176">
        <f t="shared" si="104"/>
        <v>5</v>
      </c>
      <c r="U296" s="251">
        <f t="shared" si="105"/>
        <v>-0.50588990576302617</v>
      </c>
      <c r="V296" s="383">
        <f t="shared" si="106"/>
        <v>39.147573695244809</v>
      </c>
      <c r="W296" s="402"/>
      <c r="X296" s="157">
        <f t="shared" si="107"/>
        <v>44112</v>
      </c>
      <c r="Y296" s="385">
        <f t="shared" si="108"/>
        <v>34.713999999999999</v>
      </c>
      <c r="Z296" s="385">
        <f t="shared" si="109"/>
        <v>35.368661424784428</v>
      </c>
      <c r="AA296" s="386">
        <f t="shared" si="110"/>
        <v>37.103335863562961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4.6752519642905138E-2</v>
      </c>
      <c r="AD296" s="231">
        <f>(INDEX(Models!$BJ296:$BT296,,AH296)*(1-AF296)+INDEX(Models!$BJ296:$BT296,,AH296+1)*AF296-ERP_i)*AE296*Ramure*Pc/MaxiM</f>
        <v>1.2330106539423558E-4</v>
      </c>
      <c r="AE296" s="305">
        <f t="shared" si="112"/>
        <v>0.5</v>
      </c>
      <c r="AF296" s="177">
        <f t="shared" si="113"/>
        <v>0.49411009423697383</v>
      </c>
      <c r="AG296" s="811">
        <f t="shared" si="119"/>
        <v>-1</v>
      </c>
      <c r="AH296" s="176">
        <f t="shared" si="114"/>
        <v>5</v>
      </c>
      <c r="AI296" s="225">
        <f t="shared" si="115"/>
        <v>-0.50588990576302617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7">
        <v>24.113</v>
      </c>
      <c r="C297" s="390"/>
      <c r="D297" s="393">
        <f t="shared" si="98"/>
        <v>24.568278297776217</v>
      </c>
      <c r="E297" s="385">
        <f t="shared" ref="E297:E360" si="120">Wh_pvt/(1-Psa)</f>
        <v>25.774410937329282</v>
      </c>
      <c r="F297" s="385">
        <f t="shared" si="99"/>
        <v>25.775956171525134</v>
      </c>
      <c r="G297" s="110">
        <f t="shared" ref="G297:G360" si="121">+Wh_hp/MaxiM</f>
        <v>0.62084472077280783</v>
      </c>
      <c r="H297" s="414" t="b">
        <f>Wh_hp&gt;='2019'!Maxi_hp</f>
        <v>0</v>
      </c>
      <c r="I297" s="380">
        <f>IF(H297,Wh_hp,'2019'!Maxi_hp)</f>
        <v>30.27474450167183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1.853114378867271E-2</v>
      </c>
      <c r="M297" s="845"/>
      <c r="N297" s="845"/>
      <c r="O297" s="48">
        <f>IF(t&lt;Tnet,'2019'!Resal+('2019'!Salim-'2019'!Resal)*(1-EXP(('2019'!Tnet-t)/('2019'!Tau_j))),Resal+(Salim-Resal)*(1-EXP((Tnet-t)/(Tau_j))))*Salcycl</f>
        <v>4.6795740259041631E-2</v>
      </c>
      <c r="P297" s="169">
        <f>(INDEX(Models!$BJ297:$BT297,,T297)*(1-R297)+INDEX(Models!$BJ297:$BT297,,T297+1)*R297-ERP_i)*Q297*Ramure*Pc/MaxiM</f>
        <v>1.3077452288630094E-4</v>
      </c>
      <c r="Q297" s="305">
        <f t="shared" si="101"/>
        <v>0.5</v>
      </c>
      <c r="R297" s="177">
        <f t="shared" si="102"/>
        <v>0.49424787069556497</v>
      </c>
      <c r="S297" s="811">
        <f t="shared" si="103"/>
        <v>-1</v>
      </c>
      <c r="T297" s="176">
        <f t="shared" si="104"/>
        <v>5</v>
      </c>
      <c r="U297" s="251">
        <f t="shared" si="105"/>
        <v>-0.50575212930443503</v>
      </c>
      <c r="V297" s="383">
        <f t="shared" si="106"/>
        <v>38.836268179457136</v>
      </c>
      <c r="W297" s="402"/>
      <c r="X297" s="157">
        <f t="shared" si="107"/>
        <v>44113</v>
      </c>
      <c r="Y297" s="385">
        <f t="shared" si="108"/>
        <v>24.113</v>
      </c>
      <c r="Z297" s="385">
        <f t="shared" si="109"/>
        <v>24.568278297776217</v>
      </c>
      <c r="AA297" s="386">
        <f t="shared" si="110"/>
        <v>25.774410937329282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4.6795740259041631E-2</v>
      </c>
      <c r="AD297" s="231">
        <f>(INDEX(Models!$BJ297:$BT297,,AH297)*(1-AF297)+INDEX(Models!$BJ297:$BT297,,AH297+1)*AF297-ERP_i)*AE297*Ramure*Pc/MaxiM</f>
        <v>1.3077452288630094E-4</v>
      </c>
      <c r="AE297" s="305">
        <f t="shared" si="112"/>
        <v>0.5</v>
      </c>
      <c r="AF297" s="177">
        <f t="shared" si="113"/>
        <v>0.49424787069556497</v>
      </c>
      <c r="AG297" s="811">
        <f t="shared" si="119"/>
        <v>-1</v>
      </c>
      <c r="AH297" s="176">
        <f t="shared" si="114"/>
        <v>5</v>
      </c>
      <c r="AI297" s="225">
        <f t="shared" si="115"/>
        <v>-0.50575212930443503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7">
        <v>21.661999999999999</v>
      </c>
      <c r="C298" s="390"/>
      <c r="D298" s="393">
        <f t="shared" si="98"/>
        <v>22.071484313223817</v>
      </c>
      <c r="E298" s="385">
        <f t="shared" si="120"/>
        <v>23.156072542967419</v>
      </c>
      <c r="F298" s="385">
        <f t="shared" si="99"/>
        <v>23.157262678539507</v>
      </c>
      <c r="G298" s="110">
        <f t="shared" si="121"/>
        <v>0.56223479979474322</v>
      </c>
      <c r="H298" s="414" t="b">
        <f>Wh_hp&gt;='2019'!Maxi_hp</f>
        <v>0</v>
      </c>
      <c r="I298" s="380">
        <f>IF(H298,Wh_hp,'2019'!Maxi_hp)</f>
        <v>42.375150802238252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1.8552640475497206E-2</v>
      </c>
      <c r="M298" s="845"/>
      <c r="N298" s="845"/>
      <c r="O298" s="48">
        <f>IF(t&lt;Tnet,'2019'!Resal+('2019'!Salim-'2019'!Resal)*(1-EXP(('2019'!Tnet-t)/('2019'!Tau_j))),Resal+(Salim-Resal)*(1-EXP((Tnet-t)/(Tau_j))))*Salcycl</f>
        <v>4.6838177231095027E-2</v>
      </c>
      <c r="P298" s="169">
        <f>(INDEX(Models!$BJ298:$BT298,,T298)*(1-R298)+INDEX(Models!$BJ298:$BT298,,T298+1)*R298-ERP_i)*Q298*Ramure*Pc/MaxiM</f>
        <v>1.3716302788941627E-4</v>
      </c>
      <c r="Q298" s="305">
        <f t="shared" si="101"/>
        <v>0.5</v>
      </c>
      <c r="R298" s="177">
        <f t="shared" si="102"/>
        <v>0.49438017166893133</v>
      </c>
      <c r="S298" s="811">
        <f t="shared" si="103"/>
        <v>-1</v>
      </c>
      <c r="T298" s="176">
        <f t="shared" si="104"/>
        <v>5</v>
      </c>
      <c r="U298" s="251">
        <f t="shared" si="105"/>
        <v>-0.50561982833106867</v>
      </c>
      <c r="V298" s="383">
        <f t="shared" si="106"/>
        <v>38.525082359746634</v>
      </c>
      <c r="W298" s="402"/>
      <c r="X298" s="157">
        <f t="shared" si="107"/>
        <v>44114</v>
      </c>
      <c r="Y298" s="385">
        <f t="shared" si="108"/>
        <v>21.661999999999999</v>
      </c>
      <c r="Z298" s="385">
        <f t="shared" si="109"/>
        <v>22.071484313223817</v>
      </c>
      <c r="AA298" s="386">
        <f t="shared" si="110"/>
        <v>23.156072542967419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4.6838177231095027E-2</v>
      </c>
      <c r="AD298" s="231">
        <f>(INDEX(Models!$BJ298:$BT298,,AH298)*(1-AF298)+INDEX(Models!$BJ298:$BT298,,AH298+1)*AF298-ERP_i)*AE298*Ramure*Pc/MaxiM</f>
        <v>1.3716302788941627E-4</v>
      </c>
      <c r="AE298" s="305">
        <f t="shared" si="112"/>
        <v>0.5</v>
      </c>
      <c r="AF298" s="177">
        <f t="shared" si="113"/>
        <v>0.49438017166893133</v>
      </c>
      <c r="AG298" s="811">
        <f t="shared" si="119"/>
        <v>-1</v>
      </c>
      <c r="AH298" s="176">
        <f t="shared" si="114"/>
        <v>5</v>
      </c>
      <c r="AI298" s="225">
        <f t="shared" si="115"/>
        <v>-0.50561982833106867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7">
        <v>15.513999999999999</v>
      </c>
      <c r="C299" s="390"/>
      <c r="D299" s="393">
        <f t="shared" si="98"/>
        <v>15.807612760173589</v>
      </c>
      <c r="E299" s="385">
        <f t="shared" si="120"/>
        <v>16.585120450994548</v>
      </c>
      <c r="F299" s="385">
        <f t="shared" si="99"/>
        <v>16.58547814146997</v>
      </c>
      <c r="G299" s="110">
        <f t="shared" si="121"/>
        <v>0.40592763123446651</v>
      </c>
      <c r="H299" s="414" t="b">
        <f>Wh_hp&gt;='2019'!Maxi_hp</f>
        <v>0</v>
      </c>
      <c r="I299" s="380">
        <f>IF(H299,Wh_hp,'2019'!Maxi_hp)</f>
        <v>35.169239917574913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1.8574136691488996E-2</v>
      </c>
      <c r="M299" s="845"/>
      <c r="N299" s="845"/>
      <c r="O299" s="48">
        <f>IF(t&lt;Tnet,'2019'!Resal+('2019'!Salim-'2019'!Resal)*(1-EXP(('2019'!Tnet-t)/('2019'!Tau_j))),Resal+(Salim-Resal)*(1-EXP((Tnet-t)/(Tau_j))))*Salcycl</f>
        <v>4.6879833831676161E-2</v>
      </c>
      <c r="P299" s="169">
        <f>(INDEX(Models!$BJ299:$BT299,,T299)*(1-R299)+INDEX(Models!$BJ299:$BT299,,T299+1)*R299-ERP_i)*Q299*Ramure*Pc/MaxiM</f>
        <v>1.4245148852976813E-4</v>
      </c>
      <c r="Q299" s="305">
        <f t="shared" si="101"/>
        <v>0.5</v>
      </c>
      <c r="R299" s="177">
        <f t="shared" si="102"/>
        <v>0.49450721200383274</v>
      </c>
      <c r="S299" s="811">
        <f t="shared" si="103"/>
        <v>-1</v>
      </c>
      <c r="T299" s="176">
        <f t="shared" si="104"/>
        <v>5</v>
      </c>
      <c r="U299" s="251">
        <f t="shared" si="105"/>
        <v>-0.50549278799616726</v>
      </c>
      <c r="V299" s="383">
        <f t="shared" si="106"/>
        <v>38.214014903207435</v>
      </c>
      <c r="W299" s="402"/>
      <c r="X299" s="157">
        <f t="shared" si="107"/>
        <v>44115</v>
      </c>
      <c r="Y299" s="385">
        <f t="shared" si="108"/>
        <v>15.514000000000001</v>
      </c>
      <c r="Z299" s="385">
        <f t="shared" si="109"/>
        <v>15.807612760173591</v>
      </c>
      <c r="AA299" s="386">
        <f t="shared" si="110"/>
        <v>16.585120450994548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4.6879833831676161E-2</v>
      </c>
      <c r="AD299" s="231">
        <f>(INDEX(Models!$BJ299:$BT299,,AH299)*(1-AF299)+INDEX(Models!$BJ299:$BT299,,AH299+1)*AF299-ERP_i)*AE299*Ramure*Pc/MaxiM</f>
        <v>1.4245148852976813E-4</v>
      </c>
      <c r="AE299" s="305">
        <f t="shared" si="112"/>
        <v>0.5</v>
      </c>
      <c r="AF299" s="177">
        <f t="shared" si="113"/>
        <v>0.49450721200383274</v>
      </c>
      <c r="AG299" s="811">
        <f t="shared" si="119"/>
        <v>-1</v>
      </c>
      <c r="AH299" s="176">
        <f t="shared" si="114"/>
        <v>5</v>
      </c>
      <c r="AI299" s="225">
        <f t="shared" si="115"/>
        <v>-0.50549278799616726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7">
        <v>22.751999999999999</v>
      </c>
      <c r="C300" s="390"/>
      <c r="D300" s="393">
        <f t="shared" si="98"/>
        <v>23.183104489833596</v>
      </c>
      <c r="E300" s="385">
        <f t="shared" si="120"/>
        <v>24.324423864352809</v>
      </c>
      <c r="F300" s="385">
        <f t="shared" si="99"/>
        <v>24.325953859869148</v>
      </c>
      <c r="G300" s="110">
        <f t="shared" si="121"/>
        <v>0.60021782538826074</v>
      </c>
      <c r="H300" s="414" t="b">
        <f>Wh_hp&gt;='2019'!Maxi_hp</f>
        <v>0</v>
      </c>
      <c r="I300" s="380">
        <f>IF(H300,Wh_hp,'2019'!Maxi_hp)</f>
        <v>39.855056795061437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1.8595632436658627E-2</v>
      </c>
      <c r="M300" s="845"/>
      <c r="N300" s="845"/>
      <c r="O300" s="48">
        <f>IF(t&lt;Tnet,'2019'!Resal+('2019'!Salim-'2019'!Resal)*(1-EXP(('2019'!Tnet-t)/('2019'!Tau_j))),Resal+(Salim-Resal)*(1-EXP((Tnet-t)/(Tau_j))))*Salcycl</f>
        <v>4.6920715610115772E-2</v>
      </c>
      <c r="P300" s="169">
        <f>(INDEX(Models!$BJ300:$BT300,,T300)*(1-R300)+INDEX(Models!$BJ300:$BT300,,T300+1)*R300-ERP_i)*Q300*Ramure*Pc/MaxiM</f>
        <v>1.4662537629255861E-4</v>
      </c>
      <c r="Q300" s="305">
        <f t="shared" si="101"/>
        <v>0.5</v>
      </c>
      <c r="R300" s="177">
        <f t="shared" si="102"/>
        <v>0.49462919833342689</v>
      </c>
      <c r="S300" s="811">
        <f t="shared" si="103"/>
        <v>-1</v>
      </c>
      <c r="T300" s="176">
        <f t="shared" si="104"/>
        <v>5</v>
      </c>
      <c r="U300" s="251">
        <f t="shared" si="105"/>
        <v>-0.50537080166657311</v>
      </c>
      <c r="V300" s="383">
        <f t="shared" si="106"/>
        <v>37.903064351076132</v>
      </c>
      <c r="W300" s="402"/>
      <c r="X300" s="157">
        <f t="shared" si="107"/>
        <v>44116</v>
      </c>
      <c r="Y300" s="385">
        <f t="shared" si="108"/>
        <v>22.751999999999999</v>
      </c>
      <c r="Z300" s="385">
        <f t="shared" si="109"/>
        <v>23.183104489833596</v>
      </c>
      <c r="AA300" s="386">
        <f t="shared" si="110"/>
        <v>24.324423864352809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4.6920715610115772E-2</v>
      </c>
      <c r="AD300" s="231">
        <f>(INDEX(Models!$BJ300:$BT300,,AH300)*(1-AF300)+INDEX(Models!$BJ300:$BT300,,AH300+1)*AF300-ERP_i)*AE300*Ramure*Pc/MaxiM</f>
        <v>1.4662537629255861E-4</v>
      </c>
      <c r="AE300" s="305">
        <f t="shared" si="112"/>
        <v>0.5</v>
      </c>
      <c r="AF300" s="177">
        <f t="shared" si="113"/>
        <v>0.49462919833342689</v>
      </c>
      <c r="AG300" s="811">
        <f t="shared" si="119"/>
        <v>-1</v>
      </c>
      <c r="AH300" s="176">
        <f t="shared" si="114"/>
        <v>5</v>
      </c>
      <c r="AI300" s="225">
        <f t="shared" si="115"/>
        <v>-0.50537080166657311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7">
        <v>21.024000000000001</v>
      </c>
      <c r="C301" s="390"/>
      <c r="D301" s="393">
        <f t="shared" si="98"/>
        <v>21.422831591673781</v>
      </c>
      <c r="E301" s="385">
        <f t="shared" si="120"/>
        <v>22.478437693436614</v>
      </c>
      <c r="F301" s="385">
        <f t="shared" si="99"/>
        <v>22.479683848820279</v>
      </c>
      <c r="G301" s="110">
        <f t="shared" si="121"/>
        <v>0.5592118149079196</v>
      </c>
      <c r="H301" s="414" t="b">
        <f>Wh_hp&gt;='2019'!Maxi_hp</f>
        <v>0</v>
      </c>
      <c r="I301" s="380">
        <f>IF(H301,Wh_hp,'2019'!Maxi_hp)</f>
        <v>35.714648786243551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1.861712771101609E-2</v>
      </c>
      <c r="M301" s="845"/>
      <c r="N301" s="845"/>
      <c r="O301" s="48">
        <f>IF(t&lt;Tnet,'2019'!Resal+('2019'!Salim-'2019'!Resal)*(1-EXP(('2019'!Tnet-t)/('2019'!Tau_j))),Resal+(Salim-Resal)*(1-EXP((Tnet-t)/(Tau_j))))*Salcycl</f>
        <v>4.6960830470484834E-2</v>
      </c>
      <c r="P301" s="169">
        <f>(INDEX(Models!$BJ301:$BT301,,T301)*(1-R301)+INDEX(Models!$BJ301:$BT301,,T301+1)*R301-ERP_i)*Q301*Ramure*Pc/MaxiM</f>
        <v>1.4967075506982003E-4</v>
      </c>
      <c r="Q301" s="305">
        <f t="shared" si="101"/>
        <v>0.5</v>
      </c>
      <c r="R301" s="177">
        <f t="shared" si="102"/>
        <v>0.49474632937420771</v>
      </c>
      <c r="S301" s="811">
        <f t="shared" si="103"/>
        <v>-1</v>
      </c>
      <c r="T301" s="176">
        <f t="shared" si="104"/>
        <v>5</v>
      </c>
      <c r="U301" s="251">
        <f t="shared" si="105"/>
        <v>-0.50525367062579229</v>
      </c>
      <c r="V301" s="383">
        <f t="shared" si="106"/>
        <v>37.592229119128106</v>
      </c>
      <c r="W301" s="402"/>
      <c r="X301" s="157">
        <f t="shared" si="107"/>
        <v>44117</v>
      </c>
      <c r="Y301" s="385">
        <f t="shared" si="108"/>
        <v>21.024000000000001</v>
      </c>
      <c r="Z301" s="385">
        <f t="shared" si="109"/>
        <v>21.422831591673781</v>
      </c>
      <c r="AA301" s="386">
        <f t="shared" si="110"/>
        <v>22.478437693436614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4.6960830470484834E-2</v>
      </c>
      <c r="AD301" s="231">
        <f>(INDEX(Models!$BJ301:$BT301,,AH301)*(1-AF301)+INDEX(Models!$BJ301:$BT301,,AH301+1)*AF301-ERP_i)*AE301*Ramure*Pc/MaxiM</f>
        <v>1.4967075506982003E-4</v>
      </c>
      <c r="AE301" s="305">
        <f t="shared" si="112"/>
        <v>0.5</v>
      </c>
      <c r="AF301" s="177">
        <f t="shared" si="113"/>
        <v>0.49474632937420771</v>
      </c>
      <c r="AG301" s="811">
        <f t="shared" si="119"/>
        <v>-1</v>
      </c>
      <c r="AH301" s="176">
        <f t="shared" si="114"/>
        <v>5</v>
      </c>
      <c r="AI301" s="225">
        <f t="shared" si="115"/>
        <v>-0.50525367062579229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7">
        <v>14.555</v>
      </c>
      <c r="C302" s="390"/>
      <c r="D302" s="393">
        <f t="shared" si="98"/>
        <v>14.831437566143798</v>
      </c>
      <c r="E302" s="385">
        <f t="shared" si="120"/>
        <v>15.562896645801484</v>
      </c>
      <c r="F302" s="385">
        <f t="shared" si="99"/>
        <v>15.563201318469389</v>
      </c>
      <c r="G302" s="110">
        <f t="shared" si="121"/>
        <v>0.39035649871254341</v>
      </c>
      <c r="H302" s="414" t="b">
        <f>Wh_hp&gt;='2019'!Maxi_hp</f>
        <v>0</v>
      </c>
      <c r="I302" s="380">
        <f>IF(H302,Wh_hp,'2019'!Maxi_hp)</f>
        <v>32.225618138846443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1.8638622514572045E-2</v>
      </c>
      <c r="M302" s="845"/>
      <c r="N302" s="845"/>
      <c r="O302" s="48">
        <f>IF(t&lt;Tnet,'2019'!Resal+('2019'!Salim-'2019'!Resal)*(1-EXP(('2019'!Tnet-t)/('2019'!Tau_j))),Resal+(Salim-Resal)*(1-EXP((Tnet-t)/(Tau_j))))*Salcycl</f>
        <v>4.7000188737680658E-2</v>
      </c>
      <c r="P302" s="169">
        <f>(INDEX(Models!$BJ302:$BT302,,T302)*(1-R302)+INDEX(Models!$BJ302:$BT302,,T302+1)*R302-ERP_i)*Q302*Ramure*Pc/MaxiM</f>
        <v>1.5157430342863253E-4</v>
      </c>
      <c r="Q302" s="305">
        <f t="shared" si="101"/>
        <v>0.5</v>
      </c>
      <c r="R302" s="177">
        <f t="shared" si="102"/>
        <v>0.49485879621357376</v>
      </c>
      <c r="S302" s="811">
        <f t="shared" si="103"/>
        <v>-1</v>
      </c>
      <c r="T302" s="176">
        <f t="shared" si="104"/>
        <v>5</v>
      </c>
      <c r="U302" s="251">
        <f t="shared" si="105"/>
        <v>-0.50514120378642624</v>
      </c>
      <c r="V302" s="383">
        <f t="shared" si="106"/>
        <v>37.28150749900999</v>
      </c>
      <c r="W302" s="402"/>
      <c r="X302" s="157">
        <f t="shared" si="107"/>
        <v>44118</v>
      </c>
      <c r="Y302" s="385">
        <f t="shared" si="108"/>
        <v>14.555</v>
      </c>
      <c r="Z302" s="385">
        <f t="shared" si="109"/>
        <v>14.831437566143798</v>
      </c>
      <c r="AA302" s="386">
        <f t="shared" si="110"/>
        <v>15.562896645801484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4.7000188737680658E-2</v>
      </c>
      <c r="AD302" s="231">
        <f>(INDEX(Models!$BJ302:$BT302,,AH302)*(1-AF302)+INDEX(Models!$BJ302:$BT302,,AH302+1)*AF302-ERP_i)*AE302*Ramure*Pc/MaxiM</f>
        <v>1.5157430342863253E-4</v>
      </c>
      <c r="AE302" s="305">
        <f t="shared" si="112"/>
        <v>0.5</v>
      </c>
      <c r="AF302" s="177">
        <f t="shared" si="113"/>
        <v>0.49485879621357376</v>
      </c>
      <c r="AG302" s="811">
        <f t="shared" si="119"/>
        <v>-1</v>
      </c>
      <c r="AH302" s="176">
        <f t="shared" si="114"/>
        <v>5</v>
      </c>
      <c r="AI302" s="225">
        <f t="shared" si="115"/>
        <v>-0.50514120378642624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7">
        <v>17.945</v>
      </c>
      <c r="C303" s="390"/>
      <c r="D303" s="393">
        <f t="shared" si="98"/>
        <v>18.286223058976969</v>
      </c>
      <c r="E303" s="385">
        <f t="shared" si="120"/>
        <v>19.188843281957194</v>
      </c>
      <c r="F303" s="385">
        <f t="shared" si="99"/>
        <v>19.189617456211096</v>
      </c>
      <c r="G303" s="110">
        <f t="shared" si="121"/>
        <v>0.48533884295256874</v>
      </c>
      <c r="H303" s="414" t="b">
        <f>Wh_hp&gt;='2019'!Maxi_hp</f>
        <v>0</v>
      </c>
      <c r="I303" s="380">
        <f>IF(H303,Wh_hp,'2019'!Maxi_hp)</f>
        <v>35.127517240266528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1.8660116847336483E-2</v>
      </c>
      <c r="M303" s="845"/>
      <c r="N303" s="845"/>
      <c r="O303" s="48">
        <f>IF(t&lt;Tnet,'2019'!Resal+('2019'!Salim-'2019'!Resal)*(1-EXP(('2019'!Tnet-t)/('2019'!Tau_j))),Resal+(Salim-Resal)*(1-EXP((Tnet-t)/(Tau_j))))*Salcycl</f>
        <v>4.7038803210662457E-2</v>
      </c>
      <c r="P303" s="169">
        <f>(INDEX(Models!$BJ303:$BT303,,T303)*(1-R303)+INDEX(Models!$BJ303:$BT303,,T303+1)*R303-ERP_i)*Q303*Ramure*Pc/MaxiM</f>
        <v>1.5232691393223256E-4</v>
      </c>
      <c r="Q303" s="305">
        <f t="shared" si="101"/>
        <v>0.5</v>
      </c>
      <c r="R303" s="177">
        <f t="shared" si="102"/>
        <v>0.4949667825882067</v>
      </c>
      <c r="S303" s="811">
        <f t="shared" si="103"/>
        <v>-1</v>
      </c>
      <c r="T303" s="176">
        <f t="shared" si="104"/>
        <v>5</v>
      </c>
      <c r="U303" s="251">
        <f t="shared" si="105"/>
        <v>-0.5050332174117933</v>
      </c>
      <c r="V303" s="383">
        <f t="shared" si="106"/>
        <v>36.970027507920371</v>
      </c>
      <c r="W303" s="402"/>
      <c r="X303" s="157">
        <f t="shared" si="107"/>
        <v>44119</v>
      </c>
      <c r="Y303" s="385">
        <f t="shared" si="108"/>
        <v>17.945</v>
      </c>
      <c r="Z303" s="385">
        <f t="shared" si="109"/>
        <v>18.286223058976969</v>
      </c>
      <c r="AA303" s="386">
        <f t="shared" si="110"/>
        <v>19.188843281957194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4.7038803210662457E-2</v>
      </c>
      <c r="AD303" s="231">
        <f>(INDEX(Models!$BJ303:$BT303,,AH303)*(1-AF303)+INDEX(Models!$BJ303:$BT303,,AH303+1)*AF303-ERP_i)*AE303*Ramure*Pc/MaxiM</f>
        <v>1.5232691393223256E-4</v>
      </c>
      <c r="AE303" s="305">
        <f t="shared" si="112"/>
        <v>0.5</v>
      </c>
      <c r="AF303" s="177">
        <f t="shared" si="113"/>
        <v>0.4949667825882067</v>
      </c>
      <c r="AG303" s="811">
        <f t="shared" si="119"/>
        <v>-1</v>
      </c>
      <c r="AH303" s="176">
        <f t="shared" si="114"/>
        <v>5</v>
      </c>
      <c r="AI303" s="225">
        <f t="shared" si="115"/>
        <v>-0.5050332174117933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7">
        <v>9.5489999999999995</v>
      </c>
      <c r="C304" s="390"/>
      <c r="D304" s="393">
        <f t="shared" si="98"/>
        <v>9.7307867703388702</v>
      </c>
      <c r="E304" s="385">
        <f t="shared" si="120"/>
        <v>10.211510895026963</v>
      </c>
      <c r="F304" s="385">
        <f t="shared" si="99"/>
        <v>10.211510895026963</v>
      </c>
      <c r="G304" s="110">
        <f t="shared" si="121"/>
        <v>0.26045506029334164</v>
      </c>
      <c r="H304" s="414" t="b">
        <f>Wh_hp&gt;='2019'!Maxi_hp</f>
        <v>0</v>
      </c>
      <c r="I304" s="380">
        <f>IF(H304,Wh_hp,'2019'!Maxi_hp)</f>
        <v>21.822298308807774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1.8681610709319951E-2</v>
      </c>
      <c r="M304" s="845"/>
      <c r="N304" s="845"/>
      <c r="O304" s="48">
        <f>IF(t&lt;Tnet,'2019'!Resal+('2019'!Salim-'2019'!Resal)*(1-EXP(('2019'!Tnet-t)/('2019'!Tau_j))),Resal+(Salim-Resal)*(1-EXP((Tnet-t)/(Tau_j))))*Salcycl</f>
        <v>4.7076689202007048E-2</v>
      </c>
      <c r="P304" s="169">
        <f>(INDEX(Models!$BJ304:$BT304,,T304)*(1-R304)+INDEX(Models!$BJ304:$BT304,,T304+1)*R304-ERP_i)*Q304*Ramure*Pc/MaxiM</f>
        <v>1.5192806785782235E-4</v>
      </c>
      <c r="Q304" s="305">
        <f t="shared" si="101"/>
        <v>0.5</v>
      </c>
      <c r="R304" s="177">
        <f t="shared" si="102"/>
        <v>0.49507046515345154</v>
      </c>
      <c r="S304" s="811">
        <f t="shared" si="103"/>
        <v>-1</v>
      </c>
      <c r="T304" s="176">
        <f t="shared" si="104"/>
        <v>5</v>
      </c>
      <c r="U304" s="251">
        <f t="shared" si="105"/>
        <v>-0.50492953484654846</v>
      </c>
      <c r="V304" s="383">
        <f t="shared" si="106"/>
        <v>36.657184652611264</v>
      </c>
      <c r="W304" s="402"/>
      <c r="X304" s="157">
        <f t="shared" si="107"/>
        <v>44120</v>
      </c>
      <c r="Y304" s="385">
        <f t="shared" si="108"/>
        <v>9.5489999999999995</v>
      </c>
      <c r="Z304" s="385">
        <f t="shared" si="109"/>
        <v>9.7307867703388702</v>
      </c>
      <c r="AA304" s="386">
        <f t="shared" si="110"/>
        <v>10.211510895026963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4.7076689202007048E-2</v>
      </c>
      <c r="AD304" s="231">
        <f>(INDEX(Models!$BJ304:$BT304,,AH304)*(1-AF304)+INDEX(Models!$BJ304:$BT304,,AH304+1)*AF304-ERP_i)*AE304*Ramure*Pc/MaxiM</f>
        <v>1.5192806785782235E-4</v>
      </c>
      <c r="AE304" s="305">
        <f t="shared" si="112"/>
        <v>0.5</v>
      </c>
      <c r="AF304" s="177">
        <f t="shared" si="113"/>
        <v>0.49507046515345154</v>
      </c>
      <c r="AG304" s="811">
        <f t="shared" si="119"/>
        <v>-1</v>
      </c>
      <c r="AH304" s="176">
        <f t="shared" si="114"/>
        <v>5</v>
      </c>
      <c r="AI304" s="225">
        <f t="shared" si="115"/>
        <v>-0.50492953484654846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7">
        <v>35.335000000000001</v>
      </c>
      <c r="C305" s="390"/>
      <c r="D305" s="393">
        <f t="shared" si="98"/>
        <v>36.008470166015918</v>
      </c>
      <c r="E305" s="385">
        <f t="shared" si="120"/>
        <v>37.788848873852181</v>
      </c>
      <c r="F305" s="385">
        <f t="shared" si="99"/>
        <v>37.794322636082605</v>
      </c>
      <c r="G305" s="110">
        <f t="shared" si="121"/>
        <v>0.97224874727643562</v>
      </c>
      <c r="H305" s="414" t="b">
        <f>Wh_hp&gt;='2019'!Maxi_hp</f>
        <v>1</v>
      </c>
      <c r="I305" s="380">
        <f>IF(H305,Wh_hp,'2019'!Maxi_hp)</f>
        <v>37.794322636082605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1.8703104100532664E-2</v>
      </c>
      <c r="M305" s="845"/>
      <c r="N305" s="845"/>
      <c r="O305" s="48">
        <f>IF(t&lt;Tnet,'2019'!Resal+('2019'!Salim-'2019'!Resal)*(1-EXP(('2019'!Tnet-t)/('2019'!Tau_j))),Resal+(Salim-Resal)*(1-EXP((Tnet-t)/(Tau_j))))*Salcycl</f>
        <v>4.7113864563050716E-2</v>
      </c>
      <c r="P305" s="169">
        <f>(INDEX(Models!$BJ305:$BT305,,T305)*(1-R305)+INDEX(Models!$BJ305:$BT305,,T305+1)*R305-ERP_i)*Q305*Ramure*Pc/MaxiM</f>
        <v>1.5080774490983039E-4</v>
      </c>
      <c r="Q305" s="305">
        <f t="shared" si="101"/>
        <v>0.5</v>
      </c>
      <c r="R305" s="177">
        <f t="shared" si="102"/>
        <v>0.49517001374389202</v>
      </c>
      <c r="S305" s="811">
        <f t="shared" si="103"/>
        <v>-1</v>
      </c>
      <c r="T305" s="176">
        <f t="shared" si="104"/>
        <v>5</v>
      </c>
      <c r="U305" s="251">
        <f t="shared" si="105"/>
        <v>-0.50482998625610798</v>
      </c>
      <c r="V305" s="383">
        <f t="shared" si="106"/>
        <v>36.34336259581039</v>
      </c>
      <c r="W305" s="402"/>
      <c r="X305" s="157">
        <f t="shared" si="107"/>
        <v>44121</v>
      </c>
      <c r="Y305" s="385">
        <f t="shared" si="108"/>
        <v>35.335000000000001</v>
      </c>
      <c r="Z305" s="385">
        <f t="shared" si="109"/>
        <v>36.008470166015918</v>
      </c>
      <c r="AA305" s="386">
        <f t="shared" si="110"/>
        <v>37.788848873852181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4.7113864563050716E-2</v>
      </c>
      <c r="AD305" s="231">
        <f>(INDEX(Models!$BJ305:$BT305,,AH305)*(1-AF305)+INDEX(Models!$BJ305:$BT305,,AH305+1)*AF305-ERP_i)*AE305*Ramure*Pc/MaxiM</f>
        <v>1.5080774490983039E-4</v>
      </c>
      <c r="AE305" s="305">
        <f t="shared" si="112"/>
        <v>0.5</v>
      </c>
      <c r="AF305" s="177">
        <f t="shared" si="113"/>
        <v>0.49517001374389202</v>
      </c>
      <c r="AG305" s="811">
        <f t="shared" si="119"/>
        <v>-1</v>
      </c>
      <c r="AH305" s="176">
        <f t="shared" si="114"/>
        <v>5</v>
      </c>
      <c r="AI305" s="225">
        <f t="shared" si="115"/>
        <v>-0.50482998625610798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7">
        <v>35.259</v>
      </c>
      <c r="C306" s="390"/>
      <c r="D306" s="393">
        <f t="shared" si="98"/>
        <v>35.931808636962266</v>
      </c>
      <c r="E306" s="385">
        <f t="shared" si="120"/>
        <v>37.709840818457167</v>
      </c>
      <c r="F306" s="385">
        <f t="shared" si="99"/>
        <v>37.715287299843339</v>
      </c>
      <c r="G306" s="110">
        <f t="shared" si="121"/>
        <v>0.97862493169662701</v>
      </c>
      <c r="H306" s="414" t="b">
        <f>Wh_hp&gt;='2019'!Maxi_hp</f>
        <v>1</v>
      </c>
      <c r="I306" s="380">
        <f>IF(H306,Wh_hp,'2019'!Maxi_hp)</f>
        <v>37.715287299843339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1.8724597020985057E-2</v>
      </c>
      <c r="M306" s="845"/>
      <c r="N306" s="845"/>
      <c r="O306" s="48">
        <f>IF(t&lt;Tnet,'2019'!Resal+('2019'!Salim-'2019'!Resal)*(1-EXP(('2019'!Tnet-t)/('2019'!Tau_j))),Resal+(Salim-Resal)*(1-EXP((Tnet-t)/(Tau_j))))*Salcycl</f>
        <v>4.7150349693988639E-2</v>
      </c>
      <c r="P306" s="169">
        <f>(INDEX(Models!$BJ306:$BT306,,T306)*(1-R306)+INDEX(Models!$BJ306:$BT306,,T306+1)*R306-ERP_i)*Q306*Ramure*Pc/MaxiM</f>
        <v>1.4895805191726379E-4</v>
      </c>
      <c r="Q306" s="305">
        <f t="shared" si="101"/>
        <v>0.5</v>
      </c>
      <c r="R306" s="177">
        <f t="shared" si="102"/>
        <v>0.49526559162532213</v>
      </c>
      <c r="S306" s="811">
        <f t="shared" si="103"/>
        <v>-1</v>
      </c>
      <c r="T306" s="176">
        <f t="shared" si="104"/>
        <v>5</v>
      </c>
      <c r="U306" s="251">
        <f t="shared" si="105"/>
        <v>-0.50473440837467787</v>
      </c>
      <c r="V306" s="383">
        <f t="shared" si="106"/>
        <v>36.028961137958682</v>
      </c>
      <c r="W306" s="402"/>
      <c r="X306" s="157">
        <f t="shared" si="107"/>
        <v>44122</v>
      </c>
      <c r="Y306" s="385">
        <f t="shared" si="108"/>
        <v>35.259</v>
      </c>
      <c r="Z306" s="385">
        <f t="shared" si="109"/>
        <v>35.931808636962266</v>
      </c>
      <c r="AA306" s="386">
        <f t="shared" si="110"/>
        <v>37.709840818457167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4.7150349693988639E-2</v>
      </c>
      <c r="AD306" s="231">
        <f>(INDEX(Models!$BJ306:$BT306,,AH306)*(1-AF306)+INDEX(Models!$BJ306:$BT306,,AH306+1)*AF306-ERP_i)*AE306*Ramure*Pc/MaxiM</f>
        <v>1.4895805191726379E-4</v>
      </c>
      <c r="AE306" s="305">
        <f t="shared" si="112"/>
        <v>0.5</v>
      </c>
      <c r="AF306" s="177">
        <f t="shared" si="113"/>
        <v>0.49526559162532213</v>
      </c>
      <c r="AG306" s="811">
        <f t="shared" si="119"/>
        <v>-1</v>
      </c>
      <c r="AH306" s="176">
        <f t="shared" si="114"/>
        <v>5</v>
      </c>
      <c r="AI306" s="225">
        <f t="shared" si="115"/>
        <v>-0.50473440837467787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7">
        <v>29.83</v>
      </c>
      <c r="C307" s="390"/>
      <c r="D307" s="393">
        <f t="shared" si="98"/>
        <v>30.399878848797609</v>
      </c>
      <c r="E307" s="385">
        <f t="shared" si="120"/>
        <v>31.905371031673443</v>
      </c>
      <c r="F307" s="385">
        <f t="shared" si="99"/>
        <v>31.908942257613869</v>
      </c>
      <c r="G307" s="110">
        <f t="shared" si="121"/>
        <v>0.83520901862407548</v>
      </c>
      <c r="H307" s="414" t="b">
        <f>Wh_hp&gt;='2019'!Maxi_hp</f>
        <v>1</v>
      </c>
      <c r="I307" s="380">
        <f>IF(H307,Wh_hp,'2019'!Maxi_hp)</f>
        <v>31.908942257613869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1.8746089470687233E-2</v>
      </c>
      <c r="M307" s="845"/>
      <c r="N307" s="845"/>
      <c r="O307" s="48">
        <f>IF(t&lt;Tnet,'2019'!Resal+('2019'!Salim-'2019'!Resal)*(1-EXP(('2019'!Tnet-t)/('2019'!Tau_j))),Resal+(Salim-Resal)*(1-EXP((Tnet-t)/(Tau_j))))*Salcycl</f>
        <v>4.718616753841498E-2</v>
      </c>
      <c r="P307" s="169">
        <f>(INDEX(Models!$BJ307:$BT307,,T307)*(1-R307)+INDEX(Models!$BJ307:$BT307,,T307+1)*R307-ERP_i)*Q307*Ramure*Pc/MaxiM</f>
        <v>1.4637138575814164E-4</v>
      </c>
      <c r="Q307" s="305">
        <f t="shared" si="101"/>
        <v>0.5</v>
      </c>
      <c r="R307" s="177">
        <f t="shared" si="102"/>
        <v>0.49535735573831552</v>
      </c>
      <c r="S307" s="811">
        <f t="shared" si="103"/>
        <v>-1</v>
      </c>
      <c r="T307" s="176">
        <f t="shared" si="104"/>
        <v>5</v>
      </c>
      <c r="U307" s="251">
        <f t="shared" si="105"/>
        <v>-0.50464264426168448</v>
      </c>
      <c r="V307" s="383">
        <f t="shared" si="106"/>
        <v>35.714379890058595</v>
      </c>
      <c r="W307" s="402"/>
      <c r="X307" s="157">
        <f t="shared" si="107"/>
        <v>44123</v>
      </c>
      <c r="Y307" s="385">
        <f t="shared" si="108"/>
        <v>29.83</v>
      </c>
      <c r="Z307" s="385">
        <f t="shared" si="109"/>
        <v>30.399878848797609</v>
      </c>
      <c r="AA307" s="386">
        <f t="shared" si="110"/>
        <v>31.905371031673443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4.718616753841498E-2</v>
      </c>
      <c r="AD307" s="231">
        <f>(INDEX(Models!$BJ307:$BT307,,AH307)*(1-AF307)+INDEX(Models!$BJ307:$BT307,,AH307+1)*AF307-ERP_i)*AE307*Ramure*Pc/MaxiM</f>
        <v>1.4637138575814164E-4</v>
      </c>
      <c r="AE307" s="305">
        <f t="shared" si="112"/>
        <v>0.5</v>
      </c>
      <c r="AF307" s="177">
        <f t="shared" si="113"/>
        <v>0.49535735573831552</v>
      </c>
      <c r="AG307" s="811">
        <f t="shared" si="119"/>
        <v>-1</v>
      </c>
      <c r="AH307" s="176">
        <f t="shared" si="114"/>
        <v>5</v>
      </c>
      <c r="AI307" s="225">
        <f t="shared" si="115"/>
        <v>-0.50464264426168448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7">
        <v>5.7309999999999999</v>
      </c>
      <c r="C308" s="390"/>
      <c r="D308" s="393">
        <f t="shared" si="98"/>
        <v>5.8406142027663979</v>
      </c>
      <c r="E308" s="385">
        <f t="shared" si="120"/>
        <v>6.1300850552227795</v>
      </c>
      <c r="F308" s="385">
        <f t="shared" si="99"/>
        <v>6.1300850552227795</v>
      </c>
      <c r="G308" s="110">
        <f t="shared" si="121"/>
        <v>0.1618694145565667</v>
      </c>
      <c r="H308" s="414" t="b">
        <f>Wh_hp&gt;='2019'!Maxi_hp</f>
        <v>0</v>
      </c>
      <c r="I308" s="380">
        <f>IF(H308,Wh_hp,'2019'!Maxi_hp)</f>
        <v>24.59946864863414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1.8767581449649517E-2</v>
      </c>
      <c r="M308" s="845"/>
      <c r="N308" s="845"/>
      <c r="O308" s="48">
        <f>IF(t&lt;Tnet,'2019'!Resal+('2019'!Salim-'2019'!Resal)*(1-EXP(('2019'!Tnet-t)/('2019'!Tau_j))),Resal+(Salim-Resal)*(1-EXP((Tnet-t)/(Tau_j))))*Salcycl</f>
        <v>4.7221343561906243E-2</v>
      </c>
      <c r="P308" s="169">
        <f>(INDEX(Models!$BJ308:$BT308,,T308)*(1-R308)+INDEX(Models!$BJ308:$BT308,,T308+1)*R308-ERP_i)*Q308*Ramure*Pc/MaxiM</f>
        <v>1.4304049265717126E-4</v>
      </c>
      <c r="Q308" s="305">
        <f t="shared" si="101"/>
        <v>0.5</v>
      </c>
      <c r="R308" s="177">
        <f t="shared" si="102"/>
        <v>0.49544545693360087</v>
      </c>
      <c r="S308" s="811">
        <f t="shared" si="103"/>
        <v>-1</v>
      </c>
      <c r="T308" s="176">
        <f t="shared" si="104"/>
        <v>5</v>
      </c>
      <c r="U308" s="251">
        <f t="shared" si="105"/>
        <v>-0.50455454306639913</v>
      </c>
      <c r="V308" s="383">
        <f t="shared" si="106"/>
        <v>35.400018284084915</v>
      </c>
      <c r="W308" s="402"/>
      <c r="X308" s="157">
        <f t="shared" si="107"/>
        <v>44124</v>
      </c>
      <c r="Y308" s="385">
        <f t="shared" si="108"/>
        <v>5.7309999999999999</v>
      </c>
      <c r="Z308" s="385">
        <f t="shared" si="109"/>
        <v>5.8406142027663979</v>
      </c>
      <c r="AA308" s="386">
        <f t="shared" si="110"/>
        <v>6.1300850552227795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4.7221343561906243E-2</v>
      </c>
      <c r="AD308" s="231">
        <f>(INDEX(Models!$BJ308:$BT308,,AH308)*(1-AF308)+INDEX(Models!$BJ308:$BT308,,AH308+1)*AF308-ERP_i)*AE308*Ramure*Pc/MaxiM</f>
        <v>1.4304049265717126E-4</v>
      </c>
      <c r="AE308" s="305">
        <f t="shared" si="112"/>
        <v>0.5</v>
      </c>
      <c r="AF308" s="177">
        <f t="shared" si="113"/>
        <v>0.49544545693360087</v>
      </c>
      <c r="AG308" s="811">
        <f t="shared" si="119"/>
        <v>-1</v>
      </c>
      <c r="AH308" s="176">
        <f t="shared" si="114"/>
        <v>5</v>
      </c>
      <c r="AI308" s="225">
        <f t="shared" si="115"/>
        <v>-0.50455454306639913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7">
        <v>24.111999999999998</v>
      </c>
      <c r="C309" s="390"/>
      <c r="D309" s="393">
        <f t="shared" si="98"/>
        <v>24.573717368482804</v>
      </c>
      <c r="E309" s="385">
        <f t="shared" si="120"/>
        <v>25.792568556311423</v>
      </c>
      <c r="F309" s="385">
        <f t="shared" si="99"/>
        <v>25.794551330369501</v>
      </c>
      <c r="G309" s="110">
        <f t="shared" si="121"/>
        <v>0.68717760314334153</v>
      </c>
      <c r="H309" s="414" t="b">
        <f>Wh_hp&gt;='2019'!Maxi_hp</f>
        <v>1</v>
      </c>
      <c r="I309" s="380">
        <f>IF(H309,Wh_hp,'2019'!Maxi_hp)</f>
        <v>25.794551330369501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1.8789072957882458E-2</v>
      </c>
      <c r="M309" s="845"/>
      <c r="N309" s="845"/>
      <c r="O309" s="48">
        <f>IF(t&lt;Tnet,'2019'!Resal+('2019'!Salim-'2019'!Resal)*(1-EXP(('2019'!Tnet-t)/('2019'!Tau_j))),Resal+(Salim-Resal)*(1-EXP((Tnet-t)/(Tau_j))))*Salcycl</f>
        <v>4.725590571437558E-2</v>
      </c>
      <c r="P309" s="169">
        <f>(INDEX(Models!$BJ309:$BT309,,T309)*(1-R309)+INDEX(Models!$BJ309:$BT309,,T309+1)*R309-ERP_i)*Q309*Ramure*Pc/MaxiM</f>
        <v>1.3895852622879153E-4</v>
      </c>
      <c r="Q309" s="305">
        <f t="shared" si="101"/>
        <v>0.5</v>
      </c>
      <c r="R309" s="177">
        <f t="shared" si="102"/>
        <v>0.49553004019944669</v>
      </c>
      <c r="S309" s="811">
        <f t="shared" si="103"/>
        <v>-1</v>
      </c>
      <c r="T309" s="176">
        <f t="shared" si="104"/>
        <v>5</v>
      </c>
      <c r="U309" s="251">
        <f t="shared" si="105"/>
        <v>-0.50446995980055331</v>
      </c>
      <c r="V309" s="383">
        <f t="shared" si="106"/>
        <v>35.086275580633824</v>
      </c>
      <c r="W309" s="402"/>
      <c r="X309" s="157">
        <f t="shared" si="107"/>
        <v>44125</v>
      </c>
      <c r="Y309" s="385">
        <f t="shared" si="108"/>
        <v>24.111999999999998</v>
      </c>
      <c r="Z309" s="385">
        <f t="shared" si="109"/>
        <v>24.573717368482804</v>
      </c>
      <c r="AA309" s="386">
        <f t="shared" si="110"/>
        <v>25.792568556311423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4.725590571437558E-2</v>
      </c>
      <c r="AD309" s="231">
        <f>(INDEX(Models!$BJ309:$BT309,,AH309)*(1-AF309)+INDEX(Models!$BJ309:$BT309,,AH309+1)*AF309-ERP_i)*AE309*Ramure*Pc/MaxiM</f>
        <v>1.3895852622879153E-4</v>
      </c>
      <c r="AE309" s="305">
        <f t="shared" si="112"/>
        <v>0.5</v>
      </c>
      <c r="AF309" s="177">
        <f t="shared" si="113"/>
        <v>0.49553004019944669</v>
      </c>
      <c r="AG309" s="811">
        <f t="shared" si="119"/>
        <v>-1</v>
      </c>
      <c r="AH309" s="176">
        <f t="shared" si="114"/>
        <v>5</v>
      </c>
      <c r="AI309" s="225">
        <f t="shared" si="115"/>
        <v>-0.50446995980055331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7">
        <v>4.7880000000000003</v>
      </c>
      <c r="C310" s="390"/>
      <c r="D310" s="393">
        <f t="shared" si="98"/>
        <v>4.8797916327928483</v>
      </c>
      <c r="E310" s="385">
        <f t="shared" si="120"/>
        <v>5.1220109378150083</v>
      </c>
      <c r="F310" s="385">
        <f t="shared" si="99"/>
        <v>5.1220109378150083</v>
      </c>
      <c r="G310" s="110">
        <f t="shared" si="121"/>
        <v>0.13767238940078033</v>
      </c>
      <c r="H310" s="414" t="b">
        <f>Wh_hp&gt;='2019'!Maxi_hp</f>
        <v>0</v>
      </c>
      <c r="I310" s="380">
        <f>IF(H310,Wh_hp,'2019'!Maxi_hp)</f>
        <v>37.419724893736571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1.8810563995396046E-2</v>
      </c>
      <c r="M310" s="845"/>
      <c r="N310" s="845"/>
      <c r="O310" s="48">
        <f>IF(t&lt;Tnet,'2019'!Resal+('2019'!Salim-'2019'!Resal)*(1-EXP(('2019'!Tnet-t)/('2019'!Tau_j))),Resal+(Salim-Resal)*(1-EXP((Tnet-t)/(Tau_j))))*Salcycl</f>
        <v>4.7289884376054886E-2</v>
      </c>
      <c r="P310" s="169">
        <f>(INDEX(Models!$BJ310:$BT310,,T310)*(1-R310)+INDEX(Models!$BJ310:$BT310,,T310+1)*R310-ERP_i)*Q310*Ramure*Pc/MaxiM</f>
        <v>1.3447028400928455E-4</v>
      </c>
      <c r="Q310" s="305">
        <f t="shared" si="101"/>
        <v>0.5</v>
      </c>
      <c r="R310" s="177">
        <f t="shared" si="102"/>
        <v>0.49561124488126851</v>
      </c>
      <c r="S310" s="811">
        <f t="shared" si="103"/>
        <v>-1</v>
      </c>
      <c r="T310" s="176">
        <f t="shared" si="104"/>
        <v>5</v>
      </c>
      <c r="U310" s="251">
        <f t="shared" si="105"/>
        <v>-0.50438875511873149</v>
      </c>
      <c r="V310" s="383">
        <f t="shared" si="106"/>
        <v>34.7735386675364</v>
      </c>
      <c r="W310" s="402"/>
      <c r="X310" s="157">
        <f t="shared" si="107"/>
        <v>44126</v>
      </c>
      <c r="Y310" s="385">
        <f t="shared" si="108"/>
        <v>4.7880000000000003</v>
      </c>
      <c r="Z310" s="385">
        <f t="shared" si="109"/>
        <v>4.8797916327928483</v>
      </c>
      <c r="AA310" s="386">
        <f t="shared" si="110"/>
        <v>5.1220109378150083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4.7289884376054886E-2</v>
      </c>
      <c r="AD310" s="231">
        <f>(INDEX(Models!$BJ310:$BT310,,AH310)*(1-AF310)+INDEX(Models!$BJ310:$BT310,,AH310+1)*AF310-ERP_i)*AE310*Ramure*Pc/MaxiM</f>
        <v>1.3447028400928455E-4</v>
      </c>
      <c r="AE310" s="305">
        <f t="shared" si="112"/>
        <v>0.5</v>
      </c>
      <c r="AF310" s="177">
        <f t="shared" si="113"/>
        <v>0.49561124488126851</v>
      </c>
      <c r="AG310" s="811">
        <f t="shared" si="119"/>
        <v>-1</v>
      </c>
      <c r="AH310" s="176">
        <f t="shared" si="114"/>
        <v>5</v>
      </c>
      <c r="AI310" s="225">
        <f t="shared" si="115"/>
        <v>-0.50438875511873149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7">
        <v>9.7910000000000004</v>
      </c>
      <c r="C311" s="390"/>
      <c r="D311" s="393">
        <f t="shared" si="98"/>
        <v>9.9789236343541958</v>
      </c>
      <c r="E311" s="385">
        <f t="shared" si="120"/>
        <v>10.474617215952495</v>
      </c>
      <c r="F311" s="385">
        <f t="shared" si="99"/>
        <v>10.474617215952495</v>
      </c>
      <c r="G311" s="110">
        <f t="shared" si="121"/>
        <v>0.28407151726972146</v>
      </c>
      <c r="H311" s="414" t="b">
        <f>Wh_hp&gt;='2019'!Maxi_hp</f>
        <v>0</v>
      </c>
      <c r="I311" s="380">
        <f>IF(H311,Wh_hp,'2019'!Maxi_hp)</f>
        <v>35.856341166256932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1.8832054562200939E-2</v>
      </c>
      <c r="M311" s="845"/>
      <c r="N311" s="845"/>
      <c r="O311" s="48">
        <f>IF(t&lt;Tnet,'2019'!Resal+('2019'!Salim-'2019'!Resal)*(1-EXP(('2019'!Tnet-t)/('2019'!Tau_j))),Resal+(Salim-Resal)*(1-EXP((Tnet-t)/(Tau_j))))*Salcycl</f>
        <v>4.7323312287094764E-2</v>
      </c>
      <c r="P311" s="169">
        <f>(INDEX(Models!$BJ311:$BT311,,T311)*(1-R311)+INDEX(Models!$BJ311:$BT311,,T311+1)*R311-ERP_i)*Q311*Ramure*Pc/MaxiM</f>
        <v>1.3030377818896597E-4</v>
      </c>
      <c r="Q311" s="305">
        <f t="shared" si="101"/>
        <v>0.5</v>
      </c>
      <c r="R311" s="177">
        <f t="shared" si="102"/>
        <v>0.49568920489366119</v>
      </c>
      <c r="S311" s="811">
        <f t="shared" si="103"/>
        <v>-1</v>
      </c>
      <c r="T311" s="176">
        <f t="shared" si="104"/>
        <v>5</v>
      </c>
      <c r="U311" s="251">
        <f t="shared" si="105"/>
        <v>-0.50431079510633881</v>
      </c>
      <c r="V311" s="383">
        <f t="shared" si="106"/>
        <v>34.462181530197427</v>
      </c>
      <c r="W311" s="402"/>
      <c r="X311" s="157">
        <f t="shared" si="107"/>
        <v>44127</v>
      </c>
      <c r="Y311" s="385">
        <f t="shared" si="108"/>
        <v>9.7910000000000004</v>
      </c>
      <c r="Z311" s="385">
        <f t="shared" si="109"/>
        <v>9.9789236343541958</v>
      </c>
      <c r="AA311" s="386">
        <f t="shared" si="110"/>
        <v>10.474617215952495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4.7323312287094764E-2</v>
      </c>
      <c r="AD311" s="231">
        <f>(INDEX(Models!$BJ311:$BT311,,AH311)*(1-AF311)+INDEX(Models!$BJ311:$BT311,,AH311+1)*AF311-ERP_i)*AE311*Ramure*Pc/MaxiM</f>
        <v>1.3030377818896597E-4</v>
      </c>
      <c r="AE311" s="305">
        <f t="shared" si="112"/>
        <v>0.5</v>
      </c>
      <c r="AF311" s="177">
        <f t="shared" si="113"/>
        <v>0.49568920489366119</v>
      </c>
      <c r="AG311" s="811">
        <f t="shared" si="119"/>
        <v>-1</v>
      </c>
      <c r="AH311" s="176">
        <f t="shared" si="114"/>
        <v>5</v>
      </c>
      <c r="AI311" s="225">
        <f t="shared" si="115"/>
        <v>-0.50431079510633881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7">
        <v>29.824999999999999</v>
      </c>
      <c r="C312" s="390"/>
      <c r="D312" s="393">
        <f t="shared" si="98"/>
        <v>30.398112165235496</v>
      </c>
      <c r="E312" s="385">
        <f t="shared" si="120"/>
        <v>31.909211969640481</v>
      </c>
      <c r="F312" s="385">
        <f t="shared" si="99"/>
        <v>31.912517184513508</v>
      </c>
      <c r="G312" s="110">
        <f t="shared" si="121"/>
        <v>0.87326628051285948</v>
      </c>
      <c r="H312" s="414" t="b">
        <f>Wh_hp&gt;='2019'!Maxi_hp</f>
        <v>0</v>
      </c>
      <c r="I312" s="380">
        <f>IF(H312,Wh_hp,'2019'!Maxi_hp)</f>
        <v>35.926796289859503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1.8853544658307131E-2</v>
      </c>
      <c r="M312" s="845"/>
      <c r="N312" s="845"/>
      <c r="O312" s="48">
        <f>IF(t&lt;Tnet,'2019'!Resal+('2019'!Salim-'2019'!Resal)*(1-EXP(('2019'!Tnet-t)/('2019'!Tau_j))),Resal+(Salim-Resal)*(1-EXP((Tnet-t)/(Tau_j))))*Salcycl</f>
        <v>4.7356224460907946E-2</v>
      </c>
      <c r="P312" s="169">
        <f>(INDEX(Models!$BJ312:$BT312,,T312)*(1-R312)+INDEX(Models!$BJ312:$BT312,,T312+1)*R312-ERP_i)*Q312*Ramure*Pc/MaxiM</f>
        <v>1.2646348126621172E-4</v>
      </c>
      <c r="Q312" s="305">
        <f t="shared" si="101"/>
        <v>0.5</v>
      </c>
      <c r="R312" s="177">
        <f t="shared" si="102"/>
        <v>0.49576404892506942</v>
      </c>
      <c r="S312" s="811">
        <f t="shared" si="103"/>
        <v>-1</v>
      </c>
      <c r="T312" s="176">
        <f t="shared" si="104"/>
        <v>5</v>
      </c>
      <c r="U312" s="251">
        <f t="shared" si="105"/>
        <v>-0.50423595107493058</v>
      </c>
      <c r="V312" s="383">
        <f t="shared" si="106"/>
        <v>34.152603655819412</v>
      </c>
      <c r="W312" s="402"/>
      <c r="X312" s="157">
        <f t="shared" si="107"/>
        <v>44128</v>
      </c>
      <c r="Y312" s="385">
        <f t="shared" si="108"/>
        <v>29.824999999999999</v>
      </c>
      <c r="Z312" s="385">
        <f t="shared" si="109"/>
        <v>30.398112165235496</v>
      </c>
      <c r="AA312" s="386">
        <f t="shared" si="110"/>
        <v>31.909211969640481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4.7356224460907946E-2</v>
      </c>
      <c r="AD312" s="231">
        <f>(INDEX(Models!$BJ312:$BT312,,AH312)*(1-AF312)+INDEX(Models!$BJ312:$BT312,,AH312+1)*AF312-ERP_i)*AE312*Ramure*Pc/MaxiM</f>
        <v>1.2646348126621172E-4</v>
      </c>
      <c r="AE312" s="305">
        <f t="shared" si="112"/>
        <v>0.5</v>
      </c>
      <c r="AF312" s="177">
        <f t="shared" si="113"/>
        <v>0.49576404892506942</v>
      </c>
      <c r="AG312" s="811">
        <f t="shared" si="119"/>
        <v>-1</v>
      </c>
      <c r="AH312" s="176">
        <f t="shared" si="114"/>
        <v>5</v>
      </c>
      <c r="AI312" s="225">
        <f t="shared" si="115"/>
        <v>-0.50423595107493058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7">
        <v>22.292999999999999</v>
      </c>
      <c r="C313" s="390"/>
      <c r="D313" s="393">
        <f t="shared" si="98"/>
        <v>22.721876192116763</v>
      </c>
      <c r="E313" s="385">
        <f t="shared" si="120"/>
        <v>23.852199939543798</v>
      </c>
      <c r="F313" s="385">
        <f t="shared" si="99"/>
        <v>23.853702725737847</v>
      </c>
      <c r="G313" s="110">
        <f t="shared" si="121"/>
        <v>0.65863580225654195</v>
      </c>
      <c r="H313" s="414" t="b">
        <f>Wh_hp&gt;='2019'!Maxi_hp</f>
        <v>0</v>
      </c>
      <c r="I313" s="380">
        <f>IF(H313,Wh_hp,'2019'!Maxi_hp)</f>
        <v>37.208706699200022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1.8875034283725167E-2</v>
      </c>
      <c r="M313" s="845"/>
      <c r="N313" s="845"/>
      <c r="O313" s="48">
        <f>IF(t&lt;Tnet,'2019'!Resal+('2019'!Salim-'2019'!Resal)*(1-EXP(('2019'!Tnet-t)/('2019'!Tau_j))),Resal+(Salim-Resal)*(1-EXP((Tnet-t)/(Tau_j))))*Salcycl</f>
        <v>4.7388658081517585E-2</v>
      </c>
      <c r="P313" s="169">
        <f>(INDEX(Models!$BJ313:$BT313,,T313)*(1-R313)+INDEX(Models!$BJ313:$BT313,,T313+1)*R313-ERP_i)*Q313*Ramure*Pc/MaxiM</f>
        <v>1.2295267194034824E-4</v>
      </c>
      <c r="Q313" s="305">
        <f t="shared" si="101"/>
        <v>0.5</v>
      </c>
      <c r="R313" s="177">
        <f t="shared" si="102"/>
        <v>0.49583590063529892</v>
      </c>
      <c r="S313" s="811">
        <f t="shared" si="103"/>
        <v>-1</v>
      </c>
      <c r="T313" s="176">
        <f t="shared" si="104"/>
        <v>5</v>
      </c>
      <c r="U313" s="251">
        <f t="shared" si="105"/>
        <v>-0.50416409936470108</v>
      </c>
      <c r="V313" s="383">
        <f t="shared" si="106"/>
        <v>33.845204462369132</v>
      </c>
      <c r="W313" s="402"/>
      <c r="X313" s="157">
        <f t="shared" si="107"/>
        <v>44129</v>
      </c>
      <c r="Y313" s="385">
        <f t="shared" si="108"/>
        <v>22.292999999999999</v>
      </c>
      <c r="Z313" s="385">
        <f t="shared" si="109"/>
        <v>22.721876192116763</v>
      </c>
      <c r="AA313" s="386">
        <f t="shared" si="110"/>
        <v>23.852199939543798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4.7388658081517585E-2</v>
      </c>
      <c r="AD313" s="231">
        <f>(INDEX(Models!$BJ313:$BT313,,AH313)*(1-AF313)+INDEX(Models!$BJ313:$BT313,,AH313+1)*AF313-ERP_i)*AE313*Ramure*Pc/MaxiM</f>
        <v>1.2295267194034824E-4</v>
      </c>
      <c r="AE313" s="305">
        <f t="shared" si="112"/>
        <v>0.5</v>
      </c>
      <c r="AF313" s="177">
        <f t="shared" si="113"/>
        <v>0.49583590063529892</v>
      </c>
      <c r="AG313" s="811">
        <f t="shared" si="119"/>
        <v>-1</v>
      </c>
      <c r="AH313" s="176">
        <f t="shared" si="114"/>
        <v>5</v>
      </c>
      <c r="AI313" s="225">
        <f t="shared" si="115"/>
        <v>-0.50416409936470108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7">
        <v>25.364999999999998</v>
      </c>
      <c r="C314" s="390"/>
      <c r="D314" s="393">
        <f t="shared" si="98"/>
        <v>25.853542063571624</v>
      </c>
      <c r="E314" s="385">
        <f t="shared" si="120"/>
        <v>27.140565379997202</v>
      </c>
      <c r="F314" s="385">
        <f t="shared" si="99"/>
        <v>27.14268434908648</v>
      </c>
      <c r="G314" s="110">
        <f t="shared" si="121"/>
        <v>0.75622099551351041</v>
      </c>
      <c r="H314" s="414" t="b">
        <f>Wh_hp&gt;='2019'!Maxi_hp</f>
        <v>1</v>
      </c>
      <c r="I314" s="380">
        <f>IF(H314,Wh_hp,'2019'!Maxi_hp)</f>
        <v>27.14268434908648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1.8896523438465151E-2</v>
      </c>
      <c r="M314" s="845"/>
      <c r="N314" s="845"/>
      <c r="O314" s="48">
        <f>IF(t&lt;Tnet,'2019'!Resal+('2019'!Salim-'2019'!Resal)*(1-EXP(('2019'!Tnet-t)/('2019'!Tau_j))),Resal+(Salim-Resal)*(1-EXP((Tnet-t)/(Tau_j))))*Salcycl</f>
        <v>4.7420652385308279E-2</v>
      </c>
      <c r="P314" s="169">
        <f>(INDEX(Models!$BJ314:$BT314,,T314)*(1-R314)+INDEX(Models!$BJ314:$BT314,,T314+1)*R314-ERP_i)*Q314*Ramure*Pc/MaxiM</f>
        <v>1.1977455642386764E-4</v>
      </c>
      <c r="Q314" s="305">
        <f t="shared" si="101"/>
        <v>0.5</v>
      </c>
      <c r="R314" s="177">
        <f t="shared" si="102"/>
        <v>0.49590487884607626</v>
      </c>
      <c r="S314" s="811">
        <f t="shared" si="103"/>
        <v>-1</v>
      </c>
      <c r="T314" s="176">
        <f t="shared" si="104"/>
        <v>5</v>
      </c>
      <c r="U314" s="251">
        <f t="shared" si="105"/>
        <v>-0.50409512115392374</v>
      </c>
      <c r="V314" s="383">
        <f t="shared" si="106"/>
        <v>33.540383268225973</v>
      </c>
      <c r="W314" s="402"/>
      <c r="X314" s="157">
        <f t="shared" si="107"/>
        <v>44130</v>
      </c>
      <c r="Y314" s="385">
        <f t="shared" si="108"/>
        <v>25.364999999999998</v>
      </c>
      <c r="Z314" s="385">
        <f t="shared" si="109"/>
        <v>25.853542063571624</v>
      </c>
      <c r="AA314" s="386">
        <f t="shared" si="110"/>
        <v>27.140565379997202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4.7420652385308279E-2</v>
      </c>
      <c r="AD314" s="231">
        <f>(INDEX(Models!$BJ314:$BT314,,AH314)*(1-AF314)+INDEX(Models!$BJ314:$BT314,,AH314+1)*AF314-ERP_i)*AE314*Ramure*Pc/MaxiM</f>
        <v>1.1977455642386764E-4</v>
      </c>
      <c r="AE314" s="305">
        <f t="shared" si="112"/>
        <v>0.5</v>
      </c>
      <c r="AF314" s="177">
        <f t="shared" si="113"/>
        <v>0.49590487884607626</v>
      </c>
      <c r="AG314" s="811">
        <f t="shared" si="119"/>
        <v>-1</v>
      </c>
      <c r="AH314" s="176">
        <f t="shared" si="114"/>
        <v>5</v>
      </c>
      <c r="AI314" s="225">
        <f t="shared" si="115"/>
        <v>-0.50409512115392374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7">
        <v>23.271000000000001</v>
      </c>
      <c r="C315" s="390"/>
      <c r="D315" s="393">
        <f t="shared" si="98"/>
        <v>23.719730142376804</v>
      </c>
      <c r="E315" s="385">
        <f t="shared" si="120"/>
        <v>24.901355449860482</v>
      </c>
      <c r="F315" s="385">
        <f t="shared" si="99"/>
        <v>24.903019933810778</v>
      </c>
      <c r="G315" s="110">
        <f t="shared" si="121"/>
        <v>0.70008594491197751</v>
      </c>
      <c r="H315" s="414" t="b">
        <f>Wh_hp&gt;='2019'!Maxi_hp</f>
        <v>1</v>
      </c>
      <c r="I315" s="380">
        <f>IF(H315,Wh_hp,'2019'!Maxi_hp)</f>
        <v>24.903019933810778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1.891801212253752E-2</v>
      </c>
      <c r="M315" s="845"/>
      <c r="N315" s="845"/>
      <c r="O315" s="48">
        <f>IF(t&lt;Tnet,'2019'!Resal+('2019'!Salim-'2019'!Resal)*(1-EXP(('2019'!Tnet-t)/('2019'!Tau_j))),Resal+(Salim-Resal)*(1-EXP((Tnet-t)/(Tau_j))))*Salcycl</f>
        <v>4.7452248527712126E-2</v>
      </c>
      <c r="P315" s="169">
        <f>(INDEX(Models!$BJ315:$BT315,,T315)*(1-R315)+INDEX(Models!$BJ315:$BT315,,T315+1)*R315-ERP_i)*Q315*Ramure*Pc/MaxiM</f>
        <v>1.1693224010249751E-4</v>
      </c>
      <c r="Q315" s="305">
        <f t="shared" si="101"/>
        <v>0.5</v>
      </c>
      <c r="R315" s="177">
        <f t="shared" si="102"/>
        <v>0.49597109772485837</v>
      </c>
      <c r="S315" s="811">
        <f t="shared" si="103"/>
        <v>-1</v>
      </c>
      <c r="T315" s="176">
        <f t="shared" si="104"/>
        <v>5</v>
      </c>
      <c r="U315" s="251">
        <f t="shared" si="105"/>
        <v>-0.50402890227514163</v>
      </c>
      <c r="V315" s="383">
        <f t="shared" si="106"/>
        <v>33.238539300778449</v>
      </c>
      <c r="W315" s="402"/>
      <c r="X315" s="157">
        <f t="shared" si="107"/>
        <v>44131</v>
      </c>
      <c r="Y315" s="385">
        <f t="shared" si="108"/>
        <v>23.271000000000001</v>
      </c>
      <c r="Z315" s="385">
        <f t="shared" si="109"/>
        <v>23.719730142376804</v>
      </c>
      <c r="AA315" s="386">
        <f t="shared" si="110"/>
        <v>24.901355449860482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4.7452248527712126E-2</v>
      </c>
      <c r="AD315" s="231">
        <f>(INDEX(Models!$BJ315:$BT315,,AH315)*(1-AF315)+INDEX(Models!$BJ315:$BT315,,AH315+1)*AF315-ERP_i)*AE315*Ramure*Pc/MaxiM</f>
        <v>1.1693224010249751E-4</v>
      </c>
      <c r="AE315" s="305">
        <f t="shared" si="112"/>
        <v>0.5</v>
      </c>
      <c r="AF315" s="177">
        <f t="shared" si="113"/>
        <v>0.49597109772485837</v>
      </c>
      <c r="AG315" s="811">
        <f t="shared" si="119"/>
        <v>-1</v>
      </c>
      <c r="AH315" s="176">
        <f t="shared" si="114"/>
        <v>5</v>
      </c>
      <c r="AI315" s="225">
        <f t="shared" si="115"/>
        <v>-0.50402890227514163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7">
        <v>13.029</v>
      </c>
      <c r="C316" s="390"/>
      <c r="D316" s="393">
        <f t="shared" si="98"/>
        <v>13.280526536805453</v>
      </c>
      <c r="E316" s="385">
        <f t="shared" si="120"/>
        <v>13.942568332946569</v>
      </c>
      <c r="F316" s="385">
        <f t="shared" si="99"/>
        <v>13.942786081721502</v>
      </c>
      <c r="G316" s="110">
        <f t="shared" si="121"/>
        <v>0.39549739550828072</v>
      </c>
      <c r="H316" s="414" t="b">
        <f>Wh_hp&gt;='2019'!Maxi_hp</f>
        <v>0</v>
      </c>
      <c r="I316" s="380">
        <f>IF(H316,Wh_hp,'2019'!Maxi_hp)</f>
        <v>29.923980500554308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1.8939500335952597E-2</v>
      </c>
      <c r="M316" s="845"/>
      <c r="N316" s="845"/>
      <c r="O316" s="48">
        <f>IF(t&lt;Tnet,'2019'!Resal+('2019'!Salim-'2019'!Resal)*(1-EXP(('2019'!Tnet-t)/('2019'!Tau_j))),Resal+(Salim-Resal)*(1-EXP((Tnet-t)/(Tau_j))))*Salcycl</f>
        <v>4.7483489435493603E-2</v>
      </c>
      <c r="P316" s="169">
        <f>(INDEX(Models!$BJ316:$BT316,,T316)*(1-R316)+INDEX(Models!$BJ316:$BT316,,T316+1)*R316-ERP_i)*Q316*Ramure*Pc/MaxiM</f>
        <v>1.1442869944893044E-4</v>
      </c>
      <c r="Q316" s="305">
        <f t="shared" si="101"/>
        <v>0.5</v>
      </c>
      <c r="R316" s="177">
        <f t="shared" si="102"/>
        <v>0.49603466696209453</v>
      </c>
      <c r="S316" s="811">
        <f t="shared" si="103"/>
        <v>-1</v>
      </c>
      <c r="T316" s="176">
        <f t="shared" si="104"/>
        <v>5</v>
      </c>
      <c r="U316" s="251">
        <f t="shared" si="105"/>
        <v>-0.50396533303790547</v>
      </c>
      <c r="V316" s="383">
        <f t="shared" si="106"/>
        <v>32.940071702678878</v>
      </c>
      <c r="W316" s="402"/>
      <c r="X316" s="157">
        <f t="shared" si="107"/>
        <v>44132</v>
      </c>
      <c r="Y316" s="385">
        <f t="shared" si="108"/>
        <v>13.029</v>
      </c>
      <c r="Z316" s="385">
        <f t="shared" si="109"/>
        <v>13.280526536805453</v>
      </c>
      <c r="AA316" s="386">
        <f t="shared" si="110"/>
        <v>13.942568332946569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4.7483489435493603E-2</v>
      </c>
      <c r="AD316" s="231">
        <f>(INDEX(Models!$BJ316:$BT316,,AH316)*(1-AF316)+INDEX(Models!$BJ316:$BT316,,AH316+1)*AF316-ERP_i)*AE316*Ramure*Pc/MaxiM</f>
        <v>1.1442869944893044E-4</v>
      </c>
      <c r="AE316" s="305">
        <f t="shared" si="112"/>
        <v>0.5</v>
      </c>
      <c r="AF316" s="177">
        <f t="shared" si="113"/>
        <v>0.49603466696209453</v>
      </c>
      <c r="AG316" s="811">
        <f t="shared" si="119"/>
        <v>-1</v>
      </c>
      <c r="AH316" s="176">
        <f t="shared" si="114"/>
        <v>5</v>
      </c>
      <c r="AI316" s="225">
        <f t="shared" si="115"/>
        <v>-0.50396533303790547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7">
        <v>28.318999999999999</v>
      </c>
      <c r="C317" s="390"/>
      <c r="D317" s="393">
        <f t="shared" si="98"/>
        <v>28.86633421900288</v>
      </c>
      <c r="E317" s="385">
        <f t="shared" si="120"/>
        <v>30.306321496496587</v>
      </c>
      <c r="F317" s="385">
        <f t="shared" si="99"/>
        <v>30.309080386765242</v>
      </c>
      <c r="G317" s="110">
        <f t="shared" si="121"/>
        <v>0.86750477913256763</v>
      </c>
      <c r="H317" s="414" t="b">
        <f>Wh_hp&gt;='2019'!Maxi_hp</f>
        <v>0</v>
      </c>
      <c r="I317" s="380">
        <f>IF(H317,Wh_hp,'2019'!Maxi_hp)</f>
        <v>33.09982659368044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1.8960988078720709E-2</v>
      </c>
      <c r="M317" s="845"/>
      <c r="N317" s="845"/>
      <c r="O317" s="48">
        <f>IF(t&lt;Tnet,'2019'!Resal+('2019'!Salim-'2019'!Resal)*(1-EXP(('2019'!Tnet-t)/('2019'!Tau_j))),Resal+(Salim-Resal)*(1-EXP((Tnet-t)/(Tau_j))))*Salcycl</f>
        <v>4.7514419645425111E-2</v>
      </c>
      <c r="P317" s="169">
        <f>(INDEX(Models!$BJ317:$BT317,,T317)*(1-R317)+INDEX(Models!$BJ317:$BT317,,T317+1)*R317-ERP_i)*Q317*Ramure*Pc/MaxiM</f>
        <v>1.1227319383215561E-4</v>
      </c>
      <c r="Q317" s="305">
        <f t="shared" si="101"/>
        <v>0.5</v>
      </c>
      <c r="R317" s="177">
        <f t="shared" si="102"/>
        <v>0.4960956919421371</v>
      </c>
      <c r="S317" s="811">
        <f t="shared" si="103"/>
        <v>-1</v>
      </c>
      <c r="T317" s="176">
        <f t="shared" si="104"/>
        <v>5</v>
      </c>
      <c r="U317" s="251">
        <f t="shared" si="105"/>
        <v>-0.5039043080578629</v>
      </c>
      <c r="V317" s="383">
        <f t="shared" si="106"/>
        <v>32.6435068769946</v>
      </c>
      <c r="W317" s="402"/>
      <c r="X317" s="157">
        <f t="shared" si="107"/>
        <v>44133</v>
      </c>
      <c r="Y317" s="385">
        <f t="shared" si="108"/>
        <v>28.318999999999999</v>
      </c>
      <c r="Z317" s="385">
        <f t="shared" si="109"/>
        <v>28.86633421900288</v>
      </c>
      <c r="AA317" s="386">
        <f t="shared" si="110"/>
        <v>30.306321496496587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4.7514419645425111E-2</v>
      </c>
      <c r="AD317" s="231">
        <f>(INDEX(Models!$BJ317:$BT317,,AH317)*(1-AF317)+INDEX(Models!$BJ317:$BT317,,AH317+1)*AF317-ERP_i)*AE317*Ramure*Pc/MaxiM</f>
        <v>1.1227319383215561E-4</v>
      </c>
      <c r="AE317" s="305">
        <f t="shared" si="112"/>
        <v>0.5</v>
      </c>
      <c r="AF317" s="177">
        <f t="shared" si="113"/>
        <v>0.4960956919421371</v>
      </c>
      <c r="AG317" s="811">
        <f t="shared" si="119"/>
        <v>-1</v>
      </c>
      <c r="AH317" s="176">
        <f t="shared" si="114"/>
        <v>5</v>
      </c>
      <c r="AI317" s="225">
        <f t="shared" si="115"/>
        <v>-0.5039043080578629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7">
        <v>31.308</v>
      </c>
      <c r="C318" s="390"/>
      <c r="D318" s="393">
        <f t="shared" si="98"/>
        <v>31.913802978389217</v>
      </c>
      <c r="E318" s="385">
        <f t="shared" si="120"/>
        <v>33.506890961609514</v>
      </c>
      <c r="F318" s="385">
        <f t="shared" si="99"/>
        <v>33.51042975379562</v>
      </c>
      <c r="G318" s="110">
        <f t="shared" si="121"/>
        <v>0.96786372253243858</v>
      </c>
      <c r="H318" s="414" t="b">
        <f>Wh_hp&gt;='2019'!Maxi_hp</f>
        <v>1</v>
      </c>
      <c r="I318" s="380">
        <f>IF(H318,Wh_hp,'2019'!Maxi_hp)</f>
        <v>33.51042975379562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1.8982475350851957E-2</v>
      </c>
      <c r="M318" s="845"/>
      <c r="N318" s="845"/>
      <c r="O318" s="48">
        <f>IF(t&lt;Tnet,'2019'!Resal+('2019'!Salim-'2019'!Resal)*(1-EXP(('2019'!Tnet-t)/('2019'!Tau_j))),Resal+(Salim-Resal)*(1-EXP((Tnet-t)/(Tau_j))))*Salcycl</f>
        <v>4.7545085130266986E-2</v>
      </c>
      <c r="P318" s="169">
        <f>(INDEX(Models!$BJ318:$BT318,,T318)*(1-R318)+INDEX(Models!$BJ318:$BT318,,T318+1)*R318-ERP_i)*Q318*Ramure*Pc/MaxiM</f>
        <v>1.1068328760896839E-4</v>
      </c>
      <c r="Q318" s="305">
        <f t="shared" si="101"/>
        <v>0.5</v>
      </c>
      <c r="R318" s="177">
        <f t="shared" si="102"/>
        <v>0.49615427390799804</v>
      </c>
      <c r="S318" s="811">
        <f t="shared" si="103"/>
        <v>-1</v>
      </c>
      <c r="T318" s="176">
        <f t="shared" si="104"/>
        <v>5</v>
      </c>
      <c r="U318" s="251">
        <f t="shared" si="105"/>
        <v>-0.50384572609200196</v>
      </c>
      <c r="V318" s="383">
        <f t="shared" si="106"/>
        <v>32.347364811391742</v>
      </c>
      <c r="W318" s="402"/>
      <c r="X318" s="157">
        <f t="shared" si="107"/>
        <v>44134</v>
      </c>
      <c r="Y318" s="385">
        <f t="shared" si="108"/>
        <v>31.308</v>
      </c>
      <c r="Z318" s="385">
        <f t="shared" si="109"/>
        <v>31.913802978389217</v>
      </c>
      <c r="AA318" s="386">
        <f t="shared" si="110"/>
        <v>33.506890961609514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4.7545085130266986E-2</v>
      </c>
      <c r="AD318" s="231">
        <f>(INDEX(Models!$BJ318:$BT318,,AH318)*(1-AF318)+INDEX(Models!$BJ318:$BT318,,AH318+1)*AF318-ERP_i)*AE318*Ramure*Pc/MaxiM</f>
        <v>1.1068328760896839E-4</v>
      </c>
      <c r="AE318" s="305">
        <f t="shared" si="112"/>
        <v>0.5</v>
      </c>
      <c r="AF318" s="177">
        <f t="shared" si="113"/>
        <v>0.49615427390799804</v>
      </c>
      <c r="AG318" s="811">
        <f t="shared" si="119"/>
        <v>-1</v>
      </c>
      <c r="AH318" s="176">
        <f t="shared" si="114"/>
        <v>5</v>
      </c>
      <c r="AI318" s="225">
        <f t="shared" si="115"/>
        <v>-0.50384572609200196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7">
        <v>30.248000000000001</v>
      </c>
      <c r="C319" s="390"/>
      <c r="D319" s="393">
        <f t="shared" si="98"/>
        <v>30.833967552372286</v>
      </c>
      <c r="E319" s="385">
        <f t="shared" si="120"/>
        <v>32.374186745911501</v>
      </c>
      <c r="F319" s="385">
        <f t="shared" si="99"/>
        <v>32.377451552901285</v>
      </c>
      <c r="G319" s="110">
        <f t="shared" si="121"/>
        <v>0.94370679938336255</v>
      </c>
      <c r="H319" s="414" t="b">
        <f>Wh_hp&gt;='2019'!Maxi_hp</f>
        <v>1</v>
      </c>
      <c r="I319" s="380">
        <f>IF(H319,Wh_hp,'2019'!Maxi_hp)</f>
        <v>32.377451552901285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1.900396215235689E-2</v>
      </c>
      <c r="M319" s="845"/>
      <c r="N319" s="845"/>
      <c r="O319" s="48">
        <f>IF(t&lt;Tnet,'2019'!Resal+('2019'!Salim-'2019'!Resal)*(1-EXP(('2019'!Tnet-t)/('2019'!Tau_j))),Resal+(Salim-Resal)*(1-EXP((Tnet-t)/(Tau_j))))*Salcycl</f>
        <v>4.7575533113082089E-2</v>
      </c>
      <c r="P319" s="169">
        <f>(INDEX(Models!$BJ319:$BT319,,T319)*(1-R319)+INDEX(Models!$BJ319:$BT319,,T319+1)*R319-ERP_i)*Q319*Ramure*Pc/MaxiM</f>
        <v>1.0965266180673191E-4</v>
      </c>
      <c r="Q319" s="305">
        <f t="shared" si="101"/>
        <v>0.5</v>
      </c>
      <c r="R319" s="177">
        <f t="shared" si="102"/>
        <v>0.49621051012013973</v>
      </c>
      <c r="S319" s="811">
        <f t="shared" si="103"/>
        <v>-1</v>
      </c>
      <c r="T319" s="176">
        <f t="shared" si="104"/>
        <v>5</v>
      </c>
      <c r="U319" s="251">
        <f t="shared" si="105"/>
        <v>-0.50378948987986027</v>
      </c>
      <c r="V319" s="383">
        <f t="shared" si="106"/>
        <v>32.052045509414839</v>
      </c>
      <c r="W319" s="402"/>
      <c r="X319" s="157">
        <f t="shared" si="107"/>
        <v>44135</v>
      </c>
      <c r="Y319" s="385">
        <f t="shared" si="108"/>
        <v>30.248000000000001</v>
      </c>
      <c r="Z319" s="385">
        <f t="shared" si="109"/>
        <v>30.833967552372286</v>
      </c>
      <c r="AA319" s="386">
        <f t="shared" si="110"/>
        <v>32.374186745911501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4.7575533113082089E-2</v>
      </c>
      <c r="AD319" s="231">
        <f>(INDEX(Models!$BJ319:$BT319,,AH319)*(1-AF319)+INDEX(Models!$BJ319:$BT319,,AH319+1)*AF319-ERP_i)*AE319*Ramure*Pc/MaxiM</f>
        <v>1.0965266180673191E-4</v>
      </c>
      <c r="AE319" s="305">
        <f t="shared" si="112"/>
        <v>0.5</v>
      </c>
      <c r="AF319" s="177">
        <f t="shared" si="113"/>
        <v>0.49621051012013973</v>
      </c>
      <c r="AG319" s="811">
        <f t="shared" si="119"/>
        <v>-1</v>
      </c>
      <c r="AH319" s="176">
        <f t="shared" si="114"/>
        <v>5</v>
      </c>
      <c r="AI319" s="225">
        <f t="shared" si="115"/>
        <v>-0.50378948987986027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7">
        <v>27.05</v>
      </c>
      <c r="C320" s="390"/>
      <c r="D320" s="393">
        <f t="shared" si="98"/>
        <v>27.574619502795539</v>
      </c>
      <c r="E320" s="385">
        <f t="shared" si="120"/>
        <v>28.952948103313368</v>
      </c>
      <c r="F320" s="385">
        <f t="shared" si="99"/>
        <v>28.955440063578585</v>
      </c>
      <c r="G320" s="110">
        <f t="shared" si="121"/>
        <v>0.85173557077987128</v>
      </c>
      <c r="H320" s="414" t="b">
        <f>Wh_hp&gt;='2019'!Maxi_hp</f>
        <v>1</v>
      </c>
      <c r="I320" s="380">
        <f>IF(H320,Wh_hp,'2019'!Maxi_hp)</f>
        <v>28.955440063578585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1.9025448483245722E-2</v>
      </c>
      <c r="M320" s="845"/>
      <c r="N320" s="845"/>
      <c r="O320" s="48">
        <f>IF(t&lt;Tnet,'2019'!Resal+('2019'!Salim-'2019'!Resal)*(1-EXP(('2019'!Tnet-t)/('2019'!Tau_j))),Resal+(Salim-Resal)*(1-EXP((Tnet-t)/(Tau_j))))*Salcycl</f>
        <v>4.7605811871022995E-2</v>
      </c>
      <c r="P320" s="169">
        <f>(INDEX(Models!$BJ320:$BT320,,T320)*(1-R320)+INDEX(Models!$BJ320:$BT320,,T320+1)*R320-ERP_i)*Q320*Ramure*Pc/MaxiM</f>
        <v>1.0918487855831407E-4</v>
      </c>
      <c r="Q320" s="305">
        <f t="shared" si="101"/>
        <v>0.5</v>
      </c>
      <c r="R320" s="177">
        <f t="shared" si="102"/>
        <v>0.4962644940094938</v>
      </c>
      <c r="S320" s="811">
        <f t="shared" si="103"/>
        <v>-1</v>
      </c>
      <c r="T320" s="176">
        <f t="shared" si="104"/>
        <v>5</v>
      </c>
      <c r="U320" s="251">
        <f t="shared" si="105"/>
        <v>-0.5037355059905062</v>
      </c>
      <c r="V320" s="383">
        <f t="shared" si="106"/>
        <v>31.757948590665805</v>
      </c>
      <c r="W320" s="402"/>
      <c r="X320" s="157">
        <f t="shared" si="107"/>
        <v>44136</v>
      </c>
      <c r="Y320" s="385">
        <f t="shared" si="108"/>
        <v>27.05</v>
      </c>
      <c r="Z320" s="385">
        <f t="shared" si="109"/>
        <v>27.574619502795539</v>
      </c>
      <c r="AA320" s="386">
        <f t="shared" si="110"/>
        <v>28.952948103313368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4.7605811871022995E-2</v>
      </c>
      <c r="AD320" s="231">
        <f>(INDEX(Models!$BJ320:$BT320,,AH320)*(1-AF320)+INDEX(Models!$BJ320:$BT320,,AH320+1)*AF320-ERP_i)*AE320*Ramure*Pc/MaxiM</f>
        <v>1.0918487855831407E-4</v>
      </c>
      <c r="AE320" s="305">
        <f t="shared" si="112"/>
        <v>0.5</v>
      </c>
      <c r="AF320" s="177">
        <f t="shared" si="113"/>
        <v>0.4962644940094938</v>
      </c>
      <c r="AG320" s="811">
        <f t="shared" si="119"/>
        <v>-1</v>
      </c>
      <c r="AH320" s="176">
        <f t="shared" si="114"/>
        <v>5</v>
      </c>
      <c r="AI320" s="225">
        <f t="shared" si="115"/>
        <v>-0.5037355059905062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7">
        <v>27.629000000000001</v>
      </c>
      <c r="C321" s="390"/>
      <c r="D321" s="393">
        <f t="shared" si="98"/>
        <v>28.165465777417378</v>
      </c>
      <c r="E321" s="385">
        <f t="shared" si="120"/>
        <v>29.574264573061104</v>
      </c>
      <c r="F321" s="385">
        <f t="shared" si="99"/>
        <v>29.576933844232062</v>
      </c>
      <c r="G321" s="110">
        <f t="shared" si="121"/>
        <v>0.8780568303337104</v>
      </c>
      <c r="H321" s="414" t="b">
        <f>Wh_hp&gt;='2019'!Maxi_hp</f>
        <v>0</v>
      </c>
      <c r="I321" s="380">
        <f>IF(H321,Wh_hp,'2019'!Maxi_hp)</f>
        <v>30.00122544451607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1.9046934343528776E-2</v>
      </c>
      <c r="M321" s="845"/>
      <c r="N321" s="845"/>
      <c r="O321" s="48">
        <f>IF(t&lt;Tnet,'2019'!Resal+('2019'!Salim-'2019'!Resal)*(1-EXP(('2019'!Tnet-t)/('2019'!Tau_j))),Resal+(Salim-Resal)*(1-EXP((Tnet-t)/(Tau_j))))*Salcycl</f>
        <v>4.7635970529829742E-2</v>
      </c>
      <c r="P321" s="169">
        <f>(INDEX(Models!$BJ321:$BT321,,T321)*(1-R321)+INDEX(Models!$BJ321:$BT321,,T321+1)*R321-ERP_i)*Q321*Ramure*Pc/MaxiM</f>
        <v>1.0928347355278769E-4</v>
      </c>
      <c r="Q321" s="305">
        <f t="shared" si="101"/>
        <v>0.5</v>
      </c>
      <c r="R321" s="177">
        <f t="shared" si="102"/>
        <v>0.49631631532488707</v>
      </c>
      <c r="S321" s="811">
        <f t="shared" si="103"/>
        <v>-1</v>
      </c>
      <c r="T321" s="176">
        <f t="shared" si="104"/>
        <v>5</v>
      </c>
      <c r="U321" s="251">
        <f t="shared" si="105"/>
        <v>-0.50368368467511293</v>
      </c>
      <c r="V321" s="383">
        <f t="shared" si="106"/>
        <v>31.465473621092638</v>
      </c>
      <c r="W321" s="402"/>
      <c r="X321" s="157">
        <f t="shared" si="107"/>
        <v>44137</v>
      </c>
      <c r="Y321" s="385">
        <f t="shared" si="108"/>
        <v>27.629000000000001</v>
      </c>
      <c r="Z321" s="385">
        <f t="shared" si="109"/>
        <v>28.165465777417378</v>
      </c>
      <c r="AA321" s="386">
        <f t="shared" si="110"/>
        <v>29.574264573061104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4.7635970529829742E-2</v>
      </c>
      <c r="AD321" s="231">
        <f>(INDEX(Models!$BJ321:$BT321,,AH321)*(1-AF321)+INDEX(Models!$BJ321:$BT321,,AH321+1)*AF321-ERP_i)*AE321*Ramure*Pc/MaxiM</f>
        <v>1.0928347355278769E-4</v>
      </c>
      <c r="AE321" s="305">
        <f t="shared" si="112"/>
        <v>0.5</v>
      </c>
      <c r="AF321" s="177">
        <f t="shared" si="113"/>
        <v>0.49631631532488707</v>
      </c>
      <c r="AG321" s="811">
        <f t="shared" si="119"/>
        <v>-1</v>
      </c>
      <c r="AH321" s="176">
        <f t="shared" si="114"/>
        <v>5</v>
      </c>
      <c r="AI321" s="225">
        <f t="shared" si="115"/>
        <v>-0.50368368467511293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7">
        <v>5.0049999999999999</v>
      </c>
      <c r="C322" s="390"/>
      <c r="D322" s="393">
        <f t="shared" si="98"/>
        <v>5.1022926580045391</v>
      </c>
      <c r="E322" s="385">
        <f t="shared" si="120"/>
        <v>5.3576717551882869</v>
      </c>
      <c r="F322" s="385">
        <f t="shared" si="99"/>
        <v>5.3576717551882869</v>
      </c>
      <c r="G322" s="110">
        <f t="shared" si="121"/>
        <v>0.16052755284352482</v>
      </c>
      <c r="H322" s="414" t="b">
        <f>Wh_hp&gt;='2019'!Maxi_hp</f>
        <v>0</v>
      </c>
      <c r="I322" s="380">
        <f>IF(H322,Wh_hp,'2019'!Maxi_hp)</f>
        <v>23.180990079496752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1.906841973321638E-2</v>
      </c>
      <c r="M322" s="845"/>
      <c r="N322" s="845"/>
      <c r="O322" s="48">
        <f>IF(t&lt;Tnet,'2019'!Resal+('2019'!Salim-'2019'!Resal)*(1-EXP(('2019'!Tnet-t)/('2019'!Tau_j))),Resal+(Salim-Resal)*(1-EXP((Tnet-t)/(Tau_j))))*Salcycl</f>
        <v>4.7666058850365907E-2</v>
      </c>
      <c r="P322" s="169">
        <f>(INDEX(Models!$BJ322:$BT322,,T322)*(1-R322)+INDEX(Models!$BJ322:$BT322,,T322+1)*R322-ERP_i)*Q322*Ramure*Pc/MaxiM</f>
        <v>1.0995193248438579E-4</v>
      </c>
      <c r="Q322" s="305">
        <f t="shared" si="101"/>
        <v>0.5</v>
      </c>
      <c r="R322" s="177">
        <f t="shared" si="102"/>
        <v>0.49636606027505947</v>
      </c>
      <c r="S322" s="811">
        <f t="shared" si="103"/>
        <v>-1</v>
      </c>
      <c r="T322" s="176">
        <f t="shared" si="104"/>
        <v>5</v>
      </c>
      <c r="U322" s="251">
        <f t="shared" si="105"/>
        <v>-0.50363393972494053</v>
      </c>
      <c r="V322" s="383">
        <f t="shared" si="106"/>
        <v>31.175020125398859</v>
      </c>
      <c r="W322" s="402"/>
      <c r="X322" s="157">
        <f t="shared" si="107"/>
        <v>44138</v>
      </c>
      <c r="Y322" s="385">
        <f t="shared" si="108"/>
        <v>5.0049999999999999</v>
      </c>
      <c r="Z322" s="385">
        <f t="shared" si="109"/>
        <v>5.1022926580045391</v>
      </c>
      <c r="AA322" s="386">
        <f t="shared" si="110"/>
        <v>5.3576717551882869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4.7666058850365907E-2</v>
      </c>
      <c r="AD322" s="231">
        <f>(INDEX(Models!$BJ322:$BT322,,AH322)*(1-AF322)+INDEX(Models!$BJ322:$BT322,,AH322+1)*AF322-ERP_i)*AE322*Ramure*Pc/MaxiM</f>
        <v>1.0995193248438579E-4</v>
      </c>
      <c r="AE322" s="305">
        <f t="shared" si="112"/>
        <v>0.5</v>
      </c>
      <c r="AF322" s="177">
        <f t="shared" si="113"/>
        <v>0.49636606027505947</v>
      </c>
      <c r="AG322" s="811">
        <f t="shared" si="119"/>
        <v>-1</v>
      </c>
      <c r="AH322" s="176">
        <f t="shared" si="114"/>
        <v>5</v>
      </c>
      <c r="AI322" s="225">
        <f t="shared" si="115"/>
        <v>-0.50363393972494053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7">
        <v>15.62</v>
      </c>
      <c r="C323" s="390"/>
      <c r="D323" s="393">
        <f t="shared" si="98"/>
        <v>15.923987401173118</v>
      </c>
      <c r="E323" s="385">
        <f t="shared" si="120"/>
        <v>16.721540101640354</v>
      </c>
      <c r="F323" s="385">
        <f t="shared" si="99"/>
        <v>16.722086535438599</v>
      </c>
      <c r="G323" s="110">
        <f t="shared" si="121"/>
        <v>0.50567487335401373</v>
      </c>
      <c r="H323" s="414" t="b">
        <f>Wh_hp&gt;='2019'!Maxi_hp</f>
        <v>1</v>
      </c>
      <c r="I323" s="380">
        <f>IF(H323,Wh_hp,'2019'!Maxi_hp)</f>
        <v>16.722086535438599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1.9089904652318745E-2</v>
      </c>
      <c r="M323" s="845"/>
      <c r="N323" s="845"/>
      <c r="O323" s="48">
        <f>IF(t&lt;Tnet,'2019'!Resal+('2019'!Salim-'2019'!Resal)*(1-EXP(('2019'!Tnet-t)/('2019'!Tau_j))),Resal+(Salim-Resal)*(1-EXP((Tnet-t)/(Tau_j))))*Salcycl</f>
        <v>4.7696127008599987E-2</v>
      </c>
      <c r="P323" s="169">
        <f>(INDEX(Models!$BJ323:$BT323,,T323)*(1-R323)+INDEX(Models!$BJ323:$BT323,,T323+1)*R323-ERP_i)*Q323*Ramure*Pc/MaxiM</f>
        <v>1.1119366643317011E-4</v>
      </c>
      <c r="Q323" s="305">
        <f t="shared" si="101"/>
        <v>0.5</v>
      </c>
      <c r="R323" s="177">
        <f t="shared" si="102"/>
        <v>0.49641381166544885</v>
      </c>
      <c r="S323" s="811">
        <f t="shared" si="103"/>
        <v>-1</v>
      </c>
      <c r="T323" s="176">
        <f t="shared" si="104"/>
        <v>5</v>
      </c>
      <c r="U323" s="251">
        <f t="shared" si="105"/>
        <v>-0.50358618833455115</v>
      </c>
      <c r="V323" s="383">
        <f t="shared" si="106"/>
        <v>30.886987585059835</v>
      </c>
      <c r="W323" s="402"/>
      <c r="X323" s="157">
        <f t="shared" si="107"/>
        <v>44139</v>
      </c>
      <c r="Y323" s="385">
        <f t="shared" si="108"/>
        <v>15.619999999999997</v>
      </c>
      <c r="Z323" s="385">
        <f t="shared" si="109"/>
        <v>15.923987401173116</v>
      </c>
      <c r="AA323" s="386">
        <f t="shared" si="110"/>
        <v>16.721540101640354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4.7696127008599987E-2</v>
      </c>
      <c r="AD323" s="231">
        <f>(INDEX(Models!$BJ323:$BT323,,AH323)*(1-AF323)+INDEX(Models!$BJ323:$BT323,,AH323+1)*AF323-ERP_i)*AE323*Ramure*Pc/MaxiM</f>
        <v>1.1119366643317011E-4</v>
      </c>
      <c r="AE323" s="305">
        <f t="shared" si="112"/>
        <v>0.5</v>
      </c>
      <c r="AF323" s="177">
        <f t="shared" si="113"/>
        <v>0.49641381166544885</v>
      </c>
      <c r="AG323" s="811">
        <f t="shared" si="119"/>
        <v>-1</v>
      </c>
      <c r="AH323" s="176">
        <f t="shared" si="114"/>
        <v>5</v>
      </c>
      <c r="AI323" s="225">
        <f t="shared" si="115"/>
        <v>-0.50358618833455115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7">
        <v>23.370999999999999</v>
      </c>
      <c r="C324" s="390"/>
      <c r="D324" s="393">
        <f t="shared" si="98"/>
        <v>23.826354736218665</v>
      </c>
      <c r="E324" s="385">
        <f t="shared" si="120"/>
        <v>25.020488194677991</v>
      </c>
      <c r="F324" s="385">
        <f t="shared" si="99"/>
        <v>25.022364408355351</v>
      </c>
      <c r="G324" s="110">
        <f t="shared" si="121"/>
        <v>0.76368481164750335</v>
      </c>
      <c r="H324" s="414" t="b">
        <f>Wh_hp&gt;='2019'!Maxi_hp</f>
        <v>1</v>
      </c>
      <c r="I324" s="380">
        <f>IF(H324,Wh_hp,'2019'!Maxi_hp)</f>
        <v>25.022364408355351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1.9111389100846199E-2</v>
      </c>
      <c r="M324" s="845"/>
      <c r="N324" s="845"/>
      <c r="O324" s="48">
        <f>IF(t&lt;Tnet,'2019'!Resal+('2019'!Salim-'2019'!Resal)*(1-EXP(('2019'!Tnet-t)/('2019'!Tau_j))),Resal+(Salim-Resal)*(1-EXP((Tnet-t)/(Tau_j))))*Salcycl</f>
        <v>4.7726225370507538E-2</v>
      </c>
      <c r="P324" s="169">
        <f>(INDEX(Models!$BJ324:$BT324,,T324)*(1-R324)+INDEX(Models!$BJ324:$BT324,,T324+1)*R324-ERP_i)*Q324*Ramure*Pc/MaxiM</f>
        <v>1.131883663351072E-4</v>
      </c>
      <c r="Q324" s="305">
        <f t="shared" si="101"/>
        <v>0.5</v>
      </c>
      <c r="R324" s="177">
        <f t="shared" si="102"/>
        <v>0.49645964902991802</v>
      </c>
      <c r="S324" s="811">
        <f t="shared" si="103"/>
        <v>-1</v>
      </c>
      <c r="T324" s="176">
        <f t="shared" si="104"/>
        <v>5</v>
      </c>
      <c r="U324" s="251">
        <f t="shared" si="105"/>
        <v>-0.50354035097008198</v>
      </c>
      <c r="V324" s="383">
        <f t="shared" si="106"/>
        <v>30.601770053880173</v>
      </c>
      <c r="W324" s="402"/>
      <c r="X324" s="157">
        <f t="shared" si="107"/>
        <v>44140</v>
      </c>
      <c r="Y324" s="385">
        <f t="shared" si="108"/>
        <v>23.370999999999999</v>
      </c>
      <c r="Z324" s="385">
        <f t="shared" si="109"/>
        <v>23.826354736218665</v>
      </c>
      <c r="AA324" s="386">
        <f t="shared" si="110"/>
        <v>25.020488194677991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4.7726225370507538E-2</v>
      </c>
      <c r="AD324" s="231">
        <f>(INDEX(Models!$BJ324:$BT324,,AH324)*(1-AF324)+INDEX(Models!$BJ324:$BT324,,AH324+1)*AF324-ERP_i)*AE324*Ramure*Pc/MaxiM</f>
        <v>1.131883663351072E-4</v>
      </c>
      <c r="AE324" s="305">
        <f t="shared" si="112"/>
        <v>0.5</v>
      </c>
      <c r="AF324" s="177">
        <f t="shared" si="113"/>
        <v>0.49645964902991802</v>
      </c>
      <c r="AG324" s="811">
        <f t="shared" si="119"/>
        <v>-1</v>
      </c>
      <c r="AH324" s="176">
        <f t="shared" si="114"/>
        <v>5</v>
      </c>
      <c r="AI324" s="225">
        <f t="shared" si="115"/>
        <v>-0.50354035097008198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7">
        <v>15.877000000000001</v>
      </c>
      <c r="C325" s="390"/>
      <c r="D325" s="393">
        <f t="shared" si="98"/>
        <v>16.18669803914803</v>
      </c>
      <c r="E325" s="385">
        <f t="shared" si="120"/>
        <v>16.998484538640941</v>
      </c>
      <c r="F325" s="385">
        <f t="shared" si="99"/>
        <v>16.999112263029826</v>
      </c>
      <c r="G325" s="110">
        <f t="shared" si="121"/>
        <v>0.52361040317894525</v>
      </c>
      <c r="H325" s="414" t="b">
        <f>Wh_hp&gt;='2019'!Maxi_hp</f>
        <v>1</v>
      </c>
      <c r="I325" s="380">
        <f>IF(H325,Wh_hp,'2019'!Maxi_hp)</f>
        <v>16.999112263029826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1.9132873078809176E-2</v>
      </c>
      <c r="M325" s="845"/>
      <c r="N325" s="845"/>
      <c r="O325" s="48">
        <f>IF(t&lt;Tnet,'2019'!Resal+('2019'!Salim-'2019'!Resal)*(1-EXP(('2019'!Tnet-t)/('2019'!Tau_j))),Resal+(Salim-Resal)*(1-EXP((Tnet-t)/(Tau_j))))*Salcycl</f>
        <v>4.7756404263424708E-2</v>
      </c>
      <c r="P325" s="169">
        <f>(INDEX(Models!$BJ325:$BT325,,T325)*(1-R325)+INDEX(Models!$BJ325:$BT325,,T325+1)*R325-ERP_i)*Q325*Ramure*Pc/MaxiM</f>
        <v>1.1557630645359223E-4</v>
      </c>
      <c r="Q325" s="305">
        <f t="shared" si="101"/>
        <v>0.5</v>
      </c>
      <c r="R325" s="177">
        <f t="shared" si="102"/>
        <v>0.49650364875758912</v>
      </c>
      <c r="S325" s="811">
        <f t="shared" si="103"/>
        <v>-1</v>
      </c>
      <c r="T325" s="176">
        <f t="shared" si="104"/>
        <v>5</v>
      </c>
      <c r="U325" s="251">
        <f t="shared" si="105"/>
        <v>-0.50349635124241088</v>
      </c>
      <c r="V325" s="383">
        <f t="shared" si="106"/>
        <v>30.319778103633379</v>
      </c>
      <c r="W325" s="402"/>
      <c r="X325" s="157">
        <f t="shared" si="107"/>
        <v>44141</v>
      </c>
      <c r="Y325" s="385">
        <f t="shared" si="108"/>
        <v>15.877000000000002</v>
      </c>
      <c r="Z325" s="385">
        <f t="shared" si="109"/>
        <v>16.18669803914803</v>
      </c>
      <c r="AA325" s="386">
        <f t="shared" si="110"/>
        <v>16.998484538640941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4.7756404263424708E-2</v>
      </c>
      <c r="AD325" s="231">
        <f>(INDEX(Models!$BJ325:$BT325,,AH325)*(1-AF325)+INDEX(Models!$BJ325:$BT325,,AH325+1)*AF325-ERP_i)*AE325*Ramure*Pc/MaxiM</f>
        <v>1.1557630645359223E-4</v>
      </c>
      <c r="AE325" s="305">
        <f t="shared" si="112"/>
        <v>0.5</v>
      </c>
      <c r="AF325" s="177">
        <f t="shared" si="113"/>
        <v>0.49650364875758912</v>
      </c>
      <c r="AG325" s="811">
        <f t="shared" si="119"/>
        <v>-1</v>
      </c>
      <c r="AH325" s="176">
        <f t="shared" si="114"/>
        <v>5</v>
      </c>
      <c r="AI325" s="225">
        <f t="shared" si="115"/>
        <v>-0.50349635124241088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7">
        <v>5.1050000000000004</v>
      </c>
      <c r="C326" s="390"/>
      <c r="D326" s="393">
        <f t="shared" si="98"/>
        <v>5.2046925367709376</v>
      </c>
      <c r="E326" s="385">
        <f t="shared" si="120"/>
        <v>5.4658894303428909</v>
      </c>
      <c r="F326" s="385">
        <f t="shared" si="99"/>
        <v>5.4658894303428909</v>
      </c>
      <c r="G326" s="110">
        <f t="shared" si="121"/>
        <v>0.16991198496197069</v>
      </c>
      <c r="H326" s="414" t="b">
        <f>Wh_hp&gt;='2019'!Maxi_hp</f>
        <v>0</v>
      </c>
      <c r="I326" s="380">
        <f>IF(H326,Wh_hp,'2019'!Maxi_hp)</f>
        <v>17.42994024110709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1.9154356586217891E-2</v>
      </c>
      <c r="M326" s="845"/>
      <c r="N326" s="845"/>
      <c r="O326" s="48">
        <f>IF(t&lt;Tnet,'2019'!Resal+('2019'!Salim-'2019'!Resal)*(1-EXP(('2019'!Tnet-t)/('2019'!Tau_j))),Resal+(Salim-Resal)*(1-EXP((Tnet-t)/(Tau_j))))*Salcycl</f>
        <v>4.7786713745427582E-2</v>
      </c>
      <c r="P326" s="169">
        <f>(INDEX(Models!$BJ326:$BT326,,T326)*(1-R326)+INDEX(Models!$BJ326:$BT326,,T326+1)*R326-ERP_i)*Q326*Ramure*Pc/MaxiM</f>
        <v>1.1835930283717755E-4</v>
      </c>
      <c r="Q326" s="305">
        <f t="shared" si="101"/>
        <v>0.5</v>
      </c>
      <c r="R326" s="177">
        <f t="shared" si="102"/>
        <v>0.49654588421495516</v>
      </c>
      <c r="S326" s="811">
        <f t="shared" si="103"/>
        <v>-1</v>
      </c>
      <c r="T326" s="176">
        <f t="shared" si="104"/>
        <v>5</v>
      </c>
      <c r="U326" s="251">
        <f t="shared" si="105"/>
        <v>-0.50345411578504484</v>
      </c>
      <c r="V326" s="383">
        <f t="shared" si="106"/>
        <v>30.041411009950064</v>
      </c>
      <c r="W326" s="402"/>
      <c r="X326" s="157">
        <f t="shared" si="107"/>
        <v>44142</v>
      </c>
      <c r="Y326" s="385">
        <f t="shared" si="108"/>
        <v>5.1050000000000004</v>
      </c>
      <c r="Z326" s="385">
        <f t="shared" si="109"/>
        <v>5.2046925367709376</v>
      </c>
      <c r="AA326" s="386">
        <f t="shared" si="110"/>
        <v>5.4658894303428909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4.7786713745427582E-2</v>
      </c>
      <c r="AD326" s="231">
        <f>(INDEX(Models!$BJ326:$BT326,,AH326)*(1-AF326)+INDEX(Models!$BJ326:$BT326,,AH326+1)*AF326-ERP_i)*AE326*Ramure*Pc/MaxiM</f>
        <v>1.1835930283717755E-4</v>
      </c>
      <c r="AE326" s="305">
        <f t="shared" si="112"/>
        <v>0.5</v>
      </c>
      <c r="AF326" s="177">
        <f t="shared" si="113"/>
        <v>0.49654588421495516</v>
      </c>
      <c r="AG326" s="811">
        <f t="shared" si="119"/>
        <v>-1</v>
      </c>
      <c r="AH326" s="176">
        <f t="shared" si="114"/>
        <v>5</v>
      </c>
      <c r="AI326" s="225">
        <f t="shared" si="115"/>
        <v>-0.50345411578504484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7">
        <v>20.376000000000001</v>
      </c>
      <c r="C327" s="390"/>
      <c r="D327" s="393">
        <f t="shared" si="98"/>
        <v>20.774365908941093</v>
      </c>
      <c r="E327" s="385">
        <f t="shared" si="120"/>
        <v>21.81762365646723</v>
      </c>
      <c r="F327" s="385">
        <f t="shared" si="99"/>
        <v>21.819080346731017</v>
      </c>
      <c r="G327" s="110">
        <f t="shared" si="121"/>
        <v>0.68447734848843311</v>
      </c>
      <c r="H327" s="414" t="b">
        <f>Wh_hp&gt;='2019'!Maxi_hp</f>
        <v>1</v>
      </c>
      <c r="I327" s="380">
        <f>IF(H327,Wh_hp,'2019'!Maxi_hp)</f>
        <v>21.819080346731017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1.9175839623082669E-2</v>
      </c>
      <c r="M327" s="845"/>
      <c r="N327" s="845"/>
      <c r="O327" s="48">
        <f>IF(t&lt;Tnet,'2019'!Resal+('2019'!Salim-'2019'!Resal)*(1-EXP(('2019'!Tnet-t)/('2019'!Tau_j))),Resal+(Salim-Resal)*(1-EXP((Tnet-t)/(Tau_j))))*Salcycl</f>
        <v>4.7817203374341477E-2</v>
      </c>
      <c r="P327" s="169">
        <f>(INDEX(Models!$BJ327:$BT327,,T327)*(1-R327)+INDEX(Models!$BJ327:$BT327,,T327+1)*R327-ERP_i)*Q327*Ramure*Pc/MaxiM</f>
        <v>1.2153901237430064E-4</v>
      </c>
      <c r="Q327" s="305">
        <f t="shared" si="101"/>
        <v>0.5</v>
      </c>
      <c r="R327" s="177">
        <f t="shared" si="102"/>
        <v>0.49658642586342472</v>
      </c>
      <c r="S327" s="811">
        <f t="shared" si="103"/>
        <v>-1</v>
      </c>
      <c r="T327" s="176">
        <f t="shared" si="104"/>
        <v>5</v>
      </c>
      <c r="U327" s="251">
        <f t="shared" si="105"/>
        <v>-0.50341357413657528</v>
      </c>
      <c r="V327" s="383">
        <f t="shared" si="106"/>
        <v>29.767068024344617</v>
      </c>
      <c r="W327" s="402"/>
      <c r="X327" s="157">
        <f t="shared" si="107"/>
        <v>44143</v>
      </c>
      <c r="Y327" s="385">
        <f t="shared" si="108"/>
        <v>20.376000000000001</v>
      </c>
      <c r="Z327" s="385">
        <f t="shared" si="109"/>
        <v>20.774365908941093</v>
      </c>
      <c r="AA327" s="386">
        <f t="shared" si="110"/>
        <v>21.81762365646723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4.7817203374341477E-2</v>
      </c>
      <c r="AD327" s="231">
        <f>(INDEX(Models!$BJ327:$BT327,,AH327)*(1-AF327)+INDEX(Models!$BJ327:$BT327,,AH327+1)*AF327-ERP_i)*AE327*Ramure*Pc/MaxiM</f>
        <v>1.2153901237430064E-4</v>
      </c>
      <c r="AE327" s="305">
        <f t="shared" si="112"/>
        <v>0.5</v>
      </c>
      <c r="AF327" s="177">
        <f t="shared" si="113"/>
        <v>0.49658642586342472</v>
      </c>
      <c r="AG327" s="811">
        <f t="shared" si="119"/>
        <v>-1</v>
      </c>
      <c r="AH327" s="176">
        <f t="shared" si="114"/>
        <v>5</v>
      </c>
      <c r="AI327" s="225">
        <f t="shared" si="115"/>
        <v>-0.50341357413657528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7">
        <v>15.864000000000001</v>
      </c>
      <c r="C328" s="390"/>
      <c r="D328" s="393">
        <f t="shared" si="98"/>
        <v>16.174507226481772</v>
      </c>
      <c r="E328" s="385">
        <f t="shared" si="120"/>
        <v>16.987314946665546</v>
      </c>
      <c r="F328" s="385">
        <f t="shared" si="99"/>
        <v>16.988037050811439</v>
      </c>
      <c r="G328" s="110">
        <f t="shared" si="121"/>
        <v>0.53777026881675671</v>
      </c>
      <c r="H328" s="414" t="b">
        <f>Wh_hp&gt;='2019'!Maxi_hp</f>
        <v>0</v>
      </c>
      <c r="I328" s="380">
        <f>IF(H328,Wh_hp,'2019'!Maxi_hp)</f>
        <v>21.789231727925742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1.9197322189413724E-2</v>
      </c>
      <c r="M328" s="845"/>
      <c r="N328" s="845"/>
      <c r="O328" s="48">
        <f>IF(t&lt;Tnet,'2019'!Resal+('2019'!Salim-'2019'!Resal)*(1-EXP(('2019'!Tnet-t)/('2019'!Tau_j))),Resal+(Salim-Resal)*(1-EXP((Tnet-t)/(Tau_j))))*Salcycl</f>
        <v>4.7847921978000418E-2</v>
      </c>
      <c r="P328" s="169">
        <f>(INDEX(Models!$BJ328:$BT328,,T328)*(1-R328)+INDEX(Models!$BJ328:$BT328,,T328+1)*R328-ERP_i)*Q328*Ramure*Pc/MaxiM</f>
        <v>1.2511690229619554E-4</v>
      </c>
      <c r="Q328" s="305">
        <f t="shared" si="101"/>
        <v>0.5</v>
      </c>
      <c r="R328" s="177">
        <f t="shared" si="102"/>
        <v>0.49662534137245984</v>
      </c>
      <c r="S328" s="811">
        <f t="shared" si="103"/>
        <v>-1</v>
      </c>
      <c r="T328" s="176">
        <f t="shared" si="104"/>
        <v>5</v>
      </c>
      <c r="U328" s="251">
        <f t="shared" si="105"/>
        <v>-0.50337465862754016</v>
      </c>
      <c r="V328" s="383">
        <f t="shared" si="106"/>
        <v>29.497148382298121</v>
      </c>
      <c r="W328" s="402"/>
      <c r="X328" s="157">
        <f t="shared" si="107"/>
        <v>44144</v>
      </c>
      <c r="Y328" s="385">
        <f t="shared" si="108"/>
        <v>15.864000000000001</v>
      </c>
      <c r="Z328" s="385">
        <f t="shared" si="109"/>
        <v>16.174507226481772</v>
      </c>
      <c r="AA328" s="386">
        <f t="shared" si="110"/>
        <v>16.987314946665546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4.7847921978000418E-2</v>
      </c>
      <c r="AD328" s="231">
        <f>(INDEX(Models!$BJ328:$BT328,,AH328)*(1-AF328)+INDEX(Models!$BJ328:$BT328,,AH328+1)*AF328-ERP_i)*AE328*Ramure*Pc/MaxiM</f>
        <v>1.2511690229619554E-4</v>
      </c>
      <c r="AE328" s="305">
        <f t="shared" si="112"/>
        <v>0.5</v>
      </c>
      <c r="AF328" s="177">
        <f t="shared" si="113"/>
        <v>0.49662534137245984</v>
      </c>
      <c r="AG328" s="811">
        <f t="shared" si="119"/>
        <v>-1</v>
      </c>
      <c r="AH328" s="176">
        <f t="shared" si="114"/>
        <v>5</v>
      </c>
      <c r="AI328" s="225">
        <f t="shared" si="115"/>
        <v>-0.50337465862754016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7">
        <v>10.52</v>
      </c>
      <c r="C329" s="390"/>
      <c r="D329" s="393">
        <f t="shared" si="98"/>
        <v>10.726143655653168</v>
      </c>
      <c r="E329" s="385">
        <f t="shared" si="120"/>
        <v>11.26552478669127</v>
      </c>
      <c r="F329" s="385">
        <f t="shared" si="99"/>
        <v>11.265649192071168</v>
      </c>
      <c r="G329" s="110">
        <f t="shared" si="121"/>
        <v>0.35983646777613826</v>
      </c>
      <c r="H329" s="414" t="b">
        <f>Wh_hp&gt;='2019'!Maxi_hp</f>
        <v>0</v>
      </c>
      <c r="I329" s="380">
        <f>IF(H329,Wh_hp,'2019'!Maxi_hp)</f>
        <v>26.827720309111356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1.9218804285221491E-2</v>
      </c>
      <c r="M329" s="845"/>
      <c r="N329" s="845"/>
      <c r="O329" s="48">
        <f>IF(t&lt;Tnet,'2019'!Resal+('2019'!Salim-'2019'!Resal)*(1-EXP(('2019'!Tnet-t)/('2019'!Tau_j))),Resal+(Salim-Resal)*(1-EXP((Tnet-t)/(Tau_j))))*Salcycl</f>
        <v>4.7878917427380673E-2</v>
      </c>
      <c r="P329" s="169">
        <f>(INDEX(Models!$BJ329:$BT329,,T329)*(1-R329)+INDEX(Models!$BJ329:$BT329,,T329+1)*R329-ERP_i)*Q329*Ramure*Pc/MaxiM</f>
        <v>1.2909421606876559E-4</v>
      </c>
      <c r="Q329" s="305">
        <f t="shared" si="101"/>
        <v>0.5</v>
      </c>
      <c r="R329" s="177">
        <f t="shared" si="102"/>
        <v>0.496662695728457</v>
      </c>
      <c r="S329" s="811">
        <f t="shared" si="103"/>
        <v>-1</v>
      </c>
      <c r="T329" s="176">
        <f t="shared" si="104"/>
        <v>5</v>
      </c>
      <c r="U329" s="251">
        <f t="shared" si="105"/>
        <v>-0.503337304271543</v>
      </c>
      <c r="V329" s="383">
        <f t="shared" si="106"/>
        <v>29.232051302067632</v>
      </c>
      <c r="W329" s="402"/>
      <c r="X329" s="157">
        <f t="shared" si="107"/>
        <v>44145</v>
      </c>
      <c r="Y329" s="385">
        <f t="shared" si="108"/>
        <v>10.52</v>
      </c>
      <c r="Z329" s="385">
        <f t="shared" si="109"/>
        <v>10.726143655653168</v>
      </c>
      <c r="AA329" s="386">
        <f t="shared" si="110"/>
        <v>11.26552478669127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4.7878917427380673E-2</v>
      </c>
      <c r="AD329" s="231">
        <f>(INDEX(Models!$BJ329:$BT329,,AH329)*(1-AF329)+INDEX(Models!$BJ329:$BT329,,AH329+1)*AF329-ERP_i)*AE329*Ramure*Pc/MaxiM</f>
        <v>1.2909421606876559E-4</v>
      </c>
      <c r="AE329" s="305">
        <f t="shared" si="112"/>
        <v>0.5</v>
      </c>
      <c r="AF329" s="177">
        <f t="shared" si="113"/>
        <v>0.496662695728457</v>
      </c>
      <c r="AG329" s="811">
        <f t="shared" si="119"/>
        <v>-1</v>
      </c>
      <c r="AH329" s="176">
        <f t="shared" si="114"/>
        <v>5</v>
      </c>
      <c r="AI329" s="225">
        <f t="shared" si="115"/>
        <v>-0.503337304271543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7">
        <v>21.469000000000001</v>
      </c>
      <c r="C330" s="390"/>
      <c r="D330" s="393">
        <f t="shared" si="98"/>
        <v>21.890173190822136</v>
      </c>
      <c r="E330" s="385">
        <f t="shared" si="120"/>
        <v>22.991711525580222</v>
      </c>
      <c r="F330" s="385">
        <f t="shared" si="99"/>
        <v>22.993645093012937</v>
      </c>
      <c r="G330" s="110">
        <f t="shared" si="121"/>
        <v>0.74098472158781947</v>
      </c>
      <c r="H330" s="414" t="b">
        <f>Wh_hp&gt;='2019'!Maxi_hp</f>
        <v>0</v>
      </c>
      <c r="I330" s="380">
        <f>IF(H330,Wh_hp,'2019'!Maxi_hp)</f>
        <v>28.254170415117652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1.9240285910516186E-2</v>
      </c>
      <c r="M330" s="845"/>
      <c r="N330" s="845"/>
      <c r="O330" s="48">
        <f>IF(t&lt;Tnet,'2019'!Resal+('2019'!Salim-'2019'!Resal)*(1-EXP(('2019'!Tnet-t)/('2019'!Tau_j))),Resal+(Salim-Resal)*(1-EXP((Tnet-t)/(Tau_j))))*Salcycl</f>
        <v>4.7910236414219556E-2</v>
      </c>
      <c r="P330" s="169">
        <f>(INDEX(Models!$BJ330:$BT330,,T330)*(1-R330)+INDEX(Models!$BJ330:$BT330,,T330+1)*R330-ERP_i)*Q330*Ramure*Pc/MaxiM</f>
        <v>1.3347193520252371E-4</v>
      </c>
      <c r="Q330" s="305">
        <f t="shared" si="101"/>
        <v>0.5</v>
      </c>
      <c r="R330" s="177">
        <f t="shared" si="102"/>
        <v>0.49669855133952012</v>
      </c>
      <c r="S330" s="811">
        <f t="shared" si="103"/>
        <v>-1</v>
      </c>
      <c r="T330" s="176">
        <f t="shared" si="104"/>
        <v>5</v>
      </c>
      <c r="U330" s="251">
        <f t="shared" si="105"/>
        <v>-0.50330144866047988</v>
      </c>
      <c r="V330" s="383">
        <f t="shared" si="106"/>
        <v>28.972175990053675</v>
      </c>
      <c r="W330" s="402"/>
      <c r="X330" s="157">
        <f t="shared" si="107"/>
        <v>44146</v>
      </c>
      <c r="Y330" s="385">
        <f t="shared" si="108"/>
        <v>21.469000000000001</v>
      </c>
      <c r="Z330" s="385">
        <f t="shared" si="109"/>
        <v>21.890173190822136</v>
      </c>
      <c r="AA330" s="386">
        <f t="shared" si="110"/>
        <v>22.991711525580222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4.7910236414219556E-2</v>
      </c>
      <c r="AD330" s="231">
        <f>(INDEX(Models!$BJ330:$BT330,,AH330)*(1-AF330)+INDEX(Models!$BJ330:$BT330,,AH330+1)*AF330-ERP_i)*AE330*Ramure*Pc/MaxiM</f>
        <v>1.3347193520252371E-4</v>
      </c>
      <c r="AE330" s="305">
        <f t="shared" si="112"/>
        <v>0.5</v>
      </c>
      <c r="AF330" s="177">
        <f t="shared" si="113"/>
        <v>0.49669855133952012</v>
      </c>
      <c r="AG330" s="811">
        <f t="shared" si="119"/>
        <v>-1</v>
      </c>
      <c r="AH330" s="176">
        <f t="shared" si="114"/>
        <v>5</v>
      </c>
      <c r="AI330" s="225">
        <f t="shared" si="115"/>
        <v>-0.50330144866047988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7">
        <v>27.242000000000001</v>
      </c>
      <c r="C331" s="390"/>
      <c r="D331" s="393">
        <f t="shared" si="98"/>
        <v>27.77703477357354</v>
      </c>
      <c r="E331" s="385">
        <f t="shared" si="120"/>
        <v>29.175777697432505</v>
      </c>
      <c r="F331" s="385">
        <f t="shared" si="99"/>
        <v>29.179515996539571</v>
      </c>
      <c r="G331" s="110">
        <f t="shared" si="121"/>
        <v>0.94863691784245308</v>
      </c>
      <c r="H331" s="414" t="b">
        <f>Wh_hp&gt;='2019'!Maxi_hp</f>
        <v>1</v>
      </c>
      <c r="I331" s="380">
        <f>IF(H331,Wh_hp,'2019'!Maxi_hp)</f>
        <v>29.179515996539571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1.9261767065308244E-2</v>
      </c>
      <c r="M331" s="845"/>
      <c r="N331" s="845"/>
      <c r="O331" s="48">
        <f>IF(t&lt;Tnet,'2019'!Resal+('2019'!Salim-'2019'!Resal)*(1-EXP(('2019'!Tnet-t)/('2019'!Tau_j))),Resal+(Salim-Resal)*(1-EXP((Tnet-t)/(Tau_j))))*Salcycl</f>
        <v>4.7941924234706994E-2</v>
      </c>
      <c r="P331" s="169">
        <f>(INDEX(Models!$BJ331:$BT331,,T331)*(1-R331)+INDEX(Models!$BJ331:$BT331,,T331+1)*R331-ERP_i)*Q331*Ramure*Pc/MaxiM</f>
        <v>1.3825660766066738E-4</v>
      </c>
      <c r="Q331" s="305">
        <f t="shared" si="101"/>
        <v>0.5</v>
      </c>
      <c r="R331" s="177">
        <f t="shared" si="102"/>
        <v>0.49673296813627088</v>
      </c>
      <c r="S331" s="811">
        <f t="shared" si="103"/>
        <v>-1</v>
      </c>
      <c r="T331" s="176">
        <f t="shared" si="104"/>
        <v>5</v>
      </c>
      <c r="U331" s="251">
        <f t="shared" si="105"/>
        <v>-0.50326703186372912</v>
      </c>
      <c r="V331" s="383">
        <f t="shared" si="106"/>
        <v>28.716701977601382</v>
      </c>
      <c r="W331" s="402"/>
      <c r="X331" s="157">
        <f t="shared" si="107"/>
        <v>44147</v>
      </c>
      <c r="Y331" s="385">
        <f t="shared" si="108"/>
        <v>27.242000000000001</v>
      </c>
      <c r="Z331" s="385">
        <f t="shared" si="109"/>
        <v>27.77703477357354</v>
      </c>
      <c r="AA331" s="386">
        <f t="shared" si="110"/>
        <v>29.175777697432505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4.7941924234706994E-2</v>
      </c>
      <c r="AD331" s="231">
        <f>(INDEX(Models!$BJ331:$BT331,,AH331)*(1-AF331)+INDEX(Models!$BJ331:$BT331,,AH331+1)*AF331-ERP_i)*AE331*Ramure*Pc/MaxiM</f>
        <v>1.3825660766066738E-4</v>
      </c>
      <c r="AE331" s="305">
        <f t="shared" si="112"/>
        <v>0.5</v>
      </c>
      <c r="AF331" s="177">
        <f t="shared" si="113"/>
        <v>0.49673296813627088</v>
      </c>
      <c r="AG331" s="811">
        <f t="shared" si="119"/>
        <v>-1</v>
      </c>
      <c r="AH331" s="176">
        <f t="shared" si="114"/>
        <v>5</v>
      </c>
      <c r="AI331" s="225">
        <f t="shared" si="115"/>
        <v>-0.50326703186372912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7">
        <v>18.579000000000001</v>
      </c>
      <c r="C332" s="390"/>
      <c r="D332" s="393">
        <f t="shared" si="98"/>
        <v>18.944307780373773</v>
      </c>
      <c r="E332" s="385">
        <f t="shared" si="120"/>
        <v>19.89894001792555</v>
      </c>
      <c r="F332" s="385">
        <f t="shared" si="99"/>
        <v>19.900379192311398</v>
      </c>
      <c r="G332" s="110">
        <f t="shared" si="121"/>
        <v>0.65265883372222955</v>
      </c>
      <c r="H332" s="414" t="b">
        <f>Wh_hp&gt;='2019'!Maxi_hp</f>
        <v>1</v>
      </c>
      <c r="I332" s="380">
        <f>IF(H332,Wh_hp,'2019'!Maxi_hp)</f>
        <v>19.900379192311398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1.9283247749607879E-2</v>
      </c>
      <c r="M332" s="845"/>
      <c r="N332" s="845"/>
      <c r="O332" s="48">
        <f>IF(t&lt;Tnet,'2019'!Resal+('2019'!Salim-'2019'!Resal)*(1-EXP(('2019'!Tnet-t)/('2019'!Tau_j))),Resal+(Salim-Resal)*(1-EXP((Tnet-t)/(Tau_j))))*Salcycl</f>
        <v>4.7974024580797539E-2</v>
      </c>
      <c r="P332" s="169">
        <f>(INDEX(Models!$BJ332:$BT332,,T332)*(1-R332)+INDEX(Models!$BJ332:$BT332,,T332+1)*R332-ERP_i)*Q332*Ramure*Pc/MaxiM</f>
        <v>1.4352848602105072E-4</v>
      </c>
      <c r="Q332" s="305">
        <f t="shared" si="101"/>
        <v>0.5</v>
      </c>
      <c r="R332" s="177">
        <f t="shared" si="102"/>
        <v>0.49676600366883261</v>
      </c>
      <c r="S332" s="811">
        <f t="shared" si="103"/>
        <v>-1</v>
      </c>
      <c r="T332" s="176">
        <f t="shared" si="104"/>
        <v>5</v>
      </c>
      <c r="U332" s="251">
        <f t="shared" si="105"/>
        <v>-0.50323399633116739</v>
      </c>
      <c r="V332" s="383">
        <f t="shared" si="106"/>
        <v>28.464606533034907</v>
      </c>
      <c r="W332" s="402"/>
      <c r="X332" s="157">
        <f t="shared" si="107"/>
        <v>44148</v>
      </c>
      <c r="Y332" s="385">
        <f t="shared" si="108"/>
        <v>18.579000000000001</v>
      </c>
      <c r="Z332" s="385">
        <f t="shared" si="109"/>
        <v>18.944307780373773</v>
      </c>
      <c r="AA332" s="386">
        <f t="shared" si="110"/>
        <v>19.89894001792555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4.7974024580797539E-2</v>
      </c>
      <c r="AD332" s="231">
        <f>(INDEX(Models!$BJ332:$BT332,,AH332)*(1-AF332)+INDEX(Models!$BJ332:$BT332,,AH332+1)*AF332-ERP_i)*AE332*Ramure*Pc/MaxiM</f>
        <v>1.4352848602105072E-4</v>
      </c>
      <c r="AE332" s="305">
        <f t="shared" si="112"/>
        <v>0.5</v>
      </c>
      <c r="AF332" s="177">
        <f t="shared" si="113"/>
        <v>0.49676600366883261</v>
      </c>
      <c r="AG332" s="811">
        <f t="shared" si="119"/>
        <v>-1</v>
      </c>
      <c r="AH332" s="176">
        <f t="shared" si="114"/>
        <v>5</v>
      </c>
      <c r="AI332" s="225">
        <f t="shared" si="115"/>
        <v>-0.50323399633116739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7">
        <v>25.408999999999999</v>
      </c>
      <c r="C333" s="390"/>
      <c r="D333" s="393">
        <f t="shared" si="98"/>
        <v>25.909169468344679</v>
      </c>
      <c r="E333" s="385">
        <f t="shared" si="120"/>
        <v>27.215702237101279</v>
      </c>
      <c r="F333" s="385">
        <f t="shared" si="99"/>
        <v>27.219183293094108</v>
      </c>
      <c r="G333" s="110">
        <f t="shared" si="121"/>
        <v>0.90049852579651879</v>
      </c>
      <c r="H333" s="414" t="b">
        <f>Wh_hp&gt;='2019'!Maxi_hp</f>
        <v>1</v>
      </c>
      <c r="I333" s="380">
        <f>IF(H333,Wh_hp,'2019'!Maxi_hp)</f>
        <v>27.219183293094108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1.9304727963425306E-2</v>
      </c>
      <c r="M333" s="845"/>
      <c r="N333" s="845"/>
      <c r="O333" s="48">
        <f>IF(t&lt;Tnet,'2019'!Resal+('2019'!Salim-'2019'!Resal)*(1-EXP(('2019'!Tnet-t)/('2019'!Tau_j))),Resal+(Salim-Resal)*(1-EXP((Tnet-t)/(Tau_j))))*Salcycl</f>
        <v>4.8006579340638705E-2</v>
      </c>
      <c r="P333" s="169">
        <f>(INDEX(Models!$BJ333:$BT333,,T333)*(1-R333)+INDEX(Models!$BJ333:$BT333,,T333+1)*R333-ERP_i)*Q333*Ramure*Pc/MaxiM</f>
        <v>1.4907616556284408E-4</v>
      </c>
      <c r="Q333" s="305">
        <f t="shared" si="101"/>
        <v>0.5</v>
      </c>
      <c r="R333" s="177">
        <f t="shared" si="102"/>
        <v>0.49679771320012767</v>
      </c>
      <c r="S333" s="811">
        <f t="shared" si="103"/>
        <v>-1</v>
      </c>
      <c r="T333" s="176">
        <f t="shared" si="104"/>
        <v>5</v>
      </c>
      <c r="U333" s="251">
        <f t="shared" si="105"/>
        <v>-0.50320228679987233</v>
      </c>
      <c r="V333" s="383">
        <f t="shared" si="106"/>
        <v>28.215994672936851</v>
      </c>
      <c r="W333" s="402"/>
      <c r="X333" s="157">
        <f t="shared" si="107"/>
        <v>44149</v>
      </c>
      <c r="Y333" s="385">
        <f t="shared" si="108"/>
        <v>25.408999999999999</v>
      </c>
      <c r="Z333" s="385">
        <f t="shared" si="109"/>
        <v>25.909169468344679</v>
      </c>
      <c r="AA333" s="386">
        <f t="shared" si="110"/>
        <v>27.215702237101279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4.8006579340638705E-2</v>
      </c>
      <c r="AD333" s="231">
        <f>(INDEX(Models!$BJ333:$BT333,,AH333)*(1-AF333)+INDEX(Models!$BJ333:$BT333,,AH333+1)*AF333-ERP_i)*AE333*Ramure*Pc/MaxiM</f>
        <v>1.4907616556284408E-4</v>
      </c>
      <c r="AE333" s="305">
        <f t="shared" si="112"/>
        <v>0.5</v>
      </c>
      <c r="AF333" s="177">
        <f t="shared" si="113"/>
        <v>0.49679771320012767</v>
      </c>
      <c r="AG333" s="811">
        <f t="shared" si="119"/>
        <v>-1</v>
      </c>
      <c r="AH333" s="176">
        <f t="shared" si="114"/>
        <v>5</v>
      </c>
      <c r="AI333" s="225">
        <f t="shared" si="115"/>
        <v>-0.50320228679987233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7">
        <v>19.382000000000001</v>
      </c>
      <c r="C334" s="390"/>
      <c r="D334" s="393">
        <f t="shared" si="98"/>
        <v>19.763962443287802</v>
      </c>
      <c r="E334" s="385">
        <f t="shared" si="120"/>
        <v>20.761328972410762</v>
      </c>
      <c r="F334" s="385">
        <f t="shared" si="99"/>
        <v>20.763134363948222</v>
      </c>
      <c r="G334" s="110">
        <f t="shared" si="121"/>
        <v>0.69288573608391635</v>
      </c>
      <c r="H334" s="414" t="b">
        <f>Wh_hp&gt;='2019'!Maxi_hp</f>
        <v>0</v>
      </c>
      <c r="I334" s="380">
        <f>IF(H334,Wh_hp,'2019'!Maxi_hp)</f>
        <v>25.63773042545121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1.9326207706770959E-2</v>
      </c>
      <c r="M334" s="845"/>
      <c r="N334" s="845"/>
      <c r="O334" s="48">
        <f>IF(t&lt;Tnet,'2019'!Resal+('2019'!Salim-'2019'!Resal)*(1-EXP(('2019'!Tnet-t)/('2019'!Tau_j))),Resal+(Salim-Resal)*(1-EXP((Tnet-t)/(Tau_j))))*Salcycl</f>
        <v>4.8039628409546349E-2</v>
      </c>
      <c r="P334" s="169">
        <f>(INDEX(Models!$BJ334:$BT334,,T334)*(1-R334)+INDEX(Models!$BJ334:$BT334,,T334+1)*R334-ERP_i)*Q334*Ramure*Pc/MaxiM</f>
        <v>1.5490242509507088E-4</v>
      </c>
      <c r="Q334" s="305">
        <f t="shared" si="101"/>
        <v>0.5</v>
      </c>
      <c r="R334" s="177">
        <f t="shared" si="102"/>
        <v>0.49682814979561729</v>
      </c>
      <c r="S334" s="811">
        <f t="shared" si="103"/>
        <v>-1</v>
      </c>
      <c r="T334" s="176">
        <f t="shared" si="104"/>
        <v>5</v>
      </c>
      <c r="U334" s="251">
        <f t="shared" si="105"/>
        <v>-0.50317185020438271</v>
      </c>
      <c r="V334" s="383">
        <f t="shared" si="106"/>
        <v>27.970965278704302</v>
      </c>
      <c r="W334" s="402"/>
      <c r="X334" s="157">
        <f t="shared" si="107"/>
        <v>44150</v>
      </c>
      <c r="Y334" s="385">
        <f t="shared" si="108"/>
        <v>19.382000000000001</v>
      </c>
      <c r="Z334" s="385">
        <f t="shared" si="109"/>
        <v>19.763962443287802</v>
      </c>
      <c r="AA334" s="386">
        <f t="shared" si="110"/>
        <v>20.761328972410762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4.8039628409546349E-2</v>
      </c>
      <c r="AD334" s="231">
        <f>(INDEX(Models!$BJ334:$BT334,,AH334)*(1-AF334)+INDEX(Models!$BJ334:$BT334,,AH334+1)*AF334-ERP_i)*AE334*Ramure*Pc/MaxiM</f>
        <v>1.5490242509507088E-4</v>
      </c>
      <c r="AE334" s="305">
        <f t="shared" si="112"/>
        <v>0.5</v>
      </c>
      <c r="AF334" s="177">
        <f t="shared" si="113"/>
        <v>0.49682814979561729</v>
      </c>
      <c r="AG334" s="811">
        <f t="shared" si="119"/>
        <v>-1</v>
      </c>
      <c r="AH334" s="176">
        <f t="shared" si="114"/>
        <v>5</v>
      </c>
      <c r="AI334" s="225">
        <f t="shared" si="115"/>
        <v>-0.50317185020438271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7">
        <v>21.956</v>
      </c>
      <c r="C335" s="390"/>
      <c r="D335" s="393">
        <f t="shared" ref="D335:D380" si="122">Wh/(1-Ppv)</f>
        <v>22.389178823610745</v>
      </c>
      <c r="E335" s="385">
        <f t="shared" si="120"/>
        <v>23.519853677144379</v>
      </c>
      <c r="F335" s="385">
        <f t="shared" ref="F335:F380" si="123">Wh_sa/(1-Pvg*MEDIAN((-Sdif+Wh/Env_an)/Csdif,0,1))</f>
        <v>23.52251450981467</v>
      </c>
      <c r="G335" s="110">
        <f t="shared" si="121"/>
        <v>0.79175086132285144</v>
      </c>
      <c r="H335" s="414" t="b">
        <f>Wh_hp&gt;='2019'!Maxi_hp</f>
        <v>0</v>
      </c>
      <c r="I335" s="380">
        <f>IF(H335,Wh_hp,'2019'!Maxi_hp)</f>
        <v>28.670073792979203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1.9347686979655165E-2</v>
      </c>
      <c r="M335" s="845"/>
      <c r="N335" s="845"/>
      <c r="O335" s="48">
        <f>IF(t&lt;Tnet,'2019'!Resal+('2019'!Salim-'2019'!Resal)*(1-EXP(('2019'!Tnet-t)/('2019'!Tau_j))),Resal+(Salim-Resal)*(1-EXP((Tnet-t)/(Tau_j))))*Salcycl</f>
        <v>4.8073209512879675E-2</v>
      </c>
      <c r="P335" s="169">
        <f>(INDEX(Models!$BJ335:$BT335,,T335)*(1-R335)+INDEX(Models!$BJ335:$BT335,,T335+1)*R335-ERP_i)*Q335*Ramure*Pc/MaxiM</f>
        <v>1.6101014383543575E-4</v>
      </c>
      <c r="Q335" s="305">
        <f t="shared" ref="Q335:Q380" si="125">IF(OR(t&lt;Ttai,Notai),Dd+PousD*Croivg,Dens+PousD*(Croivg-Croi_tai))</f>
        <v>0.5</v>
      </c>
      <c r="R335" s="177">
        <f t="shared" ref="R335:R379" si="126">(Hp_vg-S335)/(INDEX(Echel_vg,T335+1)-S335)</f>
        <v>0.49685736440961148</v>
      </c>
      <c r="S335" s="811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-0.50314263559038852</v>
      </c>
      <c r="V335" s="383">
        <f t="shared" ref="V335:V380" si="130">MaxiM*(1-Ppv)*(1-Pvg)*(1-Psa)</f>
        <v>27.729617289542187</v>
      </c>
      <c r="W335" s="402"/>
      <c r="X335" s="157">
        <f t="shared" ref="X335:X380" si="131">t</f>
        <v>44151</v>
      </c>
      <c r="Y335" s="385">
        <f t="shared" ref="Y335:Y380" si="132">Wh_pvt_s*(1-Ppv)</f>
        <v>21.956</v>
      </c>
      <c r="Z335" s="385">
        <f t="shared" ref="Z335:Z380" si="133">Wh_sa_s*(1-Psa_s)</f>
        <v>22.389178823610745</v>
      </c>
      <c r="AA335" s="386">
        <f t="shared" ref="AA335:AA380" si="134">Wh_hp*(1-Pvg_s*MEDIAN((-Sdif+Wh/Env_an)/Csdif,0,1))</f>
        <v>23.519853677144379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4.8073209512879675E-2</v>
      </c>
      <c r="AD335" s="231">
        <f>(INDEX(Models!$BJ335:$BT335,,AH335)*(1-AF335)+INDEX(Models!$BJ335:$BT335,,AH335+1)*AF335-ERP_i)*AE335*Ramure*Pc/MaxiM</f>
        <v>1.6101014383543575E-4</v>
      </c>
      <c r="AE335" s="305">
        <f t="shared" ref="AE335:AE380" si="136">IF(OR(t&lt;Ttai,Notai),Dd_s+PousD*Croivg,Dens_s+PousD*(Croivg-Croi_tai))</f>
        <v>0.5</v>
      </c>
      <c r="AF335" s="177">
        <f t="shared" ref="AF335:AF379" si="137">(Hp_vg_s-AG335)/(INDEX(Echel_vg,AH335+1)-AG335)</f>
        <v>0.49685736440961148</v>
      </c>
      <c r="AG335" s="811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-0.50314263559038852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7">
        <v>25.622</v>
      </c>
      <c r="C336" s="390"/>
      <c r="D336" s="393">
        <f t="shared" si="122"/>
        <v>26.1280790955696</v>
      </c>
      <c r="E336" s="385">
        <f t="shared" si="120"/>
        <v>27.448556637466492</v>
      </c>
      <c r="F336" s="385">
        <f t="shared" si="123"/>
        <v>27.452705708144066</v>
      </c>
      <c r="G336" s="110">
        <f t="shared" si="121"/>
        <v>0.93196336434517812</v>
      </c>
      <c r="H336" s="414" t="b">
        <f>Wh_hp&gt;='2019'!Maxi_hp</f>
        <v>1</v>
      </c>
      <c r="I336" s="380">
        <f>IF(H336,Wh_hp,'2019'!Maxi_hp)</f>
        <v>27.452705708144066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1.9369165782088138E-2</v>
      </c>
      <c r="M336" s="845"/>
      <c r="N336" s="845"/>
      <c r="O336" s="48">
        <f>IF(t&lt;Tnet,'2019'!Resal+('2019'!Salim-'2019'!Resal)*(1-EXP(('2019'!Tnet-t)/('2019'!Tau_j))),Resal+(Salim-Resal)*(1-EXP((Tnet-t)/(Tau_j))))*Salcycl</f>
        <v>4.8107358042079357E-2</v>
      </c>
      <c r="P336" s="169">
        <f>(INDEX(Models!$BJ336:$BT336,,T336)*(1-R336)+INDEX(Models!$BJ336:$BT336,,T336+1)*R336-ERP_i)*Q336*Ramure*Pc/MaxiM</f>
        <v>1.6740229050009344E-4</v>
      </c>
      <c r="Q336" s="305">
        <f t="shared" si="125"/>
        <v>0.5</v>
      </c>
      <c r="R336" s="177">
        <f t="shared" si="126"/>
        <v>0.4968854059682748</v>
      </c>
      <c r="S336" s="811">
        <f t="shared" si="127"/>
        <v>-1</v>
      </c>
      <c r="T336" s="176">
        <f t="shared" si="128"/>
        <v>5</v>
      </c>
      <c r="U336" s="251">
        <f t="shared" si="129"/>
        <v>-0.5031145940317252</v>
      </c>
      <c r="V336" s="383">
        <f t="shared" si="130"/>
        <v>27.492049711721794</v>
      </c>
      <c r="W336" s="402"/>
      <c r="X336" s="157">
        <f t="shared" si="131"/>
        <v>44152</v>
      </c>
      <c r="Y336" s="385">
        <f t="shared" si="132"/>
        <v>25.622</v>
      </c>
      <c r="Z336" s="385">
        <f t="shared" si="133"/>
        <v>26.1280790955696</v>
      </c>
      <c r="AA336" s="386">
        <f t="shared" si="134"/>
        <v>27.448556637466492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4.8107358042079357E-2</v>
      </c>
      <c r="AD336" s="231">
        <f>(INDEX(Models!$BJ336:$BT336,,AH336)*(1-AF336)+INDEX(Models!$BJ336:$BT336,,AH336+1)*AF336-ERP_i)*AE336*Ramure*Pc/MaxiM</f>
        <v>1.6740229050009344E-4</v>
      </c>
      <c r="AE336" s="305">
        <f t="shared" si="136"/>
        <v>0.5</v>
      </c>
      <c r="AF336" s="177">
        <f t="shared" si="137"/>
        <v>0.4968854059682748</v>
      </c>
      <c r="AG336" s="811">
        <f t="shared" ref="AG336:AG379" si="143">INDEX(Echel_vg,AH336)</f>
        <v>-1</v>
      </c>
      <c r="AH336" s="176">
        <f t="shared" si="138"/>
        <v>5</v>
      </c>
      <c r="AI336" s="225">
        <f t="shared" si="139"/>
        <v>-0.5031145940317252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7">
        <v>27.138999999999999</v>
      </c>
      <c r="C337" s="390"/>
      <c r="D337" s="393">
        <f t="shared" si="122"/>
        <v>27.675648653669629</v>
      </c>
      <c r="E337" s="385">
        <f t="shared" si="120"/>
        <v>29.075399652023879</v>
      </c>
      <c r="F337" s="385">
        <f t="shared" si="123"/>
        <v>29.080430360791048</v>
      </c>
      <c r="G337" s="110">
        <f t="shared" si="121"/>
        <v>0.99562001673886757</v>
      </c>
      <c r="H337" s="414" t="b">
        <f>Wh_hp&gt;='2019'!Maxi_hp</f>
        <v>1</v>
      </c>
      <c r="I337" s="380">
        <f>IF(H337,Wh_hp,'2019'!Maxi_hp)</f>
        <v>29.080430360791048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1.9390644114080202E-2</v>
      </c>
      <c r="M337" s="845"/>
      <c r="N337" s="845"/>
      <c r="O337" s="48">
        <f>IF(t&lt;Tnet,'2019'!Resal+('2019'!Salim-'2019'!Resal)*(1-EXP(('2019'!Tnet-t)/('2019'!Tau_j))),Resal+(Salim-Resal)*(1-EXP((Tnet-t)/(Tau_j))))*Salcycl</f>
        <v>4.8142106905031547E-2</v>
      </c>
      <c r="P337" s="169">
        <f>(INDEX(Models!$BJ337:$BT337,,T337)*(1-R337)+INDEX(Models!$BJ337:$BT337,,T337+1)*R337-ERP_i)*Q337*Ramure*Pc/MaxiM</f>
        <v>1.7408190855186791E-4</v>
      </c>
      <c r="Q337" s="305">
        <f t="shared" si="125"/>
        <v>0.5</v>
      </c>
      <c r="R337" s="177">
        <f t="shared" si="126"/>
        <v>0.4969123214494453</v>
      </c>
      <c r="S337" s="811">
        <f t="shared" si="127"/>
        <v>-1</v>
      </c>
      <c r="T337" s="176">
        <f t="shared" si="128"/>
        <v>5</v>
      </c>
      <c r="U337" s="251">
        <f t="shared" si="129"/>
        <v>-0.5030876785505547</v>
      </c>
      <c r="V337" s="383">
        <f t="shared" si="130"/>
        <v>27.258361608588274</v>
      </c>
      <c r="W337" s="402"/>
      <c r="X337" s="157">
        <f t="shared" si="131"/>
        <v>44153</v>
      </c>
      <c r="Y337" s="385">
        <f t="shared" si="132"/>
        <v>27.138999999999999</v>
      </c>
      <c r="Z337" s="385">
        <f t="shared" si="133"/>
        <v>27.675648653669629</v>
      </c>
      <c r="AA337" s="386">
        <f t="shared" si="134"/>
        <v>29.075399652023879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4.8142106905031547E-2</v>
      </c>
      <c r="AD337" s="231">
        <f>(INDEX(Models!$BJ337:$BT337,,AH337)*(1-AF337)+INDEX(Models!$BJ337:$BT337,,AH337+1)*AF337-ERP_i)*AE337*Ramure*Pc/MaxiM</f>
        <v>1.7408190855186791E-4</v>
      </c>
      <c r="AE337" s="305">
        <f t="shared" si="136"/>
        <v>0.5</v>
      </c>
      <c r="AF337" s="177">
        <f t="shared" si="137"/>
        <v>0.4969123214494453</v>
      </c>
      <c r="AG337" s="811">
        <f t="shared" si="143"/>
        <v>-1</v>
      </c>
      <c r="AH337" s="176">
        <f t="shared" si="138"/>
        <v>5</v>
      </c>
      <c r="AI337" s="225">
        <f t="shared" si="139"/>
        <v>-0.5030876785505547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7">
        <v>8.2270000000000003</v>
      </c>
      <c r="C338" s="390"/>
      <c r="D338" s="393">
        <f t="shared" si="122"/>
        <v>8.3898650843771065</v>
      </c>
      <c r="E338" s="385">
        <f t="shared" si="120"/>
        <v>8.8145268308191351</v>
      </c>
      <c r="F338" s="385">
        <f t="shared" si="123"/>
        <v>8.8145368007533911</v>
      </c>
      <c r="G338" s="110">
        <f t="shared" si="121"/>
        <v>0.30432593364750787</v>
      </c>
      <c r="H338" s="414" t="b">
        <f>Wh_hp&gt;='2019'!Maxi_hp</f>
        <v>0</v>
      </c>
      <c r="I338" s="380">
        <f>IF(H338,Wh_hp,'2019'!Maxi_hp)</f>
        <v>30.110087627610774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1.9412121975641683E-2</v>
      </c>
      <c r="M338" s="845"/>
      <c r="N338" s="845"/>
      <c r="O338" s="48">
        <f>IF(t&lt;Tnet,'2019'!Resal+('2019'!Salim-'2019'!Resal)*(1-EXP(('2019'!Tnet-t)/('2019'!Tau_j))),Resal+(Salim-Resal)*(1-EXP((Tnet-t)/(Tau_j))))*Salcycl</f>
        <v>4.8177486391809451E-2</v>
      </c>
      <c r="P338" s="169">
        <f>(INDEX(Models!$BJ338:$BT338,,T338)*(1-R338)+INDEX(Models!$BJ338:$BT338,,T338+1)*R338-ERP_i)*Q338*Ramure*Pc/MaxiM</f>
        <v>1.8074108795427532E-4</v>
      </c>
      <c r="Q338" s="305">
        <f t="shared" si="125"/>
        <v>0.5</v>
      </c>
      <c r="R338" s="177">
        <f t="shared" si="126"/>
        <v>0.4969381559593844</v>
      </c>
      <c r="S338" s="811">
        <f t="shared" si="127"/>
        <v>-1</v>
      </c>
      <c r="T338" s="176">
        <f t="shared" si="128"/>
        <v>5</v>
      </c>
      <c r="U338" s="251">
        <f t="shared" si="129"/>
        <v>-0.5030618440406156</v>
      </c>
      <c r="V338" s="383">
        <f t="shared" si="130"/>
        <v>27.028660516028783</v>
      </c>
      <c r="W338" s="402"/>
      <c r="X338" s="157">
        <f t="shared" si="131"/>
        <v>44154</v>
      </c>
      <c r="Y338" s="385">
        <f t="shared" si="132"/>
        <v>8.2270000000000003</v>
      </c>
      <c r="Z338" s="385">
        <f t="shared" si="133"/>
        <v>8.3898650843771065</v>
      </c>
      <c r="AA338" s="386">
        <f t="shared" si="134"/>
        <v>8.8145268308191351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4.8177486391809451E-2</v>
      </c>
      <c r="AD338" s="231">
        <f>(INDEX(Models!$BJ338:$BT338,,AH338)*(1-AF338)+INDEX(Models!$BJ338:$BT338,,AH338+1)*AF338-ERP_i)*AE338*Ramure*Pc/MaxiM</f>
        <v>1.8074108795427532E-4</v>
      </c>
      <c r="AE338" s="305">
        <f t="shared" si="136"/>
        <v>0.5</v>
      </c>
      <c r="AF338" s="177">
        <f t="shared" si="137"/>
        <v>0.4969381559593844</v>
      </c>
      <c r="AG338" s="811">
        <f t="shared" si="143"/>
        <v>-1</v>
      </c>
      <c r="AH338" s="176">
        <f t="shared" si="138"/>
        <v>5</v>
      </c>
      <c r="AI338" s="225">
        <f t="shared" si="139"/>
        <v>-0.5030618440406156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7">
        <v>18.631</v>
      </c>
      <c r="C339" s="390"/>
      <c r="D339" s="393">
        <f t="shared" si="122"/>
        <v>19.000243112520192</v>
      </c>
      <c r="E339" s="385">
        <f t="shared" si="120"/>
        <v>19.962716000655359</v>
      </c>
      <c r="F339" s="385">
        <f t="shared" si="123"/>
        <v>19.964825533436027</v>
      </c>
      <c r="G339" s="110">
        <f t="shared" si="121"/>
        <v>0.69505076835087021</v>
      </c>
      <c r="H339" s="414" t="b">
        <f>Wh_hp&gt;='2019'!Maxi_hp</f>
        <v>0</v>
      </c>
      <c r="I339" s="380">
        <f>IF(H339,Wh_hp,'2019'!Maxi_hp)</f>
        <v>29.084066217541494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1.9433599366782794E-2</v>
      </c>
      <c r="M339" s="845"/>
      <c r="N339" s="845"/>
      <c r="O339" s="48">
        <f>IF(t&lt;Tnet,'2019'!Resal+('2019'!Salim-'2019'!Resal)*(1-EXP(('2019'!Tnet-t)/('2019'!Tau_j))),Resal+(Salim-Resal)*(1-EXP((Tnet-t)/(Tau_j))))*Salcycl</f>
        <v>4.8213524056724917E-2</v>
      </c>
      <c r="P339" s="169">
        <f>(INDEX(Models!$BJ339:$BT339,,T339)*(1-R339)+INDEX(Models!$BJ339:$BT339,,T339+1)*R339-ERP_i)*Q339*Ramure*Pc/MaxiM</f>
        <v>1.871990236347914E-4</v>
      </c>
      <c r="Q339" s="305">
        <f t="shared" si="125"/>
        <v>0.5</v>
      </c>
      <c r="R339" s="177">
        <f t="shared" si="126"/>
        <v>0.49696295280656955</v>
      </c>
      <c r="S339" s="811">
        <f t="shared" si="127"/>
        <v>-1</v>
      </c>
      <c r="T339" s="176">
        <f t="shared" si="128"/>
        <v>5</v>
      </c>
      <c r="U339" s="251">
        <f t="shared" si="129"/>
        <v>-0.50303704719343045</v>
      </c>
      <c r="V339" s="383">
        <f t="shared" si="130"/>
        <v>26.803050338528362</v>
      </c>
      <c r="W339" s="402"/>
      <c r="X339" s="157">
        <f t="shared" si="131"/>
        <v>44155</v>
      </c>
      <c r="Y339" s="385">
        <f t="shared" si="132"/>
        <v>18.631</v>
      </c>
      <c r="Z339" s="385">
        <f t="shared" si="133"/>
        <v>19.000243112520192</v>
      </c>
      <c r="AA339" s="386">
        <f t="shared" si="134"/>
        <v>19.962716000655359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4.8213524056724917E-2</v>
      </c>
      <c r="AD339" s="231">
        <f>(INDEX(Models!$BJ339:$BT339,,AH339)*(1-AF339)+INDEX(Models!$BJ339:$BT339,,AH339+1)*AF339-ERP_i)*AE339*Ramure*Pc/MaxiM</f>
        <v>1.871990236347914E-4</v>
      </c>
      <c r="AE339" s="305">
        <f t="shared" si="136"/>
        <v>0.5</v>
      </c>
      <c r="AF339" s="177">
        <f t="shared" si="137"/>
        <v>0.49696295280656955</v>
      </c>
      <c r="AG339" s="811">
        <f t="shared" si="143"/>
        <v>-1</v>
      </c>
      <c r="AH339" s="176">
        <f t="shared" si="138"/>
        <v>5</v>
      </c>
      <c r="AI339" s="225">
        <f t="shared" si="139"/>
        <v>-0.50303704719343045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7">
        <v>27.61</v>
      </c>
      <c r="C340" s="390"/>
      <c r="D340" s="393">
        <f t="shared" si="122"/>
        <v>28.157812388099995</v>
      </c>
      <c r="E340" s="385">
        <f t="shared" si="120"/>
        <v>29.585310874898443</v>
      </c>
      <c r="F340" s="385">
        <f t="shared" si="123"/>
        <v>29.591035421411469</v>
      </c>
      <c r="G340" s="110">
        <f t="shared" si="121"/>
        <v>1.038687240367683</v>
      </c>
      <c r="H340" s="414" t="b">
        <f>Wh_hp&gt;='2019'!Maxi_hp</f>
        <v>1</v>
      </c>
      <c r="I340" s="380">
        <f>IF(H340,Wh_hp,'2019'!Maxi_hp)</f>
        <v>29.591035421411469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1.9455076287514084E-2</v>
      </c>
      <c r="M340" s="845"/>
      <c r="N340" s="845"/>
      <c r="O340" s="48">
        <f>IF(t&lt;Tnet,'2019'!Resal+('2019'!Salim-'2019'!Resal)*(1-EXP(('2019'!Tnet-t)/('2019'!Tau_j))),Resal+(Salim-Resal)*(1-EXP((Tnet-t)/(Tau_j))))*Salcycl</f>
        <v>4.8250244617493665E-2</v>
      </c>
      <c r="P340" s="169">
        <f>(INDEX(Models!$BJ340:$BT340,,T340)*(1-R340)+INDEX(Models!$BJ340:$BT340,,T340+1)*R340-ERP_i)*Q340*Ramure*Pc/MaxiM</f>
        <v>1.9345543106223428E-4</v>
      </c>
      <c r="Q340" s="305">
        <f t="shared" si="125"/>
        <v>0.5</v>
      </c>
      <c r="R340" s="177">
        <f t="shared" si="126"/>
        <v>0.49698675357263811</v>
      </c>
      <c r="S340" s="811">
        <f t="shared" si="127"/>
        <v>-1</v>
      </c>
      <c r="T340" s="176">
        <f t="shared" si="128"/>
        <v>5</v>
      </c>
      <c r="U340" s="251">
        <f t="shared" si="129"/>
        <v>-0.50301324642736189</v>
      </c>
      <c r="V340" s="383">
        <f t="shared" si="130"/>
        <v>26.581630087442285</v>
      </c>
      <c r="W340" s="402"/>
      <c r="X340" s="157">
        <f t="shared" si="131"/>
        <v>44156</v>
      </c>
      <c r="Y340" s="385">
        <f t="shared" si="132"/>
        <v>27.61</v>
      </c>
      <c r="Z340" s="385">
        <f t="shared" si="133"/>
        <v>28.157812388099995</v>
      </c>
      <c r="AA340" s="386">
        <f t="shared" si="134"/>
        <v>29.585310874898443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4.8250244617493665E-2</v>
      </c>
      <c r="AD340" s="231">
        <f>(INDEX(Models!$BJ340:$BT340,,AH340)*(1-AF340)+INDEX(Models!$BJ340:$BT340,,AH340+1)*AF340-ERP_i)*AE340*Ramure*Pc/MaxiM</f>
        <v>1.9345543106223428E-4</v>
      </c>
      <c r="AE340" s="305">
        <f t="shared" si="136"/>
        <v>0.5</v>
      </c>
      <c r="AF340" s="177">
        <f t="shared" si="137"/>
        <v>0.49698675357263811</v>
      </c>
      <c r="AG340" s="811">
        <f t="shared" si="143"/>
        <v>-1</v>
      </c>
      <c r="AH340" s="176">
        <f t="shared" si="138"/>
        <v>5</v>
      </c>
      <c r="AI340" s="225">
        <f t="shared" si="139"/>
        <v>-0.50301324642736189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7">
        <v>27.582000000000001</v>
      </c>
      <c r="C341" s="390"/>
      <c r="D341" s="393">
        <f t="shared" si="122"/>
        <v>28.129872954099412</v>
      </c>
      <c r="E341" s="385">
        <f t="shared" si="120"/>
        <v>29.557117275470748</v>
      </c>
      <c r="F341" s="385">
        <f t="shared" si="123"/>
        <v>29.56301535081597</v>
      </c>
      <c r="G341" s="110">
        <f t="shared" si="121"/>
        <v>1.0461795663788345</v>
      </c>
      <c r="H341" s="414" t="b">
        <f>Wh_hp&gt;='2019'!Maxi_hp</f>
        <v>1</v>
      </c>
      <c r="I341" s="380">
        <f>IF(H341,Wh_hp,'2019'!Maxi_hp)</f>
        <v>29.56301535081597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1.9476552737845543E-2</v>
      </c>
      <c r="M341" s="845"/>
      <c r="N341" s="845"/>
      <c r="O341" s="48">
        <f>IF(t&lt;Tnet,'2019'!Resal+('2019'!Salim-'2019'!Resal)*(1-EXP(('2019'!Tnet-t)/('2019'!Tau_j))),Resal+(Salim-Resal)*(1-EXP((Tnet-t)/(Tau_j))))*Salcycl</f>
        <v>4.8287669872183282E-2</v>
      </c>
      <c r="P341" s="169">
        <f>(INDEX(Models!$BJ341:$BT341,,T341)*(1-R341)+INDEX(Models!$BJ341:$BT341,,T341+1)*R341-ERP_i)*Q341*Ramure*Pc/MaxiM</f>
        <v>1.9950858446710187E-4</v>
      </c>
      <c r="Q341" s="305">
        <f t="shared" si="125"/>
        <v>0.5</v>
      </c>
      <c r="R341" s="177">
        <f t="shared" si="126"/>
        <v>0.49700959818058776</v>
      </c>
      <c r="S341" s="811">
        <f t="shared" si="127"/>
        <v>-1</v>
      </c>
      <c r="T341" s="176">
        <f t="shared" si="128"/>
        <v>5</v>
      </c>
      <c r="U341" s="251">
        <f t="shared" si="129"/>
        <v>-0.50299040181941224</v>
      </c>
      <c r="V341" s="383">
        <f t="shared" si="130"/>
        <v>26.364498874194432</v>
      </c>
      <c r="W341" s="402"/>
      <c r="X341" s="157">
        <f t="shared" si="131"/>
        <v>44157</v>
      </c>
      <c r="Y341" s="385">
        <f t="shared" si="132"/>
        <v>27.582000000000001</v>
      </c>
      <c r="Z341" s="385">
        <f t="shared" si="133"/>
        <v>28.129872954099412</v>
      </c>
      <c r="AA341" s="386">
        <f t="shared" si="134"/>
        <v>29.557117275470748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4.8287669872183282E-2</v>
      </c>
      <c r="AD341" s="231">
        <f>(INDEX(Models!$BJ341:$BT341,,AH341)*(1-AF341)+INDEX(Models!$BJ341:$BT341,,AH341+1)*AF341-ERP_i)*AE341*Ramure*Pc/MaxiM</f>
        <v>1.9950858446710187E-4</v>
      </c>
      <c r="AE341" s="305">
        <f t="shared" si="136"/>
        <v>0.5</v>
      </c>
      <c r="AF341" s="177">
        <f t="shared" si="137"/>
        <v>0.49700959818058776</v>
      </c>
      <c r="AG341" s="811">
        <f t="shared" si="143"/>
        <v>-1</v>
      </c>
      <c r="AH341" s="176">
        <f t="shared" si="138"/>
        <v>5</v>
      </c>
      <c r="AI341" s="225">
        <f t="shared" si="139"/>
        <v>-0.50299040181941224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7">
        <v>25.398</v>
      </c>
      <c r="C342" s="390"/>
      <c r="D342" s="393">
        <f t="shared" si="122"/>
        <v>25.903058580072798</v>
      </c>
      <c r="E342" s="385">
        <f t="shared" si="120"/>
        <v>27.218410551923654</v>
      </c>
      <c r="F342" s="385">
        <f t="shared" si="123"/>
        <v>27.223770958160259</v>
      </c>
      <c r="G342" s="110">
        <f t="shared" si="121"/>
        <v>0.97116940605772195</v>
      </c>
      <c r="H342" s="414" t="b">
        <f>Wh_hp&gt;='2019'!Maxi_hp</f>
        <v>1</v>
      </c>
      <c r="I342" s="380">
        <f>IF(H342,Wh_hp,'2019'!Maxi_hp)</f>
        <v>27.223770958160259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1.9498028717787719E-2</v>
      </c>
      <c r="M342" s="845"/>
      <c r="N342" s="845"/>
      <c r="O342" s="48">
        <f>IF(t&lt;Tnet,'2019'!Resal+('2019'!Salim-'2019'!Resal)*(1-EXP(('2019'!Tnet-t)/('2019'!Tau_j))),Resal+(Salim-Resal)*(1-EXP((Tnet-t)/(Tau_j))))*Salcycl</f>
        <v>4.832581863447187E-2</v>
      </c>
      <c r="P342" s="169">
        <f>(INDEX(Models!$BJ342:$BT342,,T342)*(1-R342)+INDEX(Models!$BJ342:$BT342,,T342+1)*R342-ERP_i)*Q342*Ramure*Pc/MaxiM</f>
        <v>2.0535722879760486E-4</v>
      </c>
      <c r="Q342" s="305">
        <f t="shared" si="125"/>
        <v>0.5</v>
      </c>
      <c r="R342" s="177">
        <f t="shared" si="126"/>
        <v>0.49703152496033587</v>
      </c>
      <c r="S342" s="811">
        <f t="shared" si="127"/>
        <v>-1</v>
      </c>
      <c r="T342" s="176">
        <f t="shared" si="128"/>
        <v>5</v>
      </c>
      <c r="U342" s="251">
        <f t="shared" si="129"/>
        <v>-0.50296847503966413</v>
      </c>
      <c r="V342" s="383">
        <f t="shared" si="130"/>
        <v>26.151755857687537</v>
      </c>
      <c r="W342" s="402"/>
      <c r="X342" s="157">
        <f t="shared" si="131"/>
        <v>44158</v>
      </c>
      <c r="Y342" s="385">
        <f t="shared" si="132"/>
        <v>25.398</v>
      </c>
      <c r="Z342" s="385">
        <f t="shared" si="133"/>
        <v>25.903058580072798</v>
      </c>
      <c r="AA342" s="386">
        <f t="shared" si="134"/>
        <v>27.218410551923654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4.832581863447187E-2</v>
      </c>
      <c r="AD342" s="231">
        <f>(INDEX(Models!$BJ342:$BT342,,AH342)*(1-AF342)+INDEX(Models!$BJ342:$BT342,,AH342+1)*AF342-ERP_i)*AE342*Ramure*Pc/MaxiM</f>
        <v>2.0535722879760486E-4</v>
      </c>
      <c r="AE342" s="305">
        <f t="shared" si="136"/>
        <v>0.5</v>
      </c>
      <c r="AF342" s="177">
        <f t="shared" si="137"/>
        <v>0.49703152496033587</v>
      </c>
      <c r="AG342" s="811">
        <f t="shared" si="143"/>
        <v>-1</v>
      </c>
      <c r="AH342" s="176">
        <f t="shared" si="138"/>
        <v>5</v>
      </c>
      <c r="AI342" s="225">
        <f t="shared" si="139"/>
        <v>-0.50296847503966413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7">
        <v>24.614000000000001</v>
      </c>
      <c r="C343" s="390"/>
      <c r="D343" s="393">
        <f t="shared" si="122"/>
        <v>25.104017985185315</v>
      </c>
      <c r="E343" s="385">
        <f t="shared" si="120"/>
        <v>26.379872795390582</v>
      </c>
      <c r="F343" s="385">
        <f t="shared" si="123"/>
        <v>26.38503248912658</v>
      </c>
      <c r="G343" s="110">
        <f t="shared" si="121"/>
        <v>0.94873935626539951</v>
      </c>
      <c r="H343" s="414" t="b">
        <f>Wh_hp&gt;='2019'!Maxi_hp</f>
        <v>1</v>
      </c>
      <c r="I343" s="380">
        <f>IF(H343,Wh_hp,'2019'!Maxi_hp)</f>
        <v>26.38503248912658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1.9519504227350715E-2</v>
      </c>
      <c r="M343" s="845"/>
      <c r="N343" s="845"/>
      <c r="O343" s="48">
        <f>IF(t&lt;Tnet,'2019'!Resal+('2019'!Salim-'2019'!Resal)*(1-EXP(('2019'!Tnet-t)/('2019'!Tau_j))),Resal+(Salim-Resal)*(1-EXP((Tnet-t)/(Tau_j))))*Salcycl</f>
        <v>4.8364706687600081E-2</v>
      </c>
      <c r="P343" s="169">
        <f>(INDEX(Models!$BJ343:$BT343,,T343)*(1-R343)+INDEX(Models!$BJ343:$BT343,,T343+1)*R343-ERP_i)*Q343*Ramure*Pc/MaxiM</f>
        <v>2.110008828085122E-4</v>
      </c>
      <c r="Q343" s="305">
        <f t="shared" si="125"/>
        <v>0.5</v>
      </c>
      <c r="R343" s="177">
        <f t="shared" si="126"/>
        <v>0.49705257071173314</v>
      </c>
      <c r="S343" s="811">
        <f t="shared" si="127"/>
        <v>-1</v>
      </c>
      <c r="T343" s="176">
        <f t="shared" si="128"/>
        <v>5</v>
      </c>
      <c r="U343" s="251">
        <f t="shared" si="129"/>
        <v>-0.50294742928826686</v>
      </c>
      <c r="V343" s="383">
        <f t="shared" si="130"/>
        <v>25.943500234216391</v>
      </c>
      <c r="W343" s="402"/>
      <c r="X343" s="157">
        <f t="shared" si="131"/>
        <v>44159</v>
      </c>
      <c r="Y343" s="385">
        <f t="shared" si="132"/>
        <v>24.614000000000001</v>
      </c>
      <c r="Z343" s="385">
        <f t="shared" si="133"/>
        <v>25.104017985185315</v>
      </c>
      <c r="AA343" s="386">
        <f t="shared" si="134"/>
        <v>26.379872795390582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4.8364706687600081E-2</v>
      </c>
      <c r="AD343" s="231">
        <f>(INDEX(Models!$BJ343:$BT343,,AH343)*(1-AF343)+INDEX(Models!$BJ343:$BT343,,AH343+1)*AF343-ERP_i)*AE343*Ramure*Pc/MaxiM</f>
        <v>2.110008828085122E-4</v>
      </c>
      <c r="AE343" s="305">
        <f t="shared" si="136"/>
        <v>0.5</v>
      </c>
      <c r="AF343" s="177">
        <f t="shared" si="137"/>
        <v>0.49705257071173314</v>
      </c>
      <c r="AG343" s="811">
        <f t="shared" si="143"/>
        <v>-1</v>
      </c>
      <c r="AH343" s="176">
        <f t="shared" si="138"/>
        <v>5</v>
      </c>
      <c r="AI343" s="225">
        <f t="shared" si="139"/>
        <v>-0.50294742928826686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7">
        <v>24.992999999999999</v>
      </c>
      <c r="C344" s="390"/>
      <c r="D344" s="393">
        <f t="shared" si="122"/>
        <v>25.491121476248345</v>
      </c>
      <c r="E344" s="385">
        <f t="shared" si="120"/>
        <v>26.787765779911176</v>
      </c>
      <c r="F344" s="385">
        <f t="shared" si="123"/>
        <v>26.793324525882319</v>
      </c>
      <c r="G344" s="110">
        <f t="shared" si="121"/>
        <v>0.97097667353997708</v>
      </c>
      <c r="H344" s="414" t="b">
        <f>Wh_hp&gt;='2019'!Maxi_hp</f>
        <v>1</v>
      </c>
      <c r="I344" s="380">
        <f>IF(H344,Wh_hp,'2019'!Maxi_hp)</f>
        <v>26.793324525882319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1.9540979266544967E-2</v>
      </c>
      <c r="M344" s="845"/>
      <c r="N344" s="845"/>
      <c r="O344" s="48">
        <f>IF(t&lt;Tnet,'2019'!Resal+('2019'!Salim-'2019'!Resal)*(1-EXP(('2019'!Tnet-t)/('2019'!Tau_j))),Resal+(Salim-Resal)*(1-EXP((Tnet-t)/(Tau_j))))*Salcycl</f>
        <v>4.8404346757250562E-2</v>
      </c>
      <c r="P344" s="169">
        <f>(INDEX(Models!$BJ344:$BT344,,T344)*(1-R344)+INDEX(Models!$BJ344:$BT344,,T344+1)*R344-ERP_i)*Q344*Ramure*Pc/MaxiM</f>
        <v>2.1643884202810073E-4</v>
      </c>
      <c r="Q344" s="305">
        <f t="shared" si="125"/>
        <v>0.5</v>
      </c>
      <c r="R344" s="177">
        <f t="shared" si="126"/>
        <v>0.49707277076513146</v>
      </c>
      <c r="S344" s="811">
        <f t="shared" si="127"/>
        <v>-1</v>
      </c>
      <c r="T344" s="176">
        <f t="shared" si="128"/>
        <v>5</v>
      </c>
      <c r="U344" s="251">
        <f t="shared" si="129"/>
        <v>-0.50292722923486854</v>
      </c>
      <c r="V344" s="383">
        <f t="shared" si="130"/>
        <v>25.739831260197885</v>
      </c>
      <c r="W344" s="402"/>
      <c r="X344" s="157">
        <f t="shared" si="131"/>
        <v>44160</v>
      </c>
      <c r="Y344" s="385">
        <f t="shared" si="132"/>
        <v>24.992999999999999</v>
      </c>
      <c r="Z344" s="385">
        <f t="shared" si="133"/>
        <v>25.491121476248345</v>
      </c>
      <c r="AA344" s="386">
        <f t="shared" si="134"/>
        <v>26.787765779911176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4.8404346757250562E-2</v>
      </c>
      <c r="AD344" s="231">
        <f>(INDEX(Models!$BJ344:$BT344,,AH344)*(1-AF344)+INDEX(Models!$BJ344:$BT344,,AH344+1)*AF344-ERP_i)*AE344*Ramure*Pc/MaxiM</f>
        <v>2.1643884202810073E-4</v>
      </c>
      <c r="AE344" s="305">
        <f t="shared" si="136"/>
        <v>0.5</v>
      </c>
      <c r="AF344" s="177">
        <f t="shared" si="137"/>
        <v>0.49707277076513146</v>
      </c>
      <c r="AG344" s="811">
        <f t="shared" si="143"/>
        <v>-1</v>
      </c>
      <c r="AH344" s="176">
        <f t="shared" si="138"/>
        <v>5</v>
      </c>
      <c r="AI344" s="225">
        <f t="shared" si="139"/>
        <v>-0.50292722923486854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7">
        <v>20.407</v>
      </c>
      <c r="C345" s="390"/>
      <c r="D345" s="393">
        <f t="shared" si="122"/>
        <v>20.814176364247057</v>
      </c>
      <c r="E345" s="385">
        <f t="shared" si="120"/>
        <v>21.873849502182345</v>
      </c>
      <c r="F345" s="385">
        <f t="shared" si="123"/>
        <v>21.877307656306048</v>
      </c>
      <c r="G345" s="110">
        <f t="shared" si="121"/>
        <v>0.79904664561066363</v>
      </c>
      <c r="H345" s="414" t="b">
        <f>Wh_hp&gt;='2019'!Maxi_hp</f>
        <v>0</v>
      </c>
      <c r="I345" s="380">
        <f>IF(H345,Wh_hp,'2019'!Maxi_hp)</f>
        <v>25.130362962848679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1.95624538353808E-2</v>
      </c>
      <c r="M345" s="845"/>
      <c r="N345" s="845"/>
      <c r="O345" s="48">
        <f>IF(t&lt;Tnet,'2019'!Resal+('2019'!Salim-'2019'!Resal)*(1-EXP(('2019'!Tnet-t)/('2019'!Tau_j))),Resal+(Salim-Resal)*(1-EXP((Tnet-t)/(Tau_j))))*Salcycl</f>
        <v>4.8444748503438557E-2</v>
      </c>
      <c r="P345" s="169">
        <f>(INDEX(Models!$BJ345:$BT345,,T345)*(1-R345)+INDEX(Models!$BJ345:$BT345,,T345+1)*R345-ERP_i)*Q345*Ramure*Pc/MaxiM</f>
        <v>2.2169868512836262E-4</v>
      </c>
      <c r="Q345" s="305">
        <f t="shared" si="125"/>
        <v>0.5</v>
      </c>
      <c r="R345" s="177">
        <f t="shared" si="126"/>
        <v>0.49709215903959203</v>
      </c>
      <c r="S345" s="811">
        <f t="shared" si="127"/>
        <v>-1</v>
      </c>
      <c r="T345" s="176">
        <f t="shared" si="128"/>
        <v>5</v>
      </c>
      <c r="U345" s="251">
        <f t="shared" si="129"/>
        <v>-0.50290784096040797</v>
      </c>
      <c r="V345" s="383">
        <f t="shared" si="130"/>
        <v>25.537559595290805</v>
      </c>
      <c r="W345" s="402"/>
      <c r="X345" s="157">
        <f t="shared" si="131"/>
        <v>44161</v>
      </c>
      <c r="Y345" s="385">
        <f t="shared" si="132"/>
        <v>20.407</v>
      </c>
      <c r="Z345" s="385">
        <f t="shared" si="133"/>
        <v>20.814176364247057</v>
      </c>
      <c r="AA345" s="386">
        <f t="shared" si="134"/>
        <v>21.873849502182345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4.8444748503438557E-2</v>
      </c>
      <c r="AD345" s="231">
        <f>(INDEX(Models!$BJ345:$BT345,,AH345)*(1-AF345)+INDEX(Models!$BJ345:$BT345,,AH345+1)*AF345-ERP_i)*AE345*Ramure*Pc/MaxiM</f>
        <v>2.2169868512836262E-4</v>
      </c>
      <c r="AE345" s="305">
        <f t="shared" si="136"/>
        <v>0.5</v>
      </c>
      <c r="AF345" s="177">
        <f t="shared" si="137"/>
        <v>0.49709215903959203</v>
      </c>
      <c r="AG345" s="811">
        <f t="shared" si="143"/>
        <v>-1</v>
      </c>
      <c r="AH345" s="176">
        <f t="shared" si="138"/>
        <v>5</v>
      </c>
      <c r="AI345" s="225">
        <f t="shared" si="139"/>
        <v>-0.50290784096040797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7">
        <v>14.461</v>
      </c>
      <c r="C346" s="390"/>
      <c r="D346" s="393">
        <f t="shared" si="122"/>
        <v>14.749860199175282</v>
      </c>
      <c r="E346" s="385">
        <f t="shared" si="120"/>
        <v>15.50146286475235</v>
      </c>
      <c r="F346" s="385">
        <f t="shared" si="123"/>
        <v>15.502821499090683</v>
      </c>
      <c r="G346" s="110">
        <f t="shared" si="121"/>
        <v>0.57072626251766767</v>
      </c>
      <c r="H346" s="414" t="b">
        <f>Wh_hp&gt;='2019'!Maxi_hp</f>
        <v>0</v>
      </c>
      <c r="I346" s="380">
        <f>IF(H346,Wh_hp,'2019'!Maxi_hp)</f>
        <v>18.630206084198146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1.9583927933868428E-2</v>
      </c>
      <c r="M346" s="845"/>
      <c r="N346" s="845"/>
      <c r="O346" s="48">
        <f>IF(t&lt;Tnet,'2019'!Resal+('2019'!Salim-'2019'!Resal)*(1-EXP(('2019'!Tnet-t)/('2019'!Tau_j))),Resal+(Salim-Resal)*(1-EXP((Tnet-t)/(Tau_j))))*Salcycl</f>
        <v>4.848591853134597E-2</v>
      </c>
      <c r="P346" s="169">
        <f>(INDEX(Models!$BJ346:$BT346,,T346)*(1-R346)+INDEX(Models!$BJ346:$BT346,,T346+1)*R346-ERP_i)*Q346*Ramure*Pc/MaxiM</f>
        <v>2.2653343826105571E-4</v>
      </c>
      <c r="Q346" s="305">
        <f t="shared" si="125"/>
        <v>0.5</v>
      </c>
      <c r="R346" s="177">
        <f t="shared" si="126"/>
        <v>0.49711076809882682</v>
      </c>
      <c r="S346" s="811">
        <f t="shared" si="127"/>
        <v>-1</v>
      </c>
      <c r="T346" s="176">
        <f t="shared" si="128"/>
        <v>5</v>
      </c>
      <c r="U346" s="251">
        <f t="shared" si="129"/>
        <v>-0.50288923190117318</v>
      </c>
      <c r="V346" s="383">
        <f t="shared" si="130"/>
        <v>25.334371667845275</v>
      </c>
      <c r="W346" s="402"/>
      <c r="X346" s="157">
        <f t="shared" si="131"/>
        <v>44162</v>
      </c>
      <c r="Y346" s="385">
        <f t="shared" si="132"/>
        <v>14.461</v>
      </c>
      <c r="Z346" s="385">
        <f t="shared" si="133"/>
        <v>14.749860199175282</v>
      </c>
      <c r="AA346" s="386">
        <f t="shared" si="134"/>
        <v>15.50146286475235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4.848591853134597E-2</v>
      </c>
      <c r="AD346" s="231">
        <f>(INDEX(Models!$BJ346:$BT346,,AH346)*(1-AF346)+INDEX(Models!$BJ346:$BT346,,AH346+1)*AF346-ERP_i)*AE346*Ramure*Pc/MaxiM</f>
        <v>2.2653343826105571E-4</v>
      </c>
      <c r="AE346" s="305">
        <f t="shared" si="136"/>
        <v>0.5</v>
      </c>
      <c r="AF346" s="177">
        <f t="shared" si="137"/>
        <v>0.49711076809882682</v>
      </c>
      <c r="AG346" s="811">
        <f t="shared" si="143"/>
        <v>-1</v>
      </c>
      <c r="AH346" s="176">
        <f t="shared" si="138"/>
        <v>5</v>
      </c>
      <c r="AI346" s="225">
        <f t="shared" si="139"/>
        <v>-0.50288923190117318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7">
        <v>7.9489999999999998</v>
      </c>
      <c r="C347" s="390"/>
      <c r="D347" s="393">
        <f t="shared" si="122"/>
        <v>8.107959807882235</v>
      </c>
      <c r="E347" s="385">
        <f t="shared" si="120"/>
        <v>8.5214894589228578</v>
      </c>
      <c r="F347" s="385">
        <f t="shared" si="123"/>
        <v>8.5215352513610387</v>
      </c>
      <c r="G347" s="110">
        <f t="shared" si="121"/>
        <v>0.31622280080720394</v>
      </c>
      <c r="H347" s="414" t="b">
        <f>Wh_hp&gt;='2019'!Maxi_hp</f>
        <v>0</v>
      </c>
      <c r="I347" s="380">
        <f>IF(H347,Wh_hp,'2019'!Maxi_hp)</f>
        <v>26.41641779115476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1.9605401562018177E-2</v>
      </c>
      <c r="M347" s="845"/>
      <c r="N347" s="845"/>
      <c r="O347" s="48">
        <f>IF(t&lt;Tnet,'2019'!Resal+('2019'!Salim-'2019'!Resal)*(1-EXP(('2019'!Tnet-t)/('2019'!Tau_j))),Resal+(Salim-Resal)*(1-EXP((Tnet-t)/(Tau_j))))*Salcycl</f>
        <v>4.8527860420881704E-2</v>
      </c>
      <c r="P347" s="169">
        <f>(INDEX(Models!$BJ347:$BT347,,T347)*(1-R347)+INDEX(Models!$BJ347:$BT347,,T347+1)*R347-ERP_i)*Q347*Ramure*Pc/MaxiM</f>
        <v>2.3085699942163195E-4</v>
      </c>
      <c r="Q347" s="305">
        <f t="shared" si="125"/>
        <v>0.5</v>
      </c>
      <c r="R347" s="177">
        <f t="shared" si="126"/>
        <v>0.49712862920495593</v>
      </c>
      <c r="S347" s="811">
        <f t="shared" si="127"/>
        <v>-1</v>
      </c>
      <c r="T347" s="176">
        <f t="shared" si="128"/>
        <v>5</v>
      </c>
      <c r="U347" s="251">
        <f t="shared" si="129"/>
        <v>-0.50287137079504407</v>
      </c>
      <c r="V347" s="383">
        <f t="shared" si="130"/>
        <v>25.1316717313907</v>
      </c>
      <c r="W347" s="402"/>
      <c r="X347" s="157">
        <f t="shared" si="131"/>
        <v>44163</v>
      </c>
      <c r="Y347" s="385">
        <f t="shared" si="132"/>
        <v>7.9489999999999998</v>
      </c>
      <c r="Z347" s="385">
        <f t="shared" si="133"/>
        <v>8.107959807882235</v>
      </c>
      <c r="AA347" s="386">
        <f t="shared" si="134"/>
        <v>8.5214894589228578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4.8527860420881704E-2</v>
      </c>
      <c r="AD347" s="231">
        <f>(INDEX(Models!$BJ347:$BT347,,AH347)*(1-AF347)+INDEX(Models!$BJ347:$BT347,,AH347+1)*AF347-ERP_i)*AE347*Ramure*Pc/MaxiM</f>
        <v>2.3085699942163195E-4</v>
      </c>
      <c r="AE347" s="305">
        <f t="shared" si="136"/>
        <v>0.5</v>
      </c>
      <c r="AF347" s="177">
        <f t="shared" si="137"/>
        <v>0.49712862920495593</v>
      </c>
      <c r="AG347" s="811">
        <f t="shared" si="143"/>
        <v>-1</v>
      </c>
      <c r="AH347" s="176">
        <f t="shared" si="138"/>
        <v>5</v>
      </c>
      <c r="AI347" s="225">
        <f t="shared" si="139"/>
        <v>-0.50287137079504407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7">
        <v>23.954999999999998</v>
      </c>
      <c r="C348" s="390"/>
      <c r="D348" s="393">
        <f t="shared" si="122"/>
        <v>24.434574329191669</v>
      </c>
      <c r="E348" s="385">
        <f t="shared" si="120"/>
        <v>25.681961984098844</v>
      </c>
      <c r="F348" s="385">
        <f t="shared" si="123"/>
        <v>25.687652657075112</v>
      </c>
      <c r="G348" s="110">
        <f t="shared" si="121"/>
        <v>0.96084466439937288</v>
      </c>
      <c r="H348" s="414" t="b">
        <f>Wh_hp&gt;='2019'!Maxi_hp</f>
        <v>1</v>
      </c>
      <c r="I348" s="380">
        <f>IF(H348,Wh_hp,'2019'!Maxi_hp)</f>
        <v>25.687652657075112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1.962687471984037E-2</v>
      </c>
      <c r="M348" s="845"/>
      <c r="N348" s="845"/>
      <c r="O348" s="48">
        <f>IF(t&lt;Tnet,'2019'!Resal+('2019'!Salim-'2019'!Resal)*(1-EXP(('2019'!Tnet-t)/('2019'!Tau_j))),Resal+(Salim-Resal)*(1-EXP((Tnet-t)/(Tau_j))))*Salcycl</f>
        <v>4.8570574774602575E-2</v>
      </c>
      <c r="P348" s="169">
        <f>(INDEX(Models!$BJ348:$BT348,,T348)*(1-R348)+INDEX(Models!$BJ348:$BT348,,T348+1)*R348-ERP_i)*Q348*Ramure*Pc/MaxiM</f>
        <v>2.3465487081407842E-4</v>
      </c>
      <c r="Q348" s="305">
        <f t="shared" si="125"/>
        <v>0.5</v>
      </c>
      <c r="R348" s="177">
        <f t="shared" si="126"/>
        <v>0.49714577237016511</v>
      </c>
      <c r="S348" s="811">
        <f t="shared" si="127"/>
        <v>-1</v>
      </c>
      <c r="T348" s="176">
        <f t="shared" si="128"/>
        <v>5</v>
      </c>
      <c r="U348" s="251">
        <f t="shared" si="129"/>
        <v>-0.50285422762983489</v>
      </c>
      <c r="V348" s="383">
        <f t="shared" si="130"/>
        <v>24.930861868750387</v>
      </c>
      <c r="W348" s="402"/>
      <c r="X348" s="157">
        <f t="shared" si="131"/>
        <v>44164</v>
      </c>
      <c r="Y348" s="385">
        <f t="shared" si="132"/>
        <v>23.954999999999998</v>
      </c>
      <c r="Z348" s="385">
        <f t="shared" si="133"/>
        <v>24.434574329191669</v>
      </c>
      <c r="AA348" s="386">
        <f t="shared" si="134"/>
        <v>25.681961984098844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4.8570574774602575E-2</v>
      </c>
      <c r="AD348" s="231">
        <f>(INDEX(Models!$BJ348:$BT348,,AH348)*(1-AF348)+INDEX(Models!$BJ348:$BT348,,AH348+1)*AF348-ERP_i)*AE348*Ramure*Pc/MaxiM</f>
        <v>2.3465487081407842E-4</v>
      </c>
      <c r="AE348" s="305">
        <f t="shared" si="136"/>
        <v>0.5</v>
      </c>
      <c r="AF348" s="177">
        <f t="shared" si="137"/>
        <v>0.49714577237016511</v>
      </c>
      <c r="AG348" s="811">
        <f t="shared" si="143"/>
        <v>-1</v>
      </c>
      <c r="AH348" s="176">
        <f t="shared" si="138"/>
        <v>5</v>
      </c>
      <c r="AI348" s="225">
        <f t="shared" si="139"/>
        <v>-0.50285422762983489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7">
        <v>24.722000000000001</v>
      </c>
      <c r="C349" s="390"/>
      <c r="D349" s="393">
        <f t="shared" si="122"/>
        <v>25.217481844009523</v>
      </c>
      <c r="E349" s="385">
        <f t="shared" si="120"/>
        <v>26.506048454970372</v>
      </c>
      <c r="F349" s="385">
        <f t="shared" si="123"/>
        <v>26.512351889003813</v>
      </c>
      <c r="G349" s="110">
        <f t="shared" si="121"/>
        <v>0.99954119662789631</v>
      </c>
      <c r="H349" s="414" t="b">
        <f>Wh_hp&gt;='2019'!Maxi_hp</f>
        <v>1</v>
      </c>
      <c r="I349" s="380">
        <f>IF(H349,Wh_hp,'2019'!Maxi_hp)</f>
        <v>26.512351889003813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1.9648347407345335E-2</v>
      </c>
      <c r="M349" s="845"/>
      <c r="N349" s="845"/>
      <c r="O349" s="48">
        <f>IF(t&lt;Tnet,'2019'!Resal+('2019'!Salim-'2019'!Resal)*(1-EXP(('2019'!Tnet-t)/('2019'!Tau_j))),Resal+(Salim-Resal)*(1-EXP((Tnet-t)/(Tau_j))))*Salcycl</f>
        <v>4.8614059283484778E-2</v>
      </c>
      <c r="P349" s="169">
        <f>(INDEX(Models!$BJ349:$BT349,,T349)*(1-R349)+INDEX(Models!$BJ349:$BT349,,T349+1)*R349-ERP_i)*Q349*Ramure*Pc/MaxiM</f>
        <v>2.3791049716890761E-4</v>
      </c>
      <c r="Q349" s="305">
        <f t="shared" si="125"/>
        <v>0.5</v>
      </c>
      <c r="R349" s="177">
        <f t="shared" si="126"/>
        <v>0.49716222640634056</v>
      </c>
      <c r="S349" s="811">
        <f t="shared" si="127"/>
        <v>-1</v>
      </c>
      <c r="T349" s="176">
        <f t="shared" si="128"/>
        <v>5</v>
      </c>
      <c r="U349" s="251">
        <f t="shared" si="129"/>
        <v>-0.50283777359365944</v>
      </c>
      <c r="V349" s="383">
        <f t="shared" si="130"/>
        <v>24.73334388695946</v>
      </c>
      <c r="W349" s="402"/>
      <c r="X349" s="157">
        <f t="shared" si="131"/>
        <v>44165</v>
      </c>
      <c r="Y349" s="385">
        <f t="shared" si="132"/>
        <v>24.722000000000001</v>
      </c>
      <c r="Z349" s="385">
        <f t="shared" si="133"/>
        <v>25.217481844009523</v>
      </c>
      <c r="AA349" s="386">
        <f t="shared" si="134"/>
        <v>26.506048454970372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4.8614059283484778E-2</v>
      </c>
      <c r="AD349" s="231">
        <f>(INDEX(Models!$BJ349:$BT349,,AH349)*(1-AF349)+INDEX(Models!$BJ349:$BT349,,AH349+1)*AF349-ERP_i)*AE349*Ramure*Pc/MaxiM</f>
        <v>2.3791049716890761E-4</v>
      </c>
      <c r="AE349" s="305">
        <f t="shared" si="136"/>
        <v>0.5</v>
      </c>
      <c r="AF349" s="177">
        <f t="shared" si="137"/>
        <v>0.49716222640634056</v>
      </c>
      <c r="AG349" s="811">
        <f t="shared" si="143"/>
        <v>-1</v>
      </c>
      <c r="AH349" s="176">
        <f t="shared" si="138"/>
        <v>5</v>
      </c>
      <c r="AI349" s="225">
        <f t="shared" si="139"/>
        <v>-0.50283777359365944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7">
        <v>4.5570000000000004</v>
      </c>
      <c r="C350" s="390"/>
      <c r="D350" s="393">
        <f t="shared" si="122"/>
        <v>4.6484338554737903</v>
      </c>
      <c r="E350" s="385">
        <f t="shared" si="120"/>
        <v>4.886187474511626</v>
      </c>
      <c r="F350" s="385">
        <f t="shared" si="123"/>
        <v>4.886187474511626</v>
      </c>
      <c r="G350" s="110">
        <f t="shared" si="121"/>
        <v>0.18564821337327941</v>
      </c>
      <c r="H350" s="414" t="b">
        <f>Wh_hp&gt;='2019'!Maxi_hp</f>
        <v>0</v>
      </c>
      <c r="I350" s="380">
        <f>IF(H350,Wh_hp,'2019'!Maxi_hp)</f>
        <v>7.4365611729539358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1.9669819624543283E-2</v>
      </c>
      <c r="M350" s="845"/>
      <c r="N350" s="845"/>
      <c r="O350" s="48">
        <f>IF(t&lt;Tnet,'2019'!Resal+('2019'!Salim-'2019'!Resal)*(1-EXP(('2019'!Tnet-t)/('2019'!Tau_j))),Resal+(Salim-Resal)*(1-EXP((Tnet-t)/(Tau_j))))*Salcycl</f>
        <v>4.8658308809896675E-2</v>
      </c>
      <c r="P350" s="169">
        <f>(INDEX(Models!$BJ350:$BT350,,T350)*(1-R350)+INDEX(Models!$BJ350:$BT350,,T350+1)*R350-ERP_i)*Q350*Ramure*Pc/MaxiM</f>
        <v>2.4060549472791889E-4</v>
      </c>
      <c r="Q350" s="305">
        <f t="shared" si="125"/>
        <v>0.5</v>
      </c>
      <c r="R350" s="177">
        <f t="shared" si="126"/>
        <v>0.49717801897276248</v>
      </c>
      <c r="S350" s="811">
        <f t="shared" si="127"/>
        <v>-1</v>
      </c>
      <c r="T350" s="176">
        <f t="shared" si="128"/>
        <v>5</v>
      </c>
      <c r="U350" s="251">
        <f t="shared" si="129"/>
        <v>-0.50282198102723752</v>
      </c>
      <c r="V350" s="383">
        <f t="shared" si="130"/>
        <v>24.540519286334604</v>
      </c>
      <c r="W350" s="402"/>
      <c r="X350" s="157">
        <f t="shared" si="131"/>
        <v>44166</v>
      </c>
      <c r="Y350" s="385">
        <f t="shared" si="132"/>
        <v>4.5570000000000004</v>
      </c>
      <c r="Z350" s="385">
        <f t="shared" si="133"/>
        <v>4.6484338554737903</v>
      </c>
      <c r="AA350" s="386">
        <f t="shared" si="134"/>
        <v>4.886187474511626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4.8658308809896675E-2</v>
      </c>
      <c r="AD350" s="231">
        <f>(INDEX(Models!$BJ350:$BT350,,AH350)*(1-AF350)+INDEX(Models!$BJ350:$BT350,,AH350+1)*AF350-ERP_i)*AE350*Ramure*Pc/MaxiM</f>
        <v>2.4060549472791889E-4</v>
      </c>
      <c r="AE350" s="305">
        <f t="shared" si="136"/>
        <v>0.5</v>
      </c>
      <c r="AF350" s="177">
        <f t="shared" si="137"/>
        <v>0.49717801897276248</v>
      </c>
      <c r="AG350" s="811">
        <f t="shared" si="143"/>
        <v>-1</v>
      </c>
      <c r="AH350" s="176">
        <f t="shared" si="138"/>
        <v>5</v>
      </c>
      <c r="AI350" s="225">
        <f t="shared" si="139"/>
        <v>-0.50282198102723752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7">
        <v>1.369</v>
      </c>
      <c r="C351" s="390"/>
      <c r="D351" s="393">
        <f t="shared" si="122"/>
        <v>1.3964988660717101</v>
      </c>
      <c r="E351" s="385">
        <f t="shared" si="120"/>
        <v>1.4679950942818731</v>
      </c>
      <c r="F351" s="385">
        <f t="shared" si="123"/>
        <v>1.4679950942818731</v>
      </c>
      <c r="G351" s="110">
        <f t="shared" si="121"/>
        <v>5.6199374235295703E-2</v>
      </c>
      <c r="H351" s="414" t="b">
        <f>Wh_hp&gt;='2019'!Maxi_hp</f>
        <v>0</v>
      </c>
      <c r="I351" s="380">
        <f>IF(H351,Wh_hp,'2019'!Maxi_hp)</f>
        <v>8.0123989333500703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1.9691291371444652E-2</v>
      </c>
      <c r="M351" s="845"/>
      <c r="N351" s="845"/>
      <c r="O351" s="48">
        <f>IF(t&lt;Tnet,'2019'!Resal+('2019'!Salim-'2019'!Resal)*(1-EXP(('2019'!Tnet-t)/('2019'!Tau_j))),Resal+(Salim-Resal)*(1-EXP((Tnet-t)/(Tau_j))))*Salcycl</f>
        <v>4.8703315486989605E-2</v>
      </c>
      <c r="P351" s="169">
        <f>(INDEX(Models!$BJ351:$BT351,,T351)*(1-R351)+INDEX(Models!$BJ351:$BT351,,T351+1)*R351-ERP_i)*Q351*Ramure*Pc/MaxiM</f>
        <v>2.4271992333717868E-4</v>
      </c>
      <c r="Q351" s="305">
        <f t="shared" si="125"/>
        <v>0.5</v>
      </c>
      <c r="R351" s="177">
        <f t="shared" si="126"/>
        <v>0.49719317662192508</v>
      </c>
      <c r="S351" s="811">
        <f t="shared" si="127"/>
        <v>-1</v>
      </c>
      <c r="T351" s="176">
        <f t="shared" si="128"/>
        <v>5</v>
      </c>
      <c r="U351" s="251">
        <f t="shared" si="129"/>
        <v>-0.50280682337807492</v>
      </c>
      <c r="V351" s="383">
        <f t="shared" si="130"/>
        <v>24.353789255634936</v>
      </c>
      <c r="W351" s="402"/>
      <c r="X351" s="157">
        <f t="shared" si="131"/>
        <v>44167</v>
      </c>
      <c r="Y351" s="385">
        <f t="shared" si="132"/>
        <v>1.369</v>
      </c>
      <c r="Z351" s="385">
        <f t="shared" si="133"/>
        <v>1.3964988660717101</v>
      </c>
      <c r="AA351" s="386">
        <f t="shared" si="134"/>
        <v>1.4679950942818731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4.8703315486989605E-2</v>
      </c>
      <c r="AD351" s="231">
        <f>(INDEX(Models!$BJ351:$BT351,,AH351)*(1-AF351)+INDEX(Models!$BJ351:$BT351,,AH351+1)*AF351-ERP_i)*AE351*Ramure*Pc/MaxiM</f>
        <v>2.4271992333717868E-4</v>
      </c>
      <c r="AE351" s="305">
        <f t="shared" si="136"/>
        <v>0.5</v>
      </c>
      <c r="AF351" s="177">
        <f t="shared" si="137"/>
        <v>0.49719317662192508</v>
      </c>
      <c r="AG351" s="811">
        <f t="shared" si="143"/>
        <v>-1</v>
      </c>
      <c r="AH351" s="176">
        <f t="shared" si="138"/>
        <v>5</v>
      </c>
      <c r="AI351" s="225">
        <f t="shared" si="139"/>
        <v>-0.50280682337807492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7">
        <v>12.492000000000001</v>
      </c>
      <c r="C352" s="390"/>
      <c r="D352" s="393">
        <f t="shared" si="122"/>
        <v>12.743203750917704</v>
      </c>
      <c r="E352" s="385">
        <f t="shared" si="120"/>
        <v>13.39625889805151</v>
      </c>
      <c r="F352" s="385">
        <f t="shared" si="123"/>
        <v>13.397272469910812</v>
      </c>
      <c r="G352" s="110">
        <f t="shared" si="121"/>
        <v>0.51665456301857071</v>
      </c>
      <c r="H352" s="414" t="b">
        <f>Wh_hp&gt;='2019'!Maxi_hp</f>
        <v>1</v>
      </c>
      <c r="I352" s="380">
        <f>IF(H352,Wh_hp,'2019'!Maxi_hp)</f>
        <v>13.397272469910812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1.9712762648059545E-2</v>
      </c>
      <c r="M352" s="845"/>
      <c r="N352" s="845"/>
      <c r="O352" s="48">
        <f>IF(t&lt;Tnet,'2019'!Resal+('2019'!Salim-'2019'!Resal)*(1-EXP(('2019'!Tnet-t)/('2019'!Tau_j))),Resal+(Salim-Resal)*(1-EXP((Tnet-t)/(Tau_j))))*Salcycl</f>
        <v>4.8749068833597455E-2</v>
      </c>
      <c r="P352" s="169">
        <f>(INDEX(Models!$BJ352:$BT352,,T352)*(1-R352)+INDEX(Models!$BJ352:$BT352,,T352+1)*R352-ERP_i)*Q352*Ramure*Pc/MaxiM</f>
        <v>2.4433948098677471E-4</v>
      </c>
      <c r="Q352" s="305">
        <f t="shared" si="125"/>
        <v>0.5</v>
      </c>
      <c r="R352" s="177">
        <f t="shared" si="126"/>
        <v>0.49720772484356002</v>
      </c>
      <c r="S352" s="811">
        <f t="shared" si="127"/>
        <v>-1</v>
      </c>
      <c r="T352" s="176">
        <f t="shared" si="128"/>
        <v>5</v>
      </c>
      <c r="U352" s="251">
        <f t="shared" si="129"/>
        <v>-0.50279227515643998</v>
      </c>
      <c r="V352" s="383">
        <f t="shared" si="130"/>
        <v>24.174552068575242</v>
      </c>
      <c r="W352" s="402"/>
      <c r="X352" s="157">
        <f t="shared" si="131"/>
        <v>44168</v>
      </c>
      <c r="Y352" s="385">
        <f t="shared" si="132"/>
        <v>12.492000000000001</v>
      </c>
      <c r="Z352" s="385">
        <f t="shared" si="133"/>
        <v>12.743203750917704</v>
      </c>
      <c r="AA352" s="386">
        <f t="shared" si="134"/>
        <v>13.39625889805151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4.8749068833597455E-2</v>
      </c>
      <c r="AD352" s="231">
        <f>(INDEX(Models!$BJ352:$BT352,,AH352)*(1-AF352)+INDEX(Models!$BJ352:$BT352,,AH352+1)*AF352-ERP_i)*AE352*Ramure*Pc/MaxiM</f>
        <v>2.4433948098677471E-4</v>
      </c>
      <c r="AE352" s="305">
        <f t="shared" si="136"/>
        <v>0.5</v>
      </c>
      <c r="AF352" s="177">
        <f t="shared" si="137"/>
        <v>0.49720772484356002</v>
      </c>
      <c r="AG352" s="811">
        <f t="shared" si="143"/>
        <v>-1</v>
      </c>
      <c r="AH352" s="176">
        <f t="shared" si="138"/>
        <v>5</v>
      </c>
      <c r="AI352" s="225">
        <f t="shared" si="139"/>
        <v>-0.50279227515643998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7">
        <v>8.5809999999999995</v>
      </c>
      <c r="C353" s="390"/>
      <c r="D353" s="393">
        <f t="shared" si="122"/>
        <v>8.7537485168322622</v>
      </c>
      <c r="E353" s="385">
        <f t="shared" si="120"/>
        <v>9.2028044769744781</v>
      </c>
      <c r="F353" s="385">
        <f t="shared" si="123"/>
        <v>9.2029902000727422</v>
      </c>
      <c r="G353" s="110">
        <f t="shared" si="121"/>
        <v>0.35739845663538722</v>
      </c>
      <c r="H353" s="414" t="b">
        <f>Wh_hp&gt;='2019'!Maxi_hp</f>
        <v>0</v>
      </c>
      <c r="I353" s="380">
        <f>IF(H353,Wh_hp,'2019'!Maxi_hp)</f>
        <v>19.604054954984996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1.9734233454398509E-2</v>
      </c>
      <c r="M353" s="845"/>
      <c r="N353" s="845"/>
      <c r="O353" s="48">
        <f>IF(t&lt;Tnet,'2019'!Resal+('2019'!Salim-'2019'!Resal)*(1-EXP(('2019'!Tnet-t)/('2019'!Tau_j))),Resal+(Salim-Resal)*(1-EXP((Tnet-t)/(Tau_j))))*Salcycl</f>
        <v>4.8795555883617794E-2</v>
      </c>
      <c r="P353" s="169">
        <f>(INDEX(Models!$BJ353:$BT353,,T353)*(1-R353)+INDEX(Models!$BJ353:$BT353,,T353+1)*R353-ERP_i)*Q353*Ramure*Pc/MaxiM</f>
        <v>2.4576782950008394E-4</v>
      </c>
      <c r="Q353" s="305">
        <f t="shared" si="125"/>
        <v>0.5</v>
      </c>
      <c r="R353" s="177">
        <f t="shared" si="126"/>
        <v>0.49722168810692902</v>
      </c>
      <c r="S353" s="811">
        <f t="shared" si="127"/>
        <v>-1</v>
      </c>
      <c r="T353" s="176">
        <f t="shared" si="128"/>
        <v>5</v>
      </c>
      <c r="U353" s="251">
        <f t="shared" si="129"/>
        <v>-0.50277831189307098</v>
      </c>
      <c r="V353" s="383">
        <f t="shared" si="130"/>
        <v>24.004200462512937</v>
      </c>
      <c r="W353" s="402"/>
      <c r="X353" s="157">
        <f t="shared" si="131"/>
        <v>44169</v>
      </c>
      <c r="Y353" s="385">
        <f t="shared" si="132"/>
        <v>8.5809999999999995</v>
      </c>
      <c r="Z353" s="385">
        <f t="shared" si="133"/>
        <v>8.7537485168322622</v>
      </c>
      <c r="AA353" s="386">
        <f t="shared" si="134"/>
        <v>9.2028044769744781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4.8795555883617794E-2</v>
      </c>
      <c r="AD353" s="231">
        <f>(INDEX(Models!$BJ353:$BT353,,AH353)*(1-AF353)+INDEX(Models!$BJ353:$BT353,,AH353+1)*AF353-ERP_i)*AE353*Ramure*Pc/MaxiM</f>
        <v>2.4576782950008394E-4</v>
      </c>
      <c r="AE353" s="305">
        <f t="shared" si="136"/>
        <v>0.5</v>
      </c>
      <c r="AF353" s="177">
        <f t="shared" si="137"/>
        <v>0.49722168810692902</v>
      </c>
      <c r="AG353" s="811">
        <f t="shared" si="143"/>
        <v>-1</v>
      </c>
      <c r="AH353" s="176">
        <f t="shared" si="138"/>
        <v>5</v>
      </c>
      <c r="AI353" s="225">
        <f t="shared" si="139"/>
        <v>-0.50277831189307098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7">
        <v>19.234000000000002</v>
      </c>
      <c r="C354" s="390"/>
      <c r="D354" s="393">
        <f t="shared" si="122"/>
        <v>19.621639293771224</v>
      </c>
      <c r="E354" s="385">
        <f t="shared" si="120"/>
        <v>20.629227740706767</v>
      </c>
      <c r="F354" s="385">
        <f t="shared" si="123"/>
        <v>20.632916228723204</v>
      </c>
      <c r="G354" s="110">
        <f t="shared" si="121"/>
        <v>0.8066003602448133</v>
      </c>
      <c r="H354" s="414" t="b">
        <f>Wh_hp&gt;='2019'!Maxi_hp</f>
        <v>1</v>
      </c>
      <c r="I354" s="380">
        <f>IF(H354,Wh_hp,'2019'!Maxi_hp)</f>
        <v>20.632916228723204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1.9755703790471535E-2</v>
      </c>
      <c r="M354" s="845"/>
      <c r="N354" s="845"/>
      <c r="O354" s="48">
        <f>IF(t&lt;Tnet,'2019'!Resal+('2019'!Salim-'2019'!Resal)*(1-EXP(('2019'!Tnet-t)/('2019'!Tau_j))),Resal+(Salim-Resal)*(1-EXP((Tnet-t)/(Tau_j))))*Salcycl</f>
        <v>4.8842761328739118E-2</v>
      </c>
      <c r="P354" s="169">
        <f>(INDEX(Models!$BJ354:$BT354,,T354)*(1-R354)+INDEX(Models!$BJ354:$BT354,,T354+1)*R354-ERP_i)*Q354*Ramure*Pc/MaxiM</f>
        <v>2.469864491956499E-4</v>
      </c>
      <c r="Q354" s="305">
        <f t="shared" si="125"/>
        <v>0.5</v>
      </c>
      <c r="R354" s="177">
        <f t="shared" si="126"/>
        <v>0.49723508990145193</v>
      </c>
      <c r="S354" s="811">
        <f t="shared" si="127"/>
        <v>-1</v>
      </c>
      <c r="T354" s="176">
        <f t="shared" si="128"/>
        <v>5</v>
      </c>
      <c r="U354" s="251">
        <f t="shared" si="129"/>
        <v>-0.50276491009854807</v>
      </c>
      <c r="V354" s="383">
        <f t="shared" si="130"/>
        <v>23.844134696287682</v>
      </c>
      <c r="W354" s="402"/>
      <c r="X354" s="157">
        <f t="shared" si="131"/>
        <v>44170</v>
      </c>
      <c r="Y354" s="385">
        <f t="shared" si="132"/>
        <v>19.234000000000002</v>
      </c>
      <c r="Z354" s="385">
        <f t="shared" si="133"/>
        <v>19.621639293771224</v>
      </c>
      <c r="AA354" s="386">
        <f t="shared" si="134"/>
        <v>20.629227740706767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4.8842761328739118E-2</v>
      </c>
      <c r="AD354" s="231">
        <f>(INDEX(Models!$BJ354:$BT354,,AH354)*(1-AF354)+INDEX(Models!$BJ354:$BT354,,AH354+1)*AF354-ERP_i)*AE354*Ramure*Pc/MaxiM</f>
        <v>2.469864491956499E-4</v>
      </c>
      <c r="AE354" s="305">
        <f t="shared" si="136"/>
        <v>0.5</v>
      </c>
      <c r="AF354" s="177">
        <f t="shared" si="137"/>
        <v>0.49723508990145193</v>
      </c>
      <c r="AG354" s="811">
        <f t="shared" si="143"/>
        <v>-1</v>
      </c>
      <c r="AH354" s="176">
        <f t="shared" si="138"/>
        <v>5</v>
      </c>
      <c r="AI354" s="225">
        <f t="shared" si="139"/>
        <v>-0.50276491009854807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7">
        <v>11.634</v>
      </c>
      <c r="C355" s="390"/>
      <c r="D355" s="393">
        <f t="shared" si="122"/>
        <v>11.868729932963825</v>
      </c>
      <c r="E355" s="385">
        <f t="shared" si="120"/>
        <v>12.478828174179608</v>
      </c>
      <c r="F355" s="385">
        <f t="shared" si="123"/>
        <v>12.479672459844819</v>
      </c>
      <c r="G355" s="110">
        <f t="shared" si="121"/>
        <v>0.49088548388507108</v>
      </c>
      <c r="H355" s="414" t="b">
        <f>Wh_hp&gt;='2019'!Maxi_hp</f>
        <v>0</v>
      </c>
      <c r="I355" s="380">
        <f>IF(H355,Wh_hp,'2019'!Maxi_hp)</f>
        <v>19.491266327728862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1.9777173656289282E-2</v>
      </c>
      <c r="M355" s="845"/>
      <c r="N355" s="845"/>
      <c r="O355" s="48">
        <f>IF(t&lt;Tnet,'2019'!Resal+('2019'!Salim-'2019'!Resal)*(1-EXP(('2019'!Tnet-t)/('2019'!Tau_j))),Resal+(Salim-Resal)*(1-EXP((Tnet-t)/(Tau_j))))*Salcycl</f>
        <v>4.8890667673280271E-2</v>
      </c>
      <c r="P355" s="169">
        <f>(INDEX(Models!$BJ355:$BT355,,T355)*(1-R355)+INDEX(Models!$BJ355:$BT355,,T355+1)*R355-ERP_i)*Q355*Ramure*Pc/MaxiM</f>
        <v>2.4797618229045098E-4</v>
      </c>
      <c r="Q355" s="305">
        <f t="shared" si="125"/>
        <v>0.5</v>
      </c>
      <c r="R355" s="177">
        <f t="shared" si="126"/>
        <v>0.49724795277573697</v>
      </c>
      <c r="S355" s="811">
        <f t="shared" si="127"/>
        <v>-1</v>
      </c>
      <c r="T355" s="176">
        <f t="shared" si="128"/>
        <v>5</v>
      </c>
      <c r="U355" s="251">
        <f t="shared" si="129"/>
        <v>-0.50275204722426303</v>
      </c>
      <c r="V355" s="383">
        <f t="shared" si="130"/>
        <v>23.695754628134473</v>
      </c>
      <c r="W355" s="402"/>
      <c r="X355" s="157">
        <f t="shared" si="131"/>
        <v>44171</v>
      </c>
      <c r="Y355" s="385">
        <f t="shared" si="132"/>
        <v>11.634</v>
      </c>
      <c r="Z355" s="385">
        <f t="shared" si="133"/>
        <v>11.868729932963825</v>
      </c>
      <c r="AA355" s="386">
        <f t="shared" si="134"/>
        <v>12.478828174179608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4.8890667673280271E-2</v>
      </c>
      <c r="AD355" s="231">
        <f>(INDEX(Models!$BJ355:$BT355,,AH355)*(1-AF355)+INDEX(Models!$BJ355:$BT355,,AH355+1)*AF355-ERP_i)*AE355*Ramure*Pc/MaxiM</f>
        <v>2.4797618229045098E-4</v>
      </c>
      <c r="AE355" s="305">
        <f t="shared" si="136"/>
        <v>0.5</v>
      </c>
      <c r="AF355" s="177">
        <f t="shared" si="137"/>
        <v>0.49724795277573697</v>
      </c>
      <c r="AG355" s="811">
        <f t="shared" si="143"/>
        <v>-1</v>
      </c>
      <c r="AH355" s="176">
        <f t="shared" si="138"/>
        <v>5</v>
      </c>
      <c r="AI355" s="225">
        <f t="shared" si="139"/>
        <v>-0.50275204722426303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7">
        <v>2.714</v>
      </c>
      <c r="C356" s="390"/>
      <c r="D356" s="393">
        <f t="shared" si="122"/>
        <v>2.7688188562093532</v>
      </c>
      <c r="E356" s="385">
        <f t="shared" si="120"/>
        <v>2.9112954897253727</v>
      </c>
      <c r="F356" s="385">
        <f t="shared" si="123"/>
        <v>2.9112954897253727</v>
      </c>
      <c r="G356" s="110">
        <f t="shared" si="121"/>
        <v>0.11516434798313016</v>
      </c>
      <c r="H356" s="414" t="b">
        <f>Wh_hp&gt;='2019'!Maxi_hp</f>
        <v>0</v>
      </c>
      <c r="I356" s="380">
        <f>IF(H356,Wh_hp,'2019'!Maxi_hp)</f>
        <v>16.757981515209075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1.9798643051861742E-2</v>
      </c>
      <c r="M356" s="845"/>
      <c r="N356" s="845"/>
      <c r="O356" s="48">
        <f>IF(t&lt;Tnet,'2019'!Resal+('2019'!Salim-'2019'!Resal)*(1-EXP(('2019'!Tnet-t)/('2019'!Tau_j))),Resal+(Salim-Resal)*(1-EXP((Tnet-t)/(Tau_j))))*Salcycl</f>
        <v>4.8939255399821878E-2</v>
      </c>
      <c r="P356" s="169">
        <f>(INDEX(Models!$BJ356:$BT356,,T356)*(1-R356)+INDEX(Models!$BJ356:$BT356,,T356+1)*R356-ERP_i)*Q356*Ramure*Pc/MaxiM</f>
        <v>2.4871744808279008E-4</v>
      </c>
      <c r="Q356" s="305">
        <f t="shared" si="125"/>
        <v>0.5</v>
      </c>
      <c r="R356" s="177">
        <f t="shared" si="126"/>
        <v>0.49726029837507113</v>
      </c>
      <c r="S356" s="811">
        <f t="shared" si="127"/>
        <v>-1</v>
      </c>
      <c r="T356" s="176">
        <f t="shared" si="128"/>
        <v>5</v>
      </c>
      <c r="U356" s="251">
        <f t="shared" si="129"/>
        <v>-0.50273970162492887</v>
      </c>
      <c r="V356" s="383">
        <f t="shared" si="130"/>
        <v>23.560459711397527</v>
      </c>
      <c r="W356" s="402"/>
      <c r="X356" s="157">
        <f t="shared" si="131"/>
        <v>44172</v>
      </c>
      <c r="Y356" s="385">
        <f t="shared" si="132"/>
        <v>2.714</v>
      </c>
      <c r="Z356" s="385">
        <f t="shared" si="133"/>
        <v>2.7688188562093532</v>
      </c>
      <c r="AA356" s="386">
        <f t="shared" si="134"/>
        <v>2.9112954897253727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4.8939255399821878E-2</v>
      </c>
      <c r="AD356" s="231">
        <f>(INDEX(Models!$BJ356:$BT356,,AH356)*(1-AF356)+INDEX(Models!$BJ356:$BT356,,AH356+1)*AF356-ERP_i)*AE356*Ramure*Pc/MaxiM</f>
        <v>2.4871744808279008E-4</v>
      </c>
      <c r="AE356" s="305">
        <f t="shared" si="136"/>
        <v>0.5</v>
      </c>
      <c r="AF356" s="177">
        <f t="shared" si="137"/>
        <v>0.49726029837507113</v>
      </c>
      <c r="AG356" s="811">
        <f t="shared" si="143"/>
        <v>-1</v>
      </c>
      <c r="AH356" s="176">
        <f t="shared" si="138"/>
        <v>5</v>
      </c>
      <c r="AI356" s="225">
        <f t="shared" si="139"/>
        <v>-0.50273970162492887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7">
        <v>8.4529999999999994</v>
      </c>
      <c r="C357" s="390"/>
      <c r="D357" s="393">
        <f t="shared" si="122"/>
        <v>8.6239272028435749</v>
      </c>
      <c r="E357" s="385">
        <f t="shared" si="120"/>
        <v>9.0681629311065155</v>
      </c>
      <c r="F357" s="385">
        <f t="shared" si="123"/>
        <v>9.0683586520399171</v>
      </c>
      <c r="G357" s="110">
        <f t="shared" si="121"/>
        <v>0.36054618391513471</v>
      </c>
      <c r="H357" s="414" t="b">
        <f>Wh_hp&gt;='2019'!Maxi_hp</f>
        <v>0</v>
      </c>
      <c r="I357" s="380">
        <f>IF(H357,Wh_hp,'2019'!Maxi_hp)</f>
        <v>11.880379374635188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1.9820111977199351E-2</v>
      </c>
      <c r="M357" s="845"/>
      <c r="N357" s="845"/>
      <c r="O357" s="48">
        <f>IF(t&lt;Tnet,'2019'!Resal+('2019'!Salim-'2019'!Resal)*(1-EXP(('2019'!Tnet-t)/('2019'!Tau_j))),Resal+(Salim-Resal)*(1-EXP((Tnet-t)/(Tau_j))))*Salcycl</f>
        <v>4.8988503144234301E-2</v>
      </c>
      <c r="P357" s="169">
        <f>(INDEX(Models!$BJ357:$BT357,,T357)*(1-R357)+INDEX(Models!$BJ357:$BT357,,T357+1)*R357-ERP_i)*Q357*Ramure*Pc/MaxiM</f>
        <v>2.4919049484767574E-4</v>
      </c>
      <c r="Q357" s="305">
        <f t="shared" si="125"/>
        <v>0.5</v>
      </c>
      <c r="R357" s="177">
        <f t="shared" si="126"/>
        <v>0.49727214747743109</v>
      </c>
      <c r="S357" s="811">
        <f t="shared" si="127"/>
        <v>-1</v>
      </c>
      <c r="T357" s="176">
        <f t="shared" si="128"/>
        <v>5</v>
      </c>
      <c r="U357" s="251">
        <f t="shared" si="129"/>
        <v>-0.50272785252256891</v>
      </c>
      <c r="V357" s="383">
        <f t="shared" si="130"/>
        <v>23.439648976999816</v>
      </c>
      <c r="W357" s="402"/>
      <c r="X357" s="157">
        <f t="shared" si="131"/>
        <v>44173</v>
      </c>
      <c r="Y357" s="385">
        <f t="shared" si="132"/>
        <v>8.4529999999999994</v>
      </c>
      <c r="Z357" s="385">
        <f t="shared" si="133"/>
        <v>8.6239272028435749</v>
      </c>
      <c r="AA357" s="386">
        <f t="shared" si="134"/>
        <v>9.0681629311065155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4.8988503144234301E-2</v>
      </c>
      <c r="AD357" s="231">
        <f>(INDEX(Models!$BJ357:$BT357,,AH357)*(1-AF357)+INDEX(Models!$BJ357:$BT357,,AH357+1)*AF357-ERP_i)*AE357*Ramure*Pc/MaxiM</f>
        <v>2.4919049484767574E-4</v>
      </c>
      <c r="AE357" s="305">
        <f t="shared" si="136"/>
        <v>0.5</v>
      </c>
      <c r="AF357" s="177">
        <f t="shared" si="137"/>
        <v>0.49727214747743109</v>
      </c>
      <c r="AG357" s="811">
        <f t="shared" si="143"/>
        <v>-1</v>
      </c>
      <c r="AH357" s="176">
        <f t="shared" si="138"/>
        <v>5</v>
      </c>
      <c r="AI357" s="225">
        <f t="shared" si="139"/>
        <v>-0.50272785252256891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7">
        <v>8.6039999999999992</v>
      </c>
      <c r="C358" s="390"/>
      <c r="D358" s="393">
        <f t="shared" si="122"/>
        <v>8.7781728220984032</v>
      </c>
      <c r="E358" s="385">
        <f t="shared" si="120"/>
        <v>9.230838248577161</v>
      </c>
      <c r="F358" s="385">
        <f t="shared" si="123"/>
        <v>9.2310642425526286</v>
      </c>
      <c r="G358" s="110">
        <f t="shared" si="121"/>
        <v>0.36863800338183234</v>
      </c>
      <c r="H358" s="414" t="b">
        <f>Wh_hp&gt;='2019'!Maxi_hp</f>
        <v>0</v>
      </c>
      <c r="I358" s="380">
        <f>IF(H358,Wh_hp,'2019'!Maxi_hp)</f>
        <v>21.95872257479607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1.9841580432312433E-2</v>
      </c>
      <c r="M358" s="845"/>
      <c r="N358" s="845"/>
      <c r="O358" s="48">
        <f>IF(t&lt;Tnet,'2019'!Resal+('2019'!Salim-'2019'!Resal)*(1-EXP(('2019'!Tnet-t)/('2019'!Tau_j))),Resal+(Salim-Resal)*(1-EXP((Tnet-t)/(Tau_j))))*Salcycl</f>
        <v>4.9038387878644778E-2</v>
      </c>
      <c r="P358" s="169">
        <f>(INDEX(Models!$BJ358:$BT358,,T358)*(1-R358)+INDEX(Models!$BJ358:$BT358,,T358+1)*R358-ERP_i)*Q358*Ramure*Pc/MaxiM</f>
        <v>2.4937568736181816E-4</v>
      </c>
      <c r="Q358" s="305">
        <f t="shared" si="125"/>
        <v>0.5</v>
      </c>
      <c r="R358" s="177">
        <f t="shared" si="126"/>
        <v>0.49728352002807563</v>
      </c>
      <c r="S358" s="811">
        <f t="shared" si="127"/>
        <v>-1</v>
      </c>
      <c r="T358" s="176">
        <f t="shared" si="128"/>
        <v>5</v>
      </c>
      <c r="U358" s="251">
        <f t="shared" si="129"/>
        <v>-0.50271647997192437</v>
      </c>
      <c r="V358" s="383">
        <f t="shared" si="130"/>
        <v>23.334721020488988</v>
      </c>
      <c r="W358" s="402"/>
      <c r="X358" s="157">
        <f t="shared" si="131"/>
        <v>44174</v>
      </c>
      <c r="Y358" s="385">
        <f t="shared" si="132"/>
        <v>8.6039999999999992</v>
      </c>
      <c r="Z358" s="385">
        <f t="shared" si="133"/>
        <v>8.7781728220984032</v>
      </c>
      <c r="AA358" s="386">
        <f t="shared" si="134"/>
        <v>9.230838248577161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4.9038387878644778E-2</v>
      </c>
      <c r="AD358" s="231">
        <f>(INDEX(Models!$BJ358:$BT358,,AH358)*(1-AF358)+INDEX(Models!$BJ358:$BT358,,AH358+1)*AF358-ERP_i)*AE358*Ramure*Pc/MaxiM</f>
        <v>2.4937568736181816E-4</v>
      </c>
      <c r="AE358" s="305">
        <f t="shared" si="136"/>
        <v>0.5</v>
      </c>
      <c r="AF358" s="177">
        <f t="shared" si="137"/>
        <v>0.49728352002807563</v>
      </c>
      <c r="AG358" s="811">
        <f t="shared" si="143"/>
        <v>-1</v>
      </c>
      <c r="AH358" s="176">
        <f t="shared" si="138"/>
        <v>5</v>
      </c>
      <c r="AI358" s="225">
        <f t="shared" si="139"/>
        <v>-0.50271647997192437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7">
        <v>4.6870000000000003</v>
      </c>
      <c r="C359" s="390"/>
      <c r="D359" s="393">
        <f t="shared" si="122"/>
        <v>4.7819847955238588</v>
      </c>
      <c r="E359" s="385">
        <f t="shared" si="120"/>
        <v>5.0288451997229551</v>
      </c>
      <c r="F359" s="385">
        <f t="shared" si="123"/>
        <v>5.0288451997229551</v>
      </c>
      <c r="G359" s="110">
        <f t="shared" si="121"/>
        <v>0.20160144037095781</v>
      </c>
      <c r="H359" s="414" t="b">
        <f>Wh_hp&gt;='2019'!Maxi_hp</f>
        <v>0</v>
      </c>
      <c r="I359" s="380">
        <f>IF(H359,Wh_hp,'2019'!Maxi_hp)</f>
        <v>18.260406248134906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1.9863048417211204E-2</v>
      </c>
      <c r="M359" s="845"/>
      <c r="N359" s="845"/>
      <c r="O359" s="48">
        <f>IF(t&lt;Tnet,'2019'!Resal+('2019'!Salim-'2019'!Resal)*(1-EXP(('2019'!Tnet-t)/('2019'!Tau_j))),Resal+(Salim-Resal)*(1-EXP((Tnet-t)/(Tau_j))))*Salcycl</f>
        <v>4.9088885100837067E-2</v>
      </c>
      <c r="P359" s="169">
        <f>(INDEX(Models!$BJ359:$BT359,,T359)*(1-R359)+INDEX(Models!$BJ359:$BT359,,T359+1)*R359-ERP_i)*Q359*Ramure*Pc/MaxiM</f>
        <v>2.4929701266901216E-4</v>
      </c>
      <c r="Q359" s="305">
        <f t="shared" si="125"/>
        <v>0.5</v>
      </c>
      <c r="R359" s="177">
        <f t="shared" si="126"/>
        <v>0.49729443517276706</v>
      </c>
      <c r="S359" s="811">
        <f t="shared" si="127"/>
        <v>-1</v>
      </c>
      <c r="T359" s="176">
        <f t="shared" si="128"/>
        <v>5</v>
      </c>
      <c r="U359" s="251">
        <f t="shared" si="129"/>
        <v>-0.50270556482723294</v>
      </c>
      <c r="V359" s="383">
        <f t="shared" si="130"/>
        <v>23.243045963756174</v>
      </c>
      <c r="W359" s="402"/>
      <c r="X359" s="157">
        <f t="shared" si="131"/>
        <v>44175</v>
      </c>
      <c r="Y359" s="385">
        <f t="shared" si="132"/>
        <v>4.6870000000000003</v>
      </c>
      <c r="Z359" s="385">
        <f t="shared" si="133"/>
        <v>4.7819847955238588</v>
      </c>
      <c r="AA359" s="386">
        <f t="shared" si="134"/>
        <v>5.0288451997229551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4.9088885100837067E-2</v>
      </c>
      <c r="AD359" s="231">
        <f>(INDEX(Models!$BJ359:$BT359,,AH359)*(1-AF359)+INDEX(Models!$BJ359:$BT359,,AH359+1)*AF359-ERP_i)*AE359*Ramure*Pc/MaxiM</f>
        <v>2.4929701266901216E-4</v>
      </c>
      <c r="AE359" s="305">
        <f t="shared" si="136"/>
        <v>0.5</v>
      </c>
      <c r="AF359" s="177">
        <f t="shared" si="137"/>
        <v>0.49729443517276706</v>
      </c>
      <c r="AG359" s="811">
        <f t="shared" si="143"/>
        <v>-1</v>
      </c>
      <c r="AH359" s="176">
        <f t="shared" si="138"/>
        <v>5</v>
      </c>
      <c r="AI359" s="225">
        <f t="shared" si="139"/>
        <v>-0.50270556482723294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7">
        <v>6.7949999999999999</v>
      </c>
      <c r="C360" s="390"/>
      <c r="D360" s="393">
        <f t="shared" si="122"/>
        <v>6.9328564954371386</v>
      </c>
      <c r="E360" s="385">
        <f t="shared" si="120"/>
        <v>7.291143038533332</v>
      </c>
      <c r="F360" s="385">
        <f t="shared" si="123"/>
        <v>7.291143038533332</v>
      </c>
      <c r="G360" s="110">
        <f t="shared" si="121"/>
        <v>0.29330524740408831</v>
      </c>
      <c r="H360" s="414" t="b">
        <f>Wh_hp&gt;='2019'!Maxi_hp</f>
        <v>1</v>
      </c>
      <c r="I360" s="380">
        <f>IF(H360,Wh_hp,'2019'!Maxi_hp)</f>
        <v>7.291143038533332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1.9884515931906099E-2</v>
      </c>
      <c r="M360" s="845"/>
      <c r="N360" s="845"/>
      <c r="O360" s="48">
        <f>IF(t&lt;Tnet,'2019'!Resal+('2019'!Salim-'2019'!Resal)*(1-EXP(('2019'!Tnet-t)/('2019'!Tau_j))),Resal+(Salim-Resal)*(1-EXP((Tnet-t)/(Tau_j))))*Salcycl</f>
        <v>4.9139969028541508E-2</v>
      </c>
      <c r="P360" s="169">
        <f>(INDEX(Models!$BJ360:$BT360,,T360)*(1-R360)+INDEX(Models!$BJ360:$BT360,,T360+1)*R360-ERP_i)*Q360*Ramure*Pc/MaxiM</f>
        <v>2.4898782298607598E-4</v>
      </c>
      <c r="Q360" s="305">
        <f t="shared" si="125"/>
        <v>0.5</v>
      </c>
      <c r="R360" s="177">
        <f t="shared" si="126"/>
        <v>0.49730491128968168</v>
      </c>
      <c r="S360" s="811">
        <f t="shared" si="127"/>
        <v>-1</v>
      </c>
      <c r="T360" s="176">
        <f t="shared" si="128"/>
        <v>5</v>
      </c>
      <c r="U360" s="251">
        <f t="shared" si="129"/>
        <v>-0.50269508871031832</v>
      </c>
      <c r="V360" s="383">
        <f t="shared" si="130"/>
        <v>23.161222609780417</v>
      </c>
      <c r="W360" s="402"/>
      <c r="X360" s="157">
        <f t="shared" si="131"/>
        <v>44176</v>
      </c>
      <c r="Y360" s="385">
        <f t="shared" si="132"/>
        <v>6.7949999999999999</v>
      </c>
      <c r="Z360" s="385">
        <f t="shared" si="133"/>
        <v>6.9328564954371386</v>
      </c>
      <c r="AA360" s="386">
        <f t="shared" si="134"/>
        <v>7.291143038533332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4.9139969028541508E-2</v>
      </c>
      <c r="AD360" s="231">
        <f>(INDEX(Models!$BJ360:$BT360,,AH360)*(1-AF360)+INDEX(Models!$BJ360:$BT360,,AH360+1)*AF360-ERP_i)*AE360*Ramure*Pc/MaxiM</f>
        <v>2.4898782298607598E-4</v>
      </c>
      <c r="AE360" s="305">
        <f t="shared" si="136"/>
        <v>0.5</v>
      </c>
      <c r="AF360" s="177">
        <f t="shared" si="137"/>
        <v>0.49730491128968168</v>
      </c>
      <c r="AG360" s="811">
        <f t="shared" si="143"/>
        <v>-1</v>
      </c>
      <c r="AH360" s="176">
        <f t="shared" si="138"/>
        <v>5</v>
      </c>
      <c r="AI360" s="225">
        <f t="shared" si="139"/>
        <v>-0.50269508871031832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7">
        <v>11.37</v>
      </c>
      <c r="C361" s="390"/>
      <c r="D361" s="393">
        <f t="shared" si="122"/>
        <v>11.600927872745396</v>
      </c>
      <c r="E361" s="385">
        <f t="shared" ref="E361:E380" si="144">Wh_pvt/(1-Psa)</f>
        <v>12.201120676767017</v>
      </c>
      <c r="F361" s="385">
        <f t="shared" si="123"/>
        <v>12.201954964682038</v>
      </c>
      <c r="G361" s="110">
        <f t="shared" ref="G361:G380" si="145">+Wh_hp/MaxiM</f>
        <v>0.49234311348096854</v>
      </c>
      <c r="H361" s="414" t="b">
        <f>Wh_hp&gt;='2019'!Maxi_hp</f>
        <v>1</v>
      </c>
      <c r="I361" s="380">
        <f>IF(H361,Wh_hp,'2019'!Maxi_hp)</f>
        <v>12.201954964682038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1.9905982976407222E-2</v>
      </c>
      <c r="M361" s="845"/>
      <c r="N361" s="845"/>
      <c r="O361" s="48">
        <f>IF(t&lt;Tnet,'2019'!Resal+('2019'!Salim-'2019'!Resal)*(1-EXP(('2019'!Tnet-t)/('2019'!Tau_j))),Resal+(Salim-Resal)*(1-EXP((Tnet-t)/(Tau_j))))*Salcycl</f>
        <v>4.9191612797051427E-2</v>
      </c>
      <c r="P361" s="169">
        <f>(INDEX(Models!$BJ361:$BT361,,T361)*(1-R361)+INDEX(Models!$BJ361:$BT361,,T361+1)*R361-ERP_i)*Q361*Ramure*Pc/MaxiM</f>
        <v>2.4871813118653368E-4</v>
      </c>
      <c r="Q361" s="305">
        <f t="shared" si="125"/>
        <v>0.5</v>
      </c>
      <c r="R361" s="177">
        <f t="shared" si="126"/>
        <v>0.49731496602005765</v>
      </c>
      <c r="S361" s="811">
        <f t="shared" si="127"/>
        <v>-1</v>
      </c>
      <c r="T361" s="176">
        <f t="shared" si="128"/>
        <v>5</v>
      </c>
      <c r="U361" s="251">
        <f t="shared" si="129"/>
        <v>-0.50268503397994235</v>
      </c>
      <c r="V361" s="383">
        <f t="shared" si="130"/>
        <v>23.089485823562466</v>
      </c>
      <c r="W361" s="402"/>
      <c r="X361" s="157">
        <f t="shared" si="131"/>
        <v>44177</v>
      </c>
      <c r="Y361" s="385">
        <f t="shared" si="132"/>
        <v>11.37</v>
      </c>
      <c r="Z361" s="385">
        <f t="shared" si="133"/>
        <v>11.600927872745396</v>
      </c>
      <c r="AA361" s="386">
        <f t="shared" si="134"/>
        <v>12.201120676767017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4.9191612797051427E-2</v>
      </c>
      <c r="AD361" s="231">
        <f>(INDEX(Models!$BJ361:$BT361,,AH361)*(1-AF361)+INDEX(Models!$BJ361:$BT361,,AH361+1)*AF361-ERP_i)*AE361*Ramure*Pc/MaxiM</f>
        <v>2.4871813118653368E-4</v>
      </c>
      <c r="AE361" s="305">
        <f t="shared" si="136"/>
        <v>0.5</v>
      </c>
      <c r="AF361" s="177">
        <f t="shared" si="137"/>
        <v>0.49731496602005765</v>
      </c>
      <c r="AG361" s="811">
        <f t="shared" si="143"/>
        <v>-1</v>
      </c>
      <c r="AH361" s="176">
        <f t="shared" si="138"/>
        <v>5</v>
      </c>
      <c r="AI361" s="225">
        <f t="shared" si="139"/>
        <v>-0.50268503397994235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7">
        <v>10.326000000000001</v>
      </c>
      <c r="C362" s="390"/>
      <c r="D362" s="393">
        <f t="shared" si="122"/>
        <v>10.535954705869948</v>
      </c>
      <c r="E362" s="385">
        <f t="shared" si="144"/>
        <v>11.081657506086598</v>
      </c>
      <c r="F362" s="385">
        <f t="shared" si="123"/>
        <v>11.082241338179657</v>
      </c>
      <c r="G362" s="110">
        <f t="shared" si="145"/>
        <v>0.44832133149151804</v>
      </c>
      <c r="H362" s="414" t="b">
        <f>Wh_hp&gt;='2019'!Maxi_hp</f>
        <v>0</v>
      </c>
      <c r="I362" s="380">
        <f>IF(H362,Wh_hp,'2019'!Maxi_hp)</f>
        <v>19.817194245198483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1.9927449550725007E-2</v>
      </c>
      <c r="M362" s="845"/>
      <c r="N362" s="845"/>
      <c r="O362" s="48">
        <f>IF(t&lt;Tnet,'2019'!Resal+('2019'!Salim-'2019'!Resal)*(1-EXP(('2019'!Tnet-t)/('2019'!Tau_j))),Resal+(Salim-Resal)*(1-EXP((Tnet-t)/(Tau_j))))*Salcycl</f>
        <v>4.9243788658593995E-2</v>
      </c>
      <c r="P362" s="169">
        <f>(INDEX(Models!$BJ362:$BT362,,T362)*(1-R362)+INDEX(Models!$BJ362:$BT362,,T362+1)*R362-ERP_i)*Q362*Ramure*Pc/MaxiM</f>
        <v>2.4848362013924218E-4</v>
      </c>
      <c r="Q362" s="305">
        <f t="shared" si="125"/>
        <v>0.5</v>
      </c>
      <c r="R362" s="177">
        <f t="shared" si="126"/>
        <v>0.49732461629762703</v>
      </c>
      <c r="S362" s="811">
        <f t="shared" si="127"/>
        <v>-1</v>
      </c>
      <c r="T362" s="176">
        <f t="shared" si="128"/>
        <v>5</v>
      </c>
      <c r="U362" s="251">
        <f t="shared" si="129"/>
        <v>-0.50267538370237297</v>
      </c>
      <c r="V362" s="383">
        <f t="shared" si="130"/>
        <v>23.028076779732881</v>
      </c>
      <c r="W362" s="402"/>
      <c r="X362" s="157">
        <f t="shared" si="131"/>
        <v>44178</v>
      </c>
      <c r="Y362" s="385">
        <f t="shared" si="132"/>
        <v>10.326000000000001</v>
      </c>
      <c r="Z362" s="385">
        <f t="shared" si="133"/>
        <v>10.535954705869948</v>
      </c>
      <c r="AA362" s="386">
        <f t="shared" si="134"/>
        <v>11.081657506086598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4.9243788658593995E-2</v>
      </c>
      <c r="AD362" s="231">
        <f>(INDEX(Models!$BJ362:$BT362,,AH362)*(1-AF362)+INDEX(Models!$BJ362:$BT362,,AH362+1)*AF362-ERP_i)*AE362*Ramure*Pc/MaxiM</f>
        <v>2.4848362013924218E-4</v>
      </c>
      <c r="AE362" s="305">
        <f t="shared" si="136"/>
        <v>0.5</v>
      </c>
      <c r="AF362" s="177">
        <f t="shared" si="137"/>
        <v>0.49732461629762703</v>
      </c>
      <c r="AG362" s="811">
        <f t="shared" si="143"/>
        <v>-1</v>
      </c>
      <c r="AH362" s="176">
        <f t="shared" si="138"/>
        <v>5</v>
      </c>
      <c r="AI362" s="225">
        <f t="shared" si="139"/>
        <v>-0.50267538370237297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7">
        <v>3.67</v>
      </c>
      <c r="C363" s="390"/>
      <c r="D363" s="393">
        <f t="shared" si="122"/>
        <v>3.7447027595018607</v>
      </c>
      <c r="E363" s="385">
        <f t="shared" si="144"/>
        <v>3.9388754056067823</v>
      </c>
      <c r="F363" s="385">
        <f t="shared" si="123"/>
        <v>3.9388754056067823</v>
      </c>
      <c r="G363" s="110">
        <f t="shared" si="145"/>
        <v>0.15968364191658299</v>
      </c>
      <c r="H363" s="414" t="b">
        <f>Wh_hp&gt;='2019'!Maxi_hp</f>
        <v>0</v>
      </c>
      <c r="I363" s="380">
        <f>IF(H363,Wh_hp,'2019'!Maxi_hp)</f>
        <v>25.557265904120406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1.9948915654869781E-2</v>
      </c>
      <c r="M363" s="845"/>
      <c r="N363" s="845"/>
      <c r="O363" s="48">
        <f>IF(t&lt;Tnet,'2019'!Resal+('2019'!Salim-'2019'!Resal)*(1-EXP(('2019'!Tnet-t)/('2019'!Tau_j))),Resal+(Salim-Resal)*(1-EXP((Tnet-t)/(Tau_j))))*Salcycl</f>
        <v>4.9296468181889486E-2</v>
      </c>
      <c r="P363" s="169">
        <f>(INDEX(Models!$BJ363:$BT363,,T363)*(1-R363)+INDEX(Models!$BJ363:$BT363,,T363+1)*R363-ERP_i)*Q363*Ramure*Pc/MaxiM</f>
        <v>2.4827991970209813E-4</v>
      </c>
      <c r="Q363" s="305">
        <f t="shared" si="125"/>
        <v>0.5</v>
      </c>
      <c r="R363" s="177">
        <f t="shared" si="126"/>
        <v>0.49733387837688348</v>
      </c>
      <c r="S363" s="811">
        <f t="shared" si="127"/>
        <v>-1</v>
      </c>
      <c r="T363" s="176">
        <f t="shared" si="128"/>
        <v>5</v>
      </c>
      <c r="U363" s="251">
        <f t="shared" si="129"/>
        <v>-0.50266612162311652</v>
      </c>
      <c r="V363" s="383">
        <f t="shared" si="130"/>
        <v>22.977236545064432</v>
      </c>
      <c r="W363" s="402"/>
      <c r="X363" s="157">
        <f t="shared" si="131"/>
        <v>44179</v>
      </c>
      <c r="Y363" s="385">
        <f t="shared" si="132"/>
        <v>3.67</v>
      </c>
      <c r="Z363" s="385">
        <f t="shared" si="133"/>
        <v>3.7447027595018607</v>
      </c>
      <c r="AA363" s="386">
        <f t="shared" si="134"/>
        <v>3.9388754056067823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4.9296468181889486E-2</v>
      </c>
      <c r="AD363" s="231">
        <f>(INDEX(Models!$BJ363:$BT363,,AH363)*(1-AF363)+INDEX(Models!$BJ363:$BT363,,AH363+1)*AF363-ERP_i)*AE363*Ramure*Pc/MaxiM</f>
        <v>2.4827991970209813E-4</v>
      </c>
      <c r="AE363" s="305">
        <f t="shared" si="136"/>
        <v>0.5</v>
      </c>
      <c r="AF363" s="177">
        <f t="shared" si="137"/>
        <v>0.49733387837688348</v>
      </c>
      <c r="AG363" s="811">
        <f t="shared" si="143"/>
        <v>-1</v>
      </c>
      <c r="AH363" s="176">
        <f t="shared" si="138"/>
        <v>5</v>
      </c>
      <c r="AI363" s="225">
        <f t="shared" si="139"/>
        <v>-0.50266612162311652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7">
        <v>2.3410000000000002</v>
      </c>
      <c r="C364" s="390"/>
      <c r="D364" s="393">
        <f t="shared" si="122"/>
        <v>2.3887033160065965</v>
      </c>
      <c r="E364" s="385">
        <f t="shared" si="144"/>
        <v>2.51270432581493</v>
      </c>
      <c r="F364" s="385">
        <f t="shared" si="123"/>
        <v>2.51270432581493</v>
      </c>
      <c r="G364" s="110">
        <f t="shared" si="145"/>
        <v>0.1020359316101097</v>
      </c>
      <c r="H364" s="414" t="b">
        <f>Wh_hp&gt;='2019'!Maxi_hp</f>
        <v>0</v>
      </c>
      <c r="I364" s="380">
        <f>IF(H364,Wh_hp,'2019'!Maxi_hp)</f>
        <v>14.860636438752699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1.9970381288851757E-2</v>
      </c>
      <c r="M364" s="845"/>
      <c r="N364" s="845"/>
      <c r="O364" s="48">
        <f>IF(t&lt;Tnet,'2019'!Resal+('2019'!Salim-'2019'!Resal)*(1-EXP(('2019'!Tnet-t)/('2019'!Tau_j))),Resal+(Salim-Resal)*(1-EXP((Tnet-t)/(Tau_j))))*Salcycl</f>
        <v>4.9349622450352272E-2</v>
      </c>
      <c r="P364" s="169">
        <f>(INDEX(Models!$BJ364:$BT364,,T364)*(1-R364)+INDEX(Models!$BJ364:$BT364,,T364+1)*R364-ERP_i)*Q364*Ramure*Pc/MaxiM</f>
        <v>2.4810263002286015E-4</v>
      </c>
      <c r="Q364" s="305">
        <f t="shared" si="125"/>
        <v>0.5</v>
      </c>
      <c r="R364" s="177">
        <f t="shared" si="126"/>
        <v>0.49734276786022868</v>
      </c>
      <c r="S364" s="811">
        <f t="shared" si="127"/>
        <v>-1</v>
      </c>
      <c r="T364" s="176">
        <f t="shared" si="128"/>
        <v>5</v>
      </c>
      <c r="U364" s="251">
        <f t="shared" si="129"/>
        <v>-0.50265723213977132</v>
      </c>
      <c r="V364" s="383">
        <f t="shared" si="130"/>
        <v>22.937206088205386</v>
      </c>
      <c r="W364" s="402"/>
      <c r="X364" s="157">
        <f t="shared" si="131"/>
        <v>44180</v>
      </c>
      <c r="Y364" s="385">
        <f t="shared" si="132"/>
        <v>2.3410000000000002</v>
      </c>
      <c r="Z364" s="385">
        <f t="shared" si="133"/>
        <v>2.3887033160065965</v>
      </c>
      <c r="AA364" s="386">
        <f t="shared" si="134"/>
        <v>2.51270432581493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4.9349622450352272E-2</v>
      </c>
      <c r="AD364" s="231">
        <f>(INDEX(Models!$BJ364:$BT364,,AH364)*(1-AF364)+INDEX(Models!$BJ364:$BT364,,AH364+1)*AF364-ERP_i)*AE364*Ramure*Pc/MaxiM</f>
        <v>2.4810263002286015E-4</v>
      </c>
      <c r="AE364" s="305">
        <f t="shared" si="136"/>
        <v>0.5</v>
      </c>
      <c r="AF364" s="177">
        <f t="shared" si="137"/>
        <v>0.49734276786022868</v>
      </c>
      <c r="AG364" s="811">
        <f t="shared" si="143"/>
        <v>-1</v>
      </c>
      <c r="AH364" s="176">
        <f t="shared" si="138"/>
        <v>5</v>
      </c>
      <c r="AI364" s="225">
        <f t="shared" si="139"/>
        <v>-0.50265723213977132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7">
        <v>16.5</v>
      </c>
      <c r="C365" s="390"/>
      <c r="D365" s="393">
        <f t="shared" si="122"/>
        <v>16.836594614315434</v>
      </c>
      <c r="E365" s="385">
        <f t="shared" si="144"/>
        <v>17.711604971245514</v>
      </c>
      <c r="F365" s="385">
        <f t="shared" si="123"/>
        <v>17.714241955328927</v>
      </c>
      <c r="G365" s="110">
        <f t="shared" si="145"/>
        <v>0.7201939016531046</v>
      </c>
      <c r="H365" s="414" t="b">
        <f>Wh_hp&gt;='2019'!Maxi_hp</f>
        <v>0</v>
      </c>
      <c r="I365" s="380">
        <f>IF(H365,Wh_hp,'2019'!Maxi_hp)</f>
        <v>20.357064325924458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1.9991846452681261E-2</v>
      </c>
      <c r="M365" s="845"/>
      <c r="N365" s="845"/>
      <c r="O365" s="48">
        <f>IF(t&lt;Tnet,'2019'!Resal+('2019'!Salim-'2019'!Resal)*(1-EXP(('2019'!Tnet-t)/('2019'!Tau_j))),Resal+(Salim-Resal)*(1-EXP((Tnet-t)/(Tau_j))))*Salcycl</f>
        <v>4.9403222257420686E-2</v>
      </c>
      <c r="P365" s="169">
        <f>(INDEX(Models!$BJ365:$BT365,,T365)*(1-R365)+INDEX(Models!$BJ365:$BT365,,T365+1)*R365-ERP_i)*Q365*Ramure*Pc/MaxiM</f>
        <v>2.4794734594763912E-4</v>
      </c>
      <c r="Q365" s="305">
        <f t="shared" si="125"/>
        <v>0.5</v>
      </c>
      <c r="R365" s="177">
        <f t="shared" si="126"/>
        <v>0.49735129972404113</v>
      </c>
      <c r="S365" s="811">
        <f t="shared" si="127"/>
        <v>-1</v>
      </c>
      <c r="T365" s="176">
        <f t="shared" si="128"/>
        <v>5</v>
      </c>
      <c r="U365" s="251">
        <f t="shared" si="129"/>
        <v>-0.50264870027595887</v>
      </c>
      <c r="V365" s="383">
        <f t="shared" si="130"/>
        <v>22.90822626608718</v>
      </c>
      <c r="W365" s="402"/>
      <c r="X365" s="157">
        <f t="shared" si="131"/>
        <v>44181</v>
      </c>
      <c r="Y365" s="385">
        <f t="shared" si="132"/>
        <v>16.5</v>
      </c>
      <c r="Z365" s="385">
        <f t="shared" si="133"/>
        <v>16.836594614315434</v>
      </c>
      <c r="AA365" s="386">
        <f t="shared" si="134"/>
        <v>17.711604971245514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4.9403222257420686E-2</v>
      </c>
      <c r="AD365" s="231">
        <f>(INDEX(Models!$BJ365:$BT365,,AH365)*(1-AF365)+INDEX(Models!$BJ365:$BT365,,AH365+1)*AF365-ERP_i)*AE365*Ramure*Pc/MaxiM</f>
        <v>2.4794734594763912E-4</v>
      </c>
      <c r="AE365" s="305">
        <f t="shared" si="136"/>
        <v>0.5</v>
      </c>
      <c r="AF365" s="177">
        <f t="shared" si="137"/>
        <v>0.49735129972404113</v>
      </c>
      <c r="AG365" s="811">
        <f t="shared" si="143"/>
        <v>-1</v>
      </c>
      <c r="AH365" s="176">
        <f t="shared" si="138"/>
        <v>5</v>
      </c>
      <c r="AI365" s="225">
        <f t="shared" si="139"/>
        <v>-0.50264870027595887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7">
        <v>8.9499999999999993</v>
      </c>
      <c r="C366" s="390"/>
      <c r="D366" s="393">
        <f t="shared" si="122"/>
        <v>9.1327771099314905</v>
      </c>
      <c r="E366" s="385">
        <f t="shared" si="144"/>
        <v>9.6079602916279114</v>
      </c>
      <c r="F366" s="385">
        <f t="shared" si="123"/>
        <v>9.6082697877878687</v>
      </c>
      <c r="G366" s="110">
        <f t="shared" si="145"/>
        <v>0.39090695042596285</v>
      </c>
      <c r="H366" s="414" t="b">
        <f>Wh_hp&gt;='2019'!Maxi_hp</f>
        <v>0</v>
      </c>
      <c r="I366" s="380">
        <f>IF(H366,Wh_hp,'2019'!Maxi_hp)</f>
        <v>18.652973480244018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2.0013311146368506E-2</v>
      </c>
      <c r="M366" s="845"/>
      <c r="N366" s="845"/>
      <c r="O366" s="48">
        <f>IF(t&lt;Tnet,'2019'!Resal+('2019'!Salim-'2019'!Resal)*(1-EXP(('2019'!Tnet-t)/('2019'!Tau_j))),Resal+(Salim-Resal)*(1-EXP((Tnet-t)/(Tau_j))))*Salcycl</f>
        <v>4.9457238297548146E-2</v>
      </c>
      <c r="P366" s="169">
        <f>(INDEX(Models!$BJ366:$BT366,,T366)*(1-R366)+INDEX(Models!$BJ366:$BT366,,T366+1)*R366-ERP_i)*Q366*Ramure*Pc/MaxiM</f>
        <v>2.4780410381013043E-4</v>
      </c>
      <c r="Q366" s="305">
        <f t="shared" si="125"/>
        <v>0.5</v>
      </c>
      <c r="R366" s="177">
        <f t="shared" si="126"/>
        <v>0.49735948834371047</v>
      </c>
      <c r="S366" s="811">
        <f t="shared" si="127"/>
        <v>-1</v>
      </c>
      <c r="T366" s="176">
        <f t="shared" si="128"/>
        <v>5</v>
      </c>
      <c r="U366" s="251">
        <f t="shared" si="129"/>
        <v>-0.50264051165628953</v>
      </c>
      <c r="V366" s="383">
        <f t="shared" si="130"/>
        <v>22.890537949529893</v>
      </c>
      <c r="W366" s="402"/>
      <c r="X366" s="157">
        <f t="shared" si="131"/>
        <v>44182</v>
      </c>
      <c r="Y366" s="385">
        <f t="shared" si="132"/>
        <v>8.9499999999999993</v>
      </c>
      <c r="Z366" s="385">
        <f t="shared" si="133"/>
        <v>9.1327771099314905</v>
      </c>
      <c r="AA366" s="386">
        <f t="shared" si="134"/>
        <v>9.6079602916279114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4.9457238297548146E-2</v>
      </c>
      <c r="AD366" s="231">
        <f>(INDEX(Models!$BJ366:$BT366,,AH366)*(1-AF366)+INDEX(Models!$BJ366:$BT366,,AH366+1)*AF366-ERP_i)*AE366*Ramure*Pc/MaxiM</f>
        <v>2.4780410381013043E-4</v>
      </c>
      <c r="AE366" s="305">
        <f t="shared" si="136"/>
        <v>0.5</v>
      </c>
      <c r="AF366" s="177">
        <f t="shared" si="137"/>
        <v>0.49735948834371047</v>
      </c>
      <c r="AG366" s="811">
        <f t="shared" si="143"/>
        <v>-1</v>
      </c>
      <c r="AH366" s="176">
        <f t="shared" si="138"/>
        <v>5</v>
      </c>
      <c r="AI366" s="225">
        <f t="shared" si="139"/>
        <v>-0.50264051165628953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7">
        <v>9.5909999999999993</v>
      </c>
      <c r="C367" s="390"/>
      <c r="D367" s="393">
        <f t="shared" si="122"/>
        <v>9.7870819891802547</v>
      </c>
      <c r="E367" s="385">
        <f t="shared" si="144"/>
        <v>10.296898326136228</v>
      </c>
      <c r="F367" s="385">
        <f t="shared" si="123"/>
        <v>10.297332079966434</v>
      </c>
      <c r="G367" s="110">
        <f t="shared" si="145"/>
        <v>0.41902065006203404</v>
      </c>
      <c r="H367" s="414" t="b">
        <f>Wh_hp&gt;='2019'!Maxi_hp</f>
        <v>0</v>
      </c>
      <c r="I367" s="380">
        <f>IF(H367,Wh_hp,'2019'!Maxi_hp)</f>
        <v>23.39378515963071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2.0034775369924041E-2</v>
      </c>
      <c r="M367" s="845"/>
      <c r="N367" s="845"/>
      <c r="O367" s="48">
        <f>IF(t&lt;Tnet,'2019'!Resal+('2019'!Salim-'2019'!Resal)*(1-EXP(('2019'!Tnet-t)/('2019'!Tau_j))),Resal+(Salim-Resal)*(1-EXP((Tnet-t)/(Tau_j))))*Salcycl</f>
        <v>4.9511641351447165E-2</v>
      </c>
      <c r="P367" s="169">
        <f>(INDEX(Models!$BJ367:$BT367,,T367)*(1-R367)+INDEX(Models!$BJ367:$BT367,,T367+1)*R367-ERP_i)*Q367*Ramure*Pc/MaxiM</f>
        <v>2.4755987588424659E-4</v>
      </c>
      <c r="Q367" s="305">
        <f t="shared" si="125"/>
        <v>0.5</v>
      </c>
      <c r="R367" s="177">
        <f t="shared" si="126"/>
        <v>0.49736734751767664</v>
      </c>
      <c r="S367" s="811">
        <f t="shared" si="127"/>
        <v>-1</v>
      </c>
      <c r="T367" s="176">
        <f t="shared" si="128"/>
        <v>5</v>
      </c>
      <c r="U367" s="251">
        <f t="shared" si="129"/>
        <v>-0.50263265248232336</v>
      </c>
      <c r="V367" s="383">
        <f t="shared" si="130"/>
        <v>22.884384265696234</v>
      </c>
      <c r="W367" s="402"/>
      <c r="X367" s="157">
        <f t="shared" si="131"/>
        <v>44183</v>
      </c>
      <c r="Y367" s="385">
        <f t="shared" si="132"/>
        <v>9.5909999999999993</v>
      </c>
      <c r="Z367" s="385">
        <f t="shared" si="133"/>
        <v>9.7870819891802547</v>
      </c>
      <c r="AA367" s="386">
        <f t="shared" si="134"/>
        <v>10.296898326136228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4.9511641351447165E-2</v>
      </c>
      <c r="AD367" s="231">
        <f>(INDEX(Models!$BJ367:$BT367,,AH367)*(1-AF367)+INDEX(Models!$BJ367:$BT367,,AH367+1)*AF367-ERP_i)*AE367*Ramure*Pc/MaxiM</f>
        <v>2.4755987588424659E-4</v>
      </c>
      <c r="AE367" s="305">
        <f t="shared" si="136"/>
        <v>0.5</v>
      </c>
      <c r="AF367" s="177">
        <f t="shared" si="137"/>
        <v>0.49736734751767664</v>
      </c>
      <c r="AG367" s="811">
        <f t="shared" si="143"/>
        <v>-1</v>
      </c>
      <c r="AH367" s="176">
        <f t="shared" si="138"/>
        <v>5</v>
      </c>
      <c r="AI367" s="225">
        <f t="shared" si="139"/>
        <v>-0.50263265248232336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7">
        <v>8.2490000000000006</v>
      </c>
      <c r="C368" s="390"/>
      <c r="D368" s="393">
        <f t="shared" si="122"/>
        <v>8.4178300116126827</v>
      </c>
      <c r="E368" s="385">
        <f t="shared" si="144"/>
        <v>8.8568312751549563</v>
      </c>
      <c r="F368" s="385">
        <f t="shared" si="123"/>
        <v>8.8570201259561134</v>
      </c>
      <c r="G368" s="110">
        <f t="shared" si="145"/>
        <v>0.36029421338886475</v>
      </c>
      <c r="H368" s="414" t="b">
        <f>Wh_hp&gt;='2019'!Maxi_hp</f>
        <v>0</v>
      </c>
      <c r="I368" s="380">
        <f>IF(H368,Wh_hp,'2019'!Maxi_hp)</f>
        <v>13.943536832461973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2.0056239123357855E-2</v>
      </c>
      <c r="M368" s="845"/>
      <c r="N368" s="845"/>
      <c r="O368" s="48">
        <f>IF(t&lt;Tnet,'2019'!Resal+('2019'!Salim-'2019'!Resal)*(1-EXP(('2019'!Tnet-t)/('2019'!Tau_j))),Resal+(Salim-Resal)*(1-EXP((Tnet-t)/(Tau_j))))*Salcycl</f>
        <v>4.9566402464248489E-2</v>
      </c>
      <c r="P368" s="169">
        <f>(INDEX(Models!$BJ368:$BT368,,T368)*(1-R368)+INDEX(Models!$BJ368:$BT368,,T368+1)*R368-ERP_i)*Q368*Ramure*Pc/MaxiM</f>
        <v>2.4721091213185056E-4</v>
      </c>
      <c r="Q368" s="305">
        <f t="shared" si="125"/>
        <v>0.5</v>
      </c>
      <c r="R368" s="177">
        <f t="shared" si="126"/>
        <v>0.49737489049051498</v>
      </c>
      <c r="S368" s="811">
        <f t="shared" si="127"/>
        <v>-1</v>
      </c>
      <c r="T368" s="176">
        <f t="shared" si="128"/>
        <v>5</v>
      </c>
      <c r="U368" s="251">
        <f t="shared" si="129"/>
        <v>-0.50262510950948502</v>
      </c>
      <c r="V368" s="383">
        <f t="shared" si="130"/>
        <v>22.890005716111141</v>
      </c>
      <c r="W368" s="402"/>
      <c r="X368" s="157">
        <f t="shared" si="131"/>
        <v>44184</v>
      </c>
      <c r="Y368" s="385">
        <f t="shared" si="132"/>
        <v>8.2490000000000006</v>
      </c>
      <c r="Z368" s="385">
        <f t="shared" si="133"/>
        <v>8.4178300116126827</v>
      </c>
      <c r="AA368" s="386">
        <f t="shared" si="134"/>
        <v>8.8568312751549563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4.9566402464248489E-2</v>
      </c>
      <c r="AD368" s="231">
        <f>(INDEX(Models!$BJ368:$BT368,,AH368)*(1-AF368)+INDEX(Models!$BJ368:$BT368,,AH368+1)*AF368-ERP_i)*AE368*Ramure*Pc/MaxiM</f>
        <v>2.4721091213185056E-4</v>
      </c>
      <c r="AE368" s="305">
        <f t="shared" si="136"/>
        <v>0.5</v>
      </c>
      <c r="AF368" s="177">
        <f t="shared" si="137"/>
        <v>0.49737489049051498</v>
      </c>
      <c r="AG368" s="811">
        <f t="shared" si="143"/>
        <v>-1</v>
      </c>
      <c r="AH368" s="176">
        <f t="shared" si="138"/>
        <v>5</v>
      </c>
      <c r="AI368" s="225">
        <f t="shared" si="139"/>
        <v>-0.50262510950948502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7">
        <v>7.0220000000000002</v>
      </c>
      <c r="C369" s="390"/>
      <c r="D369" s="393">
        <f t="shared" si="122"/>
        <v>7.1658742915085911</v>
      </c>
      <c r="E369" s="385">
        <f t="shared" si="144"/>
        <v>7.5400214120983886</v>
      </c>
      <c r="F369" s="385">
        <f t="shared" si="123"/>
        <v>7.5400387821734753</v>
      </c>
      <c r="G369" s="110">
        <f t="shared" si="145"/>
        <v>0.30646031804375329</v>
      </c>
      <c r="H369" s="414" t="b">
        <f>Wh_hp&gt;='2019'!Maxi_hp</f>
        <v>0</v>
      </c>
      <c r="I369" s="380">
        <f>IF(H369,Wh_hp,'2019'!Maxi_hp)</f>
        <v>20.512881562962292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2.0077702406680387E-2</v>
      </c>
      <c r="M369" s="845"/>
      <c r="N369" s="845"/>
      <c r="O369" s="48">
        <f>IF(t&lt;Tnet,'2019'!Resal+('2019'!Salim-'2019'!Resal)*(1-EXP(('2019'!Tnet-t)/('2019'!Tau_j))),Resal+(Salim-Resal)*(1-EXP((Tnet-t)/(Tau_j))))*Salcycl</f>
        <v>4.9621493115318986E-2</v>
      </c>
      <c r="P369" s="169">
        <f>(INDEX(Models!$BJ369:$BT369,,T369)*(1-R369)+INDEX(Models!$BJ369:$BT369,,T369+1)*R369-ERP_i)*Q369*Ramure*Pc/MaxiM</f>
        <v>2.4675382733994655E-4</v>
      </c>
      <c r="Q369" s="305">
        <f t="shared" si="125"/>
        <v>0.5</v>
      </c>
      <c r="R369" s="177">
        <f t="shared" si="126"/>
        <v>0.49738212997510189</v>
      </c>
      <c r="S369" s="811">
        <f t="shared" si="127"/>
        <v>-1</v>
      </c>
      <c r="T369" s="176">
        <f t="shared" si="128"/>
        <v>5</v>
      </c>
      <c r="U369" s="251">
        <f t="shared" si="129"/>
        <v>-0.50261787002489811</v>
      </c>
      <c r="V369" s="383">
        <f t="shared" si="130"/>
        <v>22.907642699538197</v>
      </c>
      <c r="W369" s="402"/>
      <c r="X369" s="157">
        <f t="shared" si="131"/>
        <v>44185</v>
      </c>
      <c r="Y369" s="385">
        <f t="shared" si="132"/>
        <v>7.0220000000000002</v>
      </c>
      <c r="Z369" s="385">
        <f t="shared" si="133"/>
        <v>7.1658742915085911</v>
      </c>
      <c r="AA369" s="386">
        <f t="shared" si="134"/>
        <v>7.5400214120983886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4.9621493115318986E-2</v>
      </c>
      <c r="AD369" s="231">
        <f>(INDEX(Models!$BJ369:$BT369,,AH369)*(1-AF369)+INDEX(Models!$BJ369:$BT369,,AH369+1)*AF369-ERP_i)*AE369*Ramure*Pc/MaxiM</f>
        <v>2.4675382733994655E-4</v>
      </c>
      <c r="AE369" s="305">
        <f t="shared" si="136"/>
        <v>0.5</v>
      </c>
      <c r="AF369" s="177">
        <f t="shared" si="137"/>
        <v>0.49738212997510189</v>
      </c>
      <c r="AG369" s="811">
        <f t="shared" si="143"/>
        <v>-1</v>
      </c>
      <c r="AH369" s="176">
        <f t="shared" si="138"/>
        <v>5</v>
      </c>
      <c r="AI369" s="225">
        <f t="shared" si="139"/>
        <v>-0.50261787002489811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7">
        <v>7.77</v>
      </c>
      <c r="C370" s="390"/>
      <c r="D370" s="393">
        <f t="shared" si="122"/>
        <v>7.9293737939754738</v>
      </c>
      <c r="E370" s="385">
        <f t="shared" si="144"/>
        <v>8.3438713338402266</v>
      </c>
      <c r="F370" s="385">
        <f t="shared" si="123"/>
        <v>8.3439850352501974</v>
      </c>
      <c r="G370" s="110">
        <f t="shared" si="145"/>
        <v>0.33866729028065956</v>
      </c>
      <c r="H370" s="414" t="b">
        <f>Wh_hp&gt;='2019'!Maxi_hp</f>
        <v>1</v>
      </c>
      <c r="I370" s="380">
        <f>IF(H370,Wh_hp,'2019'!Maxi_hp)</f>
        <v>8.3439850352501974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2.009916521990196E-2</v>
      </c>
      <c r="M370" s="845"/>
      <c r="N370" s="845"/>
      <c r="O370" s="48">
        <f>IF(t&lt;Tnet,'2019'!Resal+('2019'!Salim-'2019'!Resal)*(1-EXP(('2019'!Tnet-t)/('2019'!Tau_j))),Resal+(Salim-Resal)*(1-EXP((Tnet-t)/(Tau_j))))*Salcycl</f>
        <v>4.967688537857444E-2</v>
      </c>
      <c r="P370" s="169">
        <f>(INDEX(Models!$BJ370:$BT370,,T370)*(1-R370)+INDEX(Models!$BJ370:$BT370,,T370+1)*R370-ERP_i)*Q370*Ramure*Pc/MaxiM</f>
        <v>2.4618564039733277E-4</v>
      </c>
      <c r="Q370" s="305">
        <f t="shared" si="125"/>
        <v>0.5</v>
      </c>
      <c r="R370" s="177">
        <f t="shared" si="126"/>
        <v>0.49738907817389921</v>
      </c>
      <c r="S370" s="811">
        <f t="shared" si="127"/>
        <v>-1</v>
      </c>
      <c r="T370" s="176">
        <f t="shared" si="128"/>
        <v>5</v>
      </c>
      <c r="U370" s="251">
        <f t="shared" si="129"/>
        <v>-0.50261092182610079</v>
      </c>
      <c r="V370" s="383">
        <f t="shared" si="130"/>
        <v>22.937535497955558</v>
      </c>
      <c r="W370" s="402"/>
      <c r="X370" s="157">
        <f t="shared" si="131"/>
        <v>44186</v>
      </c>
      <c r="Y370" s="385">
        <f t="shared" si="132"/>
        <v>7.7699999999999987</v>
      </c>
      <c r="Z370" s="385">
        <f t="shared" si="133"/>
        <v>7.9293737939754729</v>
      </c>
      <c r="AA370" s="386">
        <f t="shared" si="134"/>
        <v>8.3438713338402266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4.967688537857444E-2</v>
      </c>
      <c r="AD370" s="231">
        <f>(INDEX(Models!$BJ370:$BT370,,AH370)*(1-AF370)+INDEX(Models!$BJ370:$BT370,,AH370+1)*AF370-ERP_i)*AE370*Ramure*Pc/MaxiM</f>
        <v>2.4618564039733277E-4</v>
      </c>
      <c r="AE370" s="305">
        <f t="shared" si="136"/>
        <v>0.5</v>
      </c>
      <c r="AF370" s="177">
        <f t="shared" si="137"/>
        <v>0.49738907817389921</v>
      </c>
      <c r="AG370" s="811">
        <f t="shared" si="143"/>
        <v>-1</v>
      </c>
      <c r="AH370" s="176">
        <f t="shared" si="138"/>
        <v>5</v>
      </c>
      <c r="AI370" s="225">
        <f t="shared" si="139"/>
        <v>-0.50261092182610079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7">
        <v>18.460999999999999</v>
      </c>
      <c r="C371" s="390"/>
      <c r="D371" s="393">
        <f t="shared" si="122"/>
        <v>18.840074114518156</v>
      </c>
      <c r="E371" s="385">
        <f t="shared" si="144"/>
        <v>19.8260754439208</v>
      </c>
      <c r="F371" s="385">
        <f t="shared" si="123"/>
        <v>19.829576058520093</v>
      </c>
      <c r="G371" s="110">
        <f t="shared" si="145"/>
        <v>0.80329797127046298</v>
      </c>
      <c r="H371" s="414" t="b">
        <f>Wh_hp&gt;='2019'!Maxi_hp</f>
        <v>1</v>
      </c>
      <c r="I371" s="380">
        <f>IF(H371,Wh_hp,'2019'!Maxi_hp)</f>
        <v>19.829576058520093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2.01206275630329E-2</v>
      </c>
      <c r="M371" s="845"/>
      <c r="N371" s="845"/>
      <c r="O371" s="48">
        <f>IF(t&lt;Tnet,'2019'!Resal+('2019'!Salim-'2019'!Resal)*(1-EXP(('2019'!Tnet-t)/('2019'!Tau_j))),Resal+(Salim-Resal)*(1-EXP((Tnet-t)/(Tau_j))))*Salcycl</f>
        <v>4.9732552072224434E-2</v>
      </c>
      <c r="P371" s="169">
        <f>(INDEX(Models!$BJ371:$BT371,,T371)*(1-R371)+INDEX(Models!$BJ371:$BT371,,T371+1)*R371-ERP_i)*Q371*Ramure*Pc/MaxiM</f>
        <v>2.455024980881478E-4</v>
      </c>
      <c r="Q371" s="305">
        <f t="shared" si="125"/>
        <v>0.5</v>
      </c>
      <c r="R371" s="177">
        <f t="shared" si="126"/>
        <v>0.49738907817389921</v>
      </c>
      <c r="S371" s="811">
        <f t="shared" si="127"/>
        <v>-1</v>
      </c>
      <c r="T371" s="176">
        <f t="shared" si="128"/>
        <v>5</v>
      </c>
      <c r="U371" s="251">
        <f t="shared" si="129"/>
        <v>-0.50261092182610079</v>
      </c>
      <c r="V371" s="383">
        <f t="shared" si="130"/>
        <v>22.979924295563645</v>
      </c>
      <c r="W371" s="402"/>
      <c r="X371" s="157">
        <f t="shared" si="131"/>
        <v>44187</v>
      </c>
      <c r="Y371" s="385">
        <f t="shared" si="132"/>
        <v>18.460999999999999</v>
      </c>
      <c r="Z371" s="385">
        <f t="shared" si="133"/>
        <v>18.840074114518156</v>
      </c>
      <c r="AA371" s="386">
        <f t="shared" si="134"/>
        <v>19.8260754439208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4.9732552072224434E-2</v>
      </c>
      <c r="AD371" s="231">
        <f>(INDEX(Models!$BJ371:$BT371,,AH371)*(1-AF371)+INDEX(Models!$BJ371:$BT371,,AH371+1)*AF371-ERP_i)*AE371*Ramure*Pc/MaxiM</f>
        <v>2.455024980881478E-4</v>
      </c>
      <c r="AE371" s="305">
        <f t="shared" si="136"/>
        <v>0.5</v>
      </c>
      <c r="AF371" s="177">
        <f t="shared" si="137"/>
        <v>0.49738907817389921</v>
      </c>
      <c r="AG371" s="811">
        <f t="shared" si="143"/>
        <v>-1</v>
      </c>
      <c r="AH371" s="176">
        <f t="shared" si="138"/>
        <v>5</v>
      </c>
      <c r="AI371" s="225">
        <f t="shared" si="139"/>
        <v>-0.50261092182610079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7">
        <v>9.2739999999999991</v>
      </c>
      <c r="C372" s="390"/>
      <c r="D372" s="393">
        <f t="shared" si="122"/>
        <v>9.4646375765469219</v>
      </c>
      <c r="E372" s="385">
        <f t="shared" si="144"/>
        <v>9.9605585144176008</v>
      </c>
      <c r="F372" s="385">
        <f t="shared" si="123"/>
        <v>9.9609157912654478</v>
      </c>
      <c r="G372" s="110">
        <f t="shared" si="145"/>
        <v>0.40251979244669406</v>
      </c>
      <c r="H372" s="414" t="b">
        <f>Wh_hp&gt;='2019'!Maxi_hp</f>
        <v>0</v>
      </c>
      <c r="I372" s="380">
        <f>IF(H372,Wh_hp,'2019'!Maxi_hp)</f>
        <v>15.301038083820069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2.014208943608331E-2</v>
      </c>
      <c r="M372" s="845"/>
      <c r="N372" s="845"/>
      <c r="O372" s="48">
        <f>IF(t&lt;Tnet,'2019'!Resal+('2019'!Salim-'2019'!Resal)*(1-EXP(('2019'!Tnet-t)/('2019'!Tau_j))),Resal+(Salim-Resal)*(1-EXP((Tnet-t)/(Tau_j))))*Salcycl</f>
        <v>4.9788466896996654E-2</v>
      </c>
      <c r="P372" s="169">
        <f>(INDEX(Models!$BJ372:$BT372,,T372)*(1-R372)+INDEX(Models!$BJ372:$BT372,,T372+1)*R372-ERP_i)*Q372*Ramure*Pc/MaxiM</f>
        <v>2.4470333552263868E-4</v>
      </c>
      <c r="Q372" s="305">
        <f t="shared" si="125"/>
        <v>0.5</v>
      </c>
      <c r="R372" s="177">
        <f t="shared" si="126"/>
        <v>0.49738907817389921</v>
      </c>
      <c r="S372" s="811">
        <f t="shared" si="127"/>
        <v>-1</v>
      </c>
      <c r="T372" s="176">
        <f t="shared" si="128"/>
        <v>5</v>
      </c>
      <c r="U372" s="251">
        <f t="shared" si="129"/>
        <v>-0.50261092182610079</v>
      </c>
      <c r="V372" s="383">
        <f t="shared" si="130"/>
        <v>23.035049119144944</v>
      </c>
      <c r="W372" s="402"/>
      <c r="X372" s="157">
        <f t="shared" si="131"/>
        <v>44188</v>
      </c>
      <c r="Y372" s="385">
        <f t="shared" si="132"/>
        <v>9.2739999999999991</v>
      </c>
      <c r="Z372" s="385">
        <f t="shared" si="133"/>
        <v>9.4646375765469219</v>
      </c>
      <c r="AA372" s="386">
        <f t="shared" si="134"/>
        <v>9.9605585144176008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4.9788466896996654E-2</v>
      </c>
      <c r="AD372" s="231">
        <f>(INDEX(Models!$BJ372:$BT372,,AH372)*(1-AF372)+INDEX(Models!$BJ372:$BT372,,AH372+1)*AF372-ERP_i)*AE372*Ramure*Pc/MaxiM</f>
        <v>2.4470333552263868E-4</v>
      </c>
      <c r="AE372" s="305">
        <f t="shared" si="136"/>
        <v>0.5</v>
      </c>
      <c r="AF372" s="177">
        <f t="shared" si="137"/>
        <v>0.49738907817389921</v>
      </c>
      <c r="AG372" s="811">
        <f t="shared" si="143"/>
        <v>-1</v>
      </c>
      <c r="AH372" s="176">
        <f t="shared" si="138"/>
        <v>5</v>
      </c>
      <c r="AI372" s="225">
        <f t="shared" si="139"/>
        <v>-0.50261092182610079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7">
        <v>10.195</v>
      </c>
      <c r="C373" s="390"/>
      <c r="D373" s="393">
        <f t="shared" si="122"/>
        <v>10.404797666723145</v>
      </c>
      <c r="E373" s="385">
        <f t="shared" si="144"/>
        <v>10.950627357040709</v>
      </c>
      <c r="F373" s="385">
        <f t="shared" si="123"/>
        <v>10.951165995078949</v>
      </c>
      <c r="G373" s="110">
        <f t="shared" si="145"/>
        <v>0.44115668831959931</v>
      </c>
      <c r="H373" s="414" t="b">
        <f>Wh_hp&gt;='2019'!Maxi_hp</f>
        <v>0</v>
      </c>
      <c r="I373" s="380">
        <f>IF(H373,Wh_hp,'2019'!Maxi_hp)</f>
        <v>16.332134440633631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2.0163550839063737E-2</v>
      </c>
      <c r="M373" s="845"/>
      <c r="N373" s="845"/>
      <c r="O373" s="48">
        <f>IF(t&lt;Tnet,'2019'!Resal+('2019'!Salim-'2019'!Resal)*(1-EXP(('2019'!Tnet-t)/('2019'!Tau_j))),Resal+(Salim-Resal)*(1-EXP((Tnet-t)/(Tau_j))))*Salcycl</f>
        <v>4.9844604562004714E-2</v>
      </c>
      <c r="P373" s="169">
        <f>(INDEX(Models!$BJ373:$BT373,,T373)*(1-R373)+INDEX(Models!$BJ373:$BT373,,T373+1)*R373-ERP_i)*Q373*Ramure*Pc/MaxiM</f>
        <v>2.4376376655339276E-4</v>
      </c>
      <c r="Q373" s="305">
        <f t="shared" si="125"/>
        <v>0.5</v>
      </c>
      <c r="R373" s="177">
        <f t="shared" si="126"/>
        <v>0.49738907817389921</v>
      </c>
      <c r="S373" s="811">
        <f t="shared" si="127"/>
        <v>-1</v>
      </c>
      <c r="T373" s="176">
        <f t="shared" si="128"/>
        <v>5</v>
      </c>
      <c r="U373" s="251">
        <f t="shared" si="129"/>
        <v>-0.50261092182610079</v>
      </c>
      <c r="V373" s="383">
        <f t="shared" si="130"/>
        <v>23.105206033084286</v>
      </c>
      <c r="W373" s="402"/>
      <c r="X373" s="157">
        <f t="shared" si="131"/>
        <v>44189</v>
      </c>
      <c r="Y373" s="385">
        <f t="shared" si="132"/>
        <v>10.195</v>
      </c>
      <c r="Z373" s="385">
        <f t="shared" si="133"/>
        <v>10.404797666723145</v>
      </c>
      <c r="AA373" s="386">
        <f t="shared" si="134"/>
        <v>10.950627357040709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4.9844604562004714E-2</v>
      </c>
      <c r="AD373" s="231">
        <f>(INDEX(Models!$BJ373:$BT373,,AH373)*(1-AF373)+INDEX(Models!$BJ373:$BT373,,AH373+1)*AF373-ERP_i)*AE373*Ramure*Pc/MaxiM</f>
        <v>2.4376376655339276E-4</v>
      </c>
      <c r="AE373" s="305">
        <f t="shared" si="136"/>
        <v>0.5</v>
      </c>
      <c r="AF373" s="177">
        <f t="shared" si="137"/>
        <v>0.49738907817389921</v>
      </c>
      <c r="AG373" s="811">
        <f t="shared" si="143"/>
        <v>-1</v>
      </c>
      <c r="AH373" s="176">
        <f t="shared" si="138"/>
        <v>5</v>
      </c>
      <c r="AI373" s="225">
        <f t="shared" si="139"/>
        <v>-0.50261092182610079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7">
        <v>4.13</v>
      </c>
      <c r="C374" s="390"/>
      <c r="D374" s="393">
        <f t="shared" si="122"/>
        <v>4.2150814690731133</v>
      </c>
      <c r="E374" s="385">
        <f t="shared" si="144"/>
        <v>4.4364652597962246</v>
      </c>
      <c r="F374" s="385">
        <f t="shared" si="123"/>
        <v>4.4364652597962246</v>
      </c>
      <c r="G374" s="110">
        <f t="shared" si="145"/>
        <v>0.17803721313735385</v>
      </c>
      <c r="H374" s="414" t="b">
        <f>Wh_hp&gt;='2019'!Maxi_hp</f>
        <v>0</v>
      </c>
      <c r="I374" s="380">
        <f>IF(H374,Wh_hp,'2019'!Maxi_hp)</f>
        <v>24.2954595694269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2.0185011771984285E-2</v>
      </c>
      <c r="M374" s="845"/>
      <c r="N374" s="845"/>
      <c r="O374" s="48">
        <f>IF(t&lt;Tnet,'2019'!Resal+('2019'!Salim-'2019'!Resal)*(1-EXP(('2019'!Tnet-t)/('2019'!Tau_j))),Resal+(Salim-Resal)*(1-EXP((Tnet-t)/(Tau_j))))*Salcycl</f>
        <v>4.9900940897546937E-2</v>
      </c>
      <c r="P374" s="169">
        <f>(INDEX(Models!$BJ374:$BT374,,T374)*(1-R374)+INDEX(Models!$BJ374:$BT374,,T374+1)*R374-ERP_i)*Q374*Ramure*Pc/MaxiM</f>
        <v>2.4267029609270968E-4</v>
      </c>
      <c r="Q374" s="305">
        <f t="shared" si="125"/>
        <v>0.5</v>
      </c>
      <c r="R374" s="177">
        <f t="shared" si="126"/>
        <v>0.49738907817389921</v>
      </c>
      <c r="S374" s="811">
        <f t="shared" si="127"/>
        <v>-1</v>
      </c>
      <c r="T374" s="176">
        <f t="shared" si="128"/>
        <v>5</v>
      </c>
      <c r="U374" s="251">
        <f t="shared" si="129"/>
        <v>-0.50261092182610079</v>
      </c>
      <c r="V374" s="383">
        <f t="shared" si="130"/>
        <v>23.191768164173958</v>
      </c>
      <c r="W374" s="402"/>
      <c r="X374" s="157">
        <f t="shared" si="131"/>
        <v>44190</v>
      </c>
      <c r="Y374" s="385">
        <f t="shared" si="132"/>
        <v>4.13</v>
      </c>
      <c r="Z374" s="385">
        <f t="shared" si="133"/>
        <v>4.2150814690731133</v>
      </c>
      <c r="AA374" s="386">
        <f t="shared" si="134"/>
        <v>4.4364652597962246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4.9900940897546937E-2</v>
      </c>
      <c r="AD374" s="231">
        <f>(INDEX(Models!$BJ374:$BT374,,AH374)*(1-AF374)+INDEX(Models!$BJ374:$BT374,,AH374+1)*AF374-ERP_i)*AE374*Ramure*Pc/MaxiM</f>
        <v>2.4267029609270968E-4</v>
      </c>
      <c r="AE374" s="305">
        <f t="shared" si="136"/>
        <v>0.5</v>
      </c>
      <c r="AF374" s="177">
        <f t="shared" si="137"/>
        <v>0.49738907817389921</v>
      </c>
      <c r="AG374" s="811">
        <f t="shared" si="143"/>
        <v>-1</v>
      </c>
      <c r="AH374" s="176">
        <f t="shared" si="138"/>
        <v>5</v>
      </c>
      <c r="AI374" s="225">
        <f t="shared" si="139"/>
        <v>-0.50261092182610079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7">
        <v>15.43</v>
      </c>
      <c r="C375" s="390"/>
      <c r="D375" s="393">
        <f t="shared" si="122"/>
        <v>15.7482158870706</v>
      </c>
      <c r="E375" s="385">
        <f t="shared" si="144"/>
        <v>16.576326961398983</v>
      </c>
      <c r="F375" s="385">
        <f t="shared" si="123"/>
        <v>16.57840017270798</v>
      </c>
      <c r="G375" s="110">
        <f t="shared" si="145"/>
        <v>0.6623368541467175</v>
      </c>
      <c r="H375" s="414" t="b">
        <f>Wh_hp&gt;='2019'!Maxi_hp</f>
        <v>0</v>
      </c>
      <c r="I375" s="380">
        <f>IF(H375,Wh_hp,'2019'!Maxi_hp)</f>
        <v>24.678488393426758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2.0206472234855388E-2</v>
      </c>
      <c r="M375" s="845"/>
      <c r="N375" s="845"/>
      <c r="O375" s="48">
        <f>IF(t&lt;Tnet,'2019'!Resal+('2019'!Salim-'2019'!Resal)*(1-EXP(('2019'!Tnet-t)/('2019'!Tau_j))),Resal+(Salim-Resal)*(1-EXP((Tnet-t)/(Tau_j))))*Salcycl</f>
        <v>4.995745295425158E-2</v>
      </c>
      <c r="P375" s="169">
        <f>(INDEX(Models!$BJ375:$BT375,,T375)*(1-R375)+INDEX(Models!$BJ375:$BT375,,T375+1)*R375-ERP_i)*Q375*Ramure*Pc/MaxiM</f>
        <v>2.4154274212356974E-4</v>
      </c>
      <c r="Q375" s="305">
        <f t="shared" si="125"/>
        <v>0.5</v>
      </c>
      <c r="R375" s="177">
        <f t="shared" si="126"/>
        <v>0.49738907817389921</v>
      </c>
      <c r="S375" s="811">
        <f t="shared" si="127"/>
        <v>-1</v>
      </c>
      <c r="T375" s="176">
        <f t="shared" si="128"/>
        <v>5</v>
      </c>
      <c r="U375" s="251">
        <f t="shared" si="129"/>
        <v>-0.50261092182610079</v>
      </c>
      <c r="V375" s="383">
        <f t="shared" si="130"/>
        <v>23.293588862307953</v>
      </c>
      <c r="W375" s="402"/>
      <c r="X375" s="157">
        <f t="shared" si="131"/>
        <v>44191</v>
      </c>
      <c r="Y375" s="385">
        <f t="shared" si="132"/>
        <v>15.430000000000001</v>
      </c>
      <c r="Z375" s="385">
        <f t="shared" si="133"/>
        <v>15.748215887070602</v>
      </c>
      <c r="AA375" s="386">
        <f t="shared" si="134"/>
        <v>16.576326961398983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4.995745295425158E-2</v>
      </c>
      <c r="AD375" s="231">
        <f>(INDEX(Models!$BJ375:$BT375,,AH375)*(1-AF375)+INDEX(Models!$BJ375:$BT375,,AH375+1)*AF375-ERP_i)*AE375*Ramure*Pc/MaxiM</f>
        <v>2.4154274212356974E-4</v>
      </c>
      <c r="AE375" s="305">
        <f t="shared" si="136"/>
        <v>0.5</v>
      </c>
      <c r="AF375" s="177">
        <f t="shared" si="137"/>
        <v>0.49738907817389921</v>
      </c>
      <c r="AG375" s="811">
        <f t="shared" si="143"/>
        <v>-1</v>
      </c>
      <c r="AH375" s="176">
        <f t="shared" si="138"/>
        <v>5</v>
      </c>
      <c r="AI375" s="225">
        <f t="shared" si="139"/>
        <v>-0.50261092182610079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7">
        <v>6.2759999999999998</v>
      </c>
      <c r="C376" s="390"/>
      <c r="D376" s="393">
        <f t="shared" si="122"/>
        <v>6.4055714654834057</v>
      </c>
      <c r="E376" s="385">
        <f t="shared" si="144"/>
        <v>6.7428070187051032</v>
      </c>
      <c r="F376" s="385">
        <f t="shared" si="123"/>
        <v>6.7428070187051032</v>
      </c>
      <c r="G376" s="110">
        <f t="shared" si="145"/>
        <v>0.26803155908732157</v>
      </c>
      <c r="H376" s="414" t="b">
        <f>Wh_hp&gt;='2019'!Maxi_hp</f>
        <v>1</v>
      </c>
      <c r="I376" s="380">
        <f>IF(H376,Wh_hp,'2019'!Maxi_hp)</f>
        <v>6.7428070187051032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2.0227932227687262E-2</v>
      </c>
      <c r="M376" s="845"/>
      <c r="N376" s="845"/>
      <c r="O376" s="48">
        <f>IF(t&lt;Tnet,'2019'!Resal+('2019'!Salim-'2019'!Resal)*(1-EXP(('2019'!Tnet-t)/('2019'!Tau_j))),Resal+(Salim-Resal)*(1-EXP((Tnet-t)/(Tau_j))))*Salcycl</f>
        <v>5.0014119088115427E-2</v>
      </c>
      <c r="P376" s="169">
        <f>(INDEX(Models!$BJ376:$BT376,,T376)*(1-R376)+INDEX(Models!$BJ376:$BT376,,T376+1)*R376-ERP_i)*Q376*Ramure*Pc/MaxiM</f>
        <v>2.403987366028482E-4</v>
      </c>
      <c r="Q376" s="305">
        <f t="shared" si="125"/>
        <v>0.5</v>
      </c>
      <c r="R376" s="177">
        <f t="shared" si="126"/>
        <v>0.49738907817389921</v>
      </c>
      <c r="S376" s="811">
        <f t="shared" si="127"/>
        <v>-1</v>
      </c>
      <c r="T376" s="176">
        <f t="shared" si="128"/>
        <v>5</v>
      </c>
      <c r="U376" s="251">
        <f t="shared" si="129"/>
        <v>-0.50261092182610079</v>
      </c>
      <c r="V376" s="383">
        <f t="shared" si="130"/>
        <v>23.409524157880689</v>
      </c>
      <c r="W376" s="402"/>
      <c r="X376" s="157">
        <f t="shared" si="131"/>
        <v>44192</v>
      </c>
      <c r="Y376" s="385">
        <f t="shared" si="132"/>
        <v>6.2759999999999998</v>
      </c>
      <c r="Z376" s="385">
        <f t="shared" si="133"/>
        <v>6.4055714654834057</v>
      </c>
      <c r="AA376" s="386">
        <f t="shared" si="134"/>
        <v>6.7428070187051032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5.0014119088115427E-2</v>
      </c>
      <c r="AD376" s="231">
        <f>(INDEX(Models!$BJ376:$BT376,,AH376)*(1-AF376)+INDEX(Models!$BJ376:$BT376,,AH376+1)*AF376-ERP_i)*AE376*Ramure*Pc/MaxiM</f>
        <v>2.403987366028482E-4</v>
      </c>
      <c r="AE376" s="305">
        <f t="shared" si="136"/>
        <v>0.5</v>
      </c>
      <c r="AF376" s="177">
        <f t="shared" si="137"/>
        <v>0.49738907817389921</v>
      </c>
      <c r="AG376" s="811">
        <f t="shared" si="143"/>
        <v>-1</v>
      </c>
      <c r="AH376" s="176">
        <f t="shared" si="138"/>
        <v>5</v>
      </c>
      <c r="AI376" s="225">
        <f t="shared" si="139"/>
        <v>-0.50261092182610079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7">
        <v>7.2759999999999998</v>
      </c>
      <c r="C377" s="390"/>
      <c r="D377" s="393">
        <f t="shared" si="122"/>
        <v>7.4263796712510386</v>
      </c>
      <c r="E377" s="385">
        <f t="shared" si="144"/>
        <v>7.8178253724756797</v>
      </c>
      <c r="F377" s="385">
        <f t="shared" si="123"/>
        <v>7.8178497187377429</v>
      </c>
      <c r="G377" s="110">
        <f t="shared" si="145"/>
        <v>0.30903852574702301</v>
      </c>
      <c r="H377" s="414" t="b">
        <f>Wh_hp&gt;='2019'!Maxi_hp</f>
        <v>0</v>
      </c>
      <c r="I377" s="380">
        <f>IF(H377,Wh_hp,'2019'!Maxi_hp)</f>
        <v>24.70046719987749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2.0249391750490231E-2</v>
      </c>
      <c r="M377" s="845"/>
      <c r="N377" s="845"/>
      <c r="O377" s="48">
        <f>IF(t&lt;Tnet,'2019'!Resal+('2019'!Salim-'2019'!Resal)*(1-EXP(('2019'!Tnet-t)/('2019'!Tau_j))),Resal+(Salim-Resal)*(1-EXP((Tnet-t)/(Tau_j))))*Salcycl</f>
        <v>5.0070919031116927E-2</v>
      </c>
      <c r="P377" s="169">
        <f>(INDEX(Models!$BJ377:$BT377,,T377)*(1-R377)+INDEX(Models!$BJ377:$BT377,,T377+1)*R377-ERP_i)*Q377*Ramure*Pc/MaxiM</f>
        <v>2.3925017361720919E-4</v>
      </c>
      <c r="Q377" s="305">
        <f t="shared" si="125"/>
        <v>0.5</v>
      </c>
      <c r="R377" s="177">
        <f t="shared" si="126"/>
        <v>0.49738907817389921</v>
      </c>
      <c r="S377" s="811">
        <f t="shared" si="127"/>
        <v>-1</v>
      </c>
      <c r="T377" s="176">
        <f t="shared" si="128"/>
        <v>5</v>
      </c>
      <c r="U377" s="251">
        <f t="shared" si="129"/>
        <v>-0.50261092182610079</v>
      </c>
      <c r="V377" s="383">
        <f t="shared" si="130"/>
        <v>23.538430529468855</v>
      </c>
      <c r="W377" s="402"/>
      <c r="X377" s="157">
        <f t="shared" si="131"/>
        <v>44193</v>
      </c>
      <c r="Y377" s="385">
        <f t="shared" si="132"/>
        <v>7.2759999999999998</v>
      </c>
      <c r="Z377" s="385">
        <f t="shared" si="133"/>
        <v>7.4263796712510386</v>
      </c>
      <c r="AA377" s="386">
        <f t="shared" si="134"/>
        <v>7.8178253724756797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5.0070919031116927E-2</v>
      </c>
      <c r="AD377" s="231">
        <f>(INDEX(Models!$BJ377:$BT377,,AH377)*(1-AF377)+INDEX(Models!$BJ377:$BT377,,AH377+1)*AF377-ERP_i)*AE377*Ramure*Pc/MaxiM</f>
        <v>2.3925017361720919E-4</v>
      </c>
      <c r="AE377" s="305">
        <f t="shared" si="136"/>
        <v>0.5</v>
      </c>
      <c r="AF377" s="177">
        <f t="shared" si="137"/>
        <v>0.49738907817389921</v>
      </c>
      <c r="AG377" s="811">
        <f t="shared" si="143"/>
        <v>-1</v>
      </c>
      <c r="AH377" s="176">
        <f t="shared" si="138"/>
        <v>5</v>
      </c>
      <c r="AI377" s="225">
        <f t="shared" si="139"/>
        <v>-0.50261092182610079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7">
        <v>8.3019999999999996</v>
      </c>
      <c r="C378" s="390"/>
      <c r="D378" s="393">
        <f t="shared" si="122"/>
        <v>8.4737705383235387</v>
      </c>
      <c r="E378" s="385">
        <f t="shared" si="144"/>
        <v>8.920958883905957</v>
      </c>
      <c r="F378" s="385">
        <f t="shared" si="123"/>
        <v>8.9211124436433575</v>
      </c>
      <c r="G378" s="110">
        <f t="shared" si="145"/>
        <v>0.3505261339880486</v>
      </c>
      <c r="H378" s="414" t="b">
        <f>Wh_hp&gt;='2019'!Maxi_hp</f>
        <v>0</v>
      </c>
      <c r="I378" s="380">
        <f>IF(H378,Wh_hp,'2019'!Maxi_hp)</f>
        <v>26.021620495154139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2.0270850803274509E-2</v>
      </c>
      <c r="M378" s="845"/>
      <c r="N378" s="845"/>
      <c r="O378" s="48">
        <f>IF(t&lt;Tnet,'2019'!Resal+('2019'!Salim-'2019'!Resal)*(1-EXP(('2019'!Tnet-t)/('2019'!Tau_j))),Resal+(Salim-Resal)*(1-EXP((Tnet-t)/(Tau_j))))*Salcycl</f>
        <v>5.0127833947220264E-2</v>
      </c>
      <c r="P378" s="169">
        <f>(INDEX(Models!$BJ378:$BT378,,T378)*(1-R378)+INDEX(Models!$BJ378:$BT378,,T378+1)*R378-ERP_i)*Q378*Ramure*Pc/MaxiM</f>
        <v>2.3810862490591399E-4</v>
      </c>
      <c r="Q378" s="305">
        <f t="shared" si="125"/>
        <v>0.5</v>
      </c>
      <c r="R378" s="177">
        <f t="shared" si="126"/>
        <v>0.49738907817389921</v>
      </c>
      <c r="S378" s="811">
        <f t="shared" si="127"/>
        <v>-1</v>
      </c>
      <c r="T378" s="176">
        <f t="shared" si="128"/>
        <v>5</v>
      </c>
      <c r="U378" s="251">
        <f t="shared" si="129"/>
        <v>-0.50261092182610079</v>
      </c>
      <c r="V378" s="383">
        <f t="shared" si="130"/>
        <v>23.679164800371577</v>
      </c>
      <c r="W378" s="402"/>
      <c r="X378" s="157">
        <f t="shared" si="131"/>
        <v>44194</v>
      </c>
      <c r="Y378" s="385">
        <f t="shared" si="132"/>
        <v>8.3019999999999996</v>
      </c>
      <c r="Z378" s="385">
        <f t="shared" si="133"/>
        <v>8.4737705383235387</v>
      </c>
      <c r="AA378" s="386">
        <f t="shared" si="134"/>
        <v>8.920958883905957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5.0127833947220264E-2</v>
      </c>
      <c r="AD378" s="231">
        <f>(INDEX(Models!$BJ378:$BT378,,AH378)*(1-AF378)+INDEX(Models!$BJ378:$BT378,,AH378+1)*AF378-ERP_i)*AE378*Ramure*Pc/MaxiM</f>
        <v>2.3810862490591399E-4</v>
      </c>
      <c r="AE378" s="305">
        <f t="shared" si="136"/>
        <v>0.5</v>
      </c>
      <c r="AF378" s="177">
        <f t="shared" si="137"/>
        <v>0.49738907817389921</v>
      </c>
      <c r="AG378" s="811">
        <f t="shared" si="143"/>
        <v>-1</v>
      </c>
      <c r="AH378" s="176">
        <f t="shared" si="138"/>
        <v>5</v>
      </c>
      <c r="AI378" s="225">
        <f t="shared" si="139"/>
        <v>-0.50261092182610079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7">
        <v>11.332000000000001</v>
      </c>
      <c r="C379" s="390"/>
      <c r="D379" s="393">
        <f t="shared" si="122"/>
        <v>11.566715366803564</v>
      </c>
      <c r="E379" s="385">
        <f t="shared" si="144"/>
        <v>12.17785936964791</v>
      </c>
      <c r="F379" s="385">
        <f t="shared" si="123"/>
        <v>12.178583063833942</v>
      </c>
      <c r="G379" s="110">
        <f t="shared" si="145"/>
        <v>0.47543894406685927</v>
      </c>
      <c r="H379" s="414" t="b">
        <f>Wh_hp&gt;='2019'!Maxi_hp</f>
        <v>0</v>
      </c>
      <c r="I379" s="380">
        <f>IF(H379,Wh_hp,'2019'!Maxi_hp)</f>
        <v>17.944709126593889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2.0292309386050533E-2</v>
      </c>
      <c r="M379" s="845"/>
      <c r="N379" s="845"/>
      <c r="O379" s="48">
        <f>IF(t&lt;Tnet,'2019'!Resal+('2019'!Salim-'2019'!Resal)*(1-EXP(('2019'!Tnet-t)/('2019'!Tau_j))),Resal+(Salim-Resal)*(1-EXP((Tnet-t)/(Tau_j))))*Salcycl</f>
        <v>5.0184846473721172E-2</v>
      </c>
      <c r="P379" s="169">
        <f>(INDEX(Models!$BJ379:$BT379,,T379)*(1-R379)+INDEX(Models!$BJ379:$BT379,,T379+1)*R379-ERP_i)*Q379*Ramure*Pc/MaxiM</f>
        <v>2.3698528374981384E-4</v>
      </c>
      <c r="Q379" s="306">
        <f t="shared" si="125"/>
        <v>0.5</v>
      </c>
      <c r="R379" s="177">
        <f t="shared" si="126"/>
        <v>0.49738907817389921</v>
      </c>
      <c r="S379" s="811">
        <f t="shared" si="127"/>
        <v>-1</v>
      </c>
      <c r="T379" s="176">
        <f t="shared" si="128"/>
        <v>5</v>
      </c>
      <c r="U379" s="307">
        <f t="shared" si="129"/>
        <v>-0.50261092182610079</v>
      </c>
      <c r="V379" s="383">
        <f t="shared" si="130"/>
        <v>23.830584119846218</v>
      </c>
      <c r="W379" s="402"/>
      <c r="X379" s="157">
        <f t="shared" si="131"/>
        <v>44195</v>
      </c>
      <c r="Y379" s="385">
        <f t="shared" si="132"/>
        <v>11.332000000000001</v>
      </c>
      <c r="Z379" s="385">
        <f t="shared" si="133"/>
        <v>11.566715366803564</v>
      </c>
      <c r="AA379" s="386">
        <f t="shared" si="134"/>
        <v>12.17785936964791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5.0184846473721172E-2</v>
      </c>
      <c r="AD379" s="231">
        <f>(INDEX(Models!$BJ379:$BT379,,AH379)*(1-AF379)+INDEX(Models!$BJ379:$BT379,,AH379+1)*AF379-ERP_i)*AE379*Ramure*Pc/MaxiM</f>
        <v>2.3698528374981384E-4</v>
      </c>
      <c r="AE379" s="306">
        <f t="shared" si="136"/>
        <v>0.5</v>
      </c>
      <c r="AF379" s="177">
        <f t="shared" si="137"/>
        <v>0.49738907817389921</v>
      </c>
      <c r="AG379" s="811">
        <f t="shared" si="143"/>
        <v>-1</v>
      </c>
      <c r="AH379" s="176">
        <f t="shared" si="138"/>
        <v>5</v>
      </c>
      <c r="AI379" s="222">
        <f t="shared" si="139"/>
        <v>-0.50261092182610079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8">
        <v>14.01</v>
      </c>
      <c r="C380" s="390"/>
      <c r="D380" s="393">
        <f t="shared" si="122"/>
        <v>14.300496970578022</v>
      </c>
      <c r="E380" s="385">
        <f t="shared" si="144"/>
        <v>15.0569893366748</v>
      </c>
      <c r="F380" s="385">
        <f t="shared" si="123"/>
        <v>15.05843026866239</v>
      </c>
      <c r="G380" s="110">
        <f t="shared" si="145"/>
        <v>0.58387381950195683</v>
      </c>
      <c r="H380" s="414" t="b">
        <f>Wh_hp&gt;='2019'!Maxi_hp</f>
        <v>1</v>
      </c>
      <c r="I380" s="381">
        <f>IF(H380,Wh_hp,'2019'!Maxi_hp)</f>
        <v>15.05843026866239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2.0313767498828406E-2</v>
      </c>
      <c r="M380" s="845"/>
      <c r="N380" s="845"/>
      <c r="O380" s="324">
        <f>IF(t&lt;Tnet,'2019'!Resal+('2019'!Salim-'2019'!Resal)*(1-EXP(('2019'!Tnet-t)/('2019'!Tau_j))),Resal+(Salim-Resal)*(1-EXP((Tnet-t)/(Tau_j))))*Salcycl</f>
        <v>5.0241940748019569E-2</v>
      </c>
      <c r="P380" s="231">
        <f>(INDEX(Models!$BJ380:$BT380,,T380)*(1-R380)+INDEX(Models!$BJ380:$BT380,,T380+1)*R380-ERP_i)*Q380*Ramure*Pc/MaxiM</f>
        <v>2.3589092378278773E-4</v>
      </c>
      <c r="Q380" s="328">
        <f t="shared" si="125"/>
        <v>0.5</v>
      </c>
      <c r="R380" s="314">
        <f>(Hp_vg-S380)/(INDEX(Echel_vg,T380+1)-S380)</f>
        <v>0.49738907817389921</v>
      </c>
      <c r="S380" s="812">
        <f>INDEX(Echel_vg,T380)</f>
        <v>-1</v>
      </c>
      <c r="T380" s="233">
        <f t="shared" si="128"/>
        <v>5</v>
      </c>
      <c r="U380" s="301">
        <f t="shared" si="129"/>
        <v>-0.50261092182610079</v>
      </c>
      <c r="V380" s="383">
        <f t="shared" si="130"/>
        <v>23.991545982433934</v>
      </c>
      <c r="W380" s="402"/>
      <c r="X380" s="326">
        <f t="shared" si="131"/>
        <v>44196</v>
      </c>
      <c r="Y380" s="398">
        <f t="shared" si="132"/>
        <v>14.01</v>
      </c>
      <c r="Z380" s="398">
        <f t="shared" si="133"/>
        <v>14.300496970578022</v>
      </c>
      <c r="AA380" s="399">
        <f t="shared" si="134"/>
        <v>15.0569893366748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5.0241940748019569E-2</v>
      </c>
      <c r="AD380" s="813">
        <f>(INDEX(Models!$BJ380:$BT380,,AH380)*(1-AF380)+INDEX(Models!$BJ380:$BT380,,AH380+1)*AF380-ERP_i)*AE380*Ramure*Pc/MaxiM</f>
        <v>2.3589092378278773E-4</v>
      </c>
      <c r="AE380" s="328">
        <f t="shared" si="136"/>
        <v>0.5</v>
      </c>
      <c r="AF380" s="314">
        <f>(Hp_vg_s-AG380)/(INDEX(Echel_vg,AH380+1)-AG380)</f>
        <v>0.49738907817389921</v>
      </c>
      <c r="AG380" s="812">
        <f>INDEX(Echel_vg,AH380)</f>
        <v>-1</v>
      </c>
      <c r="AH380" s="233">
        <f t="shared" si="138"/>
        <v>5</v>
      </c>
      <c r="AI380" s="227">
        <f t="shared" si="139"/>
        <v>-0.50261092182610079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1.2470000000000001</v>
      </c>
      <c r="C381" s="375"/>
      <c r="D381" s="373">
        <f>MIN(D15:D380)</f>
        <v>1.2633021298980547</v>
      </c>
      <c r="E381" s="373">
        <f>MIN(E15:E380)</f>
        <v>1.301396901680248</v>
      </c>
      <c r="F381" s="374">
        <f>MIN(F15:F380)</f>
        <v>1.301396901680248</v>
      </c>
      <c r="G381" s="125">
        <f>+MIN(G15:G380)</f>
        <v>4.2205459470827288E-2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1.2450251454537375E-2</v>
      </c>
      <c r="M381" s="847"/>
      <c r="N381" s="847"/>
      <c r="O381" s="47">
        <f t="shared" si="146"/>
        <v>2.8498559746523384E-2</v>
      </c>
      <c r="P381" s="168">
        <f t="shared" si="146"/>
        <v>3.2284580539421484E-7</v>
      </c>
      <c r="Q381" s="310">
        <f t="shared" si="146"/>
        <v>0.5</v>
      </c>
      <c r="R381" s="311">
        <f t="shared" si="146"/>
        <v>1.3762138270778657E-4</v>
      </c>
      <c r="S381" s="811">
        <f t="shared" si="146"/>
        <v>-2</v>
      </c>
      <c r="T381" s="176">
        <f t="shared" si="146"/>
        <v>4</v>
      </c>
      <c r="U381" s="252">
        <f>+MIN(U15:U380)</f>
        <v>-1.0026096487899299</v>
      </c>
      <c r="V381" s="373">
        <f>MIN(V15:V380)</f>
        <v>22.884384265696234</v>
      </c>
      <c r="W381" s="804" t="s">
        <v>40</v>
      </c>
      <c r="X381" s="112" t="s">
        <v>7</v>
      </c>
      <c r="Y381" s="375">
        <f>MIN(Y15:Y380)</f>
        <v>1.2470000000000001</v>
      </c>
      <c r="Z381" s="375">
        <f>MIN(Z15:Z380)</f>
        <v>1.2633021298980547</v>
      </c>
      <c r="AA381" s="375">
        <f>MIN(AA15:AA380)</f>
        <v>1.301396901680248</v>
      </c>
      <c r="AB381" s="200" t="s">
        <v>7</v>
      </c>
      <c r="AC381" s="48">
        <f t="shared" ref="AC381:AH381" si="147">MIN(AC15:AC380)</f>
        <v>2.8498559746523384E-2</v>
      </c>
      <c r="AD381" s="169">
        <f t="shared" si="147"/>
        <v>3.2284580539421484E-7</v>
      </c>
      <c r="AE381" s="310">
        <f t="shared" si="147"/>
        <v>0.5</v>
      </c>
      <c r="AF381" s="311">
        <f t="shared" si="147"/>
        <v>1.3762138270778657E-4</v>
      </c>
      <c r="AG381" s="811">
        <f t="shared" si="147"/>
        <v>-2</v>
      </c>
      <c r="AH381" s="176">
        <f t="shared" si="147"/>
        <v>4</v>
      </c>
      <c r="AI381" s="225">
        <f>MIN(AI15:AI380)</f>
        <v>-1.0026096487899299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30.766352459016364</v>
      </c>
      <c r="C382" s="375"/>
      <c r="D382" s="375">
        <f>AVERAGE(D15:D380)</f>
        <v>31.273194827434402</v>
      </c>
      <c r="E382" s="375">
        <f>AVERAGE(E15:E380)</f>
        <v>32.544591318253254</v>
      </c>
      <c r="F382" s="376">
        <f>AVERAGE(F15:F380)</f>
        <v>32.545916167316804</v>
      </c>
      <c r="G382" s="126">
        <f>AVERAGE(G15:G380)</f>
        <v>0.66948699516123678</v>
      </c>
      <c r="H382" s="94"/>
      <c r="I382" s="376">
        <f>AVERAGE(I15:I380)</f>
        <v>40.692461227874709</v>
      </c>
      <c r="J382" s="59">
        <f>AVERAGE(J15:J380)</f>
        <v>2019.2377049180327</v>
      </c>
      <c r="K382" s="200" t="s">
        <v>8</v>
      </c>
      <c r="L382" s="147">
        <f t="shared" ref="L382:V382" si="148">AVERAGE(L15:L380)</f>
        <v>1.6387233874202663E-2</v>
      </c>
      <c r="M382" s="845"/>
      <c r="N382" s="845"/>
      <c r="O382" s="48">
        <f t="shared" si="148"/>
        <v>3.9486562195380506E-2</v>
      </c>
      <c r="P382" s="169">
        <f t="shared" si="148"/>
        <v>7.8287312443104637E-5</v>
      </c>
      <c r="Q382" s="312">
        <f t="shared" si="148"/>
        <v>0.5</v>
      </c>
      <c r="R382" s="177">
        <f t="shared" si="148"/>
        <v>0.38443273271731448</v>
      </c>
      <c r="S382" s="811">
        <f t="shared" si="148"/>
        <v>-1.1065573770491803</v>
      </c>
      <c r="T382" s="176">
        <f t="shared" si="148"/>
        <v>4.8934426229508201</v>
      </c>
      <c r="U382" s="251">
        <f t="shared" si="148"/>
        <v>-0.72212464433186618</v>
      </c>
      <c r="V382" s="375">
        <f t="shared" si="148"/>
        <v>44.405962646530106</v>
      </c>
      <c r="X382" s="112" t="s">
        <v>8</v>
      </c>
      <c r="Y382" s="375">
        <f>AVERAGE(Y15:Y380)</f>
        <v>30.766352459016364</v>
      </c>
      <c r="Z382" s="375">
        <f>AVERAGE(Z15:Z380)</f>
        <v>31.273194827434402</v>
      </c>
      <c r="AA382" s="375">
        <f>AVERAGE(AA15:AA380)</f>
        <v>32.544591318253254</v>
      </c>
      <c r="AB382" s="200" t="s">
        <v>8</v>
      </c>
      <c r="AC382" s="48">
        <f t="shared" ref="AC382:AH382" si="149">AVERAGE(AC15:AC380)</f>
        <v>3.9486562195380506E-2</v>
      </c>
      <c r="AD382" s="169">
        <f t="shared" si="149"/>
        <v>7.8287312443104637E-5</v>
      </c>
      <c r="AE382" s="312">
        <f t="shared" si="149"/>
        <v>0.5</v>
      </c>
      <c r="AF382" s="177">
        <f t="shared" si="149"/>
        <v>0.38443273271731448</v>
      </c>
      <c r="AG382" s="811">
        <f t="shared" si="149"/>
        <v>-1.1065573770491803</v>
      </c>
      <c r="AH382" s="176">
        <f t="shared" si="149"/>
        <v>4.8934426229508201</v>
      </c>
      <c r="AI382" s="225">
        <f>AVERAGE(AI15:AI380)</f>
        <v>-0.72212464433186618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60.713999999999999</v>
      </c>
      <c r="C383" s="377"/>
      <c r="D383" s="377">
        <f>MAX(D15:D380)</f>
        <v>61.664191862182065</v>
      </c>
      <c r="E383" s="377">
        <f>MAX(E15:E380)</f>
        <v>63.966870573397337</v>
      </c>
      <c r="F383" s="378">
        <f>MAX(F15:F380)</f>
        <v>63.972000087795209</v>
      </c>
      <c r="G383" s="127">
        <f>+MAX(G15:G380)</f>
        <v>1.0473273676681727</v>
      </c>
      <c r="H383" s="94"/>
      <c r="I383" s="378">
        <f>MAX(I15:I380)</f>
        <v>66.115436428019962</v>
      </c>
      <c r="J383" s="60">
        <f>MAX(J15:J380)</f>
        <v>2020</v>
      </c>
      <c r="K383" s="200" t="s">
        <v>9</v>
      </c>
      <c r="L383" s="148">
        <f t="shared" ref="L383:T383" si="150">MAX(L15:L380)</f>
        <v>2.0313767498828406E-2</v>
      </c>
      <c r="M383" s="848"/>
      <c r="N383" s="848"/>
      <c r="O383" s="49">
        <f t="shared" si="150"/>
        <v>5.0241940748019569E-2</v>
      </c>
      <c r="P383" s="170">
        <f t="shared" si="150"/>
        <v>2.4937568736181816E-4</v>
      </c>
      <c r="Q383" s="313">
        <f t="shared" si="150"/>
        <v>0.5</v>
      </c>
      <c r="R383" s="314">
        <f t="shared" si="150"/>
        <v>0.99999984492411675</v>
      </c>
      <c r="S383" s="812">
        <f t="shared" si="150"/>
        <v>-1</v>
      </c>
      <c r="T383" s="233">
        <f t="shared" si="150"/>
        <v>5</v>
      </c>
      <c r="U383" s="253">
        <f>+MAX(U15:U380)</f>
        <v>-0.50261092182610079</v>
      </c>
      <c r="V383" s="377">
        <f>MAX(V15:V380)</f>
        <v>60.42572137871764</v>
      </c>
      <c r="X383" s="112" t="s">
        <v>9</v>
      </c>
      <c r="Y383" s="377">
        <f>MAX(Y15:Y380)</f>
        <v>60.713999999999999</v>
      </c>
      <c r="Z383" s="377">
        <f>MAX(Z15:Z380)</f>
        <v>61.664191862182065</v>
      </c>
      <c r="AA383" s="377">
        <f>MAX(AA15:AA380)</f>
        <v>63.966870573397337</v>
      </c>
      <c r="AB383" s="200" t="s">
        <v>9</v>
      </c>
      <c r="AC383" s="49">
        <f t="shared" ref="AC383:AH383" si="151">MAX(AC15:AC380)</f>
        <v>5.0241940748019569E-2</v>
      </c>
      <c r="AD383" s="170">
        <f t="shared" si="151"/>
        <v>2.4937568736181816E-4</v>
      </c>
      <c r="AE383" s="313">
        <f t="shared" si="151"/>
        <v>0.5</v>
      </c>
      <c r="AF383" s="314">
        <f t="shared" si="151"/>
        <v>0.99999984492411675</v>
      </c>
      <c r="AG383" s="812">
        <f t="shared" si="151"/>
        <v>-1</v>
      </c>
      <c r="AH383" s="233">
        <f t="shared" si="151"/>
        <v>5</v>
      </c>
      <c r="AI383" s="227">
        <f>MAX(AI15:AI380)</f>
        <v>-0.50261092182610079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'2020'!An+1</f>
        <v>2021</v>
      </c>
      <c r="K1" s="1271"/>
      <c r="L1" s="113" t="str">
        <f>"Calcul pertes et enveloppes en "&amp;TEXT(An,0)</f>
        <v>Calcul pertes et enveloppes en 2021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2021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0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407.28757487148368</v>
      </c>
      <c r="AK4" s="834">
        <f>AM12-AK12</f>
        <v>-2.4040267854287145E-2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407.63927244838794</v>
      </c>
      <c r="AA5" s="237">
        <f>Wh_Pvg_s-Wh_Pvg</f>
        <v>-2.4040267854287145E-2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2845.0600000000013</v>
      </c>
      <c r="AK5" s="516">
        <f>SUMIF(AK15:AK380,"VRAI",Wh)</f>
        <v>0</v>
      </c>
      <c r="AL5" s="516">
        <f>SUMIF(AJ15:AJ380,"VRAI",Wh_s)</f>
        <v>2845.0600000000013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8275.0350000000017</v>
      </c>
      <c r="AK6" s="516">
        <f>SUMIF(AK15:AK380,"FAUX",Wh)</f>
        <v>11120.094999999999</v>
      </c>
      <c r="AL6" s="516">
        <f>SUMIF(AJ15:AJ380,"FAUX",Wh_s)</f>
        <v>7867.7141557833038</v>
      </c>
      <c r="AM6" s="516">
        <f>SUMIF(AK15:AK380,"FAUX",Wh_s)</f>
        <v>10712.774155783294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2908.5056729683934</v>
      </c>
      <c r="AK7" s="516">
        <f>SUMIF(AK15:AK380,"VRAI",Wh_sa)</f>
        <v>0</v>
      </c>
      <c r="AL7" s="516">
        <f>SUMIF(AJ15:AJ380,"VRAI",Wh_pvt_s)</f>
        <v>2908.5056729683934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8486.4575990041521</v>
      </c>
      <c r="AK8" s="516">
        <f>SUMIF(AK15:AK380,"FAUX",Wh_sa)</f>
        <v>11681.988281864275</v>
      </c>
      <c r="AL8" s="516">
        <f>SUMIF(AJ15:AJ380,"FAUX",Wh_pvt_s)</f>
        <v>8068.7619184948635</v>
      </c>
      <c r="AM8" s="516">
        <f>SUMIF(AK15:AK380,"FAUX",Wh_sa_s)</f>
        <v>11681.988281864275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11394.963271972534</v>
      </c>
      <c r="E9" s="184">
        <f>SUM(E$15:E$380)</f>
        <v>11681.988281864275</v>
      </c>
      <c r="F9" s="184">
        <f>SUM(F$15:F$380)</f>
        <v>11682.677758308591</v>
      </c>
      <c r="H9" s="1272">
        <f>+SUM(Wh)</f>
        <v>11120.094999999999</v>
      </c>
      <c r="I9" s="1273"/>
      <c r="J9" s="1274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10712.774155783294</v>
      </c>
      <c r="Y9" s="1267"/>
      <c r="Z9" s="516">
        <f>SUM(Wh_pvt_s)</f>
        <v>10977.267591463256</v>
      </c>
      <c r="AA9" s="516">
        <f>SUM(Wh_sa_s)</f>
        <v>11681.988281864275</v>
      </c>
      <c r="AB9" s="516">
        <f>F9</f>
        <v>11682.677758308591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3075.4833573360338</v>
      </c>
      <c r="AK9" s="516">
        <f>SUMIF(AK15:AK380,"VRAI",Wh_hp)</f>
        <v>0</v>
      </c>
      <c r="AL9" s="516">
        <f>SUMIF(AJ15:AJ380,"VRAI",Wh_sa_s)</f>
        <v>3075.4833573360338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5.0000000000000001E-3</v>
      </c>
      <c r="P10" s="421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IF(OR(Inflex,GainD),'2020'!Resal_s+('2020'!Salim-'2020'!Resal_s)*(1-EXP(('2020'!Tnet_s-Tnet)/('2020'!Tau_j))),IF(Acti_net,'2020'!Resal+('2020'!Salim-'2020'!Resal)*(1-EXP(('2020'!Tnet-Tnet)/'2020'!Tau_j)),'2020'!Resal_s))</f>
        <v>5.6458731582999952E-2</v>
      </c>
      <c r="AD10" s="428"/>
      <c r="AE10" s="428"/>
      <c r="AF10" s="260"/>
      <c r="AG10" s="261"/>
      <c r="AH10" s="262"/>
      <c r="AI10" s="473"/>
      <c r="AJ10" s="516">
        <f>SUMIF(AJ15:AJ380,"FAUX",Wh_sa)</f>
        <v>8606.5049245282516</v>
      </c>
      <c r="AK10" s="516">
        <f>SUMIF(AK15:AK380,"FAUX",Wh_hp)</f>
        <v>11682.677758308591</v>
      </c>
      <c r="AL10" s="516">
        <f>SUMIF(AJ15:AJ380,"FAUX",Wh_sa_s)</f>
        <v>8606.5049245282516</v>
      </c>
      <c r="AM10" s="516">
        <f>SUMIF(AK15:AK380,"FAUX",Wh_hp)</f>
        <v>11682.677758308591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274.86827197253479</v>
      </c>
      <c r="E11" s="51">
        <f>(E$9-D$9)*Prod_an/D$9</f>
        <v>280.10141859979717</v>
      </c>
      <c r="F11" s="186">
        <f>(F$9-E$9)*Prod_an/E$9</f>
        <v>0.65631323847225664</v>
      </c>
      <c r="G11" s="185" t="s">
        <v>6</v>
      </c>
      <c r="K11" s="194"/>
      <c r="L11" s="211">
        <f>Tvie_2021</f>
        <v>43259</v>
      </c>
      <c r="M11" s="844"/>
      <c r="N11" s="844"/>
      <c r="O11" s="202">
        <f>IF(An_Tnet,Salim_2021,'2020'!Salim)</f>
        <v>0.1</v>
      </c>
      <c r="P11" s="256">
        <f>Ttai_2021</f>
        <v>43101</v>
      </c>
      <c r="Q11" s="272">
        <f>Dens_2021</f>
        <v>0.5</v>
      </c>
      <c r="R11" s="277"/>
      <c r="S11" s="230"/>
      <c r="T11" s="230"/>
      <c r="U11" s="266">
        <f>Htf_2021</f>
        <v>-2.6109218261007872E-3</v>
      </c>
      <c r="V11" s="19"/>
      <c r="W11" s="836"/>
      <c r="X11" s="235" t="s">
        <v>43</v>
      </c>
      <c r="Y11" s="50">
        <f>Z$9-Prod_an_s</f>
        <v>264.4934356799622</v>
      </c>
      <c r="Z11" s="51">
        <f>(AA$9-Z$9)*Prod_an_s/Z$9</f>
        <v>687.74069104818511</v>
      </c>
      <c r="AA11" s="186">
        <f>(AB$9-AA$9)*Prod_an_s/AA$9</f>
        <v>0.6322729706179695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163.33526013107482</v>
      </c>
      <c r="AK11" s="834">
        <f>IF($AK7=0,0,($AK9-$AK7)*$AK5/$AK7)</f>
        <v>0</v>
      </c>
      <c r="AL11" s="833">
        <f>IF($AL7=0,0,($AL9-$AL7)*$AL5/$AL7)</f>
        <v>163.33526013107482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4.6574803264006315E-2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0.5</v>
      </c>
      <c r="R12" s="278"/>
      <c r="S12" s="279"/>
      <c r="T12" s="279"/>
      <c r="U12" s="267">
        <f>'2020'!Hdf</f>
        <v>-0.50261092182610079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0.5</v>
      </c>
      <c r="AF12" s="203"/>
      <c r="AG12" s="203"/>
      <c r="AH12" s="203"/>
      <c r="AI12" s="297">
        <f>'2020'!Hdf_s</f>
        <v>-0.50261092182610079</v>
      </c>
      <c r="AJ12" s="833">
        <f>IF($AJ8=0,0,($AJ10-$AJ8)*$AJ6/$AJ8)</f>
        <v>117.05659384722402</v>
      </c>
      <c r="AK12" s="834">
        <f>IF($AK8=0,0,($AK10-$AK8)*$AK6/$AK8)</f>
        <v>0.65631323847225664</v>
      </c>
      <c r="AL12" s="833">
        <f>IF($AL8=0,0,($AL10-$AL8)*$AL6/$AL8)</f>
        <v>524.34416871870769</v>
      </c>
      <c r="AM12" s="834">
        <f>IF($AM8=0,0,($AM10-$AM8)*$AM6/$AM8)</f>
        <v>0.6322729706179695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273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280.39185397829885</v>
      </c>
      <c r="AK13" s="73">
        <f>+AK11+AK12</f>
        <v>0.65631323847225664</v>
      </c>
      <c r="AL13" s="73">
        <f>+AL11+AL12</f>
        <v>687.67942884978254</v>
      </c>
      <c r="AM13" s="73">
        <f>+AM11+AM12</f>
        <v>0.6322729706179695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2021</v>
      </c>
      <c r="W14" s="838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6">
        <v>7.375</v>
      </c>
      <c r="C15" s="390"/>
      <c r="D15" s="393">
        <f t="shared" ref="D15:D78" si="0">Wh/(1-Ppv)</f>
        <v>7.5280853096571914</v>
      </c>
      <c r="E15" s="400">
        <f t="shared" ref="E15:E79" si="1">Wh_pvt/(1-Psa)</f>
        <v>7.9268128219618337</v>
      </c>
      <c r="F15" s="400">
        <f t="shared" ref="F15:F78" si="2">Wh_sa/(1-Pvg*MEDIAN((-Sdif+Wh/Env_an)/Csdif,0,1))</f>
        <v>7.9268326581697073</v>
      </c>
      <c r="G15" s="123">
        <f>+Wh_hp/MaxiM</f>
        <v>0.30735408525185709</v>
      </c>
      <c r="H15" s="414" t="b">
        <f>Wh_hp&gt;='2020'!Maxi_hp</f>
        <v>0</v>
      </c>
      <c r="I15" s="379">
        <f>IF(H15,Wh_hp,'2020'!Maxi_hp)</f>
        <v>15.303013547150806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2.0335225141618674E-2</v>
      </c>
      <c r="M15" s="845"/>
      <c r="N15" s="845"/>
      <c r="O15" s="48">
        <f>IF(t&lt;Tnet,'2020'!Resal+('2020'!Salim-'2020'!Resal)*(1-EXP(('2020'!Tnet-t)/('2020'!Tau_j))),Resal+(Salim-Resal)*(1-EXP((Tnet-t)/(Tau_j))))*Salcycl</f>
        <v>5.0301113607721076E-2</v>
      </c>
      <c r="P15" s="302">
        <f>(INDEX(Models!$BJ15:$BT15,,T15)*(1-R15)+INDEX(Models!$BJ15:$BT15,,T15+1)*R15-ERP_i)*Q15*Ramure*Pc/MaxiM</f>
        <v>2.35891176273984E-4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0.49739027367212862</v>
      </c>
      <c r="S15" s="810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-0.50260972632787138</v>
      </c>
      <c r="V15" s="382">
        <f t="shared" ref="V15:V78" si="9">MaxiM*(1-Ppv)*(1-Pvg)*(1-Psa)</f>
        <v>23.989525785936827</v>
      </c>
      <c r="W15" s="402"/>
      <c r="X15" s="156">
        <f t="shared" ref="X15:X78" si="10">t</f>
        <v>44197</v>
      </c>
      <c r="Y15" s="385">
        <f t="shared" ref="Y15:Y78" si="11">Wh_pvt_s*(1-Ppv)</f>
        <v>7.375</v>
      </c>
      <c r="Z15" s="385">
        <f t="shared" ref="Z15:Z78" si="12">Wh_sa_s*(1-Psa_s)</f>
        <v>7.5280853096571914</v>
      </c>
      <c r="AA15" s="386">
        <f t="shared" ref="AA15:AA78" si="13">Wh_hp*(1-Pvg_s*MEDIAN((-Sdif+Wh/Env_an)/Csdif,0,1))</f>
        <v>7.9268128219618337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5.0301113607721076E-2</v>
      </c>
      <c r="AD15" s="231">
        <f>(INDEX(Models!$BJ15:$BT15,,AH15)*(1-AF15)+INDEX(Models!$BJ15:$BT15,,AH15+1)*AF15-ERP_i)*AE15*Ramure*Pc/MaxiM</f>
        <v>2.35891176273984E-4</v>
      </c>
      <c r="AE15" s="303">
        <f t="shared" ref="AE15:AE78" si="15">IF(OR(t&lt;Ttai,Notai),Dd_s+PousD*Croivg,Dens_s+PousD*(Croivg-Croi_tai))</f>
        <v>0.5</v>
      </c>
      <c r="AF15" s="304">
        <f>(Hp_vg_s-AG15)/(INDEX(Echel_vg,AH15+1)-AG15)</f>
        <v>0.49739027367212862</v>
      </c>
      <c r="AG15" s="810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-0.50260972632787138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7">
        <v>4.149</v>
      </c>
      <c r="C16" s="390"/>
      <c r="D16" s="393">
        <f t="shared" si="0"/>
        <v>4.2352149247566091</v>
      </c>
      <c r="E16" s="385">
        <f t="shared" si="1"/>
        <v>4.4598026424843935</v>
      </c>
      <c r="F16" s="385">
        <f t="shared" si="2"/>
        <v>4.4598026424843935</v>
      </c>
      <c r="G16" s="110">
        <f t="shared" ref="G16:G79" si="21">+Wh_hp/MaxiM</f>
        <v>0.17169779832815238</v>
      </c>
      <c r="H16" s="414" t="b">
        <f>Wh_hp&gt;='2020'!Maxi_hp</f>
        <v>0</v>
      </c>
      <c r="I16" s="380">
        <f>IF(H16,Wh_hp,'2020'!Maxi_hp)</f>
        <v>24.297474136240545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2.035668231443144E-2</v>
      </c>
      <c r="M16" s="845"/>
      <c r="N16" s="845"/>
      <c r="O16" s="48">
        <f>IF(t&lt;Tnet,'2020'!Resal+('2020'!Salim-'2020'!Resal)*(1-EXP(('2020'!Tnet-t)/('2020'!Tau_j))),Resal+(Salim-Resal)*(1-EXP((Tnet-t)/(Tau_j))))*Salcycl</f>
        <v>5.0358218901515074E-2</v>
      </c>
      <c r="P16" s="169">
        <f>(INDEX(Models!$BJ16:$BT16,,T16)*(1-R16)+INDEX(Models!$BJ16:$BT16,,T16+1)*R16-ERP_i)*Q16*Ramure*Pc/MaxiM</f>
        <v>2.3458427543393434E-4</v>
      </c>
      <c r="Q16" s="305">
        <f t="shared" si="4"/>
        <v>0.5</v>
      </c>
      <c r="R16" s="177">
        <f t="shared" si="5"/>
        <v>0.49741948828612281</v>
      </c>
      <c r="S16" s="811">
        <f t="shared" si="6"/>
        <v>-1</v>
      </c>
      <c r="T16" s="176">
        <f t="shared" si="7"/>
        <v>5</v>
      </c>
      <c r="U16" s="251">
        <f t="shared" si="8"/>
        <v>-0.50258051171387719</v>
      </c>
      <c r="V16" s="383">
        <f t="shared" si="9"/>
        <v>24.158881186778128</v>
      </c>
      <c r="W16" s="402"/>
      <c r="X16" s="157">
        <f t="shared" si="10"/>
        <v>44198</v>
      </c>
      <c r="Y16" s="385">
        <f t="shared" si="11"/>
        <v>4.149</v>
      </c>
      <c r="Z16" s="385">
        <f t="shared" si="12"/>
        <v>4.2352149247566091</v>
      </c>
      <c r="AA16" s="386">
        <f t="shared" si="13"/>
        <v>4.4598026424843935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5.0358218901515074E-2</v>
      </c>
      <c r="AD16" s="231">
        <f>(INDEX(Models!$BJ16:$BT16,,AH16)*(1-AF16)+INDEX(Models!$BJ16:$BT16,,AH16+1)*AF16-ERP_i)*AE16*Ramure*Pc/MaxiM</f>
        <v>2.3458427543393434E-4</v>
      </c>
      <c r="AE16" s="305">
        <f t="shared" si="15"/>
        <v>0.5</v>
      </c>
      <c r="AF16" s="177">
        <f t="shared" ref="AF16:AF78" si="22">(Hp_vg_s-AG16)/(INDEX(Echel_vg,AH16+1)-AG16)</f>
        <v>0.49741948828612281</v>
      </c>
      <c r="AG16" s="811">
        <f t="shared" ref="AG16:AG79" si="23">INDEX(Echel_vg,AH16)</f>
        <v>-1</v>
      </c>
      <c r="AH16" s="176">
        <f t="shared" si="16"/>
        <v>5</v>
      </c>
      <c r="AI16" s="225">
        <f t="shared" si="17"/>
        <v>-0.50258051171387719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7">
        <v>24.178000000000001</v>
      </c>
      <c r="C17" s="390"/>
      <c r="D17" s="393">
        <f t="shared" si="0"/>
        <v>24.68095186824992</v>
      </c>
      <c r="E17" s="385">
        <f t="shared" si="1"/>
        <v>25.991313802774748</v>
      </c>
      <c r="F17" s="385">
        <f t="shared" si="2"/>
        <v>25.997317089524582</v>
      </c>
      <c r="G17" s="110">
        <f t="shared" si="21"/>
        <v>0.99352580130195089</v>
      </c>
      <c r="H17" s="414" t="b">
        <f>Wh_hp&gt;='2020'!Maxi_hp</f>
        <v>0</v>
      </c>
      <c r="I17" s="380">
        <f>IF(H17,Wh_hp,'2020'!Maxi_hp)</f>
        <v>27.383515682442006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2.037813901727703E-2</v>
      </c>
      <c r="M17" s="845"/>
      <c r="N17" s="845"/>
      <c r="O17" s="48">
        <f>IF(t&lt;Tnet,'2020'!Resal+('2020'!Salim-'2020'!Resal)*(1-EXP(('2020'!Tnet-t)/('2020'!Tau_j))),Resal+(Salim-Resal)*(1-EXP((Tnet-t)/(Tau_j))))*Salcycl</f>
        <v>5.0415378940365005E-2</v>
      </c>
      <c r="P17" s="169">
        <f>(INDEX(Models!$BJ17:$BT17,,T17)*(1-R17)+INDEX(Models!$BJ17:$BT17,,T17+1)*R17-ERP_i)*Q17*Ramure*Pc/MaxiM</f>
        <v>2.3307443118336088E-4</v>
      </c>
      <c r="Q17" s="305">
        <f t="shared" si="4"/>
        <v>0.5</v>
      </c>
      <c r="R17" s="177">
        <f t="shared" si="5"/>
        <v>0.49744992488161244</v>
      </c>
      <c r="S17" s="811">
        <f t="shared" si="6"/>
        <v>-1</v>
      </c>
      <c r="T17" s="176">
        <f t="shared" si="7"/>
        <v>5</v>
      </c>
      <c r="U17" s="251">
        <f t="shared" si="8"/>
        <v>-0.50255007511838756</v>
      </c>
      <c r="V17" s="383">
        <f t="shared" si="9"/>
        <v>24.335500752664974</v>
      </c>
      <c r="W17" s="402"/>
      <c r="X17" s="157">
        <f t="shared" si="10"/>
        <v>44199</v>
      </c>
      <c r="Y17" s="385">
        <f t="shared" si="11"/>
        <v>24.178000000000001</v>
      </c>
      <c r="Z17" s="385">
        <f t="shared" si="12"/>
        <v>24.68095186824992</v>
      </c>
      <c r="AA17" s="386">
        <f t="shared" si="13"/>
        <v>25.991313802774748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5.0415378940365005E-2</v>
      </c>
      <c r="AD17" s="231">
        <f>(INDEX(Models!$BJ17:$BT17,,AH17)*(1-AF17)+INDEX(Models!$BJ17:$BT17,,AH17+1)*AF17-ERP_i)*AE17*Ramure*Pc/MaxiM</f>
        <v>2.3307443118336088E-4</v>
      </c>
      <c r="AE17" s="305">
        <f t="shared" si="15"/>
        <v>0.5</v>
      </c>
      <c r="AF17" s="177">
        <f>(Hp_vg_s-AG17)/(INDEX(Echel_vg,AH17+1)-AG17)</f>
        <v>0.49744992488161244</v>
      </c>
      <c r="AG17" s="811">
        <f>INDEX(Echel_vg,AH17)</f>
        <v>-1</v>
      </c>
      <c r="AH17" s="176">
        <f t="shared" si="16"/>
        <v>5</v>
      </c>
      <c r="AI17" s="225">
        <f t="shared" si="17"/>
        <v>-0.50255007511838756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7">
        <v>20.634</v>
      </c>
      <c r="C18" s="390"/>
      <c r="D18" s="393">
        <f t="shared" si="0"/>
        <v>21.063690766103157</v>
      </c>
      <c r="E18" s="385">
        <f t="shared" si="1"/>
        <v>22.183341286345634</v>
      </c>
      <c r="F18" s="385">
        <f t="shared" si="2"/>
        <v>22.187313085208729</v>
      </c>
      <c r="G18" s="110">
        <f t="shared" si="21"/>
        <v>0.84153335268951457</v>
      </c>
      <c r="H18" s="414" t="b">
        <f>Wh_hp&gt;='2020'!Maxi_hp</f>
        <v>0</v>
      </c>
      <c r="I18" s="380">
        <f>IF(H18,Wh_hp,'2020'!Maxi_hp)</f>
        <v>24.454097030053351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2.039959525016577E-2</v>
      </c>
      <c r="M18" s="845"/>
      <c r="N18" s="845"/>
      <c r="O18" s="48">
        <f>IF(t&lt;Tnet,'2020'!Resal+('2020'!Salim-'2020'!Resal)*(1-EXP(('2020'!Tnet-t)/('2020'!Tau_j))),Resal+(Salim-Resal)*(1-EXP((Tnet-t)/(Tau_j))))*Salcycl</f>
        <v>5.0472582366644959E-2</v>
      </c>
      <c r="P18" s="169">
        <f>(INDEX(Models!$BJ18:$BT18,,T18)*(1-R18)+INDEX(Models!$BJ18:$BT18,,T18+1)*R18-ERP_i)*Q18*Ramure*Pc/MaxiM</f>
        <v>2.3137691101435132E-4</v>
      </c>
      <c r="Q18" s="305">
        <f t="shared" si="4"/>
        <v>0.5</v>
      </c>
      <c r="R18" s="177">
        <f t="shared" si="5"/>
        <v>0.49748163441290749</v>
      </c>
      <c r="S18" s="811">
        <f t="shared" si="6"/>
        <v>-1</v>
      </c>
      <c r="T18" s="176">
        <f t="shared" si="7"/>
        <v>5</v>
      </c>
      <c r="U18" s="251">
        <f t="shared" si="8"/>
        <v>-0.50251836558709251</v>
      </c>
      <c r="V18" s="383">
        <f t="shared" si="9"/>
        <v>24.518243093218643</v>
      </c>
      <c r="W18" s="402"/>
      <c r="X18" s="157">
        <f t="shared" si="10"/>
        <v>44200</v>
      </c>
      <c r="Y18" s="385">
        <f t="shared" si="11"/>
        <v>20.634</v>
      </c>
      <c r="Z18" s="385">
        <f>Wh_sa_s*(1-Psa_s)</f>
        <v>21.063690766103157</v>
      </c>
      <c r="AA18" s="386">
        <f t="shared" si="13"/>
        <v>22.183341286345634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5.0472582366644959E-2</v>
      </c>
      <c r="AD18" s="231">
        <f>(INDEX(Models!$BJ18:$BT18,,AH18)*(1-AF18)+INDEX(Models!$BJ18:$BT18,,AH18+1)*AF18-ERP_i)*AE18*Ramure*Pc/MaxiM</f>
        <v>2.3137691101435132E-4</v>
      </c>
      <c r="AE18" s="305">
        <f t="shared" si="15"/>
        <v>0.5</v>
      </c>
      <c r="AF18" s="177">
        <f t="shared" si="22"/>
        <v>0.49748163441290749</v>
      </c>
      <c r="AG18" s="811">
        <f t="shared" si="23"/>
        <v>-1</v>
      </c>
      <c r="AH18" s="176">
        <f t="shared" si="16"/>
        <v>5</v>
      </c>
      <c r="AI18" s="225">
        <f t="shared" si="17"/>
        <v>-0.50251836558709251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7">
        <v>3.173</v>
      </c>
      <c r="C19" s="390"/>
      <c r="D19" s="393">
        <f t="shared" si="0"/>
        <v>3.2391467816673742</v>
      </c>
      <c r="E19" s="385">
        <f t="shared" si="1"/>
        <v>3.4115308173793029</v>
      </c>
      <c r="F19" s="385">
        <f t="shared" si="2"/>
        <v>3.4115308173793029</v>
      </c>
      <c r="G19" s="110">
        <f t="shared" si="21"/>
        <v>0.12840103590828195</v>
      </c>
      <c r="H19" s="414" t="b">
        <f>Wh_hp&gt;='2020'!Maxi_hp</f>
        <v>0</v>
      </c>
      <c r="I19" s="380">
        <f>IF(H19,Wh_hp,'2020'!Maxi_hp)</f>
        <v>27.046839831733369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2.0421051013107983E-2</v>
      </c>
      <c r="M19" s="845"/>
      <c r="N19" s="845"/>
      <c r="O19" s="48">
        <f>IF(t&lt;Tnet,'2020'!Resal+('2020'!Salim-'2020'!Resal)*(1-EXP(('2020'!Tnet-t)/('2020'!Tau_j))),Resal+(Salim-Resal)*(1-EXP((Tnet-t)/(Tau_j))))*Salcycl</f>
        <v>5.0529819292194425E-2</v>
      </c>
      <c r="P19" s="169">
        <f>(INDEX(Models!$BJ19:$BT19,,T19)*(1-R19)+INDEX(Models!$BJ19:$BT19,,T19+1)*R19-ERP_i)*Q19*Ramure*Pc/MaxiM</f>
        <v>2.2950657961593612E-4</v>
      </c>
      <c r="Q19" s="305">
        <f t="shared" si="4"/>
        <v>0.5</v>
      </c>
      <c r="R19" s="177">
        <f t="shared" si="5"/>
        <v>0.49751466994546922</v>
      </c>
      <c r="S19" s="811">
        <f t="shared" si="6"/>
        <v>-1</v>
      </c>
      <c r="T19" s="176">
        <f t="shared" si="7"/>
        <v>5</v>
      </c>
      <c r="U19" s="251">
        <f t="shared" si="8"/>
        <v>-0.50248533005453078</v>
      </c>
      <c r="V19" s="383">
        <f t="shared" si="9"/>
        <v>24.705967153480461</v>
      </c>
      <c r="W19" s="402"/>
      <c r="X19" s="157">
        <f t="shared" si="10"/>
        <v>44201</v>
      </c>
      <c r="Y19" s="385">
        <f t="shared" si="11"/>
        <v>3.173</v>
      </c>
      <c r="Z19" s="385">
        <f t="shared" si="12"/>
        <v>3.2391467816673742</v>
      </c>
      <c r="AA19" s="386">
        <f t="shared" si="13"/>
        <v>3.4115308173793029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5.0529819292194425E-2</v>
      </c>
      <c r="AD19" s="231">
        <f>(INDEX(Models!$BJ19:$BT19,,AH19)*(1-AF19)+INDEX(Models!$BJ19:$BT19,,AH19+1)*AF19-ERP_i)*AE19*Ramure*Pc/MaxiM</f>
        <v>2.2950657961593612E-4</v>
      </c>
      <c r="AE19" s="305">
        <f t="shared" si="15"/>
        <v>0.5</v>
      </c>
      <c r="AF19" s="177">
        <f t="shared" si="22"/>
        <v>0.49751466994546922</v>
      </c>
      <c r="AG19" s="811">
        <f t="shared" si="23"/>
        <v>-1</v>
      </c>
      <c r="AH19" s="176">
        <f t="shared" si="16"/>
        <v>5</v>
      </c>
      <c r="AI19" s="225">
        <f t="shared" si="17"/>
        <v>-0.50248533005453078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7">
        <v>6.9020000000000001</v>
      </c>
      <c r="C20" s="390"/>
      <c r="D20" s="393">
        <f t="shared" si="0"/>
        <v>7.0460386903608239</v>
      </c>
      <c r="E20" s="385">
        <f t="shared" si="1"/>
        <v>7.4214691534804871</v>
      </c>
      <c r="F20" s="385">
        <f t="shared" si="2"/>
        <v>7.4214691534804871</v>
      </c>
      <c r="G20" s="110">
        <f t="shared" si="21"/>
        <v>0.27715316867781475</v>
      </c>
      <c r="H20" s="414" t="b">
        <f>Wh_hp&gt;='2020'!Maxi_hp</f>
        <v>0</v>
      </c>
      <c r="I20" s="380">
        <f>IF(H20,Wh_hp,'2020'!Maxi_hp)</f>
        <v>26.739364860323523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2.0442506306113883E-2</v>
      </c>
      <c r="M20" s="845"/>
      <c r="N20" s="845"/>
      <c r="O20" s="48">
        <f>IF(t&lt;Tnet,'2020'!Resal+('2020'!Salim-'2020'!Resal)*(1-EXP(('2020'!Tnet-t)/('2020'!Tau_j))),Resal+(Salim-Resal)*(1-EXP((Tnet-t)/(Tau_j))))*Salcycl</f>
        <v>5.0587081257839082E-2</v>
      </c>
      <c r="P20" s="169">
        <f>(INDEX(Models!$BJ20:$BT20,,T20)*(1-R20)+INDEX(Models!$BJ20:$BT20,,T20+1)*R20-ERP_i)*Q20*Ramure*Pc/MaxiM</f>
        <v>2.2747780315709448E-4</v>
      </c>
      <c r="Q20" s="305">
        <f t="shared" si="4"/>
        <v>0.5</v>
      </c>
      <c r="R20" s="177">
        <f t="shared" si="5"/>
        <v>0.49754908674221987</v>
      </c>
      <c r="S20" s="811">
        <f t="shared" si="6"/>
        <v>-1</v>
      </c>
      <c r="T20" s="176">
        <f t="shared" si="7"/>
        <v>5</v>
      </c>
      <c r="U20" s="251">
        <f t="shared" si="8"/>
        <v>-0.50245091325778013</v>
      </c>
      <c r="V20" s="383">
        <f t="shared" si="9"/>
        <v>24.897532224227344</v>
      </c>
      <c r="W20" s="402"/>
      <c r="X20" s="157">
        <f t="shared" si="10"/>
        <v>44202</v>
      </c>
      <c r="Y20" s="385">
        <f t="shared" si="11"/>
        <v>6.9020000000000001</v>
      </c>
      <c r="Z20" s="385">
        <f t="shared" si="12"/>
        <v>7.0460386903608239</v>
      </c>
      <c r="AA20" s="386">
        <f t="shared" si="13"/>
        <v>7.4214691534804871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5.0587081257839082E-2</v>
      </c>
      <c r="AD20" s="231">
        <f>(INDEX(Models!$BJ20:$BT20,,AH20)*(1-AF20)+INDEX(Models!$BJ20:$BT20,,AH20+1)*AF20-ERP_i)*AE20*Ramure*Pc/MaxiM</f>
        <v>2.2747780315709448E-4</v>
      </c>
      <c r="AE20" s="305">
        <f t="shared" si="15"/>
        <v>0.5</v>
      </c>
      <c r="AF20" s="177">
        <f t="shared" si="22"/>
        <v>0.49754908674221987</v>
      </c>
      <c r="AG20" s="811">
        <f t="shared" si="23"/>
        <v>-1</v>
      </c>
      <c r="AH20" s="176">
        <f t="shared" si="16"/>
        <v>5</v>
      </c>
      <c r="AI20" s="225">
        <f t="shared" si="17"/>
        <v>-0.50245091325778013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7">
        <v>13.885</v>
      </c>
      <c r="C21" s="390"/>
      <c r="D21" s="393">
        <f t="shared" si="0"/>
        <v>14.175078250317783</v>
      </c>
      <c r="E21" s="385">
        <f t="shared" si="1"/>
        <v>14.93126250132941</v>
      </c>
      <c r="F21" s="385">
        <f t="shared" si="2"/>
        <v>14.932480243717823</v>
      </c>
      <c r="G21" s="110">
        <f t="shared" si="21"/>
        <v>0.55328852249080784</v>
      </c>
      <c r="H21" s="414" t="b">
        <f>Wh_hp&gt;='2020'!Maxi_hp</f>
        <v>1</v>
      </c>
      <c r="I21" s="380">
        <f>IF(H21,Wh_hp,'2020'!Maxi_hp)</f>
        <v>14.932480243717823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2.0463961129193797E-2</v>
      </c>
      <c r="M21" s="845"/>
      <c r="N21" s="845"/>
      <c r="O21" s="48">
        <f>IF(t&lt;Tnet,'2020'!Resal+('2020'!Salim-'2020'!Resal)*(1-EXP(('2020'!Tnet-t)/('2020'!Tau_j))),Resal+(Salim-Resal)*(1-EXP((Tnet-t)/(Tau_j))))*Salcycl</f>
        <v>5.0644361181400407E-2</v>
      </c>
      <c r="P21" s="169">
        <f>(INDEX(Models!$BJ21:$BT21,,T21)*(1-R21)+INDEX(Models!$BJ21:$BT21,,T21+1)*R21-ERP_i)*Q21*Ramure*Pc/MaxiM</f>
        <v>2.2530437120354998E-4</v>
      </c>
      <c r="Q21" s="305">
        <f t="shared" si="4"/>
        <v>0.5</v>
      </c>
      <c r="R21" s="177">
        <f t="shared" si="5"/>
        <v>0.4975849423532831</v>
      </c>
      <c r="S21" s="811">
        <f t="shared" si="6"/>
        <v>-1</v>
      </c>
      <c r="T21" s="176">
        <f t="shared" si="7"/>
        <v>5</v>
      </c>
      <c r="U21" s="251">
        <f t="shared" si="8"/>
        <v>-0.5024150576467169</v>
      </c>
      <c r="V21" s="383">
        <f t="shared" si="9"/>
        <v>25.091797935711043</v>
      </c>
      <c r="W21" s="402"/>
      <c r="X21" s="157">
        <f t="shared" si="10"/>
        <v>44203</v>
      </c>
      <c r="Y21" s="385">
        <f t="shared" si="11"/>
        <v>13.885</v>
      </c>
      <c r="Z21" s="385">
        <f t="shared" si="12"/>
        <v>14.175078250317783</v>
      </c>
      <c r="AA21" s="386">
        <f t="shared" si="13"/>
        <v>14.93126250132941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5.0644361181400407E-2</v>
      </c>
      <c r="AD21" s="231">
        <f>(INDEX(Models!$BJ21:$BT21,,AH21)*(1-AF21)+INDEX(Models!$BJ21:$BT21,,AH21+1)*AF21-ERP_i)*AE21*Ramure*Pc/MaxiM</f>
        <v>2.2530437120354998E-4</v>
      </c>
      <c r="AE21" s="305">
        <f t="shared" si="15"/>
        <v>0.5</v>
      </c>
      <c r="AF21" s="177">
        <f t="shared" si="22"/>
        <v>0.4975849423532831</v>
      </c>
      <c r="AG21" s="811">
        <f t="shared" si="23"/>
        <v>-1</v>
      </c>
      <c r="AH21" s="176">
        <f t="shared" si="16"/>
        <v>5</v>
      </c>
      <c r="AI21" s="225">
        <f t="shared" si="17"/>
        <v>-0.5024150576467169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7">
        <v>18.895</v>
      </c>
      <c r="C22" s="390"/>
      <c r="D22" s="393">
        <f t="shared" si="0"/>
        <v>19.290167087511787</v>
      </c>
      <c r="E22" s="385">
        <f t="shared" si="1"/>
        <v>20.320447364592134</v>
      </c>
      <c r="F22" s="385">
        <f t="shared" si="2"/>
        <v>20.323342747491672</v>
      </c>
      <c r="G22" s="110">
        <f t="shared" si="21"/>
        <v>0.7471432627584812</v>
      </c>
      <c r="H22" s="414" t="b">
        <f>Wh_hp&gt;='2020'!Maxi_hp</f>
        <v>1</v>
      </c>
      <c r="I22" s="380">
        <f>IF(H22,Wh_hp,'2020'!Maxi_hp)</f>
        <v>20.323342747491672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2.0485415482358049E-2</v>
      </c>
      <c r="M22" s="845"/>
      <c r="N22" s="845"/>
      <c r="O22" s="48">
        <f>IF(t&lt;Tnet,'2020'!Resal+('2020'!Salim-'2020'!Resal)*(1-EXP(('2020'!Tnet-t)/('2020'!Tau_j))),Resal+(Salim-Resal)*(1-EXP((Tnet-t)/(Tau_j))))*Salcycl</f>
        <v>5.0701653295073819E-2</v>
      </c>
      <c r="P22" s="169">
        <f>(INDEX(Models!$BJ22:$BT22,,T22)*(1-R22)+INDEX(Models!$BJ22:$BT22,,T22+1)*R22-ERP_i)*Q22*Ramure*Pc/MaxiM</f>
        <v>2.2299943459933708E-4</v>
      </c>
      <c r="Q22" s="305">
        <f t="shared" si="4"/>
        <v>0.5</v>
      </c>
      <c r="R22" s="177">
        <f t="shared" si="5"/>
        <v>0.49762229670928027</v>
      </c>
      <c r="S22" s="811">
        <f t="shared" si="6"/>
        <v>-1</v>
      </c>
      <c r="T22" s="176">
        <f t="shared" si="7"/>
        <v>5</v>
      </c>
      <c r="U22" s="251">
        <f t="shared" si="8"/>
        <v>-0.50237770329071973</v>
      </c>
      <c r="V22" s="383">
        <f t="shared" si="9"/>
        <v>25.287624266198915</v>
      </c>
      <c r="W22" s="402"/>
      <c r="X22" s="157">
        <f t="shared" si="10"/>
        <v>44204</v>
      </c>
      <c r="Y22" s="385">
        <f t="shared" si="11"/>
        <v>18.895</v>
      </c>
      <c r="Z22" s="385">
        <f t="shared" si="12"/>
        <v>19.290167087511787</v>
      </c>
      <c r="AA22" s="386">
        <f t="shared" si="13"/>
        <v>20.320447364592134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5.0701653295073819E-2</v>
      </c>
      <c r="AD22" s="231">
        <f>(INDEX(Models!$BJ22:$BT22,,AH22)*(1-AF22)+INDEX(Models!$BJ22:$BT22,,AH22+1)*AF22-ERP_i)*AE22*Ramure*Pc/MaxiM</f>
        <v>2.2299943459933708E-4</v>
      </c>
      <c r="AE22" s="305">
        <f t="shared" si="15"/>
        <v>0.5</v>
      </c>
      <c r="AF22" s="177">
        <f t="shared" si="22"/>
        <v>0.49762229670928027</v>
      </c>
      <c r="AG22" s="811">
        <f t="shared" si="23"/>
        <v>-1</v>
      </c>
      <c r="AH22" s="176">
        <f t="shared" si="16"/>
        <v>5</v>
      </c>
      <c r="AI22" s="225">
        <f t="shared" si="17"/>
        <v>-0.50237770329071973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7">
        <v>6.1150000000000002</v>
      </c>
      <c r="C23" s="390"/>
      <c r="D23" s="393">
        <f t="shared" si="0"/>
        <v>6.2430248959883263</v>
      </c>
      <c r="E23" s="385">
        <f t="shared" si="1"/>
        <v>6.5768593933015334</v>
      </c>
      <c r="F23" s="385">
        <f t="shared" si="2"/>
        <v>6.5768593933015334</v>
      </c>
      <c r="G23" s="110">
        <f t="shared" si="21"/>
        <v>0.23986970058724583</v>
      </c>
      <c r="H23" s="414" t="b">
        <f>Wh_hp&gt;='2020'!Maxi_hp</f>
        <v>0</v>
      </c>
      <c r="I23" s="380">
        <f>IF(H23,Wh_hp,'2020'!Maxi_hp)</f>
        <v>26.033603222307448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2.0506869365616853E-2</v>
      </c>
      <c r="M23" s="845"/>
      <c r="N23" s="845"/>
      <c r="O23" s="48">
        <f>IF(t&lt;Tnet,'2020'!Resal+('2020'!Salim-'2020'!Resal)*(1-EXP(('2020'!Tnet-t)/('2020'!Tau_j))),Resal+(Salim-Resal)*(1-EXP((Tnet-t)/(Tau_j))))*Salcycl</f>
        <v>5.0758953073136208E-2</v>
      </c>
      <c r="P23" s="169">
        <f>(INDEX(Models!$BJ23:$BT23,,T23)*(1-R23)+INDEX(Models!$BJ23:$BT23,,T23+1)*R23-ERP_i)*Q23*Ramure*Pc/MaxiM</f>
        <v>2.205450597202447E-4</v>
      </c>
      <c r="Q23" s="305">
        <f t="shared" si="4"/>
        <v>0.5</v>
      </c>
      <c r="R23" s="177">
        <f t="shared" si="5"/>
        <v>0.49766121221831539</v>
      </c>
      <c r="S23" s="811">
        <f t="shared" si="6"/>
        <v>-1</v>
      </c>
      <c r="T23" s="176">
        <f t="shared" si="7"/>
        <v>5</v>
      </c>
      <c r="U23" s="251">
        <f t="shared" si="8"/>
        <v>-0.50233878778168461</v>
      </c>
      <c r="V23" s="383">
        <f t="shared" si="9"/>
        <v>25.487384825980314</v>
      </c>
      <c r="W23" s="402"/>
      <c r="X23" s="157">
        <f t="shared" si="10"/>
        <v>44205</v>
      </c>
      <c r="Y23" s="385">
        <f t="shared" si="11"/>
        <v>6.1150000000000002</v>
      </c>
      <c r="Z23" s="385">
        <f t="shared" si="12"/>
        <v>6.2430248959883263</v>
      </c>
      <c r="AA23" s="386">
        <f t="shared" si="13"/>
        <v>6.5768593933015334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5.0758953073136208E-2</v>
      </c>
      <c r="AD23" s="231">
        <f>(INDEX(Models!$BJ23:$BT23,,AH23)*(1-AF23)+INDEX(Models!$BJ23:$BT23,,AH23+1)*AF23-ERP_i)*AE23*Ramure*Pc/MaxiM</f>
        <v>2.205450597202447E-4</v>
      </c>
      <c r="AE23" s="305">
        <f t="shared" si="15"/>
        <v>0.5</v>
      </c>
      <c r="AF23" s="177">
        <f t="shared" si="22"/>
        <v>0.49766121221831539</v>
      </c>
      <c r="AG23" s="811">
        <f t="shared" si="23"/>
        <v>-1</v>
      </c>
      <c r="AH23" s="176">
        <f t="shared" si="16"/>
        <v>5</v>
      </c>
      <c r="AI23" s="225">
        <f t="shared" si="17"/>
        <v>-0.50233878778168461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7">
        <v>5.4080000000000004</v>
      </c>
      <c r="C24" s="390"/>
      <c r="D24" s="393">
        <f t="shared" si="0"/>
        <v>5.5213439303765357</v>
      </c>
      <c r="E24" s="385">
        <f t="shared" si="1"/>
        <v>5.8169389983483706</v>
      </c>
      <c r="F24" s="385">
        <f t="shared" si="2"/>
        <v>5.8169389983483706</v>
      </c>
      <c r="G24" s="110">
        <f t="shared" si="21"/>
        <v>0.21043074751734622</v>
      </c>
      <c r="H24" s="414" t="b">
        <f>Wh_hp&gt;='2020'!Maxi_hp</f>
        <v>0</v>
      </c>
      <c r="I24" s="380">
        <f>IF(H24,Wh_hp,'2020'!Maxi_hp)</f>
        <v>13.230713123965954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2.0528322778980646E-2</v>
      </c>
      <c r="M24" s="845"/>
      <c r="N24" s="845"/>
      <c r="O24" s="48">
        <f>IF(t&lt;Tnet,'2020'!Resal+('2020'!Salim-'2020'!Resal)*(1-EXP(('2020'!Tnet-t)/('2020'!Tau_j))),Resal+(Salim-Resal)*(1-EXP((Tnet-t)/(Tau_j))))*Salcycl</f>
        <v>5.081625715101442E-2</v>
      </c>
      <c r="P24" s="169">
        <f>(INDEX(Models!$BJ24:$BT24,,T24)*(1-R24)+INDEX(Models!$BJ24:$BT24,,T24+1)*R24-ERP_i)*Q24*Ramure*Pc/MaxiM</f>
        <v>2.1762911321907428E-4</v>
      </c>
      <c r="Q24" s="305">
        <f t="shared" si="4"/>
        <v>0.5</v>
      </c>
      <c r="R24" s="177">
        <f t="shared" si="5"/>
        <v>0.49770175386678495</v>
      </c>
      <c r="S24" s="811">
        <f t="shared" si="6"/>
        <v>-1</v>
      </c>
      <c r="T24" s="176">
        <f t="shared" si="7"/>
        <v>5</v>
      </c>
      <c r="U24" s="251">
        <f t="shared" si="8"/>
        <v>-0.50229824613321505</v>
      </c>
      <c r="V24" s="383">
        <f t="shared" si="9"/>
        <v>25.694073349760902</v>
      </c>
      <c r="W24" s="402"/>
      <c r="X24" s="157">
        <f t="shared" si="10"/>
        <v>44206</v>
      </c>
      <c r="Y24" s="385">
        <f t="shared" si="11"/>
        <v>5.4080000000000004</v>
      </c>
      <c r="Z24" s="385">
        <f t="shared" si="12"/>
        <v>5.5213439303765357</v>
      </c>
      <c r="AA24" s="386">
        <f t="shared" si="13"/>
        <v>5.8169389983483706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5.081625715101442E-2</v>
      </c>
      <c r="AD24" s="231">
        <f>(INDEX(Models!$BJ24:$BT24,,AH24)*(1-AF24)+INDEX(Models!$BJ24:$BT24,,AH24+1)*AF24-ERP_i)*AE24*Ramure*Pc/MaxiM</f>
        <v>2.1762911321907428E-4</v>
      </c>
      <c r="AE24" s="305">
        <f t="shared" si="15"/>
        <v>0.5</v>
      </c>
      <c r="AF24" s="177">
        <f t="shared" si="22"/>
        <v>0.49770175386678495</v>
      </c>
      <c r="AG24" s="811">
        <f t="shared" si="23"/>
        <v>-1</v>
      </c>
      <c r="AH24" s="176">
        <f t="shared" si="16"/>
        <v>5</v>
      </c>
      <c r="AI24" s="225">
        <f t="shared" si="17"/>
        <v>-0.50229824613321505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7">
        <v>5.1980000000000004</v>
      </c>
      <c r="C25" s="390"/>
      <c r="D25" s="393">
        <f t="shared" si="0"/>
        <v>5.3070588695144121</v>
      </c>
      <c r="E25" s="385">
        <f t="shared" si="1"/>
        <v>5.5915193845122211</v>
      </c>
      <c r="F25" s="385">
        <f t="shared" si="2"/>
        <v>5.5915193845122211</v>
      </c>
      <c r="G25" s="110">
        <f t="shared" si="21"/>
        <v>0.20059413086720806</v>
      </c>
      <c r="H25" s="414" t="b">
        <f>Wh_hp&gt;='2020'!Maxi_hp</f>
        <v>0</v>
      </c>
      <c r="I25" s="380">
        <f>IF(H25,Wh_hp,'2020'!Maxi_hp)</f>
        <v>27.813177241518638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2.054977572245964E-2</v>
      </c>
      <c r="M25" s="845"/>
      <c r="N25" s="845"/>
      <c r="O25" s="48">
        <f>IF(t&lt;Tnet,'2020'!Resal+('2020'!Salim-'2020'!Resal)*(1-EXP(('2020'!Tnet-t)/('2020'!Tau_j))),Resal+(Salim-Resal)*(1-EXP((Tnet-t)/(Tau_j))))*Salcycl</f>
        <v>5.0873563236806085E-2</v>
      </c>
      <c r="P25" s="169">
        <f>(INDEX(Models!$BJ25:$BT25,,T25)*(1-R25)+INDEX(Models!$BJ25:$BT25,,T25+1)*R25-ERP_i)*Q25*Ramure*Pc/MaxiM</f>
        <v>2.1417084822291594E-4</v>
      </c>
      <c r="Q25" s="305">
        <f t="shared" si="4"/>
        <v>0.5</v>
      </c>
      <c r="R25" s="177">
        <f t="shared" si="5"/>
        <v>0.49774398932415098</v>
      </c>
      <c r="S25" s="811">
        <f t="shared" si="6"/>
        <v>-1</v>
      </c>
      <c r="T25" s="176">
        <f t="shared" si="7"/>
        <v>5</v>
      </c>
      <c r="U25" s="251">
        <f t="shared" si="8"/>
        <v>-0.50225601067584902</v>
      </c>
      <c r="V25" s="383">
        <f t="shared" si="9"/>
        <v>25.90747155693823</v>
      </c>
      <c r="W25" s="402"/>
      <c r="X25" s="157">
        <f t="shared" si="10"/>
        <v>44207</v>
      </c>
      <c r="Y25" s="385">
        <f t="shared" si="11"/>
        <v>5.1980000000000004</v>
      </c>
      <c r="Z25" s="385">
        <f t="shared" si="12"/>
        <v>5.3070588695144121</v>
      </c>
      <c r="AA25" s="386">
        <f t="shared" si="13"/>
        <v>5.5915193845122211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5.0873563236806085E-2</v>
      </c>
      <c r="AD25" s="231">
        <f>(INDEX(Models!$BJ25:$BT25,,AH25)*(1-AF25)+INDEX(Models!$BJ25:$BT25,,AH25+1)*AF25-ERP_i)*AE25*Ramure*Pc/MaxiM</f>
        <v>2.1417084822291594E-4</v>
      </c>
      <c r="AE25" s="305">
        <f t="shared" si="15"/>
        <v>0.5</v>
      </c>
      <c r="AF25" s="177">
        <f t="shared" si="22"/>
        <v>0.49774398932415098</v>
      </c>
      <c r="AG25" s="811">
        <f t="shared" si="23"/>
        <v>-1</v>
      </c>
      <c r="AH25" s="176">
        <f t="shared" si="16"/>
        <v>5</v>
      </c>
      <c r="AI25" s="225">
        <f t="shared" si="17"/>
        <v>-0.50225601067584902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7">
        <v>11.788</v>
      </c>
      <c r="C26" s="390"/>
      <c r="D26" s="393">
        <f t="shared" si="0"/>
        <v>12.035586802589608</v>
      </c>
      <c r="E26" s="385">
        <f t="shared" si="1"/>
        <v>12.681464839971653</v>
      </c>
      <c r="F26" s="385">
        <f t="shared" si="2"/>
        <v>12.682040513618668</v>
      </c>
      <c r="G26" s="110">
        <f t="shared" si="21"/>
        <v>0.45110022135821626</v>
      </c>
      <c r="H26" s="414" t="b">
        <f>Wh_hp&gt;='2020'!Maxi_hp</f>
        <v>0</v>
      </c>
      <c r="I26" s="380">
        <f>IF(H26,Wh_hp,'2020'!Maxi_hp)</f>
        <v>27.969146072299974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2.0571228196064051E-2</v>
      </c>
      <c r="M26" s="845"/>
      <c r="N26" s="845"/>
      <c r="O26" s="48">
        <f>IF(t&lt;Tnet,'2020'!Resal+('2020'!Salim-'2020'!Resal)*(1-EXP(('2020'!Tnet-t)/('2020'!Tau_j))),Resal+(Salim-Resal)*(1-EXP((Tnet-t)/(Tau_j))))*Salcycl</f>
        <v>5.0930870016392342E-2</v>
      </c>
      <c r="P26" s="169">
        <f>(INDEX(Models!$BJ26:$BT26,,T26)*(1-R26)+INDEX(Models!$BJ26:$BT26,,T26+1)*R26-ERP_i)*Q26*Ramure*Pc/MaxiM</f>
        <v>2.1018731094451574E-4</v>
      </c>
      <c r="Q26" s="305">
        <f t="shared" si="4"/>
        <v>0.5</v>
      </c>
      <c r="R26" s="177">
        <f t="shared" si="5"/>
        <v>0.49778798905182209</v>
      </c>
      <c r="S26" s="811">
        <f t="shared" si="6"/>
        <v>-1</v>
      </c>
      <c r="T26" s="176">
        <f t="shared" si="7"/>
        <v>5</v>
      </c>
      <c r="U26" s="251">
        <f t="shared" si="8"/>
        <v>-0.50221201094817791</v>
      </c>
      <c r="V26" s="383">
        <f t="shared" si="9"/>
        <v>26.127358747309721</v>
      </c>
      <c r="W26" s="402"/>
      <c r="X26" s="157">
        <f t="shared" si="10"/>
        <v>44208</v>
      </c>
      <c r="Y26" s="385">
        <f t="shared" si="11"/>
        <v>11.788</v>
      </c>
      <c r="Z26" s="385">
        <f t="shared" si="12"/>
        <v>12.035586802589608</v>
      </c>
      <c r="AA26" s="386">
        <f t="shared" si="13"/>
        <v>12.681464839971653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5.0930870016392342E-2</v>
      </c>
      <c r="AD26" s="231">
        <f>(INDEX(Models!$BJ26:$BT26,,AH26)*(1-AF26)+INDEX(Models!$BJ26:$BT26,,AH26+1)*AF26-ERP_i)*AE26*Ramure*Pc/MaxiM</f>
        <v>2.1018731094451574E-4</v>
      </c>
      <c r="AE26" s="305">
        <f t="shared" si="15"/>
        <v>0.5</v>
      </c>
      <c r="AF26" s="177">
        <f t="shared" si="22"/>
        <v>0.49778798905182209</v>
      </c>
      <c r="AG26" s="811">
        <f t="shared" si="23"/>
        <v>-1</v>
      </c>
      <c r="AH26" s="176">
        <f t="shared" si="16"/>
        <v>5</v>
      </c>
      <c r="AI26" s="225">
        <f t="shared" si="17"/>
        <v>-0.50221201094817791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7">
        <v>9.4710000000000001</v>
      </c>
      <c r="C27" s="390"/>
      <c r="D27" s="393">
        <f t="shared" si="0"/>
        <v>9.670133976466639</v>
      </c>
      <c r="E27" s="385">
        <f t="shared" si="1"/>
        <v>10.189687570425493</v>
      </c>
      <c r="F27" s="385">
        <f t="shared" si="2"/>
        <v>10.189865380507616</v>
      </c>
      <c r="G27" s="110">
        <f t="shared" si="21"/>
        <v>0.35931515609241987</v>
      </c>
      <c r="H27" s="414" t="b">
        <f>Wh_hp&gt;='2020'!Maxi_hp</f>
        <v>0</v>
      </c>
      <c r="I27" s="380">
        <f>IF(H27,Wh_hp,'2020'!Maxi_hp)</f>
        <v>16.029400800100351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2.0592680199804203E-2</v>
      </c>
      <c r="M27" s="845"/>
      <c r="N27" s="845"/>
      <c r="O27" s="48">
        <f>IF(t&lt;Tnet,'2020'!Resal+('2020'!Salim-'2020'!Resal)*(1-EXP(('2020'!Tnet-t)/('2020'!Tau_j))),Resal+(Salim-Resal)*(1-EXP((Tnet-t)/(Tau_j))))*Salcycl</f>
        <v>5.0988177053318526E-2</v>
      </c>
      <c r="P27" s="169">
        <f>(INDEX(Models!$BJ27:$BT27,,T27)*(1-R27)+INDEX(Models!$BJ27:$BT27,,T27+1)*R27-ERP_i)*Q27*Ramure*Pc/MaxiM</f>
        <v>2.0569570992392627E-4</v>
      </c>
      <c r="Q27" s="305">
        <f t="shared" si="4"/>
        <v>0.5</v>
      </c>
      <c r="R27" s="177">
        <f t="shared" si="5"/>
        <v>0.49783382641629115</v>
      </c>
      <c r="S27" s="811">
        <f t="shared" si="6"/>
        <v>-1</v>
      </c>
      <c r="T27" s="176">
        <f t="shared" si="7"/>
        <v>5</v>
      </c>
      <c r="U27" s="251">
        <f t="shared" si="8"/>
        <v>-0.50216617358370885</v>
      </c>
      <c r="V27" s="383">
        <f t="shared" si="9"/>
        <v>26.353514262788909</v>
      </c>
      <c r="W27" s="402"/>
      <c r="X27" s="157">
        <f t="shared" si="10"/>
        <v>44209</v>
      </c>
      <c r="Y27" s="385">
        <f t="shared" si="11"/>
        <v>9.4710000000000001</v>
      </c>
      <c r="Z27" s="385">
        <f t="shared" si="12"/>
        <v>9.670133976466639</v>
      </c>
      <c r="AA27" s="386">
        <f t="shared" si="13"/>
        <v>10.189687570425493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5.0988177053318526E-2</v>
      </c>
      <c r="AD27" s="231">
        <f>(INDEX(Models!$BJ27:$BT27,,AH27)*(1-AF27)+INDEX(Models!$BJ27:$BT27,,AH27+1)*AF27-ERP_i)*AE27*Ramure*Pc/MaxiM</f>
        <v>2.0569570992392627E-4</v>
      </c>
      <c r="AE27" s="305">
        <f t="shared" si="15"/>
        <v>0.5</v>
      </c>
      <c r="AF27" s="177">
        <f t="shared" si="22"/>
        <v>0.49783382641629115</v>
      </c>
      <c r="AG27" s="811">
        <f t="shared" si="23"/>
        <v>-1</v>
      </c>
      <c r="AH27" s="176">
        <f t="shared" si="16"/>
        <v>5</v>
      </c>
      <c r="AI27" s="225">
        <f t="shared" si="17"/>
        <v>-0.50216617358370885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7">
        <v>11.904</v>
      </c>
      <c r="C28" s="390"/>
      <c r="D28" s="393">
        <f t="shared" si="0"/>
        <v>12.154555610519719</v>
      </c>
      <c r="E28" s="385">
        <f t="shared" si="1"/>
        <v>12.808364799740183</v>
      </c>
      <c r="F28" s="385">
        <f t="shared" si="2"/>
        <v>12.808907481021809</v>
      </c>
      <c r="G28" s="110">
        <f t="shared" si="21"/>
        <v>0.44768831128363806</v>
      </c>
      <c r="H28" s="414" t="b">
        <f>Wh_hp&gt;='2020'!Maxi_hp</f>
        <v>0</v>
      </c>
      <c r="I28" s="380">
        <f>IF(H28,Wh_hp,'2020'!Maxi_hp)</f>
        <v>27.813666688911876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2.0614131733690422E-2</v>
      </c>
      <c r="M28" s="845"/>
      <c r="N28" s="845"/>
      <c r="O28" s="48">
        <f>IF(t&lt;Tnet,'2020'!Resal+('2020'!Salim-'2020'!Resal)*(1-EXP(('2020'!Tnet-t)/('2020'!Tau_j))),Resal+(Salim-Resal)*(1-EXP((Tnet-t)/(Tau_j))))*Salcycl</f>
        <v>5.1045484684643379E-2</v>
      </c>
      <c r="P28" s="169">
        <f>(INDEX(Models!$BJ28:$BT28,,T28)*(1-R28)+INDEX(Models!$BJ28:$BT28,,T28+1)*R28-ERP_i)*Q28*Ramure*Pc/MaxiM</f>
        <v>2.0071333069611181E-4</v>
      </c>
      <c r="Q28" s="305">
        <f t="shared" si="4"/>
        <v>0.5</v>
      </c>
      <c r="R28" s="177">
        <f t="shared" si="5"/>
        <v>0.49788157780668063</v>
      </c>
      <c r="S28" s="811">
        <f t="shared" si="6"/>
        <v>-1</v>
      </c>
      <c r="T28" s="176">
        <f t="shared" si="7"/>
        <v>5</v>
      </c>
      <c r="U28" s="251">
        <f t="shared" si="8"/>
        <v>-0.50211842219331937</v>
      </c>
      <c r="V28" s="383">
        <f t="shared" si="9"/>
        <v>26.585717498726808</v>
      </c>
      <c r="W28" s="402"/>
      <c r="X28" s="157">
        <f t="shared" si="10"/>
        <v>44210</v>
      </c>
      <c r="Y28" s="385">
        <f t="shared" si="11"/>
        <v>11.904</v>
      </c>
      <c r="Z28" s="385">
        <f t="shared" si="12"/>
        <v>12.154555610519719</v>
      </c>
      <c r="AA28" s="386">
        <f t="shared" si="13"/>
        <v>12.808364799740183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5.1045484684643379E-2</v>
      </c>
      <c r="AD28" s="231">
        <f>(INDEX(Models!$BJ28:$BT28,,AH28)*(1-AF28)+INDEX(Models!$BJ28:$BT28,,AH28+1)*AF28-ERP_i)*AE28*Ramure*Pc/MaxiM</f>
        <v>2.0071333069611181E-4</v>
      </c>
      <c r="AE28" s="305">
        <f t="shared" si="15"/>
        <v>0.5</v>
      </c>
      <c r="AF28" s="177">
        <f t="shared" si="22"/>
        <v>0.49788157780668063</v>
      </c>
      <c r="AG28" s="811">
        <f t="shared" si="23"/>
        <v>-1</v>
      </c>
      <c r="AH28" s="176">
        <f t="shared" si="16"/>
        <v>5</v>
      </c>
      <c r="AI28" s="225">
        <f t="shared" si="17"/>
        <v>-0.50211842219331937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7">
        <v>18.346</v>
      </c>
      <c r="C29" s="390"/>
      <c r="D29" s="393">
        <f t="shared" si="0"/>
        <v>18.732557235853733</v>
      </c>
      <c r="E29" s="385">
        <f t="shared" si="1"/>
        <v>19.741397820234887</v>
      </c>
      <c r="F29" s="385">
        <f t="shared" si="2"/>
        <v>19.743512304007012</v>
      </c>
      <c r="G29" s="110">
        <f t="shared" si="21"/>
        <v>0.68388588039517695</v>
      </c>
      <c r="H29" s="414" t="b">
        <f>Wh_hp&gt;='2020'!Maxi_hp</f>
        <v>0</v>
      </c>
      <c r="I29" s="380">
        <f>IF(H29,Wh_hp,'2020'!Maxi_hp)</f>
        <v>29.067033141157783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2.0635582797733032E-2</v>
      </c>
      <c r="M29" s="845"/>
      <c r="N29" s="845"/>
      <c r="O29" s="48">
        <f>IF(t&lt;Tnet,'2020'!Resal+('2020'!Salim-'2020'!Resal)*(1-EXP(('2020'!Tnet-t)/('2020'!Tau_j))),Resal+(Salim-Resal)*(1-EXP((Tnet-t)/(Tau_j))))*Salcycl</f>
        <v>5.1102793913969678E-2</v>
      </c>
      <c r="P29" s="169">
        <f>(INDEX(Models!$BJ29:$BT29,,T29)*(1-R29)+INDEX(Models!$BJ29:$BT29,,T29+1)*R29-ERP_i)*Q29*Ramure*Pc/MaxiM</f>
        <v>1.9525745611110383E-4</v>
      </c>
      <c r="Q29" s="305">
        <f t="shared" si="4"/>
        <v>0.5</v>
      </c>
      <c r="R29" s="177">
        <f t="shared" si="5"/>
        <v>0.49793132275685292</v>
      </c>
      <c r="S29" s="811">
        <f t="shared" si="6"/>
        <v>-1</v>
      </c>
      <c r="T29" s="176">
        <f t="shared" si="7"/>
        <v>5</v>
      </c>
      <c r="U29" s="251">
        <f t="shared" si="8"/>
        <v>-0.50206867724314708</v>
      </c>
      <c r="V29" s="383">
        <f t="shared" si="9"/>
        <v>26.823747898351602</v>
      </c>
      <c r="W29" s="402"/>
      <c r="X29" s="157">
        <f t="shared" si="10"/>
        <v>44211</v>
      </c>
      <c r="Y29" s="385">
        <f t="shared" si="11"/>
        <v>18.346</v>
      </c>
      <c r="Z29" s="385">
        <f t="shared" si="12"/>
        <v>18.732557235853733</v>
      </c>
      <c r="AA29" s="386">
        <f t="shared" si="13"/>
        <v>19.741397820234887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5.1102793913969678E-2</v>
      </c>
      <c r="AD29" s="231">
        <f>(INDEX(Models!$BJ29:$BT29,,AH29)*(1-AF29)+INDEX(Models!$BJ29:$BT29,,AH29+1)*AF29-ERP_i)*AE29*Ramure*Pc/MaxiM</f>
        <v>1.9525745611110383E-4</v>
      </c>
      <c r="AE29" s="305">
        <f t="shared" si="15"/>
        <v>0.5</v>
      </c>
      <c r="AF29" s="177">
        <f t="shared" si="22"/>
        <v>0.49793132275685292</v>
      </c>
      <c r="AG29" s="811">
        <f t="shared" si="23"/>
        <v>-1</v>
      </c>
      <c r="AH29" s="176">
        <f t="shared" si="16"/>
        <v>5</v>
      </c>
      <c r="AI29" s="225">
        <f t="shared" si="17"/>
        <v>-0.50206867724314708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7">
        <v>17.856999999999999</v>
      </c>
      <c r="C30" s="390"/>
      <c r="D30" s="393">
        <f t="shared" si="0"/>
        <v>18.233653182651118</v>
      </c>
      <c r="E30" s="385">
        <f t="shared" si="1"/>
        <v>19.216785997060217</v>
      </c>
      <c r="F30" s="385">
        <f t="shared" si="2"/>
        <v>19.218656665855761</v>
      </c>
      <c r="G30" s="110">
        <f t="shared" si="21"/>
        <v>0.65966316504967104</v>
      </c>
      <c r="H30" s="414" t="b">
        <f>Wh_hp&gt;='2020'!Maxi_hp</f>
        <v>0</v>
      </c>
      <c r="I30" s="380">
        <f>IF(H30,Wh_hp,'2020'!Maxi_hp)</f>
        <v>29.178076379468706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2.0657033391942248E-2</v>
      </c>
      <c r="M30" s="845"/>
      <c r="N30" s="845"/>
      <c r="O30" s="48">
        <f>IF(t&lt;Tnet,'2020'!Resal+('2020'!Salim-'2020'!Resal)*(1-EXP(('2020'!Tnet-t)/('2020'!Tau_j))),Resal+(Salim-Resal)*(1-EXP((Tnet-t)/(Tau_j))))*Salcycl</f>
        <v>5.1160106302869789E-2</v>
      </c>
      <c r="P30" s="169">
        <f>(INDEX(Models!$BJ30:$BT30,,T30)*(1-R30)+INDEX(Models!$BJ30:$BT30,,T30+1)*R30-ERP_i)*Q30*Ramure*Pc/MaxiM</f>
        <v>1.8940986874572103E-4</v>
      </c>
      <c r="Q30" s="305">
        <f t="shared" si="4"/>
        <v>0.5</v>
      </c>
      <c r="R30" s="177">
        <f t="shared" si="5"/>
        <v>0.4979831440722462</v>
      </c>
      <c r="S30" s="811">
        <f t="shared" si="6"/>
        <v>-1</v>
      </c>
      <c r="T30" s="176">
        <f t="shared" si="7"/>
        <v>5</v>
      </c>
      <c r="U30" s="251">
        <f t="shared" si="8"/>
        <v>-0.5020168559277538</v>
      </c>
      <c r="V30" s="383">
        <f t="shared" si="9"/>
        <v>27.067383210709242</v>
      </c>
      <c r="W30" s="402"/>
      <c r="X30" s="157">
        <f t="shared" si="10"/>
        <v>44212</v>
      </c>
      <c r="Y30" s="385">
        <f t="shared" si="11"/>
        <v>17.856999999999999</v>
      </c>
      <c r="Z30" s="385">
        <f t="shared" si="12"/>
        <v>18.233653182651118</v>
      </c>
      <c r="AA30" s="386">
        <f t="shared" si="13"/>
        <v>19.216785997060217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5.1160106302869789E-2</v>
      </c>
      <c r="AD30" s="231">
        <f>(INDEX(Models!$BJ30:$BT30,,AH30)*(1-AF30)+INDEX(Models!$BJ30:$BT30,,AH30+1)*AF30-ERP_i)*AE30*Ramure*Pc/MaxiM</f>
        <v>1.8940986874572103E-4</v>
      </c>
      <c r="AE30" s="305">
        <f t="shared" si="15"/>
        <v>0.5</v>
      </c>
      <c r="AF30" s="177">
        <f t="shared" si="22"/>
        <v>0.4979831440722462</v>
      </c>
      <c r="AG30" s="811">
        <f t="shared" si="23"/>
        <v>-1</v>
      </c>
      <c r="AH30" s="176">
        <f t="shared" si="16"/>
        <v>5</v>
      </c>
      <c r="AI30" s="225">
        <f t="shared" si="17"/>
        <v>-0.5020168559277538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7">
        <v>8.2430000000000003</v>
      </c>
      <c r="C31" s="390"/>
      <c r="D31" s="393">
        <f t="shared" si="0"/>
        <v>8.4170518683150348</v>
      </c>
      <c r="E31" s="385">
        <f t="shared" si="1"/>
        <v>8.8714233165786567</v>
      </c>
      <c r="F31" s="385">
        <f t="shared" si="2"/>
        <v>8.8714274081415194</v>
      </c>
      <c r="G31" s="110">
        <f t="shared" si="21"/>
        <v>0.30170494274568976</v>
      </c>
      <c r="H31" s="414" t="b">
        <f>Wh_hp&gt;='2020'!Maxi_hp</f>
        <v>0</v>
      </c>
      <c r="I31" s="380">
        <f>IF(H31,Wh_hp,'2020'!Maxi_hp)</f>
        <v>10.666947833504928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2.0678483516328505E-2</v>
      </c>
      <c r="M31" s="845"/>
      <c r="N31" s="845"/>
      <c r="O31" s="48">
        <f>IF(t&lt;Tnet,'2020'!Resal+('2020'!Salim-'2020'!Resal)*(1-EXP(('2020'!Tnet-t)/('2020'!Tau_j))),Resal+(Salim-Resal)*(1-EXP((Tnet-t)/(Tau_j))))*Salcycl</f>
        <v>5.1217423861907925E-2</v>
      </c>
      <c r="P31" s="169">
        <f>(INDEX(Models!$BJ31:$BT31,,T31)*(1-R31)+INDEX(Models!$BJ31:$BT31,,T31+1)*R31-ERP_i)*Q31*Ramure*Pc/MaxiM</f>
        <v>1.8341868670250792E-4</v>
      </c>
      <c r="Q31" s="305">
        <f t="shared" si="4"/>
        <v>0.5</v>
      </c>
      <c r="R31" s="177">
        <f t="shared" si="5"/>
        <v>0.49803712796160038</v>
      </c>
      <c r="S31" s="811">
        <f t="shared" si="6"/>
        <v>-1</v>
      </c>
      <c r="T31" s="176">
        <f t="shared" si="7"/>
        <v>5</v>
      </c>
      <c r="U31" s="251">
        <f t="shared" si="8"/>
        <v>-0.50196287203839962</v>
      </c>
      <c r="V31" s="383">
        <f t="shared" si="9"/>
        <v>27.31639662842597</v>
      </c>
      <c r="W31" s="402"/>
      <c r="X31" s="157">
        <f t="shared" si="10"/>
        <v>44213</v>
      </c>
      <c r="Y31" s="385">
        <f t="shared" si="11"/>
        <v>8.2430000000000003</v>
      </c>
      <c r="Z31" s="385">
        <f t="shared" si="12"/>
        <v>8.4170518683150348</v>
      </c>
      <c r="AA31" s="386">
        <f t="shared" si="13"/>
        <v>8.8714233165786567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5.1217423861907925E-2</v>
      </c>
      <c r="AD31" s="231">
        <f>(INDEX(Models!$BJ31:$BT31,,AH31)*(1-AF31)+INDEX(Models!$BJ31:$BT31,,AH31+1)*AF31-ERP_i)*AE31*Ramure*Pc/MaxiM</f>
        <v>1.8341868670250792E-4</v>
      </c>
      <c r="AE31" s="305">
        <f t="shared" si="15"/>
        <v>0.5</v>
      </c>
      <c r="AF31" s="177">
        <f t="shared" si="22"/>
        <v>0.49803712796160038</v>
      </c>
      <c r="AG31" s="811">
        <f t="shared" si="23"/>
        <v>-1</v>
      </c>
      <c r="AH31" s="176">
        <f t="shared" si="16"/>
        <v>5</v>
      </c>
      <c r="AI31" s="225">
        <f t="shared" si="17"/>
        <v>-0.50196287203839962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7">
        <v>26.446000000000002</v>
      </c>
      <c r="C32" s="390"/>
      <c r="D32" s="393">
        <f t="shared" si="0"/>
        <v>27.005001731114156</v>
      </c>
      <c r="E32" s="385">
        <f t="shared" si="1"/>
        <v>28.464512461338167</v>
      </c>
      <c r="F32" s="385">
        <f t="shared" si="2"/>
        <v>28.469265740450702</v>
      </c>
      <c r="G32" s="110">
        <f t="shared" si="21"/>
        <v>0.95920138375957564</v>
      </c>
      <c r="H32" s="414" t="b">
        <f>Wh_hp&gt;='2020'!Maxi_hp</f>
        <v>1</v>
      </c>
      <c r="I32" s="380">
        <f>IF(H32,Wh_hp,'2020'!Maxi_hp)</f>
        <v>28.469265740450702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2.0699933170901907E-2</v>
      </c>
      <c r="M32" s="845"/>
      <c r="N32" s="845"/>
      <c r="O32" s="48">
        <f>IF(t&lt;Tnet,'2020'!Resal+('2020'!Salim-'2020'!Resal)*(1-EXP(('2020'!Tnet-t)/('2020'!Tau_j))),Resal+(Salim-Resal)*(1-EXP((Tnet-t)/(Tau_j))))*Salcycl</f>
        <v>5.1274748942438032E-2</v>
      </c>
      <c r="P32" s="169">
        <f>(INDEX(Models!$BJ32:$BT32,,T32)*(1-R32)+INDEX(Models!$BJ32:$BT32,,T32+1)*R32-ERP_i)*Q32*Ramure*Pc/MaxiM</f>
        <v>1.7729253537240703E-4</v>
      </c>
      <c r="Q32" s="305">
        <f t="shared" si="4"/>
        <v>0.5</v>
      </c>
      <c r="R32" s="177">
        <f t="shared" si="5"/>
        <v>0.49809336417374206</v>
      </c>
      <c r="S32" s="811">
        <f t="shared" si="6"/>
        <v>-1</v>
      </c>
      <c r="T32" s="176">
        <f t="shared" si="7"/>
        <v>5</v>
      </c>
      <c r="U32" s="251">
        <f t="shared" si="8"/>
        <v>-0.50190663582625794</v>
      </c>
      <c r="V32" s="383">
        <f t="shared" si="9"/>
        <v>27.570567760659756</v>
      </c>
      <c r="W32" s="402"/>
      <c r="X32" s="157">
        <f t="shared" si="10"/>
        <v>44214</v>
      </c>
      <c r="Y32" s="385">
        <f t="shared" si="11"/>
        <v>26.446000000000002</v>
      </c>
      <c r="Z32" s="385">
        <f t="shared" si="12"/>
        <v>27.005001731114156</v>
      </c>
      <c r="AA32" s="386">
        <f t="shared" si="13"/>
        <v>28.464512461338167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5.1274748942438032E-2</v>
      </c>
      <c r="AD32" s="231">
        <f>(INDEX(Models!$BJ32:$BT32,,AH32)*(1-AF32)+INDEX(Models!$BJ32:$BT32,,AH32+1)*AF32-ERP_i)*AE32*Ramure*Pc/MaxiM</f>
        <v>1.7729253537240703E-4</v>
      </c>
      <c r="AE32" s="305">
        <f t="shared" si="15"/>
        <v>0.5</v>
      </c>
      <c r="AF32" s="177">
        <f t="shared" si="22"/>
        <v>0.49809336417374206</v>
      </c>
      <c r="AG32" s="811">
        <f t="shared" si="23"/>
        <v>-1</v>
      </c>
      <c r="AH32" s="176">
        <f t="shared" si="16"/>
        <v>5</v>
      </c>
      <c r="AI32" s="225">
        <f t="shared" si="17"/>
        <v>-0.50190663582625794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7">
        <v>28.306000000000001</v>
      </c>
      <c r="C33" s="390"/>
      <c r="D33" s="393">
        <f t="shared" si="0"/>
        <v>28.904950531944223</v>
      </c>
      <c r="E33" s="385">
        <f t="shared" si="1"/>
        <v>30.4689871433525</v>
      </c>
      <c r="F33" s="385">
        <f t="shared" si="2"/>
        <v>30.474199442688686</v>
      </c>
      <c r="G33" s="110">
        <f t="shared" si="21"/>
        <v>1.0171156758545088</v>
      </c>
      <c r="H33" s="414" t="b">
        <f>Wh_hp&gt;='2020'!Maxi_hp</f>
        <v>1</v>
      </c>
      <c r="I33" s="380">
        <f>IF(H33,Wh_hp,'2020'!Maxi_hp)</f>
        <v>30.474199442688686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2.0721382355672779E-2</v>
      </c>
      <c r="M33" s="845"/>
      <c r="N33" s="845"/>
      <c r="O33" s="48">
        <f>IF(t&lt;Tnet,'2020'!Resal+('2020'!Salim-'2020'!Resal)*(1-EXP(('2020'!Tnet-t)/('2020'!Tau_j))),Resal+(Salim-Resal)*(1-EXP((Tnet-t)/(Tau_j))))*Salcycl</f>
        <v>5.1332084130322204E-2</v>
      </c>
      <c r="P33" s="169">
        <f>(INDEX(Models!$BJ33:$BT33,,T33)*(1-R33)+INDEX(Models!$BJ33:$BT33,,T33+1)*R33-ERP_i)*Q33*Ramure*Pc/MaxiM</f>
        <v>1.7103974612977716E-4</v>
      </c>
      <c r="Q33" s="305">
        <f t="shared" si="4"/>
        <v>0.5</v>
      </c>
      <c r="R33" s="177">
        <f t="shared" si="5"/>
        <v>0.4981519461396029</v>
      </c>
      <c r="S33" s="811">
        <f t="shared" si="6"/>
        <v>-1</v>
      </c>
      <c r="T33" s="176">
        <f t="shared" si="7"/>
        <v>5</v>
      </c>
      <c r="U33" s="251">
        <f t="shared" si="8"/>
        <v>-0.5018480538603971</v>
      </c>
      <c r="V33" s="383">
        <f t="shared" si="9"/>
        <v>27.829676281627748</v>
      </c>
      <c r="W33" s="402"/>
      <c r="X33" s="157">
        <f t="shared" si="10"/>
        <v>44215</v>
      </c>
      <c r="Y33" s="385">
        <f t="shared" si="11"/>
        <v>28.306000000000001</v>
      </c>
      <c r="Z33" s="385">
        <f t="shared" si="12"/>
        <v>28.904950531944223</v>
      </c>
      <c r="AA33" s="386">
        <f t="shared" si="13"/>
        <v>30.4689871433525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5.1332084130322204E-2</v>
      </c>
      <c r="AD33" s="231">
        <f>(INDEX(Models!$BJ33:$BT33,,AH33)*(1-AF33)+INDEX(Models!$BJ33:$BT33,,AH33+1)*AF33-ERP_i)*AE33*Ramure*Pc/MaxiM</f>
        <v>1.7103974612977716E-4</v>
      </c>
      <c r="AE33" s="305">
        <f t="shared" si="15"/>
        <v>0.5</v>
      </c>
      <c r="AF33" s="177">
        <f t="shared" si="22"/>
        <v>0.4981519461396029</v>
      </c>
      <c r="AG33" s="811">
        <f t="shared" si="23"/>
        <v>-1</v>
      </c>
      <c r="AH33" s="176">
        <f t="shared" si="16"/>
        <v>5</v>
      </c>
      <c r="AI33" s="225">
        <f t="shared" si="17"/>
        <v>-0.5018480538603971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7">
        <v>6.5120000000000005</v>
      </c>
      <c r="C34" s="390"/>
      <c r="D34" s="393">
        <f t="shared" si="0"/>
        <v>6.6499385520146532</v>
      </c>
      <c r="E34" s="385">
        <f t="shared" si="1"/>
        <v>7.0101881397285801</v>
      </c>
      <c r="F34" s="385">
        <f t="shared" si="2"/>
        <v>7.0101881397285801</v>
      </c>
      <c r="G34" s="110">
        <f t="shared" si="21"/>
        <v>0.23175920527910882</v>
      </c>
      <c r="H34" s="414" t="b">
        <f>Wh_hp&gt;='2020'!Maxi_hp</f>
        <v>0</v>
      </c>
      <c r="I34" s="380">
        <f>IF(H34,Wh_hp,'2020'!Maxi_hp)</f>
        <v>12.344744575403277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2.0742831070651557E-2</v>
      </c>
      <c r="M34" s="845"/>
      <c r="N34" s="845"/>
      <c r="O34" s="48">
        <f>IF(t&lt;Tnet,'2020'!Resal+('2020'!Salim-'2020'!Resal)*(1-EXP(('2020'!Tnet-t)/('2020'!Tau_j))),Resal+(Salim-Resal)*(1-EXP((Tnet-t)/(Tau_j))))*Salcycl</f>
        <v>5.1389432142669299E-2</v>
      </c>
      <c r="P34" s="169">
        <f>(INDEX(Models!$BJ34:$BT34,,T34)*(1-R34)+INDEX(Models!$BJ34:$BT34,,T34+1)*R34-ERP_i)*Q34*Ramure*Pc/MaxiM</f>
        <v>1.6466926085594575E-4</v>
      </c>
      <c r="Q34" s="305">
        <f t="shared" si="4"/>
        <v>0.5</v>
      </c>
      <c r="R34" s="177">
        <f t="shared" si="5"/>
        <v>0.49821297111964558</v>
      </c>
      <c r="S34" s="811">
        <f t="shared" si="6"/>
        <v>-1</v>
      </c>
      <c r="T34" s="176">
        <f t="shared" si="7"/>
        <v>5</v>
      </c>
      <c r="U34" s="251">
        <f t="shared" si="8"/>
        <v>-0.50178702888035442</v>
      </c>
      <c r="V34" s="383">
        <f t="shared" si="9"/>
        <v>28.09350189966419</v>
      </c>
      <c r="W34" s="402"/>
      <c r="X34" s="157">
        <f t="shared" si="10"/>
        <v>44216</v>
      </c>
      <c r="Y34" s="385">
        <f t="shared" si="11"/>
        <v>6.5120000000000005</v>
      </c>
      <c r="Z34" s="385">
        <f t="shared" si="12"/>
        <v>6.6499385520146532</v>
      </c>
      <c r="AA34" s="386">
        <f t="shared" si="13"/>
        <v>7.0101881397285801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5.1389432142669299E-2</v>
      </c>
      <c r="AD34" s="231">
        <f>(INDEX(Models!$BJ34:$BT34,,AH34)*(1-AF34)+INDEX(Models!$BJ34:$BT34,,AH34+1)*AF34-ERP_i)*AE34*Ramure*Pc/MaxiM</f>
        <v>1.6466926085594575E-4</v>
      </c>
      <c r="AE34" s="305">
        <f t="shared" si="15"/>
        <v>0.5</v>
      </c>
      <c r="AF34" s="177">
        <f t="shared" si="22"/>
        <v>0.49821297111964558</v>
      </c>
      <c r="AG34" s="811">
        <f t="shared" si="23"/>
        <v>-1</v>
      </c>
      <c r="AH34" s="176">
        <f t="shared" si="16"/>
        <v>5</v>
      </c>
      <c r="AI34" s="225">
        <f t="shared" si="17"/>
        <v>-0.50178702888035442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7">
        <v>12.609</v>
      </c>
      <c r="C35" s="390"/>
      <c r="D35" s="393">
        <f t="shared" si="0"/>
        <v>12.876368512364532</v>
      </c>
      <c r="E35" s="385">
        <f t="shared" si="1"/>
        <v>13.574745680455127</v>
      </c>
      <c r="F35" s="385">
        <f t="shared" si="2"/>
        <v>13.575189211885538</v>
      </c>
      <c r="G35" s="110">
        <f t="shared" si="21"/>
        <v>0.44452067418846458</v>
      </c>
      <c r="H35" s="414" t="b">
        <f>Wh_hp&gt;='2020'!Maxi_hp</f>
        <v>1</v>
      </c>
      <c r="I35" s="380">
        <f>IF(H35,Wh_hp,'2020'!Maxi_hp)</f>
        <v>13.575189211885538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2.0764279315848344E-2</v>
      </c>
      <c r="M35" s="845"/>
      <c r="N35" s="845"/>
      <c r="O35" s="48">
        <f>IF(t&lt;Tnet,'2020'!Resal+('2020'!Salim-'2020'!Resal)*(1-EXP(('2020'!Tnet-t)/('2020'!Tau_j))),Resal+(Salim-Resal)*(1-EXP((Tnet-t)/(Tau_j))))*Salcycl</f>
        <v>5.1446795728638688E-2</v>
      </c>
      <c r="P35" s="169">
        <f>(INDEX(Models!$BJ35:$BT35,,T35)*(1-R35)+INDEX(Models!$BJ35:$BT35,,T35+1)*R35-ERP_i)*Q35*Ramure*Pc/MaxiM</f>
        <v>1.5818995702388908E-4</v>
      </c>
      <c r="Q35" s="305">
        <f t="shared" si="4"/>
        <v>0.5</v>
      </c>
      <c r="R35" s="177">
        <f t="shared" si="5"/>
        <v>0.49827654035688174</v>
      </c>
      <c r="S35" s="811">
        <f t="shared" si="6"/>
        <v>-1</v>
      </c>
      <c r="T35" s="176">
        <f t="shared" si="7"/>
        <v>5</v>
      </c>
      <c r="U35" s="251">
        <f t="shared" si="8"/>
        <v>-0.50172345964311826</v>
      </c>
      <c r="V35" s="383">
        <f t="shared" si="9"/>
        <v>28.36182438090599</v>
      </c>
      <c r="W35" s="402"/>
      <c r="X35" s="157">
        <f t="shared" si="10"/>
        <v>44217</v>
      </c>
      <c r="Y35" s="385">
        <f t="shared" si="11"/>
        <v>12.609</v>
      </c>
      <c r="Z35" s="385">
        <f t="shared" si="12"/>
        <v>12.876368512364532</v>
      </c>
      <c r="AA35" s="386">
        <f t="shared" si="13"/>
        <v>13.574745680455127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5.1446795728638688E-2</v>
      </c>
      <c r="AD35" s="231">
        <f>(INDEX(Models!$BJ35:$BT35,,AH35)*(1-AF35)+INDEX(Models!$BJ35:$BT35,,AH35+1)*AF35-ERP_i)*AE35*Ramure*Pc/MaxiM</f>
        <v>1.5818995702388908E-4</v>
      </c>
      <c r="AE35" s="305">
        <f t="shared" si="15"/>
        <v>0.5</v>
      </c>
      <c r="AF35" s="177">
        <f t="shared" si="22"/>
        <v>0.49827654035688174</v>
      </c>
      <c r="AG35" s="811">
        <f t="shared" si="23"/>
        <v>-1</v>
      </c>
      <c r="AH35" s="176">
        <f t="shared" si="16"/>
        <v>5</v>
      </c>
      <c r="AI35" s="225">
        <f t="shared" si="17"/>
        <v>-0.50172345964311826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7">
        <v>6.01</v>
      </c>
      <c r="C36" s="390"/>
      <c r="D36" s="393">
        <f t="shared" si="0"/>
        <v>6.1375739368539595</v>
      </c>
      <c r="E36" s="385">
        <f t="shared" si="1"/>
        <v>6.4708497304332102</v>
      </c>
      <c r="F36" s="385">
        <f t="shared" si="2"/>
        <v>6.4708497304332102</v>
      </c>
      <c r="G36" s="110">
        <f t="shared" si="21"/>
        <v>0.20985541435284147</v>
      </c>
      <c r="H36" s="414" t="b">
        <f>Wh_hp&gt;='2020'!Maxi_hp</f>
        <v>0</v>
      </c>
      <c r="I36" s="380">
        <f>IF(H36,Wh_hp,'2020'!Maxi_hp)</f>
        <v>11.779971838094793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2.0785727091273576E-2</v>
      </c>
      <c r="M36" s="845"/>
      <c r="N36" s="845"/>
      <c r="O36" s="48">
        <f>IF(t&lt;Tnet,'2020'!Resal+('2020'!Salim-'2020'!Resal)*(1-EXP(('2020'!Tnet-t)/('2020'!Tau_j))),Resal+(Salim-Resal)*(1-EXP((Tnet-t)/(Tau_j))))*Salcycl</f>
        <v>5.1504177575290161E-2</v>
      </c>
      <c r="P36" s="169">
        <f>(INDEX(Models!$BJ36:$BT36,,T36)*(1-R36)+INDEX(Models!$BJ36:$BT36,,T36+1)*R36-ERP_i)*Q36*Ramure*Pc/MaxiM</f>
        <v>1.5160951552720174E-4</v>
      </c>
      <c r="Q36" s="305">
        <f t="shared" si="4"/>
        <v>0.5</v>
      </c>
      <c r="R36" s="177">
        <f t="shared" si="5"/>
        <v>0.49834275923566385</v>
      </c>
      <c r="S36" s="811">
        <f t="shared" si="6"/>
        <v>-1</v>
      </c>
      <c r="T36" s="176">
        <f t="shared" si="7"/>
        <v>5</v>
      </c>
      <c r="U36" s="251">
        <f t="shared" si="8"/>
        <v>-0.50165724076433615</v>
      </c>
      <c r="V36" s="383">
        <f t="shared" si="9"/>
        <v>28.634423587986486</v>
      </c>
      <c r="W36" s="402"/>
      <c r="X36" s="157">
        <f t="shared" si="10"/>
        <v>44218</v>
      </c>
      <c r="Y36" s="385">
        <f t="shared" si="11"/>
        <v>6.01</v>
      </c>
      <c r="Z36" s="385">
        <f t="shared" si="12"/>
        <v>6.1375739368539595</v>
      </c>
      <c r="AA36" s="386">
        <f t="shared" si="13"/>
        <v>6.4708497304332102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5.1504177575290161E-2</v>
      </c>
      <c r="AD36" s="231">
        <f>(INDEX(Models!$BJ36:$BT36,,AH36)*(1-AF36)+INDEX(Models!$BJ36:$BT36,,AH36+1)*AF36-ERP_i)*AE36*Ramure*Pc/MaxiM</f>
        <v>1.5160951552720174E-4</v>
      </c>
      <c r="AE36" s="305">
        <f t="shared" si="15"/>
        <v>0.5</v>
      </c>
      <c r="AF36" s="177">
        <f t="shared" si="22"/>
        <v>0.49834275923566385</v>
      </c>
      <c r="AG36" s="811">
        <f t="shared" si="23"/>
        <v>-1</v>
      </c>
      <c r="AH36" s="176">
        <f t="shared" si="16"/>
        <v>5</v>
      </c>
      <c r="AI36" s="225">
        <f t="shared" si="17"/>
        <v>-0.50165724076433615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7">
        <v>7.8609999999999998</v>
      </c>
      <c r="C37" s="390"/>
      <c r="D37" s="393">
        <f t="shared" si="0"/>
        <v>8.0280408459473644</v>
      </c>
      <c r="E37" s="385">
        <f t="shared" si="1"/>
        <v>8.4644829632738432</v>
      </c>
      <c r="F37" s="385">
        <f t="shared" si="2"/>
        <v>8.4644829632738432</v>
      </c>
      <c r="G37" s="110">
        <f t="shared" si="21"/>
        <v>0.27183781793986378</v>
      </c>
      <c r="H37" s="414" t="b">
        <f>Wh_hp&gt;='2020'!Maxi_hp</f>
        <v>0</v>
      </c>
      <c r="I37" s="380">
        <f>IF(H37,Wh_hp,'2020'!Maxi_hp)</f>
        <v>12.88967096243964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2.0807174396937467E-2</v>
      </c>
      <c r="M37" s="845"/>
      <c r="N37" s="845"/>
      <c r="O37" s="48">
        <f>IF(t&lt;Tnet,'2020'!Resal+('2020'!Salim-'2020'!Resal)*(1-EXP(('2020'!Tnet-t)/('2020'!Tau_j))),Resal+(Salim-Resal)*(1-EXP((Tnet-t)/(Tau_j))))*Salcycl</f>
        <v>5.1561580219387081E-2</v>
      </c>
      <c r="P37" s="169">
        <f>(INDEX(Models!$BJ37:$BT37,,T37)*(1-R37)+INDEX(Models!$BJ37:$BT37,,T37+1)*R37-ERP_i)*Q37*Ramure*Pc/MaxiM</f>
        <v>1.4492160980391361E-4</v>
      </c>
      <c r="Q37" s="305">
        <f t="shared" si="4"/>
        <v>0.5</v>
      </c>
      <c r="R37" s="177">
        <f t="shared" si="5"/>
        <v>0.49841173744644118</v>
      </c>
      <c r="S37" s="811">
        <f t="shared" si="6"/>
        <v>-1</v>
      </c>
      <c r="T37" s="176">
        <f t="shared" si="7"/>
        <v>5</v>
      </c>
      <c r="U37" s="251">
        <f t="shared" si="8"/>
        <v>-0.50158826255355882</v>
      </c>
      <c r="V37" s="383">
        <f t="shared" si="9"/>
        <v>28.913787017537409</v>
      </c>
      <c r="W37" s="402"/>
      <c r="X37" s="157">
        <f t="shared" si="10"/>
        <v>44219</v>
      </c>
      <c r="Y37" s="385">
        <f t="shared" si="11"/>
        <v>7.8610000000000007</v>
      </c>
      <c r="Z37" s="385">
        <f t="shared" si="12"/>
        <v>8.0280408459473644</v>
      </c>
      <c r="AA37" s="386">
        <f t="shared" si="13"/>
        <v>8.4644829632738432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5.1561580219387081E-2</v>
      </c>
      <c r="AD37" s="231">
        <f>(INDEX(Models!$BJ37:$BT37,,AH37)*(1-AF37)+INDEX(Models!$BJ37:$BT37,,AH37+1)*AF37-ERP_i)*AE37*Ramure*Pc/MaxiM</f>
        <v>1.4492160980391361E-4</v>
      </c>
      <c r="AE37" s="305">
        <f t="shared" si="15"/>
        <v>0.5</v>
      </c>
      <c r="AF37" s="177">
        <f t="shared" si="22"/>
        <v>0.49841173744644118</v>
      </c>
      <c r="AG37" s="811">
        <f t="shared" si="23"/>
        <v>-1</v>
      </c>
      <c r="AH37" s="176">
        <f t="shared" si="16"/>
        <v>5</v>
      </c>
      <c r="AI37" s="225">
        <f t="shared" si="17"/>
        <v>-0.50158826255355882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7">
        <v>14.950000000000001</v>
      </c>
      <c r="C38" s="390"/>
      <c r="D38" s="393">
        <f t="shared" si="0"/>
        <v>15.268011631245978</v>
      </c>
      <c r="E38" s="385">
        <f t="shared" si="1"/>
        <v>16.099027423886039</v>
      </c>
      <c r="F38" s="385">
        <f t="shared" si="2"/>
        <v>16.099701488096027</v>
      </c>
      <c r="G38" s="110">
        <f t="shared" si="21"/>
        <v>0.51190401311206102</v>
      </c>
      <c r="H38" s="414" t="b">
        <f>Wh_hp&gt;='2020'!Maxi_hp</f>
        <v>0</v>
      </c>
      <c r="I38" s="380">
        <f>IF(H38,Wh_hp,'2020'!Maxi_hp)</f>
        <v>16.462373506542814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2.0828621232850342E-2</v>
      </c>
      <c r="M38" s="845"/>
      <c r="N38" s="845"/>
      <c r="O38" s="48">
        <f>IF(t&lt;Tnet,'2020'!Resal+('2020'!Salim-'2020'!Resal)*(1-EXP(('2020'!Tnet-t)/('2020'!Tau_j))),Resal+(Salim-Resal)*(1-EXP((Tnet-t)/(Tau_j))))*Salcycl</f>
        <v>5.1619005965980784E-2</v>
      </c>
      <c r="P38" s="169">
        <f>(INDEX(Models!$BJ38:$BT38,,T38)*(1-R38)+INDEX(Models!$BJ38:$BT38,,T38+1)*R38-ERP_i)*Q38*Ramure*Pc/MaxiM</f>
        <v>1.3827420096747397E-4</v>
      </c>
      <c r="Q38" s="305">
        <f t="shared" si="4"/>
        <v>0.5</v>
      </c>
      <c r="R38" s="177">
        <f t="shared" si="5"/>
        <v>0.49848358915667068</v>
      </c>
      <c r="S38" s="811">
        <f t="shared" si="6"/>
        <v>-1</v>
      </c>
      <c r="T38" s="176">
        <f t="shared" si="7"/>
        <v>5</v>
      </c>
      <c r="U38" s="251">
        <f t="shared" si="8"/>
        <v>-0.50151641084332932</v>
      </c>
      <c r="V38" s="383">
        <f t="shared" si="9"/>
        <v>29.201878254174076</v>
      </c>
      <c r="W38" s="402"/>
      <c r="X38" s="157">
        <f t="shared" si="10"/>
        <v>44220</v>
      </c>
      <c r="Y38" s="385">
        <f t="shared" si="11"/>
        <v>14.950000000000001</v>
      </c>
      <c r="Z38" s="385">
        <f t="shared" si="12"/>
        <v>15.268011631245978</v>
      </c>
      <c r="AA38" s="386">
        <f t="shared" si="13"/>
        <v>16.099027423886039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5.1619005965980784E-2</v>
      </c>
      <c r="AD38" s="231">
        <f>(INDEX(Models!$BJ38:$BT38,,AH38)*(1-AF38)+INDEX(Models!$BJ38:$BT38,,AH38+1)*AF38-ERP_i)*AE38*Ramure*Pc/MaxiM</f>
        <v>1.3827420096747397E-4</v>
      </c>
      <c r="AE38" s="305">
        <f t="shared" si="15"/>
        <v>0.5</v>
      </c>
      <c r="AF38" s="177">
        <f t="shared" si="22"/>
        <v>0.49848358915667068</v>
      </c>
      <c r="AG38" s="811">
        <f t="shared" si="23"/>
        <v>-1</v>
      </c>
      <c r="AH38" s="176">
        <f t="shared" si="16"/>
        <v>5</v>
      </c>
      <c r="AI38" s="225">
        <f t="shared" si="17"/>
        <v>-0.50151641084332932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7">
        <v>7.7990000000000004</v>
      </c>
      <c r="C39" s="390"/>
      <c r="D39" s="393">
        <f t="shared" si="0"/>
        <v>7.9650722957984996</v>
      </c>
      <c r="E39" s="385">
        <f t="shared" si="1"/>
        <v>8.3991084614890692</v>
      </c>
      <c r="F39" s="385">
        <f t="shared" si="2"/>
        <v>8.3991084614890692</v>
      </c>
      <c r="G39" s="110">
        <f t="shared" si="21"/>
        <v>0.26435869735093437</v>
      </c>
      <c r="H39" s="414" t="b">
        <f>Wh_hp&gt;='2020'!Maxi_hp</f>
        <v>0</v>
      </c>
      <c r="I39" s="380">
        <f>IF(H39,Wh_hp,'2020'!Maxi_hp)</f>
        <v>16.646012067058376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2.0850067599022415E-2</v>
      </c>
      <c r="M39" s="845"/>
      <c r="N39" s="845"/>
      <c r="O39" s="48">
        <f>IF(t&lt;Tnet,'2020'!Resal+('2020'!Salim-'2020'!Resal)*(1-EXP(('2020'!Tnet-t)/('2020'!Tau_j))),Resal+(Salim-Resal)*(1-EXP((Tnet-t)/(Tau_j))))*Salcycl</f>
        <v>5.167645681451527E-2</v>
      </c>
      <c r="P39" s="169">
        <f>(INDEX(Models!$BJ39:$BT39,,T39)*(1-R39)+INDEX(Models!$BJ39:$BT39,,T39+1)*R39-ERP_i)*Q39*Ramure*Pc/MaxiM</f>
        <v>1.3192982891479618E-4</v>
      </c>
      <c r="Q39" s="305">
        <f t="shared" si="4"/>
        <v>0.5</v>
      </c>
      <c r="R39" s="177">
        <f t="shared" si="5"/>
        <v>0.49855843318807891</v>
      </c>
      <c r="S39" s="811">
        <f t="shared" si="6"/>
        <v>-1</v>
      </c>
      <c r="T39" s="176">
        <f t="shared" si="7"/>
        <v>5</v>
      </c>
      <c r="U39" s="251">
        <f t="shared" si="8"/>
        <v>-0.50144156681192109</v>
      </c>
      <c r="V39" s="383">
        <f t="shared" si="9"/>
        <v>29.497690665771973</v>
      </c>
      <c r="W39" s="402"/>
      <c r="X39" s="157">
        <f t="shared" si="10"/>
        <v>44221</v>
      </c>
      <c r="Y39" s="385">
        <f t="shared" si="11"/>
        <v>7.7990000000000004</v>
      </c>
      <c r="Z39" s="385">
        <f t="shared" si="12"/>
        <v>7.9650722957984996</v>
      </c>
      <c r="AA39" s="386">
        <f t="shared" si="13"/>
        <v>8.3991084614890692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5.167645681451527E-2</v>
      </c>
      <c r="AD39" s="231">
        <f>(INDEX(Models!$BJ39:$BT39,,AH39)*(1-AF39)+INDEX(Models!$BJ39:$BT39,,AH39+1)*AF39-ERP_i)*AE39*Ramure*Pc/MaxiM</f>
        <v>1.3192982891479618E-4</v>
      </c>
      <c r="AE39" s="305">
        <f t="shared" si="15"/>
        <v>0.5</v>
      </c>
      <c r="AF39" s="177">
        <f t="shared" si="22"/>
        <v>0.49855843318807891</v>
      </c>
      <c r="AG39" s="811">
        <f t="shared" si="23"/>
        <v>-1</v>
      </c>
      <c r="AH39" s="176">
        <f t="shared" si="16"/>
        <v>5</v>
      </c>
      <c r="AI39" s="225">
        <f t="shared" si="17"/>
        <v>-0.50144156681192109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7">
        <v>18.222000000000001</v>
      </c>
      <c r="C40" s="390"/>
      <c r="D40" s="393">
        <f t="shared" si="0"/>
        <v>18.61042779487714</v>
      </c>
      <c r="E40" s="385">
        <f t="shared" si="1"/>
        <v>19.625744788163708</v>
      </c>
      <c r="F40" s="385">
        <f t="shared" si="2"/>
        <v>19.626844194643734</v>
      </c>
      <c r="G40" s="110">
        <f t="shared" si="21"/>
        <v>0.61142915654870511</v>
      </c>
      <c r="H40" s="414" t="b">
        <f>Wh_hp&gt;='2020'!Maxi_hp</f>
        <v>1</v>
      </c>
      <c r="I40" s="380">
        <f>IF(H40,Wh_hp,'2020'!Maxi_hp)</f>
        <v>19.626844194643734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2.0871513495464011E-2</v>
      </c>
      <c r="M40" s="845"/>
      <c r="N40" s="845"/>
      <c r="O40" s="48">
        <f>IF(t&lt;Tnet,'2020'!Resal+('2020'!Salim-'2020'!Resal)*(1-EXP(('2020'!Tnet-t)/('2020'!Tau_j))),Resal+(Salim-Resal)*(1-EXP((Tnet-t)/(Tau_j))))*Salcycl</f>
        <v>5.1733934393099187E-2</v>
      </c>
      <c r="P40" s="169">
        <f>(INDEX(Models!$BJ40:$BT40,,T40)*(1-R40)+INDEX(Models!$BJ40:$BT40,,T40+1)*R40-ERP_i)*Q40*Ramure*Pc/MaxiM</f>
        <v>1.2588877485544006E-4</v>
      </c>
      <c r="Q40" s="305">
        <f t="shared" si="4"/>
        <v>0.5</v>
      </c>
      <c r="R40" s="177">
        <f t="shared" si="5"/>
        <v>0.49863639320047159</v>
      </c>
      <c r="S40" s="811">
        <f t="shared" si="6"/>
        <v>-1</v>
      </c>
      <c r="T40" s="176">
        <f t="shared" si="7"/>
        <v>5</v>
      </c>
      <c r="U40" s="251">
        <f t="shared" si="8"/>
        <v>-0.50136360679952841</v>
      </c>
      <c r="V40" s="383">
        <f t="shared" si="9"/>
        <v>29.800225425577857</v>
      </c>
      <c r="W40" s="402"/>
      <c r="X40" s="157">
        <f t="shared" si="10"/>
        <v>44222</v>
      </c>
      <c r="Y40" s="385">
        <f t="shared" si="11"/>
        <v>18.222000000000001</v>
      </c>
      <c r="Z40" s="385">
        <f t="shared" si="12"/>
        <v>18.61042779487714</v>
      </c>
      <c r="AA40" s="386">
        <f t="shared" si="13"/>
        <v>19.625744788163708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5.1733934393099187E-2</v>
      </c>
      <c r="AD40" s="231">
        <f>(INDEX(Models!$BJ40:$BT40,,AH40)*(1-AF40)+INDEX(Models!$BJ40:$BT40,,AH40+1)*AF40-ERP_i)*AE40*Ramure*Pc/MaxiM</f>
        <v>1.2588877485544006E-4</v>
      </c>
      <c r="AE40" s="305">
        <f t="shared" si="15"/>
        <v>0.5</v>
      </c>
      <c r="AF40" s="177">
        <f t="shared" si="22"/>
        <v>0.49863639320047159</v>
      </c>
      <c r="AG40" s="811">
        <f t="shared" si="23"/>
        <v>-1</v>
      </c>
      <c r="AH40" s="176">
        <f t="shared" si="16"/>
        <v>5</v>
      </c>
      <c r="AI40" s="225">
        <f t="shared" si="17"/>
        <v>-0.50136360679952841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7">
        <v>5.64</v>
      </c>
      <c r="C41" s="390"/>
      <c r="D41" s="393">
        <f t="shared" si="0"/>
        <v>5.7603507720579872</v>
      </c>
      <c r="E41" s="385">
        <f t="shared" si="1"/>
        <v>6.0749828829425061</v>
      </c>
      <c r="F41" s="385">
        <f t="shared" si="2"/>
        <v>6.0749828829425061</v>
      </c>
      <c r="G41" s="110">
        <f t="shared" si="21"/>
        <v>0.18730010929157728</v>
      </c>
      <c r="H41" s="414" t="b">
        <f>Wh_hp&gt;='2020'!Maxi_hp</f>
        <v>0</v>
      </c>
      <c r="I41" s="380">
        <f>IF(H41,Wh_hp,'2020'!Maxi_hp)</f>
        <v>14.984407964187147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2.0892958922185567E-2</v>
      </c>
      <c r="M41" s="845"/>
      <c r="N41" s="845"/>
      <c r="O41" s="48">
        <f>IF(t&lt;Tnet,'2020'!Resal+('2020'!Salim-'2020'!Resal)*(1-EXP(('2020'!Tnet-t)/('2020'!Tau_j))),Resal+(Salim-Resal)*(1-EXP((Tnet-t)/(Tau_j))))*Salcycl</f>
        <v>5.1791439901493645E-2</v>
      </c>
      <c r="P41" s="169">
        <f>(INDEX(Models!$BJ41:$BT41,,T41)*(1-R41)+INDEX(Models!$BJ41:$BT41,,T41+1)*R41-ERP_i)*Q41*Ramure*Pc/MaxiM</f>
        <v>1.2015003707762249E-4</v>
      </c>
      <c r="Q41" s="305">
        <f t="shared" si="4"/>
        <v>0.5</v>
      </c>
      <c r="R41" s="177">
        <f t="shared" si="5"/>
        <v>0.49871759788229331</v>
      </c>
      <c r="S41" s="811">
        <f t="shared" si="6"/>
        <v>-1</v>
      </c>
      <c r="T41" s="176">
        <f t="shared" si="7"/>
        <v>5</v>
      </c>
      <c r="U41" s="251">
        <f t="shared" si="8"/>
        <v>-0.50128240211770669</v>
      </c>
      <c r="V41" s="383">
        <f t="shared" si="9"/>
        <v>30.108484053321781</v>
      </c>
      <c r="W41" s="402"/>
      <c r="X41" s="157">
        <f t="shared" si="10"/>
        <v>44223</v>
      </c>
      <c r="Y41" s="385">
        <f t="shared" si="11"/>
        <v>5.64</v>
      </c>
      <c r="Z41" s="385">
        <f t="shared" si="12"/>
        <v>5.7603507720579872</v>
      </c>
      <c r="AA41" s="386">
        <f t="shared" si="13"/>
        <v>6.0749828829425061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5.1791439901493645E-2</v>
      </c>
      <c r="AD41" s="231">
        <f>(INDEX(Models!$BJ41:$BT41,,AH41)*(1-AF41)+INDEX(Models!$BJ41:$BT41,,AH41+1)*AF41-ERP_i)*AE41*Ramure*Pc/MaxiM</f>
        <v>1.2015003707762249E-4</v>
      </c>
      <c r="AE41" s="305">
        <f t="shared" si="15"/>
        <v>0.5</v>
      </c>
      <c r="AF41" s="177">
        <f t="shared" si="22"/>
        <v>0.49871759788229331</v>
      </c>
      <c r="AG41" s="811">
        <f t="shared" si="23"/>
        <v>-1</v>
      </c>
      <c r="AH41" s="176">
        <f t="shared" si="16"/>
        <v>5</v>
      </c>
      <c r="AI41" s="225">
        <f t="shared" si="17"/>
        <v>-0.50128240211770669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7">
        <v>17.189</v>
      </c>
      <c r="C42" s="390"/>
      <c r="D42" s="393">
        <f t="shared" si="0"/>
        <v>17.556176975847535</v>
      </c>
      <c r="E42" s="385">
        <f t="shared" si="1"/>
        <v>18.51622420436944</v>
      </c>
      <c r="F42" s="385">
        <f t="shared" si="2"/>
        <v>18.517028420857695</v>
      </c>
      <c r="G42" s="110">
        <f t="shared" si="21"/>
        <v>0.56498833260561576</v>
      </c>
      <c r="H42" s="414" t="b">
        <f>Wh_hp&gt;='2020'!Maxi_hp</f>
        <v>1</v>
      </c>
      <c r="I42" s="380">
        <f>IF(H42,Wh_hp,'2020'!Maxi_hp)</f>
        <v>18.517028420857695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2.0914403879197074E-2</v>
      </c>
      <c r="M42" s="845"/>
      <c r="N42" s="845"/>
      <c r="O42" s="48">
        <f>IF(t&lt;Tnet,'2020'!Resal+('2020'!Salim-'2020'!Resal)*(1-EXP(('2020'!Tnet-t)/('2020'!Tau_j))),Resal+(Salim-Resal)*(1-EXP((Tnet-t)/(Tau_j))))*Salcycl</f>
        <v>5.1848974063262568E-2</v>
      </c>
      <c r="P42" s="169">
        <f>(INDEX(Models!$BJ42:$BT42,,T42)*(1-R42)+INDEX(Models!$BJ42:$BT42,,T42+1)*R42-ERP_i)*Q42*Ramure*Pc/MaxiM</f>
        <v>1.1471150067018978E-4</v>
      </c>
      <c r="Q42" s="305">
        <f t="shared" si="4"/>
        <v>0.5</v>
      </c>
      <c r="R42" s="177">
        <f t="shared" si="5"/>
        <v>0.49880218114813923</v>
      </c>
      <c r="S42" s="811">
        <f t="shared" si="6"/>
        <v>-1</v>
      </c>
      <c r="T42" s="176">
        <f t="shared" si="7"/>
        <v>5</v>
      </c>
      <c r="U42" s="251">
        <f t="shared" si="8"/>
        <v>-0.50119781885186077</v>
      </c>
      <c r="V42" s="383">
        <f t="shared" si="9"/>
        <v>30.421468404794535</v>
      </c>
      <c r="W42" s="402"/>
      <c r="X42" s="157">
        <f t="shared" si="10"/>
        <v>44224</v>
      </c>
      <c r="Y42" s="385">
        <f t="shared" si="11"/>
        <v>17.189</v>
      </c>
      <c r="Z42" s="385">
        <f t="shared" si="12"/>
        <v>17.556176975847535</v>
      </c>
      <c r="AA42" s="386">
        <f t="shared" si="13"/>
        <v>18.51622420436944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5.1848974063262568E-2</v>
      </c>
      <c r="AD42" s="231">
        <f>(INDEX(Models!$BJ42:$BT42,,AH42)*(1-AF42)+INDEX(Models!$BJ42:$BT42,,AH42+1)*AF42-ERP_i)*AE42*Ramure*Pc/MaxiM</f>
        <v>1.1471150067018978E-4</v>
      </c>
      <c r="AE42" s="305">
        <f t="shared" si="15"/>
        <v>0.5</v>
      </c>
      <c r="AF42" s="177">
        <f t="shared" si="22"/>
        <v>0.49880218114813923</v>
      </c>
      <c r="AG42" s="811">
        <f t="shared" si="23"/>
        <v>-1</v>
      </c>
      <c r="AH42" s="176">
        <f t="shared" si="16"/>
        <v>5</v>
      </c>
      <c r="AI42" s="225">
        <f t="shared" si="17"/>
        <v>-0.50119781885186077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7">
        <v>14.926</v>
      </c>
      <c r="C43" s="390"/>
      <c r="D43" s="393">
        <f t="shared" si="0"/>
        <v>15.245170579575559</v>
      </c>
      <c r="E43" s="385">
        <f t="shared" si="1"/>
        <v>16.079818262581348</v>
      </c>
      <c r="F43" s="385">
        <f t="shared" si="2"/>
        <v>16.080285384965865</v>
      </c>
      <c r="G43" s="110">
        <f t="shared" si="21"/>
        <v>0.48554591649233619</v>
      </c>
      <c r="H43" s="414" t="b">
        <f>Wh_hp&gt;='2020'!Maxi_hp</f>
        <v>0</v>
      </c>
      <c r="I43" s="380">
        <f>IF(H43,Wh_hp,'2020'!Maxi_hp)</f>
        <v>20.355528257182332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2.093584836650908E-2</v>
      </c>
      <c r="M43" s="845"/>
      <c r="N43" s="845"/>
      <c r="O43" s="48">
        <f>IF(t&lt;Tnet,'2020'!Resal+('2020'!Salim-'2020'!Resal)*(1-EXP(('2020'!Tnet-t)/('2020'!Tau_j))),Resal+(Salim-Resal)*(1-EXP((Tnet-t)/(Tau_j))))*Salcycl</f>
        <v>5.1906537087428414E-2</v>
      </c>
      <c r="P43" s="169">
        <f>(INDEX(Models!$BJ43:$BT43,,T43)*(1-R43)+INDEX(Models!$BJ43:$BT43,,T43+1)*R43-ERP_i)*Q43*Ramure*Pc/MaxiM</f>
        <v>1.0957009934199879E-4</v>
      </c>
      <c r="Q43" s="305">
        <f t="shared" si="4"/>
        <v>0.5</v>
      </c>
      <c r="R43" s="177">
        <f t="shared" si="5"/>
        <v>0.49889028234342447</v>
      </c>
      <c r="S43" s="811">
        <f t="shared" si="6"/>
        <v>-1</v>
      </c>
      <c r="T43" s="176">
        <f t="shared" si="7"/>
        <v>5</v>
      </c>
      <c r="U43" s="251">
        <f t="shared" si="8"/>
        <v>-0.50110971765657553</v>
      </c>
      <c r="V43" s="383">
        <f t="shared" si="9"/>
        <v>30.73818068681846</v>
      </c>
      <c r="W43" s="402"/>
      <c r="X43" s="157">
        <f t="shared" si="10"/>
        <v>44225</v>
      </c>
      <c r="Y43" s="385">
        <f t="shared" si="11"/>
        <v>14.926000000000002</v>
      </c>
      <c r="Z43" s="385">
        <f t="shared" si="12"/>
        <v>15.245170579575561</v>
      </c>
      <c r="AA43" s="386">
        <f t="shared" si="13"/>
        <v>16.079818262581348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5.1906537087428414E-2</v>
      </c>
      <c r="AD43" s="231">
        <f>(INDEX(Models!$BJ43:$BT43,,AH43)*(1-AF43)+INDEX(Models!$BJ43:$BT43,,AH43+1)*AF43-ERP_i)*AE43*Ramure*Pc/MaxiM</f>
        <v>1.0957009934199879E-4</v>
      </c>
      <c r="AE43" s="305">
        <f t="shared" si="15"/>
        <v>0.5</v>
      </c>
      <c r="AF43" s="177">
        <f t="shared" si="22"/>
        <v>0.49889028234342447</v>
      </c>
      <c r="AG43" s="811">
        <f t="shared" si="23"/>
        <v>-1</v>
      </c>
      <c r="AH43" s="176">
        <f t="shared" si="16"/>
        <v>5</v>
      </c>
      <c r="AI43" s="225">
        <f t="shared" si="17"/>
        <v>-0.50110971765657553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7">
        <v>8.6739999999999995</v>
      </c>
      <c r="C44" s="390"/>
      <c r="D44" s="393">
        <f t="shared" si="0"/>
        <v>8.8596747951094308</v>
      </c>
      <c r="E44" s="385">
        <f t="shared" si="1"/>
        <v>9.3452949015511564</v>
      </c>
      <c r="F44" s="385">
        <f t="shared" si="2"/>
        <v>9.3452949015511564</v>
      </c>
      <c r="G44" s="110">
        <f t="shared" si="21"/>
        <v>0.27925805899691225</v>
      </c>
      <c r="H44" s="414" t="b">
        <f>Wh_hp&gt;='2020'!Maxi_hp</f>
        <v>0</v>
      </c>
      <c r="I44" s="380">
        <f>IF(H44,Wh_hp,'2020'!Maxi_hp)</f>
        <v>12.271638358981564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2.0957292384131798E-2</v>
      </c>
      <c r="M44" s="845"/>
      <c r="N44" s="845"/>
      <c r="O44" s="48">
        <f>IF(t&lt;Tnet,'2020'!Resal+('2020'!Salim-'2020'!Resal)*(1-EXP(('2020'!Tnet-t)/('2020'!Tau_j))),Resal+(Salim-Resal)*(1-EXP((Tnet-t)/(Tau_j))))*Salcycl</f>
        <v>5.1964128639869975E-2</v>
      </c>
      <c r="P44" s="169">
        <f>(INDEX(Models!$BJ44:$BT44,,T44)*(1-R44)+INDEX(Models!$BJ44:$BT44,,T44+1)*R44-ERP_i)*Q44*Ramure*Pc/MaxiM</f>
        <v>1.0489000147579723E-4</v>
      </c>
      <c r="Q44" s="305">
        <f t="shared" si="4"/>
        <v>0.5</v>
      </c>
      <c r="R44" s="177">
        <f t="shared" si="5"/>
        <v>0.49898204645641797</v>
      </c>
      <c r="S44" s="811">
        <f t="shared" si="6"/>
        <v>-1</v>
      </c>
      <c r="T44" s="176">
        <f t="shared" si="7"/>
        <v>5</v>
      </c>
      <c r="U44" s="251">
        <f t="shared" si="8"/>
        <v>-0.50101795354358203</v>
      </c>
      <c r="V44" s="383">
        <f t="shared" si="9"/>
        <v>31.057618230538139</v>
      </c>
      <c r="W44" s="402"/>
      <c r="X44" s="157">
        <f t="shared" si="10"/>
        <v>44226</v>
      </c>
      <c r="Y44" s="385">
        <f t="shared" si="11"/>
        <v>8.6739999999999995</v>
      </c>
      <c r="Z44" s="385">
        <f t="shared" si="12"/>
        <v>8.8596747951094308</v>
      </c>
      <c r="AA44" s="386">
        <f t="shared" si="13"/>
        <v>9.3452949015511564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5.1964128639869975E-2</v>
      </c>
      <c r="AD44" s="231">
        <f>(INDEX(Models!$BJ44:$BT44,,AH44)*(1-AF44)+INDEX(Models!$BJ44:$BT44,,AH44+1)*AF44-ERP_i)*AE44*Ramure*Pc/MaxiM</f>
        <v>1.0489000147579723E-4</v>
      </c>
      <c r="AE44" s="305">
        <f t="shared" si="15"/>
        <v>0.5</v>
      </c>
      <c r="AF44" s="177">
        <f t="shared" si="22"/>
        <v>0.49898204645641797</v>
      </c>
      <c r="AG44" s="811">
        <f t="shared" si="23"/>
        <v>-1</v>
      </c>
      <c r="AH44" s="176">
        <f t="shared" si="16"/>
        <v>5</v>
      </c>
      <c r="AI44" s="225">
        <f t="shared" si="17"/>
        <v>-0.50101795354358203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7">
        <v>8.3119999999999994</v>
      </c>
      <c r="C45" s="390"/>
      <c r="D45" s="393">
        <f t="shared" si="0"/>
        <v>8.4901118137749787</v>
      </c>
      <c r="E45" s="385">
        <f t="shared" si="1"/>
        <v>8.9560196072979412</v>
      </c>
      <c r="F45" s="385">
        <f t="shared" si="2"/>
        <v>8.9560196072979412</v>
      </c>
      <c r="G45" s="110">
        <f t="shared" si="21"/>
        <v>0.26486569137418714</v>
      </c>
      <c r="H45" s="414" t="b">
        <f>Wh_hp&gt;='2020'!Maxi_hp</f>
        <v>0</v>
      </c>
      <c r="I45" s="380">
        <f>IF(H45,Wh_hp,'2020'!Maxi_hp)</f>
        <v>23.585730416186674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2.0978735932075443E-2</v>
      </c>
      <c r="M45" s="845"/>
      <c r="N45" s="845"/>
      <c r="O45" s="48">
        <f>IF(t&lt;Tnet,'2020'!Resal+('2020'!Salim-'2020'!Resal)*(1-EXP(('2020'!Tnet-t)/('2020'!Tau_j))),Resal+(Salim-Resal)*(1-EXP((Tnet-t)/(Tau_j))))*Salcycl</f>
        <v>5.2021747824592769E-2</v>
      </c>
      <c r="P45" s="169">
        <f>(INDEX(Models!$BJ45:$BT45,,T45)*(1-R45)+INDEX(Models!$BJ45:$BT45,,T45+1)*R45-ERP_i)*Q45*Ramure*Pc/MaxiM</f>
        <v>1.0060587615473691E-4</v>
      </c>
      <c r="Q45" s="305">
        <f t="shared" si="4"/>
        <v>0.5</v>
      </c>
      <c r="R45" s="177">
        <f t="shared" si="5"/>
        <v>0.49907762433784808</v>
      </c>
      <c r="S45" s="811">
        <f t="shared" si="6"/>
        <v>-1</v>
      </c>
      <c r="T45" s="176">
        <f t="shared" si="7"/>
        <v>5</v>
      </c>
      <c r="U45" s="251">
        <f t="shared" si="8"/>
        <v>-0.50092237566215192</v>
      </c>
      <c r="V45" s="383">
        <f t="shared" si="9"/>
        <v>31.378785681290307</v>
      </c>
      <c r="W45" s="402"/>
      <c r="X45" s="157">
        <f t="shared" si="10"/>
        <v>44227</v>
      </c>
      <c r="Y45" s="385">
        <f t="shared" si="11"/>
        <v>8.3119999999999994</v>
      </c>
      <c r="Z45" s="385">
        <f t="shared" si="12"/>
        <v>8.4901118137749787</v>
      </c>
      <c r="AA45" s="386">
        <f t="shared" si="13"/>
        <v>8.9560196072979412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5.2021747824592769E-2</v>
      </c>
      <c r="AD45" s="231">
        <f>(INDEX(Models!$BJ45:$BT45,,AH45)*(1-AF45)+INDEX(Models!$BJ45:$BT45,,AH45+1)*AF45-ERP_i)*AE45*Ramure*Pc/MaxiM</f>
        <v>1.0060587615473691E-4</v>
      </c>
      <c r="AE45" s="305">
        <f t="shared" si="15"/>
        <v>0.5</v>
      </c>
      <c r="AF45" s="177">
        <f t="shared" si="22"/>
        <v>0.49907762433784808</v>
      </c>
      <c r="AG45" s="811">
        <f t="shared" si="23"/>
        <v>-1</v>
      </c>
      <c r="AH45" s="176">
        <f t="shared" si="16"/>
        <v>5</v>
      </c>
      <c r="AI45" s="225">
        <f t="shared" si="17"/>
        <v>-0.50092237566215192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7">
        <v>7.59</v>
      </c>
      <c r="C46" s="390"/>
      <c r="D46" s="393">
        <f t="shared" si="0"/>
        <v>7.752810406367014</v>
      </c>
      <c r="E46" s="385">
        <f t="shared" si="1"/>
        <v>8.178755003896077</v>
      </c>
      <c r="F46" s="385">
        <f t="shared" si="2"/>
        <v>8.178755003896077</v>
      </c>
      <c r="G46" s="110">
        <f t="shared" si="21"/>
        <v>0.2394038383281927</v>
      </c>
      <c r="H46" s="414" t="b">
        <f>Wh_hp&gt;='2020'!Maxi_hp</f>
        <v>0</v>
      </c>
      <c r="I46" s="380">
        <f>IF(H46,Wh_hp,'2020'!Maxi_hp)</f>
        <v>27.944973498874095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2.1000179010350339E-2</v>
      </c>
      <c r="M46" s="845"/>
      <c r="N46" s="845"/>
      <c r="O46" s="48">
        <f>IF(t&lt;Tnet,'2020'!Resal+('2020'!Salim-'2020'!Resal)*(1-EXP(('2020'!Tnet-t)/('2020'!Tau_j))),Resal+(Salim-Resal)*(1-EXP((Tnet-t)/(Tau_j))))*Salcycl</f>
        <v>5.2079393174897286E-2</v>
      </c>
      <c r="P46" s="169">
        <f>(INDEX(Models!$BJ46:$BT46,,T46)*(1-R46)+INDEX(Models!$BJ46:$BT46,,T46+1)*R46-ERP_i)*Q46*Ramure*Pc/MaxiM</f>
        <v>9.6709401908680814E-5</v>
      </c>
      <c r="Q46" s="305">
        <f t="shared" si="4"/>
        <v>0.5</v>
      </c>
      <c r="R46" s="177">
        <f t="shared" si="5"/>
        <v>0.49917717292828856</v>
      </c>
      <c r="S46" s="811">
        <f t="shared" si="6"/>
        <v>-1</v>
      </c>
      <c r="T46" s="176">
        <f t="shared" si="7"/>
        <v>5</v>
      </c>
      <c r="U46" s="251">
        <f t="shared" si="8"/>
        <v>-0.50082282707171144</v>
      </c>
      <c r="V46" s="383">
        <f t="shared" si="9"/>
        <v>31.700686290733479</v>
      </c>
      <c r="W46" s="402"/>
      <c r="X46" s="157">
        <f t="shared" si="10"/>
        <v>44228</v>
      </c>
      <c r="Y46" s="385">
        <f t="shared" si="11"/>
        <v>7.5900000000000007</v>
      </c>
      <c r="Z46" s="385">
        <f t="shared" si="12"/>
        <v>7.7528104063670149</v>
      </c>
      <c r="AA46" s="386">
        <f t="shared" si="13"/>
        <v>8.178755003896077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5.2079393174897286E-2</v>
      </c>
      <c r="AD46" s="231">
        <f>(INDEX(Models!$BJ46:$BT46,,AH46)*(1-AF46)+INDEX(Models!$BJ46:$BT46,,AH46+1)*AF46-ERP_i)*AE46*Ramure*Pc/MaxiM</f>
        <v>9.6709401908680814E-5</v>
      </c>
      <c r="AE46" s="305">
        <f t="shared" si="15"/>
        <v>0.5</v>
      </c>
      <c r="AF46" s="177">
        <f t="shared" si="22"/>
        <v>0.49917717292828856</v>
      </c>
      <c r="AG46" s="811">
        <f t="shared" si="23"/>
        <v>-1</v>
      </c>
      <c r="AH46" s="176">
        <f t="shared" si="16"/>
        <v>5</v>
      </c>
      <c r="AI46" s="225">
        <f t="shared" si="17"/>
        <v>-0.50082282707171144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7">
        <v>27.341000000000001</v>
      </c>
      <c r="C47" s="390"/>
      <c r="D47" s="393">
        <f t="shared" si="0"/>
        <v>27.928093820840719</v>
      </c>
      <c r="E47" s="385">
        <f t="shared" si="1"/>
        <v>29.464274549071082</v>
      </c>
      <c r="F47" s="385">
        <f t="shared" si="2"/>
        <v>29.466447098882323</v>
      </c>
      <c r="G47" s="110">
        <f t="shared" si="21"/>
        <v>0.85379400102113912</v>
      </c>
      <c r="H47" s="414" t="b">
        <f>Wh_hp&gt;='2020'!Maxi_hp</f>
        <v>0</v>
      </c>
      <c r="I47" s="380">
        <f>IF(H47,Wh_hp,'2020'!Maxi_hp)</f>
        <v>29.540538398179784</v>
      </c>
      <c r="J47" s="85">
        <f>IF(H47,An,'2020'!An_max)</f>
        <v>2020</v>
      </c>
      <c r="K47" s="197">
        <f t="shared" si="3"/>
        <v>44229</v>
      </c>
      <c r="L47" s="147">
        <f>IF(t&lt;Tvie,1-EXP((T0-t)*PertePVj)+'2020'!Pspv,1-EXP((T0-t)*PertePVj)+Pspv)</f>
        <v>2.1021621618966813E-2</v>
      </c>
      <c r="M47" s="845"/>
      <c r="N47" s="845"/>
      <c r="O47" s="48">
        <f>IF(t&lt;Tnet,'2020'!Resal+('2020'!Salim-'2020'!Resal)*(1-EXP(('2020'!Tnet-t)/('2020'!Tau_j))),Resal+(Salim-Resal)*(1-EXP((Tnet-t)/(Tau_j))))*Salcycl</f>
        <v>5.2137062654366163E-2</v>
      </c>
      <c r="P47" s="169">
        <f>(INDEX(Models!$BJ47:$BT47,,T47)*(1-R47)+INDEX(Models!$BJ47:$BT47,,T47+1)*R47-ERP_i)*Q47*Ramure*Pc/MaxiM</f>
        <v>9.319202079842033E-5</v>
      </c>
      <c r="Q47" s="305">
        <f t="shared" si="4"/>
        <v>0.5</v>
      </c>
      <c r="R47" s="177">
        <f t="shared" si="5"/>
        <v>0.4992808554935334</v>
      </c>
      <c r="S47" s="811">
        <f t="shared" si="6"/>
        <v>-1</v>
      </c>
      <c r="T47" s="176">
        <f t="shared" si="7"/>
        <v>5</v>
      </c>
      <c r="U47" s="251">
        <f t="shared" si="8"/>
        <v>-0.5007191445064666</v>
      </c>
      <c r="V47" s="383">
        <f t="shared" si="9"/>
        <v>32.02232365938179</v>
      </c>
      <c r="W47" s="402"/>
      <c r="X47" s="157">
        <f t="shared" si="10"/>
        <v>44229</v>
      </c>
      <c r="Y47" s="385">
        <f t="shared" si="11"/>
        <v>27.341000000000001</v>
      </c>
      <c r="Z47" s="385">
        <f t="shared" si="12"/>
        <v>27.928093820840719</v>
      </c>
      <c r="AA47" s="386">
        <f t="shared" si="13"/>
        <v>29.464274549071082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5.2137062654366163E-2</v>
      </c>
      <c r="AD47" s="231">
        <f>(INDEX(Models!$BJ47:$BT47,,AH47)*(1-AF47)+INDEX(Models!$BJ47:$BT47,,AH47+1)*AF47-ERP_i)*AE47*Ramure*Pc/MaxiM</f>
        <v>9.319202079842033E-5</v>
      </c>
      <c r="AE47" s="305">
        <f t="shared" si="15"/>
        <v>0.5</v>
      </c>
      <c r="AF47" s="177">
        <f t="shared" si="22"/>
        <v>0.4992808554935334</v>
      </c>
      <c r="AG47" s="811">
        <f t="shared" si="23"/>
        <v>-1</v>
      </c>
      <c r="AH47" s="176">
        <f t="shared" si="16"/>
        <v>5</v>
      </c>
      <c r="AI47" s="225">
        <f t="shared" si="17"/>
        <v>-0.5007191445064666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7">
        <v>21.579000000000001</v>
      </c>
      <c r="C48" s="390"/>
      <c r="D48" s="393">
        <f t="shared" si="0"/>
        <v>22.042849078566825</v>
      </c>
      <c r="E48" s="385">
        <f t="shared" si="1"/>
        <v>23.256728282377274</v>
      </c>
      <c r="F48" s="385">
        <f t="shared" si="2"/>
        <v>23.257826862843825</v>
      </c>
      <c r="G48" s="110">
        <f t="shared" si="21"/>
        <v>0.66716987122581539</v>
      </c>
      <c r="H48" s="414" t="b">
        <f>Wh_hp&gt;='2020'!Maxi_hp</f>
        <v>0</v>
      </c>
      <c r="I48" s="380">
        <f>IF(H48,Wh_hp,'2020'!Maxi_hp)</f>
        <v>27.40840746637317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2.1043063757935188E-2</v>
      </c>
      <c r="M48" s="845"/>
      <c r="N48" s="845"/>
      <c r="O48" s="48">
        <f>IF(t&lt;Tnet,'2020'!Resal+('2020'!Salim-'2020'!Resal)*(1-EXP(('2020'!Tnet-t)/('2020'!Tau_j))),Resal+(Salim-Resal)*(1-EXP((Tnet-t)/(Tau_j))))*Salcycl</f>
        <v>5.219475366749092E-2</v>
      </c>
      <c r="P48" s="169">
        <f>(INDEX(Models!$BJ48:$BT48,,T48)*(1-R48)+INDEX(Models!$BJ48:$BT48,,T48+1)*R48-ERP_i)*Q48*Ramure*Pc/MaxiM</f>
        <v>9.0045073604408263E-5</v>
      </c>
      <c r="Q48" s="305">
        <f t="shared" si="4"/>
        <v>0.5</v>
      </c>
      <c r="R48" s="177">
        <f t="shared" si="5"/>
        <v>0.49938884186816634</v>
      </c>
      <c r="S48" s="811">
        <f t="shared" si="6"/>
        <v>-1</v>
      </c>
      <c r="T48" s="176">
        <f t="shared" si="7"/>
        <v>5</v>
      </c>
      <c r="U48" s="251">
        <f t="shared" si="8"/>
        <v>-0.50061115813183366</v>
      </c>
      <c r="V48" s="383">
        <f t="shared" si="9"/>
        <v>32.34270174006506</v>
      </c>
      <c r="W48" s="402"/>
      <c r="X48" s="157">
        <f t="shared" si="10"/>
        <v>44230</v>
      </c>
      <c r="Y48" s="385">
        <f t="shared" si="11"/>
        <v>21.579000000000001</v>
      </c>
      <c r="Z48" s="385">
        <f t="shared" si="12"/>
        <v>22.042849078566825</v>
      </c>
      <c r="AA48" s="386">
        <f t="shared" si="13"/>
        <v>23.256728282377274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5.219475366749092E-2</v>
      </c>
      <c r="AD48" s="231">
        <f>(INDEX(Models!$BJ48:$BT48,,AH48)*(1-AF48)+INDEX(Models!$BJ48:$BT48,,AH48+1)*AF48-ERP_i)*AE48*Ramure*Pc/MaxiM</f>
        <v>9.0045073604408263E-5</v>
      </c>
      <c r="AE48" s="305">
        <f t="shared" si="15"/>
        <v>0.5</v>
      </c>
      <c r="AF48" s="177">
        <f t="shared" si="22"/>
        <v>0.49938884186816634</v>
      </c>
      <c r="AG48" s="811">
        <f t="shared" si="23"/>
        <v>-1</v>
      </c>
      <c r="AH48" s="176">
        <f t="shared" si="16"/>
        <v>5</v>
      </c>
      <c r="AI48" s="225">
        <f t="shared" si="17"/>
        <v>-0.50061115813183366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7">
        <v>15.777000000000001</v>
      </c>
      <c r="C49" s="390"/>
      <c r="D49" s="393">
        <f t="shared" si="0"/>
        <v>16.116485802658552</v>
      </c>
      <c r="E49" s="385">
        <f t="shared" si="1"/>
        <v>17.00504108407215</v>
      </c>
      <c r="F49" s="385">
        <f t="shared" si="2"/>
        <v>17.005429134175404</v>
      </c>
      <c r="G49" s="110">
        <f t="shared" si="21"/>
        <v>0.48302464417439533</v>
      </c>
      <c r="H49" s="414" t="b">
        <f>Wh_hp&gt;='2020'!Maxi_hp</f>
        <v>0</v>
      </c>
      <c r="I49" s="380">
        <f>IF(H49,Wh_hp,'2020'!Maxi_hp)</f>
        <v>27.911356460515268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2.1064505427265567E-2</v>
      </c>
      <c r="M49" s="845"/>
      <c r="N49" s="845"/>
      <c r="O49" s="48">
        <f>IF(t&lt;Tnet,'2020'!Resal+('2020'!Salim-'2020'!Resal)*(1-EXP(('2020'!Tnet-t)/('2020'!Tau_j))),Resal+(Salim-Resal)*(1-EXP((Tnet-t)/(Tau_j))))*Salcycl</f>
        <v>5.2252463079661055E-2</v>
      </c>
      <c r="P49" s="169">
        <f>(INDEX(Models!$BJ49:$BT49,,T49)*(1-R49)+INDEX(Models!$BJ49:$BT49,,T49+1)*R49-ERP_i)*Q49*Ramure*Pc/MaxiM</f>
        <v>8.7259921291436287E-5</v>
      </c>
      <c r="Q49" s="305">
        <f t="shared" si="4"/>
        <v>0.5</v>
      </c>
      <c r="R49" s="177">
        <f t="shared" si="5"/>
        <v>0.4995013087075324</v>
      </c>
      <c r="S49" s="811">
        <f t="shared" si="6"/>
        <v>-1</v>
      </c>
      <c r="T49" s="176">
        <f t="shared" si="7"/>
        <v>5</v>
      </c>
      <c r="U49" s="251">
        <f t="shared" si="8"/>
        <v>-0.5004986912924676</v>
      </c>
      <c r="V49" s="383">
        <f t="shared" si="9"/>
        <v>32.660824837069917</v>
      </c>
      <c r="W49" s="402"/>
      <c r="X49" s="157">
        <f t="shared" si="10"/>
        <v>44231</v>
      </c>
      <c r="Y49" s="385">
        <f t="shared" si="11"/>
        <v>15.777000000000003</v>
      </c>
      <c r="Z49" s="385">
        <f t="shared" si="12"/>
        <v>16.116485802658552</v>
      </c>
      <c r="AA49" s="386">
        <f t="shared" si="13"/>
        <v>17.00504108407215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5.2252463079661055E-2</v>
      </c>
      <c r="AD49" s="231">
        <f>(INDEX(Models!$BJ49:$BT49,,AH49)*(1-AF49)+INDEX(Models!$BJ49:$BT49,,AH49+1)*AF49-ERP_i)*AE49*Ramure*Pc/MaxiM</f>
        <v>8.7259921291436287E-5</v>
      </c>
      <c r="AE49" s="305">
        <f t="shared" si="15"/>
        <v>0.5</v>
      </c>
      <c r="AF49" s="177">
        <f t="shared" si="22"/>
        <v>0.4995013087075324</v>
      </c>
      <c r="AG49" s="811">
        <f t="shared" si="23"/>
        <v>-1</v>
      </c>
      <c r="AH49" s="176">
        <f t="shared" si="16"/>
        <v>5</v>
      </c>
      <c r="AI49" s="225">
        <f t="shared" si="17"/>
        <v>-0.5004986912924676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7">
        <v>13.525</v>
      </c>
      <c r="C50" s="390"/>
      <c r="D50" s="393">
        <f t="shared" si="0"/>
        <v>13.81633040551117</v>
      </c>
      <c r="E50" s="385">
        <f t="shared" si="1"/>
        <v>14.578958451988481</v>
      </c>
      <c r="F50" s="385">
        <f t="shared" si="2"/>
        <v>14.579153059843964</v>
      </c>
      <c r="G50" s="110">
        <f t="shared" si="21"/>
        <v>0.41012121670384977</v>
      </c>
      <c r="H50" s="414" t="b">
        <f>Wh_hp&gt;='2020'!Maxi_hp</f>
        <v>0</v>
      </c>
      <c r="I50" s="380">
        <f>IF(H50,Wh_hp,'2020'!Maxi_hp)</f>
        <v>35.533389786711119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2.1085946626968499E-2</v>
      </c>
      <c r="M50" s="845"/>
      <c r="N50" s="845"/>
      <c r="O50" s="48">
        <f>IF(t&lt;Tnet,'2020'!Resal+('2020'!Salim-'2020'!Resal)*(1-EXP(('2020'!Tnet-t)/('2020'!Tau_j))),Resal+(Salim-Resal)*(1-EXP((Tnet-t)/(Tau_j))))*Salcycl</f>
        <v>5.2310187246146667E-2</v>
      </c>
      <c r="P50" s="169">
        <f>(INDEX(Models!$BJ50:$BT50,,T50)*(1-R50)+INDEX(Models!$BJ50:$BT50,,T50+1)*R50-ERP_i)*Q50*Ramure*Pc/MaxiM</f>
        <v>8.482805366690864E-5</v>
      </c>
      <c r="Q50" s="305">
        <f t="shared" si="4"/>
        <v>0.5</v>
      </c>
      <c r="R50" s="177">
        <f t="shared" si="5"/>
        <v>0.49961843974831321</v>
      </c>
      <c r="S50" s="811">
        <f t="shared" si="6"/>
        <v>-1</v>
      </c>
      <c r="T50" s="176">
        <f t="shared" si="7"/>
        <v>5</v>
      </c>
      <c r="U50" s="251">
        <f t="shared" si="8"/>
        <v>-0.50038156025168679</v>
      </c>
      <c r="V50" s="383">
        <f t="shared" si="9"/>
        <v>32.975697607155951</v>
      </c>
      <c r="W50" s="402"/>
      <c r="X50" s="157">
        <f t="shared" si="10"/>
        <v>44232</v>
      </c>
      <c r="Y50" s="385">
        <f t="shared" si="11"/>
        <v>13.525</v>
      </c>
      <c r="Z50" s="385">
        <f t="shared" si="12"/>
        <v>13.81633040551117</v>
      </c>
      <c r="AA50" s="386">
        <f t="shared" si="13"/>
        <v>14.578958451988481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5.2310187246146667E-2</v>
      </c>
      <c r="AD50" s="231">
        <f>(INDEX(Models!$BJ50:$BT50,,AH50)*(1-AF50)+INDEX(Models!$BJ50:$BT50,,AH50+1)*AF50-ERP_i)*AE50*Ramure*Pc/MaxiM</f>
        <v>8.482805366690864E-5</v>
      </c>
      <c r="AE50" s="305">
        <f t="shared" si="15"/>
        <v>0.5</v>
      </c>
      <c r="AF50" s="177">
        <f t="shared" si="22"/>
        <v>0.49961843974831321</v>
      </c>
      <c r="AG50" s="811">
        <f t="shared" si="23"/>
        <v>-1</v>
      </c>
      <c r="AH50" s="176">
        <f t="shared" si="16"/>
        <v>5</v>
      </c>
      <c r="AI50" s="225">
        <f t="shared" si="17"/>
        <v>-0.50038156025168679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7">
        <v>9.7729999999999997</v>
      </c>
      <c r="C51" s="390"/>
      <c r="D51" s="393">
        <f t="shared" si="0"/>
        <v>9.9837304662189048</v>
      </c>
      <c r="E51" s="385">
        <f t="shared" si="1"/>
        <v>10.535450095581988</v>
      </c>
      <c r="F51" s="385">
        <f t="shared" si="2"/>
        <v>10.535450095581988</v>
      </c>
      <c r="G51" s="110">
        <f t="shared" si="21"/>
        <v>0.29356161084271681</v>
      </c>
      <c r="H51" s="414" t="b">
        <f>Wh_hp&gt;='2020'!Maxi_hp</f>
        <v>0</v>
      </c>
      <c r="I51" s="380">
        <f>IF(H51,Wh_hp,'2020'!Maxi_hp)</f>
        <v>37.103452774243969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2.1107387357054086E-2</v>
      </c>
      <c r="M51" s="845"/>
      <c r="N51" s="845"/>
      <c r="O51" s="48">
        <f>IF(t&lt;Tnet,'2020'!Resal+('2020'!Salim-'2020'!Resal)*(1-EXP(('2020'!Tnet-t)/('2020'!Tau_j))),Resal+(Salim-Resal)*(1-EXP((Tnet-t)/(Tau_j))))*Salcycl</f>
        <v>5.2367922049618348E-2</v>
      </c>
      <c r="P51" s="169">
        <f>(INDEX(Models!$BJ51:$BT51,,T51)*(1-R51)+INDEX(Models!$BJ51:$BT51,,T51+1)*R51-ERP_i)*Q51*Ramure*Pc/MaxiM</f>
        <v>8.2736070821908331E-5</v>
      </c>
      <c r="Q51" s="305">
        <f t="shared" si="4"/>
        <v>0.5</v>
      </c>
      <c r="R51" s="177">
        <f t="shared" si="5"/>
        <v>0.49974042607790736</v>
      </c>
      <c r="S51" s="811">
        <f t="shared" si="6"/>
        <v>-1</v>
      </c>
      <c r="T51" s="176">
        <f t="shared" si="7"/>
        <v>5</v>
      </c>
      <c r="U51" s="251">
        <f t="shared" si="8"/>
        <v>-0.50025957392209264</v>
      </c>
      <c r="V51" s="383">
        <f t="shared" si="9"/>
        <v>33.288383288016369</v>
      </c>
      <c r="W51" s="402"/>
      <c r="X51" s="157">
        <f t="shared" si="10"/>
        <v>44233</v>
      </c>
      <c r="Y51" s="385">
        <f t="shared" si="11"/>
        <v>9.7729999999999997</v>
      </c>
      <c r="Z51" s="385">
        <f t="shared" si="12"/>
        <v>9.9837304662189048</v>
      </c>
      <c r="AA51" s="386">
        <f t="shared" si="13"/>
        <v>10.535450095581988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5.2367922049618348E-2</v>
      </c>
      <c r="AD51" s="231">
        <f>(INDEX(Models!$BJ51:$BT51,,AH51)*(1-AF51)+INDEX(Models!$BJ51:$BT51,,AH51+1)*AF51-ERP_i)*AE51*Ramure*Pc/MaxiM</f>
        <v>8.2736070821908331E-5</v>
      </c>
      <c r="AE51" s="305">
        <f t="shared" si="15"/>
        <v>0.5</v>
      </c>
      <c r="AF51" s="177">
        <f t="shared" si="22"/>
        <v>0.49974042607790736</v>
      </c>
      <c r="AG51" s="811">
        <f t="shared" si="23"/>
        <v>-1</v>
      </c>
      <c r="AH51" s="176">
        <f t="shared" si="16"/>
        <v>5</v>
      </c>
      <c r="AI51" s="225">
        <f t="shared" si="17"/>
        <v>-0.50025957392209264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7">
        <v>18.451000000000001</v>
      </c>
      <c r="C52" s="390"/>
      <c r="D52" s="393">
        <f t="shared" si="0"/>
        <v>18.849262824945846</v>
      </c>
      <c r="E52" s="385">
        <f t="shared" si="1"/>
        <v>19.892120425655918</v>
      </c>
      <c r="F52" s="385">
        <f t="shared" si="2"/>
        <v>19.8926955538609</v>
      </c>
      <c r="G52" s="110">
        <f t="shared" si="21"/>
        <v>0.54909619998691073</v>
      </c>
      <c r="H52" s="414" t="b">
        <f>Wh_hp&gt;='2020'!Maxi_hp</f>
        <v>0</v>
      </c>
      <c r="I52" s="380">
        <f>IF(H52,Wh_hp,'2020'!Maxi_hp)</f>
        <v>25.358898167859724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2.1128827617532542E-2</v>
      </c>
      <c r="M52" s="845"/>
      <c r="N52" s="845"/>
      <c r="O52" s="48">
        <f>IF(t&lt;Tnet,'2020'!Resal+('2020'!Salim-'2020'!Resal)*(1-EXP(('2020'!Tnet-t)/('2020'!Tau_j))),Resal+(Salim-Resal)*(1-EXP((Tnet-t)/(Tau_j))))*Salcycl</f>
        <v>5.2425662945667792E-2</v>
      </c>
      <c r="P52" s="169">
        <f>(INDEX(Models!$BJ52:$BT52,,T52)*(1-R52)+INDEX(Models!$BJ52:$BT52,,T52+1)*R52-ERP_i)*Q52*Ramure*Pc/MaxiM</f>
        <v>8.1236625341655756E-5</v>
      </c>
      <c r="Q52" s="305">
        <f t="shared" si="4"/>
        <v>0.5</v>
      </c>
      <c r="R52" s="177">
        <f t="shared" si="5"/>
        <v>0.49986746641280877</v>
      </c>
      <c r="S52" s="811">
        <f t="shared" si="6"/>
        <v>-1</v>
      </c>
      <c r="T52" s="176">
        <f t="shared" si="7"/>
        <v>5</v>
      </c>
      <c r="U52" s="251">
        <f t="shared" si="8"/>
        <v>-0.50013253358719123</v>
      </c>
      <c r="V52" s="383">
        <f t="shared" si="9"/>
        <v>33.600732480277969</v>
      </c>
      <c r="W52" s="402"/>
      <c r="X52" s="157">
        <f t="shared" si="10"/>
        <v>44234</v>
      </c>
      <c r="Y52" s="385">
        <f t="shared" si="11"/>
        <v>18.451000000000001</v>
      </c>
      <c r="Z52" s="385">
        <f t="shared" si="12"/>
        <v>18.849262824945846</v>
      </c>
      <c r="AA52" s="386">
        <f t="shared" si="13"/>
        <v>19.892120425655918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5.2425662945667792E-2</v>
      </c>
      <c r="AD52" s="231">
        <f>(INDEX(Models!$BJ52:$BT52,,AH52)*(1-AF52)+INDEX(Models!$BJ52:$BT52,,AH52+1)*AF52-ERP_i)*AE52*Ramure*Pc/MaxiM</f>
        <v>8.1236625341655756E-5</v>
      </c>
      <c r="AE52" s="305">
        <f t="shared" si="15"/>
        <v>0.5</v>
      </c>
      <c r="AF52" s="177">
        <f t="shared" si="22"/>
        <v>0.49986746641280877</v>
      </c>
      <c r="AG52" s="811">
        <f t="shared" si="23"/>
        <v>-1</v>
      </c>
      <c r="AH52" s="176">
        <f t="shared" si="16"/>
        <v>5</v>
      </c>
      <c r="AI52" s="225">
        <f t="shared" si="17"/>
        <v>-0.50013253358719123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7">
        <v>4.6349999999999998</v>
      </c>
      <c r="C53" s="390"/>
      <c r="D53" s="393">
        <f t="shared" si="0"/>
        <v>4.735149681993021</v>
      </c>
      <c r="E53" s="385">
        <f t="shared" si="1"/>
        <v>4.9974319257928981</v>
      </c>
      <c r="F53" s="385">
        <f t="shared" si="2"/>
        <v>4.9974319257928981</v>
      </c>
      <c r="G53" s="110">
        <f t="shared" si="21"/>
        <v>0.13666249888676851</v>
      </c>
      <c r="H53" s="414" t="b">
        <f>Wh_hp&gt;='2020'!Maxi_hp</f>
        <v>0</v>
      </c>
      <c r="I53" s="380">
        <f>IF(H53,Wh_hp,'2020'!Maxi_hp)</f>
        <v>31.189855775222124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2.1150267408414414E-2</v>
      </c>
      <c r="M53" s="845"/>
      <c r="N53" s="845"/>
      <c r="O53" s="48">
        <f>IF(t&lt;Tnet,'2020'!Resal+('2020'!Salim-'2020'!Resal)*(1-EXP(('2020'!Tnet-t)/('2020'!Tau_j))),Resal+(Salim-Resal)*(1-EXP((Tnet-t)/(Tau_j))))*Salcycl</f>
        <v>5.2483405015719707E-2</v>
      </c>
      <c r="P53" s="169">
        <f>(INDEX(Models!$BJ53:$BT53,,T53)*(1-R53)+INDEX(Models!$BJ53:$BT53,,T53+1)*R53-ERP_i)*Q53*Ramure*Pc/MaxiM</f>
        <v>8.0184375094192689E-5</v>
      </c>
      <c r="Q53" s="305">
        <f t="shared" si="4"/>
        <v>0.5</v>
      </c>
      <c r="R53" s="177">
        <f t="shared" si="5"/>
        <v>0.49999976738617502</v>
      </c>
      <c r="S53" s="811">
        <f t="shared" si="6"/>
        <v>-1</v>
      </c>
      <c r="T53" s="176">
        <f t="shared" si="7"/>
        <v>5</v>
      </c>
      <c r="U53" s="251">
        <f t="shared" si="8"/>
        <v>-0.50000023261382498</v>
      </c>
      <c r="V53" s="383">
        <f t="shared" si="9"/>
        <v>33.912948930206909</v>
      </c>
      <c r="W53" s="402"/>
      <c r="X53" s="157">
        <f t="shared" si="10"/>
        <v>44235</v>
      </c>
      <c r="Y53" s="385">
        <f t="shared" si="11"/>
        <v>4.6349999999999998</v>
      </c>
      <c r="Z53" s="385">
        <f t="shared" si="12"/>
        <v>4.735149681993021</v>
      </c>
      <c r="AA53" s="386">
        <f t="shared" si="13"/>
        <v>4.9974319257928981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5.2483405015719707E-2</v>
      </c>
      <c r="AD53" s="231">
        <f>(INDEX(Models!$BJ53:$BT53,,AH53)*(1-AF53)+INDEX(Models!$BJ53:$BT53,,AH53+1)*AF53-ERP_i)*AE53*Ramure*Pc/MaxiM</f>
        <v>8.0184375094192689E-5</v>
      </c>
      <c r="AE53" s="305">
        <f t="shared" si="15"/>
        <v>0.5</v>
      </c>
      <c r="AF53" s="177">
        <f t="shared" si="22"/>
        <v>0.49999976738617502</v>
      </c>
      <c r="AG53" s="811">
        <f t="shared" si="23"/>
        <v>-1</v>
      </c>
      <c r="AH53" s="176">
        <f t="shared" si="16"/>
        <v>5</v>
      </c>
      <c r="AI53" s="225">
        <f t="shared" si="17"/>
        <v>-0.50000023261382498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7">
        <v>12.448</v>
      </c>
      <c r="C54" s="390"/>
      <c r="D54" s="393">
        <f t="shared" si="0"/>
        <v>12.717245798454513</v>
      </c>
      <c r="E54" s="385">
        <f t="shared" si="1"/>
        <v>13.422478142301381</v>
      </c>
      <c r="F54" s="385">
        <f t="shared" si="2"/>
        <v>13.422575341976998</v>
      </c>
      <c r="G54" s="110">
        <f t="shared" si="21"/>
        <v>0.3636819670983984</v>
      </c>
      <c r="H54" s="414" t="b">
        <f>Wh_hp&gt;='2020'!Maxi_hp</f>
        <v>0</v>
      </c>
      <c r="I54" s="380">
        <f>IF(H54,Wh_hp,'2020'!Maxi_hp)</f>
        <v>30.02186446236923</v>
      </c>
      <c r="J54" s="85">
        <f>IF(H54,An,'2020'!An_max)</f>
        <v>2020</v>
      </c>
      <c r="K54" s="197">
        <f t="shared" si="3"/>
        <v>44236</v>
      </c>
      <c r="L54" s="147">
        <f>IF(t&lt;Tvie,1-EXP((T0-t)*PertePVj)+'2020'!Pspv,1-EXP((T0-t)*PertePVj)+Pspv)</f>
        <v>2.1171706729709805E-2</v>
      </c>
      <c r="M54" s="845"/>
      <c r="N54" s="845"/>
      <c r="O54" s="48">
        <f>IF(t&lt;Tnet,'2020'!Resal+('2020'!Salim-'2020'!Resal)*(1-EXP(('2020'!Tnet-t)/('2020'!Tau_j))),Resal+(Salim-Resal)*(1-EXP((Tnet-t)/(Tau_j))))*Salcycl</f>
        <v>5.2541143026659423E-2</v>
      </c>
      <c r="P54" s="169">
        <f>(INDEX(Models!$BJ54:$BT54,,T54)*(1-R54)+INDEX(Models!$BJ54:$BT54,,T54+1)*R54-ERP_i)*Q54*Ramure*Pc/MaxiM</f>
        <v>7.9566668789048803E-5</v>
      </c>
      <c r="Q54" s="305">
        <f t="shared" si="4"/>
        <v>0.5</v>
      </c>
      <c r="R54" s="177">
        <f t="shared" si="5"/>
        <v>0.50013754384476616</v>
      </c>
      <c r="S54" s="811">
        <f t="shared" si="6"/>
        <v>-1</v>
      </c>
      <c r="T54" s="176">
        <f t="shared" si="7"/>
        <v>5</v>
      </c>
      <c r="U54" s="251">
        <f t="shared" si="8"/>
        <v>-0.49986245615523378</v>
      </c>
      <c r="V54" s="383">
        <f t="shared" si="9"/>
        <v>34.225231977204118</v>
      </c>
      <c r="W54" s="402"/>
      <c r="X54" s="157">
        <f t="shared" si="10"/>
        <v>44236</v>
      </c>
      <c r="Y54" s="385">
        <f t="shared" si="11"/>
        <v>12.448</v>
      </c>
      <c r="Z54" s="385">
        <f t="shared" si="12"/>
        <v>12.717245798454513</v>
      </c>
      <c r="AA54" s="386">
        <f t="shared" si="13"/>
        <v>13.422478142301381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5.2541143026659423E-2</v>
      </c>
      <c r="AD54" s="231">
        <f>(INDEX(Models!$BJ54:$BT54,,AH54)*(1-AF54)+INDEX(Models!$BJ54:$BT54,,AH54+1)*AF54-ERP_i)*AE54*Ramure*Pc/MaxiM</f>
        <v>7.9566668789048803E-5</v>
      </c>
      <c r="AE54" s="305">
        <f t="shared" si="15"/>
        <v>0.5</v>
      </c>
      <c r="AF54" s="177">
        <f t="shared" si="22"/>
        <v>0.50013754384476616</v>
      </c>
      <c r="AG54" s="811">
        <f t="shared" si="23"/>
        <v>-1</v>
      </c>
      <c r="AH54" s="176">
        <f t="shared" si="16"/>
        <v>5</v>
      </c>
      <c r="AI54" s="225">
        <f t="shared" si="17"/>
        <v>-0.49986245615523378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7">
        <v>14.445</v>
      </c>
      <c r="C55" s="390"/>
      <c r="D55" s="393">
        <f t="shared" si="0"/>
        <v>14.757763428802908</v>
      </c>
      <c r="E55" s="385">
        <f t="shared" si="1"/>
        <v>15.577101382719665</v>
      </c>
      <c r="F55" s="385">
        <f t="shared" si="2"/>
        <v>15.577310222856127</v>
      </c>
      <c r="G55" s="110">
        <f t="shared" si="21"/>
        <v>0.41821005134829847</v>
      </c>
      <c r="H55" s="414" t="b">
        <f>Wh_hp&gt;='2020'!Maxi_hp</f>
        <v>1</v>
      </c>
      <c r="I55" s="380">
        <f>IF(H55,Wh_hp,'2020'!Maxi_hp)</f>
        <v>15.577310222856127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2.1193145581428929E-2</v>
      </c>
      <c r="M55" s="845"/>
      <c r="N55" s="845"/>
      <c r="O55" s="48">
        <f>IF(t&lt;Tnet,'2020'!Resal+('2020'!Salim-'2020'!Resal)*(1-EXP(('2020'!Tnet-t)/('2020'!Tau_j))),Resal+(Salim-Resal)*(1-EXP((Tnet-t)/(Tau_j))))*Salcycl</f>
        <v>5.2598871496444315E-2</v>
      </c>
      <c r="P55" s="169">
        <f>(INDEX(Models!$BJ55:$BT55,,T55)*(1-R55)+INDEX(Models!$BJ55:$BT55,,T55+1)*R55-ERP_i)*Q55*Ramure*Pc/MaxiM</f>
        <v>7.9371353147239272E-5</v>
      </c>
      <c r="Q55" s="305">
        <f t="shared" si="4"/>
        <v>0.5</v>
      </c>
      <c r="R55" s="177">
        <f t="shared" si="5"/>
        <v>0.50028101915542877</v>
      </c>
      <c r="S55" s="811">
        <f t="shared" si="6"/>
        <v>-1</v>
      </c>
      <c r="T55" s="176">
        <f t="shared" si="7"/>
        <v>5</v>
      </c>
      <c r="U55" s="251">
        <f t="shared" si="8"/>
        <v>-0.49971898084457128</v>
      </c>
      <c r="V55" s="383">
        <f t="shared" si="9"/>
        <v>34.537780909541482</v>
      </c>
      <c r="W55" s="402"/>
      <c r="X55" s="157">
        <f t="shared" si="10"/>
        <v>44237</v>
      </c>
      <c r="Y55" s="385">
        <f t="shared" si="11"/>
        <v>14.445</v>
      </c>
      <c r="Z55" s="385">
        <f t="shared" si="12"/>
        <v>14.757763428802908</v>
      </c>
      <c r="AA55" s="386">
        <f t="shared" si="13"/>
        <v>15.577101382719665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5.2598871496444315E-2</v>
      </c>
      <c r="AD55" s="231">
        <f>(INDEX(Models!$BJ55:$BT55,,AH55)*(1-AF55)+INDEX(Models!$BJ55:$BT55,,AH55+1)*AF55-ERP_i)*AE55*Ramure*Pc/MaxiM</f>
        <v>7.9371353147239272E-5</v>
      </c>
      <c r="AE55" s="305">
        <f t="shared" si="15"/>
        <v>0.5</v>
      </c>
      <c r="AF55" s="177">
        <f t="shared" si="22"/>
        <v>0.50028101915542877</v>
      </c>
      <c r="AG55" s="811">
        <f t="shared" si="23"/>
        <v>-1</v>
      </c>
      <c r="AH55" s="176">
        <f t="shared" si="16"/>
        <v>5</v>
      </c>
      <c r="AI55" s="225">
        <f t="shared" si="17"/>
        <v>-0.49971898084457128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7">
        <v>28.396000000000001</v>
      </c>
      <c r="C56" s="390"/>
      <c r="D56" s="393">
        <f t="shared" si="0"/>
        <v>29.011466185294562</v>
      </c>
      <c r="E56" s="385">
        <f t="shared" si="1"/>
        <v>30.624022628684664</v>
      </c>
      <c r="F56" s="385">
        <f t="shared" si="2"/>
        <v>30.625815125737557</v>
      </c>
      <c r="G56" s="110">
        <f t="shared" si="21"/>
        <v>0.81477056804396286</v>
      </c>
      <c r="H56" s="414" t="b">
        <f>Wh_hp&gt;='2020'!Maxi_hp</f>
        <v>1</v>
      </c>
      <c r="I56" s="380">
        <f>IF(H56,Wh_hp,'2020'!Maxi_hp)</f>
        <v>30.625815125737557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2.1214583963582334E-2</v>
      </c>
      <c r="M56" s="845"/>
      <c r="N56" s="845"/>
      <c r="O56" s="48">
        <f>IF(t&lt;Tnet,'2020'!Resal+('2020'!Salim-'2020'!Resal)*(1-EXP(('2020'!Tnet-t)/('2020'!Tau_j))),Resal+(Salim-Resal)*(1-EXP((Tnet-t)/(Tau_j))))*Salcycl</f>
        <v>5.2656584764917969E-2</v>
      </c>
      <c r="P56" s="169">
        <f>(INDEX(Models!$BJ56:$BT56,,T56)*(1-R56)+INDEX(Models!$BJ56:$BT56,,T56+1)*R56-ERP_i)*Q56*Ramure*Pc/MaxiM</f>
        <v>7.9586727903759586E-5</v>
      </c>
      <c r="Q56" s="305">
        <f t="shared" si="4"/>
        <v>0.5</v>
      </c>
      <c r="R56" s="177">
        <f t="shared" si="5"/>
        <v>0.50043042552128991</v>
      </c>
      <c r="S56" s="811">
        <f t="shared" si="6"/>
        <v>-1</v>
      </c>
      <c r="T56" s="176">
        <f t="shared" si="7"/>
        <v>5</v>
      </c>
      <c r="U56" s="251">
        <f t="shared" si="8"/>
        <v>-0.49956957447871009</v>
      </c>
      <c r="V56" s="383">
        <f t="shared" si="9"/>
        <v>34.850794962734994</v>
      </c>
      <c r="W56" s="402"/>
      <c r="X56" s="157">
        <f t="shared" si="10"/>
        <v>44238</v>
      </c>
      <c r="Y56" s="385">
        <f t="shared" si="11"/>
        <v>28.396000000000001</v>
      </c>
      <c r="Z56" s="385">
        <f t="shared" si="12"/>
        <v>29.011466185294562</v>
      </c>
      <c r="AA56" s="386">
        <f t="shared" si="13"/>
        <v>30.624022628684664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5.2656584764917969E-2</v>
      </c>
      <c r="AD56" s="231">
        <f>(INDEX(Models!$BJ56:$BT56,,AH56)*(1-AF56)+INDEX(Models!$BJ56:$BT56,,AH56+1)*AF56-ERP_i)*AE56*Ramure*Pc/MaxiM</f>
        <v>7.9586727903759586E-5</v>
      </c>
      <c r="AE56" s="305">
        <f t="shared" si="15"/>
        <v>0.5</v>
      </c>
      <c r="AF56" s="177">
        <f t="shared" si="22"/>
        <v>0.50043042552128991</v>
      </c>
      <c r="AG56" s="811">
        <f t="shared" si="23"/>
        <v>-1</v>
      </c>
      <c r="AH56" s="176">
        <f t="shared" si="16"/>
        <v>5</v>
      </c>
      <c r="AI56" s="225">
        <f t="shared" si="17"/>
        <v>-0.49956957447871009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7">
        <v>5.2620000000000005</v>
      </c>
      <c r="C57" s="390"/>
      <c r="D57" s="393">
        <f t="shared" si="0"/>
        <v>5.3761684303979607</v>
      </c>
      <c r="E57" s="385">
        <f t="shared" si="1"/>
        <v>5.6753398686972503</v>
      </c>
      <c r="F57" s="385">
        <f t="shared" si="2"/>
        <v>5.6753398686972503</v>
      </c>
      <c r="G57" s="110">
        <f t="shared" si="21"/>
        <v>0.14962766347558676</v>
      </c>
      <c r="H57" s="414" t="b">
        <f>Wh_hp&gt;='2020'!Maxi_hp</f>
        <v>0</v>
      </c>
      <c r="I57" s="380">
        <f>IF(H57,Wh_hp,'2020'!Maxi_hp)</f>
        <v>38.463815462769276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2.1236021876180122E-2</v>
      </c>
      <c r="M57" s="845"/>
      <c r="N57" s="845"/>
      <c r="O57" s="48">
        <f>IF(t&lt;Tnet,'2020'!Resal+('2020'!Salim-'2020'!Resal)*(1-EXP(('2020'!Tnet-t)/('2020'!Tau_j))),Resal+(Salim-Resal)*(1-EXP((Tnet-t)/(Tau_j))))*Salcycl</f>
        <v>5.2714277069007213E-2</v>
      </c>
      <c r="P57" s="169">
        <f>(INDEX(Models!$BJ57:$BT57,,T57)*(1-R57)+INDEX(Models!$BJ57:$BT57,,T57+1)*R57-ERP_i)*Q57*Ramure*Pc/MaxiM</f>
        <v>8.0201504436019377E-5</v>
      </c>
      <c r="Q57" s="305">
        <f t="shared" si="4"/>
        <v>0.5</v>
      </c>
      <c r="R57" s="177">
        <f t="shared" si="5"/>
        <v>0.50058600430781275</v>
      </c>
      <c r="S57" s="811">
        <f t="shared" si="6"/>
        <v>-1</v>
      </c>
      <c r="T57" s="176">
        <f t="shared" si="7"/>
        <v>5</v>
      </c>
      <c r="U57" s="251">
        <f t="shared" si="8"/>
        <v>-0.49941399569218725</v>
      </c>
      <c r="V57" s="383">
        <f t="shared" si="9"/>
        <v>35.16447331640741</v>
      </c>
      <c r="W57" s="402"/>
      <c r="X57" s="157">
        <f t="shared" si="10"/>
        <v>44239</v>
      </c>
      <c r="Y57" s="385">
        <f t="shared" si="11"/>
        <v>5.2620000000000005</v>
      </c>
      <c r="Z57" s="385">
        <f t="shared" si="12"/>
        <v>5.3761684303979607</v>
      </c>
      <c r="AA57" s="386">
        <f t="shared" si="13"/>
        <v>5.6753398686972503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5.2714277069007213E-2</v>
      </c>
      <c r="AD57" s="231">
        <f>(INDEX(Models!$BJ57:$BT57,,AH57)*(1-AF57)+INDEX(Models!$BJ57:$BT57,,AH57+1)*AF57-ERP_i)*AE57*Ramure*Pc/MaxiM</f>
        <v>8.0201504436019377E-5</v>
      </c>
      <c r="AE57" s="305">
        <f t="shared" si="15"/>
        <v>0.5</v>
      </c>
      <c r="AF57" s="177">
        <f t="shared" si="22"/>
        <v>0.50058600430781275</v>
      </c>
      <c r="AG57" s="811">
        <f t="shared" si="23"/>
        <v>-1</v>
      </c>
      <c r="AH57" s="176">
        <f t="shared" si="16"/>
        <v>5</v>
      </c>
      <c r="AI57" s="225">
        <f t="shared" si="17"/>
        <v>-0.49941399569218725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7">
        <v>7.2910000000000004</v>
      </c>
      <c r="C58" s="390"/>
      <c r="D58" s="393">
        <f t="shared" si="0"/>
        <v>7.4493543469855945</v>
      </c>
      <c r="E58" s="385">
        <f t="shared" si="1"/>
        <v>7.8643725647249854</v>
      </c>
      <c r="F58" s="385">
        <f t="shared" si="2"/>
        <v>7.8643725647249854</v>
      </c>
      <c r="G58" s="110">
        <f t="shared" si="21"/>
        <v>0.20548507102310248</v>
      </c>
      <c r="H58" s="414" t="b">
        <f>Wh_hp&gt;='2020'!Maxi_hp</f>
        <v>0</v>
      </c>
      <c r="I58" s="380">
        <f>IF(H58,Wh_hp,'2020'!Maxi_hp)</f>
        <v>39.79279391744533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2.1257459319232508E-2</v>
      </c>
      <c r="M58" s="845"/>
      <c r="N58" s="845"/>
      <c r="O58" s="48">
        <f>IF(t&lt;Tnet,'2020'!Resal+('2020'!Salim-'2020'!Resal)*(1-EXP(('2020'!Tnet-t)/('2020'!Tau_j))),Resal+(Salim-Resal)*(1-EXP((Tnet-t)/(Tau_j))))*Salcycl</f>
        <v>5.277194262145235E-2</v>
      </c>
      <c r="P58" s="169">
        <f>(INDEX(Models!$BJ58:$BT58,,T58)*(1-R58)+INDEX(Models!$BJ58:$BT58,,T58+1)*R58-ERP_i)*Q58*Ramure*Pc/MaxiM</f>
        <v>8.1213801941187105E-5</v>
      </c>
      <c r="Q58" s="305">
        <f t="shared" si="4"/>
        <v>0.5</v>
      </c>
      <c r="R58" s="177">
        <f t="shared" si="5"/>
        <v>0.50074800637885186</v>
      </c>
      <c r="S58" s="811">
        <f t="shared" si="6"/>
        <v>-1</v>
      </c>
      <c r="T58" s="176">
        <f t="shared" si="7"/>
        <v>5</v>
      </c>
      <c r="U58" s="251">
        <f t="shared" si="8"/>
        <v>-0.49925199362114808</v>
      </c>
      <c r="V58" s="383">
        <f t="shared" si="9"/>
        <v>35.479014771590855</v>
      </c>
      <c r="W58" s="402"/>
      <c r="X58" s="157">
        <f t="shared" si="10"/>
        <v>44240</v>
      </c>
      <c r="Y58" s="385">
        <f t="shared" si="11"/>
        <v>7.2910000000000004</v>
      </c>
      <c r="Z58" s="385">
        <f t="shared" si="12"/>
        <v>7.4493543469855945</v>
      </c>
      <c r="AA58" s="386">
        <f t="shared" si="13"/>
        <v>7.8643725647249854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5.277194262145235E-2</v>
      </c>
      <c r="AD58" s="231">
        <f>(INDEX(Models!$BJ58:$BT58,,AH58)*(1-AF58)+INDEX(Models!$BJ58:$BT58,,AH58+1)*AF58-ERP_i)*AE58*Ramure*Pc/MaxiM</f>
        <v>8.1213801941187105E-5</v>
      </c>
      <c r="AE58" s="305">
        <f t="shared" si="15"/>
        <v>0.5</v>
      </c>
      <c r="AF58" s="177">
        <f t="shared" si="22"/>
        <v>0.50074800637885186</v>
      </c>
      <c r="AG58" s="811">
        <f t="shared" si="23"/>
        <v>-1</v>
      </c>
      <c r="AH58" s="176">
        <f t="shared" si="16"/>
        <v>5</v>
      </c>
      <c r="AI58" s="225">
        <f t="shared" si="17"/>
        <v>-0.49925199362114808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7">
        <v>33.611000000000004</v>
      </c>
      <c r="C59" s="390"/>
      <c r="D59" s="393">
        <f t="shared" si="0"/>
        <v>34.341754635397699</v>
      </c>
      <c r="E59" s="385">
        <f t="shared" si="1"/>
        <v>36.257207524712292</v>
      </c>
      <c r="F59" s="385">
        <f t="shared" si="2"/>
        <v>36.259937181277593</v>
      </c>
      <c r="G59" s="110">
        <f t="shared" si="21"/>
        <v>0.93898901677532365</v>
      </c>
      <c r="H59" s="414" t="b">
        <f>Wh_hp&gt;='2020'!Maxi_hp</f>
        <v>0</v>
      </c>
      <c r="I59" s="380">
        <f>IF(H59,Wh_hp,'2020'!Maxi_hp)</f>
        <v>40.073233720515397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2.1278896292749927E-2</v>
      </c>
      <c r="M59" s="845"/>
      <c r="N59" s="845"/>
      <c r="O59" s="48">
        <f>IF(t&lt;Tnet,'2020'!Resal+('2020'!Salim-'2020'!Resal)*(1-EXP(('2020'!Tnet-t)/('2020'!Tau_j))),Resal+(Salim-Resal)*(1-EXP((Tnet-t)/(Tau_j))))*Salcycl</f>
        <v>5.282957569220003E-2</v>
      </c>
      <c r="P59" s="169">
        <f>(INDEX(Models!$BJ59:$BT59,,T59)*(1-R59)+INDEX(Models!$BJ59:$BT59,,T59+1)*R59-ERP_i)*Q59*Ramure*Pc/MaxiM</f>
        <v>8.2467156756433241E-5</v>
      </c>
      <c r="Q59" s="305">
        <f t="shared" si="4"/>
        <v>0.5</v>
      </c>
      <c r="R59" s="177">
        <f t="shared" si="5"/>
        <v>0.50091669244283366</v>
      </c>
      <c r="S59" s="811">
        <f t="shared" si="6"/>
        <v>-1</v>
      </c>
      <c r="T59" s="176">
        <f t="shared" si="7"/>
        <v>5</v>
      </c>
      <c r="U59" s="251">
        <f t="shared" si="8"/>
        <v>-0.49908330755716634</v>
      </c>
      <c r="V59" s="383">
        <f t="shared" si="9"/>
        <v>35.794623602295218</v>
      </c>
      <c r="W59" s="402"/>
      <c r="X59" s="157">
        <f t="shared" si="10"/>
        <v>44241</v>
      </c>
      <c r="Y59" s="385">
        <f t="shared" si="11"/>
        <v>33.611000000000004</v>
      </c>
      <c r="Z59" s="385">
        <f t="shared" si="12"/>
        <v>34.341754635397699</v>
      </c>
      <c r="AA59" s="386">
        <f t="shared" si="13"/>
        <v>36.257207524712292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5.282957569220003E-2</v>
      </c>
      <c r="AD59" s="231">
        <f>(INDEX(Models!$BJ59:$BT59,,AH59)*(1-AF59)+INDEX(Models!$BJ59:$BT59,,AH59+1)*AF59-ERP_i)*AE59*Ramure*Pc/MaxiM</f>
        <v>8.2467156756433241E-5</v>
      </c>
      <c r="AE59" s="305">
        <f t="shared" si="15"/>
        <v>0.5</v>
      </c>
      <c r="AF59" s="177">
        <f t="shared" si="22"/>
        <v>0.50091669244283366</v>
      </c>
      <c r="AG59" s="811">
        <f t="shared" si="23"/>
        <v>-1</v>
      </c>
      <c r="AH59" s="176">
        <f t="shared" si="16"/>
        <v>5</v>
      </c>
      <c r="AI59" s="225">
        <f t="shared" si="17"/>
        <v>-0.49908330755716634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7">
        <v>32.603999999999999</v>
      </c>
      <c r="C60" s="390"/>
      <c r="D60" s="393">
        <f t="shared" si="0"/>
        <v>33.313590565703919</v>
      </c>
      <c r="E60" s="385">
        <f t="shared" si="1"/>
        <v>35.173835191346072</v>
      </c>
      <c r="F60" s="385">
        <f t="shared" si="2"/>
        <v>35.176378645932843</v>
      </c>
      <c r="G60" s="110">
        <f t="shared" si="21"/>
        <v>0.90285978824839375</v>
      </c>
      <c r="H60" s="414" t="b">
        <f>Wh_hp&gt;='2020'!Maxi_hp</f>
        <v>0</v>
      </c>
      <c r="I60" s="380">
        <f>IF(H60,Wh_hp,'2020'!Maxi_hp)</f>
        <v>40.326165520091415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2.1300332796742594E-2</v>
      </c>
      <c r="M60" s="845"/>
      <c r="N60" s="845"/>
      <c r="O60" s="48">
        <f>IF(t&lt;Tnet,'2020'!Resal+('2020'!Salim-'2020'!Resal)*(1-EXP(('2020'!Tnet-t)/('2020'!Tau_j))),Resal+(Salim-Resal)*(1-EXP((Tnet-t)/(Tau_j))))*Salcycl</f>
        <v>5.2887170691578035E-2</v>
      </c>
      <c r="P60" s="169">
        <f>(INDEX(Models!$BJ60:$BT60,,T60)*(1-R60)+INDEX(Models!$BJ60:$BT60,,T60+1)*R60-ERP_i)*Q60*Ramure*Pc/MaxiM</f>
        <v>8.3955085099751185E-5</v>
      </c>
      <c r="Q60" s="305">
        <f t="shared" si="4"/>
        <v>0.5</v>
      </c>
      <c r="R60" s="177">
        <f t="shared" si="5"/>
        <v>0.50109233340916415</v>
      </c>
      <c r="S60" s="811">
        <f t="shared" si="6"/>
        <v>-1</v>
      </c>
      <c r="T60" s="176">
        <f t="shared" si="7"/>
        <v>5</v>
      </c>
      <c r="U60" s="251">
        <f t="shared" si="8"/>
        <v>-0.49890766659083591</v>
      </c>
      <c r="V60" s="383">
        <f t="shared" si="9"/>
        <v>36.111498797617884</v>
      </c>
      <c r="W60" s="402"/>
      <c r="X60" s="157">
        <f t="shared" si="10"/>
        <v>44242</v>
      </c>
      <c r="Y60" s="385">
        <f t="shared" si="11"/>
        <v>32.603999999999999</v>
      </c>
      <c r="Z60" s="385">
        <f t="shared" si="12"/>
        <v>33.313590565703919</v>
      </c>
      <c r="AA60" s="386">
        <f t="shared" si="13"/>
        <v>35.173835191346072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5.2887170691578035E-2</v>
      </c>
      <c r="AD60" s="231">
        <f>(INDEX(Models!$BJ60:$BT60,,AH60)*(1-AF60)+INDEX(Models!$BJ60:$BT60,,AH60+1)*AF60-ERP_i)*AE60*Ramure*Pc/MaxiM</f>
        <v>8.3955085099751185E-5</v>
      </c>
      <c r="AE60" s="305">
        <f t="shared" si="15"/>
        <v>0.5</v>
      </c>
      <c r="AF60" s="177">
        <f t="shared" si="22"/>
        <v>0.50109233340916415</v>
      </c>
      <c r="AG60" s="811">
        <f t="shared" si="23"/>
        <v>-1</v>
      </c>
      <c r="AH60" s="176">
        <f t="shared" si="16"/>
        <v>5</v>
      </c>
      <c r="AI60" s="225">
        <f t="shared" si="17"/>
        <v>-0.49890766659083591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7">
        <v>29.586000000000002</v>
      </c>
      <c r="C61" s="390"/>
      <c r="D61" s="393">
        <f t="shared" si="0"/>
        <v>30.230569208295503</v>
      </c>
      <c r="E61" s="385">
        <f t="shared" si="1"/>
        <v>31.920596314352753</v>
      </c>
      <c r="F61" s="385">
        <f t="shared" si="2"/>
        <v>31.922597194983364</v>
      </c>
      <c r="G61" s="110">
        <f t="shared" si="21"/>
        <v>0.81211776657779966</v>
      </c>
      <c r="H61" s="414" t="b">
        <f>Wh_hp&gt;='2020'!Maxi_hp</f>
        <v>0</v>
      </c>
      <c r="I61" s="380">
        <f>IF(H61,Wh_hp,'2020'!Maxi_hp)</f>
        <v>40.772992464506032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2.1321768831220833E-2</v>
      </c>
      <c r="M61" s="845"/>
      <c r="N61" s="845"/>
      <c r="O61" s="48">
        <f>IF(t&lt;Tnet,'2020'!Resal+('2020'!Salim-'2020'!Resal)*(1-EXP(('2020'!Tnet-t)/('2020'!Tau_j))),Resal+(Salim-Resal)*(1-EXP((Tnet-t)/(Tau_j))))*Salcycl</f>
        <v>5.2944722254369352E-2</v>
      </c>
      <c r="P61" s="169">
        <f>(INDEX(Models!$BJ61:$BT61,,T61)*(1-R61)+INDEX(Models!$BJ61:$BT61,,T61+1)*R61-ERP_i)*Q61*Ramure*Pc/MaxiM</f>
        <v>8.5671293373479928E-5</v>
      </c>
      <c r="Q61" s="305">
        <f t="shared" si="4"/>
        <v>0.5</v>
      </c>
      <c r="R61" s="177">
        <f t="shared" si="5"/>
        <v>0.50127521075495218</v>
      </c>
      <c r="S61" s="811">
        <f t="shared" si="6"/>
        <v>-1</v>
      </c>
      <c r="T61" s="176">
        <f t="shared" si="7"/>
        <v>5</v>
      </c>
      <c r="U61" s="251">
        <f t="shared" si="8"/>
        <v>-0.49872478924504782</v>
      </c>
      <c r="V61" s="383">
        <f t="shared" si="9"/>
        <v>36.429839277984293</v>
      </c>
      <c r="W61" s="402"/>
      <c r="X61" s="157">
        <f t="shared" si="10"/>
        <v>44243</v>
      </c>
      <c r="Y61" s="385">
        <f t="shared" si="11"/>
        <v>29.586000000000002</v>
      </c>
      <c r="Z61" s="385">
        <f t="shared" si="12"/>
        <v>30.230569208295503</v>
      </c>
      <c r="AA61" s="386">
        <f t="shared" si="13"/>
        <v>31.920596314352753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5.2944722254369352E-2</v>
      </c>
      <c r="AD61" s="231">
        <f>(INDEX(Models!$BJ61:$BT61,,AH61)*(1-AF61)+INDEX(Models!$BJ61:$BT61,,AH61+1)*AF61-ERP_i)*AE61*Ramure*Pc/MaxiM</f>
        <v>8.5671293373479928E-5</v>
      </c>
      <c r="AE61" s="305">
        <f t="shared" si="15"/>
        <v>0.5</v>
      </c>
      <c r="AF61" s="177">
        <f t="shared" si="22"/>
        <v>0.50127521075495218</v>
      </c>
      <c r="AG61" s="811">
        <f t="shared" si="23"/>
        <v>-1</v>
      </c>
      <c r="AH61" s="176">
        <f t="shared" si="16"/>
        <v>5</v>
      </c>
      <c r="AI61" s="225">
        <f t="shared" si="17"/>
        <v>-0.49872478924504782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7">
        <v>33.11</v>
      </c>
      <c r="C62" s="390"/>
      <c r="D62" s="393">
        <f t="shared" si="0"/>
        <v>33.832085107600989</v>
      </c>
      <c r="E62" s="385">
        <f t="shared" si="1"/>
        <v>35.725622606846052</v>
      </c>
      <c r="F62" s="385">
        <f t="shared" si="2"/>
        <v>35.728309864274635</v>
      </c>
      <c r="G62" s="110">
        <f t="shared" si="21"/>
        <v>0.90094503896136513</v>
      </c>
      <c r="H62" s="414" t="b">
        <f>Wh_hp&gt;='2020'!Maxi_hp</f>
        <v>0</v>
      </c>
      <c r="I62" s="380">
        <f>IF(H62,Wh_hp,'2020'!Maxi_hp)</f>
        <v>41.216821259374889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2.134320439619497E-2</v>
      </c>
      <c r="M62" s="845"/>
      <c r="N62" s="845"/>
      <c r="O62" s="48">
        <f>IF(t&lt;Tnet,'2020'!Resal+('2020'!Salim-'2020'!Resal)*(1-EXP(('2020'!Tnet-t)/('2020'!Tau_j))),Resal+(Salim-Resal)*(1-EXP((Tnet-t)/(Tau_j))))*Salcycl</f>
        <v>5.300222532391112E-2</v>
      </c>
      <c r="P62" s="169">
        <f>(INDEX(Models!$BJ62:$BT62,,T62)*(1-R62)+INDEX(Models!$BJ62:$BT62,,T62+1)*R62-ERP_i)*Q62*Ramure*Pc/MaxiM</f>
        <v>8.7609663835251411E-5</v>
      </c>
      <c r="Q62" s="305">
        <f t="shared" si="4"/>
        <v>0.5</v>
      </c>
      <c r="R62" s="177">
        <f t="shared" si="5"/>
        <v>0.50146561690210856</v>
      </c>
      <c r="S62" s="811">
        <f t="shared" si="6"/>
        <v>-1</v>
      </c>
      <c r="T62" s="176">
        <f t="shared" si="7"/>
        <v>5</v>
      </c>
      <c r="U62" s="251">
        <f t="shared" si="8"/>
        <v>-0.4985343830978915</v>
      </c>
      <c r="V62" s="383">
        <f t="shared" si="9"/>
        <v>36.749843892867602</v>
      </c>
      <c r="W62" s="402"/>
      <c r="X62" s="157">
        <f t="shared" si="10"/>
        <v>44244</v>
      </c>
      <c r="Y62" s="385">
        <f t="shared" si="11"/>
        <v>33.11</v>
      </c>
      <c r="Z62" s="385">
        <f t="shared" si="12"/>
        <v>33.832085107600989</v>
      </c>
      <c r="AA62" s="386">
        <f t="shared" si="13"/>
        <v>35.725622606846052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5.300222532391112E-2</v>
      </c>
      <c r="AD62" s="231">
        <f>(INDEX(Models!$BJ62:$BT62,,AH62)*(1-AF62)+INDEX(Models!$BJ62:$BT62,,AH62+1)*AF62-ERP_i)*AE62*Ramure*Pc/MaxiM</f>
        <v>8.7609663835251411E-5</v>
      </c>
      <c r="AE62" s="305">
        <f t="shared" si="15"/>
        <v>0.5</v>
      </c>
      <c r="AF62" s="177">
        <f t="shared" si="22"/>
        <v>0.50146561690210856</v>
      </c>
      <c r="AG62" s="811">
        <f t="shared" si="23"/>
        <v>-1</v>
      </c>
      <c r="AH62" s="176">
        <f t="shared" si="16"/>
        <v>5</v>
      </c>
      <c r="AI62" s="225">
        <f t="shared" si="17"/>
        <v>-0.4985343830978915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7">
        <v>14.417</v>
      </c>
      <c r="C63" s="390"/>
      <c r="D63" s="393">
        <f t="shared" si="0"/>
        <v>14.731738277381977</v>
      </c>
      <c r="E63" s="385">
        <f t="shared" si="1"/>
        <v>15.557198159285839</v>
      </c>
      <c r="F63" s="385">
        <f t="shared" si="2"/>
        <v>15.557375504133063</v>
      </c>
      <c r="G63" s="110">
        <f t="shared" si="21"/>
        <v>0.3888644373519608</v>
      </c>
      <c r="H63" s="414" t="b">
        <f>Wh_hp&gt;='2020'!Maxi_hp</f>
        <v>0</v>
      </c>
      <c r="I63" s="380">
        <f>IF(H63,Wh_hp,'2020'!Maxi_hp)</f>
        <v>40.739227562492772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2.1364639491675108E-2</v>
      </c>
      <c r="M63" s="845"/>
      <c r="N63" s="845"/>
      <c r="O63" s="48">
        <f>IF(t&lt;Tnet,'2020'!Resal+('2020'!Salim-'2020'!Resal)*(1-EXP(('2020'!Tnet-t)/('2020'!Tau_j))),Resal+(Salim-Resal)*(1-EXP((Tnet-t)/(Tau_j))))*Salcycl</f>
        <v>5.3059675235361037E-2</v>
      </c>
      <c r="P63" s="169">
        <f>(INDEX(Models!$BJ63:$BT63,,T63)*(1-R63)+INDEX(Models!$BJ63:$BT63,,T63+1)*R63-ERP_i)*Q63*Ramure*Pc/MaxiM</f>
        <v>8.9764242251649028E-5</v>
      </c>
      <c r="Q63" s="305">
        <f t="shared" si="4"/>
        <v>0.5</v>
      </c>
      <c r="R63" s="177">
        <f t="shared" si="5"/>
        <v>0.50166385560485671</v>
      </c>
      <c r="S63" s="811">
        <f t="shared" si="6"/>
        <v>-1</v>
      </c>
      <c r="T63" s="176">
        <f t="shared" si="7"/>
        <v>5</v>
      </c>
      <c r="U63" s="251">
        <f t="shared" si="8"/>
        <v>-0.49833614439514323</v>
      </c>
      <c r="V63" s="383">
        <f t="shared" si="9"/>
        <v>37.071711415554155</v>
      </c>
      <c r="W63" s="402"/>
      <c r="X63" s="157">
        <f t="shared" si="10"/>
        <v>44245</v>
      </c>
      <c r="Y63" s="385">
        <f t="shared" si="11"/>
        <v>14.417</v>
      </c>
      <c r="Z63" s="385">
        <f t="shared" si="12"/>
        <v>14.731738277381977</v>
      </c>
      <c r="AA63" s="386">
        <f t="shared" si="13"/>
        <v>15.557198159285839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5.3059675235361037E-2</v>
      </c>
      <c r="AD63" s="231">
        <f>(INDEX(Models!$BJ63:$BT63,,AH63)*(1-AF63)+INDEX(Models!$BJ63:$BT63,,AH63+1)*AF63-ERP_i)*AE63*Ramure*Pc/MaxiM</f>
        <v>8.9764242251649028E-5</v>
      </c>
      <c r="AE63" s="305">
        <f t="shared" si="15"/>
        <v>0.5</v>
      </c>
      <c r="AF63" s="177">
        <f t="shared" si="22"/>
        <v>0.50166385560485671</v>
      </c>
      <c r="AG63" s="811">
        <f t="shared" si="23"/>
        <v>-1</v>
      </c>
      <c r="AH63" s="176">
        <f t="shared" si="16"/>
        <v>5</v>
      </c>
      <c r="AI63" s="225">
        <f t="shared" si="17"/>
        <v>-0.49833614439514323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7">
        <v>35.652999999999999</v>
      </c>
      <c r="C64" s="390"/>
      <c r="D64" s="393">
        <f t="shared" si="0"/>
        <v>36.432140456058697</v>
      </c>
      <c r="E64" s="385">
        <f t="shared" si="1"/>
        <v>38.475865618686228</v>
      </c>
      <c r="F64" s="385">
        <f t="shared" si="2"/>
        <v>38.479174675338513</v>
      </c>
      <c r="G64" s="110">
        <f t="shared" si="21"/>
        <v>0.95339405343241046</v>
      </c>
      <c r="H64" s="414" t="b">
        <f>Wh_hp&gt;='2020'!Maxi_hp</f>
        <v>1</v>
      </c>
      <c r="I64" s="380">
        <f>IF(H64,Wh_hp,'2020'!Maxi_hp)</f>
        <v>38.479174675338513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2.1386074117671683E-2</v>
      </c>
      <c r="M64" s="845"/>
      <c r="N64" s="845"/>
      <c r="O64" s="48">
        <f>IF(t&lt;Tnet,'2020'!Resal+('2020'!Salim-'2020'!Resal)*(1-EXP(('2020'!Tnet-t)/('2020'!Tau_j))),Resal+(Salim-Resal)*(1-EXP((Tnet-t)/(Tau_j))))*Salcycl</f>
        <v>5.3117067797299307E-2</v>
      </c>
      <c r="P64" s="169">
        <f>(INDEX(Models!$BJ64:$BT64,,T64)*(1-R64)+INDEX(Models!$BJ64:$BT64,,T64+1)*R64-ERP_i)*Q64*Ramure*Pc/MaxiM</f>
        <v>9.2129227475379379E-5</v>
      </c>
      <c r="Q64" s="305">
        <f t="shared" si="4"/>
        <v>0.5</v>
      </c>
      <c r="R64" s="177">
        <f t="shared" si="5"/>
        <v>0.50187024234766575</v>
      </c>
      <c r="S64" s="811">
        <f t="shared" si="6"/>
        <v>-1</v>
      </c>
      <c r="T64" s="176">
        <f t="shared" si="7"/>
        <v>5</v>
      </c>
      <c r="U64" s="251">
        <f t="shared" si="8"/>
        <v>-0.49812975765233425</v>
      </c>
      <c r="V64" s="383">
        <f t="shared" si="9"/>
        <v>37.39564053951338</v>
      </c>
      <c r="W64" s="402"/>
      <c r="X64" s="157">
        <f t="shared" si="10"/>
        <v>44246</v>
      </c>
      <c r="Y64" s="385">
        <f t="shared" si="11"/>
        <v>35.652999999999999</v>
      </c>
      <c r="Z64" s="385">
        <f t="shared" si="12"/>
        <v>36.432140456058697</v>
      </c>
      <c r="AA64" s="386">
        <f t="shared" si="13"/>
        <v>38.475865618686228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5.3117067797299307E-2</v>
      </c>
      <c r="AD64" s="231">
        <f>(INDEX(Models!$BJ64:$BT64,,AH64)*(1-AF64)+INDEX(Models!$BJ64:$BT64,,AH64+1)*AF64-ERP_i)*AE64*Ramure*Pc/MaxiM</f>
        <v>9.2129227475379379E-5</v>
      </c>
      <c r="AE64" s="305">
        <f t="shared" si="15"/>
        <v>0.5</v>
      </c>
      <c r="AF64" s="177">
        <f t="shared" si="22"/>
        <v>0.50187024234766575</v>
      </c>
      <c r="AG64" s="811">
        <f t="shared" si="23"/>
        <v>-1</v>
      </c>
      <c r="AH64" s="176">
        <f t="shared" si="16"/>
        <v>5</v>
      </c>
      <c r="AI64" s="225">
        <f t="shared" si="17"/>
        <v>-0.49812975765233425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7">
        <v>29.635999999999999</v>
      </c>
      <c r="C65" s="390"/>
      <c r="D65" s="393">
        <f t="shared" si="0"/>
        <v>30.284311652274361</v>
      </c>
      <c r="E65" s="385">
        <f t="shared" si="1"/>
        <v>31.985100141094108</v>
      </c>
      <c r="F65" s="385">
        <f t="shared" si="2"/>
        <v>31.987201685823088</v>
      </c>
      <c r="G65" s="110">
        <f t="shared" si="21"/>
        <v>0.78561998185006765</v>
      </c>
      <c r="H65" s="414" t="b">
        <f>Wh_hp&gt;='2020'!Maxi_hp</f>
        <v>0</v>
      </c>
      <c r="I65" s="380">
        <f>IF(H65,Wh_hp,'2020'!Maxi_hp)</f>
        <v>40.655100676030095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2.1407508274194909E-2</v>
      </c>
      <c r="M65" s="845"/>
      <c r="N65" s="845"/>
      <c r="O65" s="48">
        <f>IF(t&lt;Tnet,'2020'!Resal+('2020'!Salim-'2020'!Resal)*(1-EXP(('2020'!Tnet-t)/('2020'!Tau_j))),Resal+(Salim-Resal)*(1-EXP((Tnet-t)/(Tau_j))))*Salcycl</f>
        <v>5.3174399370868111E-2</v>
      </c>
      <c r="P65" s="169">
        <f>(INDEX(Models!$BJ65:$BT65,,T65)*(1-R65)+INDEX(Models!$BJ65:$BT65,,T65+1)*R65-ERP_i)*Q65*Ramure*Pc/MaxiM</f>
        <v>9.4698588335058779E-5</v>
      </c>
      <c r="Q65" s="305">
        <f t="shared" si="4"/>
        <v>0.5</v>
      </c>
      <c r="R65" s="177">
        <f t="shared" si="5"/>
        <v>0.50208510475357604</v>
      </c>
      <c r="S65" s="811">
        <f t="shared" si="6"/>
        <v>-1</v>
      </c>
      <c r="T65" s="176">
        <f t="shared" si="7"/>
        <v>5</v>
      </c>
      <c r="U65" s="251">
        <f t="shared" si="8"/>
        <v>-0.49791489524642396</v>
      </c>
      <c r="V65" s="383">
        <f t="shared" si="9"/>
        <v>37.721979089965672</v>
      </c>
      <c r="W65" s="402"/>
      <c r="X65" s="157">
        <f t="shared" si="10"/>
        <v>44247</v>
      </c>
      <c r="Y65" s="385">
        <f t="shared" si="11"/>
        <v>29.635999999999999</v>
      </c>
      <c r="Z65" s="385">
        <f t="shared" si="12"/>
        <v>30.284311652274361</v>
      </c>
      <c r="AA65" s="386">
        <f t="shared" si="13"/>
        <v>31.985100141094108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5.3174399370868111E-2</v>
      </c>
      <c r="AD65" s="231">
        <f>(INDEX(Models!$BJ65:$BT65,,AH65)*(1-AF65)+INDEX(Models!$BJ65:$BT65,,AH65+1)*AF65-ERP_i)*AE65*Ramure*Pc/MaxiM</f>
        <v>9.4698588335058779E-5</v>
      </c>
      <c r="AE65" s="305">
        <f t="shared" si="15"/>
        <v>0.5</v>
      </c>
      <c r="AF65" s="177">
        <f t="shared" si="22"/>
        <v>0.50208510475357604</v>
      </c>
      <c r="AG65" s="811">
        <f t="shared" si="23"/>
        <v>-1</v>
      </c>
      <c r="AH65" s="176">
        <f t="shared" si="16"/>
        <v>5</v>
      </c>
      <c r="AI65" s="225">
        <f t="shared" si="17"/>
        <v>-0.49791489524642396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7">
        <v>13.153</v>
      </c>
      <c r="C66" s="390"/>
      <c r="D66" s="393">
        <f t="shared" si="0"/>
        <v>13.441026987208556</v>
      </c>
      <c r="E66" s="385">
        <f t="shared" si="1"/>
        <v>14.196743298170242</v>
      </c>
      <c r="F66" s="385">
        <f t="shared" si="2"/>
        <v>14.196833122852317</v>
      </c>
      <c r="G66" s="110">
        <f t="shared" si="21"/>
        <v>0.34563848486809196</v>
      </c>
      <c r="H66" s="414" t="b">
        <f>Wh_hp&gt;='2020'!Maxi_hp</f>
        <v>0</v>
      </c>
      <c r="I66" s="380">
        <f>IF(H66,Wh_hp,'2020'!Maxi_hp)</f>
        <v>38.737384022485628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2.142894196125511E-2</v>
      </c>
      <c r="M66" s="845"/>
      <c r="N66" s="845"/>
      <c r="O66" s="48">
        <f>IF(t&lt;Tnet,'2020'!Resal+('2020'!Salim-'2020'!Resal)*(1-EXP(('2020'!Tnet-t)/('2020'!Tau_j))),Resal+(Salim-Resal)*(1-EXP((Tnet-t)/(Tau_j))))*Salcycl</f>
        <v>5.3231666945692306E-2</v>
      </c>
      <c r="P66" s="169">
        <f>(INDEX(Models!$BJ66:$BT66,,T66)*(1-R66)+INDEX(Models!$BJ66:$BT66,,T66+1)*R66-ERP_i)*Q66*Ramure*Pc/MaxiM</f>
        <v>9.6977938586702354E-5</v>
      </c>
      <c r="Q66" s="305">
        <f t="shared" si="4"/>
        <v>0.5</v>
      </c>
      <c r="R66" s="177">
        <f t="shared" si="5"/>
        <v>0.50230878300286264</v>
      </c>
      <c r="S66" s="811">
        <f t="shared" si="6"/>
        <v>-1</v>
      </c>
      <c r="T66" s="176">
        <f t="shared" si="7"/>
        <v>5</v>
      </c>
      <c r="U66" s="251">
        <f t="shared" si="8"/>
        <v>-0.49769121699713736</v>
      </c>
      <c r="V66" s="383">
        <f t="shared" si="9"/>
        <v>38.050761815200843</v>
      </c>
      <c r="W66" s="402"/>
      <c r="X66" s="157">
        <f t="shared" si="10"/>
        <v>44248</v>
      </c>
      <c r="Y66" s="385">
        <f t="shared" si="11"/>
        <v>13.153</v>
      </c>
      <c r="Z66" s="385">
        <f t="shared" si="12"/>
        <v>13.441026987208556</v>
      </c>
      <c r="AA66" s="386">
        <f t="shared" si="13"/>
        <v>14.196743298170242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5.3231666945692306E-2</v>
      </c>
      <c r="AD66" s="231">
        <f>(INDEX(Models!$BJ66:$BT66,,AH66)*(1-AF66)+INDEX(Models!$BJ66:$BT66,,AH66+1)*AF66-ERP_i)*AE66*Ramure*Pc/MaxiM</f>
        <v>9.6977938586702354E-5</v>
      </c>
      <c r="AE66" s="305">
        <f t="shared" si="15"/>
        <v>0.5</v>
      </c>
      <c r="AF66" s="177">
        <f t="shared" si="22"/>
        <v>0.50230878300286264</v>
      </c>
      <c r="AG66" s="811">
        <f t="shared" si="23"/>
        <v>-1</v>
      </c>
      <c r="AH66" s="176">
        <f t="shared" si="16"/>
        <v>5</v>
      </c>
      <c r="AI66" s="225">
        <f t="shared" si="17"/>
        <v>-0.49769121699713736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7">
        <v>8.3970000000000002</v>
      </c>
      <c r="C67" s="390"/>
      <c r="D67" s="393">
        <f t="shared" si="0"/>
        <v>8.5810671089213617</v>
      </c>
      <c r="E67" s="385">
        <f t="shared" si="1"/>
        <v>9.0640817677020795</v>
      </c>
      <c r="F67" s="385">
        <f t="shared" si="2"/>
        <v>9.0640817677020795</v>
      </c>
      <c r="G67" s="110">
        <f t="shared" si="21"/>
        <v>0.21875453977648843</v>
      </c>
      <c r="H67" s="414" t="b">
        <f>Wh_hp&gt;='2020'!Maxi_hp</f>
        <v>0</v>
      </c>
      <c r="I67" s="380">
        <f>IF(H67,Wh_hp,'2020'!Maxi_hp)</f>
        <v>40.196901311599696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2.1450375178862613E-2</v>
      </c>
      <c r="M67" s="845"/>
      <c r="N67" s="845"/>
      <c r="O67" s="48">
        <f>IF(t&lt;Tnet,'2020'!Resal+('2020'!Salim-'2020'!Resal)*(1-EXP(('2020'!Tnet-t)/('2020'!Tau_j))),Resal+(Salim-Resal)*(1-EXP((Tnet-t)/(Tau_j))))*Salcycl</f>
        <v>5.3288868211873189E-2</v>
      </c>
      <c r="P67" s="169">
        <f>(INDEX(Models!$BJ67:$BT67,,T67)*(1-R67)+INDEX(Models!$BJ67:$BT67,,T67+1)*R67-ERP_i)*Q67*Ramure*Pc/MaxiM</f>
        <v>9.8740537899843665E-5</v>
      </c>
      <c r="Q67" s="305">
        <f t="shared" si="4"/>
        <v>0.5</v>
      </c>
      <c r="R67" s="177">
        <f t="shared" si="5"/>
        <v>0.50254163026193188</v>
      </c>
      <c r="S67" s="811">
        <f t="shared" si="6"/>
        <v>-1</v>
      </c>
      <c r="T67" s="176">
        <f t="shared" si="7"/>
        <v>5</v>
      </c>
      <c r="U67" s="251">
        <f t="shared" si="8"/>
        <v>-0.49745836973806806</v>
      </c>
      <c r="V67" s="383">
        <f t="shared" si="9"/>
        <v>38.381698886258583</v>
      </c>
      <c r="W67" s="402"/>
      <c r="X67" s="157">
        <f t="shared" si="10"/>
        <v>44249</v>
      </c>
      <c r="Y67" s="385">
        <f t="shared" si="11"/>
        <v>8.3970000000000002</v>
      </c>
      <c r="Z67" s="385">
        <f t="shared" si="12"/>
        <v>8.5810671089213617</v>
      </c>
      <c r="AA67" s="386">
        <f t="shared" si="13"/>
        <v>9.0640817677020795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5.3288868211873189E-2</v>
      </c>
      <c r="AD67" s="231">
        <f>(INDEX(Models!$BJ67:$BT67,,AH67)*(1-AF67)+INDEX(Models!$BJ67:$BT67,,AH67+1)*AF67-ERP_i)*AE67*Ramure*Pc/MaxiM</f>
        <v>9.8740537899843665E-5</v>
      </c>
      <c r="AE67" s="305">
        <f t="shared" si="15"/>
        <v>0.5</v>
      </c>
      <c r="AF67" s="177">
        <f t="shared" si="22"/>
        <v>0.50254163026193188</v>
      </c>
      <c r="AG67" s="811">
        <f t="shared" si="23"/>
        <v>-1</v>
      </c>
      <c r="AH67" s="176">
        <f t="shared" si="16"/>
        <v>5</v>
      </c>
      <c r="AI67" s="225">
        <f t="shared" si="17"/>
        <v>-0.49745836973806806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7">
        <v>28.798999999999999</v>
      </c>
      <c r="C68" s="390"/>
      <c r="D68" s="393">
        <f t="shared" si="0"/>
        <v>29.430935391846486</v>
      </c>
      <c r="E68" s="385">
        <f t="shared" si="1"/>
        <v>31.089432297799952</v>
      </c>
      <c r="F68" s="385">
        <f t="shared" si="2"/>
        <v>31.091403848685196</v>
      </c>
      <c r="G68" s="110">
        <f t="shared" si="21"/>
        <v>0.74385443455552769</v>
      </c>
      <c r="H68" s="414" t="b">
        <f>Wh_hp&gt;='2020'!Maxi_hp</f>
        <v>0</v>
      </c>
      <c r="I68" s="380">
        <f>IF(H68,Wh_hp,'2020'!Maxi_hp)</f>
        <v>40.899659056750139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2.1471807927027631E-2</v>
      </c>
      <c r="M68" s="845"/>
      <c r="N68" s="845"/>
      <c r="O68" s="48">
        <f>IF(t&lt;Tnet,'2020'!Resal+('2020'!Salim-'2020'!Resal)*(1-EXP(('2020'!Tnet-t)/('2020'!Tau_j))),Resal+(Salim-Resal)*(1-EXP((Tnet-t)/(Tau_j))))*Salcycl</f>
        <v>5.3346001627402911E-2</v>
      </c>
      <c r="P68" s="169">
        <f>(INDEX(Models!$BJ68:$BT68,,T68)*(1-R68)+INDEX(Models!$BJ68:$BT68,,T68+1)*R68-ERP_i)*Q68*Ramure*Pc/MaxiM</f>
        <v>9.9999655415781044E-5</v>
      </c>
      <c r="Q68" s="305">
        <f t="shared" si="4"/>
        <v>0.5</v>
      </c>
      <c r="R68" s="177">
        <f t="shared" si="5"/>
        <v>0.5027840131223098</v>
      </c>
      <c r="S68" s="811">
        <f t="shared" si="6"/>
        <v>-1</v>
      </c>
      <c r="T68" s="176">
        <f t="shared" si="7"/>
        <v>5</v>
      </c>
      <c r="U68" s="251">
        <f t="shared" si="8"/>
        <v>-0.4972159868776902</v>
      </c>
      <c r="V68" s="383">
        <f t="shared" si="9"/>
        <v>38.714491561177283</v>
      </c>
      <c r="W68" s="402"/>
      <c r="X68" s="157">
        <f t="shared" si="10"/>
        <v>44250</v>
      </c>
      <c r="Y68" s="385">
        <f t="shared" si="11"/>
        <v>28.798999999999999</v>
      </c>
      <c r="Z68" s="385">
        <f t="shared" si="12"/>
        <v>29.430935391846486</v>
      </c>
      <c r="AA68" s="386">
        <f t="shared" si="13"/>
        <v>31.089432297799952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5.3346001627402911E-2</v>
      </c>
      <c r="AD68" s="231">
        <f>(INDEX(Models!$BJ68:$BT68,,AH68)*(1-AF68)+INDEX(Models!$BJ68:$BT68,,AH68+1)*AF68-ERP_i)*AE68*Ramure*Pc/MaxiM</f>
        <v>9.9999655415781044E-5</v>
      </c>
      <c r="AE68" s="305">
        <f t="shared" si="15"/>
        <v>0.5</v>
      </c>
      <c r="AF68" s="177">
        <f t="shared" si="22"/>
        <v>0.5027840131223098</v>
      </c>
      <c r="AG68" s="811">
        <f t="shared" si="23"/>
        <v>-1</v>
      </c>
      <c r="AH68" s="176">
        <f t="shared" si="16"/>
        <v>5</v>
      </c>
      <c r="AI68" s="225">
        <f t="shared" si="17"/>
        <v>-0.4972159868776902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7">
        <v>36.563000000000002</v>
      </c>
      <c r="C69" s="390"/>
      <c r="D69" s="393">
        <f t="shared" si="0"/>
        <v>37.366118970591955</v>
      </c>
      <c r="E69" s="385">
        <f t="shared" si="1"/>
        <v>39.474160170431738</v>
      </c>
      <c r="F69" s="385">
        <f t="shared" si="2"/>
        <v>39.477776516756599</v>
      </c>
      <c r="G69" s="110">
        <f t="shared" si="21"/>
        <v>0.93633162538754855</v>
      </c>
      <c r="H69" s="414" t="b">
        <f>Wh_hp&gt;='2020'!Maxi_hp</f>
        <v>0</v>
      </c>
      <c r="I69" s="380">
        <f>IF(H69,Wh_hp,'2020'!Maxi_hp)</f>
        <v>41.03378848015074</v>
      </c>
      <c r="J69" s="85">
        <f>IF(H69,An,'2020'!An_max)</f>
        <v>2019</v>
      </c>
      <c r="K69" s="197">
        <f t="shared" si="3"/>
        <v>44251</v>
      </c>
      <c r="L69" s="147">
        <f>IF(t&lt;Tvie,1-EXP((T0-t)*PertePVj)+'2020'!Pspv,1-EXP((T0-t)*PertePVj)+Pspv)</f>
        <v>2.1493240205760378E-2</v>
      </c>
      <c r="M69" s="845"/>
      <c r="N69" s="845"/>
      <c r="O69" s="48">
        <f>IF(t&lt;Tnet,'2020'!Resal+('2020'!Salim-'2020'!Resal)*(1-EXP(('2020'!Tnet-t)/('2020'!Tau_j))),Resal+(Salim-Resal)*(1-EXP((Tnet-t)/(Tau_j))))*Salcycl</f>
        <v>5.3403066480406568E-2</v>
      </c>
      <c r="P69" s="169">
        <f>(INDEX(Models!$BJ69:$BT69,,T69)*(1-R69)+INDEX(Models!$BJ69:$BT69,,T69+1)*R69-ERP_i)*Q69*Ramure*Pc/MaxiM</f>
        <v>1.0076878116292133E-4</v>
      </c>
      <c r="Q69" s="305">
        <f t="shared" si="4"/>
        <v>0.5</v>
      </c>
      <c r="R69" s="177">
        <f t="shared" si="5"/>
        <v>0.50303631204952803</v>
      </c>
      <c r="S69" s="811">
        <f t="shared" si="6"/>
        <v>-1</v>
      </c>
      <c r="T69" s="176">
        <f t="shared" si="7"/>
        <v>5</v>
      </c>
      <c r="U69" s="251">
        <f t="shared" si="8"/>
        <v>-0.49696368795047191</v>
      </c>
      <c r="V69" s="383">
        <f t="shared" si="9"/>
        <v>39.048841145980568</v>
      </c>
      <c r="W69" s="402"/>
      <c r="X69" s="157">
        <f t="shared" si="10"/>
        <v>44251</v>
      </c>
      <c r="Y69" s="385">
        <f t="shared" si="11"/>
        <v>36.563000000000002</v>
      </c>
      <c r="Z69" s="385">
        <f t="shared" si="12"/>
        <v>37.366118970591955</v>
      </c>
      <c r="AA69" s="386">
        <f t="shared" si="13"/>
        <v>39.474160170431738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5.3403066480406568E-2</v>
      </c>
      <c r="AD69" s="231">
        <f>(INDEX(Models!$BJ69:$BT69,,AH69)*(1-AF69)+INDEX(Models!$BJ69:$BT69,,AH69+1)*AF69-ERP_i)*AE69*Ramure*Pc/MaxiM</f>
        <v>1.0076878116292133E-4</v>
      </c>
      <c r="AE69" s="305">
        <f t="shared" si="15"/>
        <v>0.5</v>
      </c>
      <c r="AF69" s="177">
        <f t="shared" si="22"/>
        <v>0.50303631204952803</v>
      </c>
      <c r="AG69" s="811">
        <f t="shared" si="23"/>
        <v>-1</v>
      </c>
      <c r="AH69" s="176">
        <f t="shared" si="16"/>
        <v>5</v>
      </c>
      <c r="AI69" s="225">
        <f t="shared" si="17"/>
        <v>-0.49696368795047191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7">
        <v>33.036000000000001</v>
      </c>
      <c r="C70" s="390"/>
      <c r="D70" s="393">
        <f t="shared" si="0"/>
        <v>33.762386675775318</v>
      </c>
      <c r="E70" s="385">
        <f t="shared" si="1"/>
        <v>35.669267987620017</v>
      </c>
      <c r="F70" s="385">
        <f t="shared" si="2"/>
        <v>35.672042893865544</v>
      </c>
      <c r="G70" s="110">
        <f t="shared" si="21"/>
        <v>0.83878870890003354</v>
      </c>
      <c r="H70" s="414" t="b">
        <f>Wh_hp&gt;='2020'!Maxi_hp</f>
        <v>0</v>
      </c>
      <c r="I70" s="380">
        <f>IF(H70,Wh_hp,'2020'!Maxi_hp)</f>
        <v>42.028165575806206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2.151467201507129E-2</v>
      </c>
      <c r="M70" s="845"/>
      <c r="N70" s="845"/>
      <c r="O70" s="48">
        <f>IF(t&lt;Tnet,'2020'!Resal+('2020'!Salim-'2020'!Resal)*(1-EXP(('2020'!Tnet-t)/('2020'!Tau_j))),Resal+(Salim-Resal)*(1-EXP((Tnet-t)/(Tau_j))))*Salcycl</f>
        <v>5.346006294568581E-2</v>
      </c>
      <c r="P70" s="169">
        <f>(INDEX(Models!$BJ70:$BT70,,T70)*(1-R70)+INDEX(Models!$BJ70:$BT70,,T70+1)*R70-ERP_i)*Q70*Ramure*Pc/MaxiM</f>
        <v>1.0106113033704927E-4</v>
      </c>
      <c r="Q70" s="305">
        <f t="shared" si="4"/>
        <v>0.5</v>
      </c>
      <c r="R70" s="177">
        <f t="shared" si="5"/>
        <v>0.50329892184166414</v>
      </c>
      <c r="S70" s="811">
        <f t="shared" si="6"/>
        <v>-1</v>
      </c>
      <c r="T70" s="176">
        <f t="shared" si="7"/>
        <v>5</v>
      </c>
      <c r="U70" s="251">
        <f t="shared" si="8"/>
        <v>-0.49670107815833586</v>
      </c>
      <c r="V70" s="383">
        <f t="shared" si="9"/>
        <v>39.384449008740958</v>
      </c>
      <c r="W70" s="402"/>
      <c r="X70" s="157">
        <f t="shared" si="10"/>
        <v>44252</v>
      </c>
      <c r="Y70" s="385">
        <f t="shared" si="11"/>
        <v>33.036000000000001</v>
      </c>
      <c r="Z70" s="385">
        <f t="shared" si="12"/>
        <v>33.762386675775318</v>
      </c>
      <c r="AA70" s="386">
        <f t="shared" si="13"/>
        <v>35.669267987620017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5.346006294568581E-2</v>
      </c>
      <c r="AD70" s="231">
        <f>(INDEX(Models!$BJ70:$BT70,,AH70)*(1-AF70)+INDEX(Models!$BJ70:$BT70,,AH70+1)*AF70-ERP_i)*AE70*Ramure*Pc/MaxiM</f>
        <v>1.0106113033704927E-4</v>
      </c>
      <c r="AE70" s="305">
        <f t="shared" si="15"/>
        <v>0.5</v>
      </c>
      <c r="AF70" s="177">
        <f t="shared" si="22"/>
        <v>0.50329892184166414</v>
      </c>
      <c r="AG70" s="811">
        <f t="shared" si="23"/>
        <v>-1</v>
      </c>
      <c r="AH70" s="176">
        <f t="shared" si="16"/>
        <v>5</v>
      </c>
      <c r="AI70" s="225">
        <f t="shared" si="17"/>
        <v>-0.49670107815833586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7">
        <v>8.0909999999999993</v>
      </c>
      <c r="C71" s="390"/>
      <c r="D71" s="393">
        <f t="shared" si="0"/>
        <v>8.2690838443222408</v>
      </c>
      <c r="E71" s="385">
        <f t="shared" si="1"/>
        <v>8.7366426820233141</v>
      </c>
      <c r="F71" s="385">
        <f t="shared" si="2"/>
        <v>8.7366426820233141</v>
      </c>
      <c r="G71" s="110">
        <f t="shared" si="21"/>
        <v>0.20367514227628247</v>
      </c>
      <c r="H71" s="414" t="b">
        <f>Wh_hp&gt;='2020'!Maxi_hp</f>
        <v>0</v>
      </c>
      <c r="I71" s="380">
        <f>IF(H71,Wh_hp,'2020'!Maxi_hp)</f>
        <v>38.261290092019415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2.1536103354970582E-2</v>
      </c>
      <c r="M71" s="845"/>
      <c r="N71" s="845"/>
      <c r="O71" s="48">
        <f>IF(t&lt;Tnet,'2020'!Resal+('2020'!Salim-'2020'!Resal)*(1-EXP(('2020'!Tnet-t)/('2020'!Tau_j))),Resal+(Salim-Resal)*(1-EXP((Tnet-t)/(Tau_j))))*Salcycl</f>
        <v>5.3516992135105974E-2</v>
      </c>
      <c r="P71" s="169">
        <f>(INDEX(Models!$BJ71:$BT71,,T71)*(1-R71)+INDEX(Models!$BJ71:$BT71,,T71+1)*R71-ERP_i)*Q71*Ramure*Pc/MaxiM</f>
        <v>1.0088961895177844E-4</v>
      </c>
      <c r="Q71" s="305">
        <f t="shared" si="4"/>
        <v>0.5</v>
      </c>
      <c r="R71" s="177">
        <f t="shared" si="5"/>
        <v>0.50357225209722944</v>
      </c>
      <c r="S71" s="811">
        <f t="shared" si="6"/>
        <v>-1</v>
      </c>
      <c r="T71" s="176">
        <f t="shared" si="7"/>
        <v>5</v>
      </c>
      <c r="U71" s="251">
        <f t="shared" si="8"/>
        <v>-0.49642774790277056</v>
      </c>
      <c r="V71" s="383">
        <f t="shared" si="9"/>
        <v>39.721016574122928</v>
      </c>
      <c r="W71" s="402"/>
      <c r="X71" s="157">
        <f t="shared" si="10"/>
        <v>44253</v>
      </c>
      <c r="Y71" s="385">
        <f t="shared" si="11"/>
        <v>8.0909999999999993</v>
      </c>
      <c r="Z71" s="385">
        <f t="shared" si="12"/>
        <v>8.2690838443222408</v>
      </c>
      <c r="AA71" s="386">
        <f t="shared" si="13"/>
        <v>8.7366426820233141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5.3516992135105974E-2</v>
      </c>
      <c r="AD71" s="231">
        <f>(INDEX(Models!$BJ71:$BT71,,AH71)*(1-AF71)+INDEX(Models!$BJ71:$BT71,,AH71+1)*AF71-ERP_i)*AE71*Ramure*Pc/MaxiM</f>
        <v>1.0088961895177844E-4</v>
      </c>
      <c r="AE71" s="305">
        <f t="shared" si="15"/>
        <v>0.5</v>
      </c>
      <c r="AF71" s="177">
        <f t="shared" si="22"/>
        <v>0.50357225209722944</v>
      </c>
      <c r="AG71" s="811">
        <f t="shared" si="23"/>
        <v>-1</v>
      </c>
      <c r="AH71" s="176">
        <f t="shared" si="16"/>
        <v>5</v>
      </c>
      <c r="AI71" s="225">
        <f t="shared" si="17"/>
        <v>-0.49642774790277056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7">
        <v>38.503999999999998</v>
      </c>
      <c r="C72" s="390"/>
      <c r="D72" s="393">
        <f t="shared" si="0"/>
        <v>39.35233940354415</v>
      </c>
      <c r="E72" s="385">
        <f t="shared" si="1"/>
        <v>41.579936964870342</v>
      </c>
      <c r="F72" s="385">
        <f t="shared" si="2"/>
        <v>41.583863806229679</v>
      </c>
      <c r="G72" s="110">
        <f t="shared" si="21"/>
        <v>0.96119475529804632</v>
      </c>
      <c r="H72" s="414" t="b">
        <f>Wh_hp&gt;='2020'!Maxi_hp</f>
        <v>0</v>
      </c>
      <c r="I72" s="380">
        <f>IF(H72,Wh_hp,'2020'!Maxi_hp)</f>
        <v>42.246597609719124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2.1557534225468467E-2</v>
      </c>
      <c r="M72" s="845"/>
      <c r="N72" s="845"/>
      <c r="O72" s="48">
        <f>IF(t&lt;Tnet,'2020'!Resal+('2020'!Salim-'2020'!Resal)*(1-EXP(('2020'!Tnet-t)/('2020'!Tau_j))),Resal+(Salim-Resal)*(1-EXP((Tnet-t)/(Tau_j))))*Salcycl</f>
        <v>5.3573856141442049E-2</v>
      </c>
      <c r="P72" s="169">
        <f>(INDEX(Models!$BJ72:$BT72,,T72)*(1-R72)+INDEX(Models!$BJ72:$BT72,,T72+1)*R72-ERP_i)*Q72*Ramure*Pc/MaxiM</f>
        <v>9.997321483292715E-5</v>
      </c>
      <c r="Q72" s="305">
        <f t="shared" si="4"/>
        <v>0.5</v>
      </c>
      <c r="R72" s="177">
        <f t="shared" si="5"/>
        <v>0.5038567276920396</v>
      </c>
      <c r="S72" s="811">
        <f t="shared" si="6"/>
        <v>-1</v>
      </c>
      <c r="T72" s="176">
        <f t="shared" si="7"/>
        <v>5</v>
      </c>
      <c r="U72" s="251">
        <f t="shared" si="8"/>
        <v>-0.4961432723079604</v>
      </c>
      <c r="V72" s="383">
        <f t="shared" si="9"/>
        <v>40.058257083764801</v>
      </c>
      <c r="W72" s="402"/>
      <c r="X72" s="157">
        <f t="shared" si="10"/>
        <v>44254</v>
      </c>
      <c r="Y72" s="385">
        <f t="shared" si="11"/>
        <v>38.503999999999998</v>
      </c>
      <c r="Z72" s="385">
        <f t="shared" si="12"/>
        <v>39.35233940354415</v>
      </c>
      <c r="AA72" s="386">
        <f t="shared" si="13"/>
        <v>41.579936964870342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5.3573856141442049E-2</v>
      </c>
      <c r="AD72" s="231">
        <f>(INDEX(Models!$BJ72:$BT72,,AH72)*(1-AF72)+INDEX(Models!$BJ72:$BT72,,AH72+1)*AF72-ERP_i)*AE72*Ramure*Pc/MaxiM</f>
        <v>9.997321483292715E-5</v>
      </c>
      <c r="AE72" s="305">
        <f t="shared" si="15"/>
        <v>0.5</v>
      </c>
      <c r="AF72" s="177">
        <f t="shared" si="22"/>
        <v>0.5038567276920396</v>
      </c>
      <c r="AG72" s="811">
        <f t="shared" si="23"/>
        <v>-1</v>
      </c>
      <c r="AH72" s="176">
        <f t="shared" si="16"/>
        <v>5</v>
      </c>
      <c r="AI72" s="225">
        <f t="shared" si="17"/>
        <v>-0.4961432723079604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7">
        <v>31.478999999999999</v>
      </c>
      <c r="C73" s="390"/>
      <c r="D73" s="393">
        <f t="shared" si="0"/>
        <v>32.173265763839296</v>
      </c>
      <c r="E73" s="385">
        <f t="shared" si="1"/>
        <v>33.996521588927102</v>
      </c>
      <c r="F73" s="385">
        <f t="shared" si="2"/>
        <v>33.998810282973771</v>
      </c>
      <c r="G73" s="110">
        <f t="shared" si="21"/>
        <v>0.77923862053094783</v>
      </c>
      <c r="H73" s="414" t="b">
        <f>Wh_hp&gt;='2020'!Maxi_hp</f>
        <v>1</v>
      </c>
      <c r="I73" s="380">
        <f>IF(H73,Wh_hp,'2020'!Maxi_hp)</f>
        <v>33.998810282973771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2.1578964626575381E-2</v>
      </c>
      <c r="M73" s="845"/>
      <c r="N73" s="845"/>
      <c r="O73" s="48">
        <f>IF(t&lt;Tnet,'2020'!Resal+('2020'!Salim-'2020'!Resal)*(1-EXP(('2020'!Tnet-t)/('2020'!Tau_j))),Resal+(Salim-Resal)*(1-EXP((Tnet-t)/(Tau_j))))*Salcycl</f>
        <v>5.3630658075373622E-2</v>
      </c>
      <c r="P73" s="169">
        <f>(INDEX(Models!$BJ73:$BT73,,T73)*(1-R73)+INDEX(Models!$BJ73:$BT73,,T73+1)*R73-ERP_i)*Q73*Ramure*Pc/MaxiM</f>
        <v>9.8321468105720049E-5</v>
      </c>
      <c r="Q73" s="305">
        <f t="shared" si="4"/>
        <v>0.5</v>
      </c>
      <c r="R73" s="177">
        <f t="shared" si="5"/>
        <v>0.50415278926462725</v>
      </c>
      <c r="S73" s="811">
        <f t="shared" si="6"/>
        <v>-1</v>
      </c>
      <c r="T73" s="176">
        <f t="shared" si="7"/>
        <v>5</v>
      </c>
      <c r="U73" s="251">
        <f t="shared" si="8"/>
        <v>-0.49584721073537275</v>
      </c>
      <c r="V73" s="383">
        <f t="shared" si="9"/>
        <v>40.395872473076942</v>
      </c>
      <c r="W73" s="402"/>
      <c r="X73" s="157">
        <f t="shared" si="10"/>
        <v>44255</v>
      </c>
      <c r="Y73" s="385">
        <f t="shared" si="11"/>
        <v>31.478999999999999</v>
      </c>
      <c r="Z73" s="385">
        <f t="shared" si="12"/>
        <v>32.173265763839296</v>
      </c>
      <c r="AA73" s="386">
        <f t="shared" si="13"/>
        <v>33.996521588927102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5.3630658075373622E-2</v>
      </c>
      <c r="AD73" s="231">
        <f>(INDEX(Models!$BJ73:$BT73,,AH73)*(1-AF73)+INDEX(Models!$BJ73:$BT73,,AH73+1)*AF73-ERP_i)*AE73*Ramure*Pc/MaxiM</f>
        <v>9.8321468105720049E-5</v>
      </c>
      <c r="AE73" s="305">
        <f t="shared" si="15"/>
        <v>0.5</v>
      </c>
      <c r="AF73" s="177">
        <f t="shared" si="22"/>
        <v>0.50415278926462725</v>
      </c>
      <c r="AG73" s="811">
        <f t="shared" si="23"/>
        <v>-1</v>
      </c>
      <c r="AH73" s="176">
        <f t="shared" si="16"/>
        <v>5</v>
      </c>
      <c r="AI73" s="225">
        <f t="shared" si="17"/>
        <v>-0.49584721073537275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7">
        <v>35.913000000000004</v>
      </c>
      <c r="C74" s="390"/>
      <c r="D74" s="393">
        <f t="shared" si="0"/>
        <v>36.70586108197282</v>
      </c>
      <c r="E74" s="385">
        <f t="shared" si="1"/>
        <v>38.788304375583309</v>
      </c>
      <c r="F74" s="385">
        <f t="shared" si="2"/>
        <v>38.791397231289992</v>
      </c>
      <c r="G74" s="110">
        <f t="shared" si="21"/>
        <v>0.88164190718094981</v>
      </c>
      <c r="H74" s="414" t="b">
        <f>Wh_hp&gt;='2020'!Maxi_hp</f>
        <v>1</v>
      </c>
      <c r="I74" s="380">
        <f>IF(H74,Wh_hp,'2020'!Maxi_hp)</f>
        <v>38.791397231289992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2.1600394558301428E-2</v>
      </c>
      <c r="M74" s="845"/>
      <c r="N74" s="845"/>
      <c r="O74" s="48">
        <f>IF(t&lt;Tnet,'2020'!Resal+('2020'!Salim-'2020'!Resal)*(1-EXP(('2020'!Tnet-t)/('2020'!Tau_j))),Resal+(Salim-Resal)*(1-EXP((Tnet-t)/(Tau_j))))*Salcycl</f>
        <v>5.3687402095394403E-2</v>
      </c>
      <c r="P74" s="169">
        <f>(INDEX(Models!$BJ74:$BT74,,T74)*(1-R74)+INDEX(Models!$BJ74:$BT74,,T74+1)*R74-ERP_i)*Q74*Ramure*Pc/MaxiM</f>
        <v>9.5952414304822958E-5</v>
      </c>
      <c r="Q74" s="305">
        <f t="shared" si="4"/>
        <v>0.5</v>
      </c>
      <c r="R74" s="177">
        <f t="shared" si="5"/>
        <v>0.50446089370968594</v>
      </c>
      <c r="S74" s="811">
        <f t="shared" si="6"/>
        <v>-1</v>
      </c>
      <c r="T74" s="176">
        <f t="shared" si="7"/>
        <v>5</v>
      </c>
      <c r="U74" s="251">
        <f t="shared" si="8"/>
        <v>-0.495539106290314</v>
      </c>
      <c r="V74" s="383">
        <f t="shared" si="9"/>
        <v>40.733564366411649</v>
      </c>
      <c r="W74" s="402"/>
      <c r="X74" s="157">
        <f t="shared" si="10"/>
        <v>44256</v>
      </c>
      <c r="Y74" s="385">
        <f t="shared" si="11"/>
        <v>35.913000000000004</v>
      </c>
      <c r="Z74" s="385">
        <f t="shared" si="12"/>
        <v>36.70586108197282</v>
      </c>
      <c r="AA74" s="386">
        <f t="shared" si="13"/>
        <v>38.788304375583309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5.3687402095394403E-2</v>
      </c>
      <c r="AD74" s="231">
        <f>(INDEX(Models!$BJ74:$BT74,,AH74)*(1-AF74)+INDEX(Models!$BJ74:$BT74,,AH74+1)*AF74-ERP_i)*AE74*Ramure*Pc/MaxiM</f>
        <v>9.5952414304822958E-5</v>
      </c>
      <c r="AE74" s="305">
        <f t="shared" si="15"/>
        <v>0.5</v>
      </c>
      <c r="AF74" s="177">
        <f t="shared" si="22"/>
        <v>0.50446089370968594</v>
      </c>
      <c r="AG74" s="811">
        <f t="shared" si="23"/>
        <v>-1</v>
      </c>
      <c r="AH74" s="176">
        <f t="shared" si="16"/>
        <v>5</v>
      </c>
      <c r="AI74" s="225">
        <f t="shared" si="17"/>
        <v>-0.495539106290314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7">
        <v>16.882000000000001</v>
      </c>
      <c r="C75" s="390"/>
      <c r="D75" s="393">
        <f t="shared" si="0"/>
        <v>17.255086442521424</v>
      </c>
      <c r="E75" s="385">
        <f t="shared" si="1"/>
        <v>18.235116233067036</v>
      </c>
      <c r="F75" s="385">
        <f t="shared" si="2"/>
        <v>18.235384922042826</v>
      </c>
      <c r="G75" s="110">
        <f t="shared" si="21"/>
        <v>0.41101182141177844</v>
      </c>
      <c r="H75" s="414" t="b">
        <f>Wh_hp&gt;='2020'!Maxi_hp</f>
        <v>0</v>
      </c>
      <c r="I75" s="380">
        <f>IF(H75,Wh_hp,'2020'!Maxi_hp)</f>
        <v>29.154269715170336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2.1621824020657043E-2</v>
      </c>
      <c r="M75" s="845"/>
      <c r="N75" s="845"/>
      <c r="O75" s="48">
        <f>IF(t&lt;Tnet,'2020'!Resal+('2020'!Salim-'2020'!Resal)*(1-EXP(('2020'!Tnet-t)/('2020'!Tau_j))),Resal+(Salim-Resal)*(1-EXP((Tnet-t)/(Tau_j))))*Salcycl</f>
        <v>5.3744093430479582E-2</v>
      </c>
      <c r="P75" s="169">
        <f>(INDEX(Models!$BJ75:$BT75,,T75)*(1-R75)+INDEX(Models!$BJ75:$BT75,,T75+1)*R75-ERP_i)*Q75*Ramure*Pc/MaxiM</f>
        <v>9.2883393146722722E-5</v>
      </c>
      <c r="Q75" s="305">
        <f t="shared" si="4"/>
        <v>0.5</v>
      </c>
      <c r="R75" s="177">
        <f t="shared" si="5"/>
        <v>0.50478151467894761</v>
      </c>
      <c r="S75" s="811">
        <f t="shared" si="6"/>
        <v>-1</v>
      </c>
      <c r="T75" s="176">
        <f t="shared" si="7"/>
        <v>5</v>
      </c>
      <c r="U75" s="251">
        <f t="shared" si="8"/>
        <v>-0.49521848532105245</v>
      </c>
      <c r="V75" s="383">
        <f t="shared" si="9"/>
        <v>41.071034435657431</v>
      </c>
      <c r="W75" s="402"/>
      <c r="X75" s="157">
        <f t="shared" si="10"/>
        <v>44257</v>
      </c>
      <c r="Y75" s="385">
        <f t="shared" si="11"/>
        <v>16.882000000000001</v>
      </c>
      <c r="Z75" s="385">
        <f t="shared" si="12"/>
        <v>17.255086442521424</v>
      </c>
      <c r="AA75" s="386">
        <f t="shared" si="13"/>
        <v>18.235116233067036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5.3744093430479582E-2</v>
      </c>
      <c r="AD75" s="231">
        <f>(INDEX(Models!$BJ75:$BT75,,AH75)*(1-AF75)+INDEX(Models!$BJ75:$BT75,,AH75+1)*AF75-ERP_i)*AE75*Ramure*Pc/MaxiM</f>
        <v>9.2883393146722722E-5</v>
      </c>
      <c r="AE75" s="305">
        <f t="shared" si="15"/>
        <v>0.5</v>
      </c>
      <c r="AF75" s="177">
        <f t="shared" si="22"/>
        <v>0.50478151467894761</v>
      </c>
      <c r="AG75" s="811">
        <f t="shared" si="23"/>
        <v>-1</v>
      </c>
      <c r="AH75" s="176">
        <f t="shared" si="16"/>
        <v>5</v>
      </c>
      <c r="AI75" s="225">
        <f t="shared" si="17"/>
        <v>-0.49521848532105245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7">
        <v>14.919</v>
      </c>
      <c r="C76" s="390"/>
      <c r="D76" s="393">
        <f t="shared" si="0"/>
        <v>15.249038805073202</v>
      </c>
      <c r="E76" s="385">
        <f t="shared" si="1"/>
        <v>16.116096708016642</v>
      </c>
      <c r="F76" s="385">
        <f t="shared" si="2"/>
        <v>16.116220433651094</v>
      </c>
      <c r="G76" s="110">
        <f t="shared" si="21"/>
        <v>0.36026348532773672</v>
      </c>
      <c r="H76" s="414" t="b">
        <f>Wh_hp&gt;='2020'!Maxi_hp</f>
        <v>0</v>
      </c>
      <c r="I76" s="380">
        <f>IF(H76,Wh_hp,'2020'!Maxi_hp)</f>
        <v>39.010447727103518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2.164325301365233E-2</v>
      </c>
      <c r="M76" s="845"/>
      <c r="N76" s="845"/>
      <c r="O76" s="48">
        <f>IF(t&lt;Tnet,'2020'!Resal+('2020'!Salim-'2020'!Resal)*(1-EXP(('2020'!Tnet-t)/('2020'!Tau_j))),Resal+(Salim-Resal)*(1-EXP((Tnet-t)/(Tau_j))))*Salcycl</f>
        <v>5.3800738395429239E-2</v>
      </c>
      <c r="P76" s="169">
        <f>(INDEX(Models!$BJ76:$BT76,,T76)*(1-R76)+INDEX(Models!$BJ76:$BT76,,T76+1)*R76-ERP_i)*Q76*Ramure*Pc/MaxiM</f>
        <v>8.9131012747771518E-5</v>
      </c>
      <c r="Q76" s="305">
        <f t="shared" si="4"/>
        <v>0.5</v>
      </c>
      <c r="R76" s="177">
        <f t="shared" si="5"/>
        <v>0.50511514308880545</v>
      </c>
      <c r="S76" s="811">
        <f t="shared" si="6"/>
        <v>-1</v>
      </c>
      <c r="T76" s="176">
        <f t="shared" si="7"/>
        <v>5</v>
      </c>
      <c r="U76" s="251">
        <f t="shared" si="8"/>
        <v>-0.49488485691119455</v>
      </c>
      <c r="V76" s="383">
        <f t="shared" si="9"/>
        <v>41.407984397833069</v>
      </c>
      <c r="W76" s="402"/>
      <c r="X76" s="157">
        <f t="shared" si="10"/>
        <v>44258</v>
      </c>
      <c r="Y76" s="385">
        <f t="shared" si="11"/>
        <v>14.918999999999999</v>
      </c>
      <c r="Z76" s="385">
        <f t="shared" si="12"/>
        <v>15.2490388050732</v>
      </c>
      <c r="AA76" s="386">
        <f t="shared" si="13"/>
        <v>16.116096708016642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5.3800738395429239E-2</v>
      </c>
      <c r="AD76" s="231">
        <f>(INDEX(Models!$BJ76:$BT76,,AH76)*(1-AF76)+INDEX(Models!$BJ76:$BT76,,AH76+1)*AF76-ERP_i)*AE76*Ramure*Pc/MaxiM</f>
        <v>8.9131012747771518E-5</v>
      </c>
      <c r="AE76" s="305">
        <f t="shared" si="15"/>
        <v>0.5</v>
      </c>
      <c r="AF76" s="177">
        <f t="shared" si="22"/>
        <v>0.50511514308880545</v>
      </c>
      <c r="AG76" s="811">
        <f t="shared" si="23"/>
        <v>-1</v>
      </c>
      <c r="AH76" s="176">
        <f t="shared" si="16"/>
        <v>5</v>
      </c>
      <c r="AI76" s="225">
        <f t="shared" si="17"/>
        <v>-0.49488485691119455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7">
        <v>28.033000000000001</v>
      </c>
      <c r="C77" s="390"/>
      <c r="D77" s="393">
        <f t="shared" si="0"/>
        <v>28.653774908228176</v>
      </c>
      <c r="E77" s="385">
        <f t="shared" si="1"/>
        <v>30.284835736555415</v>
      </c>
      <c r="F77" s="385">
        <f t="shared" si="2"/>
        <v>30.286197485540761</v>
      </c>
      <c r="G77" s="110">
        <f t="shared" si="21"/>
        <v>0.67151705100945736</v>
      </c>
      <c r="H77" s="414" t="b">
        <f>Wh_hp&gt;='2020'!Maxi_hp</f>
        <v>1</v>
      </c>
      <c r="I77" s="380">
        <f>IF(H77,Wh_hp,'2020'!Maxi_hp)</f>
        <v>30.286197485540761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2.1664681537297725E-2</v>
      </c>
      <c r="M77" s="845"/>
      <c r="N77" s="845"/>
      <c r="O77" s="48">
        <f>IF(t&lt;Tnet,'2020'!Resal+('2020'!Salim-'2020'!Resal)*(1-EXP(('2020'!Tnet-t)/('2020'!Tau_j))),Resal+(Salim-Resal)*(1-EXP((Tnet-t)/(Tau_j))))*Salcycl</f>
        <v>5.3857344398882082E-2</v>
      </c>
      <c r="P77" s="169">
        <f>(INDEX(Models!$BJ77:$BT77,,T77)*(1-R77)+INDEX(Models!$BJ77:$BT77,,T77+1)*R77-ERP_i)*Q77*Ramure*Pc/MaxiM</f>
        <v>8.4711114616051509E-5</v>
      </c>
      <c r="Q77" s="305">
        <f t="shared" si="4"/>
        <v>0.5</v>
      </c>
      <c r="R77" s="177">
        <f t="shared" si="5"/>
        <v>0.50546228763390366</v>
      </c>
      <c r="S77" s="811">
        <f t="shared" si="6"/>
        <v>-1</v>
      </c>
      <c r="T77" s="176">
        <f t="shared" si="7"/>
        <v>5</v>
      </c>
      <c r="U77" s="251">
        <f t="shared" si="8"/>
        <v>-0.49453771236609628</v>
      </c>
      <c r="V77" s="383">
        <f t="shared" si="9"/>
        <v>41.744116013498015</v>
      </c>
      <c r="W77" s="402"/>
      <c r="X77" s="157">
        <f t="shared" si="10"/>
        <v>44259</v>
      </c>
      <c r="Y77" s="385">
        <f t="shared" si="11"/>
        <v>28.033000000000001</v>
      </c>
      <c r="Z77" s="385">
        <f t="shared" si="12"/>
        <v>28.653774908228176</v>
      </c>
      <c r="AA77" s="386">
        <f t="shared" si="13"/>
        <v>30.284835736555415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5.3857344398882082E-2</v>
      </c>
      <c r="AD77" s="231">
        <f>(INDEX(Models!$BJ77:$BT77,,AH77)*(1-AF77)+INDEX(Models!$BJ77:$BT77,,AH77+1)*AF77-ERP_i)*AE77*Ramure*Pc/MaxiM</f>
        <v>8.4711114616051509E-5</v>
      </c>
      <c r="AE77" s="305">
        <f t="shared" si="15"/>
        <v>0.5</v>
      </c>
      <c r="AF77" s="177">
        <f t="shared" si="22"/>
        <v>0.50546228763390366</v>
      </c>
      <c r="AG77" s="811">
        <f t="shared" si="23"/>
        <v>-1</v>
      </c>
      <c r="AH77" s="176">
        <f t="shared" si="16"/>
        <v>5</v>
      </c>
      <c r="AI77" s="225">
        <f t="shared" si="17"/>
        <v>-0.49453771236609628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7">
        <v>34.116999999999997</v>
      </c>
      <c r="C78" s="390"/>
      <c r="D78" s="393">
        <f t="shared" si="0"/>
        <v>34.873265456506886</v>
      </c>
      <c r="E78" s="385">
        <f t="shared" si="1"/>
        <v>36.860562893436814</v>
      </c>
      <c r="F78" s="385">
        <f t="shared" si="2"/>
        <v>36.862705039497953</v>
      </c>
      <c r="G78" s="110">
        <f t="shared" si="21"/>
        <v>0.81076449612453538</v>
      </c>
      <c r="H78" s="414" t="b">
        <f>Wh_hp&gt;='2020'!Maxi_hp</f>
        <v>0</v>
      </c>
      <c r="I78" s="380">
        <f>IF(H78,Wh_hp,'2020'!Maxi_hp)</f>
        <v>44.531611979407565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2.1686109591603442E-2</v>
      </c>
      <c r="M78" s="845"/>
      <c r="N78" s="845"/>
      <c r="O78" s="48">
        <f>IF(t&lt;Tnet,'2020'!Resal+('2020'!Salim-'2020'!Resal)*(1-EXP(('2020'!Tnet-t)/('2020'!Tau_j))),Resal+(Salim-Resal)*(1-EXP((Tnet-t)/(Tau_j))))*Salcycl</f>
        <v>5.3913919944065115E-2</v>
      </c>
      <c r="P78" s="169">
        <f>(INDEX(Models!$BJ78:$BT78,,T78)*(1-R78)+INDEX(Models!$BJ78:$BT78,,T78+1)*R78-ERP_i)*Q78*Ramure*Pc/MaxiM</f>
        <v>7.9638739180401471E-5</v>
      </c>
      <c r="Q78" s="305">
        <f t="shared" si="4"/>
        <v>0.5</v>
      </c>
      <c r="R78" s="177">
        <f t="shared" si="5"/>
        <v>0.5058234753057993</v>
      </c>
      <c r="S78" s="811">
        <f t="shared" si="6"/>
        <v>-1</v>
      </c>
      <c r="T78" s="176">
        <f t="shared" si="7"/>
        <v>5</v>
      </c>
      <c r="U78" s="251">
        <f t="shared" si="8"/>
        <v>-0.49417652469420065</v>
      </c>
      <c r="V78" s="383">
        <f t="shared" si="9"/>
        <v>42.079131085078679</v>
      </c>
      <c r="W78" s="402"/>
      <c r="X78" s="157">
        <f t="shared" si="10"/>
        <v>44260</v>
      </c>
      <c r="Y78" s="385">
        <f t="shared" si="11"/>
        <v>34.116999999999997</v>
      </c>
      <c r="Z78" s="385">
        <f t="shared" si="12"/>
        <v>34.873265456506886</v>
      </c>
      <c r="AA78" s="386">
        <f t="shared" si="13"/>
        <v>36.860562893436814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5.3913919944065115E-2</v>
      </c>
      <c r="AD78" s="231">
        <f>(INDEX(Models!$BJ78:$BT78,,AH78)*(1-AF78)+INDEX(Models!$BJ78:$BT78,,AH78+1)*AF78-ERP_i)*AE78*Ramure*Pc/MaxiM</f>
        <v>7.9638739180401471E-5</v>
      </c>
      <c r="AE78" s="305">
        <f t="shared" si="15"/>
        <v>0.5</v>
      </c>
      <c r="AF78" s="177">
        <f t="shared" si="22"/>
        <v>0.5058234753057993</v>
      </c>
      <c r="AG78" s="811">
        <f t="shared" si="23"/>
        <v>-1</v>
      </c>
      <c r="AH78" s="176">
        <f t="shared" si="16"/>
        <v>5</v>
      </c>
      <c r="AI78" s="225">
        <f t="shared" si="17"/>
        <v>-0.49417652469420065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7">
        <v>10.725</v>
      </c>
      <c r="C79" s="390"/>
      <c r="D79" s="393">
        <f t="shared" ref="D79:D142" si="24">Wh/(1-Ppv)</f>
        <v>10.962979280293036</v>
      </c>
      <c r="E79" s="385">
        <f t="shared" si="1"/>
        <v>11.588411340457304</v>
      </c>
      <c r="F79" s="385">
        <f t="shared" ref="F79:F142" si="25">Wh_sa/(1-Pvg*MEDIAN((-Sdif+Wh/Env_an)/Csdif,0,1))</f>
        <v>11.588411340457304</v>
      </c>
      <c r="G79" s="110">
        <f t="shared" si="21"/>
        <v>0.2528464798422157</v>
      </c>
      <c r="H79" s="414" t="b">
        <f>Wh_hp&gt;='2020'!Maxi_hp</f>
        <v>0</v>
      </c>
      <c r="I79" s="380">
        <f>IF(H79,Wh_hp,'2020'!Maxi_hp)</f>
        <v>23.382336400970807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2.1707537176579805E-2</v>
      </c>
      <c r="M79" s="845"/>
      <c r="N79" s="845"/>
      <c r="O79" s="48">
        <f>IF(t&lt;Tnet,'2020'!Resal+('2020'!Salim-'2020'!Resal)*(1-EXP(('2020'!Tnet-t)/('2020'!Tau_j))),Resal+(Salim-Resal)*(1-EXP((Tnet-t)/(Tau_j))))*Salcycl</f>
        <v>5.397047462241597E-2</v>
      </c>
      <c r="P79" s="169">
        <f>(INDEX(Models!$BJ79:$BT79,,T79)*(1-R79)+INDEX(Models!$BJ79:$BT79,,T79+1)*R79-ERP_i)*Q79*Ramure*Pc/MaxiM</f>
        <v>7.3926042384991089E-5</v>
      </c>
      <c r="Q79" s="305">
        <f t="shared" ref="Q79:Q142" si="27">IF(OR(t&lt;Ttai,Notai),Dd+PousD*Croivg,Dens+PousD*(Croivg-Croi_tai))</f>
        <v>0.5</v>
      </c>
      <c r="R79" s="177">
        <f t="shared" ref="R79:R142" si="28">(Hp_vg-S79)/(INDEX(Echel_vg,T79+1)-S79)</f>
        <v>0.50619925191569748</v>
      </c>
      <c r="S79" s="81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-0.49380074808430252</v>
      </c>
      <c r="V79" s="383">
        <f t="shared" ref="V79:V142" si="32">MaxiM*(1-Ppv)*(1-Pvg)*(1-Psa)</f>
        <v>42.413907244774258</v>
      </c>
      <c r="W79" s="402"/>
      <c r="X79" s="157">
        <f t="shared" ref="X79:X142" si="33">t</f>
        <v>44261</v>
      </c>
      <c r="Y79" s="385">
        <f t="shared" ref="Y79:Y142" si="34">Wh_pvt_s*(1-Ppv)</f>
        <v>10.725</v>
      </c>
      <c r="Z79" s="385">
        <f t="shared" ref="Z79:Z142" si="35">Wh_sa_s*(1-Psa_s)</f>
        <v>10.962979280293036</v>
      </c>
      <c r="AA79" s="386">
        <f t="shared" ref="AA79:AA142" si="36">Wh_hp*(1-Pvg_s*MEDIAN((-Sdif+Wh/Env_an)/Csdif,0,1))</f>
        <v>11.588411340457304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5.397047462241597E-2</v>
      </c>
      <c r="AD79" s="231">
        <f>(INDEX(Models!$BJ79:$BT79,,AH79)*(1-AF79)+INDEX(Models!$BJ79:$BT79,,AH79+1)*AF79-ERP_i)*AE79*Ramure*Pc/MaxiM</f>
        <v>7.3926042384991089E-5</v>
      </c>
      <c r="AE79" s="305">
        <f t="shared" ref="AE79:AE142" si="38">IF(OR(t&lt;Ttai,Notai),Dd_s+PousD*Croivg,Dens_s+PousD*(Croivg-Croi_tai))</f>
        <v>0.5</v>
      </c>
      <c r="AF79" s="177">
        <f t="shared" ref="AF79:AF142" si="39">(Hp_vg_s-AG79)/(INDEX(Echel_vg,AH79+1)-AG79)</f>
        <v>0.50619925191569748</v>
      </c>
      <c r="AG79" s="811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-0.49380074808430252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7">
        <v>10.541</v>
      </c>
      <c r="C80" s="390"/>
      <c r="D80" s="393">
        <f t="shared" si="24"/>
        <v>10.775132468655542</v>
      </c>
      <c r="E80" s="385">
        <f t="shared" ref="E80:E143" si="45">Wh_pvt/(1-Psa)</f>
        <v>11.390528784878452</v>
      </c>
      <c r="F80" s="385">
        <f t="shared" si="25"/>
        <v>11.390528784878452</v>
      </c>
      <c r="G80" s="110">
        <f t="shared" ref="G80:G143" si="46">+Wh_hp/MaxiM</f>
        <v>0.24655996437655556</v>
      </c>
      <c r="H80" s="414" t="b">
        <f>Wh_hp&gt;='2020'!Maxi_hp</f>
        <v>0</v>
      </c>
      <c r="I80" s="380">
        <f>IF(H80,Wh_hp,'2020'!Maxi_hp)</f>
        <v>42.685529835046331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2.1728964292237141E-2</v>
      </c>
      <c r="M80" s="845"/>
      <c r="N80" s="845"/>
      <c r="O80" s="48">
        <f>IF(t&lt;Tnet,'2020'!Resal+('2020'!Salim-'2020'!Resal)*(1-EXP(('2020'!Tnet-t)/('2020'!Tau_j))),Resal+(Salim-Resal)*(1-EXP((Tnet-t)/(Tau_j))))*Salcycl</f>
        <v>5.4027019100279426E-2</v>
      </c>
      <c r="P80" s="169">
        <f>(INDEX(Models!$BJ80:$BT80,,T80)*(1-R80)+INDEX(Models!$BJ80:$BT80,,T80+1)*R80-ERP_i)*Q80*Ramure*Pc/MaxiM</f>
        <v>6.7837047552285468E-5</v>
      </c>
      <c r="Q80" s="305">
        <f t="shared" si="27"/>
        <v>0.5</v>
      </c>
      <c r="R80" s="177">
        <f t="shared" si="28"/>
        <v>0.50659018262013311</v>
      </c>
      <c r="S80" s="811">
        <f t="shared" si="29"/>
        <v>-1</v>
      </c>
      <c r="T80" s="176">
        <f t="shared" si="30"/>
        <v>5</v>
      </c>
      <c r="U80" s="251">
        <f t="shared" si="31"/>
        <v>-0.49340981737986694</v>
      </c>
      <c r="V80" s="383">
        <f t="shared" si="32"/>
        <v>42.749377241084588</v>
      </c>
      <c r="W80" s="402"/>
      <c r="X80" s="157">
        <f t="shared" si="33"/>
        <v>44262</v>
      </c>
      <c r="Y80" s="385">
        <f t="shared" si="34"/>
        <v>10.541</v>
      </c>
      <c r="Z80" s="385">
        <f t="shared" si="35"/>
        <v>10.775132468655542</v>
      </c>
      <c r="AA80" s="386">
        <f t="shared" si="36"/>
        <v>11.390528784878452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5.4027019100279426E-2</v>
      </c>
      <c r="AD80" s="231">
        <f>(INDEX(Models!$BJ80:$BT80,,AH80)*(1-AF80)+INDEX(Models!$BJ80:$BT80,,AH80+1)*AF80-ERP_i)*AE80*Ramure*Pc/MaxiM</f>
        <v>6.7837047552285468E-5</v>
      </c>
      <c r="AE80" s="305">
        <f t="shared" si="38"/>
        <v>0.5</v>
      </c>
      <c r="AF80" s="177">
        <f t="shared" si="39"/>
        <v>0.50659018262013311</v>
      </c>
      <c r="AG80" s="811">
        <f t="shared" ref="AG80:AG143" si="47">INDEX(Echel_vg,AH80)</f>
        <v>-1</v>
      </c>
      <c r="AH80" s="176">
        <f t="shared" si="40"/>
        <v>5</v>
      </c>
      <c r="AI80" s="225">
        <f t="shared" si="41"/>
        <v>-0.49340981737986694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7">
        <v>23.202000000000002</v>
      </c>
      <c r="C81" s="390"/>
      <c r="D81" s="393">
        <f t="shared" si="24"/>
        <v>23.717873010203657</v>
      </c>
      <c r="E81" s="385">
        <f t="shared" si="45"/>
        <v>25.073962281546066</v>
      </c>
      <c r="F81" s="385">
        <f t="shared" si="25"/>
        <v>25.074490400698167</v>
      </c>
      <c r="G81" s="110">
        <f t="shared" si="46"/>
        <v>0.53849090178160441</v>
      </c>
      <c r="H81" s="414" t="b">
        <f>Wh_hp&gt;='2020'!Maxi_hp</f>
        <v>0</v>
      </c>
      <c r="I81" s="380">
        <f>IF(H81,Wh_hp,'2020'!Maxi_hp)</f>
        <v>29.682326061230128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2.1750390938585551E-2</v>
      </c>
      <c r="M81" s="845"/>
      <c r="N81" s="845"/>
      <c r="O81" s="48">
        <f>IF(t&lt;Tnet,'2020'!Resal+('2020'!Salim-'2020'!Resal)*(1-EXP(('2020'!Tnet-t)/('2020'!Tau_j))),Resal+(Salim-Resal)*(1-EXP((Tnet-t)/(Tau_j))))*Salcycl</f>
        <v>5.4083565098941855E-2</v>
      </c>
      <c r="P81" s="169">
        <f>(INDEX(Models!$BJ81:$BT81,,T81)*(1-R81)+INDEX(Models!$BJ81:$BT81,,T81+1)*R81-ERP_i)*Q81*Ramure*Pc/MaxiM</f>
        <v>6.1813888490061498E-5</v>
      </c>
      <c r="Q81" s="305">
        <f t="shared" si="27"/>
        <v>0.5</v>
      </c>
      <c r="R81" s="177">
        <f t="shared" si="28"/>
        <v>0.50699685244834314</v>
      </c>
      <c r="S81" s="811">
        <f t="shared" si="29"/>
        <v>-1</v>
      </c>
      <c r="T81" s="176">
        <f t="shared" si="30"/>
        <v>5</v>
      </c>
      <c r="U81" s="251">
        <f t="shared" si="31"/>
        <v>-0.49300314755165686</v>
      </c>
      <c r="V81" s="383">
        <f t="shared" si="32"/>
        <v>43.085323035588694</v>
      </c>
      <c r="W81" s="402"/>
      <c r="X81" s="157">
        <f t="shared" si="33"/>
        <v>44263</v>
      </c>
      <c r="Y81" s="385">
        <f t="shared" si="34"/>
        <v>23.202000000000002</v>
      </c>
      <c r="Z81" s="385">
        <f t="shared" si="35"/>
        <v>23.717873010203657</v>
      </c>
      <c r="AA81" s="386">
        <f t="shared" si="36"/>
        <v>25.073962281546066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5.4083565098941855E-2</v>
      </c>
      <c r="AD81" s="231">
        <f>(INDEX(Models!$BJ81:$BT81,,AH81)*(1-AF81)+INDEX(Models!$BJ81:$BT81,,AH81+1)*AF81-ERP_i)*AE81*Ramure*Pc/MaxiM</f>
        <v>6.1813888490061498E-5</v>
      </c>
      <c r="AE81" s="305">
        <f t="shared" si="38"/>
        <v>0.5</v>
      </c>
      <c r="AF81" s="177">
        <f t="shared" si="39"/>
        <v>0.50699685244834314</v>
      </c>
      <c r="AG81" s="811">
        <f t="shared" si="47"/>
        <v>-1</v>
      </c>
      <c r="AH81" s="176">
        <f t="shared" si="40"/>
        <v>5</v>
      </c>
      <c r="AI81" s="225">
        <f t="shared" si="41"/>
        <v>-0.49300314755165686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7">
        <v>40.719000000000001</v>
      </c>
      <c r="C82" s="390"/>
      <c r="D82" s="393">
        <f t="shared" si="24"/>
        <v>41.625257493540595</v>
      </c>
      <c r="E82" s="385">
        <f t="shared" si="45"/>
        <v>44.007847895809867</v>
      </c>
      <c r="F82" s="385">
        <f t="shared" si="25"/>
        <v>44.010087492548095</v>
      </c>
      <c r="G82" s="110">
        <f t="shared" si="46"/>
        <v>0.93775561199323143</v>
      </c>
      <c r="H82" s="414" t="b">
        <f>Wh_hp&gt;='2020'!Maxi_hp</f>
        <v>1</v>
      </c>
      <c r="I82" s="380">
        <f>IF(H82,Wh_hp,'2020'!Maxi_hp)</f>
        <v>44.010087492548095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2.1771817115635361E-2</v>
      </c>
      <c r="M82" s="845"/>
      <c r="N82" s="845"/>
      <c r="O82" s="48">
        <f>IF(t&lt;Tnet,'2020'!Resal+('2020'!Salim-'2020'!Resal)*(1-EXP(('2020'!Tnet-t)/('2020'!Tau_j))),Resal+(Salim-Resal)*(1-EXP((Tnet-t)/(Tau_j))))*Salcycl</f>
        <v>5.4140125368323827E-2</v>
      </c>
      <c r="P82" s="169">
        <f>(INDEX(Models!$BJ82:$BT82,,T82)*(1-R82)+INDEX(Models!$BJ82:$BT82,,T82+1)*R82-ERP_i)*Q82*Ramure*Pc/MaxiM</f>
        <v>5.585450070600463E-5</v>
      </c>
      <c r="Q82" s="305">
        <f t="shared" si="27"/>
        <v>0.5</v>
      </c>
      <c r="R82" s="177">
        <f t="shared" si="28"/>
        <v>0.50741986682993012</v>
      </c>
      <c r="S82" s="811">
        <f t="shared" si="29"/>
        <v>-1</v>
      </c>
      <c r="T82" s="176">
        <f t="shared" si="30"/>
        <v>5</v>
      </c>
      <c r="U82" s="251">
        <f t="shared" si="31"/>
        <v>-0.49258013317006993</v>
      </c>
      <c r="V82" s="383">
        <f t="shared" si="32"/>
        <v>43.421545281686313</v>
      </c>
      <c r="W82" s="402"/>
      <c r="X82" s="157">
        <f t="shared" si="33"/>
        <v>44264</v>
      </c>
      <c r="Y82" s="385">
        <f t="shared" si="34"/>
        <v>40.719000000000001</v>
      </c>
      <c r="Z82" s="385">
        <f t="shared" si="35"/>
        <v>41.625257493540595</v>
      </c>
      <c r="AA82" s="386">
        <f t="shared" si="36"/>
        <v>44.007847895809867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5.4140125368323827E-2</v>
      </c>
      <c r="AD82" s="231">
        <f>(INDEX(Models!$BJ82:$BT82,,AH82)*(1-AF82)+INDEX(Models!$BJ82:$BT82,,AH82+1)*AF82-ERP_i)*AE82*Ramure*Pc/MaxiM</f>
        <v>5.585450070600463E-5</v>
      </c>
      <c r="AE82" s="305">
        <f t="shared" si="38"/>
        <v>0.5</v>
      </c>
      <c r="AF82" s="177">
        <f t="shared" si="39"/>
        <v>0.50741986682993012</v>
      </c>
      <c r="AG82" s="811">
        <f t="shared" si="47"/>
        <v>-1</v>
      </c>
      <c r="AH82" s="176">
        <f t="shared" si="40"/>
        <v>5</v>
      </c>
      <c r="AI82" s="225">
        <f t="shared" si="41"/>
        <v>-0.49258013317006993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7">
        <v>40.215000000000003</v>
      </c>
      <c r="C83" s="390"/>
      <c r="D83" s="393">
        <f t="shared" si="24"/>
        <v>41.110940713671319</v>
      </c>
      <c r="E83" s="385">
        <f t="shared" si="45"/>
        <v>43.466692606376022</v>
      </c>
      <c r="F83" s="385">
        <f t="shared" si="25"/>
        <v>43.468612982947825</v>
      </c>
      <c r="G83" s="110">
        <f t="shared" si="46"/>
        <v>0.91902990086099068</v>
      </c>
      <c r="H83" s="414" t="b">
        <f>Wh_hp&gt;='2020'!Maxi_hp</f>
        <v>1</v>
      </c>
      <c r="I83" s="380">
        <f>IF(H83,Wh_hp,'2020'!Maxi_hp)</f>
        <v>43.468612982947825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2.1793242823397008E-2</v>
      </c>
      <c r="M83" s="845"/>
      <c r="N83" s="845"/>
      <c r="O83" s="48">
        <f>IF(t&lt;Tnet,'2020'!Resal+('2020'!Salim-'2020'!Resal)*(1-EXP(('2020'!Tnet-t)/('2020'!Tau_j))),Resal+(Salim-Resal)*(1-EXP((Tnet-t)/(Tau_j))))*Salcycl</f>
        <v>5.4196713654701807E-2</v>
      </c>
      <c r="P83" s="169">
        <f>(INDEX(Models!$BJ83:$BT83,,T83)*(1-R83)+INDEX(Models!$BJ83:$BT83,,T83+1)*R83-ERP_i)*Q83*Ramure*Pc/MaxiM</f>
        <v>4.9956649505333849E-5</v>
      </c>
      <c r="Q83" s="305">
        <f t="shared" si="27"/>
        <v>0.5</v>
      </c>
      <c r="R83" s="177">
        <f t="shared" si="28"/>
        <v>0.50785985212126683</v>
      </c>
      <c r="S83" s="811">
        <f t="shared" si="29"/>
        <v>-1</v>
      </c>
      <c r="T83" s="176">
        <f t="shared" si="30"/>
        <v>5</v>
      </c>
      <c r="U83" s="251">
        <f t="shared" si="31"/>
        <v>-0.49214014787873317</v>
      </c>
      <c r="V83" s="383">
        <f t="shared" si="32"/>
        <v>43.75784463850988</v>
      </c>
      <c r="W83" s="402"/>
      <c r="X83" s="157">
        <f t="shared" si="33"/>
        <v>44265</v>
      </c>
      <c r="Y83" s="385">
        <f t="shared" si="34"/>
        <v>40.215000000000003</v>
      </c>
      <c r="Z83" s="385">
        <f t="shared" si="35"/>
        <v>41.110940713671319</v>
      </c>
      <c r="AA83" s="386">
        <f t="shared" si="36"/>
        <v>43.466692606376022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5.4196713654701807E-2</v>
      </c>
      <c r="AD83" s="231">
        <f>(INDEX(Models!$BJ83:$BT83,,AH83)*(1-AF83)+INDEX(Models!$BJ83:$BT83,,AH83+1)*AF83-ERP_i)*AE83*Ramure*Pc/MaxiM</f>
        <v>4.9956649505333849E-5</v>
      </c>
      <c r="AE83" s="305">
        <f t="shared" si="38"/>
        <v>0.5</v>
      </c>
      <c r="AF83" s="177">
        <f t="shared" si="39"/>
        <v>0.50785985212126683</v>
      </c>
      <c r="AG83" s="811">
        <f t="shared" si="47"/>
        <v>-1</v>
      </c>
      <c r="AH83" s="176">
        <f t="shared" si="40"/>
        <v>5</v>
      </c>
      <c r="AI83" s="225">
        <f t="shared" si="41"/>
        <v>-0.49214014787873317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7">
        <v>31.580000000000002</v>
      </c>
      <c r="C84" s="390"/>
      <c r="D84" s="393">
        <f t="shared" si="24"/>
        <v>32.284270647801712</v>
      </c>
      <c r="E84" s="385">
        <f t="shared" si="45"/>
        <v>34.136277898115871</v>
      </c>
      <c r="F84" s="385">
        <f t="shared" si="25"/>
        <v>34.137173352401021</v>
      </c>
      <c r="G84" s="110">
        <f t="shared" si="46"/>
        <v>0.71618405056088164</v>
      </c>
      <c r="H84" s="414" t="b">
        <f>Wh_hp&gt;='2020'!Maxi_hp</f>
        <v>1</v>
      </c>
      <c r="I84" s="380">
        <f>IF(H84,Wh_hp,'2020'!Maxi_hp)</f>
        <v>34.137173352401021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2.1814668061880704E-2</v>
      </c>
      <c r="M84" s="845"/>
      <c r="N84" s="845"/>
      <c r="O84" s="48">
        <f>IF(t&lt;Tnet,'2020'!Resal+('2020'!Salim-'2020'!Resal)*(1-EXP(('2020'!Tnet-t)/('2020'!Tau_j))),Resal+(Salim-Resal)*(1-EXP((Tnet-t)/(Tau_j))))*Salcycl</f>
        <v>5.4253344662874854E-2</v>
      </c>
      <c r="P84" s="169">
        <f>(INDEX(Models!$BJ84:$BT84,,T84)*(1-R84)+INDEX(Models!$BJ84:$BT84,,T84+1)*R84-ERP_i)*Q84*Ramure*Pc/MaxiM</f>
        <v>4.4117927303352856E-5</v>
      </c>
      <c r="Q84" s="305">
        <f t="shared" si="27"/>
        <v>0.5</v>
      </c>
      <c r="R84" s="177">
        <f t="shared" si="28"/>
        <v>0.50831745612893164</v>
      </c>
      <c r="S84" s="811">
        <f t="shared" si="29"/>
        <v>-1</v>
      </c>
      <c r="T84" s="176">
        <f t="shared" si="30"/>
        <v>5</v>
      </c>
      <c r="U84" s="251">
        <f t="shared" si="31"/>
        <v>-0.4916825438710683</v>
      </c>
      <c r="V84" s="383">
        <f t="shared" si="32"/>
        <v>44.09402177166762</v>
      </c>
      <c r="W84" s="402"/>
      <c r="X84" s="157">
        <f t="shared" si="33"/>
        <v>44266</v>
      </c>
      <c r="Y84" s="385">
        <f t="shared" si="34"/>
        <v>31.58</v>
      </c>
      <c r="Z84" s="385">
        <f t="shared" si="35"/>
        <v>32.284270647801712</v>
      </c>
      <c r="AA84" s="386">
        <f t="shared" si="36"/>
        <v>34.136277898115871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5.4253344662874854E-2</v>
      </c>
      <c r="AD84" s="231">
        <f>(INDEX(Models!$BJ84:$BT84,,AH84)*(1-AF84)+INDEX(Models!$BJ84:$BT84,,AH84+1)*AF84-ERP_i)*AE84*Ramure*Pc/MaxiM</f>
        <v>4.4117927303352856E-5</v>
      </c>
      <c r="AE84" s="305">
        <f t="shared" si="38"/>
        <v>0.5</v>
      </c>
      <c r="AF84" s="177">
        <f t="shared" si="39"/>
        <v>0.50831745612893164</v>
      </c>
      <c r="AG84" s="811">
        <f t="shared" si="47"/>
        <v>-1</v>
      </c>
      <c r="AH84" s="176">
        <f t="shared" si="40"/>
        <v>5</v>
      </c>
      <c r="AI84" s="225">
        <f t="shared" si="41"/>
        <v>-0.4916825438710683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7">
        <v>30.57</v>
      </c>
      <c r="C85" s="390"/>
      <c r="D85" s="393">
        <f t="shared" si="24"/>
        <v>31.252430984167724</v>
      </c>
      <c r="E85" s="385">
        <f t="shared" si="45"/>
        <v>33.0472270069586</v>
      </c>
      <c r="F85" s="385">
        <f t="shared" si="25"/>
        <v>33.047929332480102</v>
      </c>
      <c r="G85" s="110">
        <f t="shared" si="46"/>
        <v>0.68803876019193699</v>
      </c>
      <c r="H85" s="414" t="b">
        <f>Wh_hp&gt;='2020'!Maxi_hp</f>
        <v>0</v>
      </c>
      <c r="I85" s="380">
        <f>IF(H85,Wh_hp,'2020'!Maxi_hp)</f>
        <v>42.294025676295831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2.1836092831096554E-2</v>
      </c>
      <c r="M85" s="845"/>
      <c r="N85" s="845"/>
      <c r="O85" s="48">
        <f>IF(t&lt;Tnet,'2020'!Resal+('2020'!Salim-'2020'!Resal)*(1-EXP(('2020'!Tnet-t)/('2020'!Tau_j))),Resal+(Salim-Resal)*(1-EXP((Tnet-t)/(Tau_j))))*Salcycl</f>
        <v>5.4310034013230757E-2</v>
      </c>
      <c r="P85" s="169">
        <f>(INDEX(Models!$BJ85:$BT85,,T85)*(1-R85)+INDEX(Models!$BJ85:$BT85,,T85+1)*R85-ERP_i)*Q85*Ramure*Pc/MaxiM</f>
        <v>3.8335750756968344E-5</v>
      </c>
      <c r="Q85" s="305">
        <f t="shared" si="27"/>
        <v>0.5</v>
      </c>
      <c r="R85" s="177">
        <f t="shared" si="28"/>
        <v>0.50879334862828696</v>
      </c>
      <c r="S85" s="811">
        <f t="shared" si="29"/>
        <v>-1</v>
      </c>
      <c r="T85" s="176">
        <f t="shared" si="30"/>
        <v>5</v>
      </c>
      <c r="U85" s="251">
        <f t="shared" si="31"/>
        <v>-0.4912066513717131</v>
      </c>
      <c r="V85" s="383">
        <f t="shared" si="32"/>
        <v>44.42987735417708</v>
      </c>
      <c r="W85" s="402"/>
      <c r="X85" s="157">
        <f t="shared" si="33"/>
        <v>44267</v>
      </c>
      <c r="Y85" s="385">
        <f t="shared" si="34"/>
        <v>30.569999999999997</v>
      </c>
      <c r="Z85" s="385">
        <f t="shared" si="35"/>
        <v>31.25243098416772</v>
      </c>
      <c r="AA85" s="386">
        <f t="shared" si="36"/>
        <v>33.0472270069586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5.4310034013230757E-2</v>
      </c>
      <c r="AD85" s="231">
        <f>(INDEX(Models!$BJ85:$BT85,,AH85)*(1-AF85)+INDEX(Models!$BJ85:$BT85,,AH85+1)*AF85-ERP_i)*AE85*Ramure*Pc/MaxiM</f>
        <v>3.8335750756968344E-5</v>
      </c>
      <c r="AE85" s="305">
        <f t="shared" si="38"/>
        <v>0.5</v>
      </c>
      <c r="AF85" s="177">
        <f t="shared" si="39"/>
        <v>0.50879334862828696</v>
      </c>
      <c r="AG85" s="811">
        <f t="shared" si="47"/>
        <v>-1</v>
      </c>
      <c r="AH85" s="176">
        <f t="shared" si="40"/>
        <v>5</v>
      </c>
      <c r="AI85" s="225">
        <f t="shared" si="41"/>
        <v>-0.4912066513717131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7">
        <v>38.521000000000001</v>
      </c>
      <c r="C86" s="390"/>
      <c r="D86" s="393">
        <f t="shared" si="24"/>
        <v>39.381788108227155</v>
      </c>
      <c r="E86" s="385">
        <f t="shared" si="45"/>
        <v>41.645944783900134</v>
      </c>
      <c r="F86" s="385">
        <f t="shared" si="25"/>
        <v>41.647039184319176</v>
      </c>
      <c r="G86" s="110">
        <f t="shared" si="46"/>
        <v>0.86050650495890102</v>
      </c>
      <c r="H86" s="414" t="b">
        <f>Wh_hp&gt;='2020'!Maxi_hp</f>
        <v>1</v>
      </c>
      <c r="I86" s="380">
        <f>IF(H86,Wh_hp,'2020'!Maxi_hp)</f>
        <v>41.647039184319176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2.1857517131055104E-2</v>
      </c>
      <c r="M86" s="845"/>
      <c r="N86" s="845"/>
      <c r="O86" s="48">
        <f>IF(t&lt;Tnet,'2020'!Resal+('2020'!Salim-'2020'!Resal)*(1-EXP(('2020'!Tnet-t)/('2020'!Tau_j))),Resal+(Salim-Resal)*(1-EXP((Tnet-t)/(Tau_j))))*Salcycl</f>
        <v>5.4366798194197173E-2</v>
      </c>
      <c r="P86" s="169">
        <f>(INDEX(Models!$BJ86:$BT86,,T86)*(1-R86)+INDEX(Models!$BJ86:$BT86,,T86+1)*R86-ERP_i)*Q86*Ramure*Pc/MaxiM</f>
        <v>3.2817473387111453E-5</v>
      </c>
      <c r="Q86" s="305">
        <f t="shared" si="27"/>
        <v>0.5</v>
      </c>
      <c r="R86" s="177">
        <f t="shared" si="28"/>
        <v>0.50928822187513267</v>
      </c>
      <c r="S86" s="811">
        <f t="shared" si="29"/>
        <v>-1</v>
      </c>
      <c r="T86" s="176">
        <f t="shared" si="30"/>
        <v>5</v>
      </c>
      <c r="U86" s="251">
        <f t="shared" si="31"/>
        <v>-0.49071177812486727</v>
      </c>
      <c r="V86" s="383">
        <f t="shared" si="32"/>
        <v>44.765202661338151</v>
      </c>
      <c r="W86" s="402"/>
      <c r="X86" s="157">
        <f t="shared" si="33"/>
        <v>44268</v>
      </c>
      <c r="Y86" s="385">
        <f t="shared" si="34"/>
        <v>38.521000000000001</v>
      </c>
      <c r="Z86" s="385">
        <f t="shared" si="35"/>
        <v>39.381788108227155</v>
      </c>
      <c r="AA86" s="386">
        <f t="shared" si="36"/>
        <v>41.645944783900134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5.4366798194197173E-2</v>
      </c>
      <c r="AD86" s="231">
        <f>(INDEX(Models!$BJ86:$BT86,,AH86)*(1-AF86)+INDEX(Models!$BJ86:$BT86,,AH86+1)*AF86-ERP_i)*AE86*Ramure*Pc/MaxiM</f>
        <v>3.2817473387111453E-5</v>
      </c>
      <c r="AE86" s="305">
        <f t="shared" si="38"/>
        <v>0.5</v>
      </c>
      <c r="AF86" s="177">
        <f t="shared" si="39"/>
        <v>0.50928822187513267</v>
      </c>
      <c r="AG86" s="811">
        <f t="shared" si="47"/>
        <v>-1</v>
      </c>
      <c r="AH86" s="176">
        <f t="shared" si="40"/>
        <v>5</v>
      </c>
      <c r="AI86" s="225">
        <f t="shared" si="41"/>
        <v>-0.49071177812486727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7">
        <v>25.875</v>
      </c>
      <c r="C87" s="390"/>
      <c r="D87" s="393">
        <f t="shared" si="24"/>
        <v>26.453780706288399</v>
      </c>
      <c r="E87" s="385">
        <f t="shared" si="45"/>
        <v>27.97635625349367</v>
      </c>
      <c r="F87" s="385">
        <f t="shared" si="25"/>
        <v>27.97666062642325</v>
      </c>
      <c r="G87" s="110">
        <f t="shared" si="46"/>
        <v>0.57371805267008202</v>
      </c>
      <c r="H87" s="414" t="b">
        <f>Wh_hp&gt;='2020'!Maxi_hp</f>
        <v>0</v>
      </c>
      <c r="I87" s="380">
        <f>IF(H87,Wh_hp,'2020'!Maxi_hp)</f>
        <v>41.178376020580401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2.1878940961766347E-2</v>
      </c>
      <c r="M87" s="845"/>
      <c r="N87" s="845"/>
      <c r="O87" s="48">
        <f>IF(t&lt;Tnet,'2020'!Resal+('2020'!Salim-'2020'!Resal)*(1-EXP(('2020'!Tnet-t)/('2020'!Tau_j))),Resal+(Salim-Resal)*(1-EXP((Tnet-t)/(Tau_j))))*Salcycl</f>
        <v>5.4423654510588185E-2</v>
      </c>
      <c r="P87" s="169">
        <f>(INDEX(Models!$BJ87:$BT87,,T87)*(1-R87)+INDEX(Models!$BJ87:$BT87,,T87+1)*R87-ERP_i)*Q87*Ramure*Pc/MaxiM</f>
        <v>2.7822062725896995E-5</v>
      </c>
      <c r="Q87" s="305">
        <f t="shared" si="27"/>
        <v>0.5</v>
      </c>
      <c r="R87" s="177">
        <f t="shared" si="28"/>
        <v>0.50980279110817039</v>
      </c>
      <c r="S87" s="811">
        <f t="shared" si="29"/>
        <v>-1</v>
      </c>
      <c r="T87" s="176">
        <f t="shared" si="30"/>
        <v>5</v>
      </c>
      <c r="U87" s="251">
        <f t="shared" si="31"/>
        <v>-0.49019720889182966</v>
      </c>
      <c r="V87" s="383">
        <f t="shared" si="32"/>
        <v>45.099786361586936</v>
      </c>
      <c r="W87" s="402"/>
      <c r="X87" s="157">
        <f t="shared" si="33"/>
        <v>44269</v>
      </c>
      <c r="Y87" s="385">
        <f t="shared" si="34"/>
        <v>25.875</v>
      </c>
      <c r="Z87" s="385">
        <f t="shared" si="35"/>
        <v>26.453780706288399</v>
      </c>
      <c r="AA87" s="386">
        <f t="shared" si="36"/>
        <v>27.97635625349367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5.4423654510588185E-2</v>
      </c>
      <c r="AD87" s="231">
        <f>(INDEX(Models!$BJ87:$BT87,,AH87)*(1-AF87)+INDEX(Models!$BJ87:$BT87,,AH87+1)*AF87-ERP_i)*AE87*Ramure*Pc/MaxiM</f>
        <v>2.7822062725896995E-5</v>
      </c>
      <c r="AE87" s="305">
        <f t="shared" si="38"/>
        <v>0.5</v>
      </c>
      <c r="AF87" s="177">
        <f t="shared" si="39"/>
        <v>0.50980279110817039</v>
      </c>
      <c r="AG87" s="811">
        <f t="shared" si="47"/>
        <v>-1</v>
      </c>
      <c r="AH87" s="176">
        <f t="shared" si="40"/>
        <v>5</v>
      </c>
      <c r="AI87" s="225">
        <f t="shared" si="41"/>
        <v>-0.49019720889182966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7">
        <v>18.036999999999999</v>
      </c>
      <c r="C88" s="390"/>
      <c r="D88" s="393">
        <f t="shared" si="24"/>
        <v>18.440861587194004</v>
      </c>
      <c r="E88" s="385">
        <f t="shared" si="45"/>
        <v>19.503420022179565</v>
      </c>
      <c r="F88" s="385">
        <f t="shared" si="25"/>
        <v>19.503483095881144</v>
      </c>
      <c r="G88" s="110">
        <f t="shared" si="46"/>
        <v>0.3969904484902419</v>
      </c>
      <c r="H88" s="414" t="b">
        <f>Wh_hp&gt;='2020'!Maxi_hp</f>
        <v>0</v>
      </c>
      <c r="I88" s="380">
        <f>IF(H88,Wh_hp,'2020'!Maxi_hp)</f>
        <v>31.428093358036886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2.1900364323240828E-2</v>
      </c>
      <c r="M88" s="845"/>
      <c r="N88" s="845"/>
      <c r="O88" s="48">
        <f>IF(t&lt;Tnet,'2020'!Resal+('2020'!Salim-'2020'!Resal)*(1-EXP(('2020'!Tnet-t)/('2020'!Tau_j))),Resal+(Salim-Resal)*(1-EXP((Tnet-t)/(Tau_j))))*Salcycl</f>
        <v>5.4480621028373762E-2</v>
      </c>
      <c r="P88" s="169">
        <f>(INDEX(Models!$BJ88:$BT88,,T88)*(1-R88)+INDEX(Models!$BJ88:$BT88,,T88+1)*R88-ERP_i)*Q88*Ramure*Pc/MaxiM</f>
        <v>2.3338313871890215E-5</v>
      </c>
      <c r="Q88" s="305">
        <f t="shared" si="27"/>
        <v>0.5</v>
      </c>
      <c r="R88" s="177">
        <f t="shared" si="28"/>
        <v>0.51033779503980192</v>
      </c>
      <c r="S88" s="811">
        <f t="shared" si="29"/>
        <v>-1</v>
      </c>
      <c r="T88" s="176">
        <f t="shared" si="30"/>
        <v>5</v>
      </c>
      <c r="U88" s="251">
        <f t="shared" si="31"/>
        <v>-0.48966220496019808</v>
      </c>
      <c r="V88" s="383">
        <f t="shared" si="32"/>
        <v>45.433429054505019</v>
      </c>
      <c r="W88" s="402"/>
      <c r="X88" s="157">
        <f t="shared" si="33"/>
        <v>44270</v>
      </c>
      <c r="Y88" s="385">
        <f t="shared" si="34"/>
        <v>18.036999999999999</v>
      </c>
      <c r="Z88" s="385">
        <f t="shared" si="35"/>
        <v>18.440861587194004</v>
      </c>
      <c r="AA88" s="386">
        <f t="shared" si="36"/>
        <v>19.503420022179565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5.4480621028373762E-2</v>
      </c>
      <c r="AD88" s="231">
        <f>(INDEX(Models!$BJ88:$BT88,,AH88)*(1-AF88)+INDEX(Models!$BJ88:$BT88,,AH88+1)*AF88-ERP_i)*AE88*Ramure*Pc/MaxiM</f>
        <v>2.3338313871890215E-5</v>
      </c>
      <c r="AE88" s="305">
        <f t="shared" si="38"/>
        <v>0.5</v>
      </c>
      <c r="AF88" s="177">
        <f t="shared" si="39"/>
        <v>0.51033779503980192</v>
      </c>
      <c r="AG88" s="811">
        <f t="shared" si="47"/>
        <v>-1</v>
      </c>
      <c r="AH88" s="176">
        <f t="shared" si="40"/>
        <v>5</v>
      </c>
      <c r="AI88" s="225">
        <f t="shared" si="41"/>
        <v>-0.48966220496019808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7">
        <v>30.634</v>
      </c>
      <c r="C89" s="390"/>
      <c r="D89" s="393">
        <f t="shared" si="24"/>
        <v>31.32060360774976</v>
      </c>
      <c r="E89" s="385">
        <f t="shared" si="45"/>
        <v>33.127290379419328</v>
      </c>
      <c r="F89" s="385">
        <f t="shared" si="25"/>
        <v>33.127628714712131</v>
      </c>
      <c r="G89" s="110">
        <f t="shared" si="46"/>
        <v>0.66935641934766599</v>
      </c>
      <c r="H89" s="414" t="b">
        <f>Wh_hp&gt;='2020'!Maxi_hp</f>
        <v>0</v>
      </c>
      <c r="I89" s="380">
        <f>IF(H89,Wh_hp,'2020'!Maxi_hp)</f>
        <v>50.491533478793343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2.1921787215488764E-2</v>
      </c>
      <c r="M89" s="845"/>
      <c r="N89" s="845"/>
      <c r="O89" s="48">
        <f>IF(t&lt;Tnet,'2020'!Resal+('2020'!Salim-'2020'!Resal)*(1-EXP(('2020'!Tnet-t)/('2020'!Tau_j))),Resal+(Salim-Resal)*(1-EXP((Tnet-t)/(Tau_j))))*Salcycl</f>
        <v>5.4537716516410061E-2</v>
      </c>
      <c r="P89" s="169">
        <f>(INDEX(Models!$BJ89:$BT89,,T89)*(1-R89)+INDEX(Models!$BJ89:$BT89,,T89+1)*R89-ERP_i)*Q89*Ramure*Pc/MaxiM</f>
        <v>1.9355399776043924E-5</v>
      </c>
      <c r="Q89" s="305">
        <f t="shared" si="27"/>
        <v>0.5</v>
      </c>
      <c r="R89" s="177">
        <f t="shared" si="28"/>
        <v>0.51089399633257382</v>
      </c>
      <c r="S89" s="811">
        <f t="shared" si="29"/>
        <v>-1</v>
      </c>
      <c r="T89" s="176">
        <f t="shared" si="30"/>
        <v>5</v>
      </c>
      <c r="U89" s="251">
        <f t="shared" si="31"/>
        <v>-0.48910600366742613</v>
      </c>
      <c r="V89" s="383">
        <f t="shared" si="32"/>
        <v>45.765931342419911</v>
      </c>
      <c r="W89" s="402"/>
      <c r="X89" s="157">
        <f t="shared" si="33"/>
        <v>44271</v>
      </c>
      <c r="Y89" s="385">
        <f t="shared" si="34"/>
        <v>30.634</v>
      </c>
      <c r="Z89" s="385">
        <f t="shared" si="35"/>
        <v>31.32060360774976</v>
      </c>
      <c r="AA89" s="386">
        <f t="shared" si="36"/>
        <v>33.127290379419328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5.4537716516410061E-2</v>
      </c>
      <c r="AD89" s="231">
        <f>(INDEX(Models!$BJ89:$BT89,,AH89)*(1-AF89)+INDEX(Models!$BJ89:$BT89,,AH89+1)*AF89-ERP_i)*AE89*Ramure*Pc/MaxiM</f>
        <v>1.9355399776043924E-5</v>
      </c>
      <c r="AE89" s="305">
        <f t="shared" si="38"/>
        <v>0.5</v>
      </c>
      <c r="AF89" s="177">
        <f t="shared" si="39"/>
        <v>0.51089399633257382</v>
      </c>
      <c r="AG89" s="811">
        <f t="shared" si="47"/>
        <v>-1</v>
      </c>
      <c r="AH89" s="176">
        <f t="shared" si="40"/>
        <v>5</v>
      </c>
      <c r="AI89" s="225">
        <f t="shared" si="41"/>
        <v>-0.48910600366742613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7">
        <v>25.091999999999999</v>
      </c>
      <c r="C90" s="390"/>
      <c r="D90" s="393">
        <f t="shared" si="24"/>
        <v>25.654951989777867</v>
      </c>
      <c r="E90" s="385">
        <f t="shared" si="45"/>
        <v>27.136466291996502</v>
      </c>
      <c r="F90" s="385">
        <f t="shared" si="25"/>
        <v>27.136616542417517</v>
      </c>
      <c r="G90" s="110">
        <f t="shared" si="46"/>
        <v>0.54432370483986015</v>
      </c>
      <c r="H90" s="414" t="b">
        <f>Wh_hp&gt;='2020'!Maxi_hp</f>
        <v>1</v>
      </c>
      <c r="I90" s="380">
        <f>IF(H90,Wh_hp,'2020'!Maxi_hp)</f>
        <v>27.136616542417517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2.1943209638520256E-2</v>
      </c>
      <c r="M90" s="845"/>
      <c r="N90" s="845"/>
      <c r="O90" s="48">
        <f>IF(t&lt;Tnet,'2020'!Resal+('2020'!Salim-'2020'!Resal)*(1-EXP(('2020'!Tnet-t)/('2020'!Tau_j))),Resal+(Salim-Resal)*(1-EXP((Tnet-t)/(Tau_j))))*Salcycl</f>
        <v>5.4594960385670591E-2</v>
      </c>
      <c r="P90" s="169">
        <f>(INDEX(Models!$BJ90:$BT90,,T90)*(1-R90)+INDEX(Models!$BJ90:$BT90,,T90+1)*R90-ERP_i)*Q90*Ramure*Pc/MaxiM</f>
        <v>1.5862894776457766E-5</v>
      </c>
      <c r="Q90" s="305">
        <f t="shared" si="27"/>
        <v>0.5</v>
      </c>
      <c r="R90" s="177">
        <f t="shared" si="28"/>
        <v>0.51147218205833811</v>
      </c>
      <c r="S90" s="811">
        <f t="shared" si="29"/>
        <v>-1</v>
      </c>
      <c r="T90" s="176">
        <f t="shared" si="30"/>
        <v>5</v>
      </c>
      <c r="U90" s="251">
        <f t="shared" si="31"/>
        <v>-0.48852781794166189</v>
      </c>
      <c r="V90" s="383">
        <f t="shared" si="32"/>
        <v>46.097093831233117</v>
      </c>
      <c r="W90" s="402"/>
      <c r="X90" s="157">
        <f t="shared" si="33"/>
        <v>44272</v>
      </c>
      <c r="Y90" s="385">
        <f t="shared" si="34"/>
        <v>25.091999999999999</v>
      </c>
      <c r="Z90" s="385">
        <f t="shared" si="35"/>
        <v>25.654951989777867</v>
      </c>
      <c r="AA90" s="386">
        <f t="shared" si="36"/>
        <v>27.136466291996502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5.4594960385670591E-2</v>
      </c>
      <c r="AD90" s="231">
        <f>(INDEX(Models!$BJ90:$BT90,,AH90)*(1-AF90)+INDEX(Models!$BJ90:$BT90,,AH90+1)*AF90-ERP_i)*AE90*Ramure*Pc/MaxiM</f>
        <v>1.5862894776457766E-5</v>
      </c>
      <c r="AE90" s="305">
        <f t="shared" si="38"/>
        <v>0.5</v>
      </c>
      <c r="AF90" s="177">
        <f t="shared" si="39"/>
        <v>0.51147218205833811</v>
      </c>
      <c r="AG90" s="811">
        <f t="shared" si="47"/>
        <v>-1</v>
      </c>
      <c r="AH90" s="176">
        <f t="shared" si="40"/>
        <v>5</v>
      </c>
      <c r="AI90" s="225">
        <f t="shared" si="41"/>
        <v>-0.48852781794166189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7">
        <v>22.963000000000001</v>
      </c>
      <c r="C91" s="390"/>
      <c r="D91" s="393">
        <f t="shared" si="24"/>
        <v>23.47870101813006</v>
      </c>
      <c r="E91" s="385">
        <f t="shared" si="45"/>
        <v>24.836050081769741</v>
      </c>
      <c r="F91" s="385">
        <f t="shared" si="25"/>
        <v>24.836138812812258</v>
      </c>
      <c r="G91" s="110">
        <f t="shared" si="46"/>
        <v>0.49460285721784353</v>
      </c>
      <c r="H91" s="414" t="b">
        <f>Wh_hp&gt;='2020'!Maxi_hp</f>
        <v>0</v>
      </c>
      <c r="I91" s="380">
        <f>IF(H91,Wh_hp,'2020'!Maxi_hp)</f>
        <v>35.441978382349127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2.196463159234574E-2</v>
      </c>
      <c r="M91" s="845"/>
      <c r="N91" s="845"/>
      <c r="O91" s="48">
        <f>IF(t&lt;Tnet,'2020'!Resal+('2020'!Salim-'2020'!Resal)*(1-EXP(('2020'!Tnet-t)/('2020'!Tau_j))),Resal+(Salim-Resal)*(1-EXP((Tnet-t)/(Tau_j))))*Salcycl</f>
        <v>5.4652372626515414E-2</v>
      </c>
      <c r="P91" s="169">
        <f>(INDEX(Models!$BJ91:$BT91,,T91)*(1-R91)+INDEX(Models!$BJ91:$BT91,,T91+1)*R91-ERP_i)*Q91*Ramure*Pc/MaxiM</f>
        <v>1.2850797850570596E-5</v>
      </c>
      <c r="Q91" s="305">
        <f t="shared" si="27"/>
        <v>0.5</v>
      </c>
      <c r="R91" s="177">
        <f t="shared" si="28"/>
        <v>0.51207316413696358</v>
      </c>
      <c r="S91" s="811">
        <f t="shared" si="29"/>
        <v>-1</v>
      </c>
      <c r="T91" s="176">
        <f t="shared" si="30"/>
        <v>5</v>
      </c>
      <c r="U91" s="251">
        <f t="shared" si="31"/>
        <v>-0.48792683586303648</v>
      </c>
      <c r="V91" s="383">
        <f t="shared" si="32"/>
        <v>46.426717133199325</v>
      </c>
      <c r="W91" s="402"/>
      <c r="X91" s="157">
        <f t="shared" si="33"/>
        <v>44273</v>
      </c>
      <c r="Y91" s="385">
        <f t="shared" si="34"/>
        <v>22.963000000000001</v>
      </c>
      <c r="Z91" s="385">
        <f t="shared" si="35"/>
        <v>23.47870101813006</v>
      </c>
      <c r="AA91" s="386">
        <f t="shared" si="36"/>
        <v>24.836050081769741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5.4652372626515414E-2</v>
      </c>
      <c r="AD91" s="231">
        <f>(INDEX(Models!$BJ91:$BT91,,AH91)*(1-AF91)+INDEX(Models!$BJ91:$BT91,,AH91+1)*AF91-ERP_i)*AE91*Ramure*Pc/MaxiM</f>
        <v>1.2850797850570596E-5</v>
      </c>
      <c r="AE91" s="305">
        <f t="shared" si="38"/>
        <v>0.5</v>
      </c>
      <c r="AF91" s="177">
        <f t="shared" si="39"/>
        <v>0.51207316413696358</v>
      </c>
      <c r="AG91" s="811">
        <f t="shared" si="47"/>
        <v>-1</v>
      </c>
      <c r="AH91" s="176">
        <f t="shared" si="40"/>
        <v>5</v>
      </c>
      <c r="AI91" s="225">
        <f t="shared" si="41"/>
        <v>-0.48792683586303648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7">
        <v>9.016</v>
      </c>
      <c r="C92" s="390"/>
      <c r="D92" s="393">
        <f t="shared" si="24"/>
        <v>9.2186824414576716</v>
      </c>
      <c r="E92" s="385">
        <f t="shared" si="45"/>
        <v>9.7522264970626082</v>
      </c>
      <c r="F92" s="385">
        <f t="shared" si="25"/>
        <v>9.7522264970626082</v>
      </c>
      <c r="G92" s="110">
        <f t="shared" si="46"/>
        <v>0.19283464491182695</v>
      </c>
      <c r="H92" s="414" t="b">
        <f>Wh_hp&gt;='2020'!Maxi_hp</f>
        <v>0</v>
      </c>
      <c r="I92" s="380">
        <f>IF(H92,Wh_hp,'2020'!Maxi_hp)</f>
        <v>46.110957889709681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2.1986053076975542E-2</v>
      </c>
      <c r="M92" s="845"/>
      <c r="N92" s="845"/>
      <c r="O92" s="48">
        <f>IF(t&lt;Tnet,'2020'!Resal+('2020'!Salim-'2020'!Resal)*(1-EXP(('2020'!Tnet-t)/('2020'!Tau_j))),Resal+(Salim-Resal)*(1-EXP((Tnet-t)/(Tau_j))))*Salcycl</f>
        <v>5.4709973744522869E-2</v>
      </c>
      <c r="P92" s="169">
        <f>(INDEX(Models!$BJ92:$BT92,,T92)*(1-R92)+INDEX(Models!$BJ92:$BT92,,T92+1)*R92-ERP_i)*Q92*Ramure*Pc/MaxiM</f>
        <v>1.0309555560275429E-5</v>
      </c>
      <c r="Q92" s="305">
        <f t="shared" si="27"/>
        <v>0.5</v>
      </c>
      <c r="R92" s="177">
        <f t="shared" si="28"/>
        <v>0.51269777975117015</v>
      </c>
      <c r="S92" s="811">
        <f t="shared" si="29"/>
        <v>-1</v>
      </c>
      <c r="T92" s="176">
        <f t="shared" si="30"/>
        <v>5</v>
      </c>
      <c r="U92" s="251">
        <f t="shared" si="31"/>
        <v>-0.48730222024882985</v>
      </c>
      <c r="V92" s="383">
        <f t="shared" si="32"/>
        <v>46.754601867157049</v>
      </c>
      <c r="W92" s="402"/>
      <c r="X92" s="157">
        <f t="shared" si="33"/>
        <v>44274</v>
      </c>
      <c r="Y92" s="385">
        <f t="shared" si="34"/>
        <v>9.016</v>
      </c>
      <c r="Z92" s="385">
        <f t="shared" si="35"/>
        <v>9.2186824414576716</v>
      </c>
      <c r="AA92" s="386">
        <f t="shared" si="36"/>
        <v>9.7522264970626082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5.4709973744522869E-2</v>
      </c>
      <c r="AD92" s="231">
        <f>(INDEX(Models!$BJ92:$BT92,,AH92)*(1-AF92)+INDEX(Models!$BJ92:$BT92,,AH92+1)*AF92-ERP_i)*AE92*Ramure*Pc/MaxiM</f>
        <v>1.0309555560275429E-5</v>
      </c>
      <c r="AE92" s="305">
        <f t="shared" si="38"/>
        <v>0.5</v>
      </c>
      <c r="AF92" s="177">
        <f t="shared" si="39"/>
        <v>0.51269777975117015</v>
      </c>
      <c r="AG92" s="811">
        <f t="shared" si="47"/>
        <v>-1</v>
      </c>
      <c r="AH92" s="176">
        <f t="shared" si="40"/>
        <v>5</v>
      </c>
      <c r="AI92" s="225">
        <f t="shared" si="41"/>
        <v>-0.48730222024882985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7">
        <v>43.27</v>
      </c>
      <c r="C93" s="390"/>
      <c r="D93" s="393">
        <f t="shared" si="24"/>
        <v>44.243691903315217</v>
      </c>
      <c r="E93" s="385">
        <f t="shared" si="45"/>
        <v>46.807219630212657</v>
      </c>
      <c r="F93" s="385">
        <f t="shared" si="25"/>
        <v>46.807560270976452</v>
      </c>
      <c r="G93" s="110">
        <f t="shared" si="46"/>
        <v>0.91901066910850049</v>
      </c>
      <c r="H93" s="414" t="b">
        <f>Wh_hp&gt;='2020'!Maxi_hp</f>
        <v>0</v>
      </c>
      <c r="I93" s="380">
        <f>IF(H93,Wh_hp,'2020'!Maxi_hp)</f>
        <v>51.145293953169229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2.2007474092419765E-2</v>
      </c>
      <c r="M93" s="845"/>
      <c r="N93" s="845"/>
      <c r="O93" s="48">
        <f>IF(t&lt;Tnet,'2020'!Resal+('2020'!Salim-'2020'!Resal)*(1-EXP(('2020'!Tnet-t)/('2020'!Tau_j))),Resal+(Salim-Resal)*(1-EXP((Tnet-t)/(Tau_j))))*Salcycl</f>
        <v>5.4767784695392611E-2</v>
      </c>
      <c r="P93" s="169">
        <f>(INDEX(Models!$BJ93:$BT93,,T93)*(1-R93)+INDEX(Models!$BJ93:$BT93,,T93+1)*R93-ERP_i)*Q93*Ramure*Pc/MaxiM</f>
        <v>8.2296223126976083E-6</v>
      </c>
      <c r="Q93" s="305">
        <f t="shared" si="27"/>
        <v>0.5</v>
      </c>
      <c r="R93" s="177">
        <f t="shared" si="28"/>
        <v>0.51334689173379155</v>
      </c>
      <c r="S93" s="811">
        <f t="shared" si="29"/>
        <v>-1</v>
      </c>
      <c r="T93" s="176">
        <f t="shared" si="30"/>
        <v>5</v>
      </c>
      <c r="U93" s="251">
        <f t="shared" si="31"/>
        <v>-0.48665310826620839</v>
      </c>
      <c r="V93" s="383">
        <f t="shared" si="32"/>
        <v>47.083195282358588</v>
      </c>
      <c r="W93" s="402"/>
      <c r="X93" s="157">
        <f t="shared" si="33"/>
        <v>44275</v>
      </c>
      <c r="Y93" s="385">
        <f t="shared" si="34"/>
        <v>43.27</v>
      </c>
      <c r="Z93" s="385">
        <f t="shared" si="35"/>
        <v>44.243691903315217</v>
      </c>
      <c r="AA93" s="386">
        <f t="shared" si="36"/>
        <v>46.807219630212657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5.4767784695392611E-2</v>
      </c>
      <c r="AD93" s="231">
        <f>(INDEX(Models!$BJ93:$BT93,,AH93)*(1-AF93)+INDEX(Models!$BJ93:$BT93,,AH93+1)*AF93-ERP_i)*AE93*Ramure*Pc/MaxiM</f>
        <v>8.2296223126976083E-6</v>
      </c>
      <c r="AE93" s="305">
        <f t="shared" si="38"/>
        <v>0.5</v>
      </c>
      <c r="AF93" s="177">
        <f t="shared" si="39"/>
        <v>0.51334689173379155</v>
      </c>
      <c r="AG93" s="811">
        <f t="shared" si="47"/>
        <v>-1</v>
      </c>
      <c r="AH93" s="176">
        <f t="shared" si="40"/>
        <v>5</v>
      </c>
      <c r="AI93" s="225">
        <f t="shared" si="41"/>
        <v>-0.48665310826620839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7">
        <v>39.664999999999999</v>
      </c>
      <c r="C94" s="390"/>
      <c r="D94" s="393">
        <f t="shared" si="24"/>
        <v>40.558457997944402</v>
      </c>
      <c r="E94" s="385">
        <f t="shared" si="45"/>
        <v>42.911094218181525</v>
      </c>
      <c r="F94" s="385">
        <f t="shared" si="25"/>
        <v>42.911311876188876</v>
      </c>
      <c r="G94" s="110">
        <f t="shared" si="46"/>
        <v>0.83655866566462744</v>
      </c>
      <c r="H94" s="414" t="b">
        <f>Wh_hp&gt;='2020'!Maxi_hp</f>
        <v>0</v>
      </c>
      <c r="I94" s="380">
        <f>IF(H94,Wh_hp,'2020'!Maxi_hp)</f>
        <v>51.378117175877115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2.2028894638688734E-2</v>
      </c>
      <c r="M94" s="845"/>
      <c r="N94" s="845"/>
      <c r="O94" s="48">
        <f>IF(t&lt;Tnet,'2020'!Resal+('2020'!Salim-'2020'!Resal)*(1-EXP(('2020'!Tnet-t)/('2020'!Tau_j))),Resal+(Salim-Resal)*(1-EXP((Tnet-t)/(Tau_j))))*Salcycl</f>
        <v>5.4825826819403393E-2</v>
      </c>
      <c r="P94" s="169">
        <f>(INDEX(Models!$BJ94:$BT94,,T94)*(1-R94)+INDEX(Models!$BJ94:$BT94,,T94+1)*R94-ERP_i)*Q94*Ramure*Pc/MaxiM</f>
        <v>6.6173276302719041E-6</v>
      </c>
      <c r="Q94" s="305">
        <f t="shared" si="27"/>
        <v>0.5</v>
      </c>
      <c r="R94" s="177">
        <f t="shared" si="28"/>
        <v>0.51402138892349181</v>
      </c>
      <c r="S94" s="811">
        <f t="shared" si="29"/>
        <v>-1</v>
      </c>
      <c r="T94" s="176">
        <f t="shared" si="30"/>
        <v>5</v>
      </c>
      <c r="U94" s="251">
        <f t="shared" si="31"/>
        <v>-0.48597861107650819</v>
      </c>
      <c r="V94" s="383">
        <f t="shared" si="32"/>
        <v>47.414413768213208</v>
      </c>
      <c r="W94" s="402"/>
      <c r="X94" s="157">
        <f t="shared" si="33"/>
        <v>44276</v>
      </c>
      <c r="Y94" s="385">
        <f t="shared" si="34"/>
        <v>39.664999999999999</v>
      </c>
      <c r="Z94" s="385">
        <f t="shared" si="35"/>
        <v>40.558457997944402</v>
      </c>
      <c r="AA94" s="386">
        <f t="shared" si="36"/>
        <v>42.911094218181525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5.4825826819403393E-2</v>
      </c>
      <c r="AD94" s="231">
        <f>(INDEX(Models!$BJ94:$BT94,,AH94)*(1-AF94)+INDEX(Models!$BJ94:$BT94,,AH94+1)*AF94-ERP_i)*AE94*Ramure*Pc/MaxiM</f>
        <v>6.6173276302719041E-6</v>
      </c>
      <c r="AE94" s="305">
        <f t="shared" si="38"/>
        <v>0.5</v>
      </c>
      <c r="AF94" s="177">
        <f t="shared" si="39"/>
        <v>0.51402138892349181</v>
      </c>
      <c r="AG94" s="811">
        <f t="shared" si="47"/>
        <v>-1</v>
      </c>
      <c r="AH94" s="176">
        <f t="shared" si="40"/>
        <v>5</v>
      </c>
      <c r="AI94" s="225">
        <f t="shared" si="41"/>
        <v>-0.48597861107650819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7">
        <v>37.989000000000004</v>
      </c>
      <c r="C95" s="390"/>
      <c r="D95" s="393">
        <f t="shared" si="24"/>
        <v>38.845556751684846</v>
      </c>
      <c r="E95" s="385">
        <f t="shared" si="45"/>
        <v>41.101369310053265</v>
      </c>
      <c r="F95" s="385">
        <f t="shared" si="25"/>
        <v>41.101521709385246</v>
      </c>
      <c r="G95" s="110">
        <f t="shared" si="46"/>
        <v>0.7956253600662373</v>
      </c>
      <c r="H95" s="414" t="b">
        <f>Wh_hp&gt;='2020'!Maxi_hp</f>
        <v>0</v>
      </c>
      <c r="I95" s="380">
        <f>IF(H95,Wh_hp,'2020'!Maxi_hp)</f>
        <v>50.23936086110939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2.2050314715792885E-2</v>
      </c>
      <c r="M95" s="845"/>
      <c r="N95" s="845"/>
      <c r="O95" s="48">
        <f>IF(t&lt;Tnet,'2020'!Resal+('2020'!Salim-'2020'!Resal)*(1-EXP(('2020'!Tnet-t)/('2020'!Tau_j))),Resal+(Salim-Resal)*(1-EXP((Tnet-t)/(Tau_j))))*Salcycl</f>
        <v>5.4884121775880923E-2</v>
      </c>
      <c r="P95" s="169">
        <f>(INDEX(Models!$BJ95:$BT95,,T95)*(1-R95)+INDEX(Models!$BJ95:$BT95,,T95+1)*R95-ERP_i)*Q95*Ramure*Pc/MaxiM</f>
        <v>5.2368316906875214E-6</v>
      </c>
      <c r="Q95" s="305">
        <f t="shared" si="27"/>
        <v>0.5</v>
      </c>
      <c r="R95" s="177">
        <f t="shared" si="28"/>
        <v>0.5147221864846665</v>
      </c>
      <c r="S95" s="811">
        <f t="shared" si="29"/>
        <v>-1</v>
      </c>
      <c r="T95" s="176">
        <f t="shared" si="30"/>
        <v>5</v>
      </c>
      <c r="U95" s="251">
        <f t="shared" si="31"/>
        <v>-0.4852778135153335</v>
      </c>
      <c r="V95" s="383">
        <f t="shared" si="32"/>
        <v>47.747273808757647</v>
      </c>
      <c r="W95" s="402"/>
      <c r="X95" s="157">
        <f t="shared" si="33"/>
        <v>44277</v>
      </c>
      <c r="Y95" s="385">
        <f t="shared" si="34"/>
        <v>37.989000000000004</v>
      </c>
      <c r="Z95" s="385">
        <f t="shared" si="35"/>
        <v>38.845556751684846</v>
      </c>
      <c r="AA95" s="386">
        <f t="shared" si="36"/>
        <v>41.101369310053265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5.4884121775880923E-2</v>
      </c>
      <c r="AD95" s="231">
        <f>(INDEX(Models!$BJ95:$BT95,,AH95)*(1-AF95)+INDEX(Models!$BJ95:$BT95,,AH95+1)*AF95-ERP_i)*AE95*Ramure*Pc/MaxiM</f>
        <v>5.2368316906875214E-6</v>
      </c>
      <c r="AE95" s="305">
        <f t="shared" si="38"/>
        <v>0.5</v>
      </c>
      <c r="AF95" s="177">
        <f t="shared" si="39"/>
        <v>0.5147221864846665</v>
      </c>
      <c r="AG95" s="811">
        <f t="shared" si="47"/>
        <v>-1</v>
      </c>
      <c r="AH95" s="176">
        <f t="shared" si="40"/>
        <v>5</v>
      </c>
      <c r="AI95" s="225">
        <f t="shared" si="41"/>
        <v>-0.4852778135153335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7">
        <v>47.634999999999998</v>
      </c>
      <c r="C96" s="390"/>
      <c r="D96" s="393">
        <f t="shared" si="24"/>
        <v>48.710116755915024</v>
      </c>
      <c r="E96" s="385">
        <f t="shared" si="45"/>
        <v>51.541971388062173</v>
      </c>
      <c r="F96" s="385">
        <f t="shared" si="25"/>
        <v>51.542179117528008</v>
      </c>
      <c r="G96" s="110">
        <f t="shared" si="46"/>
        <v>0.99072843904429142</v>
      </c>
      <c r="H96" s="414" t="b">
        <f>Wh_hp&gt;='2020'!Maxi_hp</f>
        <v>1</v>
      </c>
      <c r="I96" s="380">
        <f>IF(H96,Wh_hp,'2020'!Maxi_hp)</f>
        <v>51.542179117528008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2.207173432374232E-2</v>
      </c>
      <c r="M96" s="845"/>
      <c r="N96" s="845"/>
      <c r="O96" s="48">
        <f>IF(t&lt;Tnet,'2020'!Resal+('2020'!Salim-'2020'!Resal)*(1-EXP(('2020'!Tnet-t)/('2020'!Tau_j))),Resal+(Salim-Resal)*(1-EXP((Tnet-t)/(Tau_j))))*Salcycl</f>
        <v>5.4942691478095891E-2</v>
      </c>
      <c r="P96" s="169">
        <f>(INDEX(Models!$BJ96:$BT96,,T96)*(1-R96)+INDEX(Models!$BJ96:$BT96,,T96+1)*R96-ERP_i)*Q96*Ramure*Pc/MaxiM</f>
        <v>4.0843786505774118E-6</v>
      </c>
      <c r="Q96" s="305">
        <f t="shared" si="27"/>
        <v>0.5</v>
      </c>
      <c r="R96" s="177">
        <f t="shared" si="28"/>
        <v>0.51545022618696112</v>
      </c>
      <c r="S96" s="811">
        <f t="shared" si="29"/>
        <v>-1</v>
      </c>
      <c r="T96" s="176">
        <f t="shared" si="30"/>
        <v>5</v>
      </c>
      <c r="U96" s="251">
        <f t="shared" si="31"/>
        <v>-0.48454977381303882</v>
      </c>
      <c r="V96" s="383">
        <f t="shared" si="32"/>
        <v>48.080781317835019</v>
      </c>
      <c r="W96" s="402"/>
      <c r="X96" s="157">
        <f t="shared" si="33"/>
        <v>44278</v>
      </c>
      <c r="Y96" s="385">
        <f t="shared" si="34"/>
        <v>47.634999999999998</v>
      </c>
      <c r="Z96" s="385">
        <f t="shared" si="35"/>
        <v>48.710116755915024</v>
      </c>
      <c r="AA96" s="386">
        <f t="shared" si="36"/>
        <v>51.541971388062173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5.4942691478095891E-2</v>
      </c>
      <c r="AD96" s="231">
        <f>(INDEX(Models!$BJ96:$BT96,,AH96)*(1-AF96)+INDEX(Models!$BJ96:$BT96,,AH96+1)*AF96-ERP_i)*AE96*Ramure*Pc/MaxiM</f>
        <v>4.0843786505774118E-6</v>
      </c>
      <c r="AE96" s="305">
        <f t="shared" si="38"/>
        <v>0.5</v>
      </c>
      <c r="AF96" s="177">
        <f t="shared" si="39"/>
        <v>0.51545022618696112</v>
      </c>
      <c r="AG96" s="811">
        <f t="shared" si="47"/>
        <v>-1</v>
      </c>
      <c r="AH96" s="176">
        <f t="shared" si="40"/>
        <v>5</v>
      </c>
      <c r="AI96" s="225">
        <f t="shared" si="41"/>
        <v>-0.48454977381303882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7">
        <v>46.719000000000001</v>
      </c>
      <c r="C97" s="390"/>
      <c r="D97" s="393">
        <f t="shared" si="24"/>
        <v>47.774489119716705</v>
      </c>
      <c r="E97" s="385">
        <f t="shared" si="45"/>
        <v>50.555098292089518</v>
      </c>
      <c r="F97" s="385">
        <f t="shared" si="25"/>
        <v>50.55524988036008</v>
      </c>
      <c r="G97" s="110">
        <f t="shared" si="46"/>
        <v>0.96499045972890629</v>
      </c>
      <c r="H97" s="414" t="b">
        <f>Wh_hp&gt;='2020'!Maxi_hp</f>
        <v>0</v>
      </c>
      <c r="I97" s="380">
        <f>IF(H97,Wh_hp,'2020'!Maxi_hp)</f>
        <v>51.495753799818651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2.2093153462547366E-2</v>
      </c>
      <c r="M97" s="845"/>
      <c r="N97" s="845"/>
      <c r="O97" s="48">
        <f>IF(t&lt;Tnet,'2020'!Resal+('2020'!Salim-'2020'!Resal)*(1-EXP(('2020'!Tnet-t)/('2020'!Tau_j))),Resal+(Salim-Resal)*(1-EXP((Tnet-t)/(Tau_j))))*Salcycl</f>
        <v>5.5001558028973316E-2</v>
      </c>
      <c r="P97" s="169">
        <f>(INDEX(Models!$BJ97:$BT97,,T97)*(1-R97)+INDEX(Models!$BJ97:$BT97,,T97+1)*R97-ERP_i)*Q97*Ramure*Pc/MaxiM</f>
        <v>3.1563260715682765E-6</v>
      </c>
      <c r="Q97" s="305">
        <f t="shared" si="27"/>
        <v>0.5</v>
      </c>
      <c r="R97" s="177">
        <f t="shared" si="28"/>
        <v>0.51620647663952091</v>
      </c>
      <c r="S97" s="811">
        <f t="shared" si="29"/>
        <v>-1</v>
      </c>
      <c r="T97" s="176">
        <f t="shared" si="30"/>
        <v>5</v>
      </c>
      <c r="U97" s="251">
        <f t="shared" si="31"/>
        <v>-0.48379352336047904</v>
      </c>
      <c r="V97" s="383">
        <f t="shared" si="32"/>
        <v>48.413942494421214</v>
      </c>
      <c r="W97" s="402"/>
      <c r="X97" s="157">
        <f t="shared" si="33"/>
        <v>44279</v>
      </c>
      <c r="Y97" s="385">
        <f t="shared" si="34"/>
        <v>46.719000000000001</v>
      </c>
      <c r="Z97" s="385">
        <f t="shared" si="35"/>
        <v>47.774489119716705</v>
      </c>
      <c r="AA97" s="386">
        <f t="shared" si="36"/>
        <v>50.555098292089518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5.5001558028973316E-2</v>
      </c>
      <c r="AD97" s="231">
        <f>(INDEX(Models!$BJ97:$BT97,,AH97)*(1-AF97)+INDEX(Models!$BJ97:$BT97,,AH97+1)*AF97-ERP_i)*AE97*Ramure*Pc/MaxiM</f>
        <v>3.1563260715682765E-6</v>
      </c>
      <c r="AE97" s="305">
        <f t="shared" si="38"/>
        <v>0.5</v>
      </c>
      <c r="AF97" s="177">
        <f t="shared" si="39"/>
        <v>0.51620647663952091</v>
      </c>
      <c r="AG97" s="811">
        <f t="shared" si="47"/>
        <v>-1</v>
      </c>
      <c r="AH97" s="176">
        <f t="shared" si="40"/>
        <v>5</v>
      </c>
      <c r="AI97" s="225">
        <f t="shared" si="41"/>
        <v>-0.48379352336047904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7">
        <v>33.268000000000001</v>
      </c>
      <c r="C98" s="390"/>
      <c r="D98" s="393">
        <f t="shared" si="24"/>
        <v>34.020345381911255</v>
      </c>
      <c r="E98" s="385">
        <f t="shared" si="45"/>
        <v>36.002679699864849</v>
      </c>
      <c r="F98" s="385">
        <f t="shared" si="25"/>
        <v>36.002727880263052</v>
      </c>
      <c r="G98" s="110">
        <f t="shared" si="46"/>
        <v>0.68247905930818442</v>
      </c>
      <c r="H98" s="414" t="b">
        <f>Wh_hp&gt;='2020'!Maxi_hp</f>
        <v>0</v>
      </c>
      <c r="I98" s="380">
        <f>IF(H98,Wh_hp,'2020'!Maxi_hp)</f>
        <v>48.049790210842104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2.2114572132218235E-2</v>
      </c>
      <c r="M98" s="845"/>
      <c r="N98" s="845"/>
      <c r="O98" s="48">
        <f>IF(t&lt;Tnet,'2020'!Resal+('2020'!Salim-'2020'!Resal)*(1-EXP(('2020'!Tnet-t)/('2020'!Tau_j))),Resal+(Salim-Resal)*(1-EXP((Tnet-t)/(Tau_j))))*Salcycl</f>
        <v>5.5060743657951605E-2</v>
      </c>
      <c r="P98" s="169">
        <f>(INDEX(Models!$BJ98:$BT98,,T98)*(1-R98)+INDEX(Models!$BJ98:$BT98,,T98+1)*R98-ERP_i)*Q98*Ramure*Pc/MaxiM</f>
        <v>2.4492013695106524E-6</v>
      </c>
      <c r="Q98" s="305">
        <f t="shared" si="27"/>
        <v>0.5</v>
      </c>
      <c r="R98" s="177">
        <f t="shared" si="28"/>
        <v>0.51699193347476824</v>
      </c>
      <c r="S98" s="811">
        <f t="shared" si="29"/>
        <v>-1</v>
      </c>
      <c r="T98" s="176">
        <f t="shared" si="30"/>
        <v>5</v>
      </c>
      <c r="U98" s="251">
        <f t="shared" si="31"/>
        <v>-0.48300806652523176</v>
      </c>
      <c r="V98" s="383">
        <f t="shared" si="32"/>
        <v>48.745763825061886</v>
      </c>
      <c r="W98" s="402"/>
      <c r="X98" s="157">
        <f t="shared" si="33"/>
        <v>44280</v>
      </c>
      <c r="Y98" s="385">
        <f t="shared" si="34"/>
        <v>33.268000000000001</v>
      </c>
      <c r="Z98" s="385">
        <f t="shared" si="35"/>
        <v>34.020345381911255</v>
      </c>
      <c r="AA98" s="386">
        <f t="shared" si="36"/>
        <v>36.002679699864849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5.5060743657951605E-2</v>
      </c>
      <c r="AD98" s="231">
        <f>(INDEX(Models!$BJ98:$BT98,,AH98)*(1-AF98)+INDEX(Models!$BJ98:$BT98,,AH98+1)*AF98-ERP_i)*AE98*Ramure*Pc/MaxiM</f>
        <v>2.4492013695106524E-6</v>
      </c>
      <c r="AE98" s="305">
        <f t="shared" si="38"/>
        <v>0.5</v>
      </c>
      <c r="AF98" s="177">
        <f t="shared" si="39"/>
        <v>0.51699193347476824</v>
      </c>
      <c r="AG98" s="811">
        <f t="shared" si="47"/>
        <v>-1</v>
      </c>
      <c r="AH98" s="176">
        <f t="shared" si="40"/>
        <v>5</v>
      </c>
      <c r="AI98" s="225">
        <f t="shared" si="41"/>
        <v>-0.48300806652523176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7">
        <v>38.213000000000001</v>
      </c>
      <c r="C99" s="390"/>
      <c r="D99" s="393">
        <f t="shared" si="24"/>
        <v>39.078030914547938</v>
      </c>
      <c r="E99" s="385">
        <f t="shared" si="45"/>
        <v>41.357677280064365</v>
      </c>
      <c r="F99" s="385">
        <f t="shared" si="25"/>
        <v>41.357732702904727</v>
      </c>
      <c r="G99" s="110">
        <f t="shared" si="46"/>
        <v>0.77866082580785578</v>
      </c>
      <c r="H99" s="414" t="b">
        <f>Wh_hp&gt;='2020'!Maxi_hp</f>
        <v>0</v>
      </c>
      <c r="I99" s="380">
        <f>IF(H99,Wh_hp,'2020'!Maxi_hp)</f>
        <v>54.932815887950575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2.2135990332765365E-2</v>
      </c>
      <c r="M99" s="845"/>
      <c r="N99" s="845"/>
      <c r="O99" s="48">
        <f>IF(t&lt;Tnet,'2020'!Resal+('2020'!Salim-'2020'!Resal)*(1-EXP(('2020'!Tnet-t)/('2020'!Tau_j))),Resal+(Salim-Resal)*(1-EXP((Tnet-t)/(Tau_j))))*Salcycl</f>
        <v>5.5120270659282961E-2</v>
      </c>
      <c r="P99" s="169">
        <f>(INDEX(Models!$BJ99:$BT99,,T99)*(1-R99)+INDEX(Models!$BJ99:$BT99,,T99+1)*R99-ERP_i)*Q99*Ramure*Pc/MaxiM</f>
        <v>1.9597549659401103E-6</v>
      </c>
      <c r="Q99" s="305">
        <f t="shared" si="27"/>
        <v>0.5</v>
      </c>
      <c r="R99" s="177">
        <f t="shared" si="28"/>
        <v>0.51780761947617182</v>
      </c>
      <c r="S99" s="811">
        <f t="shared" si="29"/>
        <v>-1</v>
      </c>
      <c r="T99" s="176">
        <f t="shared" si="30"/>
        <v>5</v>
      </c>
      <c r="U99" s="251">
        <f t="shared" si="31"/>
        <v>-0.48219238052382818</v>
      </c>
      <c r="V99" s="383">
        <f t="shared" si="32"/>
        <v>49.075252091743621</v>
      </c>
      <c r="W99" s="402"/>
      <c r="X99" s="157">
        <f t="shared" si="33"/>
        <v>44281</v>
      </c>
      <c r="Y99" s="385">
        <f t="shared" si="34"/>
        <v>38.213000000000001</v>
      </c>
      <c r="Z99" s="385">
        <f t="shared" si="35"/>
        <v>39.078030914547938</v>
      </c>
      <c r="AA99" s="386">
        <f t="shared" si="36"/>
        <v>41.357677280064365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5.5120270659282961E-2</v>
      </c>
      <c r="AD99" s="231">
        <f>(INDEX(Models!$BJ99:$BT99,,AH99)*(1-AF99)+INDEX(Models!$BJ99:$BT99,,AH99+1)*AF99-ERP_i)*AE99*Ramure*Pc/MaxiM</f>
        <v>1.9597549659401103E-6</v>
      </c>
      <c r="AE99" s="305">
        <f t="shared" si="38"/>
        <v>0.5</v>
      </c>
      <c r="AF99" s="177">
        <f t="shared" si="39"/>
        <v>0.51780761947617182</v>
      </c>
      <c r="AG99" s="811">
        <f t="shared" si="47"/>
        <v>-1</v>
      </c>
      <c r="AH99" s="176">
        <f t="shared" si="40"/>
        <v>5</v>
      </c>
      <c r="AI99" s="225">
        <f t="shared" si="41"/>
        <v>-0.48219238052382818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7">
        <v>43.256999999999998</v>
      </c>
      <c r="C100" s="390"/>
      <c r="D100" s="393">
        <f t="shared" si="24"/>
        <v>44.237181277168148</v>
      </c>
      <c r="E100" s="385">
        <f t="shared" si="45"/>
        <v>46.820758272322323</v>
      </c>
      <c r="F100" s="385">
        <f t="shared" si="25"/>
        <v>46.820823681497913</v>
      </c>
      <c r="G100" s="110">
        <f t="shared" si="46"/>
        <v>0.87562245103390401</v>
      </c>
      <c r="H100" s="414" t="b">
        <f>Wh_hp&gt;='2020'!Maxi_hp</f>
        <v>0</v>
      </c>
      <c r="I100" s="380">
        <f>IF(H100,Wh_hp,'2020'!Maxi_hp)</f>
        <v>54.175577399192605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2.2157408064198858E-2</v>
      </c>
      <c r="M100" s="845"/>
      <c r="N100" s="845"/>
      <c r="O100" s="48">
        <f>IF(t&lt;Tnet,'2020'!Resal+('2020'!Salim-'2020'!Resal)*(1-EXP(('2020'!Tnet-t)/('2020'!Tau_j))),Resal+(Salim-Resal)*(1-EXP((Tnet-t)/(Tau_j))))*Salcycl</f>
        <v>5.5180161332018279E-2</v>
      </c>
      <c r="P100" s="169">
        <f>(INDEX(Models!$BJ100:$BT100,,T100)*(1-R100)+INDEX(Models!$BJ100:$BT100,,T100+1)*R100-ERP_i)*Q100*Ramure*Pc/MaxiM</f>
        <v>1.6988684142454614E-6</v>
      </c>
      <c r="Q100" s="305">
        <f t="shared" si="27"/>
        <v>0.5</v>
      </c>
      <c r="R100" s="177">
        <f t="shared" si="28"/>
        <v>0.51865458464413638</v>
      </c>
      <c r="S100" s="811">
        <f t="shared" si="29"/>
        <v>-1</v>
      </c>
      <c r="T100" s="176">
        <f t="shared" si="30"/>
        <v>5</v>
      </c>
      <c r="U100" s="251">
        <f t="shared" si="31"/>
        <v>-0.48134541535586356</v>
      </c>
      <c r="V100" s="383">
        <f t="shared" si="32"/>
        <v>49.401413693117888</v>
      </c>
      <c r="W100" s="402"/>
      <c r="X100" s="157">
        <f t="shared" si="33"/>
        <v>44282</v>
      </c>
      <c r="Y100" s="385">
        <f t="shared" si="34"/>
        <v>43.256999999999998</v>
      </c>
      <c r="Z100" s="385">
        <f t="shared" si="35"/>
        <v>44.237181277168148</v>
      </c>
      <c r="AA100" s="386">
        <f t="shared" si="36"/>
        <v>46.820758272322323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5.5180161332018279E-2</v>
      </c>
      <c r="AD100" s="231">
        <f>(INDEX(Models!$BJ100:$BT100,,AH100)*(1-AF100)+INDEX(Models!$BJ100:$BT100,,AH100+1)*AF100-ERP_i)*AE100*Ramure*Pc/MaxiM</f>
        <v>1.6988684142454614E-6</v>
      </c>
      <c r="AE100" s="305">
        <f t="shared" si="38"/>
        <v>0.5</v>
      </c>
      <c r="AF100" s="177">
        <f t="shared" si="39"/>
        <v>0.51865458464413638</v>
      </c>
      <c r="AG100" s="811">
        <f t="shared" si="47"/>
        <v>-1</v>
      </c>
      <c r="AH100" s="176">
        <f t="shared" si="40"/>
        <v>5</v>
      </c>
      <c r="AI100" s="225">
        <f t="shared" si="41"/>
        <v>-0.48134541535586356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7">
        <v>47.786999999999999</v>
      </c>
      <c r="C101" s="390"/>
      <c r="D101" s="393">
        <f t="shared" si="24"/>
        <v>48.870899135476151</v>
      </c>
      <c r="E101" s="385">
        <f t="shared" si="45"/>
        <v>51.72839852287683</v>
      </c>
      <c r="F101" s="385">
        <f t="shared" si="25"/>
        <v>51.728470275376466</v>
      </c>
      <c r="G101" s="110">
        <f t="shared" si="46"/>
        <v>0.96105908205079571</v>
      </c>
      <c r="H101" s="414" t="b">
        <f>Wh_hp&gt;='2020'!Maxi_hp</f>
        <v>0</v>
      </c>
      <c r="I101" s="380">
        <f>IF(H101,Wh_hp,'2020'!Maxi_hp)</f>
        <v>52.923988977147388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2.217882532652915E-2</v>
      </c>
      <c r="M101" s="845"/>
      <c r="N101" s="845"/>
      <c r="O101" s="48">
        <f>IF(t&lt;Tnet,'2020'!Resal+('2020'!Salim-'2020'!Resal)*(1-EXP(('2020'!Tnet-t)/('2020'!Tau_j))),Resal+(Salim-Resal)*(1-EXP((Tnet-t)/(Tau_j))))*Salcycl</f>
        <v>5.5240437921869029E-2</v>
      </c>
      <c r="P101" s="169">
        <f>(INDEX(Models!$BJ101:$BT101,,T101)*(1-R101)+INDEX(Models!$BJ101:$BT101,,T101+1)*R101-ERP_i)*Q101*Ramure*Pc/MaxiM</f>
        <v>1.4688082790839394E-6</v>
      </c>
      <c r="Q101" s="305">
        <f t="shared" si="27"/>
        <v>0.5</v>
      </c>
      <c r="R101" s="177">
        <f t="shared" si="28"/>
        <v>0.51953390619380069</v>
      </c>
      <c r="S101" s="811">
        <f t="shared" si="29"/>
        <v>-1</v>
      </c>
      <c r="T101" s="176">
        <f t="shared" si="30"/>
        <v>5</v>
      </c>
      <c r="U101" s="251">
        <f t="shared" si="31"/>
        <v>-0.48046609380619937</v>
      </c>
      <c r="V101" s="383">
        <f t="shared" si="32"/>
        <v>49.723265705342477</v>
      </c>
      <c r="W101" s="402"/>
      <c r="X101" s="157">
        <f t="shared" si="33"/>
        <v>44283</v>
      </c>
      <c r="Y101" s="385">
        <f t="shared" si="34"/>
        <v>47.786999999999999</v>
      </c>
      <c r="Z101" s="385">
        <f t="shared" si="35"/>
        <v>48.870899135476151</v>
      </c>
      <c r="AA101" s="386">
        <f t="shared" si="36"/>
        <v>51.72839852287683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5.5240437921869029E-2</v>
      </c>
      <c r="AD101" s="231">
        <f>(INDEX(Models!$BJ101:$BT101,,AH101)*(1-AF101)+INDEX(Models!$BJ101:$BT101,,AH101+1)*AF101-ERP_i)*AE101*Ramure*Pc/MaxiM</f>
        <v>1.4688082790839394E-6</v>
      </c>
      <c r="AE101" s="305">
        <f t="shared" si="38"/>
        <v>0.5</v>
      </c>
      <c r="AF101" s="177">
        <f t="shared" si="39"/>
        <v>0.51953390619380069</v>
      </c>
      <c r="AG101" s="811">
        <f t="shared" si="47"/>
        <v>-1</v>
      </c>
      <c r="AH101" s="176">
        <f t="shared" si="40"/>
        <v>5</v>
      </c>
      <c r="AI101" s="225">
        <f t="shared" si="41"/>
        <v>-0.48046609380619937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7">
        <v>50.268000000000001</v>
      </c>
      <c r="C102" s="390"/>
      <c r="D102" s="393">
        <f t="shared" si="24"/>
        <v>51.409298882396641</v>
      </c>
      <c r="E102" s="385">
        <f t="shared" si="45"/>
        <v>54.418714905203835</v>
      </c>
      <c r="F102" s="385">
        <f t="shared" si="25"/>
        <v>54.418783965233558</v>
      </c>
      <c r="G102" s="110">
        <f t="shared" si="46"/>
        <v>1.0045600504075045</v>
      </c>
      <c r="H102" s="414" t="b">
        <f>Wh_hp&gt;='2020'!Maxi_hp</f>
        <v>1</v>
      </c>
      <c r="I102" s="380">
        <f>IF(H102,Wh_hp,'2020'!Maxi_hp)</f>
        <v>54.418783965233558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2.2200242119766345E-2</v>
      </c>
      <c r="M102" s="845"/>
      <c r="N102" s="845"/>
      <c r="O102" s="48">
        <f>IF(t&lt;Tnet,'2020'!Resal+('2020'!Salim-'2020'!Resal)*(1-EXP(('2020'!Tnet-t)/('2020'!Tau_j))),Resal+(Salim-Resal)*(1-EXP((Tnet-t)/(Tau_j))))*Salcycl</f>
        <v>5.5301122565086847E-2</v>
      </c>
      <c r="P102" s="169">
        <f>(INDEX(Models!$BJ102:$BT102,,T102)*(1-R102)+INDEX(Models!$BJ102:$BT102,,T102+1)*R102-ERP_i)*Q102*Ramure*Pc/MaxiM</f>
        <v>1.2690476466502364E-6</v>
      </c>
      <c r="Q102" s="305">
        <f t="shared" si="27"/>
        <v>0.5</v>
      </c>
      <c r="R102" s="177">
        <f t="shared" si="28"/>
        <v>0.52044668847818709</v>
      </c>
      <c r="S102" s="811">
        <f t="shared" si="29"/>
        <v>-1</v>
      </c>
      <c r="T102" s="176">
        <f t="shared" si="30"/>
        <v>5</v>
      </c>
      <c r="U102" s="251">
        <f t="shared" si="31"/>
        <v>-0.47955331152181296</v>
      </c>
      <c r="V102" s="383">
        <f t="shared" si="32"/>
        <v>50.039815917036073</v>
      </c>
      <c r="W102" s="402"/>
      <c r="X102" s="157">
        <f t="shared" si="33"/>
        <v>44284</v>
      </c>
      <c r="Y102" s="385">
        <f t="shared" si="34"/>
        <v>50.268000000000001</v>
      </c>
      <c r="Z102" s="385">
        <f t="shared" si="35"/>
        <v>51.409298882396641</v>
      </c>
      <c r="AA102" s="386">
        <f t="shared" si="36"/>
        <v>54.418714905203835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5.5301122565086847E-2</v>
      </c>
      <c r="AD102" s="231">
        <f>(INDEX(Models!$BJ102:$BT102,,AH102)*(1-AF102)+INDEX(Models!$BJ102:$BT102,,AH102+1)*AF102-ERP_i)*AE102*Ramure*Pc/MaxiM</f>
        <v>1.2690476466502364E-6</v>
      </c>
      <c r="AE102" s="305">
        <f t="shared" si="38"/>
        <v>0.5</v>
      </c>
      <c r="AF102" s="177">
        <f t="shared" si="39"/>
        <v>0.52044668847818709</v>
      </c>
      <c r="AG102" s="811">
        <f t="shared" si="47"/>
        <v>-1</v>
      </c>
      <c r="AH102" s="176">
        <f t="shared" si="40"/>
        <v>5</v>
      </c>
      <c r="AI102" s="225">
        <f t="shared" si="41"/>
        <v>-0.47955331152181296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7">
        <v>46.975000000000001</v>
      </c>
      <c r="C103" s="390"/>
      <c r="D103" s="393">
        <f t="shared" si="24"/>
        <v>48.042585935419616</v>
      </c>
      <c r="E103" s="385">
        <f t="shared" si="45"/>
        <v>50.858210235814305</v>
      </c>
      <c r="F103" s="385">
        <f t="shared" si="25"/>
        <v>50.858260781036748</v>
      </c>
      <c r="G103" s="110">
        <f t="shared" si="46"/>
        <v>0.93296777481809634</v>
      </c>
      <c r="H103" s="414" t="b">
        <f>Wh_hp&gt;='2020'!Maxi_hp</f>
        <v>0</v>
      </c>
      <c r="I103" s="380">
        <f>IF(H103,Wh_hp,'2020'!Maxi_hp)</f>
        <v>55.483183570295765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2.2221658443920878E-2</v>
      </c>
      <c r="M103" s="845"/>
      <c r="N103" s="845"/>
      <c r="O103" s="48">
        <f>IF(t&lt;Tnet,'2020'!Resal+('2020'!Salim-'2020'!Resal)*(1-EXP(('2020'!Tnet-t)/('2020'!Tau_j))),Resal+(Salim-Resal)*(1-EXP((Tnet-t)/(Tau_j))))*Salcycl</f>
        <v>5.5362237234450128E-2</v>
      </c>
      <c r="P103" s="169">
        <f>(INDEX(Models!$BJ103:$BT103,,T103)*(1-R103)+INDEX(Models!$BJ103:$BT103,,T103+1)*R103-ERP_i)*Q103*Ramure*Pc/MaxiM</f>
        <v>1.0990943625468448E-6</v>
      </c>
      <c r="Q103" s="305">
        <f t="shared" si="27"/>
        <v>0.5</v>
      </c>
      <c r="R103" s="177">
        <f t="shared" si="28"/>
        <v>0.52139406282980538</v>
      </c>
      <c r="S103" s="811">
        <f t="shared" si="29"/>
        <v>-1</v>
      </c>
      <c r="T103" s="176">
        <f t="shared" si="30"/>
        <v>5</v>
      </c>
      <c r="U103" s="251">
        <f t="shared" si="31"/>
        <v>-0.47860593717019462</v>
      </c>
      <c r="V103" s="383">
        <f t="shared" si="32"/>
        <v>50.350072450315707</v>
      </c>
      <c r="W103" s="402"/>
      <c r="X103" s="157">
        <f t="shared" si="33"/>
        <v>44285</v>
      </c>
      <c r="Y103" s="385">
        <f t="shared" si="34"/>
        <v>46.975000000000001</v>
      </c>
      <c r="Z103" s="385">
        <f t="shared" si="35"/>
        <v>48.042585935419616</v>
      </c>
      <c r="AA103" s="386">
        <f t="shared" si="36"/>
        <v>50.858210235814305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5.5362237234450128E-2</v>
      </c>
      <c r="AD103" s="231">
        <f>(INDEX(Models!$BJ103:$BT103,,AH103)*(1-AF103)+INDEX(Models!$BJ103:$BT103,,AH103+1)*AF103-ERP_i)*AE103*Ramure*Pc/MaxiM</f>
        <v>1.0990943625468448E-6</v>
      </c>
      <c r="AE103" s="305">
        <f t="shared" si="38"/>
        <v>0.5</v>
      </c>
      <c r="AF103" s="177">
        <f t="shared" si="39"/>
        <v>0.52139406282980538</v>
      </c>
      <c r="AG103" s="811">
        <f t="shared" si="47"/>
        <v>-1</v>
      </c>
      <c r="AH103" s="176">
        <f t="shared" si="40"/>
        <v>5</v>
      </c>
      <c r="AI103" s="225">
        <f t="shared" si="41"/>
        <v>-0.47860593717019462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7">
        <v>45.486000000000004</v>
      </c>
      <c r="C104" s="390"/>
      <c r="D104" s="393">
        <f t="shared" si="24"/>
        <v>46.520764828527383</v>
      </c>
      <c r="E104" s="385">
        <f t="shared" si="45"/>
        <v>49.250409877078305</v>
      </c>
      <c r="F104" s="385">
        <f t="shared" si="25"/>
        <v>49.250450204262727</v>
      </c>
      <c r="G104" s="110">
        <f t="shared" si="46"/>
        <v>0.8979913202778379</v>
      </c>
      <c r="H104" s="414" t="b">
        <f>Wh_hp&gt;='2020'!Maxi_hp</f>
        <v>1</v>
      </c>
      <c r="I104" s="380">
        <f>IF(H104,Wh_hp,'2020'!Maxi_hp)</f>
        <v>49.250450204262727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2.2243074299002963E-2</v>
      </c>
      <c r="M104" s="845"/>
      <c r="N104" s="845"/>
      <c r="O104" s="48">
        <f>IF(t&lt;Tnet,'2020'!Resal+('2020'!Salim-'2020'!Resal)*(1-EXP(('2020'!Tnet-t)/('2020'!Tau_j))),Resal+(Salim-Resal)*(1-EXP((Tnet-t)/(Tau_j))))*Salcycl</f>
        <v>5.5423803687394885E-2</v>
      </c>
      <c r="P104" s="169">
        <f>(INDEX(Models!$BJ104:$BT104,,T104)*(1-R104)+INDEX(Models!$BJ104:$BT104,,T104+1)*R104-ERP_i)*Q104*Ramure*Pc/MaxiM</f>
        <v>9.5849701601450352E-7</v>
      </c>
      <c r="Q104" s="305">
        <f t="shared" si="27"/>
        <v>0.5</v>
      </c>
      <c r="R104" s="177">
        <f t="shared" si="28"/>
        <v>0.52237718731346972</v>
      </c>
      <c r="S104" s="811">
        <f t="shared" si="29"/>
        <v>-1</v>
      </c>
      <c r="T104" s="176">
        <f t="shared" si="30"/>
        <v>5</v>
      </c>
      <c r="U104" s="251">
        <f t="shared" si="31"/>
        <v>-0.47762281268653034</v>
      </c>
      <c r="V104" s="383">
        <f t="shared" si="32"/>
        <v>50.653043764953971</v>
      </c>
      <c r="W104" s="402"/>
      <c r="X104" s="157">
        <f t="shared" si="33"/>
        <v>44286</v>
      </c>
      <c r="Y104" s="385">
        <f t="shared" si="34"/>
        <v>45.486000000000004</v>
      </c>
      <c r="Z104" s="385">
        <f t="shared" si="35"/>
        <v>46.520764828527383</v>
      </c>
      <c r="AA104" s="386">
        <f t="shared" si="36"/>
        <v>49.250409877078305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5.5423803687394885E-2</v>
      </c>
      <c r="AD104" s="231">
        <f>(INDEX(Models!$BJ104:$BT104,,AH104)*(1-AF104)+INDEX(Models!$BJ104:$BT104,,AH104+1)*AF104-ERP_i)*AE104*Ramure*Pc/MaxiM</f>
        <v>9.5849701601450352E-7</v>
      </c>
      <c r="AE104" s="305">
        <f t="shared" si="38"/>
        <v>0.5</v>
      </c>
      <c r="AF104" s="177">
        <f t="shared" si="39"/>
        <v>0.52237718731346972</v>
      </c>
      <c r="AG104" s="811">
        <f t="shared" si="47"/>
        <v>-1</v>
      </c>
      <c r="AH104" s="176">
        <f t="shared" si="40"/>
        <v>5</v>
      </c>
      <c r="AI104" s="225">
        <f t="shared" si="41"/>
        <v>-0.47762281268653034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7">
        <v>46.548999999999999</v>
      </c>
      <c r="C105" s="390"/>
      <c r="D105" s="393">
        <f t="shared" si="24"/>
        <v>47.608989863735495</v>
      </c>
      <c r="E105" s="385">
        <f t="shared" si="45"/>
        <v>50.405798083467289</v>
      </c>
      <c r="F105" s="385">
        <f t="shared" si="25"/>
        <v>50.405835504746996</v>
      </c>
      <c r="G105" s="110">
        <f t="shared" si="46"/>
        <v>0.91366165314729808</v>
      </c>
      <c r="H105" s="414" t="b">
        <f>Wh_hp&gt;='2020'!Maxi_hp</f>
        <v>1</v>
      </c>
      <c r="I105" s="380">
        <f>IF(H105,Wh_hp,'2020'!Maxi_hp)</f>
        <v>50.405835504746996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2.2264489685022815E-2</v>
      </c>
      <c r="M105" s="845"/>
      <c r="N105" s="845"/>
      <c r="O105" s="48">
        <f>IF(t&lt;Tnet,'2020'!Resal+('2020'!Salim-'2020'!Resal)*(1-EXP(('2020'!Tnet-t)/('2020'!Tau_j))),Resal+(Salim-Resal)*(1-EXP((Tnet-t)/(Tau_j))))*Salcycl</f>
        <v>5.548584341627804E-2</v>
      </c>
      <c r="P105" s="169">
        <f>(INDEX(Models!$BJ105:$BT105,,T105)*(1-R105)+INDEX(Models!$BJ105:$BT105,,T105+1)*R105-ERP_i)*Q105*Ramure*Pc/MaxiM</f>
        <v>8.4685060882633387E-7</v>
      </c>
      <c r="Q105" s="305">
        <f t="shared" si="27"/>
        <v>0.5</v>
      </c>
      <c r="R105" s="177">
        <f t="shared" si="28"/>
        <v>0.52339724638275487</v>
      </c>
      <c r="S105" s="811">
        <f t="shared" si="29"/>
        <v>-1</v>
      </c>
      <c r="T105" s="176">
        <f t="shared" si="30"/>
        <v>5</v>
      </c>
      <c r="U105" s="251">
        <f t="shared" si="31"/>
        <v>-0.47660275361724513</v>
      </c>
      <c r="V105" s="383">
        <f t="shared" si="32"/>
        <v>50.94773867061803</v>
      </c>
      <c r="W105" s="402"/>
      <c r="X105" s="157">
        <f t="shared" si="33"/>
        <v>44287</v>
      </c>
      <c r="Y105" s="385">
        <f t="shared" si="34"/>
        <v>46.548999999999999</v>
      </c>
      <c r="Z105" s="385">
        <f t="shared" si="35"/>
        <v>47.608989863735495</v>
      </c>
      <c r="AA105" s="386">
        <f t="shared" si="36"/>
        <v>50.405798083467289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5.548584341627804E-2</v>
      </c>
      <c r="AD105" s="231">
        <f>(INDEX(Models!$BJ105:$BT105,,AH105)*(1-AF105)+INDEX(Models!$BJ105:$BT105,,AH105+1)*AF105-ERP_i)*AE105*Ramure*Pc/MaxiM</f>
        <v>8.4685060882633387E-7</v>
      </c>
      <c r="AE105" s="305">
        <f t="shared" si="38"/>
        <v>0.5</v>
      </c>
      <c r="AF105" s="177">
        <f t="shared" si="39"/>
        <v>0.52339724638275487</v>
      </c>
      <c r="AG105" s="811">
        <f t="shared" si="47"/>
        <v>-1</v>
      </c>
      <c r="AH105" s="176">
        <f t="shared" si="40"/>
        <v>5</v>
      </c>
      <c r="AI105" s="225">
        <f t="shared" si="41"/>
        <v>-0.47660275361724513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7">
        <v>42.253999999999998</v>
      </c>
      <c r="C106" s="390"/>
      <c r="D106" s="393">
        <f t="shared" si="24"/>
        <v>43.217132901003311</v>
      </c>
      <c r="E106" s="385">
        <f t="shared" si="45"/>
        <v>45.75896941255116</v>
      </c>
      <c r="F106" s="385">
        <f t="shared" si="25"/>
        <v>45.758995612636852</v>
      </c>
      <c r="G106" s="110">
        <f t="shared" si="46"/>
        <v>0.82473903017033856</v>
      </c>
      <c r="H106" s="414" t="b">
        <f>Wh_hp&gt;='2020'!Maxi_hp</f>
        <v>1</v>
      </c>
      <c r="I106" s="380">
        <f>IF(H106,Wh_hp,'2020'!Maxi_hp)</f>
        <v>45.758995612636852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2.2285904601990758E-2</v>
      </c>
      <c r="M106" s="845"/>
      <c r="N106" s="845"/>
      <c r="O106" s="48">
        <f>IF(t&lt;Tnet,'2020'!Resal+('2020'!Salim-'2020'!Resal)*(1-EXP(('2020'!Tnet-t)/('2020'!Tau_j))),Resal+(Salim-Resal)*(1-EXP((Tnet-t)/(Tau_j))))*Salcycl</f>
        <v>5.5548377600712552E-2</v>
      </c>
      <c r="P106" s="169">
        <f>(INDEX(Models!$BJ106:$BT106,,T106)*(1-R106)+INDEX(Models!$BJ106:$BT106,,T106+1)*R106-ERP_i)*Q106*Ramure*Pc/MaxiM</f>
        <v>7.6380196198709717E-7</v>
      </c>
      <c r="Q106" s="305">
        <f t="shared" si="27"/>
        <v>0.5</v>
      </c>
      <c r="R106" s="177">
        <f t="shared" si="28"/>
        <v>0.52445545043219421</v>
      </c>
      <c r="S106" s="811">
        <f t="shared" si="29"/>
        <v>-1</v>
      </c>
      <c r="T106" s="176">
        <f t="shared" si="30"/>
        <v>5</v>
      </c>
      <c r="U106" s="251">
        <f t="shared" si="31"/>
        <v>-0.47554454956780579</v>
      </c>
      <c r="V106" s="383">
        <f t="shared" si="32"/>
        <v>51.233166339686328</v>
      </c>
      <c r="W106" s="402"/>
      <c r="X106" s="157">
        <f t="shared" si="33"/>
        <v>44288</v>
      </c>
      <c r="Y106" s="385">
        <f t="shared" si="34"/>
        <v>42.253999999999998</v>
      </c>
      <c r="Z106" s="385">
        <f t="shared" si="35"/>
        <v>43.217132901003311</v>
      </c>
      <c r="AA106" s="386">
        <f t="shared" si="36"/>
        <v>45.75896941255116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5.5548377600712552E-2</v>
      </c>
      <c r="AD106" s="231">
        <f>(INDEX(Models!$BJ106:$BT106,,AH106)*(1-AF106)+INDEX(Models!$BJ106:$BT106,,AH106+1)*AF106-ERP_i)*AE106*Ramure*Pc/MaxiM</f>
        <v>7.6380196198709717E-7</v>
      </c>
      <c r="AE106" s="305">
        <f t="shared" si="38"/>
        <v>0.5</v>
      </c>
      <c r="AF106" s="177">
        <f t="shared" si="39"/>
        <v>0.52445545043219421</v>
      </c>
      <c r="AG106" s="811">
        <f t="shared" si="47"/>
        <v>-1</v>
      </c>
      <c r="AH106" s="176">
        <f t="shared" si="40"/>
        <v>5</v>
      </c>
      <c r="AI106" s="225">
        <f t="shared" si="41"/>
        <v>-0.47554454956780579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7">
        <v>49.268000000000001</v>
      </c>
      <c r="C107" s="390"/>
      <c r="D107" s="393">
        <f t="shared" si="24"/>
        <v>50.392112940973753</v>
      </c>
      <c r="E107" s="385">
        <f t="shared" si="45"/>
        <v>53.359511524156339</v>
      </c>
      <c r="F107" s="385">
        <f t="shared" si="25"/>
        <v>53.35954700357199</v>
      </c>
      <c r="G107" s="110">
        <f t="shared" si="46"/>
        <v>0.9564553160175816</v>
      </c>
      <c r="H107" s="414" t="b">
        <f>Wh_hp&gt;='2020'!Maxi_hp</f>
        <v>1</v>
      </c>
      <c r="I107" s="380">
        <f>IF(H107,Wh_hp,'2020'!Maxi_hp)</f>
        <v>53.35954700357199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2.2307319049917007E-2</v>
      </c>
      <c r="M107" s="845"/>
      <c r="N107" s="845"/>
      <c r="O107" s="48">
        <f>IF(t&lt;Tnet,'2020'!Resal+('2020'!Salim-'2020'!Resal)*(1-EXP(('2020'!Tnet-t)/('2020'!Tau_j))),Resal+(Salim-Resal)*(1-EXP((Tnet-t)/(Tau_j))))*Salcycl</f>
        <v>5.5611427061869168E-2</v>
      </c>
      <c r="P107" s="169">
        <f>(INDEX(Models!$BJ107:$BT107,,T107)*(1-R107)+INDEX(Models!$BJ107:$BT107,,T107+1)*R107-ERP_i)*Q107*Ramure*Pc/MaxiM</f>
        <v>7.0901784644126335E-7</v>
      </c>
      <c r="Q107" s="305">
        <f t="shared" si="27"/>
        <v>0.5</v>
      </c>
      <c r="R107" s="177">
        <f t="shared" si="28"/>
        <v>0.5255530352370078</v>
      </c>
      <c r="S107" s="811">
        <f t="shared" si="29"/>
        <v>-1</v>
      </c>
      <c r="T107" s="176">
        <f t="shared" si="30"/>
        <v>5</v>
      </c>
      <c r="U107" s="251">
        <f t="shared" si="31"/>
        <v>-0.4744469647629922</v>
      </c>
      <c r="V107" s="383">
        <f t="shared" si="32"/>
        <v>51.51102932036779</v>
      </c>
      <c r="W107" s="402"/>
      <c r="X107" s="157">
        <f t="shared" si="33"/>
        <v>44289</v>
      </c>
      <c r="Y107" s="385">
        <f t="shared" si="34"/>
        <v>49.268000000000001</v>
      </c>
      <c r="Z107" s="385">
        <f t="shared" si="35"/>
        <v>50.392112940973753</v>
      </c>
      <c r="AA107" s="386">
        <f t="shared" si="36"/>
        <v>53.359511524156339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5.5611427061869168E-2</v>
      </c>
      <c r="AD107" s="231">
        <f>(INDEX(Models!$BJ107:$BT107,,AH107)*(1-AF107)+INDEX(Models!$BJ107:$BT107,,AH107+1)*AF107-ERP_i)*AE107*Ramure*Pc/MaxiM</f>
        <v>7.0901784644126335E-7</v>
      </c>
      <c r="AE107" s="305">
        <f t="shared" si="38"/>
        <v>0.5</v>
      </c>
      <c r="AF107" s="177">
        <f t="shared" si="39"/>
        <v>0.5255530352370078</v>
      </c>
      <c r="AG107" s="811">
        <f t="shared" si="47"/>
        <v>-1</v>
      </c>
      <c r="AH107" s="176">
        <f t="shared" si="40"/>
        <v>5</v>
      </c>
      <c r="AI107" s="225">
        <f t="shared" si="41"/>
        <v>-0.4744469647629922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7">
        <v>49.407000000000004</v>
      </c>
      <c r="C108" s="390"/>
      <c r="D108" s="393">
        <f t="shared" si="24"/>
        <v>50.535391259949989</v>
      </c>
      <c r="E108" s="385">
        <f t="shared" si="45"/>
        <v>53.514830078443495</v>
      </c>
      <c r="F108" s="385">
        <f t="shared" si="25"/>
        <v>53.514865118940129</v>
      </c>
      <c r="G108" s="110">
        <f t="shared" si="46"/>
        <v>0.95410468673874793</v>
      </c>
      <c r="H108" s="414" t="b">
        <f>Wh_hp&gt;='2020'!Maxi_hp</f>
        <v>0</v>
      </c>
      <c r="I108" s="380">
        <f>IF(H108,Wh_hp,'2020'!Maxi_hp)</f>
        <v>56.536713073450201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2.2328733028811998E-2</v>
      </c>
      <c r="M108" s="845"/>
      <c r="N108" s="845"/>
      <c r="O108" s="48">
        <f>IF(t&lt;Tnet,'2020'!Resal+('2020'!Salim-'2020'!Resal)*(1-EXP(('2020'!Tnet-t)/('2020'!Tau_j))),Resal+(Salim-Resal)*(1-EXP((Tnet-t)/(Tau_j))))*Salcycl</f>
        <v>5.5675012218597338E-2</v>
      </c>
      <c r="P108" s="169">
        <f>(INDEX(Models!$BJ108:$BT108,,T108)*(1-R108)+INDEX(Models!$BJ108:$BT108,,T108+1)*R108-ERP_i)*Q108*Ramure*Pc/MaxiM</f>
        <v>7.0072331474034671E-7</v>
      </c>
      <c r="Q108" s="305">
        <f t="shared" si="27"/>
        <v>0.5</v>
      </c>
      <c r="R108" s="177">
        <f t="shared" si="28"/>
        <v>0.5266912612718605</v>
      </c>
      <c r="S108" s="811">
        <f t="shared" si="29"/>
        <v>-1</v>
      </c>
      <c r="T108" s="176">
        <f t="shared" si="30"/>
        <v>5</v>
      </c>
      <c r="U108" s="251">
        <f t="shared" si="31"/>
        <v>-0.4733087387281395</v>
      </c>
      <c r="V108" s="383">
        <f t="shared" si="32"/>
        <v>51.783623345345177</v>
      </c>
      <c r="W108" s="402"/>
      <c r="X108" s="157">
        <f t="shared" si="33"/>
        <v>44290</v>
      </c>
      <c r="Y108" s="385">
        <f t="shared" si="34"/>
        <v>49.407000000000004</v>
      </c>
      <c r="Z108" s="385">
        <f t="shared" si="35"/>
        <v>50.535391259949989</v>
      </c>
      <c r="AA108" s="386">
        <f t="shared" si="36"/>
        <v>53.514830078443495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5.5675012218597338E-2</v>
      </c>
      <c r="AD108" s="231">
        <f>(INDEX(Models!$BJ108:$BT108,,AH108)*(1-AF108)+INDEX(Models!$BJ108:$BT108,,AH108+1)*AF108-ERP_i)*AE108*Ramure*Pc/MaxiM</f>
        <v>7.0072331474034671E-7</v>
      </c>
      <c r="AE108" s="305">
        <f t="shared" si="38"/>
        <v>0.5</v>
      </c>
      <c r="AF108" s="177">
        <f t="shared" si="39"/>
        <v>0.5266912612718605</v>
      </c>
      <c r="AG108" s="811">
        <f t="shared" si="47"/>
        <v>-1</v>
      </c>
      <c r="AH108" s="176">
        <f t="shared" si="40"/>
        <v>5</v>
      </c>
      <c r="AI108" s="225">
        <f t="shared" si="41"/>
        <v>-0.4733087387281395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7">
        <v>47.556000000000004</v>
      </c>
      <c r="C109" s="390"/>
      <c r="D109" s="393">
        <f t="shared" si="24"/>
        <v>48.643182251427412</v>
      </c>
      <c r="E109" s="385">
        <f t="shared" si="45"/>
        <v>51.514560206852323</v>
      </c>
      <c r="F109" s="385">
        <f t="shared" si="25"/>
        <v>51.51459292491252</v>
      </c>
      <c r="G109" s="110">
        <f t="shared" si="46"/>
        <v>0.91364494332677071</v>
      </c>
      <c r="H109" s="414" t="b">
        <f>Wh_hp&gt;='2020'!Maxi_hp</f>
        <v>0</v>
      </c>
      <c r="I109" s="380">
        <f>IF(H109,Wh_hp,'2020'!Maxi_hp)</f>
        <v>58.623693621493487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2.2350146538685833E-2</v>
      </c>
      <c r="M109" s="845"/>
      <c r="N109" s="845"/>
      <c r="O109" s="48">
        <f>IF(t&lt;Tnet,'2020'!Resal+('2020'!Salim-'2020'!Resal)*(1-EXP(('2020'!Tnet-t)/('2020'!Tau_j))),Resal+(Salim-Resal)*(1-EXP((Tnet-t)/(Tau_j))))*Salcycl</f>
        <v>5.5739153045180602E-2</v>
      </c>
      <c r="P109" s="169">
        <f>(INDEX(Models!$BJ109:$BT109,,T109)*(1-R109)+INDEX(Models!$BJ109:$BT109,,T109+1)*R109-ERP_i)*Q109*Ramure*Pc/MaxiM</f>
        <v>7.2449951189354187E-7</v>
      </c>
      <c r="Q109" s="305">
        <f t="shared" si="27"/>
        <v>0.5</v>
      </c>
      <c r="R109" s="177">
        <f t="shared" si="28"/>
        <v>0.52787141289987916</v>
      </c>
      <c r="S109" s="811">
        <f t="shared" si="29"/>
        <v>-1</v>
      </c>
      <c r="T109" s="176">
        <f t="shared" si="30"/>
        <v>5</v>
      </c>
      <c r="U109" s="251">
        <f t="shared" si="31"/>
        <v>-0.47212858710012079</v>
      </c>
      <c r="V109" s="383">
        <f t="shared" si="32"/>
        <v>52.050849837144973</v>
      </c>
      <c r="W109" s="402"/>
      <c r="X109" s="157">
        <f t="shared" si="33"/>
        <v>44291</v>
      </c>
      <c r="Y109" s="385">
        <f t="shared" si="34"/>
        <v>47.556000000000004</v>
      </c>
      <c r="Z109" s="385">
        <f t="shared" si="35"/>
        <v>48.643182251427412</v>
      </c>
      <c r="AA109" s="386">
        <f t="shared" si="36"/>
        <v>51.514560206852323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5.5739153045180602E-2</v>
      </c>
      <c r="AD109" s="231">
        <f>(INDEX(Models!$BJ109:$BT109,,AH109)*(1-AF109)+INDEX(Models!$BJ109:$BT109,,AH109+1)*AF109-ERP_i)*AE109*Ramure*Pc/MaxiM</f>
        <v>7.2449951189354187E-7</v>
      </c>
      <c r="AE109" s="305">
        <f t="shared" si="38"/>
        <v>0.5</v>
      </c>
      <c r="AF109" s="177">
        <f t="shared" si="39"/>
        <v>0.52787141289987916</v>
      </c>
      <c r="AG109" s="811">
        <f t="shared" si="47"/>
        <v>-1</v>
      </c>
      <c r="AH109" s="176">
        <f t="shared" si="40"/>
        <v>5</v>
      </c>
      <c r="AI109" s="225">
        <f t="shared" si="41"/>
        <v>-0.47212858710012079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7">
        <v>31.48</v>
      </c>
      <c r="C110" s="390"/>
      <c r="D110" s="393">
        <f t="shared" si="24"/>
        <v>32.200372553054322</v>
      </c>
      <c r="E110" s="385">
        <f t="shared" si="45"/>
        <v>34.103478606707782</v>
      </c>
      <c r="F110" s="385">
        <f t="shared" si="25"/>
        <v>34.103490076780197</v>
      </c>
      <c r="G110" s="110">
        <f t="shared" si="46"/>
        <v>0.60176669259078885</v>
      </c>
      <c r="H110" s="414" t="b">
        <f>Wh_hp&gt;='2020'!Maxi_hp</f>
        <v>0</v>
      </c>
      <c r="I110" s="380">
        <f>IF(H110,Wh_hp,'2020'!Maxi_hp)</f>
        <v>59.354429100482541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2.2371559579548839E-2</v>
      </c>
      <c r="M110" s="845"/>
      <c r="N110" s="845"/>
      <c r="O110" s="48">
        <f>IF(t&lt;Tnet,'2020'!Resal+('2020'!Salim-'2020'!Resal)*(1-EXP(('2020'!Tnet-t)/('2020'!Tau_j))),Resal+(Salim-Resal)*(1-EXP((Tnet-t)/(Tau_j))))*Salcycl</f>
        <v>5.5803869030508151E-2</v>
      </c>
      <c r="P110" s="169">
        <f>(INDEX(Models!$BJ110:$BT110,,T110)*(1-R110)+INDEX(Models!$BJ110:$BT110,,T110+1)*R110-ERP_i)*Q110*Ramure*Pc/MaxiM</f>
        <v>7.8017797614455888E-7</v>
      </c>
      <c r="Q110" s="305">
        <f t="shared" si="27"/>
        <v>0.5</v>
      </c>
      <c r="R110" s="177">
        <f t="shared" si="28"/>
        <v>0.52909479742291943</v>
      </c>
      <c r="S110" s="811">
        <f t="shared" si="29"/>
        <v>-1</v>
      </c>
      <c r="T110" s="176">
        <f t="shared" si="30"/>
        <v>5</v>
      </c>
      <c r="U110" s="251">
        <f t="shared" si="31"/>
        <v>-0.47090520257708057</v>
      </c>
      <c r="V110" s="383">
        <f t="shared" si="32"/>
        <v>52.312609546686893</v>
      </c>
      <c r="W110" s="402"/>
      <c r="X110" s="157">
        <f t="shared" si="33"/>
        <v>44292</v>
      </c>
      <c r="Y110" s="385">
        <f t="shared" si="34"/>
        <v>31.479999999999997</v>
      </c>
      <c r="Z110" s="385">
        <f t="shared" si="35"/>
        <v>32.200372553054322</v>
      </c>
      <c r="AA110" s="386">
        <f t="shared" si="36"/>
        <v>34.103478606707782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5.5803869030508151E-2</v>
      </c>
      <c r="AD110" s="231">
        <f>(INDEX(Models!$BJ110:$BT110,,AH110)*(1-AF110)+INDEX(Models!$BJ110:$BT110,,AH110+1)*AF110-ERP_i)*AE110*Ramure*Pc/MaxiM</f>
        <v>7.8017797614455888E-7</v>
      </c>
      <c r="AE110" s="305">
        <f t="shared" si="38"/>
        <v>0.5</v>
      </c>
      <c r="AF110" s="177">
        <f t="shared" si="39"/>
        <v>0.52909479742291943</v>
      </c>
      <c r="AG110" s="811">
        <f t="shared" si="47"/>
        <v>-1</v>
      </c>
      <c r="AH110" s="176">
        <f t="shared" si="40"/>
        <v>5</v>
      </c>
      <c r="AI110" s="225">
        <f t="shared" si="41"/>
        <v>-0.47090520257708057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7">
        <v>52.012</v>
      </c>
      <c r="C111" s="390"/>
      <c r="D111" s="393">
        <f t="shared" si="24"/>
        <v>53.203381848085066</v>
      </c>
      <c r="E111" s="385">
        <f t="shared" si="45"/>
        <v>56.351705370166158</v>
      </c>
      <c r="F111" s="385">
        <f t="shared" si="25"/>
        <v>56.351753523847592</v>
      </c>
      <c r="G111" s="110">
        <f t="shared" si="46"/>
        <v>0.98940809127295182</v>
      </c>
      <c r="H111" s="414" t="b">
        <f>Wh_hp&gt;='2020'!Maxi_hp</f>
        <v>1</v>
      </c>
      <c r="I111" s="380">
        <f>IF(H111,Wh_hp,'2020'!Maxi_hp)</f>
        <v>56.351753523847592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2.2392972151411228E-2</v>
      </c>
      <c r="M111" s="845"/>
      <c r="N111" s="845"/>
      <c r="O111" s="48">
        <f>IF(t&lt;Tnet,'2020'!Resal+('2020'!Salim-'2020'!Resal)*(1-EXP(('2020'!Tnet-t)/('2020'!Tau_j))),Resal+(Salim-Resal)*(1-EXP((Tnet-t)/(Tau_j))))*Salcycl</f>
        <v>5.5869179138416665E-2</v>
      </c>
      <c r="P111" s="169">
        <f>(INDEX(Models!$BJ111:$BT111,,T111)*(1-R111)+INDEX(Models!$BJ111:$BT111,,T111+1)*R111-ERP_i)*Q111*Ramure*Pc/MaxiM</f>
        <v>8.676482919172593E-7</v>
      </c>
      <c r="Q111" s="305">
        <f t="shared" si="27"/>
        <v>0.5</v>
      </c>
      <c r="R111" s="177">
        <f t="shared" si="28"/>
        <v>0.5303627439838684</v>
      </c>
      <c r="S111" s="811">
        <f t="shared" si="29"/>
        <v>-1</v>
      </c>
      <c r="T111" s="176">
        <f t="shared" si="30"/>
        <v>5</v>
      </c>
      <c r="U111" s="251">
        <f t="shared" si="31"/>
        <v>-0.4696372560161316</v>
      </c>
      <c r="V111" s="383">
        <f t="shared" si="32"/>
        <v>52.568803283421325</v>
      </c>
      <c r="W111" s="402"/>
      <c r="X111" s="157">
        <f t="shared" si="33"/>
        <v>44293</v>
      </c>
      <c r="Y111" s="385">
        <f t="shared" si="34"/>
        <v>52.012</v>
      </c>
      <c r="Z111" s="385">
        <f t="shared" si="35"/>
        <v>53.203381848085066</v>
      </c>
      <c r="AA111" s="386">
        <f t="shared" si="36"/>
        <v>56.351705370166158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5.5869179138416665E-2</v>
      </c>
      <c r="AD111" s="231">
        <f>(INDEX(Models!$BJ111:$BT111,,AH111)*(1-AF111)+INDEX(Models!$BJ111:$BT111,,AH111+1)*AF111-ERP_i)*AE111*Ramure*Pc/MaxiM</f>
        <v>8.676482919172593E-7</v>
      </c>
      <c r="AE111" s="305">
        <f t="shared" si="38"/>
        <v>0.5</v>
      </c>
      <c r="AF111" s="177">
        <f t="shared" si="39"/>
        <v>0.5303627439838684</v>
      </c>
      <c r="AG111" s="811">
        <f t="shared" si="47"/>
        <v>-1</v>
      </c>
      <c r="AH111" s="176">
        <f t="shared" si="40"/>
        <v>5</v>
      </c>
      <c r="AI111" s="225">
        <f t="shared" si="41"/>
        <v>-0.4696372560161316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7">
        <v>51.492000000000004</v>
      </c>
      <c r="C112" s="390"/>
      <c r="D112" s="393">
        <f t="shared" si="24"/>
        <v>52.672624443968679</v>
      </c>
      <c r="E112" s="385">
        <f t="shared" si="45"/>
        <v>55.793435962573739</v>
      </c>
      <c r="F112" s="385">
        <f t="shared" si="25"/>
        <v>55.793489046232402</v>
      </c>
      <c r="G112" s="110">
        <f t="shared" si="46"/>
        <v>0.97487030407730002</v>
      </c>
      <c r="H112" s="414" t="b">
        <f>Wh_hp&gt;='2020'!Maxi_hp</f>
        <v>1</v>
      </c>
      <c r="I112" s="380">
        <f>IF(H112,Wh_hp,'2020'!Maxi_hp)</f>
        <v>55.793489046232402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2.2414384254283437E-2</v>
      </c>
      <c r="M112" s="845"/>
      <c r="N112" s="845"/>
      <c r="O112" s="48">
        <f>IF(t&lt;Tnet,'2020'!Resal+('2020'!Salim-'2020'!Resal)*(1-EXP(('2020'!Tnet-t)/('2020'!Tau_j))),Resal+(Salim-Resal)*(1-EXP((Tnet-t)/(Tau_j))))*Salcycl</f>
        <v>5.5935101768933855E-2</v>
      </c>
      <c r="P112" s="169">
        <f>(INDEX(Models!$BJ112:$BT112,,T112)*(1-R112)+INDEX(Models!$BJ112:$BT112,,T112+1)*R112-ERP_i)*Q112*Ramure*Pc/MaxiM</f>
        <v>9.8685881847423229E-7</v>
      </c>
      <c r="Q112" s="305">
        <f t="shared" si="27"/>
        <v>0.5</v>
      </c>
      <c r="R112" s="177">
        <f t="shared" si="28"/>
        <v>0.53167660231161196</v>
      </c>
      <c r="S112" s="811">
        <f t="shared" si="29"/>
        <v>-1</v>
      </c>
      <c r="T112" s="176">
        <f t="shared" si="30"/>
        <v>5</v>
      </c>
      <c r="U112" s="251">
        <f t="shared" si="31"/>
        <v>-0.46832339768838799</v>
      </c>
      <c r="V112" s="383">
        <f t="shared" si="32"/>
        <v>52.819331925890133</v>
      </c>
      <c r="W112" s="402"/>
      <c r="X112" s="157">
        <f t="shared" si="33"/>
        <v>44294</v>
      </c>
      <c r="Y112" s="385">
        <f t="shared" si="34"/>
        <v>51.492000000000004</v>
      </c>
      <c r="Z112" s="385">
        <f t="shared" si="35"/>
        <v>52.672624443968679</v>
      </c>
      <c r="AA112" s="386">
        <f t="shared" si="36"/>
        <v>55.793435962573739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5.5935101768933855E-2</v>
      </c>
      <c r="AD112" s="231">
        <f>(INDEX(Models!$BJ112:$BT112,,AH112)*(1-AF112)+INDEX(Models!$BJ112:$BT112,,AH112+1)*AF112-ERP_i)*AE112*Ramure*Pc/MaxiM</f>
        <v>9.8685881847423229E-7</v>
      </c>
      <c r="AE112" s="305">
        <f t="shared" si="38"/>
        <v>0.5</v>
      </c>
      <c r="AF112" s="177">
        <f t="shared" si="39"/>
        <v>0.53167660231161196</v>
      </c>
      <c r="AG112" s="811">
        <f t="shared" si="47"/>
        <v>-1</v>
      </c>
      <c r="AH112" s="176">
        <f t="shared" si="40"/>
        <v>5</v>
      </c>
      <c r="AI112" s="225">
        <f t="shared" si="41"/>
        <v>-0.46832339768838799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7">
        <v>31.905000000000001</v>
      </c>
      <c r="C113" s="390"/>
      <c r="D113" s="393">
        <f t="shared" si="24"/>
        <v>32.637242511337249</v>
      </c>
      <c r="E113" s="385">
        <f t="shared" si="45"/>
        <v>34.573410721034151</v>
      </c>
      <c r="F113" s="385">
        <f t="shared" si="25"/>
        <v>34.573427650755228</v>
      </c>
      <c r="G113" s="110">
        <f t="shared" si="46"/>
        <v>0.60125360601150013</v>
      </c>
      <c r="H113" s="414" t="b">
        <f>Wh_hp&gt;='2020'!Maxi_hp</f>
        <v>0</v>
      </c>
      <c r="I113" s="380">
        <f>IF(H113,Wh_hp,'2020'!Maxi_hp)</f>
        <v>41.648731192226585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2.2435795888175569E-2</v>
      </c>
      <c r="M113" s="845"/>
      <c r="N113" s="845"/>
      <c r="O113" s="48">
        <f>IF(t&lt;Tnet,'2020'!Resal+('2020'!Salim-'2020'!Resal)*(1-EXP(('2020'!Tnet-t)/('2020'!Tau_j))),Resal+(Salim-Resal)*(1-EXP((Tnet-t)/(Tau_j))))*Salcycl</f>
        <v>5.6001654720138891E-2</v>
      </c>
      <c r="P113" s="169">
        <f>(INDEX(Models!$BJ113:$BT113,,T113)*(1-R113)+INDEX(Models!$BJ113:$BT113,,T113+1)*R113-ERP_i)*Q113*Ramure*Pc/MaxiM</f>
        <v>1.1378174475343423E-6</v>
      </c>
      <c r="Q113" s="305">
        <f t="shared" si="27"/>
        <v>0.5</v>
      </c>
      <c r="R113" s="177">
        <f t="shared" si="28"/>
        <v>0.53303774129917803</v>
      </c>
      <c r="S113" s="811">
        <f t="shared" si="29"/>
        <v>-1</v>
      </c>
      <c r="T113" s="176">
        <f t="shared" si="30"/>
        <v>5</v>
      </c>
      <c r="U113" s="251">
        <f t="shared" si="31"/>
        <v>-0.46696225870082197</v>
      </c>
      <c r="V113" s="383">
        <f t="shared" si="32"/>
        <v>53.064096417867368</v>
      </c>
      <c r="W113" s="402"/>
      <c r="X113" s="157">
        <f t="shared" si="33"/>
        <v>44295</v>
      </c>
      <c r="Y113" s="385">
        <f t="shared" si="34"/>
        <v>31.905000000000001</v>
      </c>
      <c r="Z113" s="385">
        <f t="shared" si="35"/>
        <v>32.637242511337249</v>
      </c>
      <c r="AA113" s="386">
        <f t="shared" si="36"/>
        <v>34.573410721034151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5.6001654720138891E-2</v>
      </c>
      <c r="AD113" s="231">
        <f>(INDEX(Models!$BJ113:$BT113,,AH113)*(1-AF113)+INDEX(Models!$BJ113:$BT113,,AH113+1)*AF113-ERP_i)*AE113*Ramure*Pc/MaxiM</f>
        <v>1.1378174475343423E-6</v>
      </c>
      <c r="AE113" s="305">
        <f t="shared" si="38"/>
        <v>0.5</v>
      </c>
      <c r="AF113" s="177">
        <f t="shared" si="39"/>
        <v>0.53303774129917803</v>
      </c>
      <c r="AG113" s="811">
        <f t="shared" si="47"/>
        <v>-1</v>
      </c>
      <c r="AH113" s="176">
        <f t="shared" si="40"/>
        <v>5</v>
      </c>
      <c r="AI113" s="225">
        <f t="shared" si="41"/>
        <v>-0.46696225870082197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7">
        <v>33.112000000000002</v>
      </c>
      <c r="C114" s="390"/>
      <c r="D114" s="393">
        <f t="shared" si="24"/>
        <v>33.872685921176419</v>
      </c>
      <c r="E114" s="385">
        <f t="shared" si="45"/>
        <v>35.884699965664851</v>
      </c>
      <c r="F114" s="385">
        <f t="shared" si="25"/>
        <v>35.884722555039602</v>
      </c>
      <c r="G114" s="110">
        <f t="shared" si="46"/>
        <v>0.62120290592197935</v>
      </c>
      <c r="H114" s="414" t="b">
        <f>Wh_hp&gt;='2020'!Maxi_hp</f>
        <v>0</v>
      </c>
      <c r="I114" s="380">
        <f>IF(H114,Wh_hp,'2020'!Maxi_hp)</f>
        <v>58.06042842516851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2.2457207053098061E-2</v>
      </c>
      <c r="M114" s="845"/>
      <c r="N114" s="845"/>
      <c r="O114" s="48">
        <f>IF(t&lt;Tnet,'2020'!Resal+('2020'!Salim-'2020'!Resal)*(1-EXP(('2020'!Tnet-t)/('2020'!Tau_j))),Resal+(Salim-Resal)*(1-EXP((Tnet-t)/(Tau_j))))*Salcycl</f>
        <v>5.6068855150344377E-2</v>
      </c>
      <c r="P114" s="169">
        <f>(INDEX(Models!$BJ114:$BT114,,T114)*(1-R114)+INDEX(Models!$BJ114:$BT114,,T114+1)*R114-ERP_i)*Q114*Ramure*Pc/MaxiM</f>
        <v>1.3718687654387985E-6</v>
      </c>
      <c r="Q114" s="305">
        <f t="shared" si="27"/>
        <v>0.5</v>
      </c>
      <c r="R114" s="177">
        <f t="shared" si="28"/>
        <v>0.53444754740552058</v>
      </c>
      <c r="S114" s="811">
        <f t="shared" si="29"/>
        <v>-1</v>
      </c>
      <c r="T114" s="176">
        <f t="shared" si="30"/>
        <v>5</v>
      </c>
      <c r="U114" s="251">
        <f t="shared" si="31"/>
        <v>-0.46555245259447942</v>
      </c>
      <c r="V114" s="383">
        <f t="shared" si="32"/>
        <v>53.302995048730658</v>
      </c>
      <c r="W114" s="402"/>
      <c r="X114" s="157">
        <f t="shared" si="33"/>
        <v>44296</v>
      </c>
      <c r="Y114" s="385">
        <f t="shared" si="34"/>
        <v>33.112000000000002</v>
      </c>
      <c r="Z114" s="385">
        <f t="shared" si="35"/>
        <v>33.872685921176419</v>
      </c>
      <c r="AA114" s="386">
        <f t="shared" si="36"/>
        <v>35.884699965664851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5.6068855150344377E-2</v>
      </c>
      <c r="AD114" s="231">
        <f>(INDEX(Models!$BJ114:$BT114,,AH114)*(1-AF114)+INDEX(Models!$BJ114:$BT114,,AH114+1)*AF114-ERP_i)*AE114*Ramure*Pc/MaxiM</f>
        <v>1.3718687654387985E-6</v>
      </c>
      <c r="AE114" s="305">
        <f t="shared" si="38"/>
        <v>0.5</v>
      </c>
      <c r="AF114" s="177">
        <f t="shared" si="39"/>
        <v>0.53444754740552058</v>
      </c>
      <c r="AG114" s="811">
        <f t="shared" si="47"/>
        <v>-1</v>
      </c>
      <c r="AH114" s="176">
        <f t="shared" si="40"/>
        <v>5</v>
      </c>
      <c r="AI114" s="225">
        <f t="shared" si="41"/>
        <v>-0.46555245259447942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7">
        <v>8.1579999999999995</v>
      </c>
      <c r="C115" s="390"/>
      <c r="D115" s="393">
        <f t="shared" si="24"/>
        <v>8.3455974960001065</v>
      </c>
      <c r="E115" s="385">
        <f t="shared" si="45"/>
        <v>8.8419558942217407</v>
      </c>
      <c r="F115" s="385">
        <f t="shared" si="25"/>
        <v>8.8419558942217407</v>
      </c>
      <c r="G115" s="110">
        <f t="shared" si="46"/>
        <v>0.15238338795105238</v>
      </c>
      <c r="H115" s="414" t="b">
        <f>Wh_hp&gt;='2020'!Maxi_hp</f>
        <v>0</v>
      </c>
      <c r="I115" s="380">
        <f>IF(H115,Wh_hp,'2020'!Maxi_hp)</f>
        <v>59.123099904366789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2.2478617749061014E-2</v>
      </c>
      <c r="M115" s="845"/>
      <c r="N115" s="845"/>
      <c r="O115" s="48">
        <f>IF(t&lt;Tnet,'2020'!Resal+('2020'!Salim-'2020'!Resal)*(1-EXP(('2020'!Tnet-t)/('2020'!Tau_j))),Resal+(Salim-Resal)*(1-EXP((Tnet-t)/(Tau_j))))*Salcycl</f>
        <v>5.6136719540300632E-2</v>
      </c>
      <c r="P115" s="169">
        <f>(INDEX(Models!$BJ115:$BT115,,T115)*(1-R115)+INDEX(Models!$BJ115:$BT115,,T115+1)*R115-ERP_i)*Q115*Ramure*Pc/MaxiM</f>
        <v>1.6756323433961281E-6</v>
      </c>
      <c r="Q115" s="305">
        <f t="shared" si="27"/>
        <v>0.5</v>
      </c>
      <c r="R115" s="177">
        <f t="shared" si="28"/>
        <v>0.53590742287141768</v>
      </c>
      <c r="S115" s="811">
        <f t="shared" si="29"/>
        <v>-1</v>
      </c>
      <c r="T115" s="176">
        <f t="shared" si="30"/>
        <v>5</v>
      </c>
      <c r="U115" s="251">
        <f t="shared" si="31"/>
        <v>-0.46409257712858232</v>
      </c>
      <c r="V115" s="383">
        <f t="shared" si="32"/>
        <v>53.535929604162618</v>
      </c>
      <c r="W115" s="402"/>
      <c r="X115" s="157">
        <f t="shared" si="33"/>
        <v>44297</v>
      </c>
      <c r="Y115" s="385">
        <f t="shared" si="34"/>
        <v>8.1579999999999995</v>
      </c>
      <c r="Z115" s="385">
        <f t="shared" si="35"/>
        <v>8.3455974960001065</v>
      </c>
      <c r="AA115" s="386">
        <f t="shared" si="36"/>
        <v>8.8419558942217407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5.6136719540300632E-2</v>
      </c>
      <c r="AD115" s="231">
        <f>(INDEX(Models!$BJ115:$BT115,,AH115)*(1-AF115)+INDEX(Models!$BJ115:$BT115,,AH115+1)*AF115-ERP_i)*AE115*Ramure*Pc/MaxiM</f>
        <v>1.6756323433961281E-6</v>
      </c>
      <c r="AE115" s="305">
        <f t="shared" si="38"/>
        <v>0.5</v>
      </c>
      <c r="AF115" s="177">
        <f t="shared" si="39"/>
        <v>0.53590742287141768</v>
      </c>
      <c r="AG115" s="811">
        <f t="shared" si="47"/>
        <v>-1</v>
      </c>
      <c r="AH115" s="176">
        <f t="shared" si="40"/>
        <v>5</v>
      </c>
      <c r="AI115" s="225">
        <f t="shared" si="41"/>
        <v>-0.46409257712858232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7">
        <v>41.771999999999998</v>
      </c>
      <c r="C116" s="390"/>
      <c r="D116" s="393">
        <f t="shared" si="24"/>
        <v>42.733505059351138</v>
      </c>
      <c r="E116" s="385">
        <f t="shared" si="45"/>
        <v>45.278388842100732</v>
      </c>
      <c r="F116" s="385">
        <f t="shared" si="25"/>
        <v>45.278452066968754</v>
      </c>
      <c r="G116" s="110">
        <f t="shared" si="46"/>
        <v>0.77696793618721172</v>
      </c>
      <c r="H116" s="414" t="b">
        <f>Wh_hp&gt;='2020'!Maxi_hp</f>
        <v>0</v>
      </c>
      <c r="I116" s="380">
        <f>IF(H116,Wh_hp,'2020'!Maxi_hp)</f>
        <v>58.323508945597986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2.2500027976074866E-2</v>
      </c>
      <c r="M116" s="845"/>
      <c r="N116" s="845"/>
      <c r="O116" s="48">
        <f>IF(t&lt;Tnet,'2020'!Resal+('2020'!Salim-'2020'!Resal)*(1-EXP(('2020'!Tnet-t)/('2020'!Tau_j))),Resal+(Salim-Resal)*(1-EXP((Tnet-t)/(Tau_j))))*Salcycl</f>
        <v>5.6205263655126098E-2</v>
      </c>
      <c r="P116" s="169">
        <f>(INDEX(Models!$BJ116:$BT116,,T116)*(1-R116)+INDEX(Models!$BJ116:$BT116,,T116+1)*R116-ERP_i)*Q116*Ramure*Pc/MaxiM</f>
        <v>2.0492962881224993E-6</v>
      </c>
      <c r="Q116" s="305">
        <f t="shared" si="27"/>
        <v>0.5</v>
      </c>
      <c r="R116" s="177">
        <f t="shared" si="28"/>
        <v>0.53741878374004592</v>
      </c>
      <c r="S116" s="811">
        <f t="shared" si="29"/>
        <v>-1</v>
      </c>
      <c r="T116" s="176">
        <f t="shared" si="30"/>
        <v>5</v>
      </c>
      <c r="U116" s="251">
        <f t="shared" si="31"/>
        <v>-0.46258121625995402</v>
      </c>
      <c r="V116" s="383">
        <f t="shared" si="32"/>
        <v>53.762801242936582</v>
      </c>
      <c r="W116" s="402"/>
      <c r="X116" s="157">
        <f t="shared" si="33"/>
        <v>44298</v>
      </c>
      <c r="Y116" s="385">
        <f t="shared" si="34"/>
        <v>41.771999999999998</v>
      </c>
      <c r="Z116" s="385">
        <f t="shared" si="35"/>
        <v>42.733505059351138</v>
      </c>
      <c r="AA116" s="386">
        <f t="shared" si="36"/>
        <v>45.278388842100732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5.6205263655126098E-2</v>
      </c>
      <c r="AD116" s="231">
        <f>(INDEX(Models!$BJ116:$BT116,,AH116)*(1-AF116)+INDEX(Models!$BJ116:$BT116,,AH116+1)*AF116-ERP_i)*AE116*Ramure*Pc/MaxiM</f>
        <v>2.0492962881224993E-6</v>
      </c>
      <c r="AE116" s="305">
        <f t="shared" si="38"/>
        <v>0.5</v>
      </c>
      <c r="AF116" s="177">
        <f t="shared" si="39"/>
        <v>0.53741878374004592</v>
      </c>
      <c r="AG116" s="811">
        <f t="shared" si="47"/>
        <v>-1</v>
      </c>
      <c r="AH116" s="176">
        <f t="shared" si="40"/>
        <v>5</v>
      </c>
      <c r="AI116" s="225">
        <f t="shared" si="41"/>
        <v>-0.46258121625995402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7">
        <v>48.021000000000001</v>
      </c>
      <c r="C117" s="390"/>
      <c r="D117" s="393">
        <f t="shared" si="24"/>
        <v>49.127420133577786</v>
      </c>
      <c r="E117" s="385">
        <f t="shared" si="45"/>
        <v>52.056896061424112</v>
      </c>
      <c r="F117" s="385">
        <f t="shared" si="25"/>
        <v>52.057005370187099</v>
      </c>
      <c r="G117" s="110">
        <f t="shared" si="46"/>
        <v>0.88954904994929129</v>
      </c>
      <c r="H117" s="414" t="b">
        <f>Wh_hp&gt;='2020'!Maxi_hp</f>
        <v>0</v>
      </c>
      <c r="I117" s="380">
        <f>IF(H117,Wh_hp,'2020'!Maxi_hp)</f>
        <v>59.034851740298983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2.2521437734149719E-2</v>
      </c>
      <c r="M117" s="845"/>
      <c r="N117" s="845"/>
      <c r="O117" s="48">
        <f>IF(t&lt;Tnet,'2020'!Resal+('2020'!Salim-'2020'!Resal)*(1-EXP(('2020'!Tnet-t)/('2020'!Tau_j))),Resal+(Salim-Resal)*(1-EXP((Tnet-t)/(Tau_j))))*Salcycl</f>
        <v>5.6274502505676033E-2</v>
      </c>
      <c r="P117" s="169">
        <f>(INDEX(Models!$BJ117:$BT117,,T117)*(1-R117)+INDEX(Models!$BJ117:$BT117,,T117+1)*R117-ERP_i)*Q117*Ramure*Pc/MaxiM</f>
        <v>2.4931800132113143E-6</v>
      </c>
      <c r="Q117" s="305">
        <f t="shared" si="27"/>
        <v>0.5</v>
      </c>
      <c r="R117" s="177">
        <f t="shared" si="28"/>
        <v>0.5389830576729675</v>
      </c>
      <c r="S117" s="811">
        <f t="shared" si="29"/>
        <v>-1</v>
      </c>
      <c r="T117" s="176">
        <f t="shared" si="30"/>
        <v>5</v>
      </c>
      <c r="U117" s="251">
        <f t="shared" si="31"/>
        <v>-0.46101694232703244</v>
      </c>
      <c r="V117" s="383">
        <f t="shared" si="32"/>
        <v>53.983511209079346</v>
      </c>
      <c r="W117" s="402"/>
      <c r="X117" s="157">
        <f t="shared" si="33"/>
        <v>44299</v>
      </c>
      <c r="Y117" s="385">
        <f t="shared" si="34"/>
        <v>48.021000000000001</v>
      </c>
      <c r="Z117" s="385">
        <f t="shared" si="35"/>
        <v>49.127420133577786</v>
      </c>
      <c r="AA117" s="386">
        <f t="shared" si="36"/>
        <v>52.056896061424112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5.6274502505676033E-2</v>
      </c>
      <c r="AD117" s="231">
        <f>(INDEX(Models!$BJ117:$BT117,,AH117)*(1-AF117)+INDEX(Models!$BJ117:$BT117,,AH117+1)*AF117-ERP_i)*AE117*Ramure*Pc/MaxiM</f>
        <v>2.4931800132113143E-6</v>
      </c>
      <c r="AE117" s="305">
        <f t="shared" si="38"/>
        <v>0.5</v>
      </c>
      <c r="AF117" s="177">
        <f t="shared" si="39"/>
        <v>0.5389830576729675</v>
      </c>
      <c r="AG117" s="811">
        <f t="shared" si="47"/>
        <v>-1</v>
      </c>
      <c r="AH117" s="176">
        <f t="shared" si="40"/>
        <v>5</v>
      </c>
      <c r="AI117" s="225">
        <f t="shared" si="41"/>
        <v>-0.46101694232703244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7">
        <v>53.050000000000004</v>
      </c>
      <c r="C118" s="390"/>
      <c r="D118" s="393">
        <f t="shared" si="24"/>
        <v>54.273478728396348</v>
      </c>
      <c r="E118" s="385">
        <f t="shared" si="45"/>
        <v>57.514077828687284</v>
      </c>
      <c r="F118" s="385">
        <f t="shared" si="25"/>
        <v>57.514245582008527</v>
      </c>
      <c r="G118" s="110">
        <f t="shared" si="46"/>
        <v>0.97881902478863814</v>
      </c>
      <c r="H118" s="414" t="b">
        <f>Wh_hp&gt;='2020'!Maxi_hp</f>
        <v>1</v>
      </c>
      <c r="I118" s="380">
        <f>IF(H118,Wh_hp,'2020'!Maxi_hp)</f>
        <v>57.514245582008527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2.2542847023295898E-2</v>
      </c>
      <c r="M118" s="845"/>
      <c r="N118" s="845"/>
      <c r="O118" s="48">
        <f>IF(t&lt;Tnet,'2020'!Resal+('2020'!Salim-'2020'!Resal)*(1-EXP(('2020'!Tnet-t)/('2020'!Tau_j))),Resal+(Salim-Resal)*(1-EXP((Tnet-t)/(Tau_j))))*Salcycl</f>
        <v>5.6344450309078344E-2</v>
      </c>
      <c r="P118" s="169">
        <f>(INDEX(Models!$BJ118:$BT118,,T118)*(1-R118)+INDEX(Models!$BJ118:$BT118,,T118+1)*R118-ERP_i)*Q118*Ramure*Pc/MaxiM</f>
        <v>3.0077357459171677E-6</v>
      </c>
      <c r="Q118" s="305">
        <f t="shared" si="27"/>
        <v>0.5</v>
      </c>
      <c r="R118" s="177">
        <f t="shared" si="28"/>
        <v>0.54060168155253119</v>
      </c>
      <c r="S118" s="811">
        <f t="shared" si="29"/>
        <v>-1</v>
      </c>
      <c r="T118" s="176">
        <f t="shared" si="30"/>
        <v>5</v>
      </c>
      <c r="U118" s="251">
        <f t="shared" si="31"/>
        <v>-0.45939831844746887</v>
      </c>
      <c r="V118" s="383">
        <f t="shared" si="32"/>
        <v>54.19796083693619</v>
      </c>
      <c r="W118" s="402"/>
      <c r="X118" s="157">
        <f t="shared" si="33"/>
        <v>44300</v>
      </c>
      <c r="Y118" s="385">
        <f t="shared" si="34"/>
        <v>53.050000000000004</v>
      </c>
      <c r="Z118" s="385">
        <f t="shared" si="35"/>
        <v>54.273478728396348</v>
      </c>
      <c r="AA118" s="386">
        <f t="shared" si="36"/>
        <v>57.514077828687284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5.6344450309078344E-2</v>
      </c>
      <c r="AD118" s="231">
        <f>(INDEX(Models!$BJ118:$BT118,,AH118)*(1-AF118)+INDEX(Models!$BJ118:$BT118,,AH118+1)*AF118-ERP_i)*AE118*Ramure*Pc/MaxiM</f>
        <v>3.0077357459171677E-6</v>
      </c>
      <c r="AE118" s="305">
        <f t="shared" si="38"/>
        <v>0.5</v>
      </c>
      <c r="AF118" s="177">
        <f t="shared" si="39"/>
        <v>0.54060168155253119</v>
      </c>
      <c r="AG118" s="811">
        <f t="shared" si="47"/>
        <v>-1</v>
      </c>
      <c r="AH118" s="176">
        <f t="shared" si="40"/>
        <v>5</v>
      </c>
      <c r="AI118" s="225">
        <f t="shared" si="41"/>
        <v>-0.45939831844746887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7">
        <v>53.493000000000002</v>
      </c>
      <c r="C119" s="390"/>
      <c r="D119" s="393">
        <f t="shared" si="24"/>
        <v>54.727894206656295</v>
      </c>
      <c r="E119" s="385">
        <f t="shared" si="45"/>
        <v>57.999969470315257</v>
      </c>
      <c r="F119" s="385">
        <f t="shared" si="25"/>
        <v>58.00017289991299</v>
      </c>
      <c r="G119" s="110">
        <f t="shared" si="46"/>
        <v>0.98321774619540236</v>
      </c>
      <c r="H119" s="414" t="b">
        <f>Wh_hp&gt;='2020'!Maxi_hp</f>
        <v>1</v>
      </c>
      <c r="I119" s="380">
        <f>IF(H119,Wh_hp,'2020'!Maxi_hp)</f>
        <v>58.00017289991299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2.2564255843523728E-2</v>
      </c>
      <c r="M119" s="845"/>
      <c r="N119" s="845"/>
      <c r="O119" s="48">
        <f>IF(t&lt;Tnet,'2020'!Resal+('2020'!Salim-'2020'!Resal)*(1-EXP(('2020'!Tnet-t)/('2020'!Tau_j))),Resal+(Salim-Resal)*(1-EXP((Tnet-t)/(Tau_j))))*Salcycl</f>
        <v>5.6415120448186293E-2</v>
      </c>
      <c r="P119" s="169">
        <f>(INDEX(Models!$BJ119:$BT119,,T119)*(1-R119)+INDEX(Models!$BJ119:$BT119,,T119+1)*R119-ERP_i)*Q119*Ramure*Pc/MaxiM</f>
        <v>3.5935500658422817E-6</v>
      </c>
      <c r="Q119" s="305">
        <f t="shared" si="27"/>
        <v>0.5</v>
      </c>
      <c r="R119" s="177">
        <f t="shared" si="28"/>
        <v>0.54227609886206263</v>
      </c>
      <c r="S119" s="811">
        <f t="shared" si="29"/>
        <v>-1</v>
      </c>
      <c r="T119" s="176">
        <f t="shared" si="30"/>
        <v>5</v>
      </c>
      <c r="U119" s="251">
        <f t="shared" si="31"/>
        <v>-0.45772390113793737</v>
      </c>
      <c r="V119" s="383">
        <f t="shared" si="32"/>
        <v>54.406051557103211</v>
      </c>
      <c r="W119" s="402"/>
      <c r="X119" s="157">
        <f t="shared" si="33"/>
        <v>44301</v>
      </c>
      <c r="Y119" s="385">
        <f t="shared" si="34"/>
        <v>53.493000000000002</v>
      </c>
      <c r="Z119" s="385">
        <f t="shared" si="35"/>
        <v>54.727894206656295</v>
      </c>
      <c r="AA119" s="386">
        <f t="shared" si="36"/>
        <v>57.999969470315257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5.6415120448186293E-2</v>
      </c>
      <c r="AD119" s="231">
        <f>(INDEX(Models!$BJ119:$BT119,,AH119)*(1-AF119)+INDEX(Models!$BJ119:$BT119,,AH119+1)*AF119-ERP_i)*AE119*Ramure*Pc/MaxiM</f>
        <v>3.5935500658422817E-6</v>
      </c>
      <c r="AE119" s="305">
        <f t="shared" si="38"/>
        <v>0.5</v>
      </c>
      <c r="AF119" s="177">
        <f t="shared" si="39"/>
        <v>0.54227609886206263</v>
      </c>
      <c r="AG119" s="811">
        <f t="shared" si="47"/>
        <v>-1</v>
      </c>
      <c r="AH119" s="176">
        <f t="shared" si="40"/>
        <v>5</v>
      </c>
      <c r="AI119" s="225">
        <f t="shared" si="41"/>
        <v>-0.45772390113793737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7">
        <v>47.536999999999999</v>
      </c>
      <c r="C120" s="390"/>
      <c r="D120" s="393">
        <f t="shared" si="24"/>
        <v>48.635464263823017</v>
      </c>
      <c r="E120" s="385">
        <f t="shared" si="45"/>
        <v>51.547185678481398</v>
      </c>
      <c r="F120" s="385">
        <f t="shared" si="25"/>
        <v>51.547364287981196</v>
      </c>
      <c r="G120" s="110">
        <f t="shared" si="46"/>
        <v>0.87051781637408954</v>
      </c>
      <c r="H120" s="414" t="b">
        <f>Wh_hp&gt;='2020'!Maxi_hp</f>
        <v>0</v>
      </c>
      <c r="I120" s="380">
        <f>IF(H120,Wh_hp,'2020'!Maxi_hp)</f>
        <v>52.848516926149152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2.2585664194843535E-2</v>
      </c>
      <c r="M120" s="845"/>
      <c r="N120" s="845"/>
      <c r="O120" s="48">
        <f>IF(t&lt;Tnet,'2020'!Resal+('2020'!Salim-'2020'!Resal)*(1-EXP(('2020'!Tnet-t)/('2020'!Tau_j))),Resal+(Salim-Resal)*(1-EXP((Tnet-t)/(Tau_j))))*Salcycl</f>
        <v>5.648652542972666E-2</v>
      </c>
      <c r="P120" s="169">
        <f>(INDEX(Models!$BJ120:$BT120,,T120)*(1-R120)+INDEX(Models!$BJ120:$BT120,,T120+1)*R120-ERP_i)*Q120*Ramure*Pc/MaxiM</f>
        <v>4.2513454716020013E-6</v>
      </c>
      <c r="Q120" s="305">
        <f t="shared" si="27"/>
        <v>0.5</v>
      </c>
      <c r="R120" s="177">
        <f t="shared" si="28"/>
        <v>0.54400775683570501</v>
      </c>
      <c r="S120" s="811">
        <f t="shared" si="29"/>
        <v>-1</v>
      </c>
      <c r="T120" s="176">
        <f t="shared" si="30"/>
        <v>5</v>
      </c>
      <c r="U120" s="251">
        <f t="shared" si="31"/>
        <v>-0.45599224316429499</v>
      </c>
      <c r="V120" s="383">
        <f t="shared" si="32"/>
        <v>54.607684901172547</v>
      </c>
      <c r="W120" s="402"/>
      <c r="X120" s="157">
        <f t="shared" si="33"/>
        <v>44302</v>
      </c>
      <c r="Y120" s="385">
        <f t="shared" si="34"/>
        <v>47.536999999999999</v>
      </c>
      <c r="Z120" s="385">
        <f t="shared" si="35"/>
        <v>48.635464263823017</v>
      </c>
      <c r="AA120" s="386">
        <f t="shared" si="36"/>
        <v>51.547185678481398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5.648652542972666E-2</v>
      </c>
      <c r="AD120" s="231">
        <f>(INDEX(Models!$BJ120:$BT120,,AH120)*(1-AF120)+INDEX(Models!$BJ120:$BT120,,AH120+1)*AF120-ERP_i)*AE120*Ramure*Pc/MaxiM</f>
        <v>4.2513454716020013E-6</v>
      </c>
      <c r="AE120" s="305">
        <f t="shared" si="38"/>
        <v>0.5</v>
      </c>
      <c r="AF120" s="177">
        <f t="shared" si="39"/>
        <v>0.54400775683570501</v>
      </c>
      <c r="AG120" s="811">
        <f t="shared" si="47"/>
        <v>-1</v>
      </c>
      <c r="AH120" s="176">
        <f t="shared" si="40"/>
        <v>5</v>
      </c>
      <c r="AI120" s="225">
        <f t="shared" si="41"/>
        <v>-0.45599224316429499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7">
        <v>48.442999999999998</v>
      </c>
      <c r="C121" s="390"/>
      <c r="D121" s="393">
        <f t="shared" si="24"/>
        <v>49.56348528422086</v>
      </c>
      <c r="E121" s="385">
        <f t="shared" si="45"/>
        <v>52.534783104752222</v>
      </c>
      <c r="F121" s="385">
        <f t="shared" si="25"/>
        <v>52.535001446982648</v>
      </c>
      <c r="G121" s="110">
        <f t="shared" si="46"/>
        <v>0.88395744705780865</v>
      </c>
      <c r="H121" s="414" t="b">
        <f>Wh_hp&gt;='2020'!Maxi_hp</f>
        <v>1</v>
      </c>
      <c r="I121" s="380">
        <f>IF(H121,Wh_hp,'2020'!Maxi_hp)</f>
        <v>52.535001446982648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2.2607072077265422E-2</v>
      </c>
      <c r="M121" s="845"/>
      <c r="N121" s="845"/>
      <c r="O121" s="48">
        <f>IF(t&lt;Tnet,'2020'!Resal+('2020'!Salim-'2020'!Resal)*(1-EXP(('2020'!Tnet-t)/('2020'!Tau_j))),Resal+(Salim-Resal)*(1-EXP((Tnet-t)/(Tau_j))))*Salcycl</f>
        <v>5.6558676840955342E-2</v>
      </c>
      <c r="P121" s="169">
        <f>(INDEX(Models!$BJ121:$BT121,,T121)*(1-R121)+INDEX(Models!$BJ121:$BT121,,T121+1)*R121-ERP_i)*Q121*Ramure*Pc/MaxiM</f>
        <v>4.982017969967316E-6</v>
      </c>
      <c r="Q121" s="305">
        <f t="shared" si="27"/>
        <v>0.5</v>
      </c>
      <c r="R121" s="177">
        <f t="shared" si="28"/>
        <v>0.54579810337038182</v>
      </c>
      <c r="S121" s="811">
        <f t="shared" si="29"/>
        <v>-1</v>
      </c>
      <c r="T121" s="176">
        <f t="shared" si="30"/>
        <v>5</v>
      </c>
      <c r="U121" s="251">
        <f t="shared" si="31"/>
        <v>-0.45420189662961818</v>
      </c>
      <c r="V121" s="383">
        <f t="shared" si="32"/>
        <v>54.802366508163679</v>
      </c>
      <c r="W121" s="402"/>
      <c r="X121" s="157">
        <f t="shared" si="33"/>
        <v>44303</v>
      </c>
      <c r="Y121" s="385">
        <f t="shared" si="34"/>
        <v>48.442999999999998</v>
      </c>
      <c r="Z121" s="385">
        <f t="shared" si="35"/>
        <v>49.56348528422086</v>
      </c>
      <c r="AA121" s="386">
        <f t="shared" si="36"/>
        <v>52.534783104752222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5.6558676840955342E-2</v>
      </c>
      <c r="AD121" s="231">
        <f>(INDEX(Models!$BJ121:$BT121,,AH121)*(1-AF121)+INDEX(Models!$BJ121:$BT121,,AH121+1)*AF121-ERP_i)*AE121*Ramure*Pc/MaxiM</f>
        <v>4.982017969967316E-6</v>
      </c>
      <c r="AE121" s="305">
        <f t="shared" si="38"/>
        <v>0.5</v>
      </c>
      <c r="AF121" s="177">
        <f t="shared" si="39"/>
        <v>0.54579810337038182</v>
      </c>
      <c r="AG121" s="811">
        <f t="shared" si="47"/>
        <v>-1</v>
      </c>
      <c r="AH121" s="176">
        <f t="shared" si="40"/>
        <v>5</v>
      </c>
      <c r="AI121" s="225">
        <f t="shared" si="41"/>
        <v>-0.45420189662961818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7">
        <v>39.246000000000002</v>
      </c>
      <c r="C122" s="390"/>
      <c r="D122" s="393">
        <f t="shared" si="24"/>
        <v>40.154638411761013</v>
      </c>
      <c r="E122" s="385">
        <f t="shared" si="45"/>
        <v>42.565171555727154</v>
      </c>
      <c r="F122" s="385">
        <f t="shared" si="25"/>
        <v>42.565319321773202</v>
      </c>
      <c r="G122" s="110">
        <f t="shared" si="46"/>
        <v>0.71369348234729924</v>
      </c>
      <c r="H122" s="414" t="b">
        <f>Wh_hp&gt;='2020'!Maxi_hp</f>
        <v>1</v>
      </c>
      <c r="I122" s="380">
        <f>IF(H122,Wh_hp,'2020'!Maxi_hp)</f>
        <v>42.565319321773202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2.2628479490799713E-2</v>
      </c>
      <c r="M122" s="845"/>
      <c r="N122" s="845"/>
      <c r="O122" s="48">
        <f>IF(t&lt;Tnet,'2020'!Resal+('2020'!Salim-'2020'!Resal)*(1-EXP(('2020'!Tnet-t)/('2020'!Tau_j))),Resal+(Salim-Resal)*(1-EXP((Tnet-t)/(Tau_j))))*Salcycl</f>
        <v>5.6631585304671515E-2</v>
      </c>
      <c r="P122" s="169">
        <f>(INDEX(Models!$BJ122:$BT122,,T122)*(1-R122)+INDEX(Models!$BJ122:$BT122,,T122+1)*R122-ERP_i)*Q122*Ramure*Pc/MaxiM</f>
        <v>5.8740321336216116E-6</v>
      </c>
      <c r="Q122" s="305">
        <f t="shared" si="27"/>
        <v>0.5</v>
      </c>
      <c r="R122" s="177">
        <f t="shared" si="28"/>
        <v>0.54764858369310465</v>
      </c>
      <c r="S122" s="811">
        <f t="shared" si="29"/>
        <v>-1</v>
      </c>
      <c r="T122" s="176">
        <f t="shared" si="30"/>
        <v>5</v>
      </c>
      <c r="U122" s="251">
        <f t="shared" si="31"/>
        <v>-0.45235141630689529</v>
      </c>
      <c r="V122" s="383">
        <f t="shared" si="32"/>
        <v>54.989861447685932</v>
      </c>
      <c r="W122" s="402"/>
      <c r="X122" s="157">
        <f t="shared" si="33"/>
        <v>44304</v>
      </c>
      <c r="Y122" s="385">
        <f t="shared" si="34"/>
        <v>39.246000000000002</v>
      </c>
      <c r="Z122" s="385">
        <f t="shared" si="35"/>
        <v>40.154638411761013</v>
      </c>
      <c r="AA122" s="386">
        <f t="shared" si="36"/>
        <v>42.565171555727154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5.6631585304671515E-2</v>
      </c>
      <c r="AD122" s="231">
        <f>(INDEX(Models!$BJ122:$BT122,,AH122)*(1-AF122)+INDEX(Models!$BJ122:$BT122,,AH122+1)*AF122-ERP_i)*AE122*Ramure*Pc/MaxiM</f>
        <v>5.8740321336216116E-6</v>
      </c>
      <c r="AE122" s="305">
        <f t="shared" si="38"/>
        <v>0.5</v>
      </c>
      <c r="AF122" s="177">
        <f t="shared" si="39"/>
        <v>0.54764858369310465</v>
      </c>
      <c r="AG122" s="811">
        <f t="shared" si="47"/>
        <v>-1</v>
      </c>
      <c r="AH122" s="176">
        <f t="shared" si="40"/>
        <v>5</v>
      </c>
      <c r="AI122" s="225">
        <f t="shared" si="41"/>
        <v>-0.45235141630689529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7">
        <v>53.222999999999999</v>
      </c>
      <c r="C123" s="390"/>
      <c r="D123" s="393">
        <f t="shared" si="24"/>
        <v>54.456432000491297</v>
      </c>
      <c r="E123" s="385">
        <f t="shared" si="45"/>
        <v>57.730028289417476</v>
      </c>
      <c r="F123" s="385">
        <f t="shared" si="25"/>
        <v>57.730407119667383</v>
      </c>
      <c r="G123" s="110">
        <f t="shared" si="46"/>
        <v>0.96470055083801076</v>
      </c>
      <c r="H123" s="414" t="b">
        <f>Wh_hp&gt;='2020'!Maxi_hp</f>
        <v>1</v>
      </c>
      <c r="I123" s="380">
        <f>IF(H123,Wh_hp,'2020'!Maxi_hp)</f>
        <v>57.730407119667383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2.2649886435456734E-2</v>
      </c>
      <c r="M123" s="845"/>
      <c r="N123" s="845"/>
      <c r="O123" s="48">
        <f>IF(t&lt;Tnet,'2020'!Resal+('2020'!Salim-'2020'!Resal)*(1-EXP(('2020'!Tnet-t)/('2020'!Tau_j))),Resal+(Salim-Resal)*(1-EXP((Tnet-t)/(Tau_j))))*Salcycl</f>
        <v>5.6705260432485548E-2</v>
      </c>
      <c r="P123" s="169">
        <f>(INDEX(Models!$BJ123:$BT123,,T123)*(1-R123)+INDEX(Models!$BJ123:$BT123,,T123+1)*R123-ERP_i)*Q123*Ramure*Pc/MaxiM</f>
        <v>6.9105372450046465E-6</v>
      </c>
      <c r="Q123" s="305">
        <f t="shared" si="27"/>
        <v>0.5</v>
      </c>
      <c r="R123" s="177">
        <f t="shared" si="28"/>
        <v>0.54956063677774158</v>
      </c>
      <c r="S123" s="811">
        <f t="shared" si="29"/>
        <v>-1</v>
      </c>
      <c r="T123" s="176">
        <f t="shared" si="30"/>
        <v>5</v>
      </c>
      <c r="U123" s="251">
        <f t="shared" si="31"/>
        <v>-0.45043936322225842</v>
      </c>
      <c r="V123" s="383">
        <f t="shared" si="32"/>
        <v>55.17046860448702</v>
      </c>
      <c r="W123" s="402"/>
      <c r="X123" s="157">
        <f t="shared" si="33"/>
        <v>44305</v>
      </c>
      <c r="Y123" s="385">
        <f t="shared" si="34"/>
        <v>53.222999999999999</v>
      </c>
      <c r="Z123" s="385">
        <f t="shared" si="35"/>
        <v>54.456432000491297</v>
      </c>
      <c r="AA123" s="386">
        <f t="shared" si="36"/>
        <v>57.730028289417476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5.6705260432485548E-2</v>
      </c>
      <c r="AD123" s="231">
        <f>(INDEX(Models!$BJ123:$BT123,,AH123)*(1-AF123)+INDEX(Models!$BJ123:$BT123,,AH123+1)*AF123-ERP_i)*AE123*Ramure*Pc/MaxiM</f>
        <v>6.9105372450046465E-6</v>
      </c>
      <c r="AE123" s="305">
        <f t="shared" si="38"/>
        <v>0.5</v>
      </c>
      <c r="AF123" s="177">
        <f t="shared" si="39"/>
        <v>0.54956063677774158</v>
      </c>
      <c r="AG123" s="811">
        <f t="shared" si="47"/>
        <v>-1</v>
      </c>
      <c r="AH123" s="176">
        <f t="shared" si="40"/>
        <v>5</v>
      </c>
      <c r="AI123" s="225">
        <f t="shared" si="41"/>
        <v>-0.45043936322225842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7">
        <v>38.866999999999997</v>
      </c>
      <c r="C124" s="390"/>
      <c r="D124" s="393">
        <f t="shared" si="24"/>
        <v>39.768605708693677</v>
      </c>
      <c r="E124" s="385">
        <f t="shared" si="45"/>
        <v>42.162585096026532</v>
      </c>
      <c r="F124" s="385">
        <f t="shared" si="25"/>
        <v>42.162781197417829</v>
      </c>
      <c r="G124" s="110">
        <f t="shared" si="46"/>
        <v>0.70227170123163429</v>
      </c>
      <c r="H124" s="414" t="b">
        <f>Wh_hp&gt;='2020'!Maxi_hp</f>
        <v>0</v>
      </c>
      <c r="I124" s="380">
        <f>IF(H124,Wh_hp,'2020'!Maxi_hp)</f>
        <v>54.953153725787914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2.267129291124681E-2</v>
      </c>
      <c r="M124" s="845"/>
      <c r="N124" s="845"/>
      <c r="O124" s="48">
        <f>IF(t&lt;Tnet,'2020'!Resal+('2020'!Salim-'2020'!Resal)*(1-EXP(('2020'!Tnet-t)/('2020'!Tau_j))),Resal+(Salim-Resal)*(1-EXP((Tnet-t)/(Tau_j))))*Salcycl</f>
        <v>5.6779710776284194E-2</v>
      </c>
      <c r="P124" s="169">
        <f>(INDEX(Models!$BJ124:$BT124,,T124)*(1-R124)+INDEX(Models!$BJ124:$BT124,,T124+1)*R124-ERP_i)*Q124*Ramure*Pc/MaxiM</f>
        <v>8.0933322999183595E-6</v>
      </c>
      <c r="Q124" s="305">
        <f t="shared" si="27"/>
        <v>0.5</v>
      </c>
      <c r="R124" s="177">
        <f t="shared" si="28"/>
        <v>0.5515356915064108</v>
      </c>
      <c r="S124" s="811">
        <f t="shared" si="29"/>
        <v>-1</v>
      </c>
      <c r="T124" s="176">
        <f t="shared" si="30"/>
        <v>5</v>
      </c>
      <c r="U124" s="251">
        <f t="shared" si="31"/>
        <v>-0.4484643084935892</v>
      </c>
      <c r="V124" s="383">
        <f t="shared" si="32"/>
        <v>55.344485816814974</v>
      </c>
      <c r="W124" s="402"/>
      <c r="X124" s="157">
        <f t="shared" si="33"/>
        <v>44306</v>
      </c>
      <c r="Y124" s="385">
        <f t="shared" si="34"/>
        <v>38.866999999999997</v>
      </c>
      <c r="Z124" s="385">
        <f t="shared" si="35"/>
        <v>39.768605708693677</v>
      </c>
      <c r="AA124" s="386">
        <f t="shared" si="36"/>
        <v>42.162585096026532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5.6779710776284194E-2</v>
      </c>
      <c r="AD124" s="231">
        <f>(INDEX(Models!$BJ124:$BT124,,AH124)*(1-AF124)+INDEX(Models!$BJ124:$BT124,,AH124+1)*AF124-ERP_i)*AE124*Ramure*Pc/MaxiM</f>
        <v>8.0933322999183595E-6</v>
      </c>
      <c r="AE124" s="305">
        <f t="shared" si="38"/>
        <v>0.5</v>
      </c>
      <c r="AF124" s="177">
        <f t="shared" si="39"/>
        <v>0.5515356915064108</v>
      </c>
      <c r="AG124" s="811">
        <f t="shared" si="47"/>
        <v>-1</v>
      </c>
      <c r="AH124" s="176">
        <f t="shared" si="40"/>
        <v>5</v>
      </c>
      <c r="AI124" s="225">
        <f t="shared" si="41"/>
        <v>-0.4484643084935892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7">
        <v>54.122</v>
      </c>
      <c r="C125" s="390"/>
      <c r="D125" s="393">
        <f t="shared" si="24"/>
        <v>55.378691983668006</v>
      </c>
      <c r="E125" s="385">
        <f t="shared" si="45"/>
        <v>55.658939679417074</v>
      </c>
      <c r="F125" s="385">
        <f t="shared" si="25"/>
        <v>55.659407422413302</v>
      </c>
      <c r="G125" s="110">
        <f t="shared" si="46"/>
        <v>0.92417793797781023</v>
      </c>
      <c r="H125" s="414" t="b">
        <f>Wh_hp&gt;='2020'!Maxi_hp</f>
        <v>1</v>
      </c>
      <c r="I125" s="380">
        <f>IF(H125,Wh_hp,'2020'!Maxi_hp)</f>
        <v>55.659407422413302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2.2692698918180043E-2</v>
      </c>
      <c r="M125" s="845"/>
      <c r="N125" s="845"/>
      <c r="O125" s="48">
        <f>IF(t&lt;Tnet,'2020'!Resal+('2020'!Salim-'2020'!Resal)*(1-EXP(('2020'!Tnet-t)/('2020'!Tau_j))),Resal+(Salim-Resal)*(1-EXP((Tnet-t)/(Tau_j))))*Salcycl</f>
        <v>5.0350886553575799E-3</v>
      </c>
      <c r="P125" s="169">
        <f>(INDEX(Models!$BJ125:$BT125,,T125)*(1-R125)+INDEX(Models!$BJ125:$BT125,,T125+1)*R125-ERP_i)*Q125*Ramure*Pc/MaxiM</f>
        <v>9.4244862342606761E-6</v>
      </c>
      <c r="Q125" s="305">
        <f t="shared" si="27"/>
        <v>0.5</v>
      </c>
      <c r="R125" s="177">
        <f t="shared" si="28"/>
        <v>0.55357516257188388</v>
      </c>
      <c r="S125" s="811">
        <f t="shared" si="29"/>
        <v>-1</v>
      </c>
      <c r="T125" s="176">
        <f t="shared" si="30"/>
        <v>5</v>
      </c>
      <c r="U125" s="251">
        <f t="shared" si="31"/>
        <v>-0.44642483742811617</v>
      </c>
      <c r="V125" s="383">
        <f t="shared" si="32"/>
        <v>58.56225573730476</v>
      </c>
      <c r="W125" s="402"/>
      <c r="X125" s="157">
        <f t="shared" si="33"/>
        <v>44307</v>
      </c>
      <c r="Y125" s="385">
        <f t="shared" si="34"/>
        <v>51.303212958403378</v>
      </c>
      <c r="Z125" s="385">
        <f t="shared" si="35"/>
        <v>52.494453793206937</v>
      </c>
      <c r="AA125" s="386">
        <f t="shared" si="36"/>
        <v>55.658939679417074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5.6854943777888356E-2</v>
      </c>
      <c r="AD125" s="231">
        <f>(INDEX(Models!$BJ125:$BT125,,AH125)*(1-AF125)+INDEX(Models!$BJ125:$BT125,,AH125+1)*AF125-ERP_i)*AE125*Ramure*Pc/MaxiM</f>
        <v>9.4244862342606761E-6</v>
      </c>
      <c r="AE125" s="305">
        <f t="shared" si="38"/>
        <v>0.5</v>
      </c>
      <c r="AF125" s="177">
        <f t="shared" si="39"/>
        <v>0.55357516257188388</v>
      </c>
      <c r="AG125" s="811">
        <f t="shared" si="47"/>
        <v>-1</v>
      </c>
      <c r="AH125" s="176">
        <f t="shared" si="40"/>
        <v>5</v>
      </c>
      <c r="AI125" s="225">
        <f t="shared" si="41"/>
        <v>-0.44642483742811617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7">
        <v>59.911000000000001</v>
      </c>
      <c r="C126" s="390"/>
      <c r="D126" s="393">
        <f t="shared" si="24"/>
        <v>61.303453035784656</v>
      </c>
      <c r="E126" s="385">
        <f t="shared" si="45"/>
        <v>61.619215446919867</v>
      </c>
      <c r="F126" s="385">
        <f t="shared" si="25"/>
        <v>61.619887493232405</v>
      </c>
      <c r="G126" s="110">
        <f t="shared" si="46"/>
        <v>1.0200684401257454</v>
      </c>
      <c r="H126" s="414" t="b">
        <f>Wh_hp&gt;='2020'!Maxi_hp</f>
        <v>1</v>
      </c>
      <c r="I126" s="380">
        <f>IF(H126,Wh_hp,'2020'!Maxi_hp)</f>
        <v>61.619887493232405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2.2714104456266759E-2</v>
      </c>
      <c r="M126" s="845"/>
      <c r="N126" s="845"/>
      <c r="O126" s="48">
        <f>IF(t&lt;Tnet,'2020'!Resal+('2020'!Salim-'2020'!Resal)*(1-EXP(('2020'!Tnet-t)/('2020'!Tau_j))),Resal+(Salim-Resal)*(1-EXP((Tnet-t)/(Tau_j))))*Salcycl</f>
        <v>5.124414662617904E-3</v>
      </c>
      <c r="P126" s="169">
        <f>(INDEX(Models!$BJ126:$BT126,,T126)*(1-R126)+INDEX(Models!$BJ126:$BT126,,T126+1)*R126-ERP_i)*Q126*Ramure*Pc/MaxiM</f>
        <v>1.0906321641881156E-5</v>
      </c>
      <c r="Q126" s="305">
        <f t="shared" si="27"/>
        <v>0.5</v>
      </c>
      <c r="R126" s="177">
        <f t="shared" si="28"/>
        <v>0.55568044611876632</v>
      </c>
      <c r="S126" s="811">
        <f t="shared" si="29"/>
        <v>-1</v>
      </c>
      <c r="T126" s="176">
        <f t="shared" si="30"/>
        <v>5</v>
      </c>
      <c r="U126" s="251">
        <f t="shared" si="31"/>
        <v>-0.44431955388123368</v>
      </c>
      <c r="V126" s="383">
        <f t="shared" si="32"/>
        <v>58.732333678135042</v>
      </c>
      <c r="W126" s="402"/>
      <c r="X126" s="157">
        <f t="shared" si="33"/>
        <v>44308</v>
      </c>
      <c r="Y126" s="385">
        <f t="shared" si="34"/>
        <v>56.792061388221839</v>
      </c>
      <c r="Z126" s="385">
        <f t="shared" si="35"/>
        <v>58.112023970861053</v>
      </c>
      <c r="AA126" s="386">
        <f t="shared" si="36"/>
        <v>61.619215446919867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5.6917171869544272E-2</v>
      </c>
      <c r="AD126" s="231">
        <f>(INDEX(Models!$BJ126:$BT126,,AH126)*(1-AF126)+INDEX(Models!$BJ126:$BT126,,AH126+1)*AF126-ERP_i)*AE126*Ramure*Pc/MaxiM</f>
        <v>1.0906321641881156E-5</v>
      </c>
      <c r="AE126" s="305">
        <f t="shared" si="38"/>
        <v>0.5</v>
      </c>
      <c r="AF126" s="177">
        <f t="shared" si="39"/>
        <v>0.55568044611876632</v>
      </c>
      <c r="AG126" s="811">
        <f t="shared" si="47"/>
        <v>-1</v>
      </c>
      <c r="AH126" s="176">
        <f t="shared" si="40"/>
        <v>5</v>
      </c>
      <c r="AI126" s="225">
        <f t="shared" si="41"/>
        <v>-0.44431955388123368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7">
        <v>60.234999999999999</v>
      </c>
      <c r="C127" s="390"/>
      <c r="D127" s="393">
        <f t="shared" si="24"/>
        <v>61.63633344618367</v>
      </c>
      <c r="E127" s="385">
        <f t="shared" si="45"/>
        <v>61.959377392111584</v>
      </c>
      <c r="F127" s="385">
        <f t="shared" si="25"/>
        <v>61.960154457717145</v>
      </c>
      <c r="G127" s="110">
        <f t="shared" si="46"/>
        <v>1.022727266599557</v>
      </c>
      <c r="H127" s="414" t="b">
        <f>Wh_hp&gt;='2020'!Maxi_hp</f>
        <v>1</v>
      </c>
      <c r="I127" s="380">
        <f>IF(H127,Wh_hp,'2020'!Maxi_hp)</f>
        <v>61.960154457717145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2.2735509525517283E-2</v>
      </c>
      <c r="M127" s="845"/>
      <c r="N127" s="845"/>
      <c r="O127" s="48">
        <f>IF(t&lt;Tnet,'2020'!Resal+('2020'!Salim-'2020'!Resal)*(1-EXP(('2020'!Tnet-t)/('2020'!Tau_j))),Resal+(Salim-Resal)*(1-EXP((Tnet-t)/(Tau_j))))*Salcycl</f>
        <v>5.2138023254094555E-3</v>
      </c>
      <c r="P127" s="169">
        <f>(INDEX(Models!$BJ127:$BT127,,T127)*(1-R127)+INDEX(Models!$BJ127:$BT127,,T127+1)*R127-ERP_i)*Q127*Ramure*Pc/MaxiM</f>
        <v>1.2541376185457978E-5</v>
      </c>
      <c r="Q127" s="305">
        <f t="shared" si="27"/>
        <v>0.5</v>
      </c>
      <c r="R127" s="177">
        <f t="shared" si="28"/>
        <v>0.55785291512279966</v>
      </c>
      <c r="S127" s="811">
        <f t="shared" si="29"/>
        <v>-1</v>
      </c>
      <c r="T127" s="176">
        <f t="shared" si="30"/>
        <v>5</v>
      </c>
      <c r="U127" s="251">
        <f t="shared" si="31"/>
        <v>-0.44214708487720034</v>
      </c>
      <c r="V127" s="383">
        <f t="shared" si="32"/>
        <v>58.896444797325096</v>
      </c>
      <c r="W127" s="402"/>
      <c r="X127" s="157">
        <f t="shared" si="33"/>
        <v>44309</v>
      </c>
      <c r="Y127" s="385">
        <f t="shared" si="34"/>
        <v>57.100508694556311</v>
      </c>
      <c r="Z127" s="385">
        <f t="shared" si="35"/>
        <v>58.428919960892877</v>
      </c>
      <c r="AA127" s="386">
        <f t="shared" si="36"/>
        <v>61.959377392111584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5.6980195408938873E-2</v>
      </c>
      <c r="AD127" s="231">
        <f>(INDEX(Models!$BJ127:$BT127,,AH127)*(1-AF127)+INDEX(Models!$BJ127:$BT127,,AH127+1)*AF127-ERP_i)*AE127*Ramure*Pc/MaxiM</f>
        <v>1.2541376185457978E-5</v>
      </c>
      <c r="AE127" s="305">
        <f t="shared" si="38"/>
        <v>0.5</v>
      </c>
      <c r="AF127" s="177">
        <f t="shared" si="39"/>
        <v>0.55785291512279966</v>
      </c>
      <c r="AG127" s="811">
        <f t="shared" si="47"/>
        <v>-1</v>
      </c>
      <c r="AH127" s="176">
        <f t="shared" si="40"/>
        <v>5</v>
      </c>
      <c r="AI127" s="225">
        <f t="shared" si="41"/>
        <v>-0.44214708487720034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7">
        <v>57.785000000000004</v>
      </c>
      <c r="C128" s="390"/>
      <c r="D128" s="393">
        <f t="shared" si="24"/>
        <v>59.130630684704613</v>
      </c>
      <c r="E128" s="385">
        <f t="shared" si="45"/>
        <v>59.445887410748696</v>
      </c>
      <c r="F128" s="385">
        <f t="shared" si="25"/>
        <v>59.446721075347604</v>
      </c>
      <c r="G128" s="110">
        <f t="shared" si="46"/>
        <v>0.97849591726534979</v>
      </c>
      <c r="H128" s="414" t="b">
        <f>Wh_hp&gt;='2020'!Maxi_hp</f>
        <v>1</v>
      </c>
      <c r="I128" s="380">
        <f>IF(H128,Wh_hp,'2020'!Maxi_hp)</f>
        <v>59.446721075347604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2.2756914125941941E-2</v>
      </c>
      <c r="M128" s="845"/>
      <c r="N128" s="845"/>
      <c r="O128" s="48">
        <f>IF(t&lt;Tnet,'2020'!Resal+('2020'!Salim-'2020'!Resal)*(1-EXP(('2020'!Tnet-t)/('2020'!Tau_j))),Resal+(Salim-Resal)*(1-EXP((Tnet-t)/(Tau_j))))*Salcycl</f>
        <v>5.3032554441618234E-3</v>
      </c>
      <c r="P128" s="169">
        <f>(INDEX(Models!$BJ128:$BT128,,T128)*(1-R128)+INDEX(Models!$BJ128:$BT128,,T128+1)*R128-ERP_i)*Q128*Ramure*Pc/MaxiM</f>
        <v>1.4468182480368453E-5</v>
      </c>
      <c r="Q128" s="305">
        <f t="shared" si="27"/>
        <v>0.5</v>
      </c>
      <c r="R128" s="177">
        <f t="shared" si="28"/>
        <v>0.56009391450938117</v>
      </c>
      <c r="S128" s="811">
        <f t="shared" si="29"/>
        <v>-1</v>
      </c>
      <c r="T128" s="176">
        <f t="shared" si="30"/>
        <v>5</v>
      </c>
      <c r="U128" s="251">
        <f t="shared" si="31"/>
        <v>-0.43990608549061883</v>
      </c>
      <c r="V128" s="383">
        <f t="shared" si="32"/>
        <v>59.054895679366311</v>
      </c>
      <c r="W128" s="402"/>
      <c r="X128" s="157">
        <f t="shared" si="33"/>
        <v>44310</v>
      </c>
      <c r="Y128" s="385">
        <f t="shared" si="34"/>
        <v>54.779219637170534</v>
      </c>
      <c r="Z128" s="385">
        <f t="shared" si="35"/>
        <v>56.054855162444397</v>
      </c>
      <c r="AA128" s="386">
        <f t="shared" si="36"/>
        <v>59.445887410748696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5.7044017610058367E-2</v>
      </c>
      <c r="AD128" s="231">
        <f>(INDEX(Models!$BJ128:$BT128,,AH128)*(1-AF128)+INDEX(Models!$BJ128:$BT128,,AH128+1)*AF128-ERP_i)*AE128*Ramure*Pc/MaxiM</f>
        <v>1.4468182480368453E-5</v>
      </c>
      <c r="AE128" s="305">
        <f t="shared" si="38"/>
        <v>0.5</v>
      </c>
      <c r="AF128" s="177">
        <f t="shared" si="39"/>
        <v>0.56009391450938117</v>
      </c>
      <c r="AG128" s="811">
        <f t="shared" si="47"/>
        <v>-1</v>
      </c>
      <c r="AH128" s="176">
        <f t="shared" si="40"/>
        <v>5</v>
      </c>
      <c r="AI128" s="225">
        <f t="shared" si="41"/>
        <v>-0.43990608549061883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7">
        <v>27.974</v>
      </c>
      <c r="C129" s="390"/>
      <c r="D129" s="393">
        <f t="shared" si="24"/>
        <v>28.626053353749334</v>
      </c>
      <c r="E129" s="385">
        <f t="shared" si="45"/>
        <v>28.781264314022867</v>
      </c>
      <c r="F129" s="385">
        <f t="shared" si="25"/>
        <v>28.781382304387119</v>
      </c>
      <c r="G129" s="110">
        <f t="shared" si="46"/>
        <v>0.47246398228604819</v>
      </c>
      <c r="H129" s="414" t="b">
        <f>Wh_hp&gt;='2020'!Maxi_hp</f>
        <v>0</v>
      </c>
      <c r="I129" s="380">
        <f>IF(H129,Wh_hp,'2020'!Maxi_hp)</f>
        <v>54.184367462537033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2.2778318257550834E-2</v>
      </c>
      <c r="M129" s="845"/>
      <c r="N129" s="845"/>
      <c r="O129" s="48">
        <f>IF(t&lt;Tnet,'2020'!Resal+('2020'!Salim-'2020'!Resal)*(1-EXP(('2020'!Tnet-t)/('2020'!Tau_j))),Resal+(Salim-Resal)*(1-EXP((Tnet-t)/(Tau_j))))*Salcycl</f>
        <v>5.3927776966319384E-3</v>
      </c>
      <c r="P129" s="169">
        <f>(INDEX(Models!$BJ129:$BT129,,T129)*(1-R129)+INDEX(Models!$BJ129:$BT129,,T129+1)*R129-ERP_i)*Q129*Ramure*Pc/MaxiM</f>
        <v>1.663870819188852E-5</v>
      </c>
      <c r="Q129" s="305">
        <f t="shared" si="27"/>
        <v>0.5</v>
      </c>
      <c r="R129" s="177">
        <f t="shared" si="28"/>
        <v>0.56240475601434703</v>
      </c>
      <c r="S129" s="811">
        <f t="shared" si="29"/>
        <v>-1</v>
      </c>
      <c r="T129" s="176">
        <f t="shared" si="30"/>
        <v>5</v>
      </c>
      <c r="U129" s="251">
        <f t="shared" si="31"/>
        <v>-0.43759524398565297</v>
      </c>
      <c r="V129" s="383">
        <f t="shared" si="32"/>
        <v>59.208003734923196</v>
      </c>
      <c r="W129" s="402"/>
      <c r="X129" s="157">
        <f t="shared" si="33"/>
        <v>44311</v>
      </c>
      <c r="Y129" s="385">
        <f t="shared" si="34"/>
        <v>26.519456427716545</v>
      </c>
      <c r="Z129" s="385">
        <f t="shared" si="35"/>
        <v>27.137605441204137</v>
      </c>
      <c r="AA129" s="386">
        <f t="shared" si="36"/>
        <v>28.781264314022867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5.7108640360107508E-2</v>
      </c>
      <c r="AD129" s="231">
        <f>(INDEX(Models!$BJ129:$BT129,,AH129)*(1-AF129)+INDEX(Models!$BJ129:$BT129,,AH129+1)*AF129-ERP_i)*AE129*Ramure*Pc/MaxiM</f>
        <v>1.663870819188852E-5</v>
      </c>
      <c r="AE129" s="305">
        <f t="shared" si="38"/>
        <v>0.5</v>
      </c>
      <c r="AF129" s="177">
        <f t="shared" si="39"/>
        <v>0.56240475601434703</v>
      </c>
      <c r="AG129" s="811">
        <f t="shared" si="47"/>
        <v>-1</v>
      </c>
      <c r="AH129" s="176">
        <f t="shared" si="40"/>
        <v>5</v>
      </c>
      <c r="AI129" s="225">
        <f t="shared" si="41"/>
        <v>-0.43759524398565297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7">
        <v>7.9630000000000001</v>
      </c>
      <c r="C130" s="390"/>
      <c r="D130" s="393">
        <f t="shared" si="24"/>
        <v>8.1487901493934949</v>
      </c>
      <c r="E130" s="385">
        <f t="shared" si="45"/>
        <v>8.193711126955499</v>
      </c>
      <c r="F130" s="385">
        <f t="shared" si="25"/>
        <v>8.193711126955499</v>
      </c>
      <c r="G130" s="110">
        <f t="shared" si="46"/>
        <v>0.13415386968225393</v>
      </c>
      <c r="H130" s="414" t="b">
        <f>Wh_hp&gt;='2020'!Maxi_hp</f>
        <v>0</v>
      </c>
      <c r="I130" s="380">
        <f>IF(H130,Wh_hp,'2020'!Maxi_hp)</f>
        <v>48.826282134758507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2.2799721920354288E-2</v>
      </c>
      <c r="M130" s="845"/>
      <c r="N130" s="845"/>
      <c r="O130" s="48">
        <f>IF(t&lt;Tnet,'2020'!Resal+('2020'!Salim-'2020'!Resal)*(1-EXP(('2020'!Tnet-t)/('2020'!Tau_j))),Resal+(Salim-Resal)*(1-EXP((Tnet-t)/(Tau_j))))*Salcycl</f>
        <v>5.4823726228550194E-3</v>
      </c>
      <c r="P130" s="169">
        <f>(INDEX(Models!$BJ130:$BT130,,T130)*(1-R130)+INDEX(Models!$BJ130:$BT130,,T130+1)*R130-ERP_i)*Q130*Ramure*Pc/MaxiM</f>
        <v>1.9057301747388676E-5</v>
      </c>
      <c r="Q130" s="305">
        <f t="shared" si="27"/>
        <v>0.5</v>
      </c>
      <c r="R130" s="177">
        <f t="shared" si="28"/>
        <v>0.56478671279220594</v>
      </c>
      <c r="S130" s="811">
        <f t="shared" si="29"/>
        <v>-1</v>
      </c>
      <c r="T130" s="176">
        <f t="shared" si="30"/>
        <v>5</v>
      </c>
      <c r="U130" s="251">
        <f t="shared" si="31"/>
        <v>-0.43521328720779401</v>
      </c>
      <c r="V130" s="383">
        <f t="shared" si="32"/>
        <v>59.356083172005022</v>
      </c>
      <c r="W130" s="402"/>
      <c r="X130" s="157">
        <f t="shared" si="33"/>
        <v>44312</v>
      </c>
      <c r="Y130" s="385">
        <f t="shared" si="34"/>
        <v>7.5491099608405863</v>
      </c>
      <c r="Z130" s="385">
        <f t="shared" si="35"/>
        <v>7.7252433612440132</v>
      </c>
      <c r="AA130" s="386">
        <f t="shared" si="36"/>
        <v>8.193711126955499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5.7174064163713394E-2</v>
      </c>
      <c r="AD130" s="231">
        <f>(INDEX(Models!$BJ130:$BT130,,AH130)*(1-AF130)+INDEX(Models!$BJ130:$BT130,,AH130+1)*AF130-ERP_i)*AE130*Ramure*Pc/MaxiM</f>
        <v>1.9057301747388676E-5</v>
      </c>
      <c r="AE130" s="305">
        <f t="shared" si="38"/>
        <v>0.5</v>
      </c>
      <c r="AF130" s="177">
        <f t="shared" si="39"/>
        <v>0.56478671279220594</v>
      </c>
      <c r="AG130" s="811">
        <f t="shared" si="47"/>
        <v>-1</v>
      </c>
      <c r="AH130" s="176">
        <f t="shared" si="40"/>
        <v>5</v>
      </c>
      <c r="AI130" s="225">
        <f t="shared" si="41"/>
        <v>-0.43521328720779401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7">
        <v>20.779</v>
      </c>
      <c r="C131" s="390"/>
      <c r="D131" s="393">
        <f t="shared" si="24"/>
        <v>21.264274672773539</v>
      </c>
      <c r="E131" s="385">
        <f t="shared" si="45"/>
        <v>21.383424044070118</v>
      </c>
      <c r="F131" s="385">
        <f t="shared" si="25"/>
        <v>21.383456721181108</v>
      </c>
      <c r="G131" s="110">
        <f t="shared" si="46"/>
        <v>0.34922307575727807</v>
      </c>
      <c r="H131" s="414" t="b">
        <f>Wh_hp&gt;='2020'!Maxi_hp</f>
        <v>0</v>
      </c>
      <c r="I131" s="380">
        <f>IF(H131,Wh_hp,'2020'!Maxi_hp)</f>
        <v>30.433144925485259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2.2821125114362628E-2</v>
      </c>
      <c r="M131" s="845"/>
      <c r="N131" s="845"/>
      <c r="O131" s="48">
        <f>IF(t&lt;Tnet,'2020'!Resal+('2020'!Salim-'2020'!Resal)*(1-EXP(('2020'!Tnet-t)/('2020'!Tau_j))),Resal+(Salim-Resal)*(1-EXP((Tnet-t)/(Tau_j))))*Salcycl</f>
        <v>5.5720436096210043E-3</v>
      </c>
      <c r="P131" s="169">
        <f>(INDEX(Models!$BJ131:$BT131,,T131)*(1-R131)+INDEX(Models!$BJ131:$BT131,,T131+1)*R131-ERP_i)*Q131*Ramure*Pc/MaxiM</f>
        <v>2.17286525394095E-5</v>
      </c>
      <c r="Q131" s="305">
        <f t="shared" si="27"/>
        <v>0.5</v>
      </c>
      <c r="R131" s="177">
        <f t="shared" si="28"/>
        <v>0.56724101377934089</v>
      </c>
      <c r="S131" s="811">
        <f t="shared" si="29"/>
        <v>-1</v>
      </c>
      <c r="T131" s="176">
        <f t="shared" si="30"/>
        <v>5</v>
      </c>
      <c r="U131" s="251">
        <f t="shared" si="31"/>
        <v>-0.43275898622065906</v>
      </c>
      <c r="V131" s="383">
        <f t="shared" si="32"/>
        <v>59.499448047758008</v>
      </c>
      <c r="W131" s="402"/>
      <c r="X131" s="157">
        <f t="shared" si="33"/>
        <v>44313</v>
      </c>
      <c r="Y131" s="385">
        <f t="shared" si="34"/>
        <v>19.69936980146495</v>
      </c>
      <c r="Z131" s="385">
        <f t="shared" si="35"/>
        <v>20.159430691510227</v>
      </c>
      <c r="AA131" s="386">
        <f t="shared" si="36"/>
        <v>21.383424044070118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5.7240288086571417E-2</v>
      </c>
      <c r="AD131" s="231">
        <f>(INDEX(Models!$BJ131:$BT131,,AH131)*(1-AF131)+INDEX(Models!$BJ131:$BT131,,AH131+1)*AF131-ERP_i)*AE131*Ramure*Pc/MaxiM</f>
        <v>2.17286525394095E-5</v>
      </c>
      <c r="AE131" s="305">
        <f t="shared" si="38"/>
        <v>0.5</v>
      </c>
      <c r="AF131" s="177">
        <f t="shared" si="39"/>
        <v>0.56724101377934089</v>
      </c>
      <c r="AG131" s="811">
        <f t="shared" si="47"/>
        <v>-1</v>
      </c>
      <c r="AH131" s="176">
        <f t="shared" si="40"/>
        <v>5</v>
      </c>
      <c r="AI131" s="225">
        <f t="shared" si="41"/>
        <v>-0.43275898622065906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7">
        <v>18.234999999999999</v>
      </c>
      <c r="C132" s="390"/>
      <c r="D132" s="393">
        <f t="shared" si="24"/>
        <v>18.66127059304365</v>
      </c>
      <c r="E132" s="385">
        <f t="shared" si="45"/>
        <v>18.767528470779272</v>
      </c>
      <c r="F132" s="385">
        <f t="shared" si="25"/>
        <v>18.767532278225413</v>
      </c>
      <c r="G132" s="110">
        <f t="shared" si="46"/>
        <v>0.30575183627881741</v>
      </c>
      <c r="H132" s="414" t="b">
        <f>Wh_hp&gt;='2020'!Maxi_hp</f>
        <v>0</v>
      </c>
      <c r="I132" s="380">
        <f>IF(H132,Wh_hp,'2020'!Maxi_hp)</f>
        <v>46.870510731346037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2.284252783958618E-2</v>
      </c>
      <c r="M132" s="845"/>
      <c r="N132" s="845"/>
      <c r="O132" s="48">
        <f>IF(t&lt;Tnet,'2020'!Resal+('2020'!Salim-'2020'!Resal)*(1-EXP(('2020'!Tnet-t)/('2020'!Tau_j))),Resal+(Salim-Resal)*(1-EXP((Tnet-t)/(Tau_j))))*Salcycl</f>
        <v>5.6617938745138633E-3</v>
      </c>
      <c r="P132" s="169">
        <f>(INDEX(Models!$BJ132:$BT132,,T132)*(1-R132)+INDEX(Models!$BJ132:$BT132,,T132+1)*R132-ERP_i)*Q132*Ramure*Pc/MaxiM</f>
        <v>2.4657776439456753E-5</v>
      </c>
      <c r="Q132" s="305">
        <f t="shared" si="27"/>
        <v>0.5</v>
      </c>
      <c r="R132" s="177">
        <f t="shared" si="28"/>
        <v>0.56976883782221832</v>
      </c>
      <c r="S132" s="811">
        <f t="shared" si="29"/>
        <v>-1</v>
      </c>
      <c r="T132" s="176">
        <f t="shared" si="30"/>
        <v>5</v>
      </c>
      <c r="U132" s="251">
        <f t="shared" si="31"/>
        <v>-0.43023116217778173</v>
      </c>
      <c r="V132" s="383">
        <f t="shared" si="32"/>
        <v>59.638412271503306</v>
      </c>
      <c r="W132" s="402"/>
      <c r="X132" s="157">
        <f t="shared" si="33"/>
        <v>44314</v>
      </c>
      <c r="Y132" s="385">
        <f t="shared" si="34"/>
        <v>17.287881629955752</v>
      </c>
      <c r="Z132" s="385">
        <f t="shared" si="35"/>
        <v>17.692011904420774</v>
      </c>
      <c r="AA132" s="386">
        <f t="shared" si="36"/>
        <v>18.767528470779272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5.7307309698933398E-2</v>
      </c>
      <c r="AD132" s="231">
        <f>(INDEX(Models!$BJ132:$BT132,,AH132)*(1-AF132)+INDEX(Models!$BJ132:$BT132,,AH132+1)*AF132-ERP_i)*AE132*Ramure*Pc/MaxiM</f>
        <v>2.4657776439456753E-5</v>
      </c>
      <c r="AE132" s="305">
        <f t="shared" si="38"/>
        <v>0.5</v>
      </c>
      <c r="AF132" s="177">
        <f t="shared" si="39"/>
        <v>0.56976883782221832</v>
      </c>
      <c r="AG132" s="811">
        <f t="shared" si="47"/>
        <v>-1</v>
      </c>
      <c r="AH132" s="176">
        <f t="shared" si="40"/>
        <v>5</v>
      </c>
      <c r="AI132" s="225">
        <f t="shared" si="41"/>
        <v>-0.43023116217778173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7">
        <v>27.175000000000001</v>
      </c>
      <c r="C133" s="390"/>
      <c r="D133" s="393">
        <f t="shared" si="24"/>
        <v>27.810865689024066</v>
      </c>
      <c r="E133" s="385">
        <f t="shared" si="45"/>
        <v>27.971748738911259</v>
      </c>
      <c r="F133" s="385">
        <f t="shared" si="25"/>
        <v>27.971920829002009</v>
      </c>
      <c r="G133" s="110">
        <f t="shared" si="46"/>
        <v>0.45462464152595206</v>
      </c>
      <c r="H133" s="414" t="b">
        <f>Wh_hp&gt;='2020'!Maxi_hp</f>
        <v>0</v>
      </c>
      <c r="I133" s="380">
        <f>IF(H133,Wh_hp,'2020'!Maxi_hp)</f>
        <v>52.731591737433121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2.2863930096035046E-2</v>
      </c>
      <c r="M133" s="845"/>
      <c r="N133" s="845"/>
      <c r="O133" s="48">
        <f>IF(t&lt;Tnet,'2020'!Resal+('2020'!Salim-'2020'!Resal)*(1-EXP(('2020'!Tnet-t)/('2020'!Tau_j))),Resal+(Salim-Resal)*(1-EXP((Tnet-t)/(Tau_j))))*Salcycl</f>
        <v>5.7516264495608036E-3</v>
      </c>
      <c r="P133" s="169">
        <f>(INDEX(Models!$BJ133:$BT133,,T133)*(1-R133)+INDEX(Models!$BJ133:$BT133,,T133+1)*R133-ERP_i)*Q133*Ramure*Pc/MaxiM</f>
        <v>2.7850000135259187E-5</v>
      </c>
      <c r="Q133" s="305">
        <f t="shared" si="27"/>
        <v>0.5</v>
      </c>
      <c r="R133" s="177">
        <f t="shared" si="28"/>
        <v>0.57237130758335031</v>
      </c>
      <c r="S133" s="811">
        <f t="shared" si="29"/>
        <v>-1</v>
      </c>
      <c r="T133" s="176">
        <f t="shared" si="30"/>
        <v>5</v>
      </c>
      <c r="U133" s="251">
        <f t="shared" si="31"/>
        <v>-0.42762869241664969</v>
      </c>
      <c r="V133" s="383">
        <f t="shared" si="32"/>
        <v>59.773289605786999</v>
      </c>
      <c r="W133" s="402"/>
      <c r="X133" s="157">
        <f t="shared" si="33"/>
        <v>44315</v>
      </c>
      <c r="Y133" s="385">
        <f t="shared" si="34"/>
        <v>25.76401597331709</v>
      </c>
      <c r="Z133" s="385">
        <f t="shared" si="35"/>
        <v>26.366866158005234</v>
      </c>
      <c r="AA133" s="386">
        <f t="shared" si="36"/>
        <v>27.971748738911259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5.7375125019390974E-2</v>
      </c>
      <c r="AD133" s="231">
        <f>(INDEX(Models!$BJ133:$BT133,,AH133)*(1-AF133)+INDEX(Models!$BJ133:$BT133,,AH133+1)*AF133-ERP_i)*AE133*Ramure*Pc/MaxiM</f>
        <v>2.7850000135259187E-5</v>
      </c>
      <c r="AE133" s="305">
        <f t="shared" si="38"/>
        <v>0.5</v>
      </c>
      <c r="AF133" s="177">
        <f t="shared" si="39"/>
        <v>0.57237130758335031</v>
      </c>
      <c r="AG133" s="811">
        <f t="shared" si="47"/>
        <v>-1</v>
      </c>
      <c r="AH133" s="176">
        <f t="shared" si="40"/>
        <v>5</v>
      </c>
      <c r="AI133" s="225">
        <f t="shared" si="41"/>
        <v>-0.42762869241664969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7">
        <v>16.522000000000002</v>
      </c>
      <c r="C134" s="390"/>
      <c r="D134" s="393">
        <f t="shared" si="24"/>
        <v>16.908967329138303</v>
      </c>
      <c r="E134" s="385">
        <f t="shared" si="45"/>
        <v>17.008322194401785</v>
      </c>
      <c r="F134" s="385">
        <f t="shared" si="25"/>
        <v>17.008322194401785</v>
      </c>
      <c r="G134" s="110">
        <f t="shared" si="46"/>
        <v>0.27579751115836959</v>
      </c>
      <c r="H134" s="414" t="b">
        <f>Wh_hp&gt;='2020'!Maxi_hp</f>
        <v>0</v>
      </c>
      <c r="I134" s="380">
        <f>IF(H134,Wh_hp,'2020'!Maxi_hp)</f>
        <v>62.081683557920357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2.2885331883719551E-2</v>
      </c>
      <c r="M134" s="845"/>
      <c r="N134" s="845"/>
      <c r="O134" s="48">
        <f>IF(t&lt;Tnet,'2020'!Resal+('2020'!Salim-'2020'!Resal)*(1-EXP(('2020'!Tnet-t)/('2020'!Tau_j))),Resal+(Salim-Resal)*(1-EXP((Tnet-t)/(Tau_j))))*Salcycl</f>
        <v>5.8415441645492975E-3</v>
      </c>
      <c r="P134" s="169">
        <f>(INDEX(Models!$BJ134:$BT134,,T134)*(1-R134)+INDEX(Models!$BJ134:$BT134,,T134+1)*R134-ERP_i)*Q134*Ramure*Pc/MaxiM</f>
        <v>3.1310944139307063E-5</v>
      </c>
      <c r="Q134" s="305">
        <f t="shared" si="27"/>
        <v>0.5</v>
      </c>
      <c r="R134" s="177">
        <f t="shared" si="28"/>
        <v>0.57504948324062943</v>
      </c>
      <c r="S134" s="811">
        <f t="shared" si="29"/>
        <v>-1</v>
      </c>
      <c r="T134" s="176">
        <f t="shared" si="30"/>
        <v>5</v>
      </c>
      <c r="U134" s="251">
        <f t="shared" si="31"/>
        <v>-0.42495051675937057</v>
      </c>
      <c r="V134" s="383">
        <f t="shared" si="32"/>
        <v>59.904393666170179</v>
      </c>
      <c r="W134" s="402"/>
      <c r="X134" s="157">
        <f t="shared" si="33"/>
        <v>44316</v>
      </c>
      <c r="Y134" s="385">
        <f t="shared" si="34"/>
        <v>15.664419114461985</v>
      </c>
      <c r="Z134" s="385">
        <f t="shared" si="35"/>
        <v>16.031300752715605</v>
      </c>
      <c r="AA134" s="386">
        <f t="shared" si="36"/>
        <v>17.008322194401785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5.7443728459457472E-2</v>
      </c>
      <c r="AD134" s="231">
        <f>(INDEX(Models!$BJ134:$BT134,,AH134)*(1-AF134)+INDEX(Models!$BJ134:$BT134,,AH134+1)*AF134-ERP_i)*AE134*Ramure*Pc/MaxiM</f>
        <v>3.1310944139307063E-5</v>
      </c>
      <c r="AE134" s="305">
        <f t="shared" si="38"/>
        <v>0.5</v>
      </c>
      <c r="AF134" s="177">
        <f t="shared" si="39"/>
        <v>0.57504948324062943</v>
      </c>
      <c r="AG134" s="811">
        <f t="shared" si="47"/>
        <v>-1</v>
      </c>
      <c r="AH134" s="176">
        <f t="shared" si="40"/>
        <v>5</v>
      </c>
      <c r="AI134" s="225">
        <f t="shared" si="41"/>
        <v>-0.42495051675937057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7">
        <v>19.568000000000001</v>
      </c>
      <c r="C135" s="390"/>
      <c r="D135" s="393">
        <f t="shared" si="24"/>
        <v>20.026747358661741</v>
      </c>
      <c r="E135" s="385">
        <f t="shared" si="45"/>
        <v>20.146245815576613</v>
      </c>
      <c r="F135" s="385">
        <f t="shared" si="25"/>
        <v>20.14627200541964</v>
      </c>
      <c r="G135" s="110">
        <f t="shared" si="46"/>
        <v>0.32595375548872063</v>
      </c>
      <c r="H135" s="414" t="b">
        <f>Wh_hp&gt;='2020'!Maxi_hp</f>
        <v>0</v>
      </c>
      <c r="I135" s="380">
        <f>IF(H135,Wh_hp,'2020'!Maxi_hp)</f>
        <v>57.93362071879104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2.2906733202649909E-2</v>
      </c>
      <c r="M135" s="845"/>
      <c r="N135" s="845"/>
      <c r="O135" s="48">
        <f>IF(t&lt;Tnet,'2020'!Resal+('2020'!Salim-'2020'!Resal)*(1-EXP(('2020'!Tnet-t)/('2020'!Tau_j))),Resal+(Salim-Resal)*(1-EXP((Tnet-t)/(Tau_j))))*Salcycl</f>
        <v>5.93154963007941E-3</v>
      </c>
      <c r="P135" s="169">
        <f>(INDEX(Models!$BJ135:$BT135,,T135)*(1-R135)+INDEX(Models!$BJ135:$BT135,,T135+1)*R135-ERP_i)*Q135*Ramure*Pc/MaxiM</f>
        <v>3.5047092799545336E-5</v>
      </c>
      <c r="Q135" s="305">
        <f t="shared" si="27"/>
        <v>0.5</v>
      </c>
      <c r="R135" s="177">
        <f t="shared" si="28"/>
        <v>0.5778043559986894</v>
      </c>
      <c r="S135" s="811">
        <f t="shared" si="29"/>
        <v>-1</v>
      </c>
      <c r="T135" s="176">
        <f t="shared" si="30"/>
        <v>5</v>
      </c>
      <c r="U135" s="251">
        <f t="shared" si="31"/>
        <v>-0.42219564400131054</v>
      </c>
      <c r="V135" s="383">
        <f t="shared" si="32"/>
        <v>60.031029881492138</v>
      </c>
      <c r="W135" s="402"/>
      <c r="X135" s="157">
        <f t="shared" si="33"/>
        <v>44317</v>
      </c>
      <c r="Y135" s="385">
        <f t="shared" si="34"/>
        <v>18.552629250494274</v>
      </c>
      <c r="Z135" s="385">
        <f t="shared" si="35"/>
        <v>18.987572508103369</v>
      </c>
      <c r="AA135" s="386">
        <f t="shared" si="36"/>
        <v>20.146245815576613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5.7513112769495979E-2</v>
      </c>
      <c r="AD135" s="231">
        <f>(INDEX(Models!$BJ135:$BT135,,AH135)*(1-AF135)+INDEX(Models!$BJ135:$BT135,,AH135+1)*AF135-ERP_i)*AE135*Ramure*Pc/MaxiM</f>
        <v>3.5047092799545336E-5</v>
      </c>
      <c r="AE135" s="305">
        <f t="shared" si="38"/>
        <v>0.5</v>
      </c>
      <c r="AF135" s="177">
        <f t="shared" si="39"/>
        <v>0.5778043559986894</v>
      </c>
      <c r="AG135" s="811">
        <f t="shared" si="47"/>
        <v>-1</v>
      </c>
      <c r="AH135" s="176">
        <f t="shared" si="40"/>
        <v>5</v>
      </c>
      <c r="AI135" s="225">
        <f t="shared" si="41"/>
        <v>-0.42219564400131054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7">
        <v>49.381</v>
      </c>
      <c r="C136" s="390"/>
      <c r="D136" s="393">
        <f t="shared" si="24"/>
        <v>50.539782917739181</v>
      </c>
      <c r="E136" s="385">
        <f t="shared" si="45"/>
        <v>50.845959245206267</v>
      </c>
      <c r="F136" s="385">
        <f t="shared" si="25"/>
        <v>50.847443819946974</v>
      </c>
      <c r="G136" s="110">
        <f t="shared" si="46"/>
        <v>0.82092387679037815</v>
      </c>
      <c r="H136" s="414" t="b">
        <f>Wh_hp&gt;='2020'!Maxi_hp</f>
        <v>1</v>
      </c>
      <c r="I136" s="380">
        <f>IF(H136,Wh_hp,'2020'!Maxi_hp)</f>
        <v>50.847443819946974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2.2928134052836557E-2</v>
      </c>
      <c r="M136" s="845"/>
      <c r="N136" s="845"/>
      <c r="O136" s="48">
        <f>IF(t&lt;Tnet,'2020'!Resal+('2020'!Salim-'2020'!Resal)*(1-EXP(('2020'!Tnet-t)/('2020'!Tau_j))),Resal+(Salim-Resal)*(1-EXP((Tnet-t)/(Tau_j))))*Salcycl</f>
        <v>6.0216452204302322E-3</v>
      </c>
      <c r="P136" s="169">
        <f>(INDEX(Models!$BJ136:$BT136,,T136)*(1-R136)+INDEX(Models!$BJ136:$BT136,,T136+1)*R136-ERP_i)*Q136*Ramure*Pc/MaxiM</f>
        <v>3.9232849187347434E-5</v>
      </c>
      <c r="Q136" s="305">
        <f t="shared" si="27"/>
        <v>0.5</v>
      </c>
      <c r="R136" s="177">
        <f t="shared" si="28"/>
        <v>0.58063684143412453</v>
      </c>
      <c r="S136" s="811">
        <f t="shared" si="29"/>
        <v>-1</v>
      </c>
      <c r="T136" s="176">
        <f t="shared" si="30"/>
        <v>5</v>
      </c>
      <c r="U136" s="251">
        <f t="shared" si="31"/>
        <v>-0.41936315856587547</v>
      </c>
      <c r="V136" s="383">
        <f t="shared" si="32"/>
        <v>60.15235490624562</v>
      </c>
      <c r="W136" s="402"/>
      <c r="X136" s="157">
        <f t="shared" si="33"/>
        <v>44318</v>
      </c>
      <c r="Y136" s="385">
        <f t="shared" si="34"/>
        <v>46.819410473474541</v>
      </c>
      <c r="Z136" s="385">
        <f t="shared" si="35"/>
        <v>47.918082697108758</v>
      </c>
      <c r="AA136" s="386">
        <f t="shared" si="36"/>
        <v>50.845959245206267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5.7583268986582191E-2</v>
      </c>
      <c r="AD136" s="231">
        <f>(INDEX(Models!$BJ136:$BT136,,AH136)*(1-AF136)+INDEX(Models!$BJ136:$BT136,,AH136+1)*AF136-ERP_i)*AE136*Ramure*Pc/MaxiM</f>
        <v>3.9232849187347434E-5</v>
      </c>
      <c r="AE136" s="305">
        <f t="shared" si="38"/>
        <v>0.5</v>
      </c>
      <c r="AF136" s="177">
        <f t="shared" si="39"/>
        <v>0.58063684143412453</v>
      </c>
      <c r="AG136" s="811">
        <f t="shared" si="47"/>
        <v>-1</v>
      </c>
      <c r="AH136" s="176">
        <f t="shared" si="40"/>
        <v>5</v>
      </c>
      <c r="AI136" s="225">
        <f t="shared" si="41"/>
        <v>-0.41936315856587547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7">
        <v>58.762</v>
      </c>
      <c r="C137" s="390"/>
      <c r="D137" s="393">
        <f t="shared" si="24"/>
        <v>60.142236323460445</v>
      </c>
      <c r="E137" s="385">
        <f t="shared" si="45"/>
        <v>60.512076030047965</v>
      </c>
      <c r="F137" s="385">
        <f t="shared" si="25"/>
        <v>60.514631083164147</v>
      </c>
      <c r="G137" s="110">
        <f t="shared" si="46"/>
        <v>0.97500233327622288</v>
      </c>
      <c r="H137" s="414" t="b">
        <f>Wh_hp&gt;='2020'!Maxi_hp</f>
        <v>1</v>
      </c>
      <c r="I137" s="380">
        <f>IF(H137,Wh_hp,'2020'!Maxi_hp)</f>
        <v>60.514631083164147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2.2949534434289709E-2</v>
      </c>
      <c r="M137" s="845"/>
      <c r="N137" s="845"/>
      <c r="O137" s="48">
        <f>IF(t&lt;Tnet,'2020'!Resal+('2020'!Salim-'2020'!Resal)*(1-EXP(('2020'!Tnet-t)/('2020'!Tau_j))),Resal+(Salim-Resal)*(1-EXP((Tnet-t)/(Tau_j))))*Salcycl</f>
        <v>6.1118330563287235E-3</v>
      </c>
      <c r="P137" s="169">
        <f>(INDEX(Models!$BJ137:$BT137,,T137)*(1-R137)+INDEX(Models!$BJ137:$BT137,,T137+1)*R137-ERP_i)*Q137*Ramure*Pc/MaxiM</f>
        <v>4.3785602294003423E-5</v>
      </c>
      <c r="Q137" s="305">
        <f t="shared" si="27"/>
        <v>0.5</v>
      </c>
      <c r="R137" s="177">
        <f t="shared" si="28"/>
        <v>0.58354777269968827</v>
      </c>
      <c r="S137" s="811">
        <f t="shared" si="29"/>
        <v>-1</v>
      </c>
      <c r="T137" s="176">
        <f t="shared" si="30"/>
        <v>5</v>
      </c>
      <c r="U137" s="251">
        <f t="shared" si="31"/>
        <v>-0.41645222730031167</v>
      </c>
      <c r="V137" s="383">
        <f t="shared" si="32"/>
        <v>60.268479484049955</v>
      </c>
      <c r="W137" s="402"/>
      <c r="X137" s="157">
        <f t="shared" si="33"/>
        <v>44319</v>
      </c>
      <c r="Y137" s="385">
        <f t="shared" si="34"/>
        <v>55.714643298281032</v>
      </c>
      <c r="Z137" s="385">
        <f t="shared" si="35"/>
        <v>57.023301520072827</v>
      </c>
      <c r="AA137" s="386">
        <f t="shared" si="36"/>
        <v>60.512076030047965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5.7654186384925046E-2</v>
      </c>
      <c r="AD137" s="231">
        <f>(INDEX(Models!$BJ137:$BT137,,AH137)*(1-AF137)+INDEX(Models!$BJ137:$BT137,,AH137+1)*AF137-ERP_i)*AE137*Ramure*Pc/MaxiM</f>
        <v>4.3785602294003423E-5</v>
      </c>
      <c r="AE137" s="305">
        <f t="shared" si="38"/>
        <v>0.5</v>
      </c>
      <c r="AF137" s="177">
        <f t="shared" si="39"/>
        <v>0.58354777269968827</v>
      </c>
      <c r="AG137" s="811">
        <f t="shared" si="47"/>
        <v>-1</v>
      </c>
      <c r="AH137" s="176">
        <f t="shared" si="40"/>
        <v>5</v>
      </c>
      <c r="AI137" s="225">
        <f t="shared" si="41"/>
        <v>-0.41645222730031167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7">
        <v>52.176000000000002</v>
      </c>
      <c r="C138" s="390"/>
      <c r="D138" s="393">
        <f t="shared" si="24"/>
        <v>53.40271014878055</v>
      </c>
      <c r="E138" s="385">
        <f t="shared" si="45"/>
        <v>53.735986918628484</v>
      </c>
      <c r="F138" s="385">
        <f t="shared" si="25"/>
        <v>53.738096642258157</v>
      </c>
      <c r="G138" s="110">
        <f t="shared" si="46"/>
        <v>0.86412605292034184</v>
      </c>
      <c r="H138" s="414" t="b">
        <f>Wh_hp&gt;='2020'!Maxi_hp</f>
        <v>0</v>
      </c>
      <c r="I138" s="380">
        <f>IF(H138,Wh_hp,'2020'!Maxi_hp)</f>
        <v>57.253924122877009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2.2970934347019467E-2</v>
      </c>
      <c r="M138" s="845"/>
      <c r="N138" s="845"/>
      <c r="O138" s="48">
        <f>IF(t&lt;Tnet,'2020'!Resal+('2020'!Salim-'2020'!Resal)*(1-EXP(('2020'!Tnet-t)/('2020'!Tau_j))),Resal+(Salim-Resal)*(1-EXP((Tnet-t)/(Tau_j))))*Salcycl</f>
        <v>6.202114987719741E-3</v>
      </c>
      <c r="P138" s="169">
        <f>(INDEX(Models!$BJ138:$BT138,,T138)*(1-R138)+INDEX(Models!$BJ138:$BT138,,T138+1)*R138-ERP_i)*Q138*Ramure*Pc/MaxiM</f>
        <v>4.8714570702891068E-5</v>
      </c>
      <c r="Q138" s="305">
        <f t="shared" si="27"/>
        <v>0.5</v>
      </c>
      <c r="R138" s="177">
        <f t="shared" si="28"/>
        <v>0.58653789361597874</v>
      </c>
      <c r="S138" s="811">
        <f t="shared" si="29"/>
        <v>-1</v>
      </c>
      <c r="T138" s="176">
        <f t="shared" si="30"/>
        <v>5</v>
      </c>
      <c r="U138" s="251">
        <f t="shared" si="31"/>
        <v>-0.41346210638402126</v>
      </c>
      <c r="V138" s="383">
        <f t="shared" si="32"/>
        <v>60.379508833886625</v>
      </c>
      <c r="W138" s="402"/>
      <c r="X138" s="157">
        <f t="shared" si="33"/>
        <v>44320</v>
      </c>
      <c r="Y138" s="385">
        <f t="shared" si="34"/>
        <v>49.470920259637197</v>
      </c>
      <c r="Z138" s="385">
        <f t="shared" si="35"/>
        <v>50.634031267610403</v>
      </c>
      <c r="AA138" s="386">
        <f t="shared" si="36"/>
        <v>53.735986918628484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5.7725852429496155E-2</v>
      </c>
      <c r="AD138" s="231">
        <f>(INDEX(Models!$BJ138:$BT138,,AH138)*(1-AF138)+INDEX(Models!$BJ138:$BT138,,AH138+1)*AF138-ERP_i)*AE138*Ramure*Pc/MaxiM</f>
        <v>4.8714570702891068E-5</v>
      </c>
      <c r="AE138" s="305">
        <f t="shared" si="38"/>
        <v>0.5</v>
      </c>
      <c r="AF138" s="177">
        <f t="shared" si="39"/>
        <v>0.58653789361597874</v>
      </c>
      <c r="AG138" s="811">
        <f t="shared" si="47"/>
        <v>-1</v>
      </c>
      <c r="AH138" s="176">
        <f t="shared" si="40"/>
        <v>5</v>
      </c>
      <c r="AI138" s="225">
        <f t="shared" si="41"/>
        <v>-0.41346210638402126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7">
        <v>35.033999999999999</v>
      </c>
      <c r="C139" s="390"/>
      <c r="D139" s="393">
        <f t="shared" si="24"/>
        <v>35.858469909392582</v>
      </c>
      <c r="E139" s="385">
        <f t="shared" si="45"/>
        <v>36.085537888681365</v>
      </c>
      <c r="F139" s="385">
        <f t="shared" si="25"/>
        <v>36.086315585239817</v>
      </c>
      <c r="G139" s="110">
        <f t="shared" si="46"/>
        <v>0.57919392669537872</v>
      </c>
      <c r="H139" s="414" t="b">
        <f>Wh_hp&gt;='2020'!Maxi_hp</f>
        <v>0</v>
      </c>
      <c r="I139" s="380">
        <f>IF(H139,Wh_hp,'2020'!Maxi_hp)</f>
        <v>60.369568048217943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2.2992333791036268E-2</v>
      </c>
      <c r="M139" s="845"/>
      <c r="N139" s="845"/>
      <c r="O139" s="48">
        <f>IF(t&lt;Tnet,'2020'!Resal+('2020'!Salim-'2020'!Resal)*(1-EXP(('2020'!Tnet-t)/('2020'!Tau_j))),Resal+(Salim-Resal)*(1-EXP((Tnet-t)/(Tau_j))))*Salcycl</f>
        <v>6.2924925766453185E-3</v>
      </c>
      <c r="P139" s="169">
        <f>(INDEX(Models!$BJ139:$BT139,,T139)*(1-R139)+INDEX(Models!$BJ139:$BT139,,T139+1)*R139-ERP_i)*Q139*Ramure*Pc/MaxiM</f>
        <v>5.4029437391996693E-5</v>
      </c>
      <c r="Q139" s="305">
        <f t="shared" si="27"/>
        <v>0.5</v>
      </c>
      <c r="R139" s="177">
        <f t="shared" si="28"/>
        <v>0.58960785168255514</v>
      </c>
      <c r="S139" s="811">
        <f t="shared" si="29"/>
        <v>-1</v>
      </c>
      <c r="T139" s="176">
        <f t="shared" si="30"/>
        <v>5</v>
      </c>
      <c r="U139" s="251">
        <f t="shared" si="31"/>
        <v>-0.41039214831744486</v>
      </c>
      <c r="V139" s="383">
        <f t="shared" si="32"/>
        <v>60.485548124001163</v>
      </c>
      <c r="W139" s="402"/>
      <c r="X139" s="157">
        <f t="shared" si="33"/>
        <v>44321</v>
      </c>
      <c r="Y139" s="385">
        <f t="shared" si="34"/>
        <v>33.218120792228348</v>
      </c>
      <c r="Z139" s="385">
        <f t="shared" si="35"/>
        <v>33.999856849765607</v>
      </c>
      <c r="AA139" s="386">
        <f t="shared" si="36"/>
        <v>36.085537888681365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5.7798252733540528E-2</v>
      </c>
      <c r="AD139" s="231">
        <f>(INDEX(Models!$BJ139:$BT139,,AH139)*(1-AF139)+INDEX(Models!$BJ139:$BT139,,AH139+1)*AF139-ERP_i)*AE139*Ramure*Pc/MaxiM</f>
        <v>5.4029437391996693E-5</v>
      </c>
      <c r="AE139" s="305">
        <f t="shared" si="38"/>
        <v>0.5</v>
      </c>
      <c r="AF139" s="177">
        <f t="shared" si="39"/>
        <v>0.58960785168255514</v>
      </c>
      <c r="AG139" s="811">
        <f t="shared" si="47"/>
        <v>-1</v>
      </c>
      <c r="AH139" s="176">
        <f t="shared" si="40"/>
        <v>5</v>
      </c>
      <c r="AI139" s="225">
        <f t="shared" si="41"/>
        <v>-0.41039214831744486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7">
        <v>36.173000000000002</v>
      </c>
      <c r="C140" s="390"/>
      <c r="D140" s="393">
        <f t="shared" si="24"/>
        <v>37.025085421542677</v>
      </c>
      <c r="E140" s="385">
        <f t="shared" si="45"/>
        <v>37.262933499386534</v>
      </c>
      <c r="F140" s="385">
        <f t="shared" si="25"/>
        <v>37.263878169533271</v>
      </c>
      <c r="G140" s="110">
        <f t="shared" si="46"/>
        <v>0.59702466909085317</v>
      </c>
      <c r="H140" s="414" t="b">
        <f>Wh_hp&gt;='2020'!Maxi_hp</f>
        <v>0</v>
      </c>
      <c r="I140" s="380">
        <f>IF(H140,Wh_hp,'2020'!Maxi_hp)</f>
        <v>64.189889106761925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2.3013732766350325E-2</v>
      </c>
      <c r="M140" s="845"/>
      <c r="N140" s="845"/>
      <c r="O140" s="48">
        <f>IF(t&lt;Tnet,'2020'!Resal+('2020'!Salim-'2020'!Resal)*(1-EXP(('2020'!Tnet-t)/('2020'!Tau_j))),Resal+(Salim-Resal)*(1-EXP((Tnet-t)/(Tau_j))))*Salcycl</f>
        <v>6.3829670803500858E-3</v>
      </c>
      <c r="P140" s="169">
        <f>(INDEX(Models!$BJ140:$BT140,,T140)*(1-R140)+INDEX(Models!$BJ140:$BT140,,T140+1)*R140-ERP_i)*Q140*Ramure*Pc/MaxiM</f>
        <v>5.9740332901715038E-5</v>
      </c>
      <c r="Q140" s="305">
        <f t="shared" si="27"/>
        <v>0.5</v>
      </c>
      <c r="R140" s="177">
        <f t="shared" si="28"/>
        <v>0.59275819104389649</v>
      </c>
      <c r="S140" s="811">
        <f t="shared" si="29"/>
        <v>-1</v>
      </c>
      <c r="T140" s="176">
        <f t="shared" si="30"/>
        <v>5</v>
      </c>
      <c r="U140" s="251">
        <f t="shared" si="31"/>
        <v>-0.40724180895610351</v>
      </c>
      <c r="V140" s="383">
        <f t="shared" si="32"/>
        <v>60.586702475738747</v>
      </c>
      <c r="W140" s="402"/>
      <c r="X140" s="157">
        <f t="shared" si="33"/>
        <v>44322</v>
      </c>
      <c r="Y140" s="385">
        <f t="shared" si="34"/>
        <v>34.298545382147999</v>
      </c>
      <c r="Z140" s="385">
        <f t="shared" si="35"/>
        <v>35.106476449525552</v>
      </c>
      <c r="AA140" s="386">
        <f t="shared" si="36"/>
        <v>37.262933499386534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5.7871371020654643E-2</v>
      </c>
      <c r="AD140" s="231">
        <f>(INDEX(Models!$BJ140:$BT140,,AH140)*(1-AF140)+INDEX(Models!$BJ140:$BT140,,AH140+1)*AF140-ERP_i)*AE140*Ramure*Pc/MaxiM</f>
        <v>5.9740332901715038E-5</v>
      </c>
      <c r="AE140" s="305">
        <f t="shared" si="38"/>
        <v>0.5</v>
      </c>
      <c r="AF140" s="177">
        <f t="shared" si="39"/>
        <v>0.59275819104389649</v>
      </c>
      <c r="AG140" s="811">
        <f t="shared" si="47"/>
        <v>-1</v>
      </c>
      <c r="AH140" s="176">
        <f t="shared" si="40"/>
        <v>5</v>
      </c>
      <c r="AI140" s="225">
        <f t="shared" si="41"/>
        <v>-0.40724180895610351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7">
        <v>27.507999999999999</v>
      </c>
      <c r="C141" s="390"/>
      <c r="D141" s="393">
        <f t="shared" si="24"/>
        <v>28.156590764458652</v>
      </c>
      <c r="E141" s="385">
        <f t="shared" si="45"/>
        <v>28.340051203507052</v>
      </c>
      <c r="F141" s="385">
        <f t="shared" si="25"/>
        <v>28.340459969915717</v>
      </c>
      <c r="G141" s="110">
        <f t="shared" si="46"/>
        <v>0.45328263660295509</v>
      </c>
      <c r="H141" s="414" t="b">
        <f>Wh_hp&gt;='2020'!Maxi_hp</f>
        <v>0</v>
      </c>
      <c r="I141" s="380">
        <f>IF(H141,Wh_hp,'2020'!Maxi_hp)</f>
        <v>60.114108347336412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2.3035131272971854E-2</v>
      </c>
      <c r="M141" s="845"/>
      <c r="N141" s="845"/>
      <c r="O141" s="48">
        <f>IF(t&lt;Tnet,'2020'!Resal+('2020'!Salim-'2020'!Resal)*(1-EXP(('2020'!Tnet-t)/('2020'!Tau_j))),Resal+(Salim-Resal)*(1-EXP((Tnet-t)/(Tau_j))))*Salcycl</f>
        <v>6.4735394347380133E-3</v>
      </c>
      <c r="P141" s="169">
        <f>(INDEX(Models!$BJ141:$BT141,,T141)*(1-R141)+INDEX(Models!$BJ141:$BT141,,T141+1)*R141-ERP_i)*Q141*Ramure*Pc/MaxiM</f>
        <v>6.5857816418148326E-5</v>
      </c>
      <c r="Q141" s="305">
        <f t="shared" si="27"/>
        <v>0.5</v>
      </c>
      <c r="R141" s="177">
        <f t="shared" si="28"/>
        <v>0.5959893454490488</v>
      </c>
      <c r="S141" s="811">
        <f t="shared" si="29"/>
        <v>-1</v>
      </c>
      <c r="T141" s="176">
        <f t="shared" si="30"/>
        <v>5</v>
      </c>
      <c r="U141" s="251">
        <f t="shared" si="31"/>
        <v>-0.4040106545509512</v>
      </c>
      <c r="V141" s="383">
        <f t="shared" si="32"/>
        <v>60.683076961449714</v>
      </c>
      <c r="W141" s="402"/>
      <c r="X141" s="157">
        <f t="shared" si="33"/>
        <v>44323</v>
      </c>
      <c r="Y141" s="385">
        <f t="shared" si="34"/>
        <v>26.082892370788169</v>
      </c>
      <c r="Z141" s="385">
        <f t="shared" si="35"/>
        <v>26.697881577639347</v>
      </c>
      <c r="AA141" s="386">
        <f t="shared" si="36"/>
        <v>28.340051203507052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5.794518909212442E-2</v>
      </c>
      <c r="AD141" s="231">
        <f>(INDEX(Models!$BJ141:$BT141,,AH141)*(1-AF141)+INDEX(Models!$BJ141:$BT141,,AH141+1)*AF141-ERP_i)*AE141*Ramure*Pc/MaxiM</f>
        <v>6.5857816418148326E-5</v>
      </c>
      <c r="AE141" s="305">
        <f t="shared" si="38"/>
        <v>0.5</v>
      </c>
      <c r="AF141" s="177">
        <f t="shared" si="39"/>
        <v>0.5959893454490488</v>
      </c>
      <c r="AG141" s="811">
        <f t="shared" si="47"/>
        <v>-1</v>
      </c>
      <c r="AH141" s="176">
        <f t="shared" si="40"/>
        <v>5</v>
      </c>
      <c r="AI141" s="225">
        <f t="shared" si="41"/>
        <v>-0.4040106545509512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7">
        <v>58.951000000000001</v>
      </c>
      <c r="C142" s="390"/>
      <c r="D142" s="393">
        <f t="shared" si="24"/>
        <v>60.342283631230799</v>
      </c>
      <c r="E142" s="385">
        <f t="shared" si="45"/>
        <v>60.741000327465706</v>
      </c>
      <c r="F142" s="385">
        <f t="shared" si="25"/>
        <v>60.745186891784464</v>
      </c>
      <c r="G142" s="110">
        <f t="shared" si="46"/>
        <v>0.96998785601043636</v>
      </c>
      <c r="H142" s="414" t="b">
        <f>Wh_hp&gt;='2020'!Maxi_hp</f>
        <v>1</v>
      </c>
      <c r="I142" s="380">
        <f>IF(H142,Wh_hp,'2020'!Maxi_hp)</f>
        <v>60.745186891784464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2.3056529310911289E-2</v>
      </c>
      <c r="M142" s="845"/>
      <c r="N142" s="845"/>
      <c r="O142" s="48">
        <f>IF(t&lt;Tnet,'2020'!Resal+('2020'!Salim-'2020'!Resal)*(1-EXP(('2020'!Tnet-t)/('2020'!Tau_j))),Resal+(Salim-Resal)*(1-EXP((Tnet-t)/(Tau_j))))*Salcycl</f>
        <v>6.5642102383126448E-3</v>
      </c>
      <c r="P142" s="169">
        <f>(INDEX(Models!$BJ142:$BT142,,T142)*(1-R142)+INDEX(Models!$BJ142:$BT142,,T142+1)*R142-ERP_i)*Q142*Ramure*Pc/MaxiM</f>
        <v>7.2007057323988442E-5</v>
      </c>
      <c r="Q142" s="305">
        <f t="shared" si="27"/>
        <v>0.5</v>
      </c>
      <c r="R142" s="177">
        <f t="shared" si="28"/>
        <v>0.59930163124718172</v>
      </c>
      <c r="S142" s="811">
        <f t="shared" si="29"/>
        <v>-1</v>
      </c>
      <c r="T142" s="176">
        <f t="shared" si="30"/>
        <v>5</v>
      </c>
      <c r="U142" s="251">
        <f t="shared" si="31"/>
        <v>-0.40069836875281822</v>
      </c>
      <c r="V142" s="383">
        <f t="shared" si="32"/>
        <v>60.774800058493078</v>
      </c>
      <c r="W142" s="402"/>
      <c r="X142" s="157">
        <f t="shared" si="33"/>
        <v>44324</v>
      </c>
      <c r="Y142" s="385">
        <f t="shared" si="34"/>
        <v>55.897605074970933</v>
      </c>
      <c r="Z142" s="385">
        <f t="shared" si="35"/>
        <v>57.21682651253451</v>
      </c>
      <c r="AA142" s="386">
        <f t="shared" si="36"/>
        <v>60.741000327465706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5.8019686800212911E-2</v>
      </c>
      <c r="AD142" s="231">
        <f>(INDEX(Models!$BJ142:$BT142,,AH142)*(1-AF142)+INDEX(Models!$BJ142:$BT142,,AH142+1)*AF142-ERP_i)*AE142*Ramure*Pc/MaxiM</f>
        <v>7.2007057323988442E-5</v>
      </c>
      <c r="AE142" s="305">
        <f t="shared" si="38"/>
        <v>0.5</v>
      </c>
      <c r="AF142" s="177">
        <f t="shared" si="39"/>
        <v>0.59930163124718172</v>
      </c>
      <c r="AG142" s="811">
        <f t="shared" si="47"/>
        <v>-1</v>
      </c>
      <c r="AH142" s="176">
        <f t="shared" si="40"/>
        <v>5</v>
      </c>
      <c r="AI142" s="225">
        <f t="shared" si="41"/>
        <v>-0.40069836875281822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7">
        <v>21.608000000000001</v>
      </c>
      <c r="C143" s="390"/>
      <c r="D143" s="393">
        <f t="shared" ref="D143:D206" si="48">Wh/(1-Ppv)</f>
        <v>22.118447923890585</v>
      </c>
      <c r="E143" s="385">
        <f t="shared" si="45"/>
        <v>22.266631908044051</v>
      </c>
      <c r="F143" s="385">
        <f t="shared" ref="F143:F206" si="49">Wh_sa/(1-Pvg*MEDIAN((-Sdif+Wh/Env_an)/Csdif,0,1))</f>
        <v>22.266768529512007</v>
      </c>
      <c r="G143" s="110">
        <f t="shared" si="46"/>
        <v>0.3550072467717596</v>
      </c>
      <c r="H143" s="414" t="b">
        <f>Wh_hp&gt;='2020'!Maxi_hp</f>
        <v>0</v>
      </c>
      <c r="I143" s="380">
        <f>IF(H143,Wh_hp,'2020'!Maxi_hp)</f>
        <v>55.215923921937936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2.3077926880178623E-2</v>
      </c>
      <c r="M143" s="845"/>
      <c r="N143" s="845"/>
      <c r="O143" s="48">
        <f>IF(t&lt;Tnet,'2020'!Resal+('2020'!Salim-'2020'!Resal)*(1-EXP(('2020'!Tnet-t)/('2020'!Tau_j))),Resal+(Salim-Resal)*(1-EXP((Tnet-t)/(Tau_j))))*Salcycl</f>
        <v>6.6549797367393337E-3</v>
      </c>
      <c r="P143" s="169">
        <f>(INDEX(Models!$BJ143:$BT143,,T143)*(1-R143)+INDEX(Models!$BJ143:$BT143,,T143+1)*R143-ERP_i)*Q143*Ramure*Pc/MaxiM</f>
        <v>7.804379280482923E-5</v>
      </c>
      <c r="Q143" s="305">
        <f t="shared" ref="Q143:Q206" si="51">IF(OR(t&lt;Ttai,Notai),Dd+PousD*Croivg,Dens+PousD*(Croivg-Croi_tai))</f>
        <v>0.5</v>
      </c>
      <c r="R143" s="177">
        <f t="shared" ref="R143:R206" si="52">(Hp_vg-S143)/(INDEX(Echel_vg,T143+1)-S143)</f>
        <v>0.60269524046452716</v>
      </c>
      <c r="S143" s="81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-0.39730475953547284</v>
      </c>
      <c r="V143" s="383">
        <f t="shared" ref="V143:V206" si="56">MaxiM*(1-Ppv)*(1-Pvg)*(1-Psa)</f>
        <v>60.861986328877748</v>
      </c>
      <c r="W143" s="402"/>
      <c r="X143" s="157">
        <f t="shared" ref="X143:X206" si="57">t</f>
        <v>44325</v>
      </c>
      <c r="Y143" s="385">
        <f t="shared" ref="Y143:Y206" si="58">Wh_pvt_s*(1-Ppv)</f>
        <v>20.489040804838726</v>
      </c>
      <c r="Z143" s="385">
        <f t="shared" ref="Z143:Z206" si="59">Wh_sa_s*(1-Psa_s)</f>
        <v>20.973055444848882</v>
      </c>
      <c r="AA143" s="386">
        <f t="shared" ref="AA143:AA206" si="60">Wh_hp*(1-Pvg_s*MEDIAN((-Sdif+Wh/Env_an)/Csdif,0,1))</f>
        <v>22.266631908044051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5.8094842028077576E-2</v>
      </c>
      <c r="AD143" s="231">
        <f>(INDEX(Models!$BJ143:$BT143,,AH143)*(1-AF143)+INDEX(Models!$BJ143:$BT143,,AH143+1)*AF143-ERP_i)*AE143*Ramure*Pc/MaxiM</f>
        <v>7.804379280482923E-5</v>
      </c>
      <c r="AE143" s="305">
        <f t="shared" ref="AE143:AE206" si="62">IF(OR(t&lt;Ttai,Notai),Dd_s+PousD*Croivg,Dens_s+PousD*(Croivg-Croi_tai))</f>
        <v>0.5</v>
      </c>
      <c r="AF143" s="177">
        <f t="shared" ref="AF143:AF206" si="63">(Hp_vg_s-AG143)/(INDEX(Echel_vg,AH143+1)-AG143)</f>
        <v>0.60269524046452716</v>
      </c>
      <c r="AG143" s="81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-0.39730475953547284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7">
        <v>43.303000000000004</v>
      </c>
      <c r="C144" s="390"/>
      <c r="D144" s="393">
        <f t="shared" si="48"/>
        <v>44.326921930749322</v>
      </c>
      <c r="E144" s="385">
        <f t="shared" ref="E144:E169" si="69">Wh_pvt/(1-Psa)</f>
        <v>44.627975461197423</v>
      </c>
      <c r="F144" s="385">
        <f t="shared" si="49"/>
        <v>44.630173257752162</v>
      </c>
      <c r="G144" s="110">
        <f t="shared" ref="G144:G169" si="70">+Wh_hp/MaxiM</f>
        <v>0.71050422376027467</v>
      </c>
      <c r="H144" s="414" t="b">
        <f>Wh_hp&gt;='2020'!Maxi_hp</f>
        <v>0</v>
      </c>
      <c r="I144" s="380">
        <f>IF(H144,Wh_hp,'2020'!Maxi_hp)</f>
        <v>51.205898275626573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2.3099323980784403E-2</v>
      </c>
      <c r="M144" s="845"/>
      <c r="N144" s="845"/>
      <c r="O144" s="48">
        <f>IF(t&lt;Tnet,'2020'!Resal+('2020'!Salim-'2020'!Resal)*(1-EXP(('2020'!Tnet-t)/('2020'!Tau_j))),Resal+(Salim-Resal)*(1-EXP((Tnet-t)/(Tau_j))))*Salcycl</f>
        <v>6.7458478081726244E-3</v>
      </c>
      <c r="P144" s="169">
        <f>(INDEX(Models!$BJ144:$BT144,,T144)*(1-R144)+INDEX(Models!$BJ144:$BT144,,T144+1)*R144-ERP_i)*Q144*Ramure*Pc/MaxiM</f>
        <v>8.3967886740932273E-5</v>
      </c>
      <c r="Q144" s="305">
        <f t="shared" si="51"/>
        <v>0.5</v>
      </c>
      <c r="R144" s="177">
        <f t="shared" si="52"/>
        <v>0.60617023401124537</v>
      </c>
      <c r="S144" s="811">
        <f t="shared" si="53"/>
        <v>-1</v>
      </c>
      <c r="T144" s="176">
        <f t="shared" si="54"/>
        <v>5</v>
      </c>
      <c r="U144" s="251">
        <f t="shared" si="55"/>
        <v>-0.39382976598875463</v>
      </c>
      <c r="V144" s="383">
        <f t="shared" si="56"/>
        <v>60.94474157489983</v>
      </c>
      <c r="W144" s="402"/>
      <c r="X144" s="157">
        <f t="shared" si="57"/>
        <v>44326</v>
      </c>
      <c r="Y144" s="385">
        <f t="shared" si="58"/>
        <v>41.061028629778342</v>
      </c>
      <c r="Z144" s="385">
        <f t="shared" si="59"/>
        <v>42.031937982782878</v>
      </c>
      <c r="AA144" s="386">
        <f t="shared" si="60"/>
        <v>44.627975461197423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5.8170630676977801E-2</v>
      </c>
      <c r="AD144" s="231">
        <f>(INDEX(Models!$BJ144:$BT144,,AH144)*(1-AF144)+INDEX(Models!$BJ144:$BT144,,AH144+1)*AF144-ERP_i)*AE144*Ramure*Pc/MaxiM</f>
        <v>8.3967886740932273E-5</v>
      </c>
      <c r="AE144" s="305">
        <f t="shared" si="62"/>
        <v>0.5</v>
      </c>
      <c r="AF144" s="177">
        <f t="shared" si="63"/>
        <v>0.60617023401124537</v>
      </c>
      <c r="AG144" s="811">
        <f t="shared" ref="AG144:AG207" si="71">INDEX(Echel_vg,AH144)</f>
        <v>-1</v>
      </c>
      <c r="AH144" s="176">
        <f t="shared" si="64"/>
        <v>5</v>
      </c>
      <c r="AI144" s="225">
        <f t="shared" si="65"/>
        <v>-0.39382976598875463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7">
        <v>36.262999999999998</v>
      </c>
      <c r="C145" s="390"/>
      <c r="D145" s="393">
        <f t="shared" si="48"/>
        <v>37.121270524588908</v>
      </c>
      <c r="E145" s="385">
        <f t="shared" si="69"/>
        <v>37.376808812465612</v>
      </c>
      <c r="F145" s="385">
        <f t="shared" si="49"/>
        <v>37.378219433644453</v>
      </c>
      <c r="G145" s="110">
        <f t="shared" si="70"/>
        <v>0.59421875114314204</v>
      </c>
      <c r="H145" s="414" t="b">
        <f>Wh_hp&gt;='2020'!Maxi_hp</f>
        <v>0</v>
      </c>
      <c r="I145" s="380">
        <f>IF(H145,Wh_hp,'2020'!Maxi_hp)</f>
        <v>38.866308209024936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2.3120720612738732E-2</v>
      </c>
      <c r="M145" s="845"/>
      <c r="N145" s="845"/>
      <c r="O145" s="48">
        <f>IF(t&lt;Tnet,'2020'!Resal+('2020'!Salim-'2020'!Resal)*(1-EXP(('2020'!Tnet-t)/('2020'!Tau_j))),Resal+(Salim-Resal)*(1-EXP((Tnet-t)/(Tau_j))))*Salcycl</f>
        <v>6.8368139494958584E-3</v>
      </c>
      <c r="P145" s="169">
        <f>(INDEX(Models!$BJ145:$BT145,,T145)*(1-R145)+INDEX(Models!$BJ145:$BT145,,T145+1)*R145-ERP_i)*Q145*Ramure*Pc/MaxiM</f>
        <v>8.9778808241983629E-5</v>
      </c>
      <c r="Q145" s="305">
        <f t="shared" si="51"/>
        <v>0.5</v>
      </c>
      <c r="R145" s="177">
        <f t="shared" si="52"/>
        <v>0.60972653506960972</v>
      </c>
      <c r="S145" s="811">
        <f t="shared" si="53"/>
        <v>-1</v>
      </c>
      <c r="T145" s="176">
        <f t="shared" si="54"/>
        <v>5</v>
      </c>
      <c r="U145" s="251">
        <f t="shared" si="55"/>
        <v>-0.39027346493039033</v>
      </c>
      <c r="V145" s="383">
        <f t="shared" si="56"/>
        <v>61.023171591058883</v>
      </c>
      <c r="W145" s="402"/>
      <c r="X145" s="157">
        <f t="shared" si="57"/>
        <v>44327</v>
      </c>
      <c r="Y145" s="385">
        <f t="shared" si="58"/>
        <v>34.385877922020377</v>
      </c>
      <c r="Z145" s="385">
        <f t="shared" si="59"/>
        <v>35.199720833047671</v>
      </c>
      <c r="AA145" s="386">
        <f t="shared" si="60"/>
        <v>37.376808812465612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5.8247026661405479E-2</v>
      </c>
      <c r="AD145" s="231">
        <f>(INDEX(Models!$BJ145:$BT145,,AH145)*(1-AF145)+INDEX(Models!$BJ145:$BT145,,AH145+1)*AF145-ERP_i)*AE145*Ramure*Pc/MaxiM</f>
        <v>8.9778808241983629E-5</v>
      </c>
      <c r="AE145" s="305">
        <f t="shared" si="62"/>
        <v>0.5</v>
      </c>
      <c r="AF145" s="177">
        <f t="shared" si="63"/>
        <v>0.60972653506960972</v>
      </c>
      <c r="AG145" s="811">
        <f t="shared" si="71"/>
        <v>-1</v>
      </c>
      <c r="AH145" s="176">
        <f t="shared" si="64"/>
        <v>5</v>
      </c>
      <c r="AI145" s="225">
        <f t="shared" si="65"/>
        <v>-0.39027346493039033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7">
        <v>43.480000000000004</v>
      </c>
      <c r="C146" s="390"/>
      <c r="D146" s="393">
        <f t="shared" si="48"/>
        <v>44.510056935305563</v>
      </c>
      <c r="E146" s="385">
        <f t="shared" si="69"/>
        <v>44.820568331592618</v>
      </c>
      <c r="F146" s="385">
        <f t="shared" si="49"/>
        <v>44.823084995351344</v>
      </c>
      <c r="G146" s="110">
        <f t="shared" si="70"/>
        <v>0.71162279509687398</v>
      </c>
      <c r="H146" s="414" t="b">
        <f>Wh_hp&gt;='2020'!Maxi_hp</f>
        <v>0</v>
      </c>
      <c r="I146" s="380">
        <f>IF(H146,Wh_hp,'2020'!Maxi_hp)</f>
        <v>59.238727729135654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2.3142116776051824E-2</v>
      </c>
      <c r="M146" s="845"/>
      <c r="N146" s="845"/>
      <c r="O146" s="48">
        <f>IF(t&lt;Tnet,'2020'!Resal+('2020'!Salim-'2020'!Resal)*(1-EXP(('2020'!Tnet-t)/('2020'!Tau_j))),Resal+(Salim-Resal)*(1-EXP((Tnet-t)/(Tau_j))))*Salcycl</f>
        <v>6.9278772636219895E-3</v>
      </c>
      <c r="P146" s="169">
        <f>(INDEX(Models!$BJ146:$BT146,,T146)*(1-R146)+INDEX(Models!$BJ146:$BT146,,T146+1)*R146-ERP_i)*Q146*Ramure*Pc/MaxiM</f>
        <v>9.547563224254173E-5</v>
      </c>
      <c r="Q146" s="305">
        <f t="shared" si="51"/>
        <v>0.5</v>
      </c>
      <c r="R146" s="177">
        <f t="shared" si="52"/>
        <v>0.61336392271743834</v>
      </c>
      <c r="S146" s="811">
        <f t="shared" si="53"/>
        <v>-1</v>
      </c>
      <c r="T146" s="176">
        <f t="shared" si="54"/>
        <v>5</v>
      </c>
      <c r="U146" s="251">
        <f t="shared" si="55"/>
        <v>-0.38663607728256161</v>
      </c>
      <c r="V146" s="383">
        <f t="shared" si="56"/>
        <v>61.097382176576403</v>
      </c>
      <c r="W146" s="402"/>
      <c r="X146" s="157">
        <f t="shared" si="57"/>
        <v>44328</v>
      </c>
      <c r="Y146" s="385">
        <f t="shared" si="58"/>
        <v>41.229706744777189</v>
      </c>
      <c r="Z146" s="385">
        <f t="shared" si="59"/>
        <v>42.206453418490895</v>
      </c>
      <c r="AA146" s="386">
        <f t="shared" si="60"/>
        <v>44.820568331592618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5.8324001912736019E-2</v>
      </c>
      <c r="AD146" s="231">
        <f>(INDEX(Models!$BJ146:$BT146,,AH146)*(1-AF146)+INDEX(Models!$BJ146:$BT146,,AH146+1)*AF146-ERP_i)*AE146*Ramure*Pc/MaxiM</f>
        <v>9.547563224254173E-5</v>
      </c>
      <c r="AE146" s="305">
        <f t="shared" si="62"/>
        <v>0.5</v>
      </c>
      <c r="AF146" s="177">
        <f t="shared" si="63"/>
        <v>0.61336392271743834</v>
      </c>
      <c r="AG146" s="811">
        <f t="shared" si="71"/>
        <v>-1</v>
      </c>
      <c r="AH146" s="176">
        <f t="shared" si="64"/>
        <v>5</v>
      </c>
      <c r="AI146" s="225">
        <f t="shared" si="65"/>
        <v>-0.38663607728256161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7">
        <v>47.378</v>
      </c>
      <c r="C147" s="390"/>
      <c r="D147" s="393">
        <f t="shared" si="48"/>
        <v>48.50146427252551</v>
      </c>
      <c r="E147" s="385">
        <f t="shared" si="69"/>
        <v>48.844304224152303</v>
      </c>
      <c r="F147" s="385">
        <f t="shared" si="49"/>
        <v>48.847650834155864</v>
      </c>
      <c r="G147" s="110">
        <f t="shared" si="70"/>
        <v>0.77453670829174415</v>
      </c>
      <c r="H147" s="414" t="b">
        <f>Wh_hp&gt;='2020'!Maxi_hp</f>
        <v>0</v>
      </c>
      <c r="I147" s="380">
        <f>IF(H147,Wh_hp,'2020'!Maxi_hp)</f>
        <v>65.408960512497771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2.3163512470734116E-2</v>
      </c>
      <c r="M147" s="845"/>
      <c r="N147" s="845"/>
      <c r="O147" s="48">
        <f>IF(t&lt;Tnet,'2020'!Resal+('2020'!Salim-'2020'!Resal)*(1-EXP(('2020'!Tnet-t)/('2020'!Tau_j))),Resal+(Salim-Resal)*(1-EXP((Tnet-t)/(Tau_j))))*Salcycl</f>
        <v>7.0190364480054645E-3</v>
      </c>
      <c r="P147" s="169">
        <f>(INDEX(Models!$BJ147:$BT147,,T147)*(1-R147)+INDEX(Models!$BJ147:$BT147,,T147+1)*R147-ERP_i)*Q147*Ramure*Pc/MaxiM</f>
        <v>1.0105704082145485E-4</v>
      </c>
      <c r="Q147" s="305">
        <f t="shared" si="51"/>
        <v>0.5</v>
      </c>
      <c r="R147" s="177">
        <f t="shared" si="52"/>
        <v>0.61708202584289051</v>
      </c>
      <c r="S147" s="811">
        <f t="shared" si="53"/>
        <v>-1</v>
      </c>
      <c r="T147" s="176">
        <f t="shared" si="54"/>
        <v>5</v>
      </c>
      <c r="U147" s="251">
        <f t="shared" si="55"/>
        <v>-0.38291797415710949</v>
      </c>
      <c r="V147" s="383">
        <f t="shared" si="56"/>
        <v>61.167479125499</v>
      </c>
      <c r="W147" s="402"/>
      <c r="X147" s="157">
        <f t="shared" si="57"/>
        <v>44329</v>
      </c>
      <c r="Y147" s="385">
        <f t="shared" si="58"/>
        <v>44.926392468818136</v>
      </c>
      <c r="Z147" s="385">
        <f t="shared" si="59"/>
        <v>45.991722301908943</v>
      </c>
      <c r="AA147" s="386">
        <f t="shared" si="60"/>
        <v>48.844304224152303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5.8401526391952008E-2</v>
      </c>
      <c r="AD147" s="231">
        <f>(INDEX(Models!$BJ147:$BT147,,AH147)*(1-AF147)+INDEX(Models!$BJ147:$BT147,,AH147+1)*AF147-ERP_i)*AE147*Ramure*Pc/MaxiM</f>
        <v>1.0105704082145485E-4</v>
      </c>
      <c r="AE147" s="305">
        <f t="shared" si="62"/>
        <v>0.5</v>
      </c>
      <c r="AF147" s="177">
        <f t="shared" si="63"/>
        <v>0.61708202584289051</v>
      </c>
      <c r="AG147" s="811">
        <f t="shared" si="71"/>
        <v>-1</v>
      </c>
      <c r="AH147" s="176">
        <f t="shared" si="64"/>
        <v>5</v>
      </c>
      <c r="AI147" s="225">
        <f t="shared" si="65"/>
        <v>-0.38291797415710949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7">
        <v>44.363</v>
      </c>
      <c r="C148" s="390"/>
      <c r="D148" s="393">
        <f t="shared" si="48"/>
        <v>45.415964955453092</v>
      </c>
      <c r="E148" s="385">
        <f t="shared" si="69"/>
        <v>45.741198129242875</v>
      </c>
      <c r="F148" s="385">
        <f t="shared" si="49"/>
        <v>45.74415300873239</v>
      </c>
      <c r="G148" s="110">
        <f t="shared" si="70"/>
        <v>0.72445786217643415</v>
      </c>
      <c r="H148" s="414" t="b">
        <f>Wh_hp&gt;='2020'!Maxi_hp</f>
        <v>0</v>
      </c>
      <c r="I148" s="380">
        <f>IF(H148,Wh_hp,'2020'!Maxi_hp)</f>
        <v>63.832836981428784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2.318490769679582E-2</v>
      </c>
      <c r="M148" s="845"/>
      <c r="N148" s="845"/>
      <c r="O148" s="48">
        <f>IF(t&lt;Tnet,'2020'!Resal+('2020'!Salim-'2020'!Resal)*(1-EXP(('2020'!Tnet-t)/('2020'!Tau_j))),Resal+(Salim-Resal)*(1-EXP((Tnet-t)/(Tau_j))))*Salcycl</f>
        <v>7.1102897845138477E-3</v>
      </c>
      <c r="P148" s="169">
        <f>(INDEX(Models!$BJ148:$BT148,,T148)*(1-R148)+INDEX(Models!$BJ148:$BT148,,T148+1)*R148-ERP_i)*Q148*Ramure*Pc/MaxiM</f>
        <v>1.0652132529037133E-4</v>
      </c>
      <c r="Q148" s="305">
        <f t="shared" si="51"/>
        <v>0.5</v>
      </c>
      <c r="R148" s="177">
        <f t="shared" si="52"/>
        <v>0.62088031740849292</v>
      </c>
      <c r="S148" s="811">
        <f t="shared" si="53"/>
        <v>-1</v>
      </c>
      <c r="T148" s="176">
        <f t="shared" si="54"/>
        <v>5</v>
      </c>
      <c r="U148" s="251">
        <f t="shared" si="55"/>
        <v>-0.37911968259150713</v>
      </c>
      <c r="V148" s="383">
        <f t="shared" si="56"/>
        <v>61.233568235217007</v>
      </c>
      <c r="W148" s="402"/>
      <c r="X148" s="157">
        <f t="shared" si="57"/>
        <v>44330</v>
      </c>
      <c r="Y148" s="385">
        <f t="shared" si="58"/>
        <v>42.067785062235139</v>
      </c>
      <c r="Z148" s="385">
        <f t="shared" si="59"/>
        <v>43.06627261772207</v>
      </c>
      <c r="AA148" s="386">
        <f t="shared" si="60"/>
        <v>45.741198129242875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5.8479568111939953E-2</v>
      </c>
      <c r="AD148" s="231">
        <f>(INDEX(Models!$BJ148:$BT148,,AH148)*(1-AF148)+INDEX(Models!$BJ148:$BT148,,AH148+1)*AF148-ERP_i)*AE148*Ramure*Pc/MaxiM</f>
        <v>1.0652132529037133E-4</v>
      </c>
      <c r="AE148" s="305">
        <f t="shared" si="62"/>
        <v>0.5</v>
      </c>
      <c r="AF148" s="177">
        <f t="shared" si="63"/>
        <v>0.62088031740849292</v>
      </c>
      <c r="AG148" s="811">
        <f t="shared" si="71"/>
        <v>-1</v>
      </c>
      <c r="AH148" s="176">
        <f t="shared" si="64"/>
        <v>5</v>
      </c>
      <c r="AI148" s="225">
        <f t="shared" si="65"/>
        <v>-0.37911968259150713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7">
        <v>21.309000000000001</v>
      </c>
      <c r="C149" s="390"/>
      <c r="D149" s="393">
        <f t="shared" si="48"/>
        <v>21.815251320253211</v>
      </c>
      <c r="E149" s="385">
        <f t="shared" si="69"/>
        <v>21.973496424047259</v>
      </c>
      <c r="F149" s="385">
        <f t="shared" si="49"/>
        <v>21.973663740631228</v>
      </c>
      <c r="G149" s="110">
        <f t="shared" si="70"/>
        <v>0.34761013472946956</v>
      </c>
      <c r="H149" s="414" t="b">
        <f>Wh_hp&gt;='2020'!Maxi_hp</f>
        <v>0</v>
      </c>
      <c r="I149" s="380">
        <f>IF(H149,Wh_hp,'2020'!Maxi_hp)</f>
        <v>64.337487236928794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2.3206302454247041E-2</v>
      </c>
      <c r="M149" s="845"/>
      <c r="N149" s="845"/>
      <c r="O149" s="48">
        <f>IF(t&lt;Tnet,'2020'!Resal+('2020'!Salim-'2020'!Resal)*(1-EXP(('2020'!Tnet-t)/('2020'!Tau_j))),Resal+(Salim-Resal)*(1-EXP((Tnet-t)/(Tau_j))))*Salcycl</f>
        <v>7.2016351308054798E-3</v>
      </c>
      <c r="P149" s="169">
        <f>(INDEX(Models!$BJ149:$BT149,,T149)*(1-R149)+INDEX(Models!$BJ149:$BT149,,T149+1)*R149-ERP_i)*Q149*Ramure*Pc/MaxiM</f>
        <v>1.1186768748893185E-4</v>
      </c>
      <c r="Q149" s="305">
        <f t="shared" si="51"/>
        <v>0.5</v>
      </c>
      <c r="R149" s="177">
        <f t="shared" si="52"/>
        <v>0.62475810912353247</v>
      </c>
      <c r="S149" s="811">
        <f t="shared" si="53"/>
        <v>-1</v>
      </c>
      <c r="T149" s="176">
        <f t="shared" si="54"/>
        <v>5</v>
      </c>
      <c r="U149" s="251">
        <f t="shared" si="55"/>
        <v>-0.37524189087646753</v>
      </c>
      <c r="V149" s="383">
        <f t="shared" si="56"/>
        <v>61.295043847534579</v>
      </c>
      <c r="W149" s="402"/>
      <c r="X149" s="157">
        <f t="shared" si="57"/>
        <v>44331</v>
      </c>
      <c r="Y149" s="385">
        <f t="shared" si="58"/>
        <v>20.206706923100029</v>
      </c>
      <c r="Z149" s="385">
        <f t="shared" si="59"/>
        <v>20.686770373181638</v>
      </c>
      <c r="AA149" s="386">
        <f t="shared" si="60"/>
        <v>21.973496424047259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5.8558093169799728E-2</v>
      </c>
      <c r="AD149" s="231">
        <f>(INDEX(Models!$BJ149:$BT149,,AH149)*(1-AF149)+INDEX(Models!$BJ149:$BT149,,AH149+1)*AF149-ERP_i)*AE149*Ramure*Pc/MaxiM</f>
        <v>1.1186768748893185E-4</v>
      </c>
      <c r="AE149" s="305">
        <f t="shared" si="62"/>
        <v>0.5</v>
      </c>
      <c r="AF149" s="177">
        <f t="shared" si="63"/>
        <v>0.62475810912353247</v>
      </c>
      <c r="AG149" s="811">
        <f t="shared" si="71"/>
        <v>-1</v>
      </c>
      <c r="AH149" s="176">
        <f t="shared" si="64"/>
        <v>5</v>
      </c>
      <c r="AI149" s="225">
        <f t="shared" si="65"/>
        <v>-0.37524189087646753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7">
        <v>13.769</v>
      </c>
      <c r="C150" s="390"/>
      <c r="D150" s="393">
        <f t="shared" si="48"/>
        <v>14.096427544156731</v>
      </c>
      <c r="E150" s="385">
        <f t="shared" si="69"/>
        <v>14.199989057119177</v>
      </c>
      <c r="F150" s="385">
        <f t="shared" si="49"/>
        <v>14.199989057119177</v>
      </c>
      <c r="G150" s="110">
        <f t="shared" si="70"/>
        <v>0.22440228652848745</v>
      </c>
      <c r="H150" s="414" t="b">
        <f>Wh_hp&gt;='2020'!Maxi_hp</f>
        <v>0</v>
      </c>
      <c r="I150" s="380">
        <f>IF(H150,Wh_hp,'2020'!Maxi_hp)</f>
        <v>55.759884023555387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2.3227696743098325E-2</v>
      </c>
      <c r="M150" s="845"/>
      <c r="N150" s="845"/>
      <c r="O150" s="48">
        <f>IF(t&lt;Tnet,'2020'!Resal+('2020'!Salim-'2020'!Resal)*(1-EXP(('2020'!Tnet-t)/('2020'!Tau_j))),Resal+(Salim-Resal)*(1-EXP((Tnet-t)/(Tau_j))))*Salcycl</f>
        <v>7.2930699133549829E-3</v>
      </c>
      <c r="P150" s="169">
        <f>(INDEX(Models!$BJ150:$BT150,,T150)*(1-R150)+INDEX(Models!$BJ150:$BT150,,T150+1)*R150-ERP_i)*Q150*Ramure*Pc/MaxiM</f>
        <v>1.1642794535592595E-4</v>
      </c>
      <c r="Q150" s="305">
        <f t="shared" si="51"/>
        <v>0.5</v>
      </c>
      <c r="R150" s="177">
        <f t="shared" si="52"/>
        <v>0.62871454658465864</v>
      </c>
      <c r="S150" s="811">
        <f t="shared" si="53"/>
        <v>-1</v>
      </c>
      <c r="T150" s="176">
        <f t="shared" si="54"/>
        <v>5</v>
      </c>
      <c r="U150" s="251">
        <f t="shared" si="55"/>
        <v>-0.37128545341534136</v>
      </c>
      <c r="V150" s="383">
        <f t="shared" si="56"/>
        <v>61.351410970906699</v>
      </c>
      <c r="W150" s="402"/>
      <c r="X150" s="157">
        <f t="shared" si="57"/>
        <v>44332</v>
      </c>
      <c r="Y150" s="385">
        <f t="shared" si="58"/>
        <v>13.056850766633133</v>
      </c>
      <c r="Z150" s="385">
        <f t="shared" si="59"/>
        <v>13.367343364566143</v>
      </c>
      <c r="AA150" s="386">
        <f t="shared" si="60"/>
        <v>14.199989057119177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5.8637065789539304E-2</v>
      </c>
      <c r="AD150" s="231">
        <f>(INDEX(Models!$BJ150:$BT150,,AH150)*(1-AF150)+INDEX(Models!$BJ150:$BT150,,AH150+1)*AF150-ERP_i)*AE150*Ramure*Pc/MaxiM</f>
        <v>1.1642794535592595E-4</v>
      </c>
      <c r="AE150" s="305">
        <f t="shared" si="62"/>
        <v>0.5</v>
      </c>
      <c r="AF150" s="177">
        <f t="shared" si="63"/>
        <v>0.62871454658465864</v>
      </c>
      <c r="AG150" s="811">
        <f t="shared" si="71"/>
        <v>-1</v>
      </c>
      <c r="AH150" s="176">
        <f t="shared" si="64"/>
        <v>5</v>
      </c>
      <c r="AI150" s="225">
        <f t="shared" si="65"/>
        <v>-0.37128545341534136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7">
        <v>57.335999999999999</v>
      </c>
      <c r="C151" s="390"/>
      <c r="D151" s="393">
        <f t="shared" si="48"/>
        <v>58.700738792318738</v>
      </c>
      <c r="E151" s="385">
        <f t="shared" si="69"/>
        <v>59.13744464100801</v>
      </c>
      <c r="F151" s="385">
        <f t="shared" si="49"/>
        <v>59.143869986274652</v>
      </c>
      <c r="G151" s="110">
        <f t="shared" si="70"/>
        <v>0.93375647951269281</v>
      </c>
      <c r="H151" s="414" t="b">
        <f>Wh_hp&gt;='2020'!Maxi_hp</f>
        <v>1</v>
      </c>
      <c r="I151" s="380">
        <f>IF(H151,Wh_hp,'2020'!Maxi_hp)</f>
        <v>59.143869986274652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2.3249090563359665E-2</v>
      </c>
      <c r="M151" s="845"/>
      <c r="N151" s="845"/>
      <c r="O151" s="48">
        <f>IF(t&lt;Tnet,'2020'!Resal+('2020'!Salim-'2020'!Resal)*(1-EXP(('2020'!Tnet-t)/('2020'!Tau_j))),Resal+(Salim-Resal)*(1-EXP((Tnet-t)/(Tau_j))))*Salcycl</f>
        <v>7.3845911222624079E-3</v>
      </c>
      <c r="P151" s="169">
        <f>(INDEX(Models!$BJ151:$BT151,,T151)*(1-R151)+INDEX(Models!$BJ151:$BT151,,T151+1)*R151-ERP_i)*Q151*Ramure*Pc/MaxiM</f>
        <v>1.1999277379983661E-4</v>
      </c>
      <c r="Q151" s="305">
        <f t="shared" si="51"/>
        <v>0.5</v>
      </c>
      <c r="R151" s="177">
        <f t="shared" si="52"/>
        <v>0.63274860494463248</v>
      </c>
      <c r="S151" s="811">
        <f t="shared" si="53"/>
        <v>-1</v>
      </c>
      <c r="T151" s="176">
        <f t="shared" si="54"/>
        <v>5</v>
      </c>
      <c r="U151" s="251">
        <f t="shared" si="55"/>
        <v>-0.36725139505536758</v>
      </c>
      <c r="V151" s="383">
        <f t="shared" si="56"/>
        <v>61.402892746891709</v>
      </c>
      <c r="W151" s="402"/>
      <c r="X151" s="157">
        <f t="shared" si="57"/>
        <v>44333</v>
      </c>
      <c r="Y151" s="385">
        <f t="shared" si="58"/>
        <v>54.370940883300911</v>
      </c>
      <c r="Z151" s="385">
        <f t="shared" si="59"/>
        <v>55.665103925688058</v>
      </c>
      <c r="AA151" s="386">
        <f t="shared" si="60"/>
        <v>59.13744464100801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5.8716448375452847E-2</v>
      </c>
      <c r="AD151" s="231">
        <f>(INDEX(Models!$BJ151:$BT151,,AH151)*(1-AF151)+INDEX(Models!$BJ151:$BT151,,AH151+1)*AF151-ERP_i)*AE151*Ramure*Pc/MaxiM</f>
        <v>1.1999277379983661E-4</v>
      </c>
      <c r="AE151" s="305">
        <f t="shared" si="62"/>
        <v>0.5</v>
      </c>
      <c r="AF151" s="177">
        <f t="shared" si="63"/>
        <v>0.63274860494463248</v>
      </c>
      <c r="AG151" s="811">
        <f t="shared" si="71"/>
        <v>-1</v>
      </c>
      <c r="AH151" s="176">
        <f t="shared" si="64"/>
        <v>5</v>
      </c>
      <c r="AI151" s="225">
        <f t="shared" si="65"/>
        <v>-0.36725139505536758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7">
        <v>36.573</v>
      </c>
      <c r="C152" s="390"/>
      <c r="D152" s="393">
        <f t="shared" si="48"/>
        <v>37.444348100174317</v>
      </c>
      <c r="E152" s="385">
        <f t="shared" si="69"/>
        <v>37.726398020038488</v>
      </c>
      <c r="F152" s="385">
        <f t="shared" si="49"/>
        <v>37.728347422697652</v>
      </c>
      <c r="G152" s="110">
        <f t="shared" si="70"/>
        <v>0.59512751833417332</v>
      </c>
      <c r="H152" s="414" t="b">
        <f>Wh_hp&gt;='2020'!Maxi_hp</f>
        <v>0</v>
      </c>
      <c r="I152" s="380">
        <f>IF(H152,Wh_hp,'2020'!Maxi_hp)</f>
        <v>63.972000087795209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2.3270483915041384E-2</v>
      </c>
      <c r="M152" s="845"/>
      <c r="N152" s="845"/>
      <c r="O152" s="48">
        <f>IF(t&lt;Tnet,'2020'!Resal+('2020'!Salim-'2020'!Resal)*(1-EXP(('2020'!Tnet-t)/('2020'!Tau_j))),Resal+(Salim-Resal)*(1-EXP((Tnet-t)/(Tau_j))))*Salcycl</f>
        <v>7.4761953079740999E-3</v>
      </c>
      <c r="P152" s="169">
        <f>(INDEX(Models!$BJ152:$BT152,,T152)*(1-R152)+INDEX(Models!$BJ152:$BT152,,T152+1)*R152-ERP_i)*Q152*Ramure*Pc/MaxiM</f>
        <v>1.225349678768613E-4</v>
      </c>
      <c r="Q152" s="305">
        <f t="shared" si="51"/>
        <v>0.5</v>
      </c>
      <c r="R152" s="177">
        <f t="shared" si="52"/>
        <v>0.63685908516858958</v>
      </c>
      <c r="S152" s="811">
        <f t="shared" si="53"/>
        <v>-1</v>
      </c>
      <c r="T152" s="176">
        <f t="shared" si="54"/>
        <v>5</v>
      </c>
      <c r="U152" s="251">
        <f t="shared" si="55"/>
        <v>-0.36314091483141048</v>
      </c>
      <c r="V152" s="383">
        <f t="shared" si="56"/>
        <v>61.449701071738261</v>
      </c>
      <c r="W152" s="402"/>
      <c r="X152" s="157">
        <f t="shared" si="57"/>
        <v>44334</v>
      </c>
      <c r="Y152" s="385">
        <f t="shared" si="58"/>
        <v>34.68193544277505</v>
      </c>
      <c r="Z152" s="385">
        <f t="shared" si="59"/>
        <v>35.5082291173008</v>
      </c>
      <c r="AA152" s="386">
        <f t="shared" si="60"/>
        <v>37.726398020038488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5.8796201576400177E-2</v>
      </c>
      <c r="AD152" s="231">
        <f>(INDEX(Models!$BJ152:$BT152,,AH152)*(1-AF152)+INDEX(Models!$BJ152:$BT152,,AH152+1)*AF152-ERP_i)*AE152*Ramure*Pc/MaxiM</f>
        <v>1.225349678768613E-4</v>
      </c>
      <c r="AE152" s="305">
        <f t="shared" si="62"/>
        <v>0.5</v>
      </c>
      <c r="AF152" s="177">
        <f t="shared" si="63"/>
        <v>0.63685908516858958</v>
      </c>
      <c r="AG152" s="811">
        <f t="shared" si="71"/>
        <v>-1</v>
      </c>
      <c r="AH152" s="176">
        <f t="shared" si="64"/>
        <v>5</v>
      </c>
      <c r="AI152" s="225">
        <f t="shared" si="65"/>
        <v>-0.36314091483141048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7">
        <v>44.811</v>
      </c>
      <c r="C153" s="390"/>
      <c r="D153" s="393">
        <f t="shared" si="48"/>
        <v>45.879622515169125</v>
      </c>
      <c r="E153" s="385">
        <f t="shared" si="69"/>
        <v>46.229481618878701</v>
      </c>
      <c r="F153" s="385">
        <f t="shared" si="49"/>
        <v>46.232993570924918</v>
      </c>
      <c r="G153" s="110">
        <f t="shared" si="70"/>
        <v>0.72869334521771734</v>
      </c>
      <c r="H153" s="414" t="b">
        <f>Wh_hp&gt;='2020'!Maxi_hp</f>
        <v>0</v>
      </c>
      <c r="I153" s="380">
        <f>IF(H153,Wh_hp,'2020'!Maxi_hp)</f>
        <v>63.050548226982031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2.3291876798153921E-2</v>
      </c>
      <c r="M153" s="845"/>
      <c r="N153" s="845"/>
      <c r="O153" s="48">
        <f>IF(t&lt;Tnet,'2020'!Resal+('2020'!Salim-'2020'!Resal)*(1-EXP(('2020'!Tnet-t)/('2020'!Tau_j))),Resal+(Salim-Resal)*(1-EXP((Tnet-t)/(Tau_j))))*Salcycl</f>
        <v>7.5678785800336696E-3</v>
      </c>
      <c r="P153" s="169">
        <f>(INDEX(Models!$BJ153:$BT153,,T153)*(1-R153)+INDEX(Models!$BJ153:$BT153,,T153+1)*R153-ERP_i)*Q153*Ramure*Pc/MaxiM</f>
        <v>1.240258968741139E-4</v>
      </c>
      <c r="Q153" s="305">
        <f t="shared" si="51"/>
        <v>0.5</v>
      </c>
      <c r="R153" s="177">
        <f t="shared" si="52"/>
        <v>0.64104461093588605</v>
      </c>
      <c r="S153" s="811">
        <f t="shared" si="53"/>
        <v>-1</v>
      </c>
      <c r="T153" s="176">
        <f t="shared" si="54"/>
        <v>5</v>
      </c>
      <c r="U153" s="251">
        <f t="shared" si="55"/>
        <v>-0.35895538906411401</v>
      </c>
      <c r="V153" s="383">
        <f t="shared" si="56"/>
        <v>61.492047842232559</v>
      </c>
      <c r="W153" s="402"/>
      <c r="X153" s="157">
        <f t="shared" si="57"/>
        <v>44335</v>
      </c>
      <c r="Y153" s="385">
        <f t="shared" si="58"/>
        <v>42.494286421476779</v>
      </c>
      <c r="Z153" s="385">
        <f t="shared" si="59"/>
        <v>43.507661513218444</v>
      </c>
      <c r="AA153" s="386">
        <f t="shared" si="60"/>
        <v>46.229481618878701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5.8876284361119552E-2</v>
      </c>
      <c r="AD153" s="231">
        <f>(INDEX(Models!$BJ153:$BT153,,AH153)*(1-AF153)+INDEX(Models!$BJ153:$BT153,,AH153+1)*AF153-ERP_i)*AE153*Ramure*Pc/MaxiM</f>
        <v>1.240258968741139E-4</v>
      </c>
      <c r="AE153" s="305">
        <f t="shared" si="62"/>
        <v>0.5</v>
      </c>
      <c r="AF153" s="177">
        <f t="shared" si="63"/>
        <v>0.64104461093588605</v>
      </c>
      <c r="AG153" s="811">
        <f t="shared" si="71"/>
        <v>-1</v>
      </c>
      <c r="AH153" s="176">
        <f t="shared" si="64"/>
        <v>5</v>
      </c>
      <c r="AI153" s="225">
        <f t="shared" si="65"/>
        <v>-0.35895538906411401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7">
        <v>60.862000000000002</v>
      </c>
      <c r="C154" s="390"/>
      <c r="D154" s="393">
        <f t="shared" si="48"/>
        <v>62.314760794323526</v>
      </c>
      <c r="E154" s="385">
        <f t="shared" si="69"/>
        <v>62.795753446245477</v>
      </c>
      <c r="F154" s="385">
        <f t="shared" si="49"/>
        <v>62.803447200223168</v>
      </c>
      <c r="G154" s="110">
        <f t="shared" si="70"/>
        <v>0.98913926756968695</v>
      </c>
      <c r="H154" s="414" t="b">
        <f>Wh_hp&gt;='2020'!Maxi_hp</f>
        <v>1</v>
      </c>
      <c r="I154" s="380">
        <f>IF(H154,Wh_hp,'2020'!Maxi_hp)</f>
        <v>62.803447200223168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2.3313269212707377E-2</v>
      </c>
      <c r="M154" s="845"/>
      <c r="N154" s="845"/>
      <c r="O154" s="48">
        <f>IF(t&lt;Tnet,'2020'!Resal+('2020'!Salim-'2020'!Resal)*(1-EXP(('2020'!Tnet-t)/('2020'!Tau_j))),Resal+(Salim-Resal)*(1-EXP((Tnet-t)/(Tau_j))))*Salcycl</f>
        <v>7.6596366079705351E-3</v>
      </c>
      <c r="P154" s="169">
        <f>(INDEX(Models!$BJ154:$BT154,,T154)*(1-R154)+INDEX(Models!$BJ154:$BT154,,T154+1)*R154-ERP_i)*Q154*Ramure*Pc/MaxiM</f>
        <v>1.2443560170757517E-4</v>
      </c>
      <c r="Q154" s="305">
        <f t="shared" si="51"/>
        <v>0.5</v>
      </c>
      <c r="R154" s="177">
        <f t="shared" si="52"/>
        <v>0.64530362624354665</v>
      </c>
      <c r="S154" s="811">
        <f t="shared" si="53"/>
        <v>-1</v>
      </c>
      <c r="T154" s="176">
        <f t="shared" si="54"/>
        <v>5</v>
      </c>
      <c r="U154" s="251">
        <f t="shared" si="55"/>
        <v>-0.35469637375645335</v>
      </c>
      <c r="V154" s="383">
        <f t="shared" si="56"/>
        <v>61.530144943081929</v>
      </c>
      <c r="W154" s="402"/>
      <c r="X154" s="157">
        <f t="shared" si="57"/>
        <v>44336</v>
      </c>
      <c r="Y154" s="385">
        <f t="shared" si="58"/>
        <v>57.715862652317156</v>
      </c>
      <c r="Z154" s="385">
        <f t="shared" si="59"/>
        <v>59.093525931076442</v>
      </c>
      <c r="AA154" s="386">
        <f t="shared" si="60"/>
        <v>62.795753446245477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5.8956654104615966E-2</v>
      </c>
      <c r="AD154" s="231">
        <f>(INDEX(Models!$BJ154:$BT154,,AH154)*(1-AF154)+INDEX(Models!$BJ154:$BT154,,AH154+1)*AF154-ERP_i)*AE154*Ramure*Pc/MaxiM</f>
        <v>1.2443560170757517E-4</v>
      </c>
      <c r="AE154" s="305">
        <f t="shared" si="62"/>
        <v>0.5</v>
      </c>
      <c r="AF154" s="177">
        <f t="shared" si="63"/>
        <v>0.64530362624354665</v>
      </c>
      <c r="AG154" s="811">
        <f t="shared" si="71"/>
        <v>-1</v>
      </c>
      <c r="AH154" s="176">
        <f t="shared" si="64"/>
        <v>5</v>
      </c>
      <c r="AI154" s="225">
        <f t="shared" si="65"/>
        <v>-0.35469637375645335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7">
        <v>39.972000000000001</v>
      </c>
      <c r="C155" s="390"/>
      <c r="D155" s="393">
        <f t="shared" si="48"/>
        <v>40.927018099590413</v>
      </c>
      <c r="E155" s="385">
        <f t="shared" si="69"/>
        <v>41.24674075139751</v>
      </c>
      <c r="F155" s="385">
        <f t="shared" si="49"/>
        <v>41.249287400520053</v>
      </c>
      <c r="G155" s="110">
        <f t="shared" si="70"/>
        <v>0.64923314247650399</v>
      </c>
      <c r="H155" s="414" t="b">
        <f>Wh_hp&gt;='2020'!Maxi_hp</f>
        <v>0</v>
      </c>
      <c r="I155" s="380">
        <f>IF(H155,Wh_hp,'2020'!Maxi_hp)</f>
        <v>61.178268574854386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2.3334661158711967E-2</v>
      </c>
      <c r="M155" s="845"/>
      <c r="N155" s="845"/>
      <c r="O155" s="48">
        <f>IF(t&lt;Tnet,'2020'!Resal+('2020'!Salim-'2020'!Resal)*(1-EXP(('2020'!Tnet-t)/('2020'!Tau_j))),Resal+(Salim-Resal)*(1-EXP((Tnet-t)/(Tau_j))))*Salcycl</f>
        <v>7.7514646244203553E-3</v>
      </c>
      <c r="P155" s="169">
        <f>(INDEX(Models!$BJ155:$BT155,,T155)*(1-R155)+INDEX(Models!$BJ155:$BT155,,T155+1)*R155-ERP_i)*Q155*Ramure*Pc/MaxiM</f>
        <v>1.2373290062287653E-4</v>
      </c>
      <c r="Q155" s="305">
        <f t="shared" si="51"/>
        <v>0.5</v>
      </c>
      <c r="R155" s="177">
        <f t="shared" si="52"/>
        <v>0.6496343937644895</v>
      </c>
      <c r="S155" s="811">
        <f t="shared" si="53"/>
        <v>-1</v>
      </c>
      <c r="T155" s="176">
        <f t="shared" si="54"/>
        <v>5</v>
      </c>
      <c r="U155" s="251">
        <f t="shared" si="55"/>
        <v>-0.3503656062355105</v>
      </c>
      <c r="V155" s="383">
        <f t="shared" si="56"/>
        <v>61.564204247131137</v>
      </c>
      <c r="W155" s="402"/>
      <c r="X155" s="157">
        <f t="shared" si="57"/>
        <v>44337</v>
      </c>
      <c r="Y155" s="385">
        <f t="shared" si="58"/>
        <v>37.905989311244063</v>
      </c>
      <c r="Z155" s="385">
        <f t="shared" si="59"/>
        <v>38.811645917746588</v>
      </c>
      <c r="AA155" s="386">
        <f t="shared" si="60"/>
        <v>41.24674075139751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5.9037266685572409E-2</v>
      </c>
      <c r="AD155" s="231">
        <f>(INDEX(Models!$BJ155:$BT155,,AH155)*(1-AF155)+INDEX(Models!$BJ155:$BT155,,AH155+1)*AF155-ERP_i)*AE155*Ramure*Pc/MaxiM</f>
        <v>1.2373290062287653E-4</v>
      </c>
      <c r="AE155" s="305">
        <f t="shared" si="62"/>
        <v>0.5</v>
      </c>
      <c r="AF155" s="177">
        <f t="shared" si="63"/>
        <v>0.6496343937644895</v>
      </c>
      <c r="AG155" s="811">
        <f t="shared" si="71"/>
        <v>-1</v>
      </c>
      <c r="AH155" s="176">
        <f t="shared" si="64"/>
        <v>5</v>
      </c>
      <c r="AI155" s="225">
        <f t="shared" si="65"/>
        <v>-0.3503656062355105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7">
        <v>30.442</v>
      </c>
      <c r="C156" s="390"/>
      <c r="D156" s="393">
        <f t="shared" si="48"/>
        <v>31.170008355828852</v>
      </c>
      <c r="E156" s="385">
        <f t="shared" si="69"/>
        <v>31.416418555749601</v>
      </c>
      <c r="F156" s="385">
        <f t="shared" si="49"/>
        <v>31.417482441762949</v>
      </c>
      <c r="G156" s="110">
        <f t="shared" si="70"/>
        <v>0.49418943507296242</v>
      </c>
      <c r="H156" s="414" t="b">
        <f>Wh_hp&gt;='2020'!Maxi_hp</f>
        <v>0</v>
      </c>
      <c r="I156" s="380">
        <f>IF(H156,Wh_hp,'2020'!Maxi_hp)</f>
        <v>62.875998222350205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2.3356052636178126E-2</v>
      </c>
      <c r="M156" s="845"/>
      <c r="N156" s="845"/>
      <c r="O156" s="48">
        <f>IF(t&lt;Tnet,'2020'!Resal+('2020'!Salim-'2020'!Resal)*(1-EXP(('2020'!Tnet-t)/('2020'!Tau_j))),Resal+(Salim-Resal)*(1-EXP((Tnet-t)/(Tau_j))))*Salcycl</f>
        <v>7.8433574305576455E-3</v>
      </c>
      <c r="P156" s="169">
        <f>(INDEX(Models!$BJ156:$BT156,,T156)*(1-R156)+INDEX(Models!$BJ156:$BT156,,T156+1)*R156-ERP_i)*Q156*Ramure*Pc/MaxiM</f>
        <v>1.2203901796207573E-4</v>
      </c>
      <c r="Q156" s="305">
        <f t="shared" si="51"/>
        <v>0.5</v>
      </c>
      <c r="R156" s="177">
        <f t="shared" si="52"/>
        <v>0.65403499401004517</v>
      </c>
      <c r="S156" s="811">
        <f t="shared" si="53"/>
        <v>-1</v>
      </c>
      <c r="T156" s="176">
        <f t="shared" si="54"/>
        <v>5</v>
      </c>
      <c r="U156" s="251">
        <f t="shared" si="55"/>
        <v>-0.34596500598995489</v>
      </c>
      <c r="V156" s="383">
        <f t="shared" si="56"/>
        <v>61.594428149203594</v>
      </c>
      <c r="W156" s="402"/>
      <c r="X156" s="157">
        <f t="shared" si="57"/>
        <v>44338</v>
      </c>
      <c r="Y156" s="385">
        <f t="shared" si="58"/>
        <v>28.868755480112004</v>
      </c>
      <c r="Z156" s="385">
        <f t="shared" si="59"/>
        <v>29.559140317241674</v>
      </c>
      <c r="AA156" s="386">
        <f t="shared" si="60"/>
        <v>31.416418555749601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5.9118076594635305E-2</v>
      </c>
      <c r="AD156" s="231">
        <f>(INDEX(Models!$BJ156:$BT156,,AH156)*(1-AF156)+INDEX(Models!$BJ156:$BT156,,AH156+1)*AF156-ERP_i)*AE156*Ramure*Pc/MaxiM</f>
        <v>1.2203901796207573E-4</v>
      </c>
      <c r="AE156" s="305">
        <f t="shared" si="62"/>
        <v>0.5</v>
      </c>
      <c r="AF156" s="177">
        <f t="shared" si="63"/>
        <v>0.65403499401004517</v>
      </c>
      <c r="AG156" s="811">
        <f t="shared" si="71"/>
        <v>-1</v>
      </c>
      <c r="AH156" s="176">
        <f t="shared" si="64"/>
        <v>5</v>
      </c>
      <c r="AI156" s="225">
        <f t="shared" si="65"/>
        <v>-0.34596500598995489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7">
        <v>39.006999999999998</v>
      </c>
      <c r="C157" s="390"/>
      <c r="D157" s="393">
        <f t="shared" si="48"/>
        <v>39.940711737796157</v>
      </c>
      <c r="E157" s="385">
        <f t="shared" si="69"/>
        <v>40.26018879252446</v>
      </c>
      <c r="F157" s="385">
        <f t="shared" si="49"/>
        <v>40.262482676266991</v>
      </c>
      <c r="G157" s="110">
        <f t="shared" si="70"/>
        <v>0.6329749575555208</v>
      </c>
      <c r="H157" s="414" t="b">
        <f>Wh_hp&gt;='2020'!Maxi_hp</f>
        <v>0</v>
      </c>
      <c r="I157" s="380">
        <f>IF(H157,Wh_hp,'2020'!Maxi_hp)</f>
        <v>58.76828057791041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2.3377443645116069E-2</v>
      </c>
      <c r="M157" s="845"/>
      <c r="N157" s="845"/>
      <c r="O157" s="48">
        <f>IF(t&lt;Tnet,'2020'!Resal+('2020'!Salim-'2020'!Resal)*(1-EXP(('2020'!Tnet-t)/('2020'!Tau_j))),Resal+(Salim-Resal)*(1-EXP((Tnet-t)/(Tau_j))))*Salcycl</f>
        <v>7.9353094039048989E-3</v>
      </c>
      <c r="P157" s="169">
        <f>(INDEX(Models!$BJ157:$BT157,,T157)*(1-R157)+INDEX(Models!$BJ157:$BT157,,T157+1)*R157-ERP_i)*Q157*Ramure*Pc/MaxiM</f>
        <v>1.1975826155914202E-4</v>
      </c>
      <c r="Q157" s="305">
        <f t="shared" si="51"/>
        <v>0.5</v>
      </c>
      <c r="R157" s="177">
        <f t="shared" si="52"/>
        <v>0.65850332534181744</v>
      </c>
      <c r="S157" s="811">
        <f t="shared" si="53"/>
        <v>-1</v>
      </c>
      <c r="T157" s="176">
        <f t="shared" si="54"/>
        <v>5</v>
      </c>
      <c r="U157" s="251">
        <f t="shared" si="55"/>
        <v>-0.34149667465818256</v>
      </c>
      <c r="V157" s="383">
        <f t="shared" si="56"/>
        <v>61.621001493363245</v>
      </c>
      <c r="W157" s="402"/>
      <c r="X157" s="157">
        <f t="shared" si="57"/>
        <v>44339</v>
      </c>
      <c r="Y157" s="385">
        <f t="shared" si="58"/>
        <v>36.991361056919118</v>
      </c>
      <c r="Z157" s="385">
        <f t="shared" si="59"/>
        <v>37.876824384421901</v>
      </c>
      <c r="AA157" s="386">
        <f t="shared" si="60"/>
        <v>40.26018879252446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5.9199037053326097E-2</v>
      </c>
      <c r="AD157" s="231">
        <f>(INDEX(Models!$BJ157:$BT157,,AH157)*(1-AF157)+INDEX(Models!$BJ157:$BT157,,AH157+1)*AF157-ERP_i)*AE157*Ramure*Pc/MaxiM</f>
        <v>1.1975826155914202E-4</v>
      </c>
      <c r="AE157" s="305">
        <f t="shared" si="62"/>
        <v>0.5</v>
      </c>
      <c r="AF157" s="177">
        <f t="shared" si="63"/>
        <v>0.65850332534181744</v>
      </c>
      <c r="AG157" s="811">
        <f t="shared" si="71"/>
        <v>-1</v>
      </c>
      <c r="AH157" s="176">
        <f t="shared" si="64"/>
        <v>5</v>
      </c>
      <c r="AI157" s="225">
        <f t="shared" si="65"/>
        <v>-0.34149667465818256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7">
        <v>29.599</v>
      </c>
      <c r="C158" s="390"/>
      <c r="D158" s="393">
        <f t="shared" si="48"/>
        <v>30.308175984323221</v>
      </c>
      <c r="E158" s="385">
        <f t="shared" si="69"/>
        <v>30.553438040794649</v>
      </c>
      <c r="F158" s="385">
        <f t="shared" si="49"/>
        <v>30.554357090064354</v>
      </c>
      <c r="G158" s="110">
        <f t="shared" si="70"/>
        <v>0.48011754736454892</v>
      </c>
      <c r="H158" s="414" t="b">
        <f>Wh_hp&gt;='2020'!Maxi_hp</f>
        <v>1</v>
      </c>
      <c r="I158" s="380">
        <f>IF(H158,Wh_hp,'2020'!Maxi_hp)</f>
        <v>30.554357090064354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2.3398834185535899E-2</v>
      </c>
      <c r="M158" s="845"/>
      <c r="N158" s="845"/>
      <c r="O158" s="48">
        <f>IF(t&lt;Tnet,'2020'!Resal+('2020'!Salim-'2020'!Resal)*(1-EXP(('2020'!Tnet-t)/('2020'!Tau_j))),Resal+(Salim-Resal)*(1-EXP((Tnet-t)/(Tau_j))))*Salcycl</f>
        <v>8.027314508565515E-3</v>
      </c>
      <c r="P158" s="169">
        <f>(INDEX(Models!$BJ158:$BT158,,T158)*(1-R158)+INDEX(Models!$BJ158:$BT158,,T158+1)*R158-ERP_i)*Q158*Ramure*Pc/MaxiM</f>
        <v>1.1687111441917331E-4</v>
      </c>
      <c r="Q158" s="305">
        <f t="shared" si="51"/>
        <v>0.5</v>
      </c>
      <c r="R158" s="177">
        <f t="shared" si="52"/>
        <v>0.663037104872647</v>
      </c>
      <c r="S158" s="811">
        <f t="shared" si="53"/>
        <v>-1</v>
      </c>
      <c r="T158" s="176">
        <f t="shared" si="54"/>
        <v>5</v>
      </c>
      <c r="U158" s="251">
        <f t="shared" si="55"/>
        <v>-0.336962895127353</v>
      </c>
      <c r="V158" s="383">
        <f t="shared" si="56"/>
        <v>61.644135129001121</v>
      </c>
      <c r="W158" s="402"/>
      <c r="X158" s="157">
        <f t="shared" si="57"/>
        <v>44340</v>
      </c>
      <c r="Y158" s="385">
        <f t="shared" si="58"/>
        <v>28.069692566248513</v>
      </c>
      <c r="Z158" s="385">
        <f t="shared" si="59"/>
        <v>28.742227174016325</v>
      </c>
      <c r="AA158" s="386">
        <f t="shared" si="60"/>
        <v>30.553438040794649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5.9280100143231491E-2</v>
      </c>
      <c r="AD158" s="231">
        <f>(INDEX(Models!$BJ158:$BT158,,AH158)*(1-AF158)+INDEX(Models!$BJ158:$BT158,,AH158+1)*AF158-ERP_i)*AE158*Ramure*Pc/MaxiM</f>
        <v>1.1687111441917331E-4</v>
      </c>
      <c r="AE158" s="305">
        <f t="shared" si="62"/>
        <v>0.5</v>
      </c>
      <c r="AF158" s="177">
        <f t="shared" si="63"/>
        <v>0.663037104872647</v>
      </c>
      <c r="AG158" s="811">
        <f t="shared" si="71"/>
        <v>-1</v>
      </c>
      <c r="AH158" s="176">
        <f t="shared" si="64"/>
        <v>5</v>
      </c>
      <c r="AI158" s="225">
        <f t="shared" si="65"/>
        <v>-0.336962895127353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7">
        <v>50.2</v>
      </c>
      <c r="C159" s="390"/>
      <c r="D159" s="393">
        <f t="shared" si="48"/>
        <v>51.403890646649877</v>
      </c>
      <c r="E159" s="385">
        <f t="shared" si="69"/>
        <v>51.824674159942496</v>
      </c>
      <c r="F159" s="385">
        <f t="shared" si="49"/>
        <v>51.828989019491935</v>
      </c>
      <c r="G159" s="110">
        <f t="shared" si="70"/>
        <v>0.8140642209583826</v>
      </c>
      <c r="H159" s="414" t="b">
        <f>Wh_hp&gt;='2020'!Maxi_hp</f>
        <v>0</v>
      </c>
      <c r="I159" s="380">
        <f>IF(H159,Wh_hp,'2020'!Maxi_hp)</f>
        <v>59.691953884707942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2.3420224257448052E-2</v>
      </c>
      <c r="M159" s="845"/>
      <c r="N159" s="845"/>
      <c r="O159" s="48">
        <f>IF(t&lt;Tnet,'2020'!Resal+('2020'!Salim-'2020'!Resal)*(1-EXP(('2020'!Tnet-t)/('2020'!Tau_j))),Resal+(Salim-Resal)*(1-EXP((Tnet-t)/(Tau_j))))*Salcycl</f>
        <v>8.119366307909456E-3</v>
      </c>
      <c r="P159" s="169">
        <f>(INDEX(Models!$BJ159:$BT159,,T159)*(1-R159)+INDEX(Models!$BJ159:$BT159,,T159+1)*R159-ERP_i)*Q159*Ramure*Pc/MaxiM</f>
        <v>1.1335844530220659E-4</v>
      </c>
      <c r="Q159" s="305">
        <f t="shared" si="51"/>
        <v>0.5</v>
      </c>
      <c r="R159" s="177">
        <f t="shared" si="52"/>
        <v>0.66763387029036403</v>
      </c>
      <c r="S159" s="811">
        <f t="shared" si="53"/>
        <v>-1</v>
      </c>
      <c r="T159" s="176">
        <f t="shared" si="54"/>
        <v>5</v>
      </c>
      <c r="U159" s="251">
        <f t="shared" si="55"/>
        <v>-0.33236612970963597</v>
      </c>
      <c r="V159" s="383">
        <f t="shared" si="56"/>
        <v>61.664039803032267</v>
      </c>
      <c r="W159" s="402"/>
      <c r="X159" s="157">
        <f t="shared" si="57"/>
        <v>44341</v>
      </c>
      <c r="Y159" s="385">
        <f t="shared" si="58"/>
        <v>47.606602352534949</v>
      </c>
      <c r="Z159" s="385">
        <f t="shared" si="59"/>
        <v>48.748298434028911</v>
      </c>
      <c r="AA159" s="386">
        <f t="shared" si="60"/>
        <v>51.824674159942496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5.9361216945025212E-2</v>
      </c>
      <c r="AD159" s="231">
        <f>(INDEX(Models!$BJ159:$BT159,,AH159)*(1-AF159)+INDEX(Models!$BJ159:$BT159,,AH159+1)*AF159-ERP_i)*AE159*Ramure*Pc/MaxiM</f>
        <v>1.1335844530220659E-4</v>
      </c>
      <c r="AE159" s="305">
        <f t="shared" si="62"/>
        <v>0.5</v>
      </c>
      <c r="AF159" s="177">
        <f t="shared" si="63"/>
        <v>0.66763387029036403</v>
      </c>
      <c r="AG159" s="811">
        <f t="shared" si="71"/>
        <v>-1</v>
      </c>
      <c r="AH159" s="176">
        <f t="shared" si="64"/>
        <v>5</v>
      </c>
      <c r="AI159" s="225">
        <f t="shared" si="65"/>
        <v>-0.33236612970963597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7">
        <v>54.006</v>
      </c>
      <c r="C160" s="390"/>
      <c r="D160" s="393">
        <f t="shared" si="48"/>
        <v>55.302376966435041</v>
      </c>
      <c r="E160" s="385">
        <f t="shared" si="69"/>
        <v>55.760249915555399</v>
      </c>
      <c r="F160" s="385">
        <f t="shared" si="49"/>
        <v>55.765257060350365</v>
      </c>
      <c r="G160" s="110">
        <f t="shared" si="70"/>
        <v>0.87555351242356394</v>
      </c>
      <c r="H160" s="414" t="b">
        <f>Wh_hp&gt;='2020'!Maxi_hp</f>
        <v>0</v>
      </c>
      <c r="I160" s="380">
        <f>IF(H160,Wh_hp,'2020'!Maxi_hp)</f>
        <v>61.991403277896538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2.3441613860862742E-2</v>
      </c>
      <c r="M160" s="845"/>
      <c r="N160" s="845"/>
      <c r="O160" s="48">
        <f>IF(t&lt;Tnet,'2020'!Resal+('2020'!Salim-'2020'!Resal)*(1-EXP(('2020'!Tnet-t)/('2020'!Tau_j))),Resal+(Salim-Resal)*(1-EXP((Tnet-t)/(Tau_j))))*Salcycl</f>
        <v>8.2114579797215488E-3</v>
      </c>
      <c r="P160" s="169">
        <f>(INDEX(Models!$BJ160:$BT160,,T160)*(1-R160)+INDEX(Models!$BJ160:$BT160,,T160+1)*R160-ERP_i)*Q160*Ramure*Pc/MaxiM</f>
        <v>1.0920083212754395E-4</v>
      </c>
      <c r="Q160" s="305">
        <f t="shared" si="51"/>
        <v>0.5</v>
      </c>
      <c r="R160" s="177">
        <f t="shared" si="52"/>
        <v>0.67229098263119635</v>
      </c>
      <c r="S160" s="811">
        <f t="shared" si="53"/>
        <v>-1</v>
      </c>
      <c r="T160" s="176">
        <f t="shared" si="54"/>
        <v>5</v>
      </c>
      <c r="U160" s="251">
        <f t="shared" si="55"/>
        <v>-0.32770901736880365</v>
      </c>
      <c r="V160" s="383">
        <f t="shared" si="56"/>
        <v>61.680926203922965</v>
      </c>
      <c r="W160" s="402"/>
      <c r="X160" s="157">
        <f t="shared" si="57"/>
        <v>44342</v>
      </c>
      <c r="Y160" s="385">
        <f t="shared" si="58"/>
        <v>51.216317751984477</v>
      </c>
      <c r="Z160" s="385">
        <f t="shared" si="59"/>
        <v>52.445730310575939</v>
      </c>
      <c r="AA160" s="386">
        <f t="shared" si="60"/>
        <v>55.760249915555399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5.9442337686775877E-2</v>
      </c>
      <c r="AD160" s="231">
        <f>(INDEX(Models!$BJ160:$BT160,,AH160)*(1-AF160)+INDEX(Models!$BJ160:$BT160,,AH160+1)*AF160-ERP_i)*AE160*Ramure*Pc/MaxiM</f>
        <v>1.0920083212754395E-4</v>
      </c>
      <c r="AE160" s="305">
        <f t="shared" si="62"/>
        <v>0.5</v>
      </c>
      <c r="AF160" s="177">
        <f t="shared" si="63"/>
        <v>0.67229098263119635</v>
      </c>
      <c r="AG160" s="811">
        <f t="shared" si="71"/>
        <v>-1</v>
      </c>
      <c r="AH160" s="176">
        <f t="shared" si="64"/>
        <v>5</v>
      </c>
      <c r="AI160" s="225">
        <f t="shared" si="65"/>
        <v>-0.32770901736880365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7">
        <v>60.13</v>
      </c>
      <c r="C161" s="390"/>
      <c r="D161" s="393">
        <f t="shared" si="48"/>
        <v>61.574728028190407</v>
      </c>
      <c r="E161" s="385">
        <f t="shared" si="69"/>
        <v>62.090299945921828</v>
      </c>
      <c r="F161" s="385">
        <f t="shared" si="49"/>
        <v>62.096546618278133</v>
      </c>
      <c r="G161" s="110">
        <f t="shared" si="70"/>
        <v>0.9746295114056136</v>
      </c>
      <c r="H161" s="414" t="b">
        <f>Wh_hp&gt;='2020'!Maxi_hp</f>
        <v>1</v>
      </c>
      <c r="I161" s="380">
        <f>IF(H161,Wh_hp,'2020'!Maxi_hp)</f>
        <v>62.096546618278133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2.3463002995790294E-2</v>
      </c>
      <c r="M161" s="845"/>
      <c r="N161" s="845"/>
      <c r="O161" s="48">
        <f>IF(t&lt;Tnet,'2020'!Resal+('2020'!Salim-'2020'!Resal)*(1-EXP(('2020'!Tnet-t)/('2020'!Tau_j))),Resal+(Salim-Resal)*(1-EXP((Tnet-t)/(Tau_j))))*Salcycl</f>
        <v>8.303582333801884E-3</v>
      </c>
      <c r="P161" s="169">
        <f>(INDEX(Models!$BJ161:$BT161,,T161)*(1-R161)+INDEX(Models!$BJ161:$BT161,,T161+1)*R161-ERP_i)*Q161*Ramure*Pc/MaxiM</f>
        <v>1.0437863431227319E-4</v>
      </c>
      <c r="Q161" s="305">
        <f t="shared" si="51"/>
        <v>0.5</v>
      </c>
      <c r="R161" s="177">
        <f t="shared" si="52"/>
        <v>0.67700563002217229</v>
      </c>
      <c r="S161" s="811">
        <f t="shared" si="53"/>
        <v>-1</v>
      </c>
      <c r="T161" s="176">
        <f t="shared" si="54"/>
        <v>5</v>
      </c>
      <c r="U161" s="251">
        <f t="shared" si="55"/>
        <v>-0.32299436997782777</v>
      </c>
      <c r="V161" s="383">
        <f t="shared" si="56"/>
        <v>61.695004954746246</v>
      </c>
      <c r="W161" s="402"/>
      <c r="X161" s="157">
        <f t="shared" si="57"/>
        <v>44343</v>
      </c>
      <c r="Y161" s="385">
        <f t="shared" si="58"/>
        <v>57.02436374176132</v>
      </c>
      <c r="Z161" s="385">
        <f t="shared" si="59"/>
        <v>58.394473447190343</v>
      </c>
      <c r="AA161" s="386">
        <f t="shared" si="60"/>
        <v>62.090299945921828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5.9523411900899152E-2</v>
      </c>
      <c r="AD161" s="231">
        <f>(INDEX(Models!$BJ161:$BT161,,AH161)*(1-AF161)+INDEX(Models!$BJ161:$BT161,,AH161+1)*AF161-ERP_i)*AE161*Ramure*Pc/MaxiM</f>
        <v>1.0437863431227319E-4</v>
      </c>
      <c r="AE161" s="305">
        <f t="shared" si="62"/>
        <v>0.5</v>
      </c>
      <c r="AF161" s="177">
        <f t="shared" si="63"/>
        <v>0.67700563002217229</v>
      </c>
      <c r="AG161" s="811">
        <f t="shared" si="71"/>
        <v>-1</v>
      </c>
      <c r="AH161" s="176">
        <f t="shared" si="64"/>
        <v>5</v>
      </c>
      <c r="AI161" s="225">
        <f t="shared" si="65"/>
        <v>-0.32299436997782777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7">
        <v>54.009</v>
      </c>
      <c r="C162" s="390"/>
      <c r="D162" s="393">
        <f t="shared" si="48"/>
        <v>55.307871721512981</v>
      </c>
      <c r="E162" s="385">
        <f t="shared" si="69"/>
        <v>55.776153347639564</v>
      </c>
      <c r="F162" s="385">
        <f t="shared" si="49"/>
        <v>55.780685671357716</v>
      </c>
      <c r="G162" s="110">
        <f t="shared" si="70"/>
        <v>0.87524102051660746</v>
      </c>
      <c r="H162" s="414" t="b">
        <f>Wh_hp&gt;='2020'!Maxi_hp</f>
        <v>0</v>
      </c>
      <c r="I162" s="380">
        <f>IF(H162,Wh_hp,'2020'!Maxi_hp)</f>
        <v>61.293375317013549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2.3484391662240811E-2</v>
      </c>
      <c r="M162" s="845"/>
      <c r="N162" s="845"/>
      <c r="O162" s="48">
        <f>IF(t&lt;Tnet,'2020'!Resal+('2020'!Salim-'2020'!Resal)*(1-EXP(('2020'!Tnet-t)/('2020'!Tau_j))),Resal+(Salim-Resal)*(1-EXP((Tnet-t)/(Tau_j))))*Salcycl</f>
        <v>8.3957318319872309E-3</v>
      </c>
      <c r="P162" s="169">
        <f>(INDEX(Models!$BJ162:$BT162,,T162)*(1-R162)+INDEX(Models!$BJ162:$BT162,,T162+1)*R162-ERP_i)*Q162*Ramure*Pc/MaxiM</f>
        <v>9.8872068756907636E-5</v>
      </c>
      <c r="Q162" s="305">
        <f t="shared" si="51"/>
        <v>0.5</v>
      </c>
      <c r="R162" s="177">
        <f t="shared" si="52"/>
        <v>0.68177483240371461</v>
      </c>
      <c r="S162" s="811">
        <f t="shared" si="53"/>
        <v>-1</v>
      </c>
      <c r="T162" s="176">
        <f t="shared" si="54"/>
        <v>5</v>
      </c>
      <c r="U162" s="251">
        <f t="shared" si="55"/>
        <v>-0.31822516759628539</v>
      </c>
      <c r="V162" s="383">
        <f t="shared" si="56"/>
        <v>61.706486607481558</v>
      </c>
      <c r="W162" s="402"/>
      <c r="X162" s="157">
        <f t="shared" si="57"/>
        <v>44344</v>
      </c>
      <c r="Y162" s="385">
        <f t="shared" si="58"/>
        <v>51.219854741579269</v>
      </c>
      <c r="Z162" s="385">
        <f t="shared" si="59"/>
        <v>52.451649829506096</v>
      </c>
      <c r="AA162" s="386">
        <f t="shared" si="60"/>
        <v>55.776153347639564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5.9604388589019841E-2</v>
      </c>
      <c r="AD162" s="231">
        <f>(INDEX(Models!$BJ162:$BT162,,AH162)*(1-AF162)+INDEX(Models!$BJ162:$BT162,,AH162+1)*AF162-ERP_i)*AE162*Ramure*Pc/MaxiM</f>
        <v>9.8872068756907636E-5</v>
      </c>
      <c r="AE162" s="305">
        <f t="shared" si="62"/>
        <v>0.5</v>
      </c>
      <c r="AF162" s="177">
        <f t="shared" si="63"/>
        <v>0.68177483240371461</v>
      </c>
      <c r="AG162" s="811">
        <f t="shared" si="71"/>
        <v>-1</v>
      </c>
      <c r="AH162" s="176">
        <f t="shared" si="64"/>
        <v>5</v>
      </c>
      <c r="AI162" s="225">
        <f t="shared" si="65"/>
        <v>-0.31822516759628539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7">
        <v>36.794000000000004</v>
      </c>
      <c r="C163" s="390"/>
      <c r="D163" s="393">
        <f t="shared" si="48"/>
        <v>37.679690510337387</v>
      </c>
      <c r="E163" s="385">
        <f t="shared" si="69"/>
        <v>38.002249753215139</v>
      </c>
      <c r="F163" s="385">
        <f t="shared" si="49"/>
        <v>38.003739794213942</v>
      </c>
      <c r="G163" s="110">
        <f t="shared" si="70"/>
        <v>0.59615753006728878</v>
      </c>
      <c r="H163" s="414" t="b">
        <f>Wh_hp&gt;='2020'!Maxi_hp</f>
        <v>0</v>
      </c>
      <c r="I163" s="380">
        <f>IF(H163,Wh_hp,'2020'!Maxi_hp)</f>
        <v>61.369433048161632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2.3505779860224618E-2</v>
      </c>
      <c r="M163" s="845"/>
      <c r="N163" s="845"/>
      <c r="O163" s="48">
        <f>IF(t&lt;Tnet,'2020'!Resal+('2020'!Salim-'2020'!Resal)*(1-EXP(('2020'!Tnet-t)/('2020'!Tau_j))),Resal+(Salim-Resal)*(1-EXP((Tnet-t)/(Tau_j))))*Salcycl</f>
        <v>8.4878986105410871E-3</v>
      </c>
      <c r="P163" s="169">
        <f>(INDEX(Models!$BJ163:$BT163,,T163)*(1-R163)+INDEX(Models!$BJ163:$BT163,,T163+1)*R163-ERP_i)*Q163*Ramure*Pc/MaxiM</f>
        <v>9.2661731317640397E-5</v>
      </c>
      <c r="Q163" s="305">
        <f t="shared" si="51"/>
        <v>0.5</v>
      </c>
      <c r="R163" s="177">
        <f t="shared" si="52"/>
        <v>0.6865954472349366</v>
      </c>
      <c r="S163" s="811">
        <f t="shared" si="53"/>
        <v>-1</v>
      </c>
      <c r="T163" s="176">
        <f t="shared" si="54"/>
        <v>5</v>
      </c>
      <c r="U163" s="251">
        <f t="shared" si="55"/>
        <v>-0.3134045527650634</v>
      </c>
      <c r="V163" s="383">
        <f t="shared" si="56"/>
        <v>61.715287120195264</v>
      </c>
      <c r="W163" s="402"/>
      <c r="X163" s="157">
        <f t="shared" si="57"/>
        <v>44345</v>
      </c>
      <c r="Y163" s="385">
        <f t="shared" si="58"/>
        <v>34.894119899815792</v>
      </c>
      <c r="Z163" s="385">
        <f t="shared" si="59"/>
        <v>35.734077253238681</v>
      </c>
      <c r="AA163" s="386">
        <f t="shared" si="60"/>
        <v>38.002249753215139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5.9685216393920465E-2</v>
      </c>
      <c r="AD163" s="231">
        <f>(INDEX(Models!$BJ163:$BT163,,AH163)*(1-AF163)+INDEX(Models!$BJ163:$BT163,,AH163+1)*AF163-ERP_i)*AE163*Ramure*Pc/MaxiM</f>
        <v>9.2661731317640397E-5</v>
      </c>
      <c r="AE163" s="305">
        <f t="shared" si="62"/>
        <v>0.5</v>
      </c>
      <c r="AF163" s="177">
        <f t="shared" si="63"/>
        <v>0.6865954472349366</v>
      </c>
      <c r="AG163" s="811">
        <f t="shared" si="71"/>
        <v>-1</v>
      </c>
      <c r="AH163" s="176">
        <f t="shared" si="64"/>
        <v>5</v>
      </c>
      <c r="AI163" s="225">
        <f t="shared" si="65"/>
        <v>-0.3134045527650634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7">
        <v>54.913000000000004</v>
      </c>
      <c r="C164" s="390"/>
      <c r="D164" s="393">
        <f t="shared" si="48"/>
        <v>56.236075574634391</v>
      </c>
      <c r="E164" s="385">
        <f t="shared" si="69"/>
        <v>56.722761090914602</v>
      </c>
      <c r="F164" s="385">
        <f t="shared" si="49"/>
        <v>56.726877012035118</v>
      </c>
      <c r="G164" s="110">
        <f t="shared" si="70"/>
        <v>0.88968381378900729</v>
      </c>
      <c r="H164" s="414" t="b">
        <f>Wh_hp&gt;='2020'!Maxi_hp</f>
        <v>0</v>
      </c>
      <c r="I164" s="380">
        <f>IF(H164,Wh_hp,'2020'!Maxi_hp)</f>
        <v>57.223999787813696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2.352716758975204E-2</v>
      </c>
      <c r="M164" s="845"/>
      <c r="N164" s="845"/>
      <c r="O164" s="48">
        <f>IF(t&lt;Tnet,'2020'!Resal+('2020'!Salim-'2020'!Resal)*(1-EXP(('2020'!Tnet-t)/('2020'!Tau_j))),Resal+(Salim-Resal)*(1-EXP((Tnet-t)/(Tau_j))))*Salcycl</f>
        <v>8.5800745048386483E-3</v>
      </c>
      <c r="P164" s="169">
        <f>(INDEX(Models!$BJ164:$BT164,,T164)*(1-R164)+INDEX(Models!$BJ164:$BT164,,T164+1)*R164-ERP_i)*Q164*Ramure*Pc/MaxiM</f>
        <v>8.6128742727634399E-5</v>
      </c>
      <c r="Q164" s="305">
        <f t="shared" si="51"/>
        <v>0.5</v>
      </c>
      <c r="R164" s="177">
        <f t="shared" si="52"/>
        <v>0.6914641761750242</v>
      </c>
      <c r="S164" s="811">
        <f t="shared" si="53"/>
        <v>-1</v>
      </c>
      <c r="T164" s="176">
        <f t="shared" si="54"/>
        <v>5</v>
      </c>
      <c r="U164" s="251">
        <f t="shared" si="55"/>
        <v>-0.30853582382497585</v>
      </c>
      <c r="V164" s="383">
        <f t="shared" si="56"/>
        <v>61.721089918905825</v>
      </c>
      <c r="W164" s="402"/>
      <c r="X164" s="157">
        <f t="shared" si="57"/>
        <v>44346</v>
      </c>
      <c r="Y164" s="385">
        <f t="shared" si="58"/>
        <v>52.077910573413035</v>
      </c>
      <c r="Z164" s="385">
        <f t="shared" si="59"/>
        <v>53.332677412916915</v>
      </c>
      <c r="AA164" s="386">
        <f t="shared" si="60"/>
        <v>56.722761090914602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5.9765843777669823E-2</v>
      </c>
      <c r="AD164" s="231">
        <f>(INDEX(Models!$BJ164:$BT164,,AH164)*(1-AF164)+INDEX(Models!$BJ164:$BT164,,AH164+1)*AF164-ERP_i)*AE164*Ramure*Pc/MaxiM</f>
        <v>8.6128742727634399E-5</v>
      </c>
      <c r="AE164" s="305">
        <f t="shared" si="62"/>
        <v>0.5</v>
      </c>
      <c r="AF164" s="177">
        <f t="shared" si="63"/>
        <v>0.6914641761750242</v>
      </c>
      <c r="AG164" s="811">
        <f t="shared" si="71"/>
        <v>-1</v>
      </c>
      <c r="AH164" s="176">
        <f t="shared" si="64"/>
        <v>5</v>
      </c>
      <c r="AI164" s="225">
        <f t="shared" si="65"/>
        <v>-0.30853582382497585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7">
        <v>59.878</v>
      </c>
      <c r="C165" s="390"/>
      <c r="D165" s="393">
        <f t="shared" si="48"/>
        <v>61.322045553276631</v>
      </c>
      <c r="E165" s="385">
        <f t="shared" si="69"/>
        <v>61.858497978949863</v>
      </c>
      <c r="F165" s="385">
        <f t="shared" si="49"/>
        <v>61.863237524738935</v>
      </c>
      <c r="G165" s="110">
        <f t="shared" si="70"/>
        <v>0.97009334979556072</v>
      </c>
      <c r="H165" s="414" t="b">
        <f>Wh_hp&gt;='2020'!Maxi_hp</f>
        <v>0</v>
      </c>
      <c r="I165" s="380">
        <f>IF(H165,Wh_hp,'2020'!Maxi_hp)</f>
        <v>63.126585406149495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2.3548554850833292E-2</v>
      </c>
      <c r="M165" s="845"/>
      <c r="N165" s="845"/>
      <c r="O165" s="48">
        <f>IF(t&lt;Tnet,'2020'!Resal+('2020'!Salim-'2020'!Resal)*(1-EXP(('2020'!Tnet-t)/('2020'!Tau_j))),Resal+(Salim-Resal)*(1-EXP((Tnet-t)/(Tau_j))))*Salcycl</f>
        <v>8.6722510762512837E-3</v>
      </c>
      <c r="P165" s="169">
        <f>(INDEX(Models!$BJ165:$BT165,,T165)*(1-R165)+INDEX(Models!$BJ165:$BT165,,T165+1)*R165-ERP_i)*Q165*Ramure*Pc/MaxiM</f>
        <v>8.0032182672905647E-5</v>
      </c>
      <c r="Q165" s="305">
        <f t="shared" si="51"/>
        <v>0.5</v>
      </c>
      <c r="R165" s="177">
        <f t="shared" si="52"/>
        <v>0.69637757272465084</v>
      </c>
      <c r="S165" s="811">
        <f t="shared" si="53"/>
        <v>-1</v>
      </c>
      <c r="T165" s="176">
        <f t="shared" si="54"/>
        <v>5</v>
      </c>
      <c r="U165" s="251">
        <f t="shared" si="55"/>
        <v>-0.30362242727534916</v>
      </c>
      <c r="V165" s="383">
        <f t="shared" si="56"/>
        <v>61.723745740677536</v>
      </c>
      <c r="W165" s="402"/>
      <c r="X165" s="157">
        <f t="shared" si="57"/>
        <v>44347</v>
      </c>
      <c r="Y165" s="385">
        <f t="shared" si="58"/>
        <v>56.786999201387445</v>
      </c>
      <c r="Z165" s="385">
        <f t="shared" si="59"/>
        <v>58.15650074921281</v>
      </c>
      <c r="AA165" s="386">
        <f t="shared" si="60"/>
        <v>61.858497978949863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5.9846219204947759E-2</v>
      </c>
      <c r="AD165" s="231">
        <f>(INDEX(Models!$BJ165:$BT165,,AH165)*(1-AF165)+INDEX(Models!$BJ165:$BT165,,AH165+1)*AF165-ERP_i)*AE165*Ramure*Pc/MaxiM</f>
        <v>8.0032182672905647E-5</v>
      </c>
      <c r="AE165" s="305">
        <f t="shared" si="62"/>
        <v>0.5</v>
      </c>
      <c r="AF165" s="177">
        <f t="shared" si="63"/>
        <v>0.69637757272465084</v>
      </c>
      <c r="AG165" s="811">
        <f t="shared" si="71"/>
        <v>-1</v>
      </c>
      <c r="AH165" s="176">
        <f t="shared" si="64"/>
        <v>5</v>
      </c>
      <c r="AI165" s="225">
        <f t="shared" si="65"/>
        <v>-0.30362242727534916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7">
        <v>38.319000000000003</v>
      </c>
      <c r="C166" s="390"/>
      <c r="D166" s="393">
        <f t="shared" si="48"/>
        <v>39.243978277867278</v>
      </c>
      <c r="E166" s="385">
        <f t="shared" si="69"/>
        <v>39.590970154298368</v>
      </c>
      <c r="F166" s="385">
        <f t="shared" si="49"/>
        <v>39.59231993440973</v>
      </c>
      <c r="G166" s="110">
        <f t="shared" si="70"/>
        <v>0.62079552107577585</v>
      </c>
      <c r="H166" s="414" t="b">
        <f>Wh_hp&gt;='2020'!Maxi_hp</f>
        <v>0</v>
      </c>
      <c r="I166" s="380">
        <f>IF(H166,Wh_hp,'2020'!Maxi_hp)</f>
        <v>64.729267905613341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2.3569941643478587E-2</v>
      </c>
      <c r="M166" s="845"/>
      <c r="N166" s="845"/>
      <c r="O166" s="48">
        <f>IF(t&lt;Tnet,'2020'!Resal+('2020'!Salim-'2020'!Resal)*(1-EXP(('2020'!Tnet-t)/('2020'!Tau_j))),Resal+(Salim-Resal)*(1-EXP((Tnet-t)/(Tau_j))))*Salcycl</f>
        <v>8.7644196411140185E-3</v>
      </c>
      <c r="P166" s="169">
        <f>(INDEX(Models!$BJ166:$BT166,,T166)*(1-R166)+INDEX(Models!$BJ166:$BT166,,T166+1)*R166-ERP_i)*Q166*Ramure*Pc/MaxiM</f>
        <v>7.4385442880427698E-5</v>
      </c>
      <c r="Q166" s="305">
        <f t="shared" si="51"/>
        <v>0.5</v>
      </c>
      <c r="R166" s="177">
        <f t="shared" si="52"/>
        <v>0.70133205080173311</v>
      </c>
      <c r="S166" s="811">
        <f t="shared" si="53"/>
        <v>-1</v>
      </c>
      <c r="T166" s="176">
        <f t="shared" si="54"/>
        <v>5</v>
      </c>
      <c r="U166" s="251">
        <f t="shared" si="55"/>
        <v>-0.29866794919826684</v>
      </c>
      <c r="V166" s="383">
        <f t="shared" si="56"/>
        <v>61.723151409505469</v>
      </c>
      <c r="W166" s="402"/>
      <c r="X166" s="157">
        <f t="shared" si="57"/>
        <v>44348</v>
      </c>
      <c r="Y166" s="385">
        <f t="shared" si="58"/>
        <v>36.3411939162472</v>
      </c>
      <c r="Z166" s="385">
        <f t="shared" si="59"/>
        <v>37.218430142774274</v>
      </c>
      <c r="AA166" s="386">
        <f t="shared" si="60"/>
        <v>39.590970154298368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5.992629133051209E-2</v>
      </c>
      <c r="AD166" s="231">
        <f>(INDEX(Models!$BJ166:$BT166,,AH166)*(1-AF166)+INDEX(Models!$BJ166:$BT166,,AH166+1)*AF166-ERP_i)*AE166*Ramure*Pc/MaxiM</f>
        <v>7.4385442880427698E-5</v>
      </c>
      <c r="AE166" s="305">
        <f t="shared" si="62"/>
        <v>0.5</v>
      </c>
      <c r="AF166" s="177">
        <f t="shared" si="63"/>
        <v>0.70133205080173311</v>
      </c>
      <c r="AG166" s="811">
        <f t="shared" si="71"/>
        <v>-1</v>
      </c>
      <c r="AH166" s="176">
        <f t="shared" si="64"/>
        <v>5</v>
      </c>
      <c r="AI166" s="225">
        <f t="shared" si="65"/>
        <v>-0.29866794919826684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7">
        <v>48.304000000000002</v>
      </c>
      <c r="C167" s="390"/>
      <c r="D167" s="393">
        <f t="shared" si="48"/>
        <v>49.471088677919901</v>
      </c>
      <c r="E167" s="385">
        <f t="shared" si="69"/>
        <v>49.913148032357725</v>
      </c>
      <c r="F167" s="385">
        <f t="shared" si="49"/>
        <v>49.915529705656311</v>
      </c>
      <c r="G167" s="110">
        <f t="shared" si="70"/>
        <v>0.78262451578151737</v>
      </c>
      <c r="H167" s="414" t="b">
        <f>Wh_hp&gt;='2020'!Maxi_hp</f>
        <v>0</v>
      </c>
      <c r="I167" s="380">
        <f>IF(H167,Wh_hp,'2020'!Maxi_hp)</f>
        <v>63.739845271535835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2.3591327967698361E-2</v>
      </c>
      <c r="M167" s="845"/>
      <c r="N167" s="845"/>
      <c r="O167" s="48">
        <f>IF(t&lt;Tnet,'2020'!Resal+('2020'!Salim-'2020'!Resal)*(1-EXP(('2020'!Tnet-t)/('2020'!Tau_j))),Resal+(Salim-Resal)*(1-EXP((Tnet-t)/(Tau_j))))*Salcycl</f>
        <v>8.8565713016388013E-3</v>
      </c>
      <c r="P167" s="169">
        <f>(INDEX(Models!$BJ167:$BT167,,T167)*(1-R167)+INDEX(Models!$BJ167:$BT167,,T167+1)*R167-ERP_i)*Q167*Ramure*Pc/MaxiM</f>
        <v>6.9202220629456686E-5</v>
      </c>
      <c r="Q167" s="305">
        <f t="shared" si="51"/>
        <v>0.5</v>
      </c>
      <c r="R167" s="177">
        <f t="shared" si="52"/>
        <v>0.70632389421614572</v>
      </c>
      <c r="S167" s="811">
        <f t="shared" si="53"/>
        <v>-1</v>
      </c>
      <c r="T167" s="176">
        <f t="shared" si="54"/>
        <v>5</v>
      </c>
      <c r="U167" s="251">
        <f t="shared" si="55"/>
        <v>-0.29367610578385428</v>
      </c>
      <c r="V167" s="383">
        <f t="shared" si="56"/>
        <v>61.719203798289598</v>
      </c>
      <c r="W167" s="402"/>
      <c r="X167" s="157">
        <f t="shared" si="57"/>
        <v>44349</v>
      </c>
      <c r="Y167" s="385">
        <f t="shared" si="58"/>
        <v>45.811199890343566</v>
      </c>
      <c r="Z167" s="385">
        <f t="shared" si="59"/>
        <v>46.918059212841605</v>
      </c>
      <c r="AA167" s="386">
        <f t="shared" si="60"/>
        <v>49.913148032357725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6.0006009189692087E-2</v>
      </c>
      <c r="AD167" s="231">
        <f>(INDEX(Models!$BJ167:$BT167,,AH167)*(1-AF167)+INDEX(Models!$BJ167:$BT167,,AH167+1)*AF167-ERP_i)*AE167*Ramure*Pc/MaxiM</f>
        <v>6.9202220629456686E-5</v>
      </c>
      <c r="AE167" s="305">
        <f t="shared" si="62"/>
        <v>0.5</v>
      </c>
      <c r="AF167" s="177">
        <f t="shared" si="63"/>
        <v>0.70632389421614572</v>
      </c>
      <c r="AG167" s="811">
        <f t="shared" si="71"/>
        <v>-1</v>
      </c>
      <c r="AH167" s="176">
        <f t="shared" si="64"/>
        <v>5</v>
      </c>
      <c r="AI167" s="225">
        <f t="shared" si="65"/>
        <v>-0.29367610578385428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7">
        <v>54.484000000000002</v>
      </c>
      <c r="C168" s="390"/>
      <c r="D168" s="393">
        <f t="shared" si="48"/>
        <v>55.801627869774578</v>
      </c>
      <c r="E168" s="385">
        <f t="shared" si="69"/>
        <v>56.305488625719043</v>
      </c>
      <c r="F168" s="385">
        <f t="shared" si="49"/>
        <v>56.308512681881169</v>
      </c>
      <c r="G168" s="110">
        <f t="shared" si="70"/>
        <v>0.88286862746085781</v>
      </c>
      <c r="H168" s="414" t="b">
        <f>Wh_hp&gt;='2020'!Maxi_hp</f>
        <v>1</v>
      </c>
      <c r="I168" s="380">
        <f>IF(H168,Wh_hp,'2020'!Maxi_hp)</f>
        <v>56.308512681881169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2.3612713823502607E-2</v>
      </c>
      <c r="M168" s="845"/>
      <c r="N168" s="845"/>
      <c r="O168" s="48">
        <f>IF(t&lt;Tnet,'2020'!Resal+('2020'!Salim-'2020'!Resal)*(1-EXP(('2020'!Tnet-t)/('2020'!Tau_j))),Resal+(Salim-Resal)*(1-EXP((Tnet-t)/(Tau_j))))*Salcycl</f>
        <v>8.9486969786159373E-3</v>
      </c>
      <c r="P168" s="169">
        <f>(INDEX(Models!$BJ168:$BT168,,T168)*(1-R168)+INDEX(Models!$BJ168:$BT168,,T168+1)*R168-ERP_i)*Q168*Ramure*Pc/MaxiM</f>
        <v>6.4496486519907153E-5</v>
      </c>
      <c r="Q168" s="305">
        <f t="shared" si="51"/>
        <v>0.5</v>
      </c>
      <c r="R168" s="177">
        <f t="shared" si="52"/>
        <v>0.71134926699841761</v>
      </c>
      <c r="S168" s="811">
        <f t="shared" si="53"/>
        <v>-1</v>
      </c>
      <c r="T168" s="176">
        <f t="shared" si="54"/>
        <v>5</v>
      </c>
      <c r="U168" s="251">
        <f t="shared" si="55"/>
        <v>-0.28865073300158239</v>
      </c>
      <c r="V168" s="383">
        <f t="shared" si="56"/>
        <v>61.71179982803492</v>
      </c>
      <c r="W168" s="402"/>
      <c r="X168" s="157">
        <f t="shared" si="57"/>
        <v>44350</v>
      </c>
      <c r="Y168" s="385">
        <f t="shared" si="58"/>
        <v>51.672714761324542</v>
      </c>
      <c r="Z168" s="385">
        <f t="shared" si="59"/>
        <v>52.92235518927464</v>
      </c>
      <c r="AA168" s="386">
        <f t="shared" si="60"/>
        <v>56.305488625719043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6.0085322390738841E-2</v>
      </c>
      <c r="AD168" s="231">
        <f>(INDEX(Models!$BJ168:$BT168,,AH168)*(1-AF168)+INDEX(Models!$BJ168:$BT168,,AH168+1)*AF168-ERP_i)*AE168*Ramure*Pc/MaxiM</f>
        <v>6.4496486519907153E-5</v>
      </c>
      <c r="AE168" s="305">
        <f t="shared" si="62"/>
        <v>0.5</v>
      </c>
      <c r="AF168" s="177">
        <f t="shared" si="63"/>
        <v>0.71134926699841761</v>
      </c>
      <c r="AG168" s="811">
        <f t="shared" si="71"/>
        <v>-1</v>
      </c>
      <c r="AH168" s="176">
        <f t="shared" si="64"/>
        <v>5</v>
      </c>
      <c r="AI168" s="225">
        <f t="shared" si="65"/>
        <v>-0.28865073300158239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7">
        <v>8.5410000000000004</v>
      </c>
      <c r="C169" s="390"/>
      <c r="D169" s="393">
        <f t="shared" si="48"/>
        <v>8.7477450749736043</v>
      </c>
      <c r="E169" s="385">
        <f t="shared" si="69"/>
        <v>8.8275531062732888</v>
      </c>
      <c r="F169" s="385">
        <f t="shared" si="49"/>
        <v>8.8275531062732888</v>
      </c>
      <c r="G169" s="110">
        <f t="shared" si="70"/>
        <v>0.13841765551398169</v>
      </c>
      <c r="H169" s="414" t="b">
        <f>Wh_hp&gt;='2020'!Maxi_hp</f>
        <v>0</v>
      </c>
      <c r="I169" s="380">
        <f>IF(H169,Wh_hp,'2020'!Maxi_hp)</f>
        <v>59.953702782585943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2.363409921090176E-2</v>
      </c>
      <c r="M169" s="845"/>
      <c r="N169" s="845"/>
      <c r="O169" s="48">
        <f>IF(t&lt;Tnet,'2020'!Resal+('2020'!Salim-'2020'!Resal)*(1-EXP(('2020'!Tnet-t)/('2020'!Tau_j))),Resal+(Salim-Resal)*(1-EXP((Tnet-t)/(Tau_j))))*Salcycl</f>
        <v>9.0407874457269881E-3</v>
      </c>
      <c r="P169" s="169">
        <f>(INDEX(Models!$BJ169:$BT169,,T169)*(1-R169)+INDEX(Models!$BJ169:$BT169,,T169+1)*R169-ERP_i)*Q169*Ramure*Pc/MaxiM</f>
        <v>6.0282451274479194E-5</v>
      </c>
      <c r="Q169" s="305">
        <f t="shared" si="51"/>
        <v>0.5</v>
      </c>
      <c r="R169" s="177">
        <f t="shared" si="52"/>
        <v>0.71640422452807739</v>
      </c>
      <c r="S169" s="811">
        <f t="shared" si="53"/>
        <v>-1</v>
      </c>
      <c r="T169" s="176">
        <f t="shared" si="54"/>
        <v>5</v>
      </c>
      <c r="U169" s="251">
        <f t="shared" si="55"/>
        <v>-0.28359577547192261</v>
      </c>
      <c r="V169" s="383">
        <f t="shared" si="56"/>
        <v>61.70083647111754</v>
      </c>
      <c r="W169" s="402"/>
      <c r="X169" s="157">
        <f t="shared" si="57"/>
        <v>44351</v>
      </c>
      <c r="Y169" s="385">
        <f t="shared" si="58"/>
        <v>8.1003714640881661</v>
      </c>
      <c r="Z169" s="385">
        <f t="shared" si="59"/>
        <v>8.2964506006830554</v>
      </c>
      <c r="AA169" s="386">
        <f t="shared" si="60"/>
        <v>8.8275531062732888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6.0164181307819607E-2</v>
      </c>
      <c r="AD169" s="231">
        <f>(INDEX(Models!$BJ169:$BT169,,AH169)*(1-AF169)+INDEX(Models!$BJ169:$BT169,,AH169+1)*AF169-ERP_i)*AE169*Ramure*Pc/MaxiM</f>
        <v>6.0282451274479194E-5</v>
      </c>
      <c r="AE169" s="305">
        <f t="shared" si="62"/>
        <v>0.5</v>
      </c>
      <c r="AF169" s="177">
        <f t="shared" si="63"/>
        <v>0.71640422452807739</v>
      </c>
      <c r="AG169" s="811">
        <f t="shared" si="71"/>
        <v>-1</v>
      </c>
      <c r="AH169" s="176">
        <f t="shared" si="64"/>
        <v>5</v>
      </c>
      <c r="AI169" s="225">
        <f t="shared" si="65"/>
        <v>-0.28359577547192261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7">
        <v>41.773000000000003</v>
      </c>
      <c r="C170" s="390"/>
      <c r="D170" s="393">
        <f t="shared" si="48"/>
        <v>42.785102308658892</v>
      </c>
      <c r="E170" s="385">
        <f t="shared" ref="E170:E232" si="72">Wh_pvt/(1-Psa)</f>
        <v>43.17945305824351</v>
      </c>
      <c r="F170" s="385">
        <f t="shared" si="49"/>
        <v>43.180770881481472</v>
      </c>
      <c r="G170" s="110">
        <f t="shared" ref="G170:G232" si="73">+Wh_hp/MaxiM</f>
        <v>0.67716773379744655</v>
      </c>
      <c r="H170" s="414" t="b">
        <f>Wh_hp&gt;='2020'!Maxi_hp</f>
        <v>1</v>
      </c>
      <c r="I170" s="380">
        <f>IF(H170,Wh_hp,'2020'!Maxi_hp)</f>
        <v>43.180770881481472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2.3655484129906146E-2</v>
      </c>
      <c r="M170" s="845"/>
      <c r="N170" s="845"/>
      <c r="O170" s="48">
        <f>IF(t&lt;Tnet,'2020'!Resal+('2020'!Salim-'2020'!Resal)*(1-EXP(('2020'!Tnet-t)/('2020'!Tau_j))),Resal+(Salim-Resal)*(1-EXP((Tnet-t)/(Tau_j))))*Salcycl</f>
        <v>9.1328333652742691E-3</v>
      </c>
      <c r="P170" s="169">
        <f>(INDEX(Models!$BJ170:$BT170,,T170)*(1-R170)+INDEX(Models!$BJ170:$BT170,,T170+1)*R170-ERP_i)*Q170*Ramure*Pc/MaxiM</f>
        <v>5.6638261059766112E-5</v>
      </c>
      <c r="Q170" s="305">
        <f t="shared" si="51"/>
        <v>0.5</v>
      </c>
      <c r="R170" s="177">
        <f t="shared" si="52"/>
        <v>0.7214847253983494</v>
      </c>
      <c r="S170" s="811">
        <f t="shared" si="53"/>
        <v>-1</v>
      </c>
      <c r="T170" s="176">
        <f t="shared" si="54"/>
        <v>5</v>
      </c>
      <c r="U170" s="251">
        <f t="shared" si="55"/>
        <v>-0.2785152746016506</v>
      </c>
      <c r="V170" s="383">
        <f t="shared" si="56"/>
        <v>61.686206816438954</v>
      </c>
      <c r="W170" s="402"/>
      <c r="X170" s="157">
        <f t="shared" si="57"/>
        <v>44352</v>
      </c>
      <c r="Y170" s="385">
        <f t="shared" si="58"/>
        <v>39.618315968430352</v>
      </c>
      <c r="Z170" s="385">
        <f t="shared" si="59"/>
        <v>40.578213247936873</v>
      </c>
      <c r="AA170" s="386">
        <f t="shared" si="60"/>
        <v>43.17945305824351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6.0242537273408656E-2</v>
      </c>
      <c r="AD170" s="231">
        <f>(INDEX(Models!$BJ170:$BT170,,AH170)*(1-AF170)+INDEX(Models!$BJ170:$BT170,,AH170+1)*AF170-ERP_i)*AE170*Ramure*Pc/MaxiM</f>
        <v>5.6638261059766112E-5</v>
      </c>
      <c r="AE170" s="305">
        <f t="shared" si="62"/>
        <v>0.5</v>
      </c>
      <c r="AF170" s="177">
        <f t="shared" si="63"/>
        <v>0.7214847253983494</v>
      </c>
      <c r="AG170" s="811">
        <f t="shared" si="71"/>
        <v>-1</v>
      </c>
      <c r="AH170" s="176">
        <f t="shared" si="64"/>
        <v>5</v>
      </c>
      <c r="AI170" s="225">
        <f t="shared" si="65"/>
        <v>-0.2785152746016506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7">
        <v>46.800000000000004</v>
      </c>
      <c r="C171" s="390"/>
      <c r="D171" s="393">
        <f t="shared" si="48"/>
        <v>47.934949499718996</v>
      </c>
      <c r="E171" s="385">
        <f t="shared" si="72"/>
        <v>48.381258155210119</v>
      </c>
      <c r="F171" s="385">
        <f t="shared" si="49"/>
        <v>48.382952201282023</v>
      </c>
      <c r="G171" s="110">
        <f t="shared" si="73"/>
        <v>0.75889078404739418</v>
      </c>
      <c r="H171" s="414" t="b">
        <f>Wh_hp&gt;='2020'!Maxi_hp</f>
        <v>0</v>
      </c>
      <c r="I171" s="380">
        <f>IF(H171,Wh_hp,'2020'!Maxi_hp)</f>
        <v>62.343880742671914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2.3676868580525867E-2</v>
      </c>
      <c r="M171" s="845"/>
      <c r="N171" s="845"/>
      <c r="O171" s="48">
        <f>IF(t&lt;Tnet,'2020'!Resal+('2020'!Salim-'2020'!Resal)*(1-EXP(('2020'!Tnet-t)/('2020'!Tau_j))),Resal+(Salim-Resal)*(1-EXP((Tnet-t)/(Tau_j))))*Salcycl</f>
        <v>9.2248253251153087E-3</v>
      </c>
      <c r="P171" s="169">
        <f>(INDEX(Models!$BJ171:$BT171,,T171)*(1-R171)+INDEX(Models!$BJ171:$BT171,,T171+1)*R171-ERP_i)*Q171*Ramure*Pc/MaxiM</f>
        <v>5.340824966954242E-5</v>
      </c>
      <c r="Q171" s="305">
        <f t="shared" si="51"/>
        <v>0.5</v>
      </c>
      <c r="R171" s="177">
        <f t="shared" si="52"/>
        <v>0.72658664394548933</v>
      </c>
      <c r="S171" s="811">
        <f t="shared" si="53"/>
        <v>-1</v>
      </c>
      <c r="T171" s="176">
        <f t="shared" si="54"/>
        <v>5</v>
      </c>
      <c r="U171" s="251">
        <f t="shared" si="55"/>
        <v>-0.27341335605451067</v>
      </c>
      <c r="V171" s="383">
        <f t="shared" si="56"/>
        <v>61.667818438766822</v>
      </c>
      <c r="W171" s="402"/>
      <c r="X171" s="157">
        <f t="shared" si="57"/>
        <v>44353</v>
      </c>
      <c r="Y171" s="385">
        <f t="shared" si="58"/>
        <v>44.386465348055047</v>
      </c>
      <c r="Z171" s="385">
        <f t="shared" si="59"/>
        <v>45.46288407970183</v>
      </c>
      <c r="AA171" s="386">
        <f t="shared" si="60"/>
        <v>48.381258155210119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6.0320342768804429E-2</v>
      </c>
      <c r="AD171" s="231">
        <f>(INDEX(Models!$BJ171:$BT171,,AH171)*(1-AF171)+INDEX(Models!$BJ171:$BT171,,AH171+1)*AF171-ERP_i)*AE171*Ramure*Pc/MaxiM</f>
        <v>5.340824966954242E-5</v>
      </c>
      <c r="AE171" s="305">
        <f t="shared" si="62"/>
        <v>0.5</v>
      </c>
      <c r="AF171" s="177">
        <f t="shared" si="63"/>
        <v>0.72658664394548933</v>
      </c>
      <c r="AG171" s="811">
        <f t="shared" si="71"/>
        <v>-1</v>
      </c>
      <c r="AH171" s="176">
        <f t="shared" si="64"/>
        <v>5</v>
      </c>
      <c r="AI171" s="225">
        <f t="shared" si="65"/>
        <v>-0.27341335605451067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7">
        <v>53.014000000000003</v>
      </c>
      <c r="C172" s="390"/>
      <c r="D172" s="393">
        <f t="shared" si="48"/>
        <v>54.300834899825404</v>
      </c>
      <c r="E172" s="385">
        <f t="shared" si="72"/>
        <v>54.811500156388348</v>
      </c>
      <c r="F172" s="385">
        <f t="shared" si="49"/>
        <v>54.813719171232592</v>
      </c>
      <c r="G172" s="110">
        <f t="shared" si="73"/>
        <v>0.85997200734440338</v>
      </c>
      <c r="H172" s="414" t="b">
        <f>Wh_hp&gt;='2020'!Maxi_hp</f>
        <v>1</v>
      </c>
      <c r="I172" s="380">
        <f>IF(H172,Wh_hp,'2020'!Maxi_hp)</f>
        <v>54.813719171232592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2.3698252562771138E-2</v>
      </c>
      <c r="M172" s="845"/>
      <c r="N172" s="845"/>
      <c r="O172" s="48">
        <f>IF(t&lt;Tnet,'2020'!Resal+('2020'!Salim-'2020'!Resal)*(1-EXP(('2020'!Tnet-t)/('2020'!Tau_j))),Resal+(Salim-Resal)*(1-EXP((Tnet-t)/(Tau_j))))*Salcycl</f>
        <v>9.3167538765753458E-3</v>
      </c>
      <c r="P172" s="169">
        <f>(INDEX(Models!$BJ172:$BT172,,T172)*(1-R172)+INDEX(Models!$BJ172:$BT172,,T172+1)*R172-ERP_i)*Q172*Ramure*Pc/MaxiM</f>
        <v>5.0605288840658254E-5</v>
      </c>
      <c r="Q172" s="305">
        <f t="shared" si="51"/>
        <v>0.5</v>
      </c>
      <c r="R172" s="177">
        <f t="shared" si="52"/>
        <v>0.73170578336331538</v>
      </c>
      <c r="S172" s="811">
        <f t="shared" si="53"/>
        <v>-1</v>
      </c>
      <c r="T172" s="176">
        <f t="shared" si="54"/>
        <v>5</v>
      </c>
      <c r="U172" s="251">
        <f t="shared" si="55"/>
        <v>-0.26829421663668468</v>
      </c>
      <c r="V172" s="383">
        <f t="shared" si="56"/>
        <v>61.645568569498877</v>
      </c>
      <c r="W172" s="402"/>
      <c r="X172" s="157">
        <f t="shared" si="57"/>
        <v>44354</v>
      </c>
      <c r="Y172" s="385">
        <f t="shared" si="58"/>
        <v>50.280535573590015</v>
      </c>
      <c r="Z172" s="385">
        <f t="shared" si="59"/>
        <v>51.501019746789702</v>
      </c>
      <c r="AA172" s="386">
        <f t="shared" si="60"/>
        <v>54.811500156388348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6.0397551611489741E-2</v>
      </c>
      <c r="AD172" s="231">
        <f>(INDEX(Models!$BJ172:$BT172,,AH172)*(1-AF172)+INDEX(Models!$BJ172:$BT172,,AH172+1)*AF172-ERP_i)*AE172*Ramure*Pc/MaxiM</f>
        <v>5.0605288840658254E-5</v>
      </c>
      <c r="AE172" s="305">
        <f t="shared" si="62"/>
        <v>0.5</v>
      </c>
      <c r="AF172" s="177">
        <f t="shared" si="63"/>
        <v>0.73170578336331538</v>
      </c>
      <c r="AG172" s="811">
        <f t="shared" si="71"/>
        <v>-1</v>
      </c>
      <c r="AH172" s="176">
        <f t="shared" si="64"/>
        <v>5</v>
      </c>
      <c r="AI172" s="225">
        <f t="shared" si="65"/>
        <v>-0.26829421663668468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7">
        <v>60.515999999999998</v>
      </c>
      <c r="C173" s="390"/>
      <c r="D173" s="393">
        <f t="shared" si="48"/>
        <v>61.986292294977879</v>
      </c>
      <c r="E173" s="385">
        <f t="shared" si="72"/>
        <v>62.57503638131201</v>
      </c>
      <c r="F173" s="385">
        <f t="shared" si="49"/>
        <v>62.577978068226969</v>
      </c>
      <c r="G173" s="110">
        <f t="shared" si="73"/>
        <v>0.98209281517943525</v>
      </c>
      <c r="H173" s="414" t="b">
        <f>Wh_hp&gt;='2020'!Maxi_hp</f>
        <v>0</v>
      </c>
      <c r="I173" s="380">
        <f>IF(H173,Wh_hp,'2020'!Maxi_hp)</f>
        <v>64.469263284236831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2.3719636076652395E-2</v>
      </c>
      <c r="M173" s="845"/>
      <c r="N173" s="845"/>
      <c r="O173" s="48">
        <f>IF(t&lt;Tnet,'2020'!Resal+('2020'!Salim-'2020'!Resal)*(1-EXP(('2020'!Tnet-t)/('2020'!Tau_j))),Resal+(Salim-Resal)*(1-EXP((Tnet-t)/(Tau_j))))*Salcycl</f>
        <v>9.408609573097429E-3</v>
      </c>
      <c r="P173" s="169">
        <f>(INDEX(Models!$BJ173:$BT173,,T173)*(1-R173)+INDEX(Models!$BJ173:$BT173,,T173+1)*R173-ERP_i)*Q173*Ramure*Pc/MaxiM</f>
        <v>4.8242378905083053E-5</v>
      </c>
      <c r="Q173" s="305">
        <f t="shared" si="51"/>
        <v>0.5</v>
      </c>
      <c r="R173" s="177">
        <f t="shared" si="52"/>
        <v>0.73683788931658178</v>
      </c>
      <c r="S173" s="811">
        <f t="shared" si="53"/>
        <v>-1</v>
      </c>
      <c r="T173" s="176">
        <f t="shared" si="54"/>
        <v>5</v>
      </c>
      <c r="U173" s="251">
        <f t="shared" si="55"/>
        <v>-0.26316211068341822</v>
      </c>
      <c r="V173" s="383">
        <f t="shared" si="56"/>
        <v>61.619354486753018</v>
      </c>
      <c r="W173" s="402"/>
      <c r="X173" s="157">
        <f t="shared" si="57"/>
        <v>44355</v>
      </c>
      <c r="Y173" s="385">
        <f t="shared" si="58"/>
        <v>57.396368225791903</v>
      </c>
      <c r="Z173" s="385">
        <f t="shared" si="59"/>
        <v>58.790866176120659</v>
      </c>
      <c r="AA173" s="386">
        <f t="shared" si="60"/>
        <v>62.57503638131201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6.0474119138051258E-2</v>
      </c>
      <c r="AD173" s="231">
        <f>(INDEX(Models!$BJ173:$BT173,,AH173)*(1-AF173)+INDEX(Models!$BJ173:$BT173,,AH173+1)*AF173-ERP_i)*AE173*Ramure*Pc/MaxiM</f>
        <v>4.8242378905083053E-5</v>
      </c>
      <c r="AE173" s="305">
        <f t="shared" si="62"/>
        <v>0.5</v>
      </c>
      <c r="AF173" s="177">
        <f t="shared" si="63"/>
        <v>0.73683788931658178</v>
      </c>
      <c r="AG173" s="811">
        <f t="shared" si="71"/>
        <v>-1</v>
      </c>
      <c r="AH173" s="176">
        <f t="shared" si="64"/>
        <v>5</v>
      </c>
      <c r="AI173" s="225">
        <f t="shared" si="65"/>
        <v>-0.26316211068341822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7">
        <v>58.597999999999999</v>
      </c>
      <c r="C174" s="390"/>
      <c r="D174" s="393">
        <f t="shared" si="48"/>
        <v>60.023007365638364</v>
      </c>
      <c r="E174" s="385">
        <f t="shared" si="72"/>
        <v>60.598718400318837</v>
      </c>
      <c r="F174" s="385">
        <f t="shared" si="49"/>
        <v>60.601331416290115</v>
      </c>
      <c r="G174" s="110">
        <f t="shared" si="73"/>
        <v>0.95143193890002964</v>
      </c>
      <c r="H174" s="414" t="b">
        <f>Wh_hp&gt;='2020'!Maxi_hp</f>
        <v>1</v>
      </c>
      <c r="I174" s="380">
        <f>IF(H174,Wh_hp,'2020'!Maxi_hp)</f>
        <v>60.601331416290115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2.3741019122179852E-2</v>
      </c>
      <c r="M174" s="845"/>
      <c r="N174" s="845"/>
      <c r="O174" s="48">
        <f>IF(t&lt;Tnet,'2020'!Resal+('2020'!Salim-'2020'!Resal)*(1-EXP(('2020'!Tnet-t)/('2020'!Tau_j))),Resal+(Salim-Resal)*(1-EXP((Tnet-t)/(Tau_j))))*Salcycl</f>
        <v>9.5003830093780568E-3</v>
      </c>
      <c r="P174" s="169">
        <f>(INDEX(Models!$BJ174:$BT174,,T174)*(1-R174)+INDEX(Models!$BJ174:$BT174,,T174+1)*R174-ERP_i)*Q174*Ramure*Pc/MaxiM</f>
        <v>4.6332619206399062E-5</v>
      </c>
      <c r="Q174" s="305">
        <f t="shared" si="51"/>
        <v>0.5</v>
      </c>
      <c r="R174" s="177">
        <f t="shared" si="52"/>
        <v>0.74197866396088763</v>
      </c>
      <c r="S174" s="811">
        <f t="shared" si="53"/>
        <v>-1</v>
      </c>
      <c r="T174" s="176">
        <f t="shared" si="54"/>
        <v>5</v>
      </c>
      <c r="U174" s="251">
        <f t="shared" si="55"/>
        <v>-0.25802133603911231</v>
      </c>
      <c r="V174" s="383">
        <f t="shared" si="56"/>
        <v>61.589073514679711</v>
      </c>
      <c r="W174" s="402"/>
      <c r="X174" s="157">
        <f t="shared" si="57"/>
        <v>44356</v>
      </c>
      <c r="Y174" s="385">
        <f t="shared" si="58"/>
        <v>55.577902319347267</v>
      </c>
      <c r="Z174" s="385">
        <f t="shared" si="59"/>
        <v>56.929465856870721</v>
      </c>
      <c r="AA174" s="386">
        <f t="shared" si="60"/>
        <v>60.598718400318837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6.0550002381383895E-2</v>
      </c>
      <c r="AD174" s="231">
        <f>(INDEX(Models!$BJ174:$BT174,,AH174)*(1-AF174)+INDEX(Models!$BJ174:$BT174,,AH174+1)*AF174-ERP_i)*AE174*Ramure*Pc/MaxiM</f>
        <v>4.6332619206399062E-5</v>
      </c>
      <c r="AE174" s="305">
        <f t="shared" si="62"/>
        <v>0.5</v>
      </c>
      <c r="AF174" s="177">
        <f t="shared" si="63"/>
        <v>0.74197866396088763</v>
      </c>
      <c r="AG174" s="811">
        <f t="shared" si="71"/>
        <v>-1</v>
      </c>
      <c r="AH174" s="176">
        <f t="shared" si="64"/>
        <v>5</v>
      </c>
      <c r="AI174" s="225">
        <f t="shared" si="65"/>
        <v>-0.25802133603911231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7">
        <v>59.17</v>
      </c>
      <c r="C175" s="390"/>
      <c r="D175" s="393">
        <f t="shared" si="48"/>
        <v>60.610244988513919</v>
      </c>
      <c r="E175" s="385">
        <f t="shared" si="72"/>
        <v>61.197253008671403</v>
      </c>
      <c r="F175" s="385">
        <f t="shared" si="49"/>
        <v>61.199848181326935</v>
      </c>
      <c r="G175" s="110">
        <f t="shared" si="73"/>
        <v>0.96125766176102612</v>
      </c>
      <c r="H175" s="414" t="b">
        <f>Wh_hp&gt;='2020'!Maxi_hp</f>
        <v>1</v>
      </c>
      <c r="I175" s="380">
        <f>IF(H175,Wh_hp,'2020'!Maxi_hp)</f>
        <v>61.199848181326935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2.3762401699363722E-2</v>
      </c>
      <c r="M175" s="845"/>
      <c r="N175" s="845"/>
      <c r="O175" s="48">
        <f>IF(t&lt;Tnet,'2020'!Resal+('2020'!Salim-'2020'!Resal)*(1-EXP(('2020'!Tnet-t)/('2020'!Tau_j))),Resal+(Salim-Resal)*(1-EXP((Tnet-t)/(Tau_j))))*Salcycl</f>
        <v>9.5920648607268344E-3</v>
      </c>
      <c r="P175" s="169">
        <f>(INDEX(Models!$BJ175:$BT175,,T175)*(1-R175)+INDEX(Models!$BJ175:$BT175,,T175+1)*R175-ERP_i)*Q175*Ramure*Pc/MaxiM</f>
        <v>4.4889179388165025E-5</v>
      </c>
      <c r="Q175" s="305">
        <f t="shared" si="51"/>
        <v>0.5</v>
      </c>
      <c r="R175" s="177">
        <f t="shared" si="52"/>
        <v>0.74712378027189918</v>
      </c>
      <c r="S175" s="811">
        <f t="shared" si="53"/>
        <v>-1</v>
      </c>
      <c r="T175" s="176">
        <f t="shared" si="54"/>
        <v>5</v>
      </c>
      <c r="U175" s="251">
        <f t="shared" si="55"/>
        <v>-0.25287621972810082</v>
      </c>
      <c r="V175" s="383">
        <f t="shared" si="56"/>
        <v>61.554623023545204</v>
      </c>
      <c r="W175" s="402"/>
      <c r="X175" s="157">
        <f t="shared" si="57"/>
        <v>44357</v>
      </c>
      <c r="Y175" s="385">
        <f t="shared" si="58"/>
        <v>56.1211267564492</v>
      </c>
      <c r="Z175" s="385">
        <f t="shared" si="59"/>
        <v>57.487159738716059</v>
      </c>
      <c r="AA175" s="386">
        <f t="shared" si="60"/>
        <v>61.197253008671403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6.06251602409284E-2</v>
      </c>
      <c r="AD175" s="231">
        <f>(INDEX(Models!$BJ175:$BT175,,AH175)*(1-AF175)+INDEX(Models!$BJ175:$BT175,,AH175+1)*AF175-ERP_i)*AE175*Ramure*Pc/MaxiM</f>
        <v>4.4889179388165025E-5</v>
      </c>
      <c r="AE175" s="305">
        <f t="shared" si="62"/>
        <v>0.5</v>
      </c>
      <c r="AF175" s="177">
        <f t="shared" si="63"/>
        <v>0.74712378027189918</v>
      </c>
      <c r="AG175" s="811">
        <f t="shared" si="71"/>
        <v>-1</v>
      </c>
      <c r="AH175" s="176">
        <f t="shared" si="64"/>
        <v>5</v>
      </c>
      <c r="AI175" s="225">
        <f t="shared" si="65"/>
        <v>-0.25287621972810082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7">
        <v>52.573999999999998</v>
      </c>
      <c r="C176" s="390"/>
      <c r="D176" s="393">
        <f t="shared" si="48"/>
        <v>53.854872648080864</v>
      </c>
      <c r="E176" s="385">
        <f t="shared" si="72"/>
        <v>54.381483680779283</v>
      </c>
      <c r="F176" s="385">
        <f t="shared" si="49"/>
        <v>54.383376435861258</v>
      </c>
      <c r="G176" s="110">
        <f t="shared" si="73"/>
        <v>0.8546330309083825</v>
      </c>
      <c r="H176" s="414" t="b">
        <f>Wh_hp&gt;='2020'!Maxi_hp</f>
        <v>1</v>
      </c>
      <c r="I176" s="380">
        <f>IF(H176,Wh_hp,'2020'!Maxi_hp)</f>
        <v>54.383376435861258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2.3783783808214221E-2</v>
      </c>
      <c r="M176" s="845"/>
      <c r="N176" s="845"/>
      <c r="O176" s="48">
        <f>IF(t&lt;Tnet,'2020'!Resal+('2020'!Salim-'2020'!Resal)*(1-EXP(('2020'!Tnet-t)/('2020'!Tau_j))),Resal+(Salim-Resal)*(1-EXP((Tnet-t)/(Tau_j))))*Salcycl</f>
        <v>9.6836459223812593E-3</v>
      </c>
      <c r="P176" s="169">
        <f>(INDEX(Models!$BJ176:$BT176,,T176)*(1-R176)+INDEX(Models!$BJ176:$BT176,,T176+1)*R176-ERP_i)*Q176*Ramure*Pc/MaxiM</f>
        <v>4.3925271936652528E-5</v>
      </c>
      <c r="Q176" s="305">
        <f t="shared" si="51"/>
        <v>0.5</v>
      </c>
      <c r="R176" s="177">
        <f t="shared" si="52"/>
        <v>0.75226889658291074</v>
      </c>
      <c r="S176" s="811">
        <f t="shared" si="53"/>
        <v>-1</v>
      </c>
      <c r="T176" s="176">
        <f t="shared" si="54"/>
        <v>5</v>
      </c>
      <c r="U176" s="251">
        <f t="shared" si="55"/>
        <v>-0.24773110341708926</v>
      </c>
      <c r="V176" s="383">
        <f t="shared" si="56"/>
        <v>61.515900434901923</v>
      </c>
      <c r="W176" s="402"/>
      <c r="X176" s="157">
        <f t="shared" si="57"/>
        <v>44358</v>
      </c>
      <c r="Y176" s="385">
        <f t="shared" si="58"/>
        <v>49.865663091747571</v>
      </c>
      <c r="Z176" s="385">
        <f t="shared" si="59"/>
        <v>51.080551894818193</v>
      </c>
      <c r="AA176" s="386">
        <f t="shared" si="60"/>
        <v>54.381483680779283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6.0699553644723014E-2</v>
      </c>
      <c r="AD176" s="231">
        <f>(INDEX(Models!$BJ176:$BT176,,AH176)*(1-AF176)+INDEX(Models!$BJ176:$BT176,,AH176+1)*AF176-ERP_i)*AE176*Ramure*Pc/MaxiM</f>
        <v>4.3925271936652528E-5</v>
      </c>
      <c r="AE176" s="305">
        <f t="shared" si="62"/>
        <v>0.5</v>
      </c>
      <c r="AF176" s="177">
        <f t="shared" si="63"/>
        <v>0.75226889658291074</v>
      </c>
      <c r="AG176" s="811">
        <f t="shared" si="71"/>
        <v>-1</v>
      </c>
      <c r="AH176" s="176">
        <f t="shared" si="64"/>
        <v>5</v>
      </c>
      <c r="AI176" s="225">
        <f t="shared" si="65"/>
        <v>-0.24773110341708926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7">
        <v>46.997999999999998</v>
      </c>
      <c r="C177" s="390"/>
      <c r="D177" s="393">
        <f t="shared" si="48"/>
        <v>48.144077735879691</v>
      </c>
      <c r="E177" s="385">
        <f t="shared" si="72"/>
        <v>48.619337455186724</v>
      </c>
      <c r="F177" s="385">
        <f t="shared" si="49"/>
        <v>48.62073956904068</v>
      </c>
      <c r="G177" s="110">
        <f t="shared" si="73"/>
        <v>0.76453000110005587</v>
      </c>
      <c r="H177" s="414" t="b">
        <f>Wh_hp&gt;='2020'!Maxi_hp</f>
        <v>0</v>
      </c>
      <c r="I177" s="380">
        <f>IF(H177,Wh_hp,'2020'!Maxi_hp)</f>
        <v>58.244062693126686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2.3805165448741672E-2</v>
      </c>
      <c r="M177" s="845"/>
      <c r="N177" s="845"/>
      <c r="O177" s="48">
        <f>IF(t&lt;Tnet,'2020'!Resal+('2020'!Salim-'2020'!Resal)*(1-EXP(('2020'!Tnet-t)/('2020'!Tau_j))),Resal+(Salim-Resal)*(1-EXP((Tnet-t)/(Tau_j))))*Salcycl</f>
        <v>9.7751171485026944E-3</v>
      </c>
      <c r="P177" s="169">
        <f>(INDEX(Models!$BJ177:$BT177,,T177)*(1-R177)+INDEX(Models!$BJ177:$BT177,,T177+1)*R177-ERP_i)*Q177*Ramure*Pc/MaxiM</f>
        <v>4.345457876212594E-5</v>
      </c>
      <c r="Q177" s="305">
        <f t="shared" si="51"/>
        <v>0.5</v>
      </c>
      <c r="R177" s="177">
        <f t="shared" si="52"/>
        <v>0.7574096712272167</v>
      </c>
      <c r="S177" s="811">
        <f t="shared" si="53"/>
        <v>-1</v>
      </c>
      <c r="T177" s="176">
        <f t="shared" si="54"/>
        <v>5</v>
      </c>
      <c r="U177" s="251">
        <f t="shared" si="55"/>
        <v>-0.24259032877278336</v>
      </c>
      <c r="V177" s="383">
        <f t="shared" si="56"/>
        <v>61.47216322699181</v>
      </c>
      <c r="W177" s="402"/>
      <c r="X177" s="157">
        <f t="shared" si="57"/>
        <v>44359</v>
      </c>
      <c r="Y177" s="385">
        <f t="shared" si="58"/>
        <v>44.577534318447171</v>
      </c>
      <c r="Z177" s="385">
        <f t="shared" si="59"/>
        <v>45.664587376083354</v>
      </c>
      <c r="AA177" s="386">
        <f t="shared" si="60"/>
        <v>48.619337455186724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6.0773145702094702E-2</v>
      </c>
      <c r="AD177" s="231">
        <f>(INDEX(Models!$BJ177:$BT177,,AH177)*(1-AF177)+INDEX(Models!$BJ177:$BT177,,AH177+1)*AF177-ERP_i)*AE177*Ramure*Pc/MaxiM</f>
        <v>4.345457876212594E-5</v>
      </c>
      <c r="AE177" s="305">
        <f t="shared" si="62"/>
        <v>0.5</v>
      </c>
      <c r="AF177" s="177">
        <f t="shared" si="63"/>
        <v>0.7574096712272167</v>
      </c>
      <c r="AG177" s="811">
        <f t="shared" si="71"/>
        <v>-1</v>
      </c>
      <c r="AH177" s="176">
        <f t="shared" si="64"/>
        <v>5</v>
      </c>
      <c r="AI177" s="225">
        <f t="shared" si="65"/>
        <v>-0.24259032877278336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7">
        <v>58.410000000000004</v>
      </c>
      <c r="C178" s="390"/>
      <c r="D178" s="393">
        <f t="shared" si="48"/>
        <v>59.835677561003777</v>
      </c>
      <c r="E178" s="385">
        <f t="shared" si="72"/>
        <v>60.431927340451509</v>
      </c>
      <c r="F178" s="385">
        <f t="shared" si="49"/>
        <v>60.43437117025622</v>
      </c>
      <c r="G178" s="110">
        <f t="shared" si="73"/>
        <v>0.95094357659745399</v>
      </c>
      <c r="H178" s="414" t="b">
        <f>Wh_hp&gt;='2020'!Maxi_hp</f>
        <v>0</v>
      </c>
      <c r="I178" s="380">
        <f>IF(H178,Wh_hp,'2020'!Maxi_hp)</f>
        <v>66.115436428019962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2.3826546620956401E-2</v>
      </c>
      <c r="M178" s="845"/>
      <c r="N178" s="845"/>
      <c r="O178" s="48">
        <f>IF(t&lt;Tnet,'2020'!Resal+('2020'!Salim-'2020'!Resal)*(1-EXP(('2020'!Tnet-t)/('2020'!Tau_j))),Resal+(Salim-Resal)*(1-EXP((Tnet-t)/(Tau_j))))*Salcycl</f>
        <v>9.8664696905772561E-3</v>
      </c>
      <c r="P178" s="169">
        <f>(INDEX(Models!$BJ178:$BT178,,T178)*(1-R178)+INDEX(Models!$BJ178:$BT178,,T178+1)*R178-ERP_i)*Q178*Ramure*Pc/MaxiM</f>
        <v>4.3485023623076437E-5</v>
      </c>
      <c r="Q178" s="305">
        <f t="shared" si="51"/>
        <v>0.5</v>
      </c>
      <c r="R178" s="177">
        <f t="shared" si="52"/>
        <v>0.76254177718048322</v>
      </c>
      <c r="S178" s="811">
        <f t="shared" si="53"/>
        <v>-1</v>
      </c>
      <c r="T178" s="176">
        <f t="shared" si="54"/>
        <v>5</v>
      </c>
      <c r="U178" s="251">
        <f t="shared" si="55"/>
        <v>-0.23745822281951684</v>
      </c>
      <c r="V178" s="383">
        <f t="shared" si="56"/>
        <v>61.423015454147844</v>
      </c>
      <c r="W178" s="402"/>
      <c r="X178" s="157">
        <f t="shared" si="57"/>
        <v>44360</v>
      </c>
      <c r="Y178" s="385">
        <f t="shared" si="58"/>
        <v>55.402619135663286</v>
      </c>
      <c r="Z178" s="385">
        <f t="shared" si="59"/>
        <v>56.754892221137574</v>
      </c>
      <c r="AA178" s="386">
        <f t="shared" si="60"/>
        <v>60.431927340451509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6.0845901845871221E-2</v>
      </c>
      <c r="AD178" s="231">
        <f>(INDEX(Models!$BJ178:$BT178,,AH178)*(1-AF178)+INDEX(Models!$BJ178:$BT178,,AH178+1)*AF178-ERP_i)*AE178*Ramure*Pc/MaxiM</f>
        <v>4.3485023623076437E-5</v>
      </c>
      <c r="AE178" s="305">
        <f t="shared" si="62"/>
        <v>0.5</v>
      </c>
      <c r="AF178" s="177">
        <f t="shared" si="63"/>
        <v>0.76254177718048322</v>
      </c>
      <c r="AG178" s="811">
        <f t="shared" si="71"/>
        <v>-1</v>
      </c>
      <c r="AH178" s="176">
        <f t="shared" si="64"/>
        <v>5</v>
      </c>
      <c r="AI178" s="225">
        <f t="shared" si="65"/>
        <v>-0.23745822281951684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7">
        <v>55.582000000000001</v>
      </c>
      <c r="C179" s="390"/>
      <c r="D179" s="393">
        <f t="shared" si="48"/>
        <v>56.939898562811308</v>
      </c>
      <c r="E179" s="385">
        <f t="shared" si="72"/>
        <v>57.512591402919725</v>
      </c>
      <c r="F179" s="385">
        <f t="shared" si="49"/>
        <v>57.514759839675243</v>
      </c>
      <c r="G179" s="110">
        <f t="shared" si="73"/>
        <v>0.9056977077084275</v>
      </c>
      <c r="H179" s="414" t="b">
        <f>Wh_hp&gt;='2020'!Maxi_hp</f>
        <v>1</v>
      </c>
      <c r="I179" s="380">
        <f>IF(H179,Wh_hp,'2020'!Maxi_hp)</f>
        <v>57.514759839675243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2.3847927324868512E-2</v>
      </c>
      <c r="M179" s="845"/>
      <c r="N179" s="845"/>
      <c r="O179" s="48">
        <f>IF(t&lt;Tnet,'2020'!Resal+('2020'!Salim-'2020'!Resal)*(1-EXP(('2020'!Tnet-t)/('2020'!Tau_j))),Resal+(Salim-Resal)*(1-EXP((Tnet-t)/(Tau_j))))*Salcycl</f>
        <v>9.9576949349449839E-3</v>
      </c>
      <c r="P179" s="169">
        <f>(INDEX(Models!$BJ179:$BT179,,T179)*(1-R179)+INDEX(Models!$BJ179:$BT179,,T179+1)*R179-ERP_i)*Q179*Ramure*Pc/MaxiM</f>
        <v>4.3571824681454399E-5</v>
      </c>
      <c r="Q179" s="305">
        <f t="shared" si="51"/>
        <v>0.5</v>
      </c>
      <c r="R179" s="177">
        <f t="shared" si="52"/>
        <v>0.76766091659830904</v>
      </c>
      <c r="S179" s="811">
        <f t="shared" si="53"/>
        <v>-1</v>
      </c>
      <c r="T179" s="176">
        <f t="shared" si="54"/>
        <v>5</v>
      </c>
      <c r="U179" s="251">
        <f t="shared" si="55"/>
        <v>-0.2323390834016909</v>
      </c>
      <c r="V179" s="383">
        <f t="shared" si="56"/>
        <v>61.368901867381204</v>
      </c>
      <c r="W179" s="402"/>
      <c r="X179" s="157">
        <f t="shared" si="57"/>
        <v>44361</v>
      </c>
      <c r="Y179" s="385">
        <f t="shared" si="58"/>
        <v>52.721047505988508</v>
      </c>
      <c r="Z179" s="385">
        <f t="shared" si="59"/>
        <v>54.009051439605301</v>
      </c>
      <c r="AA179" s="386">
        <f t="shared" si="60"/>
        <v>57.512591402919725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6.0917789963061166E-2</v>
      </c>
      <c r="AD179" s="231">
        <f>(INDEX(Models!$BJ179:$BT179,,AH179)*(1-AF179)+INDEX(Models!$BJ179:$BT179,,AH179+1)*AF179-ERP_i)*AE179*Ramure*Pc/MaxiM</f>
        <v>4.3571824681454399E-5</v>
      </c>
      <c r="AE179" s="305">
        <f t="shared" si="62"/>
        <v>0.5</v>
      </c>
      <c r="AF179" s="177">
        <f t="shared" si="63"/>
        <v>0.76766091659830904</v>
      </c>
      <c r="AG179" s="811">
        <f t="shared" si="71"/>
        <v>-1</v>
      </c>
      <c r="AH179" s="176">
        <f t="shared" si="64"/>
        <v>5</v>
      </c>
      <c r="AI179" s="225">
        <f t="shared" si="65"/>
        <v>-0.2323390834016909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7">
        <v>53.889000000000003</v>
      </c>
      <c r="C180" s="390"/>
      <c r="D180" s="393">
        <f t="shared" si="48"/>
        <v>55.206746819242511</v>
      </c>
      <c r="E180" s="385">
        <f t="shared" si="72"/>
        <v>55.767138781221753</v>
      </c>
      <c r="F180" s="385">
        <f t="shared" si="49"/>
        <v>55.769155220285732</v>
      </c>
      <c r="G180" s="110">
        <f t="shared" si="73"/>
        <v>0.87894930767787327</v>
      </c>
      <c r="H180" s="414" t="b">
        <f>Wh_hp&gt;='2020'!Maxi_hp</f>
        <v>0</v>
      </c>
      <c r="I180" s="380">
        <f>IF(H180,Wh_hp,'2020'!Maxi_hp)</f>
        <v>55.946579571912302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2.3869307560488329E-2</v>
      </c>
      <c r="M180" s="845"/>
      <c r="N180" s="845"/>
      <c r="O180" s="48">
        <f>IF(t&lt;Tnet,'2020'!Resal+('2020'!Salim-'2020'!Resal)*(1-EXP(('2020'!Tnet-t)/('2020'!Tau_j))),Resal+(Salim-Resal)*(1-EXP((Tnet-t)/(Tau_j))))*Salcycl</f>
        <v>1.0048784539183489E-2</v>
      </c>
      <c r="P180" s="169">
        <f>(INDEX(Models!$BJ180:$BT180,,T180)*(1-R180)+INDEX(Models!$BJ180:$BT180,,T180+1)*R180-ERP_i)*Q180*Ramure*Pc/MaxiM</f>
        <v>4.3716315648815631E-5</v>
      </c>
      <c r="Q180" s="305">
        <f t="shared" si="51"/>
        <v>0.5</v>
      </c>
      <c r="R180" s="177">
        <f t="shared" si="52"/>
        <v>0.77276283514544919</v>
      </c>
      <c r="S180" s="811">
        <f t="shared" si="53"/>
        <v>-1</v>
      </c>
      <c r="T180" s="176">
        <f t="shared" si="54"/>
        <v>5</v>
      </c>
      <c r="U180" s="251">
        <f t="shared" si="55"/>
        <v>-0.22723716485455087</v>
      </c>
      <c r="V180" s="383">
        <f t="shared" si="56"/>
        <v>61.310239560470016</v>
      </c>
      <c r="W180" s="402"/>
      <c r="X180" s="157">
        <f t="shared" si="57"/>
        <v>44362</v>
      </c>
      <c r="Y180" s="385">
        <f t="shared" si="58"/>
        <v>51.116029574627525</v>
      </c>
      <c r="Z180" s="385">
        <f t="shared" si="59"/>
        <v>52.365968994254381</v>
      </c>
      <c r="AA180" s="386">
        <f t="shared" si="60"/>
        <v>55.767138781221753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6.0988780513025552E-2</v>
      </c>
      <c r="AD180" s="231">
        <f>(INDEX(Models!$BJ180:$BT180,,AH180)*(1-AF180)+INDEX(Models!$BJ180:$BT180,,AH180+1)*AF180-ERP_i)*AE180*Ramure*Pc/MaxiM</f>
        <v>4.3716315648815631E-5</v>
      </c>
      <c r="AE180" s="305">
        <f t="shared" si="62"/>
        <v>0.5</v>
      </c>
      <c r="AF180" s="177">
        <f t="shared" si="63"/>
        <v>0.77276283514544919</v>
      </c>
      <c r="AG180" s="811">
        <f t="shared" si="71"/>
        <v>-1</v>
      </c>
      <c r="AH180" s="176">
        <f t="shared" si="64"/>
        <v>5</v>
      </c>
      <c r="AI180" s="225">
        <f t="shared" si="65"/>
        <v>-0.22723716485455087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7">
        <v>50.783000000000001</v>
      </c>
      <c r="C181" s="390"/>
      <c r="D181" s="393">
        <f t="shared" si="48"/>
        <v>52.025935354491864</v>
      </c>
      <c r="E181" s="385">
        <f t="shared" si="72"/>
        <v>52.558868110789923</v>
      </c>
      <c r="F181" s="385">
        <f t="shared" si="49"/>
        <v>52.560613119795072</v>
      </c>
      <c r="G181" s="110">
        <f t="shared" si="73"/>
        <v>0.82913589699319157</v>
      </c>
      <c r="H181" s="414" t="b">
        <f>Wh_hp&gt;='2020'!Maxi_hp</f>
        <v>0</v>
      </c>
      <c r="I181" s="380">
        <f>IF(H181,Wh_hp,'2020'!Maxi_hp)</f>
        <v>64.761857489550721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2.3890687327826177E-2</v>
      </c>
      <c r="M181" s="845"/>
      <c r="N181" s="845"/>
      <c r="O181" s="48">
        <f>IF(t&lt;Tnet,'2020'!Resal+('2020'!Salim-'2020'!Resal)*(1-EXP(('2020'!Tnet-t)/('2020'!Tau_j))),Resal+(Salim-Resal)*(1-EXP((Tnet-t)/(Tau_j))))*Salcycl</f>
        <v>1.0139730467077097E-2</v>
      </c>
      <c r="P181" s="169">
        <f>(INDEX(Models!$BJ181:$BT181,,T181)*(1-R181)+INDEX(Models!$BJ181:$BT181,,T181+1)*R181-ERP_i)*Q181*Ramure*Pc/MaxiM</f>
        <v>4.3919841997345948E-5</v>
      </c>
      <c r="Q181" s="305">
        <f t="shared" si="51"/>
        <v>0.5</v>
      </c>
      <c r="R181" s="177">
        <f t="shared" si="52"/>
        <v>0.77784333601572109</v>
      </c>
      <c r="S181" s="811">
        <f t="shared" si="53"/>
        <v>-1</v>
      </c>
      <c r="T181" s="176">
        <f t="shared" si="54"/>
        <v>5</v>
      </c>
      <c r="U181" s="251">
        <f t="shared" si="55"/>
        <v>-0.22215666398427897</v>
      </c>
      <c r="V181" s="383">
        <f t="shared" si="56"/>
        <v>61.24744541529536</v>
      </c>
      <c r="W181" s="402"/>
      <c r="X181" s="157">
        <f t="shared" si="57"/>
        <v>44363</v>
      </c>
      <c r="Y181" s="385">
        <f t="shared" si="58"/>
        <v>48.170686367656572</v>
      </c>
      <c r="Z181" s="385">
        <f t="shared" si="59"/>
        <v>49.349684243648525</v>
      </c>
      <c r="AA181" s="386">
        <f t="shared" si="60"/>
        <v>52.558868110789923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6.1058846632250342E-2</v>
      </c>
      <c r="AD181" s="231">
        <f>(INDEX(Models!$BJ181:$BT181,,AH181)*(1-AF181)+INDEX(Models!$BJ181:$BT181,,AH181+1)*AF181-ERP_i)*AE181*Ramure*Pc/MaxiM</f>
        <v>4.3919841997345948E-5</v>
      </c>
      <c r="AE181" s="305">
        <f t="shared" si="62"/>
        <v>0.5</v>
      </c>
      <c r="AF181" s="177">
        <f t="shared" si="63"/>
        <v>0.77784333601572109</v>
      </c>
      <c r="AG181" s="811">
        <f t="shared" si="71"/>
        <v>-1</v>
      </c>
      <c r="AH181" s="176">
        <f t="shared" si="64"/>
        <v>5</v>
      </c>
      <c r="AI181" s="225">
        <f t="shared" si="65"/>
        <v>-0.22215666398427897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7">
        <v>15.753</v>
      </c>
      <c r="C182" s="390"/>
      <c r="D182" s="393">
        <f t="shared" si="48"/>
        <v>16.138914806129915</v>
      </c>
      <c r="E182" s="385">
        <f t="shared" si="72"/>
        <v>16.305730995075574</v>
      </c>
      <c r="F182" s="385">
        <f t="shared" si="49"/>
        <v>16.305730995075574</v>
      </c>
      <c r="G182" s="110">
        <f t="shared" si="73"/>
        <v>0.25747079037325221</v>
      </c>
      <c r="H182" s="414" t="b">
        <f>Wh_hp&gt;='2020'!Maxi_hp</f>
        <v>0</v>
      </c>
      <c r="I182" s="380">
        <f>IF(H182,Wh_hp,'2020'!Maxi_hp)</f>
        <v>62.682408537874828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2.3912066626892159E-2</v>
      </c>
      <c r="M182" s="845"/>
      <c r="N182" s="845"/>
      <c r="O182" s="48">
        <f>IF(t&lt;Tnet,'2020'!Resal+('2020'!Salim-'2020'!Resal)*(1-EXP(('2020'!Tnet-t)/('2020'!Tau_j))),Resal+(Salim-Resal)*(1-EXP((Tnet-t)/(Tau_j))))*Salcycl</f>
        <v>1.0230525021910341E-2</v>
      </c>
      <c r="P182" s="169">
        <f>(INDEX(Models!$BJ182:$BT182,,T182)*(1-R182)+INDEX(Models!$BJ182:$BT182,,T182+1)*R182-ERP_i)*Q182*Ramure*Pc/MaxiM</f>
        <v>4.4183753881055503E-5</v>
      </c>
      <c r="Q182" s="305">
        <f t="shared" si="51"/>
        <v>0.5</v>
      </c>
      <c r="R182" s="177">
        <f t="shared" si="52"/>
        <v>0.78289829354538076</v>
      </c>
      <c r="S182" s="811">
        <f t="shared" si="53"/>
        <v>-1</v>
      </c>
      <c r="T182" s="176">
        <f t="shared" si="54"/>
        <v>5</v>
      </c>
      <c r="U182" s="251">
        <f t="shared" si="55"/>
        <v>-0.21710170645461918</v>
      </c>
      <c r="V182" s="383">
        <f t="shared" si="56"/>
        <v>61.180936099544311</v>
      </c>
      <c r="W182" s="402"/>
      <c r="X182" s="157">
        <f t="shared" si="57"/>
        <v>44364</v>
      </c>
      <c r="Y182" s="385">
        <f t="shared" si="58"/>
        <v>14.942925149204244</v>
      </c>
      <c r="Z182" s="385">
        <f t="shared" si="59"/>
        <v>15.308994854147365</v>
      </c>
      <c r="AA182" s="386">
        <f t="shared" si="60"/>
        <v>16.305730995075574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6.112796422492376E-2</v>
      </c>
      <c r="AD182" s="231">
        <f>(INDEX(Models!$BJ182:$BT182,,AH182)*(1-AF182)+INDEX(Models!$BJ182:$BT182,,AH182+1)*AF182-ERP_i)*AE182*Ramure*Pc/MaxiM</f>
        <v>4.4183753881055503E-5</v>
      </c>
      <c r="AE182" s="305">
        <f t="shared" si="62"/>
        <v>0.5</v>
      </c>
      <c r="AF182" s="177">
        <f t="shared" si="63"/>
        <v>0.78289829354538076</v>
      </c>
      <c r="AG182" s="811">
        <f t="shared" si="71"/>
        <v>-1</v>
      </c>
      <c r="AH182" s="176">
        <f t="shared" si="64"/>
        <v>5</v>
      </c>
      <c r="AI182" s="225">
        <f t="shared" si="65"/>
        <v>-0.21710170645461918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7">
        <v>46.02</v>
      </c>
      <c r="C183" s="390"/>
      <c r="D183" s="393">
        <f t="shared" si="48"/>
        <v>47.148424239963518</v>
      </c>
      <c r="E183" s="385">
        <f t="shared" si="72"/>
        <v>47.640125640943964</v>
      </c>
      <c r="F183" s="385">
        <f t="shared" si="49"/>
        <v>47.641498068382333</v>
      </c>
      <c r="G183" s="110">
        <f t="shared" si="73"/>
        <v>0.75304251171267067</v>
      </c>
      <c r="H183" s="414" t="b">
        <f>Wh_hp&gt;='2020'!Maxi_hp</f>
        <v>0</v>
      </c>
      <c r="I183" s="380">
        <f>IF(H183,Wh_hp,'2020'!Maxi_hp)</f>
        <v>60.904385564297691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2.3933445457696712E-2</v>
      </c>
      <c r="M183" s="845"/>
      <c r="N183" s="845"/>
      <c r="O183" s="48">
        <f>IF(t&lt;Tnet,'2020'!Resal+('2020'!Salim-'2020'!Resal)*(1-EXP(('2020'!Tnet-t)/('2020'!Tau_j))),Resal+(Salim-Resal)*(1-EXP((Tnet-t)/(Tau_j))))*Salcycl</f>
        <v>1.0321160877834752E-2</v>
      </c>
      <c r="P183" s="169">
        <f>(INDEX(Models!$BJ183:$BT183,,T183)*(1-R183)+INDEX(Models!$BJ183:$BT183,,T183+1)*R183-ERP_i)*Q183*Ramure*Pc/MaxiM</f>
        <v>4.4509399107499792E-5</v>
      </c>
      <c r="Q183" s="305">
        <f t="shared" si="51"/>
        <v>0.5</v>
      </c>
      <c r="R183" s="177">
        <f t="shared" si="52"/>
        <v>0.78792366632765276</v>
      </c>
      <c r="S183" s="811">
        <f t="shared" si="53"/>
        <v>-1</v>
      </c>
      <c r="T183" s="176">
        <f t="shared" si="54"/>
        <v>5</v>
      </c>
      <c r="U183" s="251">
        <f t="shared" si="55"/>
        <v>-0.21207633367234724</v>
      </c>
      <c r="V183" s="383">
        <f t="shared" si="56"/>
        <v>61.111128066696217</v>
      </c>
      <c r="W183" s="402"/>
      <c r="X183" s="157">
        <f t="shared" si="57"/>
        <v>44365</v>
      </c>
      <c r="Y183" s="385">
        <f t="shared" si="58"/>
        <v>43.654318164773301</v>
      </c>
      <c r="Z183" s="385">
        <f t="shared" si="59"/>
        <v>44.724735174686593</v>
      </c>
      <c r="AA183" s="386">
        <f t="shared" si="60"/>
        <v>47.640125640943964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6.1196112038624906E-2</v>
      </c>
      <c r="AD183" s="231">
        <f>(INDEX(Models!$BJ183:$BT183,,AH183)*(1-AF183)+INDEX(Models!$BJ183:$BT183,,AH183+1)*AF183-ERP_i)*AE183*Ramure*Pc/MaxiM</f>
        <v>4.4509399107499792E-5</v>
      </c>
      <c r="AE183" s="305">
        <f t="shared" si="62"/>
        <v>0.5</v>
      </c>
      <c r="AF183" s="177">
        <f t="shared" si="63"/>
        <v>0.78792366632765276</v>
      </c>
      <c r="AG183" s="811">
        <f t="shared" si="71"/>
        <v>-1</v>
      </c>
      <c r="AH183" s="176">
        <f t="shared" si="64"/>
        <v>5</v>
      </c>
      <c r="AI183" s="225">
        <f t="shared" si="65"/>
        <v>-0.21207633367234724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7">
        <v>34.194000000000003</v>
      </c>
      <c r="C184" s="390"/>
      <c r="D184" s="393">
        <f t="shared" si="48"/>
        <v>35.033214480743233</v>
      </c>
      <c r="E184" s="385">
        <f t="shared" si="72"/>
        <v>35.401805015156278</v>
      </c>
      <c r="F184" s="385">
        <f t="shared" si="49"/>
        <v>35.402395790657998</v>
      </c>
      <c r="G184" s="110">
        <f t="shared" si="73"/>
        <v>0.56018857492858987</v>
      </c>
      <c r="H184" s="414" t="b">
        <f>Wh_hp&gt;='2020'!Maxi_hp</f>
        <v>0</v>
      </c>
      <c r="I184" s="380">
        <f>IF(H184,Wh_hp,'2020'!Maxi_hp)</f>
        <v>51.67282048424785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2.3954823820249938E-2</v>
      </c>
      <c r="M184" s="845"/>
      <c r="N184" s="845"/>
      <c r="O184" s="48">
        <f>IF(t&lt;Tnet,'2020'!Resal+('2020'!Salim-'2020'!Resal)*(1-EXP(('2020'!Tnet-t)/('2020'!Tau_j))),Resal+(Salim-Resal)*(1-EXP((Tnet-t)/(Tau_j))))*Salcycl</f>
        <v>1.0411631109070426E-2</v>
      </c>
      <c r="P184" s="169">
        <f>(INDEX(Models!$BJ184:$BT184,,T184)*(1-R184)+INDEX(Models!$BJ184:$BT184,,T184+1)*R184-ERP_i)*Q184*Ramure*Pc/MaxiM</f>
        <v>4.4892446004547723E-5</v>
      </c>
      <c r="Q184" s="305">
        <f t="shared" si="51"/>
        <v>0.5</v>
      </c>
      <c r="R184" s="177">
        <f t="shared" si="52"/>
        <v>0.79291550974206526</v>
      </c>
      <c r="S184" s="811">
        <f t="shared" si="53"/>
        <v>-1</v>
      </c>
      <c r="T184" s="176">
        <f t="shared" si="54"/>
        <v>5</v>
      </c>
      <c r="U184" s="251">
        <f t="shared" si="55"/>
        <v>-0.20708449025793474</v>
      </c>
      <c r="V184" s="383">
        <f t="shared" si="56"/>
        <v>61.038437898220657</v>
      </c>
      <c r="W184" s="402"/>
      <c r="X184" s="157">
        <f t="shared" si="57"/>
        <v>44366</v>
      </c>
      <c r="Y184" s="385">
        <f t="shared" si="58"/>
        <v>32.436884563049041</v>
      </c>
      <c r="Z184" s="385">
        <f t="shared" si="59"/>
        <v>33.232974614973571</v>
      </c>
      <c r="AA184" s="386">
        <f t="shared" si="60"/>
        <v>35.401805015156278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6.1263271724540116E-2</v>
      </c>
      <c r="AD184" s="231">
        <f>(INDEX(Models!$BJ184:$BT184,,AH184)*(1-AF184)+INDEX(Models!$BJ184:$BT184,,AH184+1)*AF184-ERP_i)*AE184*Ramure*Pc/MaxiM</f>
        <v>4.4892446004547723E-5</v>
      </c>
      <c r="AE184" s="305">
        <f t="shared" si="62"/>
        <v>0.5</v>
      </c>
      <c r="AF184" s="177">
        <f t="shared" si="63"/>
        <v>0.79291550974206526</v>
      </c>
      <c r="AG184" s="811">
        <f t="shared" si="71"/>
        <v>-1</v>
      </c>
      <c r="AH184" s="176">
        <f t="shared" si="64"/>
        <v>5</v>
      </c>
      <c r="AI184" s="225">
        <f t="shared" si="65"/>
        <v>-0.20708449025793474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7">
        <v>35.020000000000003</v>
      </c>
      <c r="C185" s="390"/>
      <c r="D185" s="393">
        <f t="shared" si="48"/>
        <v>35.880272654743628</v>
      </c>
      <c r="E185" s="385">
        <f t="shared" si="72"/>
        <v>36.261083992150702</v>
      </c>
      <c r="F185" s="385">
        <f t="shared" si="49"/>
        <v>36.261727461384126</v>
      </c>
      <c r="G185" s="110">
        <f t="shared" si="73"/>
        <v>0.57442829336476964</v>
      </c>
      <c r="H185" s="414" t="b">
        <f>Wh_hp&gt;='2020'!Maxi_hp</f>
        <v>0</v>
      </c>
      <c r="I185" s="380">
        <f>IF(H185,Wh_hp,'2020'!Maxi_hp)</f>
        <v>58.208712843769881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2.3976201714562162E-2</v>
      </c>
      <c r="M185" s="845"/>
      <c r="N185" s="845"/>
      <c r="O185" s="48">
        <f>IF(t&lt;Tnet,'2020'!Resal+('2020'!Salim-'2020'!Resal)*(1-EXP(('2020'!Tnet-t)/('2020'!Tau_j))),Resal+(Salim-Resal)*(1-EXP((Tnet-t)/(Tau_j))))*Salcycl</f>
        <v>1.0501929216719271E-2</v>
      </c>
      <c r="P185" s="169">
        <f>(INDEX(Models!$BJ185:$BT185,,T185)*(1-R185)+INDEX(Models!$BJ185:$BT185,,T185+1)*R185-ERP_i)*Q185*Ramure*Pc/MaxiM</f>
        <v>4.5260926359599073E-5</v>
      </c>
      <c r="Q185" s="305">
        <f t="shared" si="51"/>
        <v>0.5</v>
      </c>
      <c r="R185" s="177">
        <f t="shared" si="52"/>
        <v>0.79786998781914753</v>
      </c>
      <c r="S185" s="811">
        <f t="shared" si="53"/>
        <v>-1</v>
      </c>
      <c r="T185" s="176">
        <f t="shared" si="54"/>
        <v>5</v>
      </c>
      <c r="U185" s="251">
        <f t="shared" si="55"/>
        <v>-0.20213001218085241</v>
      </c>
      <c r="V185" s="383">
        <f t="shared" si="56"/>
        <v>60.963286078310027</v>
      </c>
      <c r="W185" s="402"/>
      <c r="X185" s="157">
        <f t="shared" si="57"/>
        <v>44367</v>
      </c>
      <c r="Y185" s="385">
        <f t="shared" si="58"/>
        <v>33.22112938488101</v>
      </c>
      <c r="Z185" s="385">
        <f t="shared" si="59"/>
        <v>34.037212456540431</v>
      </c>
      <c r="AA185" s="386">
        <f t="shared" si="60"/>
        <v>36.261083992150702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6.1329427881738598E-2</v>
      </c>
      <c r="AD185" s="231">
        <f>(INDEX(Models!$BJ185:$BT185,,AH185)*(1-AF185)+INDEX(Models!$BJ185:$BT185,,AH185+1)*AF185-ERP_i)*AE185*Ramure*Pc/MaxiM</f>
        <v>4.5260926359599073E-5</v>
      </c>
      <c r="AE185" s="305">
        <f t="shared" si="62"/>
        <v>0.5</v>
      </c>
      <c r="AF185" s="177">
        <f t="shared" si="63"/>
        <v>0.79786998781914753</v>
      </c>
      <c r="AG185" s="811">
        <f t="shared" si="71"/>
        <v>-1</v>
      </c>
      <c r="AH185" s="176">
        <f t="shared" si="64"/>
        <v>5</v>
      </c>
      <c r="AI185" s="225">
        <f t="shared" si="65"/>
        <v>-0.20213001218085241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7">
        <v>36.430999999999997</v>
      </c>
      <c r="C186" s="390"/>
      <c r="D186" s="393">
        <f t="shared" si="48"/>
        <v>37.32675167744258</v>
      </c>
      <c r="E186" s="385">
        <f t="shared" si="72"/>
        <v>37.726351042042609</v>
      </c>
      <c r="F186" s="385">
        <f t="shared" si="49"/>
        <v>37.727084503208403</v>
      </c>
      <c r="G186" s="110">
        <f t="shared" si="73"/>
        <v>0.59833120121373606</v>
      </c>
      <c r="H186" s="414" t="b">
        <f>Wh_hp&gt;='2020'!Maxi_hp</f>
        <v>0</v>
      </c>
      <c r="I186" s="380">
        <f>IF(H186,Wh_hp,'2020'!Maxi_hp)</f>
        <v>54.428674381419142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2.399757914064371E-2</v>
      </c>
      <c r="M186" s="845"/>
      <c r="N186" s="845"/>
      <c r="O186" s="48">
        <f>IF(t&lt;Tnet,'2020'!Resal+('2020'!Salim-'2020'!Resal)*(1-EXP(('2020'!Tnet-t)/('2020'!Tau_j))),Resal+(Salim-Resal)*(1-EXP((Tnet-t)/(Tau_j))))*Salcycl</f>
        <v>1.0592049152983457E-2</v>
      </c>
      <c r="P186" s="169">
        <f>(INDEX(Models!$BJ186:$BT186,,T186)*(1-R186)+INDEX(Models!$BJ186:$BT186,,T186+1)*R186-ERP_i)*Q186*Ramure*Pc/MaxiM</f>
        <v>4.5614240203278052E-5</v>
      </c>
      <c r="Q186" s="305">
        <f t="shared" si="51"/>
        <v>0.5</v>
      </c>
      <c r="R186" s="177">
        <f t="shared" si="52"/>
        <v>0.80278338436877428</v>
      </c>
      <c r="S186" s="811">
        <f t="shared" si="53"/>
        <v>-1</v>
      </c>
      <c r="T186" s="176">
        <f t="shared" si="54"/>
        <v>5</v>
      </c>
      <c r="U186" s="251">
        <f t="shared" si="55"/>
        <v>-0.19721661563122572</v>
      </c>
      <c r="V186" s="383">
        <f t="shared" si="56"/>
        <v>60.88608850559428</v>
      </c>
      <c r="W186" s="402"/>
      <c r="X186" s="157">
        <f t="shared" si="57"/>
        <v>44368</v>
      </c>
      <c r="Y186" s="385">
        <f t="shared" si="58"/>
        <v>34.560399945054293</v>
      </c>
      <c r="Z186" s="385">
        <f t="shared" si="59"/>
        <v>35.41015801438725</v>
      </c>
      <c r="AA186" s="386">
        <f t="shared" si="60"/>
        <v>37.726351042042609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6.1394568085160625E-2</v>
      </c>
      <c r="AD186" s="231">
        <f>(INDEX(Models!$BJ186:$BT186,,AH186)*(1-AF186)+INDEX(Models!$BJ186:$BT186,,AH186+1)*AF186-ERP_i)*AE186*Ramure*Pc/MaxiM</f>
        <v>4.5614240203278052E-5</v>
      </c>
      <c r="AE186" s="305">
        <f t="shared" si="62"/>
        <v>0.5</v>
      </c>
      <c r="AF186" s="177">
        <f t="shared" si="63"/>
        <v>0.80278338436877428</v>
      </c>
      <c r="AG186" s="811">
        <f t="shared" si="71"/>
        <v>-1</v>
      </c>
      <c r="AH186" s="176">
        <f t="shared" si="64"/>
        <v>5</v>
      </c>
      <c r="AI186" s="225">
        <f t="shared" si="65"/>
        <v>-0.19721661563122572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7">
        <v>40.643999999999998</v>
      </c>
      <c r="C187" s="390"/>
      <c r="D187" s="393">
        <f t="shared" si="48"/>
        <v>41.644251447266996</v>
      </c>
      <c r="E187" s="385">
        <f t="shared" si="72"/>
        <v>42.093897847082552</v>
      </c>
      <c r="F187" s="385">
        <f t="shared" si="49"/>
        <v>42.094915880594208</v>
      </c>
      <c r="G187" s="110">
        <f t="shared" si="73"/>
        <v>0.6683924696792074</v>
      </c>
      <c r="H187" s="414" t="b">
        <f>Wh_hp&gt;='2020'!Maxi_hp</f>
        <v>0</v>
      </c>
      <c r="I187" s="380">
        <f>IF(H187,Wh_hp,'2020'!Maxi_hp)</f>
        <v>63.004166310746122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2.4018956098504685E-2</v>
      </c>
      <c r="M187" s="845"/>
      <c r="N187" s="845"/>
      <c r="O187" s="48">
        <f>IF(t&lt;Tnet,'2020'!Resal+('2020'!Salim-'2020'!Resal)*(1-EXP(('2020'!Tnet-t)/('2020'!Tau_j))),Resal+(Salim-Resal)*(1-EXP((Tnet-t)/(Tau_j))))*Salcycl</f>
        <v>1.0681985342602849E-2</v>
      </c>
      <c r="P187" s="169">
        <f>(INDEX(Models!$BJ187:$BT187,,T187)*(1-R187)+INDEX(Models!$BJ187:$BT187,,T187+1)*R187-ERP_i)*Q187*Ramure*Pc/MaxiM</f>
        <v>4.5951804625346502E-5</v>
      </c>
      <c r="Q187" s="305">
        <f t="shared" si="51"/>
        <v>0.5</v>
      </c>
      <c r="R187" s="177">
        <f t="shared" si="52"/>
        <v>0.80765211330886189</v>
      </c>
      <c r="S187" s="811">
        <f t="shared" si="53"/>
        <v>-1</v>
      </c>
      <c r="T187" s="176">
        <f t="shared" si="54"/>
        <v>5</v>
      </c>
      <c r="U187" s="251">
        <f t="shared" si="55"/>
        <v>-0.19234788669113811</v>
      </c>
      <c r="V187" s="383">
        <f t="shared" si="56"/>
        <v>60.807260855553253</v>
      </c>
      <c r="W187" s="402"/>
      <c r="X187" s="157">
        <f t="shared" si="57"/>
        <v>44369</v>
      </c>
      <c r="Y187" s="385">
        <f t="shared" si="58"/>
        <v>38.557948735564572</v>
      </c>
      <c r="Z187" s="385">
        <f t="shared" si="59"/>
        <v>39.506862327395964</v>
      </c>
      <c r="AA187" s="386">
        <f t="shared" si="60"/>
        <v>42.093897847082552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6.1458682897095655E-2</v>
      </c>
      <c r="AD187" s="231">
        <f>(INDEX(Models!$BJ187:$BT187,,AH187)*(1-AF187)+INDEX(Models!$BJ187:$BT187,,AH187+1)*AF187-ERP_i)*AE187*Ramure*Pc/MaxiM</f>
        <v>4.5951804625346502E-5</v>
      </c>
      <c r="AE187" s="305">
        <f t="shared" si="62"/>
        <v>0.5</v>
      </c>
      <c r="AF187" s="177">
        <f t="shared" si="63"/>
        <v>0.80765211330886189</v>
      </c>
      <c r="AG187" s="811">
        <f t="shared" si="71"/>
        <v>-1</v>
      </c>
      <c r="AH187" s="176">
        <f t="shared" si="64"/>
        <v>5</v>
      </c>
      <c r="AI187" s="225">
        <f t="shared" si="65"/>
        <v>-0.19234788669113811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7">
        <v>23.205000000000002</v>
      </c>
      <c r="C188" s="390"/>
      <c r="D188" s="393">
        <f t="shared" si="48"/>
        <v>23.77659730707677</v>
      </c>
      <c r="E188" s="385">
        <f t="shared" si="72"/>
        <v>24.035501302449603</v>
      </c>
      <c r="F188" s="385">
        <f t="shared" si="49"/>
        <v>24.03563177609421</v>
      </c>
      <c r="G188" s="110">
        <f t="shared" si="73"/>
        <v>0.38210299658702268</v>
      </c>
      <c r="H188" s="414" t="b">
        <f>Wh_hp&gt;='2020'!Maxi_hp</f>
        <v>0</v>
      </c>
      <c r="I188" s="380">
        <f>IF(H188,Wh_hp,'2020'!Maxi_hp)</f>
        <v>55.386626209177535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2.4040332588155522E-2</v>
      </c>
      <c r="M188" s="845"/>
      <c r="N188" s="845"/>
      <c r="O188" s="48">
        <f>IF(t&lt;Tnet,'2020'!Resal+('2020'!Salim-'2020'!Resal)*(1-EXP(('2020'!Tnet-t)/('2020'!Tau_j))),Resal+(Salim-Resal)*(1-EXP((Tnet-t)/(Tau_j))))*Salcycl</f>
        <v>1.0771732701345649E-2</v>
      </c>
      <c r="P188" s="169">
        <f>(INDEX(Models!$BJ188:$BT188,,T188)*(1-R188)+INDEX(Models!$BJ188:$BT188,,T188+1)*R188-ERP_i)*Q188*Ramure*Pc/MaxiM</f>
        <v>4.6272582034947487E-5</v>
      </c>
      <c r="Q188" s="305">
        <f t="shared" si="51"/>
        <v>0.5</v>
      </c>
      <c r="R188" s="177">
        <f t="shared" si="52"/>
        <v>0.81247272814008387</v>
      </c>
      <c r="S188" s="811">
        <f t="shared" si="53"/>
        <v>-1</v>
      </c>
      <c r="T188" s="176">
        <f t="shared" si="54"/>
        <v>5</v>
      </c>
      <c r="U188" s="251">
        <f t="shared" si="55"/>
        <v>-0.18752727185991619</v>
      </c>
      <c r="V188" s="383">
        <f t="shared" si="56"/>
        <v>60.727218607391904</v>
      </c>
      <c r="W188" s="402"/>
      <c r="X188" s="157">
        <f t="shared" si="57"/>
        <v>44370</v>
      </c>
      <c r="Y188" s="385">
        <f t="shared" si="58"/>
        <v>22.014521969372982</v>
      </c>
      <c r="Z188" s="385">
        <f t="shared" si="59"/>
        <v>22.55679481894316</v>
      </c>
      <c r="AA188" s="386">
        <f t="shared" si="60"/>
        <v>24.035501302449603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6.1521765862055815E-2</v>
      </c>
      <c r="AD188" s="231">
        <f>(INDEX(Models!$BJ188:$BT188,,AH188)*(1-AF188)+INDEX(Models!$BJ188:$BT188,,AH188+1)*AF188-ERP_i)*AE188*Ramure*Pc/MaxiM</f>
        <v>4.6272582034947487E-5</v>
      </c>
      <c r="AE188" s="305">
        <f t="shared" si="62"/>
        <v>0.5</v>
      </c>
      <c r="AF188" s="177">
        <f t="shared" si="63"/>
        <v>0.81247272814008387</v>
      </c>
      <c r="AG188" s="811">
        <f t="shared" si="71"/>
        <v>-1</v>
      </c>
      <c r="AH188" s="176">
        <f t="shared" si="64"/>
        <v>5</v>
      </c>
      <c r="AI188" s="225">
        <f t="shared" si="65"/>
        <v>-0.18752727185991619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7">
        <v>37.544000000000004</v>
      </c>
      <c r="C189" s="390"/>
      <c r="D189" s="393">
        <f t="shared" si="48"/>
        <v>38.469645397878637</v>
      </c>
      <c r="E189" s="385">
        <f t="shared" si="72"/>
        <v>38.892063245250078</v>
      </c>
      <c r="F189" s="385">
        <f t="shared" si="49"/>
        <v>38.892888917912941</v>
      </c>
      <c r="G189" s="110">
        <f t="shared" si="73"/>
        <v>0.61904849438383558</v>
      </c>
      <c r="H189" s="414" t="b">
        <f>Wh_hp&gt;='2020'!Maxi_hp</f>
        <v>0</v>
      </c>
      <c r="I189" s="380">
        <f>IF(H189,Wh_hp,'2020'!Maxi_hp)</f>
        <v>62.031075143124923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2.4061708609606214E-2</v>
      </c>
      <c r="M189" s="845"/>
      <c r="N189" s="845"/>
      <c r="O189" s="48">
        <f>IF(t&lt;Tnet,'2020'!Resal+('2020'!Salim-'2020'!Resal)*(1-EXP(('2020'!Tnet-t)/('2020'!Tau_j))),Resal+(Salim-Resal)*(1-EXP((Tnet-t)/(Tau_j))))*Salcycl</f>
        <v>1.0861286651410425E-2</v>
      </c>
      <c r="P189" s="169">
        <f>(INDEX(Models!$BJ189:$BT189,,T189)*(1-R189)+INDEX(Models!$BJ189:$BT189,,T189+1)*R189-ERP_i)*Q189*Ramure*Pc/MaxiM</f>
        <v>4.6575517011335843E-5</v>
      </c>
      <c r="Q189" s="305">
        <f t="shared" si="51"/>
        <v>0.5</v>
      </c>
      <c r="R189" s="177">
        <f t="shared" si="52"/>
        <v>0.81724193052162619</v>
      </c>
      <c r="S189" s="811">
        <f t="shared" si="53"/>
        <v>-1</v>
      </c>
      <c r="T189" s="176">
        <f t="shared" si="54"/>
        <v>5</v>
      </c>
      <c r="U189" s="251">
        <f t="shared" si="55"/>
        <v>-0.18275806947837381</v>
      </c>
      <c r="V189" s="383">
        <f t="shared" si="56"/>
        <v>60.64637702174992</v>
      </c>
      <c r="W189" s="402"/>
      <c r="X189" s="157">
        <f t="shared" si="57"/>
        <v>44371</v>
      </c>
      <c r="Y189" s="385">
        <f t="shared" si="58"/>
        <v>35.618762900547665</v>
      </c>
      <c r="Z189" s="385">
        <f t="shared" si="59"/>
        <v>36.496941676304701</v>
      </c>
      <c r="AA189" s="386">
        <f t="shared" si="60"/>
        <v>38.892063245250078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6.1583813485079006E-2</v>
      </c>
      <c r="AD189" s="231">
        <f>(INDEX(Models!$BJ189:$BT189,,AH189)*(1-AF189)+INDEX(Models!$BJ189:$BT189,,AH189+1)*AF189-ERP_i)*AE189*Ramure*Pc/MaxiM</f>
        <v>4.6575517011335843E-5</v>
      </c>
      <c r="AE189" s="305">
        <f t="shared" si="62"/>
        <v>0.5</v>
      </c>
      <c r="AF189" s="177">
        <f t="shared" si="63"/>
        <v>0.81724193052162619</v>
      </c>
      <c r="AG189" s="811">
        <f t="shared" si="71"/>
        <v>-1</v>
      </c>
      <c r="AH189" s="176">
        <f t="shared" si="64"/>
        <v>5</v>
      </c>
      <c r="AI189" s="225">
        <f t="shared" si="65"/>
        <v>-0.18275806947837381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7">
        <v>57.445999999999998</v>
      </c>
      <c r="C190" s="390"/>
      <c r="D190" s="393">
        <f t="shared" si="48"/>
        <v>58.863617453257625</v>
      </c>
      <c r="E190" s="385">
        <f t="shared" si="72"/>
        <v>59.515348798927711</v>
      </c>
      <c r="F190" s="385">
        <f t="shared" si="49"/>
        <v>59.517932616441065</v>
      </c>
      <c r="G190" s="110">
        <f t="shared" si="73"/>
        <v>0.94849597316366752</v>
      </c>
      <c r="H190" s="414" t="b">
        <f>Wh_hp&gt;='2020'!Maxi_hp</f>
        <v>1</v>
      </c>
      <c r="I190" s="380">
        <f>IF(H190,Wh_hp,'2020'!Maxi_hp)</f>
        <v>59.517932616441065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2.4083084162867308E-2</v>
      </c>
      <c r="M190" s="845"/>
      <c r="N190" s="845"/>
      <c r="O190" s="48">
        <f>IF(t&lt;Tnet,'2020'!Resal+('2020'!Salim-'2020'!Resal)*(1-EXP(('2020'!Tnet-t)/('2020'!Tau_j))),Resal+(Salim-Resal)*(1-EXP((Tnet-t)/(Tau_j))))*Salcycl</f>
        <v>1.095064313362179E-2</v>
      </c>
      <c r="P190" s="169">
        <f>(INDEX(Models!$BJ190:$BT190,,T190)*(1-R190)+INDEX(Models!$BJ190:$BT190,,T190+1)*R190-ERP_i)*Q190*Ramure*Pc/MaxiM</f>
        <v>4.6860030456562675E-5</v>
      </c>
      <c r="Q190" s="305">
        <f t="shared" si="51"/>
        <v>0.5</v>
      </c>
      <c r="R190" s="177">
        <f t="shared" si="52"/>
        <v>0.82195657791260213</v>
      </c>
      <c r="S190" s="811">
        <f t="shared" si="53"/>
        <v>-1</v>
      </c>
      <c r="T190" s="176">
        <f t="shared" si="54"/>
        <v>5</v>
      </c>
      <c r="U190" s="251">
        <f t="shared" si="55"/>
        <v>-0.17804342208739793</v>
      </c>
      <c r="V190" s="383">
        <f t="shared" si="56"/>
        <v>60.56515110800909</v>
      </c>
      <c r="W190" s="402"/>
      <c r="X190" s="157">
        <f t="shared" si="57"/>
        <v>44372</v>
      </c>
      <c r="Y190" s="385">
        <f t="shared" si="58"/>
        <v>54.501578710605806</v>
      </c>
      <c r="Z190" s="385">
        <f t="shared" si="59"/>
        <v>55.846535525880135</v>
      </c>
      <c r="AA190" s="386">
        <f t="shared" si="60"/>
        <v>59.515348798927711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6.1644825193626032E-2</v>
      </c>
      <c r="AD190" s="231">
        <f>(INDEX(Models!$BJ190:$BT190,,AH190)*(1-AF190)+INDEX(Models!$BJ190:$BT190,,AH190+1)*AF190-ERP_i)*AE190*Ramure*Pc/MaxiM</f>
        <v>4.6860030456562675E-5</v>
      </c>
      <c r="AE190" s="305">
        <f t="shared" si="62"/>
        <v>0.5</v>
      </c>
      <c r="AF190" s="177">
        <f t="shared" si="63"/>
        <v>0.82195657791260213</v>
      </c>
      <c r="AG190" s="811">
        <f t="shared" si="71"/>
        <v>-1</v>
      </c>
      <c r="AH190" s="176">
        <f t="shared" si="64"/>
        <v>5</v>
      </c>
      <c r="AI190" s="225">
        <f t="shared" si="65"/>
        <v>-0.17804342208739793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7">
        <v>58.489000000000004</v>
      </c>
      <c r="C191" s="390"/>
      <c r="D191" s="393">
        <f t="shared" si="48"/>
        <v>59.933668674135781</v>
      </c>
      <c r="E191" s="385">
        <f t="shared" si="72"/>
        <v>60.602710392472339</v>
      </c>
      <c r="F191" s="385">
        <f t="shared" si="49"/>
        <v>60.605431997404388</v>
      </c>
      <c r="G191" s="110">
        <f t="shared" si="73"/>
        <v>0.96703119956588346</v>
      </c>
      <c r="H191" s="414" t="b">
        <f>Wh_hp&gt;='2020'!Maxi_hp</f>
        <v>0</v>
      </c>
      <c r="I191" s="380">
        <f>IF(H191,Wh_hp,'2020'!Maxi_hp)</f>
        <v>61.557220620707511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2.4104459247948906E-2</v>
      </c>
      <c r="M191" s="845"/>
      <c r="N191" s="845"/>
      <c r="O191" s="48">
        <f>IF(t&lt;Tnet,'2020'!Resal+('2020'!Salim-'2020'!Resal)*(1-EXP(('2020'!Tnet-t)/('2020'!Tau_j))),Resal+(Salim-Resal)*(1-EXP((Tnet-t)/(Tau_j))))*Salcycl</f>
        <v>1.1039798616328287E-2</v>
      </c>
      <c r="P191" s="169">
        <f>(INDEX(Models!$BJ191:$BT191,,T191)*(1-R191)+INDEX(Models!$BJ191:$BT191,,T191+1)*R191-ERP_i)*Q191*Ramure*Pc/MaxiM</f>
        <v>4.7126374117703243E-5</v>
      </c>
      <c r="Q191" s="305">
        <f t="shared" si="51"/>
        <v>0.5</v>
      </c>
      <c r="R191" s="177">
        <f t="shared" si="52"/>
        <v>0.82661369025343434</v>
      </c>
      <c r="S191" s="811">
        <f t="shared" si="53"/>
        <v>-1</v>
      </c>
      <c r="T191" s="176">
        <f t="shared" si="54"/>
        <v>5</v>
      </c>
      <c r="U191" s="251">
        <f t="shared" si="55"/>
        <v>-0.17338630974656566</v>
      </c>
      <c r="V191" s="383">
        <f t="shared" si="56"/>
        <v>60.482919484255859</v>
      </c>
      <c r="W191" s="402"/>
      <c r="X191" s="157">
        <f t="shared" si="57"/>
        <v>44373</v>
      </c>
      <c r="Y191" s="385">
        <f t="shared" si="58"/>
        <v>55.492574609145848</v>
      </c>
      <c r="Z191" s="385">
        <f t="shared" si="59"/>
        <v>56.863232069266132</v>
      </c>
      <c r="AA191" s="386">
        <f t="shared" si="60"/>
        <v>60.602710392472339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6.1704803283364362E-2</v>
      </c>
      <c r="AD191" s="231">
        <f>(INDEX(Models!$BJ191:$BT191,,AH191)*(1-AF191)+INDEX(Models!$BJ191:$BT191,,AH191+1)*AF191-ERP_i)*AE191*Ramure*Pc/MaxiM</f>
        <v>4.7126374117703243E-5</v>
      </c>
      <c r="AE191" s="305">
        <f t="shared" si="62"/>
        <v>0.5</v>
      </c>
      <c r="AF191" s="177">
        <f t="shared" si="63"/>
        <v>0.82661369025343434</v>
      </c>
      <c r="AG191" s="811">
        <f t="shared" si="71"/>
        <v>-1</v>
      </c>
      <c r="AH191" s="176">
        <f t="shared" si="64"/>
        <v>5</v>
      </c>
      <c r="AI191" s="225">
        <f t="shared" si="65"/>
        <v>-0.17338630974656566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7">
        <v>9.2089999999999996</v>
      </c>
      <c r="C192" s="390"/>
      <c r="D192" s="393">
        <f t="shared" si="48"/>
        <v>9.4366674716591898</v>
      </c>
      <c r="E192" s="385">
        <f t="shared" si="72"/>
        <v>9.5428676611059604</v>
      </c>
      <c r="F192" s="385">
        <f t="shared" si="49"/>
        <v>9.5428676611059604</v>
      </c>
      <c r="G192" s="110">
        <f t="shared" si="73"/>
        <v>0.15246273190129417</v>
      </c>
      <c r="H192" s="414" t="b">
        <f>Wh_hp&gt;='2020'!Maxi_hp</f>
        <v>0</v>
      </c>
      <c r="I192" s="380">
        <f>IF(H192,Wh_hp,'2020'!Maxi_hp)</f>
        <v>61.321800192772599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2.4125833864861224E-2</v>
      </c>
      <c r="M192" s="845"/>
      <c r="N192" s="845"/>
      <c r="O192" s="48">
        <f>IF(t&lt;Tnet,'2020'!Resal+('2020'!Salim-'2020'!Resal)*(1-EXP(('2020'!Tnet-t)/('2020'!Tau_j))),Resal+(Salim-Resal)*(1-EXP((Tnet-t)/(Tau_j))))*Salcycl</f>
        <v>1.1128750100937954E-2</v>
      </c>
      <c r="P192" s="169">
        <f>(INDEX(Models!$BJ192:$BT192,,T192)*(1-R192)+INDEX(Models!$BJ192:$BT192,,T192+1)*R192-ERP_i)*Q192*Ramure*Pc/MaxiM</f>
        <v>4.7452346975382243E-5</v>
      </c>
      <c r="Q192" s="305">
        <f t="shared" si="51"/>
        <v>0.5</v>
      </c>
      <c r="R192" s="177">
        <f t="shared" si="52"/>
        <v>0.83121045567115148</v>
      </c>
      <c r="S192" s="811">
        <f t="shared" si="53"/>
        <v>-1</v>
      </c>
      <c r="T192" s="176">
        <f t="shared" si="54"/>
        <v>5</v>
      </c>
      <c r="U192" s="251">
        <f t="shared" si="55"/>
        <v>-0.16878954432884852</v>
      </c>
      <c r="V192" s="383">
        <f t="shared" si="56"/>
        <v>60.39878005923714</v>
      </c>
      <c r="W192" s="402"/>
      <c r="X192" s="157">
        <f t="shared" si="57"/>
        <v>44374</v>
      </c>
      <c r="Y192" s="385">
        <f t="shared" si="58"/>
        <v>8.737454548205676</v>
      </c>
      <c r="Z192" s="385">
        <f t="shared" si="59"/>
        <v>8.9534643414217765</v>
      </c>
      <c r="AA192" s="386">
        <f t="shared" si="60"/>
        <v>9.5428676611059604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6.176375284825824E-2</v>
      </c>
      <c r="AD192" s="231">
        <f>(INDEX(Models!$BJ192:$BT192,,AH192)*(1-AF192)+INDEX(Models!$BJ192:$BT192,,AH192+1)*AF192-ERP_i)*AE192*Ramure*Pc/MaxiM</f>
        <v>4.7452346975382243E-5</v>
      </c>
      <c r="AE192" s="305">
        <f t="shared" si="62"/>
        <v>0.5</v>
      </c>
      <c r="AF192" s="177">
        <f t="shared" si="63"/>
        <v>0.83121045567115148</v>
      </c>
      <c r="AG192" s="811">
        <f t="shared" si="71"/>
        <v>-1</v>
      </c>
      <c r="AH192" s="176">
        <f t="shared" si="64"/>
        <v>5</v>
      </c>
      <c r="AI192" s="225">
        <f t="shared" si="65"/>
        <v>-0.16878954432884852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7">
        <v>36.768000000000001</v>
      </c>
      <c r="C193" s="390"/>
      <c r="D193" s="393">
        <f t="shared" si="48"/>
        <v>37.677814012457084</v>
      </c>
      <c r="E193" s="385">
        <f t="shared" si="72"/>
        <v>38.105259575951166</v>
      </c>
      <c r="F193" s="385">
        <f t="shared" si="49"/>
        <v>38.106066008307714</v>
      </c>
      <c r="G193" s="110">
        <f t="shared" si="73"/>
        <v>0.60960624719421619</v>
      </c>
      <c r="H193" s="414" t="b">
        <f>Wh_hp&gt;='2020'!Maxi_hp</f>
        <v>0</v>
      </c>
      <c r="I193" s="380">
        <f>IF(H193,Wh_hp,'2020'!Maxi_hp)</f>
        <v>58.28331019002183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2.4147208013614585E-2</v>
      </c>
      <c r="M193" s="845"/>
      <c r="N193" s="845"/>
      <c r="O193" s="48">
        <f>IF(t&lt;Tnet,'2020'!Resal+('2020'!Salim-'2020'!Resal)*(1-EXP(('2020'!Tnet-t)/('2020'!Tau_j))),Resal+(Salim-Resal)*(1-EXP((Tnet-t)/(Tau_j))))*Salcycl</f>
        <v>1.1217495124055052E-2</v>
      </c>
      <c r="P193" s="169">
        <f>(INDEX(Models!$BJ193:$BT193,,T193)*(1-R193)+INDEX(Models!$BJ193:$BT193,,T193+1)*R193-ERP_i)*Q193*Ramure*Pc/MaxiM</f>
        <v>4.7845306053864279E-5</v>
      </c>
      <c r="Q193" s="305">
        <f t="shared" si="51"/>
        <v>0.5</v>
      </c>
      <c r="R193" s="177">
        <f t="shared" si="52"/>
        <v>0.83574423520198104</v>
      </c>
      <c r="S193" s="811">
        <f t="shared" si="53"/>
        <v>-1</v>
      </c>
      <c r="T193" s="176">
        <f t="shared" si="54"/>
        <v>5</v>
      </c>
      <c r="U193" s="251">
        <f t="shared" si="55"/>
        <v>-0.16425576479801901</v>
      </c>
      <c r="V193" s="383">
        <f t="shared" si="56"/>
        <v>60.312733157405304</v>
      </c>
      <c r="W193" s="402"/>
      <c r="X193" s="157">
        <f t="shared" si="57"/>
        <v>44375</v>
      </c>
      <c r="Y193" s="385">
        <f t="shared" si="58"/>
        <v>34.886277050125777</v>
      </c>
      <c r="Z193" s="385">
        <f t="shared" si="59"/>
        <v>35.749528347522002</v>
      </c>
      <c r="AA193" s="386">
        <f t="shared" si="60"/>
        <v>38.105259575951166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6.1821681695508182E-2</v>
      </c>
      <c r="AD193" s="231">
        <f>(INDEX(Models!$BJ193:$BT193,,AH193)*(1-AF193)+INDEX(Models!$BJ193:$BT193,,AH193+1)*AF193-ERP_i)*AE193*Ramure*Pc/MaxiM</f>
        <v>4.7845306053864279E-5</v>
      </c>
      <c r="AE193" s="305">
        <f t="shared" si="62"/>
        <v>0.5</v>
      </c>
      <c r="AF193" s="177">
        <f t="shared" si="63"/>
        <v>0.83574423520198104</v>
      </c>
      <c r="AG193" s="811">
        <f t="shared" si="71"/>
        <v>-1</v>
      </c>
      <c r="AH193" s="176">
        <f t="shared" si="64"/>
        <v>5</v>
      </c>
      <c r="AI193" s="225">
        <f t="shared" si="65"/>
        <v>-0.16425576479801901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7">
        <v>42.7</v>
      </c>
      <c r="C194" s="390"/>
      <c r="D194" s="393">
        <f t="shared" si="48"/>
        <v>43.757558118117267</v>
      </c>
      <c r="E194" s="385">
        <f t="shared" si="72"/>
        <v>44.257939790857115</v>
      </c>
      <c r="F194" s="385">
        <f t="shared" si="49"/>
        <v>44.259189036328237</v>
      </c>
      <c r="G194" s="110">
        <f t="shared" si="73"/>
        <v>0.70899624581198384</v>
      </c>
      <c r="H194" s="414" t="b">
        <f>Wh_hp&gt;='2020'!Maxi_hp</f>
        <v>0</v>
      </c>
      <c r="I194" s="380">
        <f>IF(H194,Wh_hp,'2020'!Maxi_hp)</f>
        <v>58.263031779023748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2.4168581694219315E-2</v>
      </c>
      <c r="M194" s="845"/>
      <c r="N194" s="845"/>
      <c r="O194" s="48">
        <f>IF(t&lt;Tnet,'2020'!Resal+('2020'!Salim-'2020'!Resal)*(1-EXP(('2020'!Tnet-t)/('2020'!Tau_j))),Resal+(Salim-Resal)*(1-EXP((Tnet-t)/(Tau_j))))*Salcycl</f>
        <v>1.1306031756209683E-2</v>
      </c>
      <c r="P194" s="169">
        <f>(INDEX(Models!$BJ194:$BT194,,T194)*(1-R194)+INDEX(Models!$BJ194:$BT194,,T194+1)*R194-ERP_i)*Q194*Ramure*Pc/MaxiM</f>
        <v>4.8306762417003982E-5</v>
      </c>
      <c r="Q194" s="305">
        <f t="shared" si="51"/>
        <v>0.5</v>
      </c>
      <c r="R194" s="177">
        <f t="shared" si="52"/>
        <v>0.84021256653375331</v>
      </c>
      <c r="S194" s="811">
        <f t="shared" si="53"/>
        <v>-1</v>
      </c>
      <c r="T194" s="176">
        <f t="shared" si="54"/>
        <v>5</v>
      </c>
      <c r="U194" s="251">
        <f t="shared" si="55"/>
        <v>-0.15978743346624669</v>
      </c>
      <c r="V194" s="383">
        <f t="shared" si="56"/>
        <v>60.224779419598661</v>
      </c>
      <c r="W194" s="402"/>
      <c r="X194" s="157">
        <f t="shared" si="57"/>
        <v>44376</v>
      </c>
      <c r="Y194" s="385">
        <f t="shared" si="58"/>
        <v>40.51585733920281</v>
      </c>
      <c r="Z194" s="385">
        <f t="shared" si="59"/>
        <v>41.519320426827051</v>
      </c>
      <c r="AA194" s="386">
        <f t="shared" si="60"/>
        <v>44.257939790857115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6.1878600246001732E-2</v>
      </c>
      <c r="AD194" s="231">
        <f>(INDEX(Models!$BJ194:$BT194,,AH194)*(1-AF194)+INDEX(Models!$BJ194:$BT194,,AH194+1)*AF194-ERP_i)*AE194*Ramure*Pc/MaxiM</f>
        <v>4.8306762417003982E-5</v>
      </c>
      <c r="AE194" s="305">
        <f t="shared" si="62"/>
        <v>0.5</v>
      </c>
      <c r="AF194" s="177">
        <f t="shared" si="63"/>
        <v>0.84021256653375331</v>
      </c>
      <c r="AG194" s="811">
        <f t="shared" si="71"/>
        <v>-1</v>
      </c>
      <c r="AH194" s="176">
        <f t="shared" si="64"/>
        <v>5</v>
      </c>
      <c r="AI194" s="225">
        <f t="shared" si="65"/>
        <v>-0.15978743346624669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7">
        <v>49.454000000000001</v>
      </c>
      <c r="C195" s="390"/>
      <c r="D195" s="393">
        <f t="shared" si="48"/>
        <v>50.67994559870597</v>
      </c>
      <c r="E195" s="385">
        <f t="shared" si="72"/>
        <v>51.264066758503191</v>
      </c>
      <c r="F195" s="385">
        <f t="shared" si="49"/>
        <v>51.265935203713077</v>
      </c>
      <c r="G195" s="110">
        <f t="shared" si="73"/>
        <v>0.82237388173585169</v>
      </c>
      <c r="H195" s="414" t="b">
        <f>Wh_hp&gt;='2020'!Maxi_hp</f>
        <v>0</v>
      </c>
      <c r="I195" s="380">
        <f>IF(H195,Wh_hp,'2020'!Maxi_hp)</f>
        <v>52.467807817786799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2.4189954906685518E-2</v>
      </c>
      <c r="M195" s="845"/>
      <c r="N195" s="845"/>
      <c r="O195" s="48">
        <f>IF(t&lt;Tnet,'2020'!Resal+('2020'!Salim-'2020'!Resal)*(1-EXP(('2020'!Tnet-t)/('2020'!Tau_j))),Resal+(Salim-Resal)*(1-EXP((Tnet-t)/(Tau_j))))*Salcycl</f>
        <v>1.1394358597200739E-2</v>
      </c>
      <c r="P195" s="169">
        <f>(INDEX(Models!$BJ195:$BT195,,T195)*(1-R195)+INDEX(Models!$BJ195:$BT195,,T195+1)*R195-ERP_i)*Q195*Ramure*Pc/MaxiM</f>
        <v>4.883819398511555E-5</v>
      </c>
      <c r="Q195" s="305">
        <f t="shared" si="51"/>
        <v>0.5</v>
      </c>
      <c r="R195" s="177">
        <f t="shared" si="52"/>
        <v>0.84461316677930887</v>
      </c>
      <c r="S195" s="811">
        <f t="shared" si="53"/>
        <v>-1</v>
      </c>
      <c r="T195" s="176">
        <f t="shared" si="54"/>
        <v>5</v>
      </c>
      <c r="U195" s="251">
        <f t="shared" si="55"/>
        <v>-0.15538683322069108</v>
      </c>
      <c r="V195" s="383">
        <f t="shared" si="56"/>
        <v>60.13491945586518</v>
      </c>
      <c r="W195" s="402"/>
      <c r="X195" s="157">
        <f t="shared" si="57"/>
        <v>44377</v>
      </c>
      <c r="Y195" s="385">
        <f t="shared" si="58"/>
        <v>46.9257793348376</v>
      </c>
      <c r="Z195" s="385">
        <f t="shared" si="59"/>
        <v>48.089051317718493</v>
      </c>
      <c r="AA195" s="386">
        <f t="shared" si="60"/>
        <v>51.264066758503191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6.1934521421050819E-2</v>
      </c>
      <c r="AD195" s="231">
        <f>(INDEX(Models!$BJ195:$BT195,,AH195)*(1-AF195)+INDEX(Models!$BJ195:$BT195,,AH195+1)*AF195-ERP_i)*AE195*Ramure*Pc/MaxiM</f>
        <v>4.883819398511555E-5</v>
      </c>
      <c r="AE195" s="305">
        <f t="shared" si="62"/>
        <v>0.5</v>
      </c>
      <c r="AF195" s="177">
        <f t="shared" si="63"/>
        <v>0.84461316677930887</v>
      </c>
      <c r="AG195" s="811">
        <f t="shared" si="71"/>
        <v>-1</v>
      </c>
      <c r="AH195" s="176">
        <f t="shared" si="64"/>
        <v>5</v>
      </c>
      <c r="AI195" s="225">
        <f t="shared" si="65"/>
        <v>-0.15538683322069108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7">
        <v>54.103000000000002</v>
      </c>
      <c r="C196" s="390"/>
      <c r="D196" s="393">
        <f t="shared" si="48"/>
        <v>55.445406913527748</v>
      </c>
      <c r="E196" s="385">
        <f t="shared" si="72"/>
        <v>56.089452638202523</v>
      </c>
      <c r="F196" s="385">
        <f t="shared" si="49"/>
        <v>56.091833933614964</v>
      </c>
      <c r="G196" s="110">
        <f t="shared" si="73"/>
        <v>0.90106229389494918</v>
      </c>
      <c r="H196" s="414" t="b">
        <f>Wh_hp&gt;='2020'!Maxi_hp</f>
        <v>0</v>
      </c>
      <c r="I196" s="380">
        <f>IF(H196,Wh_hp,'2020'!Maxi_hp)</f>
        <v>60.470455322225597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2.4211327651023518E-2</v>
      </c>
      <c r="M196" s="845"/>
      <c r="N196" s="845"/>
      <c r="O196" s="48">
        <f>IF(t&lt;Tnet,'2020'!Resal+('2020'!Salim-'2020'!Resal)*(1-EXP(('2020'!Tnet-t)/('2020'!Tau_j))),Resal+(Salim-Resal)*(1-EXP((Tnet-t)/(Tau_j))))*Salcycl</f>
        <v>1.1482474768101408E-2</v>
      </c>
      <c r="P196" s="169">
        <f>(INDEX(Models!$BJ196:$BT196,,T196)*(1-R196)+INDEX(Models!$BJ196:$BT196,,T196+1)*R196-ERP_i)*Q196*Ramure*Pc/MaxiM</f>
        <v>4.9441045025226619E-5</v>
      </c>
      <c r="Q196" s="305">
        <f t="shared" si="51"/>
        <v>0.5</v>
      </c>
      <c r="R196" s="177">
        <f t="shared" si="52"/>
        <v>0.84894393430025183</v>
      </c>
      <c r="S196" s="811">
        <f t="shared" si="53"/>
        <v>-1</v>
      </c>
      <c r="T196" s="176">
        <f t="shared" si="54"/>
        <v>5</v>
      </c>
      <c r="U196" s="251">
        <f t="shared" si="55"/>
        <v>-0.15105606569974822</v>
      </c>
      <c r="V196" s="383">
        <f t="shared" si="56"/>
        <v>60.043153846390204</v>
      </c>
      <c r="W196" s="402"/>
      <c r="X196" s="157">
        <f t="shared" si="57"/>
        <v>44378</v>
      </c>
      <c r="Y196" s="385">
        <f t="shared" si="58"/>
        <v>51.338679307462328</v>
      </c>
      <c r="Z196" s="385">
        <f t="shared" si="59"/>
        <v>52.612497728505915</v>
      </c>
      <c r="AA196" s="386">
        <f t="shared" si="60"/>
        <v>56.089452638202523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6.1989460516297688E-2</v>
      </c>
      <c r="AD196" s="231">
        <f>(INDEX(Models!$BJ196:$BT196,,AH196)*(1-AF196)+INDEX(Models!$BJ196:$BT196,,AH196+1)*AF196-ERP_i)*AE196*Ramure*Pc/MaxiM</f>
        <v>4.9441045025226619E-5</v>
      </c>
      <c r="AE196" s="305">
        <f t="shared" si="62"/>
        <v>0.5</v>
      </c>
      <c r="AF196" s="177">
        <f t="shared" si="63"/>
        <v>0.84894393430025183</v>
      </c>
      <c r="AG196" s="811">
        <f t="shared" si="71"/>
        <v>-1</v>
      </c>
      <c r="AH196" s="176">
        <f t="shared" si="64"/>
        <v>5</v>
      </c>
      <c r="AI196" s="225">
        <f t="shared" si="65"/>
        <v>-0.15105606569974822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7">
        <v>54.433</v>
      </c>
      <c r="C197" s="390"/>
      <c r="D197" s="393">
        <f t="shared" si="48"/>
        <v>55.784816724173162</v>
      </c>
      <c r="E197" s="385">
        <f t="shared" si="72"/>
        <v>56.437823786107934</v>
      </c>
      <c r="F197" s="385">
        <f t="shared" si="49"/>
        <v>56.44028055284398</v>
      </c>
      <c r="G197" s="110">
        <f t="shared" si="73"/>
        <v>0.90797515713793797</v>
      </c>
      <c r="H197" s="414" t="b">
        <f>Wh_hp&gt;='2020'!Maxi_hp</f>
        <v>1</v>
      </c>
      <c r="I197" s="380">
        <f>IF(H197,Wh_hp,'2020'!Maxi_hp)</f>
        <v>56.44028055284398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2.4232699927243528E-2</v>
      </c>
      <c r="M197" s="845"/>
      <c r="N197" s="845"/>
      <c r="O197" s="48">
        <f>IF(t&lt;Tnet,'2020'!Resal+('2020'!Salim-'2020'!Resal)*(1-EXP(('2020'!Tnet-t)/('2020'!Tau_j))),Resal+(Salim-Resal)*(1-EXP((Tnet-t)/(Tau_j))))*Salcycl</f>
        <v>1.1570379900004368E-2</v>
      </c>
      <c r="P197" s="169">
        <f>(INDEX(Models!$BJ197:$BT197,,T197)*(1-R197)+INDEX(Models!$BJ197:$BT197,,T197+1)*R197-ERP_i)*Q197*Ramure*Pc/MaxiM</f>
        <v>5.0116726075248623E-5</v>
      </c>
      <c r="Q197" s="305">
        <f t="shared" si="51"/>
        <v>0.5</v>
      </c>
      <c r="R197" s="177">
        <f t="shared" si="52"/>
        <v>0.85320294960791243</v>
      </c>
      <c r="S197" s="811">
        <f t="shared" si="53"/>
        <v>-1</v>
      </c>
      <c r="T197" s="176">
        <f t="shared" si="54"/>
        <v>5</v>
      </c>
      <c r="U197" s="251">
        <f t="shared" si="55"/>
        <v>-0.14679705039208757</v>
      </c>
      <c r="V197" s="383">
        <f t="shared" si="56"/>
        <v>59.949483138756612</v>
      </c>
      <c r="W197" s="402"/>
      <c r="X197" s="157">
        <f t="shared" si="57"/>
        <v>44379</v>
      </c>
      <c r="Y197" s="385">
        <f t="shared" si="58"/>
        <v>51.653439618704155</v>
      </c>
      <c r="Z197" s="385">
        <f t="shared" si="59"/>
        <v>52.936227330894056</v>
      </c>
      <c r="AA197" s="386">
        <f t="shared" si="60"/>
        <v>56.437823786107934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6.2043435063769962E-2</v>
      </c>
      <c r="AD197" s="231">
        <f>(INDEX(Models!$BJ197:$BT197,,AH197)*(1-AF197)+INDEX(Models!$BJ197:$BT197,,AH197+1)*AF197-ERP_i)*AE197*Ramure*Pc/MaxiM</f>
        <v>5.0116726075248623E-5</v>
      </c>
      <c r="AE197" s="305">
        <f t="shared" si="62"/>
        <v>0.5</v>
      </c>
      <c r="AF197" s="177">
        <f t="shared" si="63"/>
        <v>0.85320294960791243</v>
      </c>
      <c r="AG197" s="811">
        <f t="shared" si="71"/>
        <v>-1</v>
      </c>
      <c r="AH197" s="176">
        <f t="shared" si="64"/>
        <v>5</v>
      </c>
      <c r="AI197" s="225">
        <f t="shared" si="65"/>
        <v>-0.14679705039208757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7">
        <v>34.125999999999998</v>
      </c>
      <c r="C198" s="390"/>
      <c r="D198" s="393">
        <f t="shared" si="48"/>
        <v>34.974268415029719</v>
      </c>
      <c r="E198" s="385">
        <f t="shared" si="72"/>
        <v>35.386810474396896</v>
      </c>
      <c r="F198" s="385">
        <f t="shared" si="49"/>
        <v>35.387512311110406</v>
      </c>
      <c r="G198" s="110">
        <f t="shared" si="73"/>
        <v>0.57013722489808683</v>
      </c>
      <c r="H198" s="414" t="b">
        <f>Wh_hp&gt;='2020'!Maxi_hp</f>
        <v>0</v>
      </c>
      <c r="I198" s="380">
        <f>IF(H198,Wh_hp,'2020'!Maxi_hp)</f>
        <v>53.763656051916264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2.4254071735355875E-2</v>
      </c>
      <c r="M198" s="845"/>
      <c r="N198" s="845"/>
      <c r="O198" s="48">
        <f>IF(t&lt;Tnet,'2020'!Resal+('2020'!Salim-'2020'!Resal)*(1-EXP(('2020'!Tnet-t)/('2020'!Tau_j))),Resal+(Salim-Resal)*(1-EXP((Tnet-t)/(Tau_j))))*Salcycl</f>
        <v>1.165807411961187E-2</v>
      </c>
      <c r="P198" s="169">
        <f>(INDEX(Models!$BJ198:$BT198,,T198)*(1-R198)+INDEX(Models!$BJ198:$BT198,,T198+1)*R198-ERP_i)*Q198*Ramure*Pc/MaxiM</f>
        <v>5.1389066694480443E-5</v>
      </c>
      <c r="Q198" s="305">
        <f t="shared" si="51"/>
        <v>0.5</v>
      </c>
      <c r="R198" s="177">
        <f t="shared" si="52"/>
        <v>0.8573884753752089</v>
      </c>
      <c r="S198" s="811">
        <f t="shared" si="53"/>
        <v>-1</v>
      </c>
      <c r="T198" s="176">
        <f t="shared" si="54"/>
        <v>5</v>
      </c>
      <c r="U198" s="251">
        <f t="shared" si="55"/>
        <v>-0.1426115246247911</v>
      </c>
      <c r="V198" s="383">
        <f t="shared" si="56"/>
        <v>59.853876579849093</v>
      </c>
      <c r="W198" s="402"/>
      <c r="X198" s="157">
        <f t="shared" si="57"/>
        <v>44380</v>
      </c>
      <c r="Y198" s="385">
        <f t="shared" si="58"/>
        <v>32.384436203808463</v>
      </c>
      <c r="Z198" s="385">
        <f t="shared" si="59"/>
        <v>33.189414647523982</v>
      </c>
      <c r="AA198" s="386">
        <f t="shared" si="60"/>
        <v>35.386810474396896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6.2096464683155786E-2</v>
      </c>
      <c r="AD198" s="231">
        <f>(INDEX(Models!$BJ198:$BT198,,AH198)*(1-AF198)+INDEX(Models!$BJ198:$BT198,,AH198+1)*AF198-ERP_i)*AE198*Ramure*Pc/MaxiM</f>
        <v>5.1389066694480443E-5</v>
      </c>
      <c r="AE198" s="305">
        <f t="shared" si="62"/>
        <v>0.5</v>
      </c>
      <c r="AF198" s="177">
        <f t="shared" si="63"/>
        <v>0.8573884753752089</v>
      </c>
      <c r="AG198" s="811">
        <f t="shared" si="71"/>
        <v>-1</v>
      </c>
      <c r="AH198" s="176">
        <f t="shared" si="64"/>
        <v>5</v>
      </c>
      <c r="AI198" s="225">
        <f t="shared" si="65"/>
        <v>-0.1426115246247911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7">
        <v>37.585999999999999</v>
      </c>
      <c r="C199" s="390"/>
      <c r="D199" s="393">
        <f t="shared" si="48"/>
        <v>38.521117187484464</v>
      </c>
      <c r="E199" s="385">
        <f t="shared" si="72"/>
        <v>38.978946667587138</v>
      </c>
      <c r="F199" s="385">
        <f t="shared" si="49"/>
        <v>38.979922639210997</v>
      </c>
      <c r="G199" s="110">
        <f t="shared" si="73"/>
        <v>0.62896995529101041</v>
      </c>
      <c r="H199" s="414" t="b">
        <f>Wh_hp&gt;='2020'!Maxi_hp</f>
        <v>0</v>
      </c>
      <c r="I199" s="380">
        <f>IF(H199,Wh_hp,'2020'!Maxi_hp)</f>
        <v>58.995697367701958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2.4275443075370773E-2</v>
      </c>
      <c r="M199" s="845"/>
      <c r="N199" s="845"/>
      <c r="O199" s="48">
        <f>IF(t&lt;Tnet,'2020'!Resal+('2020'!Salim-'2020'!Resal)*(1-EXP(('2020'!Tnet-t)/('2020'!Tau_j))),Resal+(Salim-Resal)*(1-EXP((Tnet-t)/(Tau_j))))*Salcycl</f>
        <v>1.1745558031802387E-2</v>
      </c>
      <c r="P199" s="169">
        <f>(INDEX(Models!$BJ199:$BT199,,T199)*(1-R199)+INDEX(Models!$BJ199:$BT199,,T199+1)*R199-ERP_i)*Q199*Ramure*Pc/MaxiM</f>
        <v>5.3273910393783041E-5</v>
      </c>
      <c r="Q199" s="305">
        <f t="shared" si="51"/>
        <v>0.5</v>
      </c>
      <c r="R199" s="177">
        <f t="shared" si="52"/>
        <v>0.86149895559916601</v>
      </c>
      <c r="S199" s="811">
        <f t="shared" si="53"/>
        <v>-1</v>
      </c>
      <c r="T199" s="176">
        <f t="shared" si="54"/>
        <v>5</v>
      </c>
      <c r="U199" s="251">
        <f t="shared" si="55"/>
        <v>-0.13850104440083399</v>
      </c>
      <c r="V199" s="383">
        <f t="shared" si="56"/>
        <v>59.756333947151425</v>
      </c>
      <c r="W199" s="402"/>
      <c r="X199" s="157">
        <f t="shared" si="57"/>
        <v>44381</v>
      </c>
      <c r="Y199" s="385">
        <f t="shared" si="58"/>
        <v>35.669036552031564</v>
      </c>
      <c r="Z199" s="385">
        <f t="shared" si="59"/>
        <v>36.556460836095212</v>
      </c>
      <c r="AA199" s="386">
        <f t="shared" si="60"/>
        <v>38.978946667587138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6.2148570923450344E-2</v>
      </c>
      <c r="AD199" s="231">
        <f>(INDEX(Models!$BJ199:$BT199,,AH199)*(1-AF199)+INDEX(Models!$BJ199:$BT199,,AH199+1)*AF199-ERP_i)*AE199*Ramure*Pc/MaxiM</f>
        <v>5.3273910393783041E-5</v>
      </c>
      <c r="AE199" s="305">
        <f t="shared" si="62"/>
        <v>0.5</v>
      </c>
      <c r="AF199" s="177">
        <f t="shared" si="63"/>
        <v>0.86149895559916601</v>
      </c>
      <c r="AG199" s="811">
        <f t="shared" si="71"/>
        <v>-1</v>
      </c>
      <c r="AH199" s="176">
        <f t="shared" si="64"/>
        <v>5</v>
      </c>
      <c r="AI199" s="225">
        <f t="shared" si="65"/>
        <v>-0.13850104440083399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7">
        <v>58.768999999999998</v>
      </c>
      <c r="C200" s="390"/>
      <c r="D200" s="393">
        <f t="shared" si="48"/>
        <v>60.232456796370101</v>
      </c>
      <c r="E200" s="385">
        <f t="shared" si="72"/>
        <v>60.953711871346989</v>
      </c>
      <c r="F200" s="385">
        <f t="shared" si="49"/>
        <v>60.957039810806549</v>
      </c>
      <c r="G200" s="110">
        <f t="shared" si="73"/>
        <v>0.98511612666483628</v>
      </c>
      <c r="H200" s="414" t="b">
        <f>Wh_hp&gt;='2020'!Maxi_hp</f>
        <v>0</v>
      </c>
      <c r="I200" s="380">
        <f>IF(H200,Wh_hp,'2020'!Maxi_hp)</f>
        <v>61.322232788721351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2.4296813947298546E-2</v>
      </c>
      <c r="M200" s="845"/>
      <c r="N200" s="845"/>
      <c r="O200" s="48">
        <f>IF(t&lt;Tnet,'2020'!Resal+('2020'!Salim-'2020'!Resal)*(1-EXP(('2020'!Tnet-t)/('2020'!Tau_j))),Resal+(Salim-Resal)*(1-EXP((Tnet-t)/(Tau_j))))*Salcycl</f>
        <v>1.1832832699331214E-2</v>
      </c>
      <c r="P200" s="169">
        <f>(INDEX(Models!$BJ200:$BT200,,T200)*(1-R200)+INDEX(Models!$BJ200:$BT200,,T200+1)*R200-ERP_i)*Q200*Ramure*Pc/MaxiM</f>
        <v>5.5780789598660949E-5</v>
      </c>
      <c r="Q200" s="305">
        <f t="shared" si="51"/>
        <v>0.5</v>
      </c>
      <c r="R200" s="177">
        <f t="shared" si="52"/>
        <v>0.86553301395913984</v>
      </c>
      <c r="S200" s="811">
        <f t="shared" si="53"/>
        <v>-1</v>
      </c>
      <c r="T200" s="176">
        <f t="shared" si="54"/>
        <v>5</v>
      </c>
      <c r="U200" s="251">
        <f t="shared" si="55"/>
        <v>-0.13446698604086016</v>
      </c>
      <c r="V200" s="383">
        <f t="shared" si="56"/>
        <v>59.65685537777744</v>
      </c>
      <c r="W200" s="402"/>
      <c r="X200" s="157">
        <f t="shared" si="57"/>
        <v>44382</v>
      </c>
      <c r="Y200" s="385">
        <f t="shared" si="58"/>
        <v>55.773540270908796</v>
      </c>
      <c r="Z200" s="385">
        <f t="shared" si="59"/>
        <v>57.162404579763518</v>
      </c>
      <c r="AA200" s="386">
        <f t="shared" si="60"/>
        <v>60.953711871346989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6.2199777096194939E-2</v>
      </c>
      <c r="AD200" s="231">
        <f>(INDEX(Models!$BJ200:$BT200,,AH200)*(1-AF200)+INDEX(Models!$BJ200:$BT200,,AH200+1)*AF200-ERP_i)*AE200*Ramure*Pc/MaxiM</f>
        <v>5.5780789598660949E-5</v>
      </c>
      <c r="AE200" s="305">
        <f t="shared" si="62"/>
        <v>0.5</v>
      </c>
      <c r="AF200" s="177">
        <f t="shared" si="63"/>
        <v>0.86553301395913984</v>
      </c>
      <c r="AG200" s="811">
        <f t="shared" si="71"/>
        <v>-1</v>
      </c>
      <c r="AH200" s="176">
        <f t="shared" si="64"/>
        <v>5</v>
      </c>
      <c r="AI200" s="225">
        <f t="shared" si="65"/>
        <v>-0.13446698604086016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7">
        <v>21.312999999999999</v>
      </c>
      <c r="C201" s="390"/>
      <c r="D201" s="393">
        <f t="shared" si="48"/>
        <v>21.844211563814344</v>
      </c>
      <c r="E201" s="385">
        <f t="shared" si="72"/>
        <v>22.10773352829392</v>
      </c>
      <c r="F201" s="385">
        <f t="shared" si="49"/>
        <v>22.107841210243976</v>
      </c>
      <c r="G201" s="110">
        <f t="shared" si="73"/>
        <v>0.35784888339790871</v>
      </c>
      <c r="H201" s="414" t="b">
        <f>Wh_hp&gt;='2020'!Maxi_hp</f>
        <v>0</v>
      </c>
      <c r="I201" s="380">
        <f>IF(H201,Wh_hp,'2020'!Maxi_hp)</f>
        <v>60.73746121896113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2.4318184351149297E-2</v>
      </c>
      <c r="M201" s="845"/>
      <c r="N201" s="845"/>
      <c r="O201" s="48">
        <f>IF(t&lt;Tnet,'2020'!Resal+('2020'!Salim-'2020'!Resal)*(1-EXP(('2020'!Tnet-t)/('2020'!Tau_j))),Resal+(Salim-Resal)*(1-EXP((Tnet-t)/(Tau_j))))*Salcycl</f>
        <v>1.1919899619846453E-2</v>
      </c>
      <c r="P201" s="169">
        <f>(INDEX(Models!$BJ201:$BT201,,T201)*(1-R201)+INDEX(Models!$BJ201:$BT201,,T201+1)*R201-ERP_i)*Q201*Ramure*Pc/MaxiM</f>
        <v>5.8918875476328972E-5</v>
      </c>
      <c r="Q201" s="305">
        <f t="shared" si="51"/>
        <v>0.5</v>
      </c>
      <c r="R201" s="177">
        <f t="shared" si="52"/>
        <v>0.86948945142026601</v>
      </c>
      <c r="S201" s="811">
        <f t="shared" si="53"/>
        <v>-1</v>
      </c>
      <c r="T201" s="176">
        <f t="shared" si="54"/>
        <v>5</v>
      </c>
      <c r="U201" s="251">
        <f t="shared" si="55"/>
        <v>-0.13051054857973404</v>
      </c>
      <c r="V201" s="383">
        <f t="shared" si="56"/>
        <v>59.555441013264875</v>
      </c>
      <c r="W201" s="402"/>
      <c r="X201" s="157">
        <f t="shared" si="57"/>
        <v>44383</v>
      </c>
      <c r="Y201" s="385">
        <f t="shared" si="58"/>
        <v>20.227371686102494</v>
      </c>
      <c r="Z201" s="385">
        <f t="shared" si="59"/>
        <v>20.731524726276497</v>
      </c>
      <c r="AA201" s="386">
        <f t="shared" si="60"/>
        <v>22.10773352829392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6.2250108101589173E-2</v>
      </c>
      <c r="AD201" s="231">
        <f>(INDEX(Models!$BJ201:$BT201,,AH201)*(1-AF201)+INDEX(Models!$BJ201:$BT201,,AH201+1)*AF201-ERP_i)*AE201*Ramure*Pc/MaxiM</f>
        <v>5.8918875476328972E-5</v>
      </c>
      <c r="AE201" s="305">
        <f t="shared" si="62"/>
        <v>0.5</v>
      </c>
      <c r="AF201" s="177">
        <f t="shared" si="63"/>
        <v>0.86948945142026601</v>
      </c>
      <c r="AG201" s="811">
        <f t="shared" si="71"/>
        <v>-1</v>
      </c>
      <c r="AH201" s="176">
        <f t="shared" si="64"/>
        <v>5</v>
      </c>
      <c r="AI201" s="225">
        <f t="shared" si="65"/>
        <v>-0.13051054857973404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7">
        <v>42.344000000000001</v>
      </c>
      <c r="C202" s="390"/>
      <c r="D202" s="393">
        <f t="shared" si="48"/>
        <v>43.400345054526284</v>
      </c>
      <c r="E202" s="385">
        <f t="shared" si="72"/>
        <v>43.927775341149463</v>
      </c>
      <c r="F202" s="385">
        <f t="shared" si="49"/>
        <v>43.929397342777669</v>
      </c>
      <c r="G202" s="110">
        <f t="shared" si="73"/>
        <v>0.7122189963600235</v>
      </c>
      <c r="H202" s="414" t="b">
        <f>Wh_hp&gt;='2020'!Maxi_hp</f>
        <v>0</v>
      </c>
      <c r="I202" s="380">
        <f>IF(H202,Wh_hp,'2020'!Maxi_hp)</f>
        <v>54.208935934270478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2.4339554286933351E-2</v>
      </c>
      <c r="M202" s="845"/>
      <c r="N202" s="845"/>
      <c r="O202" s="48">
        <f>IF(t&lt;Tnet,'2020'!Resal+('2020'!Salim-'2020'!Resal)*(1-EXP(('2020'!Tnet-t)/('2020'!Tau_j))),Resal+(Salim-Resal)*(1-EXP((Tnet-t)/(Tau_j))))*Salcycl</f>
        <v>1.200676070042426E-2</v>
      </c>
      <c r="P202" s="169">
        <f>(INDEX(Models!$BJ202:$BT202,,T202)*(1-R202)+INDEX(Models!$BJ202:$BT202,,T202+1)*R202-ERP_i)*Q202*Ramure*Pc/MaxiM</f>
        <v>6.2696996770752266E-5</v>
      </c>
      <c r="Q202" s="305">
        <f t="shared" si="51"/>
        <v>0.5</v>
      </c>
      <c r="R202" s="177">
        <f t="shared" si="52"/>
        <v>0.87336724313530556</v>
      </c>
      <c r="S202" s="811">
        <f t="shared" si="53"/>
        <v>-1</v>
      </c>
      <c r="T202" s="176">
        <f t="shared" si="54"/>
        <v>5</v>
      </c>
      <c r="U202" s="251">
        <f t="shared" si="55"/>
        <v>-0.12663275686469444</v>
      </c>
      <c r="V202" s="383">
        <f t="shared" si="56"/>
        <v>59.452090998138793</v>
      </c>
      <c r="W202" s="402"/>
      <c r="X202" s="157">
        <f t="shared" si="57"/>
        <v>44384</v>
      </c>
      <c r="Y202" s="385">
        <f t="shared" si="58"/>
        <v>40.188520094179665</v>
      </c>
      <c r="Z202" s="385">
        <f t="shared" si="59"/>
        <v>41.191092936854346</v>
      </c>
      <c r="AA202" s="386">
        <f t="shared" si="60"/>
        <v>43.927775341149463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6.2299590248803688E-2</v>
      </c>
      <c r="AD202" s="231">
        <f>(INDEX(Models!$BJ202:$BT202,,AH202)*(1-AF202)+INDEX(Models!$BJ202:$BT202,,AH202+1)*AF202-ERP_i)*AE202*Ramure*Pc/MaxiM</f>
        <v>6.2696996770752266E-5</v>
      </c>
      <c r="AE202" s="305">
        <f t="shared" si="62"/>
        <v>0.5</v>
      </c>
      <c r="AF202" s="177">
        <f t="shared" si="63"/>
        <v>0.87336724313530556</v>
      </c>
      <c r="AG202" s="811">
        <f t="shared" si="71"/>
        <v>-1</v>
      </c>
      <c r="AH202" s="176">
        <f t="shared" si="64"/>
        <v>5</v>
      </c>
      <c r="AI202" s="225">
        <f t="shared" si="65"/>
        <v>-0.12663275686469444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7">
        <v>49.887</v>
      </c>
      <c r="C203" s="390"/>
      <c r="D203" s="393">
        <f t="shared" si="48"/>
        <v>51.132638303075893</v>
      </c>
      <c r="E203" s="385">
        <f t="shared" si="72"/>
        <v>51.758576414639656</v>
      </c>
      <c r="F203" s="385">
        <f t="shared" si="49"/>
        <v>51.761259654494161</v>
      </c>
      <c r="G203" s="110">
        <f t="shared" si="73"/>
        <v>0.84058841980160903</v>
      </c>
      <c r="H203" s="414" t="b">
        <f>Wh_hp&gt;='2020'!Maxi_hp</f>
        <v>0</v>
      </c>
      <c r="I203" s="380">
        <f>IF(H203,Wh_hp,'2020'!Maxi_hp)</f>
        <v>63.132463716134929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2.4360923754661035E-2</v>
      </c>
      <c r="M203" s="845"/>
      <c r="N203" s="845"/>
      <c r="O203" s="48">
        <f>IF(t&lt;Tnet,'2020'!Resal+('2020'!Salim-'2020'!Resal)*(1-EXP(('2020'!Tnet-t)/('2020'!Tau_j))),Resal+(Salim-Resal)*(1-EXP((Tnet-t)/(Tau_j))))*Salcycl</f>
        <v>1.2093418229847535E-2</v>
      </c>
      <c r="P203" s="169">
        <f>(INDEX(Models!$BJ203:$BT203,,T203)*(1-R203)+INDEX(Models!$BJ203:$BT203,,T203+1)*R203-ERP_i)*Q203*Ramure*Pc/MaxiM</f>
        <v>6.7123661473974513E-5</v>
      </c>
      <c r="Q203" s="305">
        <f t="shared" si="51"/>
        <v>0.5</v>
      </c>
      <c r="R203" s="177">
        <f t="shared" si="52"/>
        <v>0.87716553470090797</v>
      </c>
      <c r="S203" s="811">
        <f t="shared" si="53"/>
        <v>-1</v>
      </c>
      <c r="T203" s="176">
        <f t="shared" si="54"/>
        <v>5</v>
      </c>
      <c r="U203" s="251">
        <f t="shared" si="55"/>
        <v>-0.12283446529909203</v>
      </c>
      <c r="V203" s="383">
        <f t="shared" si="56"/>
        <v>59.346805485007465</v>
      </c>
      <c r="W203" s="402"/>
      <c r="X203" s="157">
        <f t="shared" si="57"/>
        <v>44385</v>
      </c>
      <c r="Y203" s="385">
        <f t="shared" si="58"/>
        <v>47.349247046176089</v>
      </c>
      <c r="Z203" s="385">
        <f t="shared" si="59"/>
        <v>48.531519697217846</v>
      </c>
      <c r="AA203" s="386">
        <f t="shared" si="60"/>
        <v>51.758576414639656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6.2348251071856216E-2</v>
      </c>
      <c r="AD203" s="231">
        <f>(INDEX(Models!$BJ203:$BT203,,AH203)*(1-AF203)+INDEX(Models!$BJ203:$BT203,,AH203+1)*AF203-ERP_i)*AE203*Ramure*Pc/MaxiM</f>
        <v>6.7123661473974513E-5</v>
      </c>
      <c r="AE203" s="305">
        <f t="shared" si="62"/>
        <v>0.5</v>
      </c>
      <c r="AF203" s="177">
        <f t="shared" si="63"/>
        <v>0.87716553470090797</v>
      </c>
      <c r="AG203" s="811">
        <f t="shared" si="71"/>
        <v>-1</v>
      </c>
      <c r="AH203" s="176">
        <f t="shared" si="64"/>
        <v>5</v>
      </c>
      <c r="AI203" s="225">
        <f t="shared" si="65"/>
        <v>-0.12283446529909203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7">
        <v>58.228000000000002</v>
      </c>
      <c r="C204" s="390"/>
      <c r="D204" s="393">
        <f t="shared" si="48"/>
        <v>59.683213586178148</v>
      </c>
      <c r="E204" s="385">
        <f t="shared" si="72"/>
        <v>60.41911079413071</v>
      </c>
      <c r="F204" s="385">
        <f t="shared" si="49"/>
        <v>60.423367355969177</v>
      </c>
      <c r="G204" s="110">
        <f t="shared" si="73"/>
        <v>0.98292210843520722</v>
      </c>
      <c r="H204" s="414" t="b">
        <f>Wh_hp&gt;='2020'!Maxi_hp</f>
        <v>0</v>
      </c>
      <c r="I204" s="380">
        <f>IF(H204,Wh_hp,'2020'!Maxi_hp)</f>
        <v>60.536567302517156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2.4382292754342449E-2</v>
      </c>
      <c r="M204" s="845"/>
      <c r="N204" s="845"/>
      <c r="O204" s="48">
        <f>IF(t&lt;Tnet,'2020'!Resal+('2020'!Salim-'2020'!Resal)*(1-EXP(('2020'!Tnet-t)/('2020'!Tau_j))),Resal+(Salim-Resal)*(1-EXP((Tnet-t)/(Tau_j))))*Salcycl</f>
        <v>1.217987484887067E-2</v>
      </c>
      <c r="P204" s="169">
        <f>(INDEX(Models!$BJ204:$BT204,,T204)*(1-R204)+INDEX(Models!$BJ204:$BT204,,T204+1)*R204-ERP_i)*Q204*Ramure*Pc/MaxiM</f>
        <v>7.2207081022034007E-5</v>
      </c>
      <c r="Q204" s="305">
        <f t="shared" si="51"/>
        <v>0.5</v>
      </c>
      <c r="R204" s="177">
        <f t="shared" si="52"/>
        <v>0.88088363782636003</v>
      </c>
      <c r="S204" s="811">
        <f t="shared" si="53"/>
        <v>-1</v>
      </c>
      <c r="T204" s="176">
        <f t="shared" si="54"/>
        <v>5</v>
      </c>
      <c r="U204" s="251">
        <f t="shared" si="55"/>
        <v>-0.11911636217363997</v>
      </c>
      <c r="V204" s="383">
        <f t="shared" si="56"/>
        <v>59.239584629317676</v>
      </c>
      <c r="W204" s="402"/>
      <c r="X204" s="157">
        <f t="shared" si="57"/>
        <v>44386</v>
      </c>
      <c r="Y204" s="385">
        <f t="shared" si="58"/>
        <v>55.267955556404168</v>
      </c>
      <c r="Z204" s="385">
        <f t="shared" si="59"/>
        <v>56.649192758540067</v>
      </c>
      <c r="AA204" s="386">
        <f t="shared" si="60"/>
        <v>60.41911079413071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6.2396119142436354E-2</v>
      </c>
      <c r="AD204" s="231">
        <f>(INDEX(Models!$BJ204:$BT204,,AH204)*(1-AF204)+INDEX(Models!$BJ204:$BT204,,AH204+1)*AF204-ERP_i)*AE204*Ramure*Pc/MaxiM</f>
        <v>7.2207081022034007E-5</v>
      </c>
      <c r="AE204" s="305">
        <f t="shared" si="62"/>
        <v>0.5</v>
      </c>
      <c r="AF204" s="177">
        <f t="shared" si="63"/>
        <v>0.88088363782636003</v>
      </c>
      <c r="AG204" s="811">
        <f t="shared" si="71"/>
        <v>-1</v>
      </c>
      <c r="AH204" s="176">
        <f t="shared" si="64"/>
        <v>5</v>
      </c>
      <c r="AI204" s="225">
        <f t="shared" si="65"/>
        <v>-0.11911636217363997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7">
        <v>53.105000000000004</v>
      </c>
      <c r="C205" s="390"/>
      <c r="D205" s="393">
        <f t="shared" si="48"/>
        <v>54.433373612287916</v>
      </c>
      <c r="E205" s="385">
        <f t="shared" si="72"/>
        <v>55.109352285553172</v>
      </c>
      <c r="F205" s="385">
        <f t="shared" si="49"/>
        <v>55.113023237685802</v>
      </c>
      <c r="G205" s="110">
        <f t="shared" si="73"/>
        <v>0.89809257111791729</v>
      </c>
      <c r="H205" s="414" t="b">
        <f>Wh_hp&gt;='2020'!Maxi_hp</f>
        <v>0</v>
      </c>
      <c r="I205" s="380">
        <f>IF(H205,Wh_hp,'2020'!Maxi_hp)</f>
        <v>59.982897259607313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2.4403661285988032E-2</v>
      </c>
      <c r="M205" s="845"/>
      <c r="N205" s="845"/>
      <c r="O205" s="48">
        <f>IF(t&lt;Tnet,'2020'!Resal+('2020'!Salim-'2020'!Resal)*(1-EXP(('2020'!Tnet-t)/('2020'!Tau_j))),Resal+(Salim-Resal)*(1-EXP((Tnet-t)/(Tau_j))))*Salcycl</f>
        <v>1.2266133518728772E-2</v>
      </c>
      <c r="P205" s="169">
        <f>(INDEX(Models!$BJ205:$BT205,,T205)*(1-R205)+INDEX(Models!$BJ205:$BT205,,T205+1)*R205-ERP_i)*Q205*Ramure*Pc/MaxiM</f>
        <v>7.7955492150370636E-5</v>
      </c>
      <c r="Q205" s="305">
        <f t="shared" si="51"/>
        <v>0.5</v>
      </c>
      <c r="R205" s="177">
        <f t="shared" si="52"/>
        <v>0.88452102547418876</v>
      </c>
      <c r="S205" s="811">
        <f t="shared" si="53"/>
        <v>-1</v>
      </c>
      <c r="T205" s="176">
        <f t="shared" si="54"/>
        <v>5</v>
      </c>
      <c r="U205" s="251">
        <f t="shared" si="55"/>
        <v>-0.11547897452581124</v>
      </c>
      <c r="V205" s="383">
        <f t="shared" si="56"/>
        <v>59.130204439451838</v>
      </c>
      <c r="W205" s="402"/>
      <c r="X205" s="157">
        <f t="shared" si="57"/>
        <v>44387</v>
      </c>
      <c r="Y205" s="385">
        <f t="shared" si="58"/>
        <v>50.407254712410541</v>
      </c>
      <c r="Z205" s="385">
        <f t="shared" si="59"/>
        <v>51.668146662845373</v>
      </c>
      <c r="AA205" s="386">
        <f t="shared" si="60"/>
        <v>55.109352285553172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6.2443223881074449E-2</v>
      </c>
      <c r="AD205" s="231">
        <f>(INDEX(Models!$BJ205:$BT205,,AH205)*(1-AF205)+INDEX(Models!$BJ205:$BT205,,AH205+1)*AF205-ERP_i)*AE205*Ramure*Pc/MaxiM</f>
        <v>7.7955492150370636E-5</v>
      </c>
      <c r="AE205" s="305">
        <f t="shared" si="62"/>
        <v>0.5</v>
      </c>
      <c r="AF205" s="177">
        <f t="shared" si="63"/>
        <v>0.88452102547418876</v>
      </c>
      <c r="AG205" s="811">
        <f t="shared" si="71"/>
        <v>-1</v>
      </c>
      <c r="AH205" s="176">
        <f t="shared" si="64"/>
        <v>5</v>
      </c>
      <c r="AI205" s="225">
        <f t="shared" si="65"/>
        <v>-0.11547897452581124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7">
        <v>53.292999999999999</v>
      </c>
      <c r="C206" s="390"/>
      <c r="D206" s="393">
        <f t="shared" si="48"/>
        <v>54.627272739962621</v>
      </c>
      <c r="E206" s="385">
        <f t="shared" si="72"/>
        <v>55.310478695980201</v>
      </c>
      <c r="F206" s="385">
        <f t="shared" si="49"/>
        <v>55.3145090795797</v>
      </c>
      <c r="G206" s="110">
        <f t="shared" si="73"/>
        <v>0.90297749565480934</v>
      </c>
      <c r="H206" s="414" t="b">
        <f>Wh_hp&gt;='2020'!Maxi_hp</f>
        <v>0</v>
      </c>
      <c r="I206" s="380">
        <f>IF(H206,Wh_hp,'2020'!Maxi_hp)</f>
        <v>61.452728703103304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2.4425029349607885E-2</v>
      </c>
      <c r="M206" s="845"/>
      <c r="N206" s="845"/>
      <c r="O206" s="48">
        <f>IF(t&lt;Tnet,'2020'!Resal+('2020'!Salim-'2020'!Resal)*(1-EXP(('2020'!Tnet-t)/('2020'!Tau_j))),Resal+(Salim-Resal)*(1-EXP((Tnet-t)/(Tau_j))))*Salcycl</f>
        <v>1.2352197488163063E-2</v>
      </c>
      <c r="P206" s="169">
        <f>(INDEX(Models!$BJ206:$BT206,,T206)*(1-R206)+INDEX(Models!$BJ206:$BT206,,T206+1)*R206-ERP_i)*Q206*Ramure*Pc/MaxiM</f>
        <v>8.4585638567298977E-5</v>
      </c>
      <c r="Q206" s="305">
        <f t="shared" si="51"/>
        <v>0.5</v>
      </c>
      <c r="R206" s="177">
        <f t="shared" si="52"/>
        <v>0.888077326532553</v>
      </c>
      <c r="S206" s="811">
        <f t="shared" si="53"/>
        <v>-1</v>
      </c>
      <c r="T206" s="176">
        <f t="shared" si="54"/>
        <v>5</v>
      </c>
      <c r="U206" s="251">
        <f t="shared" si="55"/>
        <v>-0.11192267346744694</v>
      </c>
      <c r="V206" s="383">
        <f t="shared" si="56"/>
        <v>59.018497668854906</v>
      </c>
      <c r="W206" s="402"/>
      <c r="X206" s="157">
        <f t="shared" si="57"/>
        <v>44388</v>
      </c>
      <c r="Y206" s="385">
        <f t="shared" si="58"/>
        <v>50.587610145016107</v>
      </c>
      <c r="Z206" s="385">
        <f t="shared" si="59"/>
        <v>51.854149262655412</v>
      </c>
      <c r="AA206" s="386">
        <f t="shared" si="60"/>
        <v>55.310478695980201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6.2489595368047095E-2</v>
      </c>
      <c r="AD206" s="231">
        <f>(INDEX(Models!$BJ206:$BT206,,AH206)*(1-AF206)+INDEX(Models!$BJ206:$BT206,,AH206+1)*AF206-ERP_i)*AE206*Ramure*Pc/MaxiM</f>
        <v>8.4585638567298977E-5</v>
      </c>
      <c r="AE206" s="305">
        <f t="shared" si="62"/>
        <v>0.5</v>
      </c>
      <c r="AF206" s="177">
        <f t="shared" si="63"/>
        <v>0.888077326532553</v>
      </c>
      <c r="AG206" s="811">
        <f t="shared" si="71"/>
        <v>-1</v>
      </c>
      <c r="AH206" s="176">
        <f t="shared" si="64"/>
        <v>5</v>
      </c>
      <c r="AI206" s="225">
        <f t="shared" si="65"/>
        <v>-0.11192267346744694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7">
        <v>13.843</v>
      </c>
      <c r="C207" s="390"/>
      <c r="D207" s="393">
        <f t="shared" ref="D207:D270" si="74">Wh/(1-Ppv)</f>
        <v>14.189891725736947</v>
      </c>
      <c r="E207" s="385">
        <f t="shared" si="72"/>
        <v>14.368609500228439</v>
      </c>
      <c r="F207" s="385">
        <f t="shared" ref="F207:F270" si="75">Wh_sa/(1-Pvg*MEDIAN((-Sdif+Wh/Env_an)/Csdif,0,1))</f>
        <v>14.368609500228439</v>
      </c>
      <c r="G207" s="110">
        <f t="shared" si="73"/>
        <v>0.23498559502420863</v>
      </c>
      <c r="H207" s="414" t="b">
        <f>Wh_hp&gt;='2020'!Maxi_hp</f>
        <v>0</v>
      </c>
      <c r="I207" s="380">
        <f>IF(H207,Wh_hp,'2020'!Maxi_hp)</f>
        <v>61.87528776158792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2.4446396945212223E-2</v>
      </c>
      <c r="M207" s="845"/>
      <c r="N207" s="845"/>
      <c r="O207" s="48">
        <f>IF(t&lt;Tnet,'2020'!Resal+('2020'!Salim-'2020'!Resal)*(1-EXP(('2020'!Tnet-t)/('2020'!Tau_j))),Resal+(Salim-Resal)*(1-EXP((Tnet-t)/(Tau_j))))*Salcycl</f>
        <v>1.2438070259244731E-2</v>
      </c>
      <c r="P207" s="169">
        <f>(INDEX(Models!$BJ207:$BT207,,T207)*(1-R207)+INDEX(Models!$BJ207:$BT207,,T207+1)*R207-ERP_i)*Q207*Ramure*Pc/MaxiM</f>
        <v>9.2022765980931604E-5</v>
      </c>
      <c r="Q207" s="305">
        <f t="shared" ref="Q207:Q270" si="77">IF(OR(t&lt;Ttai,Notai),Dd+PousD*Croivg,Dens+PousD*(Croivg-Croi_tai))</f>
        <v>0.5</v>
      </c>
      <c r="R207" s="177">
        <f t="shared" ref="R207:R270" si="78">(Hp_vg-S207)/(INDEX(Echel_vg,T207+1)-S207)</f>
        <v>0.89155232007927121</v>
      </c>
      <c r="S207" s="81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-0.10844767992072873</v>
      </c>
      <c r="V207" s="383">
        <f t="shared" ref="V207:V270" si="82">MaxiM*(1-Ppv)*(1-Pvg)*(1-Psa)</f>
        <v>58.904572969353822</v>
      </c>
      <c r="W207" s="402"/>
      <c r="X207" s="157">
        <f t="shared" ref="X207:X270" si="83">t</f>
        <v>44389</v>
      </c>
      <c r="Y207" s="385">
        <f t="shared" ref="Y207:Y270" si="84">Wh_pvt_s*(1-Ppv)</f>
        <v>13.14077016081769</v>
      </c>
      <c r="Z207" s="385">
        <f t="shared" ref="Z207:Z270" si="85">Wh_sa_s*(1-Psa_s)</f>
        <v>13.470064709585921</v>
      </c>
      <c r="AA207" s="386">
        <f t="shared" ref="AA207:AA270" si="86">Wh_hp*(1-Pvg_s*MEDIAN((-Sdif+Wh/Env_an)/Csdif,0,1))</f>
        <v>14.368609500228439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6.2535264155395995E-2</v>
      </c>
      <c r="AD207" s="231">
        <f>(INDEX(Models!$BJ207:$BT207,,AH207)*(1-AF207)+INDEX(Models!$BJ207:$BT207,,AH207+1)*AF207-ERP_i)*AE207*Ramure*Pc/MaxiM</f>
        <v>9.2022765980931604E-5</v>
      </c>
      <c r="AE207" s="305">
        <f t="shared" ref="AE207:AE270" si="88">IF(OR(t&lt;Ttai,Notai),Dd_s+PousD*Croivg,Dens_s+PousD*(Croivg-Croi_tai))</f>
        <v>0.5</v>
      </c>
      <c r="AF207" s="177">
        <f t="shared" ref="AF207:AF270" si="89">(Hp_vg_s-AG207)/(INDEX(Echel_vg,AH207+1)-AG207)</f>
        <v>0.89155232007927121</v>
      </c>
      <c r="AG207" s="81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-0.10844767992072873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7">
        <v>25.238</v>
      </c>
      <c r="C208" s="390"/>
      <c r="D208" s="393">
        <f t="shared" si="74"/>
        <v>25.87100566288586</v>
      </c>
      <c r="E208" s="385">
        <f t="shared" si="72"/>
        <v>26.199116999878118</v>
      </c>
      <c r="F208" s="385">
        <f t="shared" si="75"/>
        <v>26.19960228025182</v>
      </c>
      <c r="G208" s="110">
        <f t="shared" si="73"/>
        <v>0.42926630346242595</v>
      </c>
      <c r="H208" s="414" t="b">
        <f>Wh_hp&gt;='2020'!Maxi_hp</f>
        <v>0</v>
      </c>
      <c r="I208" s="380">
        <f>IF(H208,Wh_hp,'2020'!Maxi_hp)</f>
        <v>52.848178882001989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2.4467764072811482E-2</v>
      </c>
      <c r="M208" s="845"/>
      <c r="N208" s="845"/>
      <c r="O208" s="48">
        <f>IF(t&lt;Tnet,'2020'!Resal+('2020'!Salim-'2020'!Resal)*(1-EXP(('2020'!Tnet-t)/('2020'!Tau_j))),Resal+(Salim-Resal)*(1-EXP((Tnet-t)/(Tau_j))))*Salcycl</f>
        <v>1.2523755552287645E-2</v>
      </c>
      <c r="P208" s="169">
        <f>(INDEX(Models!$BJ208:$BT208,,T208)*(1-R208)+INDEX(Models!$BJ208:$BT208,,T208+1)*R208-ERP_i)*Q208*Ramure*Pc/MaxiM</f>
        <v>1.0027503899082363E-4</v>
      </c>
      <c r="Q208" s="305">
        <f t="shared" si="77"/>
        <v>0.5</v>
      </c>
      <c r="R208" s="177">
        <f t="shared" si="78"/>
        <v>0.89494592929661665</v>
      </c>
      <c r="S208" s="811">
        <f t="shared" si="79"/>
        <v>-1</v>
      </c>
      <c r="T208" s="176">
        <f t="shared" si="80"/>
        <v>5</v>
      </c>
      <c r="U208" s="251">
        <f t="shared" si="81"/>
        <v>-0.1050540707033833</v>
      </c>
      <c r="V208" s="383">
        <f t="shared" si="82"/>
        <v>58.788534031107311</v>
      </c>
      <c r="W208" s="402"/>
      <c r="X208" s="157">
        <f t="shared" si="83"/>
        <v>44390</v>
      </c>
      <c r="Y208" s="385">
        <f t="shared" si="84"/>
        <v>23.958651667675774</v>
      </c>
      <c r="Z208" s="385">
        <f t="shared" si="85"/>
        <v>24.55956941792336</v>
      </c>
      <c r="AA208" s="386">
        <f t="shared" si="86"/>
        <v>26.199116999878118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6.2580261081409252E-2</v>
      </c>
      <c r="AD208" s="231">
        <f>(INDEX(Models!$BJ208:$BT208,,AH208)*(1-AF208)+INDEX(Models!$BJ208:$BT208,,AH208+1)*AF208-ERP_i)*AE208*Ramure*Pc/MaxiM</f>
        <v>1.0027503899082363E-4</v>
      </c>
      <c r="AE208" s="305">
        <f t="shared" si="88"/>
        <v>0.5</v>
      </c>
      <c r="AF208" s="177">
        <f t="shared" si="89"/>
        <v>0.89494592929661665</v>
      </c>
      <c r="AG208" s="811">
        <f t="shared" ref="AG208:AG271" si="95">INDEX(Echel_vg,AH208)</f>
        <v>-1</v>
      </c>
      <c r="AH208" s="176">
        <f t="shared" si="90"/>
        <v>5</v>
      </c>
      <c r="AI208" s="225">
        <f t="shared" si="91"/>
        <v>-0.1050540707033833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7">
        <v>28.137</v>
      </c>
      <c r="C209" s="390"/>
      <c r="D209" s="393">
        <f t="shared" si="74"/>
        <v>28.843348532984901</v>
      </c>
      <c r="E209" s="385">
        <f t="shared" si="72"/>
        <v>29.211686199570014</v>
      </c>
      <c r="F209" s="385">
        <f t="shared" si="75"/>
        <v>29.21250568508362</v>
      </c>
      <c r="G209" s="110">
        <f t="shared" si="73"/>
        <v>0.47953775553446742</v>
      </c>
      <c r="H209" s="414" t="b">
        <f>Wh_hp&gt;='2020'!Maxi_hp</f>
        <v>0</v>
      </c>
      <c r="I209" s="380">
        <f>IF(H209,Wh_hp,'2020'!Maxi_hp)</f>
        <v>61.910407700916835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2.4489130732415765E-2</v>
      </c>
      <c r="M209" s="845"/>
      <c r="N209" s="845"/>
      <c r="O209" s="48">
        <f>IF(t&lt;Tnet,'2020'!Resal+('2020'!Salim-'2020'!Resal)*(1-EXP(('2020'!Tnet-t)/('2020'!Tau_j))),Resal+(Salim-Resal)*(1-EXP((Tnet-t)/(Tau_j))))*Salcycl</f>
        <v>1.2609257270144732E-2</v>
      </c>
      <c r="P209" s="169">
        <f>(INDEX(Models!$BJ209:$BT209,,T209)*(1-R209)+INDEX(Models!$BJ209:$BT209,,T209+1)*R209-ERP_i)*Q209*Ramure*Pc/MaxiM</f>
        <v>1.093504098464231E-4</v>
      </c>
      <c r="Q209" s="305">
        <f t="shared" si="77"/>
        <v>0.5</v>
      </c>
      <c r="R209" s="177">
        <f t="shared" si="78"/>
        <v>0.89825821509474957</v>
      </c>
      <c r="S209" s="811">
        <f t="shared" si="79"/>
        <v>-1</v>
      </c>
      <c r="T209" s="176">
        <f t="shared" si="80"/>
        <v>5</v>
      </c>
      <c r="U209" s="251">
        <f t="shared" si="81"/>
        <v>-0.10174178490525038</v>
      </c>
      <c r="V209" s="383">
        <f t="shared" si="82"/>
        <v>58.670484510270001</v>
      </c>
      <c r="W209" s="402"/>
      <c r="X209" s="157">
        <f t="shared" si="83"/>
        <v>44391</v>
      </c>
      <c r="Y209" s="385">
        <f t="shared" si="84"/>
        <v>26.711746431864629</v>
      </c>
      <c r="Z209" s="385">
        <f t="shared" si="85"/>
        <v>27.382315536801624</v>
      </c>
      <c r="AA209" s="386">
        <f t="shared" si="86"/>
        <v>29.211686199570014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6.2624617088873152E-2</v>
      </c>
      <c r="AD209" s="231">
        <f>(INDEX(Models!$BJ209:$BT209,,AH209)*(1-AF209)+INDEX(Models!$BJ209:$BT209,,AH209+1)*AF209-ERP_i)*AE209*Ramure*Pc/MaxiM</f>
        <v>1.093504098464231E-4</v>
      </c>
      <c r="AE209" s="305">
        <f t="shared" si="88"/>
        <v>0.5</v>
      </c>
      <c r="AF209" s="177">
        <f t="shared" si="89"/>
        <v>0.89825821509474957</v>
      </c>
      <c r="AG209" s="811">
        <f t="shared" si="95"/>
        <v>-1</v>
      </c>
      <c r="AH209" s="176">
        <f t="shared" si="90"/>
        <v>5</v>
      </c>
      <c r="AI209" s="225">
        <f t="shared" si="91"/>
        <v>-0.10174178490525038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7">
        <v>36.529000000000003</v>
      </c>
      <c r="C210" s="390"/>
      <c r="D210" s="393">
        <f t="shared" si="74"/>
        <v>37.446840673133693</v>
      </c>
      <c r="E210" s="385">
        <f t="shared" si="72"/>
        <v>37.928324806254253</v>
      </c>
      <c r="F210" s="385">
        <f t="shared" si="75"/>
        <v>37.930417798723113</v>
      </c>
      <c r="G210" s="110">
        <f t="shared" si="73"/>
        <v>0.62384850206438391</v>
      </c>
      <c r="H210" s="414" t="b">
        <f>Wh_hp&gt;='2020'!Maxi_hp</f>
        <v>0</v>
      </c>
      <c r="I210" s="380">
        <f>IF(H210,Wh_hp,'2020'!Maxi_hp)</f>
        <v>63.341573131215071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2.4510496924035396E-2</v>
      </c>
      <c r="M210" s="845"/>
      <c r="N210" s="845"/>
      <c r="O210" s="48">
        <f>IF(t&lt;Tnet,'2020'!Resal+('2020'!Salim-'2020'!Resal)*(1-EXP(('2020'!Tnet-t)/('2020'!Tau_j))),Resal+(Salim-Resal)*(1-EXP((Tnet-t)/(Tau_j))))*Salcycl</f>
        <v>1.2694579462185033E-2</v>
      </c>
      <c r="P210" s="169">
        <f>(INDEX(Models!$BJ210:$BT210,,T210)*(1-R210)+INDEX(Models!$BJ210:$BT210,,T210+1)*R210-ERP_i)*Q210*Ramure*Pc/MaxiM</f>
        <v>1.1925664199042257E-4</v>
      </c>
      <c r="Q210" s="305">
        <f t="shared" si="77"/>
        <v>0.5</v>
      </c>
      <c r="R210" s="177">
        <f t="shared" si="78"/>
        <v>0.90148936949990199</v>
      </c>
      <c r="S210" s="811">
        <f t="shared" si="79"/>
        <v>-1</v>
      </c>
      <c r="T210" s="176">
        <f t="shared" si="80"/>
        <v>5</v>
      </c>
      <c r="U210" s="251">
        <f t="shared" si="81"/>
        <v>-9.8510630500098006E-2</v>
      </c>
      <c r="V210" s="383">
        <f t="shared" si="82"/>
        <v>58.550528031435995</v>
      </c>
      <c r="W210" s="402"/>
      <c r="X210" s="157">
        <f t="shared" si="83"/>
        <v>44392</v>
      </c>
      <c r="Y210" s="385">
        <f t="shared" si="84"/>
        <v>34.680035836889637</v>
      </c>
      <c r="Z210" s="385">
        <f t="shared" si="85"/>
        <v>35.551418777480158</v>
      </c>
      <c r="AA210" s="386">
        <f t="shared" si="86"/>
        <v>37.928324806254253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6.2668363048350356E-2</v>
      </c>
      <c r="AD210" s="231">
        <f>(INDEX(Models!$BJ210:$BT210,,AH210)*(1-AF210)+INDEX(Models!$BJ210:$BT210,,AH210+1)*AF210-ERP_i)*AE210*Ramure*Pc/MaxiM</f>
        <v>1.1925664199042257E-4</v>
      </c>
      <c r="AE210" s="305">
        <f t="shared" si="88"/>
        <v>0.5</v>
      </c>
      <c r="AF210" s="177">
        <f t="shared" si="89"/>
        <v>0.90148936949990199</v>
      </c>
      <c r="AG210" s="811">
        <f t="shared" si="95"/>
        <v>-1</v>
      </c>
      <c r="AH210" s="176">
        <f t="shared" si="90"/>
        <v>5</v>
      </c>
      <c r="AI210" s="225">
        <f t="shared" si="91"/>
        <v>-9.8510630500098006E-2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7">
        <v>41.581000000000003</v>
      </c>
      <c r="C211" s="390"/>
      <c r="D211" s="393">
        <f t="shared" si="74"/>
        <v>42.62671266009972</v>
      </c>
      <c r="E211" s="385">
        <f t="shared" si="72"/>
        <v>43.178522357357728</v>
      </c>
      <c r="F211" s="385">
        <f t="shared" si="75"/>
        <v>43.181823633721997</v>
      </c>
      <c r="G211" s="110">
        <f t="shared" si="73"/>
        <v>0.71161474781001921</v>
      </c>
      <c r="H211" s="414" t="b">
        <f>Wh_hp&gt;='2020'!Maxi_hp</f>
        <v>0</v>
      </c>
      <c r="I211" s="380">
        <f>IF(H211,Wh_hp,'2020'!Maxi_hp)</f>
        <v>61.340662594559738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2.4531862647680591E-2</v>
      </c>
      <c r="M211" s="845"/>
      <c r="N211" s="845"/>
      <c r="O211" s="48">
        <f>IF(t&lt;Tnet,'2020'!Resal+('2020'!Salim-'2020'!Resal)*(1-EXP(('2020'!Tnet-t)/('2020'!Tau_j))),Resal+(Salim-Resal)*(1-EXP((Tnet-t)/(Tau_j))))*Salcycl</f>
        <v>1.2779726288247487E-2</v>
      </c>
      <c r="P211" s="169">
        <f>(INDEX(Models!$BJ211:$BT211,,T211)*(1-R211)+INDEX(Models!$BJ211:$BT211,,T211+1)*R211-ERP_i)*Q211*Ramure*Pc/MaxiM</f>
        <v>1.3000133313499613E-4</v>
      </c>
      <c r="Q211" s="305">
        <f t="shared" si="77"/>
        <v>0.5</v>
      </c>
      <c r="R211" s="177">
        <f t="shared" si="78"/>
        <v>0.90463970886124345</v>
      </c>
      <c r="S211" s="811">
        <f t="shared" si="79"/>
        <v>-1</v>
      </c>
      <c r="T211" s="176">
        <f t="shared" si="80"/>
        <v>5</v>
      </c>
      <c r="U211" s="251">
        <f t="shared" si="81"/>
        <v>-9.5360291138756603E-2</v>
      </c>
      <c r="V211" s="383">
        <f t="shared" si="82"/>
        <v>58.428768184913707</v>
      </c>
      <c r="W211" s="402"/>
      <c r="X211" s="157">
        <f t="shared" si="83"/>
        <v>44393</v>
      </c>
      <c r="Y211" s="385">
        <f t="shared" si="84"/>
        <v>39.477908756556005</v>
      </c>
      <c r="Z211" s="385">
        <f t="shared" si="85"/>
        <v>40.470731174992117</v>
      </c>
      <c r="AA211" s="386">
        <f t="shared" si="86"/>
        <v>43.178522357357728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6.2711529587677006E-2</v>
      </c>
      <c r="AD211" s="231">
        <f>(INDEX(Models!$BJ211:$BT211,,AH211)*(1-AF211)+INDEX(Models!$BJ211:$BT211,,AH211+1)*AF211-ERP_i)*AE211*Ramure*Pc/MaxiM</f>
        <v>1.3000133313499613E-4</v>
      </c>
      <c r="AE211" s="305">
        <f t="shared" si="88"/>
        <v>0.5</v>
      </c>
      <c r="AF211" s="177">
        <f t="shared" si="89"/>
        <v>0.90463970886124345</v>
      </c>
      <c r="AG211" s="811">
        <f t="shared" si="95"/>
        <v>-1</v>
      </c>
      <c r="AH211" s="176">
        <f t="shared" si="90"/>
        <v>5</v>
      </c>
      <c r="AI211" s="225">
        <f t="shared" si="91"/>
        <v>-9.5360291138756603E-2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7">
        <v>57.947000000000003</v>
      </c>
      <c r="C212" s="390"/>
      <c r="D212" s="393">
        <f t="shared" si="74"/>
        <v>59.40559921629341</v>
      </c>
      <c r="E212" s="385">
        <f t="shared" si="72"/>
        <v>60.179794335813632</v>
      </c>
      <c r="F212" s="385">
        <f t="shared" si="75"/>
        <v>60.188178256844751</v>
      </c>
      <c r="G212" s="110">
        <f t="shared" si="73"/>
        <v>0.99385233267893258</v>
      </c>
      <c r="H212" s="414" t="b">
        <f>Wh_hp&gt;='2020'!Maxi_hp</f>
        <v>1</v>
      </c>
      <c r="I212" s="380">
        <f>IF(H212,Wh_hp,'2020'!Maxi_hp)</f>
        <v>60.188178256844751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2.4553227903361563E-2</v>
      </c>
      <c r="M212" s="845"/>
      <c r="N212" s="845"/>
      <c r="O212" s="48">
        <f>IF(t&lt;Tnet,'2020'!Resal+('2020'!Salim-'2020'!Resal)*(1-EXP(('2020'!Tnet-t)/('2020'!Tau_j))),Resal+(Salim-Resal)*(1-EXP((Tnet-t)/(Tau_j))))*Salcycl</f>
        <v>1.286470198286299E-2</v>
      </c>
      <c r="P212" s="169">
        <f>(INDEX(Models!$BJ212:$BT212,,T212)*(1-R212)+INDEX(Models!$BJ212:$BT212,,T212+1)*R212-ERP_i)*Q212*Ramure*Pc/MaxiM</f>
        <v>1.4052907903224304E-4</v>
      </c>
      <c r="Q212" s="305">
        <f t="shared" si="77"/>
        <v>0.5</v>
      </c>
      <c r="R212" s="177">
        <f t="shared" si="78"/>
        <v>0.90770966692781974</v>
      </c>
      <c r="S212" s="811">
        <f t="shared" si="79"/>
        <v>-1</v>
      </c>
      <c r="T212" s="176">
        <f t="shared" si="80"/>
        <v>5</v>
      </c>
      <c r="U212" s="251">
        <f t="shared" si="81"/>
        <v>-9.2290333072180264E-2</v>
      </c>
      <c r="V212" s="383">
        <f t="shared" si="82"/>
        <v>58.305370508192233</v>
      </c>
      <c r="W212" s="402"/>
      <c r="X212" s="157">
        <f t="shared" si="83"/>
        <v>44394</v>
      </c>
      <c r="Y212" s="385">
        <f t="shared" si="84"/>
        <v>55.018380516845987</v>
      </c>
      <c r="Z212" s="385">
        <f t="shared" si="85"/>
        <v>56.403262679919209</v>
      </c>
      <c r="AA212" s="386">
        <f t="shared" si="86"/>
        <v>60.179794335813632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6.2754146928796772E-2</v>
      </c>
      <c r="AD212" s="231">
        <f>(INDEX(Models!$BJ212:$BT212,,AH212)*(1-AF212)+INDEX(Models!$BJ212:$BT212,,AH212+1)*AF212-ERP_i)*AE212*Ramure*Pc/MaxiM</f>
        <v>1.4052907903224304E-4</v>
      </c>
      <c r="AE212" s="305">
        <f t="shared" si="88"/>
        <v>0.5</v>
      </c>
      <c r="AF212" s="177">
        <f t="shared" si="89"/>
        <v>0.90770966692781974</v>
      </c>
      <c r="AG212" s="811">
        <f t="shared" si="95"/>
        <v>-1</v>
      </c>
      <c r="AH212" s="176">
        <f t="shared" si="90"/>
        <v>5</v>
      </c>
      <c r="AI212" s="225">
        <f t="shared" si="91"/>
        <v>-9.2290333072180264E-2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7">
        <v>52.209000000000003</v>
      </c>
      <c r="C213" s="390"/>
      <c r="D213" s="393">
        <f t="shared" si="74"/>
        <v>53.524338825701435</v>
      </c>
      <c r="E213" s="385">
        <f t="shared" si="72"/>
        <v>54.226546070777815</v>
      </c>
      <c r="F213" s="385">
        <f t="shared" si="75"/>
        <v>54.233501004193869</v>
      </c>
      <c r="G213" s="110">
        <f t="shared" si="73"/>
        <v>0.89734318362830334</v>
      </c>
      <c r="H213" s="414" t="b">
        <f>Wh_hp&gt;='2020'!Maxi_hp</f>
        <v>1</v>
      </c>
      <c r="I213" s="380">
        <f>IF(H213,Wh_hp,'2020'!Maxi_hp)</f>
        <v>54.233501004193869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2.4574592691088637E-2</v>
      </c>
      <c r="M213" s="845"/>
      <c r="N213" s="845"/>
      <c r="O213" s="48">
        <f>IF(t&lt;Tnet,'2020'!Resal+('2020'!Salim-'2020'!Resal)*(1-EXP(('2020'!Tnet-t)/('2020'!Tau_j))),Resal+(Salim-Resal)*(1-EXP((Tnet-t)/(Tau_j))))*Salcycl</f>
        <v>1.2949510820029667E-2</v>
      </c>
      <c r="P213" s="169">
        <f>(INDEX(Models!$BJ213:$BT213,,T213)*(1-R213)+INDEX(Models!$BJ213:$BT213,,T213+1)*R213-ERP_i)*Q213*Ramure*Pc/MaxiM</f>
        <v>1.5027442899248573E-4</v>
      </c>
      <c r="Q213" s="305">
        <f t="shared" si="77"/>
        <v>0.5</v>
      </c>
      <c r="R213" s="177">
        <f t="shared" si="78"/>
        <v>0.9106997878441101</v>
      </c>
      <c r="S213" s="811">
        <f t="shared" si="79"/>
        <v>-1</v>
      </c>
      <c r="T213" s="176">
        <f t="shared" si="80"/>
        <v>5</v>
      </c>
      <c r="U213" s="251">
        <f t="shared" si="81"/>
        <v>-8.9300212155889847E-2</v>
      </c>
      <c r="V213" s="383">
        <f t="shared" si="82"/>
        <v>58.180471460220133</v>
      </c>
      <c r="W213" s="402"/>
      <c r="X213" s="157">
        <f t="shared" si="83"/>
        <v>44395</v>
      </c>
      <c r="Y213" s="385">
        <f t="shared" si="84"/>
        <v>49.572409309464454</v>
      </c>
      <c r="Z213" s="385">
        <f t="shared" si="85"/>
        <v>50.82132261269382</v>
      </c>
      <c r="AA213" s="386">
        <f t="shared" si="86"/>
        <v>54.226546070777815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6.2796244732965537E-2</v>
      </c>
      <c r="AD213" s="231">
        <f>(INDEX(Models!$BJ213:$BT213,,AH213)*(1-AF213)+INDEX(Models!$BJ213:$BT213,,AH213+1)*AF213-ERP_i)*AE213*Ramure*Pc/MaxiM</f>
        <v>1.5027442899248573E-4</v>
      </c>
      <c r="AE213" s="305">
        <f t="shared" si="88"/>
        <v>0.5</v>
      </c>
      <c r="AF213" s="177">
        <f t="shared" si="89"/>
        <v>0.9106997878441101</v>
      </c>
      <c r="AG213" s="811">
        <f t="shared" si="95"/>
        <v>-1</v>
      </c>
      <c r="AH213" s="176">
        <f t="shared" si="90"/>
        <v>5</v>
      </c>
      <c r="AI213" s="225">
        <f t="shared" si="91"/>
        <v>-8.9300212155889847E-2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7">
        <v>57.319000000000003</v>
      </c>
      <c r="C214" s="390"/>
      <c r="D214" s="393">
        <f t="shared" si="74"/>
        <v>58.764365815365899</v>
      </c>
      <c r="E214" s="385">
        <f t="shared" si="72"/>
        <v>59.540425068244886</v>
      </c>
      <c r="F214" s="385">
        <f t="shared" si="75"/>
        <v>59.54973537187086</v>
      </c>
      <c r="G214" s="110">
        <f t="shared" si="73"/>
        <v>0.98733355257302102</v>
      </c>
      <c r="H214" s="414" t="b">
        <f>Wh_hp&gt;='2020'!Maxi_hp</f>
        <v>0</v>
      </c>
      <c r="I214" s="380">
        <f>IF(H214,Wh_hp,'2020'!Maxi_hp)</f>
        <v>60.582660665176114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2.4595957010872027E-2</v>
      </c>
      <c r="M214" s="845"/>
      <c r="N214" s="845"/>
      <c r="O214" s="48">
        <f>IF(t&lt;Tnet,'2020'!Resal+('2020'!Salim-'2020'!Resal)*(1-EXP(('2020'!Tnet-t)/('2020'!Tau_j))),Resal+(Salim-Resal)*(1-EXP((Tnet-t)/(Tau_j))))*Salcycl</f>
        <v>1.3034157078816165E-2</v>
      </c>
      <c r="P214" s="169">
        <f>(INDEX(Models!$BJ214:$BT214,,T214)*(1-R214)+INDEX(Models!$BJ214:$BT214,,T214+1)*R214-ERP_i)*Q214*Ramure*Pc/MaxiM</f>
        <v>1.5922553119119298E-4</v>
      </c>
      <c r="Q214" s="305">
        <f t="shared" si="77"/>
        <v>0.5</v>
      </c>
      <c r="R214" s="177">
        <f t="shared" si="78"/>
        <v>0.91361071910967384</v>
      </c>
      <c r="S214" s="811">
        <f t="shared" si="79"/>
        <v>-1</v>
      </c>
      <c r="T214" s="176">
        <f t="shared" si="80"/>
        <v>5</v>
      </c>
      <c r="U214" s="251">
        <f t="shared" si="81"/>
        <v>-8.6389280890326103E-2</v>
      </c>
      <c r="V214" s="383">
        <f t="shared" si="82"/>
        <v>58.054175021075679</v>
      </c>
      <c r="W214" s="402"/>
      <c r="X214" s="157">
        <f t="shared" si="83"/>
        <v>44396</v>
      </c>
      <c r="Y214" s="385">
        <f t="shared" si="84"/>
        <v>54.426602044084845</v>
      </c>
      <c r="Z214" s="385">
        <f t="shared" si="85"/>
        <v>55.799032652452816</v>
      </c>
      <c r="AA214" s="386">
        <f t="shared" si="86"/>
        <v>59.540425068244886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6.2837851955267504E-2</v>
      </c>
      <c r="AD214" s="231">
        <f>(INDEX(Models!$BJ214:$BT214,,AH214)*(1-AF214)+INDEX(Models!$BJ214:$BT214,,AH214+1)*AF214-ERP_i)*AE214*Ramure*Pc/MaxiM</f>
        <v>1.5922553119119298E-4</v>
      </c>
      <c r="AE214" s="305">
        <f t="shared" si="88"/>
        <v>0.5</v>
      </c>
      <c r="AF214" s="177">
        <f t="shared" si="89"/>
        <v>0.91361071910967384</v>
      </c>
      <c r="AG214" s="811">
        <f t="shared" si="95"/>
        <v>-1</v>
      </c>
      <c r="AH214" s="176">
        <f t="shared" si="90"/>
        <v>5</v>
      </c>
      <c r="AI214" s="225">
        <f t="shared" si="91"/>
        <v>-8.6389280890326103E-2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7">
        <v>48.777000000000001</v>
      </c>
      <c r="C215" s="390"/>
      <c r="D215" s="393">
        <f t="shared" si="74"/>
        <v>50.008064571274787</v>
      </c>
      <c r="E215" s="385">
        <f t="shared" si="72"/>
        <v>50.672823352493367</v>
      </c>
      <c r="F215" s="385">
        <f t="shared" si="75"/>
        <v>50.679391631938181</v>
      </c>
      <c r="G215" s="110">
        <f t="shared" si="73"/>
        <v>0.84201679687003106</v>
      </c>
      <c r="H215" s="414" t="b">
        <f>Wh_hp&gt;='2020'!Maxi_hp</f>
        <v>0</v>
      </c>
      <c r="I215" s="380">
        <f>IF(H215,Wh_hp,'2020'!Maxi_hp)</f>
        <v>59.347072848746947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2.4617320862721948E-2</v>
      </c>
      <c r="M215" s="845"/>
      <c r="N215" s="845"/>
      <c r="O215" s="48">
        <f>IF(t&lt;Tnet,'2020'!Resal+('2020'!Salim-'2020'!Resal)*(1-EXP(('2020'!Tnet-t)/('2020'!Tau_j))),Resal+(Salim-Resal)*(1-EXP((Tnet-t)/(Tau_j))))*Salcycl</f>
        <v>1.3118645010054917E-2</v>
      </c>
      <c r="P215" s="169">
        <f>(INDEX(Models!$BJ215:$BT215,,T215)*(1-R215)+INDEX(Models!$BJ215:$BT215,,T215+1)*R215-ERP_i)*Q215*Ramure*Pc/MaxiM</f>
        <v>1.6737093403354345E-4</v>
      </c>
      <c r="Q215" s="305">
        <f t="shared" si="77"/>
        <v>0.5</v>
      </c>
      <c r="R215" s="177">
        <f t="shared" si="78"/>
        <v>0.91644320454510897</v>
      </c>
      <c r="S215" s="811">
        <f t="shared" si="79"/>
        <v>-1</v>
      </c>
      <c r="T215" s="176">
        <f t="shared" si="80"/>
        <v>5</v>
      </c>
      <c r="U215" s="251">
        <f t="shared" si="81"/>
        <v>-8.3556795454890975E-2</v>
      </c>
      <c r="V215" s="383">
        <f t="shared" si="82"/>
        <v>57.926585088711178</v>
      </c>
      <c r="W215" s="402"/>
      <c r="X215" s="157">
        <f t="shared" si="83"/>
        <v>44397</v>
      </c>
      <c r="Y215" s="385">
        <f t="shared" si="84"/>
        <v>46.317575001685043</v>
      </c>
      <c r="Z215" s="385">
        <f t="shared" si="85"/>
        <v>47.486567059661901</v>
      </c>
      <c r="AA215" s="386">
        <f t="shared" si="86"/>
        <v>50.672823352493367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6.2878996709282126E-2</v>
      </c>
      <c r="AD215" s="231">
        <f>(INDEX(Models!$BJ215:$BT215,,AH215)*(1-AF215)+INDEX(Models!$BJ215:$BT215,,AH215+1)*AF215-ERP_i)*AE215*Ramure*Pc/MaxiM</f>
        <v>1.6737093403354345E-4</v>
      </c>
      <c r="AE215" s="305">
        <f t="shared" si="88"/>
        <v>0.5</v>
      </c>
      <c r="AF215" s="177">
        <f t="shared" si="89"/>
        <v>0.91644320454510897</v>
      </c>
      <c r="AG215" s="811">
        <f t="shared" si="95"/>
        <v>-1</v>
      </c>
      <c r="AH215" s="176">
        <f t="shared" si="90"/>
        <v>5</v>
      </c>
      <c r="AI215" s="225">
        <f t="shared" si="91"/>
        <v>-8.3556795454890975E-2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7">
        <v>43.472000000000001</v>
      </c>
      <c r="C216" s="390"/>
      <c r="D216" s="393">
        <f t="shared" si="74"/>
        <v>44.570149848954202</v>
      </c>
      <c r="E216" s="385">
        <f t="shared" si="72"/>
        <v>45.166481952845693</v>
      </c>
      <c r="F216" s="385">
        <f t="shared" si="75"/>
        <v>45.17157914814895</v>
      </c>
      <c r="G216" s="110">
        <f t="shared" si="73"/>
        <v>0.75209275174860979</v>
      </c>
      <c r="H216" s="414" t="b">
        <f>Wh_hp&gt;='2020'!Maxi_hp</f>
        <v>0</v>
      </c>
      <c r="I216" s="380">
        <f>IF(H216,Wh_hp,'2020'!Maxi_hp)</f>
        <v>52.659548349792288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2.4638684246648723E-2</v>
      </c>
      <c r="M216" s="845"/>
      <c r="N216" s="845"/>
      <c r="O216" s="48">
        <f>IF(t&lt;Tnet,'2020'!Resal+('2020'!Salim-'2020'!Resal)*(1-EXP(('2020'!Tnet-t)/('2020'!Tau_j))),Resal+(Salim-Resal)*(1-EXP((Tnet-t)/(Tau_j))))*Salcycl</f>
        <v>1.3202978804372493E-2</v>
      </c>
      <c r="P216" s="169">
        <f>(INDEX(Models!$BJ216:$BT216,,T216)*(1-R216)+INDEX(Models!$BJ216:$BT216,,T216+1)*R216-ERP_i)*Q216*Ramure*Pc/MaxiM</f>
        <v>1.7469955523105295E-4</v>
      </c>
      <c r="Q216" s="305">
        <f t="shared" si="77"/>
        <v>0.5</v>
      </c>
      <c r="R216" s="177">
        <f t="shared" si="78"/>
        <v>0.91919807730316894</v>
      </c>
      <c r="S216" s="811">
        <f t="shared" si="79"/>
        <v>-1</v>
      </c>
      <c r="T216" s="176">
        <f t="shared" si="80"/>
        <v>5</v>
      </c>
      <c r="U216" s="251">
        <f t="shared" si="81"/>
        <v>-8.0801922696831008E-2</v>
      </c>
      <c r="V216" s="383">
        <f t="shared" si="82"/>
        <v>57.797805483290666</v>
      </c>
      <c r="W216" s="402"/>
      <c r="X216" s="157">
        <f t="shared" si="83"/>
        <v>44398</v>
      </c>
      <c r="Y216" s="385">
        <f t="shared" si="84"/>
        <v>41.281797228380157</v>
      </c>
      <c r="Z216" s="385">
        <f t="shared" si="85"/>
        <v>42.324620180876096</v>
      </c>
      <c r="AA216" s="386">
        <f t="shared" si="86"/>
        <v>45.166481952845693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6.2919706142633189E-2</v>
      </c>
      <c r="AD216" s="231">
        <f>(INDEX(Models!$BJ216:$BT216,,AH216)*(1-AF216)+INDEX(Models!$BJ216:$BT216,,AH216+1)*AF216-ERP_i)*AE216*Ramure*Pc/MaxiM</f>
        <v>1.7469955523105295E-4</v>
      </c>
      <c r="AE216" s="305">
        <f t="shared" si="88"/>
        <v>0.5</v>
      </c>
      <c r="AF216" s="177">
        <f t="shared" si="89"/>
        <v>0.91919807730316894</v>
      </c>
      <c r="AG216" s="811">
        <f t="shared" si="95"/>
        <v>-1</v>
      </c>
      <c r="AH216" s="176">
        <f t="shared" si="90"/>
        <v>5</v>
      </c>
      <c r="AI216" s="225">
        <f t="shared" si="91"/>
        <v>-8.0801922696831008E-2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7">
        <v>53.465000000000003</v>
      </c>
      <c r="C217" s="390"/>
      <c r="D217" s="393">
        <f t="shared" si="74"/>
        <v>54.816784490849869</v>
      </c>
      <c r="E217" s="385">
        <f t="shared" si="72"/>
        <v>55.554952171464336</v>
      </c>
      <c r="F217" s="385">
        <f t="shared" si="75"/>
        <v>55.563972127949256</v>
      </c>
      <c r="G217" s="110">
        <f t="shared" si="73"/>
        <v>0.92710076358427473</v>
      </c>
      <c r="H217" s="414" t="b">
        <f>Wh_hp&gt;='2020'!Maxi_hp</f>
        <v>1</v>
      </c>
      <c r="I217" s="380">
        <f>IF(H217,Wh_hp,'2020'!Maxi_hp)</f>
        <v>55.563972127949256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2.4660047162662568E-2</v>
      </c>
      <c r="M217" s="845"/>
      <c r="N217" s="845"/>
      <c r="O217" s="48">
        <f>IF(t&lt;Tnet,'2020'!Resal+('2020'!Salim-'2020'!Resal)*(1-EXP(('2020'!Tnet-t)/('2020'!Tau_j))),Resal+(Salim-Resal)*(1-EXP((Tnet-t)/(Tau_j))))*Salcycl</f>
        <v>1.3287162561785556E-2</v>
      </c>
      <c r="P217" s="169">
        <f>(INDEX(Models!$BJ217:$BT217,,T217)*(1-R217)+INDEX(Models!$BJ217:$BT217,,T217+1)*R217-ERP_i)*Q217*Ramure*Pc/MaxiM</f>
        <v>1.8120065069674807E-4</v>
      </c>
      <c r="Q217" s="305">
        <f t="shared" si="77"/>
        <v>0.5</v>
      </c>
      <c r="R217" s="177">
        <f t="shared" si="78"/>
        <v>0.92187625296044806</v>
      </c>
      <c r="S217" s="811">
        <f t="shared" si="79"/>
        <v>-1</v>
      </c>
      <c r="T217" s="176">
        <f t="shared" si="80"/>
        <v>5</v>
      </c>
      <c r="U217" s="251">
        <f t="shared" si="81"/>
        <v>-7.8123747039551883E-2</v>
      </c>
      <c r="V217" s="383">
        <f t="shared" si="82"/>
        <v>57.667939952264689</v>
      </c>
      <c r="W217" s="402"/>
      <c r="X217" s="157">
        <f t="shared" si="83"/>
        <v>44399</v>
      </c>
      <c r="Y217" s="385">
        <f t="shared" si="84"/>
        <v>50.773478727565902</v>
      </c>
      <c r="Z217" s="385">
        <f t="shared" si="85"/>
        <v>52.057212031417379</v>
      </c>
      <c r="AA217" s="386">
        <f t="shared" si="86"/>
        <v>55.554952171464336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6.2960006324036866E-2</v>
      </c>
      <c r="AD217" s="231">
        <f>(INDEX(Models!$BJ217:$BT217,,AH217)*(1-AF217)+INDEX(Models!$BJ217:$BT217,,AH217+1)*AF217-ERP_i)*AE217*Ramure*Pc/MaxiM</f>
        <v>1.8120065069674807E-4</v>
      </c>
      <c r="AE217" s="305">
        <f t="shared" si="88"/>
        <v>0.5</v>
      </c>
      <c r="AF217" s="177">
        <f t="shared" si="89"/>
        <v>0.92187625296044806</v>
      </c>
      <c r="AG217" s="811">
        <f t="shared" si="95"/>
        <v>-1</v>
      </c>
      <c r="AH217" s="176">
        <f t="shared" si="90"/>
        <v>5</v>
      </c>
      <c r="AI217" s="225">
        <f t="shared" si="91"/>
        <v>-7.8123747039551883E-2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7">
        <v>45.417999999999999</v>
      </c>
      <c r="C218" s="390"/>
      <c r="D218" s="393">
        <f t="shared" si="74"/>
        <v>46.567347785173212</v>
      </c>
      <c r="E218" s="385">
        <f t="shared" si="72"/>
        <v>47.198447681224977</v>
      </c>
      <c r="F218" s="385">
        <f t="shared" si="75"/>
        <v>47.204614313538926</v>
      </c>
      <c r="G218" s="110">
        <f t="shared" si="73"/>
        <v>0.78932466354371078</v>
      </c>
      <c r="H218" s="414" t="b">
        <f>Wh_hp&gt;='2020'!Maxi_hp</f>
        <v>0</v>
      </c>
      <c r="I218" s="380">
        <f>IF(H218,Wh_hp,'2020'!Maxi_hp)</f>
        <v>57.937152506467669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2.4681409610773697E-2</v>
      </c>
      <c r="M218" s="845"/>
      <c r="N218" s="845"/>
      <c r="O218" s="48">
        <f>IF(t&lt;Tnet,'2020'!Resal+('2020'!Salim-'2020'!Resal)*(1-EXP(('2020'!Tnet-t)/('2020'!Tau_j))),Resal+(Salim-Resal)*(1-EXP((Tnet-t)/(Tau_j))))*Salcycl</f>
        <v>1.3371200263071582E-2</v>
      </c>
      <c r="P218" s="169">
        <f>(INDEX(Models!$BJ218:$BT218,,T218)*(1-R218)+INDEX(Models!$BJ218:$BT218,,T218+1)*R218-ERP_i)*Q218*Ramure*Pc/MaxiM</f>
        <v>1.868637837492958E-4</v>
      </c>
      <c r="Q218" s="305">
        <f t="shared" si="77"/>
        <v>0.5</v>
      </c>
      <c r="R218" s="177">
        <f t="shared" si="78"/>
        <v>0.92447872272158027</v>
      </c>
      <c r="S218" s="811">
        <f t="shared" si="79"/>
        <v>-1</v>
      </c>
      <c r="T218" s="176">
        <f t="shared" si="80"/>
        <v>5</v>
      </c>
      <c r="U218" s="251">
        <f t="shared" si="81"/>
        <v>-7.5521277278419785E-2</v>
      </c>
      <c r="V218" s="383">
        <f t="shared" si="82"/>
        <v>57.537092175602133</v>
      </c>
      <c r="W218" s="402"/>
      <c r="X218" s="157">
        <f t="shared" si="83"/>
        <v>44400</v>
      </c>
      <c r="Y218" s="385">
        <f t="shared" si="84"/>
        <v>43.133415067030313</v>
      </c>
      <c r="Z218" s="385">
        <f t="shared" si="85"/>
        <v>44.224949152068149</v>
      </c>
      <c r="AA218" s="386">
        <f t="shared" si="86"/>
        <v>47.198447681224977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6.2999922142347384E-2</v>
      </c>
      <c r="AD218" s="231">
        <f>(INDEX(Models!$BJ218:$BT218,,AH218)*(1-AF218)+INDEX(Models!$BJ218:$BT218,,AH218+1)*AF218-ERP_i)*AE218*Ramure*Pc/MaxiM</f>
        <v>1.868637837492958E-4</v>
      </c>
      <c r="AE218" s="305">
        <f t="shared" si="88"/>
        <v>0.5</v>
      </c>
      <c r="AF218" s="177">
        <f t="shared" si="89"/>
        <v>0.92447872272158027</v>
      </c>
      <c r="AG218" s="811">
        <f t="shared" si="95"/>
        <v>-1</v>
      </c>
      <c r="AH218" s="176">
        <f t="shared" si="90"/>
        <v>5</v>
      </c>
      <c r="AI218" s="225">
        <f t="shared" si="91"/>
        <v>-7.5521277278419785E-2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7">
        <v>29.144000000000002</v>
      </c>
      <c r="C219" s="390"/>
      <c r="D219" s="393">
        <f t="shared" si="74"/>
        <v>29.882172481451949</v>
      </c>
      <c r="E219" s="385">
        <f t="shared" si="72"/>
        <v>30.289723612692789</v>
      </c>
      <c r="F219" s="385">
        <f t="shared" si="75"/>
        <v>30.291446325625174</v>
      </c>
      <c r="G219" s="110">
        <f t="shared" si="73"/>
        <v>0.50762157203232194</v>
      </c>
      <c r="H219" s="414" t="b">
        <f>Wh_hp&gt;='2020'!Maxi_hp</f>
        <v>0</v>
      </c>
      <c r="I219" s="380">
        <f>IF(H219,Wh_hp,'2020'!Maxi_hp)</f>
        <v>57.924820130429069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2.4702771590992434E-2</v>
      </c>
      <c r="M219" s="845"/>
      <c r="N219" s="845"/>
      <c r="O219" s="48">
        <f>IF(t&lt;Tnet,'2020'!Resal+('2020'!Salim-'2020'!Resal)*(1-EXP(('2020'!Tnet-t)/('2020'!Tau_j))),Resal+(Salim-Resal)*(1-EXP((Tnet-t)/(Tau_j))))*Salcycl</f>
        <v>1.3455095743100774E-2</v>
      </c>
      <c r="P219" s="169">
        <f>(INDEX(Models!$BJ219:$BT219,,T219)*(1-R219)+INDEX(Models!$BJ219:$BT219,,T219+1)*R219-ERP_i)*Q219*Ramure*Pc/MaxiM</f>
        <v>1.9167934769921403E-4</v>
      </c>
      <c r="Q219" s="305">
        <f t="shared" si="77"/>
        <v>0.5</v>
      </c>
      <c r="R219" s="177">
        <f t="shared" si="78"/>
        <v>0.92700654676445748</v>
      </c>
      <c r="S219" s="811">
        <f t="shared" si="79"/>
        <v>-1</v>
      </c>
      <c r="T219" s="176">
        <f t="shared" si="80"/>
        <v>5</v>
      </c>
      <c r="U219" s="251">
        <f t="shared" si="81"/>
        <v>-7.2993453235542516E-2</v>
      </c>
      <c r="V219" s="383">
        <f t="shared" si="82"/>
        <v>57.405107535481221</v>
      </c>
      <c r="W219" s="402"/>
      <c r="X219" s="157">
        <f t="shared" si="83"/>
        <v>44401</v>
      </c>
      <c r="Y219" s="385">
        <f t="shared" si="84"/>
        <v>27.679203813360878</v>
      </c>
      <c r="Z219" s="385">
        <f t="shared" si="85"/>
        <v>28.380275271071653</v>
      </c>
      <c r="AA219" s="386">
        <f t="shared" si="86"/>
        <v>30.289723612692789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6.3039477217976023E-2</v>
      </c>
      <c r="AD219" s="231">
        <f>(INDEX(Models!$BJ219:$BT219,,AH219)*(1-AF219)+INDEX(Models!$BJ219:$BT219,,AH219+1)*AF219-ERP_i)*AE219*Ramure*Pc/MaxiM</f>
        <v>1.9167934769921403E-4</v>
      </c>
      <c r="AE219" s="305">
        <f t="shared" si="88"/>
        <v>0.5</v>
      </c>
      <c r="AF219" s="177">
        <f t="shared" si="89"/>
        <v>0.92700654676445748</v>
      </c>
      <c r="AG219" s="811">
        <f t="shared" si="95"/>
        <v>-1</v>
      </c>
      <c r="AH219" s="176">
        <f t="shared" si="90"/>
        <v>5</v>
      </c>
      <c r="AI219" s="225">
        <f t="shared" si="91"/>
        <v>-7.2993453235542516E-2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7">
        <v>37.225999999999999</v>
      </c>
      <c r="C220" s="390"/>
      <c r="D220" s="393">
        <f t="shared" si="74"/>
        <v>38.169713066368772</v>
      </c>
      <c r="E220" s="385">
        <f t="shared" si="72"/>
        <v>38.69357974162201</v>
      </c>
      <c r="F220" s="385">
        <f t="shared" si="75"/>
        <v>38.697352502818639</v>
      </c>
      <c r="G220" s="110">
        <f t="shared" si="73"/>
        <v>0.64992492692057124</v>
      </c>
      <c r="H220" s="414" t="b">
        <f>Wh_hp&gt;='2020'!Maxi_hp</f>
        <v>0</v>
      </c>
      <c r="I220" s="380">
        <f>IF(H220,Wh_hp,'2020'!Maxi_hp)</f>
        <v>58.619065963281635</v>
      </c>
      <c r="J220" s="85">
        <f>IF(H220,An,'2020'!An_max)</f>
        <v>2019</v>
      </c>
      <c r="K220" s="197">
        <f t="shared" si="76"/>
        <v>44402</v>
      </c>
      <c r="L220" s="147">
        <f>IF(t&lt;Tvie,1-EXP((T0-t)*PertePVj)+'2020'!Pspv,1-EXP((T0-t)*PertePVj)+Pspv)</f>
        <v>2.4724133103328882E-2</v>
      </c>
      <c r="M220" s="845"/>
      <c r="N220" s="845"/>
      <c r="O220" s="48">
        <f>IF(t&lt;Tnet,'2020'!Resal+('2020'!Salim-'2020'!Resal)*(1-EXP(('2020'!Tnet-t)/('2020'!Tau_j))),Resal+(Salim-Resal)*(1-EXP((Tnet-t)/(Tau_j))))*Salcycl</f>
        <v>1.3538852666291791E-2</v>
      </c>
      <c r="P220" s="169">
        <f>(INDEX(Models!$BJ220:$BT220,,T220)*(1-R220)+INDEX(Models!$BJ220:$BT220,,T220+1)*R220-ERP_i)*Q220*Ramure*Pc/MaxiM</f>
        <v>1.9499459244327509E-4</v>
      </c>
      <c r="Q220" s="305">
        <f t="shared" si="77"/>
        <v>0.5</v>
      </c>
      <c r="R220" s="177">
        <f t="shared" si="78"/>
        <v>0.92946084775159243</v>
      </c>
      <c r="S220" s="811">
        <f t="shared" si="79"/>
        <v>-1</v>
      </c>
      <c r="T220" s="176">
        <f t="shared" si="80"/>
        <v>5</v>
      </c>
      <c r="U220" s="251">
        <f t="shared" si="81"/>
        <v>-7.0539152248407511E-2</v>
      </c>
      <c r="V220" s="383">
        <f t="shared" si="82"/>
        <v>57.271799478241022</v>
      </c>
      <c r="W220" s="402"/>
      <c r="X220" s="157">
        <f t="shared" si="83"/>
        <v>44402</v>
      </c>
      <c r="Y220" s="385">
        <f t="shared" si="84"/>
        <v>35.356519248496816</v>
      </c>
      <c r="Z220" s="385">
        <f t="shared" si="85"/>
        <v>36.252839272032126</v>
      </c>
      <c r="AA220" s="386">
        <f t="shared" si="86"/>
        <v>38.69357974162201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6.3078693826935345E-2</v>
      </c>
      <c r="AD220" s="231">
        <f>(INDEX(Models!$BJ220:$BT220,,AH220)*(1-AF220)+INDEX(Models!$BJ220:$BT220,,AH220+1)*AF220-ERP_i)*AE220*Ramure*Pc/MaxiM</f>
        <v>1.9499459244327509E-4</v>
      </c>
      <c r="AE220" s="305">
        <f t="shared" si="88"/>
        <v>0.5</v>
      </c>
      <c r="AF220" s="177">
        <f t="shared" si="89"/>
        <v>0.92946084775159243</v>
      </c>
      <c r="AG220" s="811">
        <f t="shared" si="95"/>
        <v>-1</v>
      </c>
      <c r="AH220" s="176">
        <f t="shared" si="90"/>
        <v>5</v>
      </c>
      <c r="AI220" s="225">
        <f t="shared" si="91"/>
        <v>-7.0539152248407511E-2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7">
        <v>32.491</v>
      </c>
      <c r="C221" s="390"/>
      <c r="D221" s="393">
        <f t="shared" si="74"/>
        <v>33.315406188878249</v>
      </c>
      <c r="E221" s="385">
        <f t="shared" si="72"/>
        <v>33.775512243283003</v>
      </c>
      <c r="F221" s="385">
        <f t="shared" si="75"/>
        <v>33.778060539687893</v>
      </c>
      <c r="G221" s="110">
        <f t="shared" si="73"/>
        <v>0.56858009789853714</v>
      </c>
      <c r="H221" s="414" t="b">
        <f>Wh_hp&gt;='2020'!Maxi_hp</f>
        <v>0</v>
      </c>
      <c r="I221" s="380">
        <f>IF(H221,Wh_hp,'2020'!Maxi_hp)</f>
        <v>58.03763301162973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2.4745494147793479E-2</v>
      </c>
      <c r="M221" s="845"/>
      <c r="N221" s="845"/>
      <c r="O221" s="48">
        <f>IF(t&lt;Tnet,'2020'!Resal+('2020'!Salim-'2020'!Resal)*(1-EXP(('2020'!Tnet-t)/('2020'!Tau_j))),Resal+(Salim-Resal)*(1-EXP((Tnet-t)/(Tau_j))))*Salcycl</f>
        <v>1.3622474504328358E-2</v>
      </c>
      <c r="P221" s="169">
        <f>(INDEX(Models!$BJ221:$BT221,,T221)*(1-R221)+INDEX(Models!$BJ221:$BT221,,T221+1)*R221-ERP_i)*Q221*Ramure*Pc/MaxiM</f>
        <v>1.9657490196092449E-4</v>
      </c>
      <c r="Q221" s="305">
        <f t="shared" si="77"/>
        <v>0.5</v>
      </c>
      <c r="R221" s="177">
        <f t="shared" si="78"/>
        <v>0.93184280452945134</v>
      </c>
      <c r="S221" s="811">
        <f t="shared" si="79"/>
        <v>-1</v>
      </c>
      <c r="T221" s="176">
        <f t="shared" si="80"/>
        <v>5</v>
      </c>
      <c r="U221" s="251">
        <f t="shared" si="81"/>
        <v>-6.8157195470548604E-2</v>
      </c>
      <c r="V221" s="383">
        <f t="shared" si="82"/>
        <v>57.137181033099338</v>
      </c>
      <c r="W221" s="402"/>
      <c r="X221" s="157">
        <f t="shared" si="83"/>
        <v>44403</v>
      </c>
      <c r="Y221" s="385">
        <f t="shared" si="84"/>
        <v>30.860644635851433</v>
      </c>
      <c r="Z221" s="385">
        <f t="shared" si="85"/>
        <v>31.643683213628918</v>
      </c>
      <c r="AA221" s="386">
        <f t="shared" si="86"/>
        <v>33.775512243283003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6.3117592837634781E-2</v>
      </c>
      <c r="AD221" s="231">
        <f>(INDEX(Models!$BJ221:$BT221,,AH221)*(1-AF221)+INDEX(Models!$BJ221:$BT221,,AH221+1)*AF221-ERP_i)*AE221*Ramure*Pc/MaxiM</f>
        <v>1.9657490196092449E-4</v>
      </c>
      <c r="AE221" s="305">
        <f t="shared" si="88"/>
        <v>0.5</v>
      </c>
      <c r="AF221" s="177">
        <f t="shared" si="89"/>
        <v>0.93184280452945134</v>
      </c>
      <c r="AG221" s="811">
        <f t="shared" si="95"/>
        <v>-1</v>
      </c>
      <c r="AH221" s="176">
        <f t="shared" si="90"/>
        <v>5</v>
      </c>
      <c r="AI221" s="225">
        <f t="shared" si="91"/>
        <v>-6.8157195470548604E-2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7">
        <v>48.600999999999999</v>
      </c>
      <c r="C222" s="390"/>
      <c r="D222" s="393">
        <f t="shared" si="74"/>
        <v>49.835262711733634</v>
      </c>
      <c r="E222" s="385">
        <f t="shared" si="72"/>
        <v>50.527794875379797</v>
      </c>
      <c r="F222" s="385">
        <f t="shared" si="75"/>
        <v>50.535630654102007</v>
      </c>
      <c r="G222" s="110">
        <f t="shared" si="73"/>
        <v>0.852595123794613</v>
      </c>
      <c r="H222" s="414" t="b">
        <f>Wh_hp&gt;='2020'!Maxi_hp</f>
        <v>1</v>
      </c>
      <c r="I222" s="380">
        <f>IF(H222,Wh_hp,'2020'!Maxi_hp)</f>
        <v>50.535630654102007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2.4766854724396326E-2</v>
      </c>
      <c r="M222" s="845"/>
      <c r="N222" s="845"/>
      <c r="O222" s="48">
        <f>IF(t&lt;Tnet,'2020'!Resal+('2020'!Salim-'2020'!Resal)*(1-EXP(('2020'!Tnet-t)/('2020'!Tau_j))),Resal+(Salim-Resal)*(1-EXP((Tnet-t)/(Tau_j))))*Salcycl</f>
        <v>1.3705964516246942E-2</v>
      </c>
      <c r="P222" s="169">
        <f>(INDEX(Models!$BJ222:$BT222,,T222)*(1-R222)+INDEX(Models!$BJ222:$BT222,,T222+1)*R222-ERP_i)*Q222*Ramure*Pc/MaxiM</f>
        <v>1.96402835906621E-4</v>
      </c>
      <c r="Q222" s="305">
        <f t="shared" si="77"/>
        <v>0.5</v>
      </c>
      <c r="R222" s="177">
        <f t="shared" si="78"/>
        <v>0.93415364603441731</v>
      </c>
      <c r="S222" s="811">
        <f t="shared" si="79"/>
        <v>-1</v>
      </c>
      <c r="T222" s="176">
        <f t="shared" si="80"/>
        <v>5</v>
      </c>
      <c r="U222" s="251">
        <f t="shared" si="81"/>
        <v>-6.5846353965582749E-2</v>
      </c>
      <c r="V222" s="383">
        <f t="shared" si="82"/>
        <v>57.001252720398746</v>
      </c>
      <c r="W222" s="402"/>
      <c r="X222" s="157">
        <f t="shared" si="83"/>
        <v>44404</v>
      </c>
      <c r="Y222" s="385">
        <f t="shared" si="84"/>
        <v>46.164271701772378</v>
      </c>
      <c r="Z222" s="385">
        <f t="shared" si="85"/>
        <v>47.336651676995885</v>
      </c>
      <c r="AA222" s="386">
        <f t="shared" si="86"/>
        <v>50.527794875379797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6.3156193660428905E-2</v>
      </c>
      <c r="AD222" s="231">
        <f>(INDEX(Models!$BJ222:$BT222,,AH222)*(1-AF222)+INDEX(Models!$BJ222:$BT222,,AH222+1)*AF222-ERP_i)*AE222*Ramure*Pc/MaxiM</f>
        <v>1.96402835906621E-4</v>
      </c>
      <c r="AE222" s="305">
        <f t="shared" si="88"/>
        <v>0.5</v>
      </c>
      <c r="AF222" s="177">
        <f t="shared" si="89"/>
        <v>0.93415364603441731</v>
      </c>
      <c r="AG222" s="811">
        <f t="shared" si="95"/>
        <v>-1</v>
      </c>
      <c r="AH222" s="176">
        <f t="shared" si="90"/>
        <v>5</v>
      </c>
      <c r="AI222" s="225">
        <f t="shared" si="91"/>
        <v>-6.5846353965582749E-2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7">
        <v>24.85</v>
      </c>
      <c r="C223" s="390"/>
      <c r="D223" s="393">
        <f t="shared" si="74"/>
        <v>25.481644477612964</v>
      </c>
      <c r="E223" s="385">
        <f t="shared" si="72"/>
        <v>25.83793214010781</v>
      </c>
      <c r="F223" s="385">
        <f t="shared" si="75"/>
        <v>25.838915592563254</v>
      </c>
      <c r="G223" s="110">
        <f t="shared" si="73"/>
        <v>0.43693913082372537</v>
      </c>
      <c r="H223" s="414" t="b">
        <f>Wh_hp&gt;='2020'!Maxi_hp</f>
        <v>0</v>
      </c>
      <c r="I223" s="380">
        <f>IF(H223,Wh_hp,'2020'!Maxi_hp)</f>
        <v>56.44038029737262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2.4788214833147748E-2</v>
      </c>
      <c r="M223" s="845"/>
      <c r="N223" s="845"/>
      <c r="O223" s="48">
        <f>IF(t&lt;Tnet,'2020'!Resal+('2020'!Salim-'2020'!Resal)*(1-EXP(('2020'!Tnet-t)/('2020'!Tau_j))),Resal+(Salim-Resal)*(1-EXP((Tnet-t)/(Tau_j))))*Salcycl</f>
        <v>1.3789325730977835E-2</v>
      </c>
      <c r="P223" s="169">
        <f>(INDEX(Models!$BJ223:$BT223,,T223)*(1-R223)+INDEX(Models!$BJ223:$BT223,,T223+1)*R223-ERP_i)*Q223*Ramure*Pc/MaxiM</f>
        <v>1.9446114682694266E-4</v>
      </c>
      <c r="Q223" s="305">
        <f t="shared" si="77"/>
        <v>0.5</v>
      </c>
      <c r="R223" s="177">
        <f t="shared" si="78"/>
        <v>0.93639464542099882</v>
      </c>
      <c r="S223" s="811">
        <f t="shared" si="79"/>
        <v>-1</v>
      </c>
      <c r="T223" s="176">
        <f t="shared" si="80"/>
        <v>5</v>
      </c>
      <c r="U223" s="251">
        <f t="shared" si="81"/>
        <v>-6.3605354579001239E-2</v>
      </c>
      <c r="V223" s="383">
        <f t="shared" si="82"/>
        <v>56.864015038353536</v>
      </c>
      <c r="W223" s="402"/>
      <c r="X223" s="157">
        <f t="shared" si="83"/>
        <v>44405</v>
      </c>
      <c r="Y223" s="385">
        <f t="shared" si="84"/>
        <v>23.605114940721332</v>
      </c>
      <c r="Z223" s="385">
        <f t="shared" si="85"/>
        <v>24.205116570328009</v>
      </c>
      <c r="AA223" s="386">
        <f t="shared" si="86"/>
        <v>25.83793214010781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6.3194514209796535E-2</v>
      </c>
      <c r="AD223" s="231">
        <f>(INDEX(Models!$BJ223:$BT223,,AH223)*(1-AF223)+INDEX(Models!$BJ223:$BT223,,AH223+1)*AF223-ERP_i)*AE223*Ramure*Pc/MaxiM</f>
        <v>1.9446114682694266E-4</v>
      </c>
      <c r="AE223" s="305">
        <f t="shared" si="88"/>
        <v>0.5</v>
      </c>
      <c r="AF223" s="177">
        <f t="shared" si="89"/>
        <v>0.93639464542099882</v>
      </c>
      <c r="AG223" s="811">
        <f t="shared" si="95"/>
        <v>-1</v>
      </c>
      <c r="AH223" s="176">
        <f t="shared" si="90"/>
        <v>5</v>
      </c>
      <c r="AI223" s="225">
        <f t="shared" si="91"/>
        <v>-6.3605354579001239E-2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7">
        <v>53.957000000000001</v>
      </c>
      <c r="C224" s="390"/>
      <c r="D224" s="393">
        <f t="shared" si="74"/>
        <v>55.329706473379062</v>
      </c>
      <c r="E224" s="385">
        <f t="shared" si="72"/>
        <v>56.108069080497209</v>
      </c>
      <c r="F224" s="385">
        <f t="shared" si="75"/>
        <v>56.118026363191731</v>
      </c>
      <c r="G224" s="110">
        <f t="shared" si="73"/>
        <v>0.95118266637212967</v>
      </c>
      <c r="H224" s="414" t="b">
        <f>Wh_hp&gt;='2020'!Maxi_hp</f>
        <v>0</v>
      </c>
      <c r="I224" s="380">
        <f>IF(H224,Wh_hp,'2020'!Maxi_hp)</f>
        <v>59.643858292588483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2.480957447405796E-2</v>
      </c>
      <c r="M224" s="845"/>
      <c r="N224" s="845"/>
      <c r="O224" s="48">
        <f>IF(t&lt;Tnet,'2020'!Resal+('2020'!Salim-'2020'!Resal)*(1-EXP(('2020'!Tnet-t)/('2020'!Tau_j))),Resal+(Salim-Resal)*(1-EXP((Tnet-t)/(Tau_j))))*Salcycl</f>
        <v>1.3872560932393597E-2</v>
      </c>
      <c r="P224" s="169">
        <f>(INDEX(Models!$BJ224:$BT224,,T224)*(1-R224)+INDEX(Models!$BJ224:$BT224,,T224+1)*R224-ERP_i)*Q224*Ramure*Pc/MaxiM</f>
        <v>1.907327275244089E-4</v>
      </c>
      <c r="Q224" s="305">
        <f t="shared" si="77"/>
        <v>0.5</v>
      </c>
      <c r="R224" s="177">
        <f t="shared" si="78"/>
        <v>0.93856711442503216</v>
      </c>
      <c r="S224" s="811">
        <f t="shared" si="79"/>
        <v>-1</v>
      </c>
      <c r="T224" s="176">
        <f t="shared" si="80"/>
        <v>5</v>
      </c>
      <c r="U224" s="251">
        <f t="shared" si="81"/>
        <v>-6.1432885574967844E-2</v>
      </c>
      <c r="V224" s="383">
        <f t="shared" si="82"/>
        <v>56.725468468010327</v>
      </c>
      <c r="W224" s="402"/>
      <c r="X224" s="157">
        <f t="shared" si="83"/>
        <v>44406</v>
      </c>
      <c r="Y224" s="385">
        <f t="shared" si="84"/>
        <v>51.256215140791234</v>
      </c>
      <c r="Z224" s="385">
        <f t="shared" si="85"/>
        <v>52.560211625485977</v>
      </c>
      <c r="AA224" s="386">
        <f t="shared" si="86"/>
        <v>56.108069080497209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6.3232570878908462E-2</v>
      </c>
      <c r="AD224" s="231">
        <f>(INDEX(Models!$BJ224:$BT224,,AH224)*(1-AF224)+INDEX(Models!$BJ224:$BT224,,AH224+1)*AF224-ERP_i)*AE224*Ramure*Pc/MaxiM</f>
        <v>1.907327275244089E-4</v>
      </c>
      <c r="AE224" s="305">
        <f t="shared" si="88"/>
        <v>0.5</v>
      </c>
      <c r="AF224" s="177">
        <f t="shared" si="89"/>
        <v>0.93856711442503216</v>
      </c>
      <c r="AG224" s="811">
        <f t="shared" si="95"/>
        <v>-1</v>
      </c>
      <c r="AH224" s="176">
        <f t="shared" si="90"/>
        <v>5</v>
      </c>
      <c r="AI224" s="225">
        <f t="shared" si="91"/>
        <v>-6.1432885574967844E-2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7">
        <v>18.815999999999999</v>
      </c>
      <c r="C225" s="390"/>
      <c r="D225" s="393">
        <f t="shared" si="74"/>
        <v>19.295115738619494</v>
      </c>
      <c r="E225" s="385">
        <f t="shared" si="72"/>
        <v>19.568203176437688</v>
      </c>
      <c r="F225" s="385">
        <f t="shared" si="75"/>
        <v>19.568371554424029</v>
      </c>
      <c r="G225" s="110">
        <f t="shared" si="73"/>
        <v>0.33246396011622531</v>
      </c>
      <c r="H225" s="414" t="b">
        <f>Wh_hp&gt;='2020'!Maxi_hp</f>
        <v>0</v>
      </c>
      <c r="I225" s="380">
        <f>IF(H225,Wh_hp,'2020'!Maxi_hp)</f>
        <v>55.994393253662331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2.4830933647137288E-2</v>
      </c>
      <c r="M225" s="845"/>
      <c r="N225" s="845"/>
      <c r="O225" s="48">
        <f>IF(t&lt;Tnet,'2020'!Resal+('2020'!Salim-'2020'!Resal)*(1-EXP(('2020'!Tnet-t)/('2020'!Tau_j))),Resal+(Salim-Resal)*(1-EXP((Tnet-t)/(Tau_j))))*Salcycl</f>
        <v>1.3955672646889935E-2</v>
      </c>
      <c r="P225" s="169">
        <f>(INDEX(Models!$BJ225:$BT225,,T225)*(1-R225)+INDEX(Models!$BJ225:$BT225,,T225+1)*R225-ERP_i)*Q225*Ramure*Pc/MaxiM</f>
        <v>1.8520056287626828E-4</v>
      </c>
      <c r="Q225" s="305">
        <f t="shared" si="77"/>
        <v>0.5</v>
      </c>
      <c r="R225" s="177">
        <f t="shared" si="78"/>
        <v>0.9406723979719146</v>
      </c>
      <c r="S225" s="811">
        <f t="shared" si="79"/>
        <v>-1</v>
      </c>
      <c r="T225" s="176">
        <f t="shared" si="80"/>
        <v>5</v>
      </c>
      <c r="U225" s="251">
        <f t="shared" si="81"/>
        <v>-5.9327602028085402E-2</v>
      </c>
      <c r="V225" s="383">
        <f t="shared" si="82"/>
        <v>56.585613475732352</v>
      </c>
      <c r="W225" s="402"/>
      <c r="X225" s="157">
        <f t="shared" si="83"/>
        <v>44407</v>
      </c>
      <c r="Y225" s="385">
        <f t="shared" si="84"/>
        <v>17.874961671311056</v>
      </c>
      <c r="Z225" s="385">
        <f t="shared" si="85"/>
        <v>18.330115554386381</v>
      </c>
      <c r="AA225" s="386">
        <f t="shared" si="86"/>
        <v>19.568203176437688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6.3270378526225732E-2</v>
      </c>
      <c r="AD225" s="231">
        <f>(INDEX(Models!$BJ225:$BT225,,AH225)*(1-AF225)+INDEX(Models!$BJ225:$BT225,,AH225+1)*AF225-ERP_i)*AE225*Ramure*Pc/MaxiM</f>
        <v>1.8520056287626828E-4</v>
      </c>
      <c r="AE225" s="305">
        <f t="shared" si="88"/>
        <v>0.5</v>
      </c>
      <c r="AF225" s="177">
        <f t="shared" si="89"/>
        <v>0.9406723979719146</v>
      </c>
      <c r="AG225" s="811">
        <f t="shared" si="95"/>
        <v>-1</v>
      </c>
      <c r="AH225" s="176">
        <f t="shared" si="90"/>
        <v>5</v>
      </c>
      <c r="AI225" s="225">
        <f t="shared" si="91"/>
        <v>-5.9327602028085402E-2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7">
        <v>13.038</v>
      </c>
      <c r="C226" s="390"/>
      <c r="D226" s="393">
        <f t="shared" si="74"/>
        <v>13.370282161101724</v>
      </c>
      <c r="E226" s="385">
        <f t="shared" si="72"/>
        <v>13.560655637465437</v>
      </c>
      <c r="F226" s="385">
        <f t="shared" si="75"/>
        <v>13.560655637465437</v>
      </c>
      <c r="G226" s="110">
        <f t="shared" si="73"/>
        <v>0.23094708341959186</v>
      </c>
      <c r="H226" s="414" t="b">
        <f>Wh_hp&gt;='2020'!Maxi_hp</f>
        <v>0</v>
      </c>
      <c r="I226" s="380">
        <f>IF(H226,Wh_hp,'2020'!Maxi_hp)</f>
        <v>58.250484133448317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2.4852292352395833E-2</v>
      </c>
      <c r="M226" s="845"/>
      <c r="N226" s="845"/>
      <c r="O226" s="48">
        <f>IF(t&lt;Tnet,'2020'!Resal+('2020'!Salim-'2020'!Resal)*(1-EXP(('2020'!Tnet-t)/('2020'!Tau_j))),Resal+(Salim-Resal)*(1-EXP((Tnet-t)/(Tau_j))))*Salcycl</f>
        <v>1.4038663133495468E-2</v>
      </c>
      <c r="P226" s="169">
        <f>(INDEX(Models!$BJ226:$BT226,,T226)*(1-R226)+INDEX(Models!$BJ226:$BT226,,T226+1)*R226-ERP_i)*Q226*Ramure*Pc/MaxiM</f>
        <v>1.7816936146557467E-4</v>
      </c>
      <c r="Q226" s="305">
        <f t="shared" si="77"/>
        <v>0.5</v>
      </c>
      <c r="R226" s="177">
        <f t="shared" si="78"/>
        <v>0.94271186903738768</v>
      </c>
      <c r="S226" s="811">
        <f t="shared" si="79"/>
        <v>-1</v>
      </c>
      <c r="T226" s="176">
        <f t="shared" si="80"/>
        <v>5</v>
      </c>
      <c r="U226" s="251">
        <f t="shared" si="81"/>
        <v>-5.7288130962612316E-2</v>
      </c>
      <c r="V226" s="383">
        <f t="shared" si="82"/>
        <v>56.444432355881233</v>
      </c>
      <c r="W226" s="402"/>
      <c r="X226" s="157">
        <f t="shared" si="83"/>
        <v>44408</v>
      </c>
      <c r="Y226" s="385">
        <f t="shared" si="84"/>
        <v>12.386480569854202</v>
      </c>
      <c r="Z226" s="385">
        <f t="shared" si="85"/>
        <v>12.702158321978427</v>
      </c>
      <c r="AA226" s="386">
        <f t="shared" si="86"/>
        <v>13.560655637465437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6.3307950473659363E-2</v>
      </c>
      <c r="AD226" s="231">
        <f>(INDEX(Models!$BJ226:$BT226,,AH226)*(1-AF226)+INDEX(Models!$BJ226:$BT226,,AH226+1)*AF226-ERP_i)*AE226*Ramure*Pc/MaxiM</f>
        <v>1.7816936146557467E-4</v>
      </c>
      <c r="AE226" s="305">
        <f t="shared" si="88"/>
        <v>0.5</v>
      </c>
      <c r="AF226" s="177">
        <f t="shared" si="89"/>
        <v>0.94271186903738768</v>
      </c>
      <c r="AG226" s="811">
        <f t="shared" si="95"/>
        <v>-1</v>
      </c>
      <c r="AH226" s="176">
        <f t="shared" si="90"/>
        <v>5</v>
      </c>
      <c r="AI226" s="225">
        <f t="shared" si="91"/>
        <v>-5.7288130962612316E-2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7">
        <v>45.890999999999998</v>
      </c>
      <c r="C227" s="390"/>
      <c r="D227" s="393">
        <f t="shared" si="74"/>
        <v>47.061593636310818</v>
      </c>
      <c r="E227" s="385">
        <f t="shared" si="72"/>
        <v>47.73569489272348</v>
      </c>
      <c r="F227" s="385">
        <f t="shared" si="75"/>
        <v>47.7416933266664</v>
      </c>
      <c r="G227" s="110">
        <f t="shared" si="73"/>
        <v>0.81505172263611891</v>
      </c>
      <c r="H227" s="414" t="b">
        <f>Wh_hp&gt;='2020'!Maxi_hp</f>
        <v>0</v>
      </c>
      <c r="I227" s="380">
        <f>IF(H227,Wh_hp,'2020'!Maxi_hp)</f>
        <v>54.762972636889117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2.4873650589843921E-2</v>
      </c>
      <c r="M227" s="845"/>
      <c r="N227" s="845"/>
      <c r="O227" s="48">
        <f>IF(t&lt;Tnet,'2020'!Resal+('2020'!Salim-'2020'!Resal)*(1-EXP(('2020'!Tnet-t)/('2020'!Tau_j))),Resal+(Salim-Resal)*(1-EXP((Tnet-t)/(Tau_j))))*Salcycl</f>
        <v>1.4121534376478071E-2</v>
      </c>
      <c r="P227" s="169">
        <f>(INDEX(Models!$BJ227:$BT227,,T227)*(1-R227)+INDEX(Models!$BJ227:$BT227,,T227+1)*R227-ERP_i)*Q227*Ramure*Pc/MaxiM</f>
        <v>1.7074824758532683E-4</v>
      </c>
      <c r="Q227" s="305">
        <f t="shared" si="77"/>
        <v>0.5</v>
      </c>
      <c r="R227" s="177">
        <f t="shared" si="78"/>
        <v>0.9446869237660569</v>
      </c>
      <c r="S227" s="811">
        <f t="shared" si="79"/>
        <v>-1</v>
      </c>
      <c r="T227" s="176">
        <f t="shared" si="80"/>
        <v>5</v>
      </c>
      <c r="U227" s="251">
        <f t="shared" si="81"/>
        <v>-5.5313076233943104E-2</v>
      </c>
      <c r="V227" s="383">
        <f t="shared" si="82"/>
        <v>56.301862279348278</v>
      </c>
      <c r="W227" s="402"/>
      <c r="X227" s="157">
        <f t="shared" si="83"/>
        <v>44409</v>
      </c>
      <c r="Y227" s="385">
        <f t="shared" si="84"/>
        <v>43.599715791164748</v>
      </c>
      <c r="Z227" s="385">
        <f t="shared" si="85"/>
        <v>44.711863049888628</v>
      </c>
      <c r="AA227" s="386">
        <f t="shared" si="86"/>
        <v>47.73569489272348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6.3345298515719059E-2</v>
      </c>
      <c r="AD227" s="231">
        <f>(INDEX(Models!$BJ227:$BT227,,AH227)*(1-AF227)+INDEX(Models!$BJ227:$BT227,,AH227+1)*AF227-ERP_i)*AE227*Ramure*Pc/MaxiM</f>
        <v>1.7074824758532683E-4</v>
      </c>
      <c r="AE227" s="305">
        <f t="shared" si="88"/>
        <v>0.5</v>
      </c>
      <c r="AF227" s="177">
        <f t="shared" si="89"/>
        <v>0.9446869237660569</v>
      </c>
      <c r="AG227" s="811">
        <f t="shared" si="95"/>
        <v>-1</v>
      </c>
      <c r="AH227" s="176">
        <f t="shared" si="90"/>
        <v>5</v>
      </c>
      <c r="AI227" s="225">
        <f t="shared" si="91"/>
        <v>-5.5313076233943104E-2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7">
        <v>49.125999999999998</v>
      </c>
      <c r="C228" s="390"/>
      <c r="D228" s="393">
        <f t="shared" si="74"/>
        <v>50.380215895880951</v>
      </c>
      <c r="E228" s="385">
        <f t="shared" si="72"/>
        <v>51.106142263265674</v>
      </c>
      <c r="F228" s="385">
        <f t="shared" si="75"/>
        <v>51.112980620658334</v>
      </c>
      <c r="G228" s="110">
        <f t="shared" si="73"/>
        <v>0.87475786911658893</v>
      </c>
      <c r="H228" s="414" t="b">
        <f>Wh_hp&gt;='2020'!Maxi_hp</f>
        <v>0</v>
      </c>
      <c r="I228" s="380">
        <f>IF(H228,Wh_hp,'2020'!Maxi_hp)</f>
        <v>56.845203333586923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2.4895008359491766E-2</v>
      </c>
      <c r="M228" s="845"/>
      <c r="N228" s="845"/>
      <c r="O228" s="48">
        <f>IF(t&lt;Tnet,'2020'!Resal+('2020'!Salim-'2020'!Resal)*(1-EXP(('2020'!Tnet-t)/('2020'!Tau_j))),Resal+(Salim-Resal)*(1-EXP((Tnet-t)/(Tau_j))))*Salcycl</f>
        <v>1.4204288080388051E-2</v>
      </c>
      <c r="P228" s="169">
        <f>(INDEX(Models!$BJ228:$BT228,,T228)*(1-R228)+INDEX(Models!$BJ228:$BT228,,T228+1)*R228-ERP_i)*Q228*Ramure*Pc/MaxiM</f>
        <v>1.6293501829979439E-4</v>
      </c>
      <c r="Q228" s="305">
        <f t="shared" si="77"/>
        <v>0.5</v>
      </c>
      <c r="R228" s="177">
        <f t="shared" si="78"/>
        <v>0.94659897685069372</v>
      </c>
      <c r="S228" s="811">
        <f t="shared" si="79"/>
        <v>-1</v>
      </c>
      <c r="T228" s="176">
        <f t="shared" si="80"/>
        <v>5</v>
      </c>
      <c r="U228" s="251">
        <f t="shared" si="81"/>
        <v>-5.3401023149306281E-2</v>
      </c>
      <c r="V228" s="383">
        <f t="shared" si="82"/>
        <v>56.15790348184678</v>
      </c>
      <c r="W228" s="402"/>
      <c r="X228" s="157">
        <f t="shared" si="83"/>
        <v>44410</v>
      </c>
      <c r="Y228" s="385">
        <f t="shared" si="84"/>
        <v>46.675263488254799</v>
      </c>
      <c r="Z228" s="385">
        <f t="shared" si="85"/>
        <v>47.86691062849421</v>
      </c>
      <c r="AA228" s="386">
        <f t="shared" si="86"/>
        <v>51.106142263265674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6.3382432938981215E-2</v>
      </c>
      <c r="AD228" s="231">
        <f>(INDEX(Models!$BJ228:$BT228,,AH228)*(1-AF228)+INDEX(Models!$BJ228:$BT228,,AH228+1)*AF228-ERP_i)*AE228*Ramure*Pc/MaxiM</f>
        <v>1.6293501829979439E-4</v>
      </c>
      <c r="AE228" s="305">
        <f t="shared" si="88"/>
        <v>0.5</v>
      </c>
      <c r="AF228" s="177">
        <f t="shared" si="89"/>
        <v>0.94659897685069372</v>
      </c>
      <c r="AG228" s="811">
        <f t="shared" si="95"/>
        <v>-1</v>
      </c>
      <c r="AH228" s="176">
        <f t="shared" si="90"/>
        <v>5</v>
      </c>
      <c r="AI228" s="225">
        <f t="shared" si="91"/>
        <v>-5.3401023149306281E-2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7">
        <v>38.658000000000001</v>
      </c>
      <c r="C229" s="390"/>
      <c r="D229" s="393">
        <f t="shared" si="74"/>
        <v>39.645829997156866</v>
      </c>
      <c r="E229" s="385">
        <f t="shared" si="72"/>
        <v>40.220456671939822</v>
      </c>
      <c r="F229" s="385">
        <f t="shared" si="75"/>
        <v>40.223925667173411</v>
      </c>
      <c r="G229" s="110">
        <f t="shared" si="73"/>
        <v>0.69011941034722379</v>
      </c>
      <c r="H229" s="414" t="b">
        <f>Wh_hp&gt;='2020'!Maxi_hp</f>
        <v>0</v>
      </c>
      <c r="I229" s="380">
        <f>IF(H229,Wh_hp,'2020'!Maxi_hp)</f>
        <v>57.532187418566849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2.4916365661349693E-2</v>
      </c>
      <c r="M229" s="845"/>
      <c r="N229" s="845"/>
      <c r="O229" s="48">
        <f>IF(t&lt;Tnet,'2020'!Resal+('2020'!Salim-'2020'!Resal)*(1-EXP(('2020'!Tnet-t)/('2020'!Tau_j))),Resal+(Salim-Resal)*(1-EXP((Tnet-t)/(Tau_j))))*Salcycl</f>
        <v>1.4286925667451329E-2</v>
      </c>
      <c r="P229" s="169">
        <f>(INDEX(Models!$BJ229:$BT229,,T229)*(1-R229)+INDEX(Models!$BJ229:$BT229,,T229+1)*R229-ERP_i)*Q229*Ramure*Pc/MaxiM</f>
        <v>1.5472735830241059E-4</v>
      </c>
      <c r="Q229" s="305">
        <f t="shared" si="77"/>
        <v>0.5</v>
      </c>
      <c r="R229" s="177">
        <f t="shared" si="78"/>
        <v>0.94844945717341667</v>
      </c>
      <c r="S229" s="811">
        <f t="shared" si="79"/>
        <v>-1</v>
      </c>
      <c r="T229" s="176">
        <f t="shared" si="80"/>
        <v>5</v>
      </c>
      <c r="U229" s="251">
        <f t="shared" si="81"/>
        <v>-5.1550542826583334E-2</v>
      </c>
      <c r="V229" s="383">
        <f t="shared" si="82"/>
        <v>56.01255621621533</v>
      </c>
      <c r="W229" s="402"/>
      <c r="X229" s="157">
        <f t="shared" si="83"/>
        <v>44411</v>
      </c>
      <c r="Y229" s="385">
        <f t="shared" si="84"/>
        <v>36.731108905109181</v>
      </c>
      <c r="Z229" s="385">
        <f t="shared" si="85"/>
        <v>37.669700948290476</v>
      </c>
      <c r="AA229" s="386">
        <f t="shared" si="86"/>
        <v>40.220456671939822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6.3419362551119546E-2</v>
      </c>
      <c r="AD229" s="231">
        <f>(INDEX(Models!$BJ229:$BT229,,AH229)*(1-AF229)+INDEX(Models!$BJ229:$BT229,,AH229+1)*AF229-ERP_i)*AE229*Ramure*Pc/MaxiM</f>
        <v>1.5472735830241059E-4</v>
      </c>
      <c r="AE229" s="305">
        <f t="shared" si="88"/>
        <v>0.5</v>
      </c>
      <c r="AF229" s="177">
        <f t="shared" si="89"/>
        <v>0.94844945717341667</v>
      </c>
      <c r="AG229" s="811">
        <f t="shared" si="95"/>
        <v>-1</v>
      </c>
      <c r="AH229" s="176">
        <f t="shared" si="90"/>
        <v>5</v>
      </c>
      <c r="AI229" s="225">
        <f t="shared" si="91"/>
        <v>-5.1550542826583334E-2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7">
        <v>33.75</v>
      </c>
      <c r="C230" s="390"/>
      <c r="D230" s="393">
        <f t="shared" si="74"/>
        <v>34.613173720938811</v>
      </c>
      <c r="E230" s="385">
        <f t="shared" si="72"/>
        <v>35.117797089830347</v>
      </c>
      <c r="F230" s="385">
        <f t="shared" si="75"/>
        <v>35.120026698213707</v>
      </c>
      <c r="G230" s="110">
        <f t="shared" si="73"/>
        <v>0.60407616596097624</v>
      </c>
      <c r="H230" s="414" t="b">
        <f>Wh_hp&gt;='2020'!Maxi_hp</f>
        <v>0</v>
      </c>
      <c r="I230" s="380">
        <f>IF(H230,Wh_hp,'2020'!Maxi_hp)</f>
        <v>54.820289563876685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2.4937722495427916E-2</v>
      </c>
      <c r="M230" s="845"/>
      <c r="N230" s="845"/>
      <c r="O230" s="48">
        <f>IF(t&lt;Tnet,'2020'!Resal+('2020'!Salim-'2020'!Resal)*(1-EXP(('2020'!Tnet-t)/('2020'!Tau_j))),Resal+(Salim-Resal)*(1-EXP((Tnet-t)/(Tau_j))))*Salcycl</f>
        <v>1.4369448277200325E-2</v>
      </c>
      <c r="P230" s="169">
        <f>(INDEX(Models!$BJ230:$BT230,,T230)*(1-R230)+INDEX(Models!$BJ230:$BT230,,T230+1)*R230-ERP_i)*Q230*Ramure*Pc/MaxiM</f>
        <v>1.4612284158271077E-4</v>
      </c>
      <c r="Q230" s="305">
        <f t="shared" si="77"/>
        <v>0.5</v>
      </c>
      <c r="R230" s="177">
        <f t="shared" si="78"/>
        <v>0.95023980370809347</v>
      </c>
      <c r="S230" s="811">
        <f t="shared" si="79"/>
        <v>-1</v>
      </c>
      <c r="T230" s="176">
        <f t="shared" si="80"/>
        <v>5</v>
      </c>
      <c r="U230" s="251">
        <f t="shared" si="81"/>
        <v>-4.9760196291906533E-2</v>
      </c>
      <c r="V230" s="383">
        <f t="shared" si="82"/>
        <v>55.865820753000946</v>
      </c>
      <c r="W230" s="402"/>
      <c r="X230" s="157">
        <f t="shared" si="83"/>
        <v>44412</v>
      </c>
      <c r="Y230" s="385">
        <f t="shared" si="84"/>
        <v>32.069173127797612</v>
      </c>
      <c r="Z230" s="385">
        <f t="shared" si="85"/>
        <v>32.889358831387298</v>
      </c>
      <c r="AA230" s="386">
        <f t="shared" si="86"/>
        <v>35.117797089830347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6.3456094718662648E-2</v>
      </c>
      <c r="AD230" s="231">
        <f>(INDEX(Models!$BJ230:$BT230,,AH230)*(1-AF230)+INDEX(Models!$BJ230:$BT230,,AH230+1)*AF230-ERP_i)*AE230*Ramure*Pc/MaxiM</f>
        <v>1.4612284158271077E-4</v>
      </c>
      <c r="AE230" s="305">
        <f t="shared" si="88"/>
        <v>0.5</v>
      </c>
      <c r="AF230" s="177">
        <f t="shared" si="89"/>
        <v>0.95023980370809347</v>
      </c>
      <c r="AG230" s="811">
        <f t="shared" si="95"/>
        <v>-1</v>
      </c>
      <c r="AH230" s="176">
        <f t="shared" si="90"/>
        <v>5</v>
      </c>
      <c r="AI230" s="225">
        <f t="shared" si="91"/>
        <v>-4.9760196291906533E-2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7">
        <v>48.259</v>
      </c>
      <c r="C231" s="390"/>
      <c r="D231" s="393">
        <f t="shared" si="74"/>
        <v>49.494332959546369</v>
      </c>
      <c r="E231" s="385">
        <f t="shared" si="72"/>
        <v>50.22010674916941</v>
      </c>
      <c r="F231" s="385">
        <f t="shared" si="75"/>
        <v>50.22567661240231</v>
      </c>
      <c r="G231" s="110">
        <f t="shared" si="73"/>
        <v>0.86611142728793711</v>
      </c>
      <c r="H231" s="414" t="b">
        <f>Wh_hp&gt;='2020'!Maxi_hp</f>
        <v>0</v>
      </c>
      <c r="I231" s="380">
        <f>IF(H231,Wh_hp,'2020'!Maxi_hp)</f>
        <v>56.442491959447445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2.495907886173665E-2</v>
      </c>
      <c r="M231" s="845"/>
      <c r="N231" s="845"/>
      <c r="O231" s="48">
        <f>IF(t&lt;Tnet,'2020'!Resal+('2020'!Salim-'2020'!Resal)*(1-EXP(('2020'!Tnet-t)/('2020'!Tau_j))),Resal+(Salim-Resal)*(1-EXP((Tnet-t)/(Tau_j))))*Salcycl</f>
        <v>1.4451856768206617E-2</v>
      </c>
      <c r="P231" s="169">
        <f>(INDEX(Models!$BJ231:$BT231,,T231)*(1-R231)+INDEX(Models!$BJ231:$BT231,,T231+1)*R231-ERP_i)*Q231*Ramure*Pc/MaxiM</f>
        <v>1.3711893412255962E-4</v>
      </c>
      <c r="Q231" s="305">
        <f t="shared" si="77"/>
        <v>0.5</v>
      </c>
      <c r="R231" s="177">
        <f t="shared" si="78"/>
        <v>0.95197146168173585</v>
      </c>
      <c r="S231" s="811">
        <f t="shared" si="79"/>
        <v>-1</v>
      </c>
      <c r="T231" s="176">
        <f t="shared" si="80"/>
        <v>5</v>
      </c>
      <c r="U231" s="251">
        <f t="shared" si="81"/>
        <v>-4.8028538318264202E-2</v>
      </c>
      <c r="V231" s="383">
        <f t="shared" si="82"/>
        <v>55.717697379132396</v>
      </c>
      <c r="W231" s="402"/>
      <c r="X231" s="157">
        <f t="shared" si="83"/>
        <v>44413</v>
      </c>
      <c r="Y231" s="385">
        <f t="shared" si="84"/>
        <v>45.857636907946571</v>
      </c>
      <c r="Z231" s="385">
        <f t="shared" si="85"/>
        <v>47.031499820963759</v>
      </c>
      <c r="AA231" s="386">
        <f t="shared" si="86"/>
        <v>50.22010674916941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6.3492635412575743E-2</v>
      </c>
      <c r="AD231" s="231">
        <f>(INDEX(Models!$BJ231:$BT231,,AH231)*(1-AF231)+INDEX(Models!$BJ231:$BT231,,AH231+1)*AF231-ERP_i)*AE231*Ramure*Pc/MaxiM</f>
        <v>1.3711893412255962E-4</v>
      </c>
      <c r="AE231" s="305">
        <f t="shared" si="88"/>
        <v>0.5</v>
      </c>
      <c r="AF231" s="177">
        <f t="shared" si="89"/>
        <v>0.95197146168173585</v>
      </c>
      <c r="AG231" s="811">
        <f t="shared" si="95"/>
        <v>-1</v>
      </c>
      <c r="AH231" s="176">
        <f t="shared" si="90"/>
        <v>5</v>
      </c>
      <c r="AI231" s="225">
        <f t="shared" si="91"/>
        <v>-4.8028538318264202E-2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7">
        <v>20.518000000000001</v>
      </c>
      <c r="C232" s="390"/>
      <c r="D232" s="393">
        <f t="shared" si="74"/>
        <v>21.043680282411088</v>
      </c>
      <c r="E232" s="385">
        <f t="shared" si="72"/>
        <v>21.354043185948616</v>
      </c>
      <c r="F232" s="385">
        <f t="shared" si="75"/>
        <v>21.354312947495046</v>
      </c>
      <c r="G232" s="110">
        <f t="shared" si="73"/>
        <v>0.36919755855817959</v>
      </c>
      <c r="H232" s="414" t="b">
        <f>Wh_hp&gt;='2020'!Maxi_hp</f>
        <v>0</v>
      </c>
      <c r="I232" s="380">
        <f>IF(H232,Wh_hp,'2020'!Maxi_hp)</f>
        <v>57.46185272567628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2.4980434760286108E-2</v>
      </c>
      <c r="M232" s="845"/>
      <c r="N232" s="845"/>
      <c r="O232" s="48">
        <f>IF(t&lt;Tnet,'2020'!Resal+('2020'!Salim-'2020'!Resal)*(1-EXP(('2020'!Tnet-t)/('2020'!Tau_j))),Resal+(Salim-Resal)*(1-EXP((Tnet-t)/(Tau_j))))*Salcycl</f>
        <v>1.453415172175686E-2</v>
      </c>
      <c r="P232" s="169">
        <f>(INDEX(Models!$BJ232:$BT232,,T232)*(1-R232)+INDEX(Models!$BJ232:$BT232,,T232+1)*R232-ERP_i)*Q232*Ramure*Pc/MaxiM</f>
        <v>1.2771299750092454E-4</v>
      </c>
      <c r="Q232" s="305">
        <f t="shared" si="77"/>
        <v>0.5</v>
      </c>
      <c r="R232" s="177">
        <f t="shared" si="78"/>
        <v>0.9536458789912674</v>
      </c>
      <c r="S232" s="811">
        <f t="shared" si="79"/>
        <v>-1</v>
      </c>
      <c r="T232" s="176">
        <f t="shared" si="80"/>
        <v>5</v>
      </c>
      <c r="U232" s="251">
        <f t="shared" si="81"/>
        <v>-4.6354121008732652E-2</v>
      </c>
      <c r="V232" s="383">
        <f t="shared" si="82"/>
        <v>55.568186397835518</v>
      </c>
      <c r="W232" s="402"/>
      <c r="X232" s="157">
        <f t="shared" si="83"/>
        <v>44414</v>
      </c>
      <c r="Y232" s="385">
        <f t="shared" si="84"/>
        <v>19.497897600327271</v>
      </c>
      <c r="Z232" s="385">
        <f t="shared" si="85"/>
        <v>19.997442405715834</v>
      </c>
      <c r="AA232" s="386">
        <f t="shared" si="86"/>
        <v>21.354043185948616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6.3528989260706104E-2</v>
      </c>
      <c r="AD232" s="231">
        <f>(INDEX(Models!$BJ232:$BT232,,AH232)*(1-AF232)+INDEX(Models!$BJ232:$BT232,,AH232+1)*AF232-ERP_i)*AE232*Ramure*Pc/MaxiM</f>
        <v>1.2771299750092454E-4</v>
      </c>
      <c r="AE232" s="305">
        <f t="shared" si="88"/>
        <v>0.5</v>
      </c>
      <c r="AF232" s="177">
        <f t="shared" si="89"/>
        <v>0.9536458789912674</v>
      </c>
      <c r="AG232" s="811">
        <f t="shared" si="95"/>
        <v>-1</v>
      </c>
      <c r="AH232" s="176">
        <f t="shared" si="90"/>
        <v>5</v>
      </c>
      <c r="AI232" s="225">
        <f t="shared" si="91"/>
        <v>-4.6354121008732652E-2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7">
        <v>24.888000000000002</v>
      </c>
      <c r="C233" s="390"/>
      <c r="D233" s="393">
        <f t="shared" si="74"/>
        <v>25.526200714643075</v>
      </c>
      <c r="E233" s="385">
        <f t="shared" ref="E233:E296" si="96">Wh_pvt/(1-Psa)</f>
        <v>25.904834412310347</v>
      </c>
      <c r="F233" s="385">
        <f t="shared" si="75"/>
        <v>25.905484978662223</v>
      </c>
      <c r="G233" s="110">
        <f t="shared" ref="G233:G296" si="97">+Wh_hp/MaxiM</f>
        <v>0.44905824695946617</v>
      </c>
      <c r="H233" s="414" t="b">
        <f>Wh_hp&gt;='2020'!Maxi_hp</f>
        <v>0</v>
      </c>
      <c r="I233" s="380">
        <f>IF(H233,Wh_hp,'2020'!Maxi_hp)</f>
        <v>55.820902062700583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2.5001790191086615E-2</v>
      </c>
      <c r="M233" s="845"/>
      <c r="N233" s="845"/>
      <c r="O233" s="48">
        <f>IF(t&lt;Tnet,'2020'!Resal+('2020'!Salim-'2020'!Resal)*(1-EXP(('2020'!Tnet-t)/('2020'!Tau_j))),Resal+(Salim-Resal)*(1-EXP((Tnet-t)/(Tau_j))))*Salcycl</f>
        <v>1.4616333447294252E-2</v>
      </c>
      <c r="P233" s="169">
        <f>(INDEX(Models!$BJ233:$BT233,,T233)*(1-R233)+INDEX(Models!$BJ233:$BT233,,T233+1)*R233-ERP_i)*Q233*Ramure*Pc/MaxiM</f>
        <v>1.1790181788169344E-4</v>
      </c>
      <c r="Q233" s="305">
        <f t="shared" si="77"/>
        <v>0.5</v>
      </c>
      <c r="R233" s="177">
        <f t="shared" si="78"/>
        <v>0.95526450287083087</v>
      </c>
      <c r="S233" s="811">
        <f t="shared" si="79"/>
        <v>-1</v>
      </c>
      <c r="T233" s="176">
        <f t="shared" si="80"/>
        <v>5</v>
      </c>
      <c r="U233" s="251">
        <f t="shared" si="81"/>
        <v>-4.4735497129169077E-2</v>
      </c>
      <c r="V233" s="383">
        <f t="shared" si="82"/>
        <v>55.417511612883914</v>
      </c>
      <c r="W233" s="402"/>
      <c r="X233" s="157">
        <f t="shared" si="83"/>
        <v>44415</v>
      </c>
      <c r="Y233" s="385">
        <f t="shared" si="84"/>
        <v>23.651691314569941</v>
      </c>
      <c r="Z233" s="385">
        <f t="shared" si="85"/>
        <v>24.258189478322588</v>
      </c>
      <c r="AA233" s="386">
        <f t="shared" si="86"/>
        <v>25.904834412310347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6.3565159606086941E-2</v>
      </c>
      <c r="AD233" s="231">
        <f>(INDEX(Models!$BJ233:$BT233,,AH233)*(1-AF233)+INDEX(Models!$BJ233:$BT233,,AH233+1)*AF233-ERP_i)*AE233*Ramure*Pc/MaxiM</f>
        <v>1.1790181788169344E-4</v>
      </c>
      <c r="AE233" s="305">
        <f t="shared" si="88"/>
        <v>0.5</v>
      </c>
      <c r="AF233" s="177">
        <f t="shared" si="89"/>
        <v>0.95526450287083087</v>
      </c>
      <c r="AG233" s="811">
        <f t="shared" si="95"/>
        <v>-1</v>
      </c>
      <c r="AH233" s="176">
        <f t="shared" si="90"/>
        <v>5</v>
      </c>
      <c r="AI233" s="225">
        <f t="shared" si="91"/>
        <v>-4.4735497129169077E-2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7">
        <v>39.097999999999999</v>
      </c>
      <c r="C234" s="390"/>
      <c r="D234" s="393">
        <f t="shared" si="74"/>
        <v>40.101464773932072</v>
      </c>
      <c r="E234" s="385">
        <f t="shared" si="96"/>
        <v>40.699685106470184</v>
      </c>
      <c r="F234" s="385">
        <f t="shared" si="75"/>
        <v>40.702242455705488</v>
      </c>
      <c r="G234" s="110">
        <f t="shared" si="97"/>
        <v>0.70742170521699221</v>
      </c>
      <c r="H234" s="414" t="b">
        <f>Wh_hp&gt;='2020'!Maxi_hp</f>
        <v>0</v>
      </c>
      <c r="I234" s="380">
        <f>IF(H234,Wh_hp,'2020'!Maxi_hp)</f>
        <v>55.053603871117858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2.5023145154148385E-2</v>
      </c>
      <c r="M234" s="845"/>
      <c r="N234" s="845"/>
      <c r="O234" s="48">
        <f>IF(t&lt;Tnet,'2020'!Resal+('2020'!Salim-'2020'!Resal)*(1-EXP(('2020'!Tnet-t)/('2020'!Tau_j))),Resal+(Salim-Resal)*(1-EXP((Tnet-t)/(Tau_j))))*Salcycl</f>
        <v>1.4698401989429795E-2</v>
      </c>
      <c r="P234" s="169">
        <f>(INDEX(Models!$BJ234:$BT234,,T234)*(1-R234)+INDEX(Models!$BJ234:$BT234,,T234+1)*R234-ERP_i)*Q234*Ramure*Pc/MaxiM</f>
        <v>1.0794227341728712E-4</v>
      </c>
      <c r="Q234" s="305">
        <f t="shared" si="77"/>
        <v>0.5</v>
      </c>
      <c r="R234" s="177">
        <f t="shared" si="78"/>
        <v>0.95682877680375245</v>
      </c>
      <c r="S234" s="811">
        <f t="shared" si="79"/>
        <v>-1</v>
      </c>
      <c r="T234" s="176">
        <f t="shared" si="80"/>
        <v>5</v>
      </c>
      <c r="U234" s="251">
        <f t="shared" si="81"/>
        <v>-4.3171223196247555E-2</v>
      </c>
      <c r="V234" s="383">
        <f t="shared" si="82"/>
        <v>55.26581362637129</v>
      </c>
      <c r="W234" s="402"/>
      <c r="X234" s="157">
        <f t="shared" si="83"/>
        <v>44416</v>
      </c>
      <c r="Y234" s="385">
        <f t="shared" si="84"/>
        <v>37.157477839404663</v>
      </c>
      <c r="Z234" s="385">
        <f t="shared" si="85"/>
        <v>38.111138387258876</v>
      </c>
      <c r="AA234" s="386">
        <f t="shared" si="86"/>
        <v>40.699685106470184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6.3601148570061092E-2</v>
      </c>
      <c r="AD234" s="231">
        <f>(INDEX(Models!$BJ234:$BT234,,AH234)*(1-AF234)+INDEX(Models!$BJ234:$BT234,,AH234+1)*AF234-ERP_i)*AE234*Ramure*Pc/MaxiM</f>
        <v>1.0794227341728712E-4</v>
      </c>
      <c r="AE234" s="305">
        <f t="shared" si="88"/>
        <v>0.5</v>
      </c>
      <c r="AF234" s="177">
        <f t="shared" si="89"/>
        <v>0.95682877680375245</v>
      </c>
      <c r="AG234" s="811">
        <f t="shared" si="95"/>
        <v>-1</v>
      </c>
      <c r="AH234" s="176">
        <f t="shared" si="90"/>
        <v>5</v>
      </c>
      <c r="AI234" s="225">
        <f t="shared" si="91"/>
        <v>-4.3171223196247555E-2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7">
        <v>53.727000000000004</v>
      </c>
      <c r="C235" s="390"/>
      <c r="D235" s="393">
        <f t="shared" si="74"/>
        <v>55.10713051076069</v>
      </c>
      <c r="E235" s="385">
        <f t="shared" si="96"/>
        <v>55.93385283162204</v>
      </c>
      <c r="F235" s="385">
        <f t="shared" si="75"/>
        <v>55.939165383860541</v>
      </c>
      <c r="G235" s="110">
        <f t="shared" si="97"/>
        <v>0.97484906133627047</v>
      </c>
      <c r="H235" s="414" t="b">
        <f>Wh_hp&gt;='2020'!Maxi_hp</f>
        <v>1</v>
      </c>
      <c r="I235" s="380">
        <f>IF(H235,Wh_hp,'2020'!Maxi_hp)</f>
        <v>55.939165383860541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2.5044499649481633E-2</v>
      </c>
      <c r="M235" s="845"/>
      <c r="N235" s="845"/>
      <c r="O235" s="48">
        <f>IF(t&lt;Tnet,'2020'!Resal+('2020'!Salim-'2020'!Resal)*(1-EXP(('2020'!Tnet-t)/('2020'!Tau_j))),Resal+(Salim-Resal)*(1-EXP((Tnet-t)/(Tau_j))))*Salcycl</f>
        <v>1.478035713631305E-2</v>
      </c>
      <c r="P235" s="169">
        <f>(INDEX(Models!$BJ235:$BT235,,T235)*(1-R235)+INDEX(Models!$BJ235:$BT235,,T235+1)*R235-ERP_i)*Q235*Ramure*Pc/MaxiM</f>
        <v>9.8509111640599056E-5</v>
      </c>
      <c r="Q235" s="305">
        <f t="shared" si="77"/>
        <v>0.5</v>
      </c>
      <c r="R235" s="177">
        <f t="shared" si="78"/>
        <v>0.9583401376723808</v>
      </c>
      <c r="S235" s="811">
        <f t="shared" si="79"/>
        <v>-1</v>
      </c>
      <c r="T235" s="176">
        <f t="shared" si="80"/>
        <v>5</v>
      </c>
      <c r="U235" s="251">
        <f t="shared" si="81"/>
        <v>-4.1659862327619257E-2</v>
      </c>
      <c r="V235" s="383">
        <f t="shared" si="82"/>
        <v>55.112952329012238</v>
      </c>
      <c r="W235" s="402"/>
      <c r="X235" s="157">
        <f t="shared" si="83"/>
        <v>44417</v>
      </c>
      <c r="Y235" s="385">
        <f t="shared" si="84"/>
        <v>51.062702179415602</v>
      </c>
      <c r="Z235" s="385">
        <f t="shared" si="85"/>
        <v>52.374392637466443</v>
      </c>
      <c r="AA235" s="386">
        <f t="shared" si="86"/>
        <v>55.93385283162204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6.3636957119164561E-2</v>
      </c>
      <c r="AD235" s="231">
        <f>(INDEX(Models!$BJ235:$BT235,,AH235)*(1-AF235)+INDEX(Models!$BJ235:$BT235,,AH235+1)*AF235-ERP_i)*AE235*Ramure*Pc/MaxiM</f>
        <v>9.8509111640599056E-5</v>
      </c>
      <c r="AE235" s="305">
        <f t="shared" si="88"/>
        <v>0.5</v>
      </c>
      <c r="AF235" s="177">
        <f t="shared" si="89"/>
        <v>0.9583401376723808</v>
      </c>
      <c r="AG235" s="811">
        <f t="shared" si="95"/>
        <v>-1</v>
      </c>
      <c r="AH235" s="176">
        <f t="shared" si="90"/>
        <v>5</v>
      </c>
      <c r="AI235" s="225">
        <f t="shared" si="91"/>
        <v>-4.1659862327619257E-2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7">
        <v>50.920999999999999</v>
      </c>
      <c r="C236" s="390"/>
      <c r="D236" s="393">
        <f t="shared" si="74"/>
        <v>52.230194410622985</v>
      </c>
      <c r="E236" s="385">
        <f t="shared" si="96"/>
        <v>53.018160837335529</v>
      </c>
      <c r="F236" s="385">
        <f t="shared" si="75"/>
        <v>53.022413412282127</v>
      </c>
      <c r="G236" s="110">
        <f t="shared" si="97"/>
        <v>0.92652128574911219</v>
      </c>
      <c r="H236" s="414" t="b">
        <f>Wh_hp&gt;='2020'!Maxi_hp</f>
        <v>1</v>
      </c>
      <c r="I236" s="380">
        <f>IF(H236,Wh_hp,'2020'!Maxi_hp)</f>
        <v>53.022413412282127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2.5065853677096683E-2</v>
      </c>
      <c r="M236" s="845"/>
      <c r="N236" s="845"/>
      <c r="O236" s="48">
        <f>IF(t&lt;Tnet,'2020'!Resal+('2020'!Salim-'2020'!Resal)*(1-EXP(('2020'!Tnet-t)/('2020'!Tau_j))),Resal+(Salim-Resal)*(1-EXP((Tnet-t)/(Tau_j))))*Salcycl</f>
        <v>1.4862198429140001E-2</v>
      </c>
      <c r="P236" s="169">
        <f>(INDEX(Models!$BJ236:$BT236,,T236)*(1-R236)+INDEX(Models!$BJ236:$BT236,,T236+1)*R236-ERP_i)*Q236*Ramure*Pc/MaxiM</f>
        <v>8.9608385654233103E-5</v>
      </c>
      <c r="Q236" s="305">
        <f t="shared" si="77"/>
        <v>0.5</v>
      </c>
      <c r="R236" s="177">
        <f t="shared" si="78"/>
        <v>0.9598000131382779</v>
      </c>
      <c r="S236" s="811">
        <f t="shared" si="79"/>
        <v>-1</v>
      </c>
      <c r="T236" s="176">
        <f t="shared" si="80"/>
        <v>5</v>
      </c>
      <c r="U236" s="251">
        <f t="shared" si="81"/>
        <v>-4.0199986861722103E-2</v>
      </c>
      <c r="V236" s="383">
        <f t="shared" si="82"/>
        <v>54.958824833010361</v>
      </c>
      <c r="W236" s="402"/>
      <c r="X236" s="157">
        <f t="shared" si="83"/>
        <v>44418</v>
      </c>
      <c r="Y236" s="385">
        <f t="shared" si="84"/>
        <v>48.398029409011912</v>
      </c>
      <c r="Z236" s="385">
        <f t="shared" si="85"/>
        <v>49.64235747773494</v>
      </c>
      <c r="AA236" s="386">
        <f t="shared" si="86"/>
        <v>53.018160837335529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6.3672585134702323E-2</v>
      </c>
      <c r="AD236" s="231">
        <f>(INDEX(Models!$BJ236:$BT236,,AH236)*(1-AF236)+INDEX(Models!$BJ236:$BT236,,AH236+1)*AF236-ERP_i)*AE236*Ramure*Pc/MaxiM</f>
        <v>8.9608385654233103E-5</v>
      </c>
      <c r="AE236" s="305">
        <f t="shared" si="88"/>
        <v>0.5</v>
      </c>
      <c r="AF236" s="177">
        <f t="shared" si="89"/>
        <v>0.9598000131382779</v>
      </c>
      <c r="AG236" s="811">
        <f t="shared" si="95"/>
        <v>-1</v>
      </c>
      <c r="AH236" s="176">
        <f t="shared" si="90"/>
        <v>5</v>
      </c>
      <c r="AI236" s="225">
        <f t="shared" si="91"/>
        <v>-4.0199986861722103E-2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7">
        <v>49.878999999999998</v>
      </c>
      <c r="C237" s="390"/>
      <c r="D237" s="393">
        <f t="shared" si="74"/>
        <v>51.162524864032328</v>
      </c>
      <c r="E237" s="385">
        <f t="shared" si="96"/>
        <v>51.938692802838865</v>
      </c>
      <c r="F237" s="385">
        <f t="shared" si="75"/>
        <v>51.942371205966737</v>
      </c>
      <c r="G237" s="110">
        <f t="shared" si="97"/>
        <v>0.91013595898502175</v>
      </c>
      <c r="H237" s="414" t="b">
        <f>Wh_hp&gt;='2020'!Maxi_hp</f>
        <v>0</v>
      </c>
      <c r="I237" s="380">
        <f>IF(H237,Wh_hp,'2020'!Maxi_hp)</f>
        <v>54.934751797677123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2.5087207237003639E-2</v>
      </c>
      <c r="M237" s="845"/>
      <c r="N237" s="845"/>
      <c r="O237" s="48">
        <f>IF(t&lt;Tnet,'2020'!Resal+('2020'!Salim-'2020'!Resal)*(1-EXP(('2020'!Tnet-t)/('2020'!Tau_j))),Resal+(Salim-Resal)*(1-EXP((Tnet-t)/(Tau_j))))*Salcycl</f>
        <v>1.4943925172566349E-2</v>
      </c>
      <c r="P237" s="169">
        <f>(INDEX(Models!$BJ237:$BT237,,T237)*(1-R237)+INDEX(Models!$BJ237:$BT237,,T237+1)*R237-ERP_i)*Q237*Ramure*Pc/MaxiM</f>
        <v>8.1246042100616885E-5</v>
      </c>
      <c r="Q237" s="305">
        <f t="shared" si="77"/>
        <v>0.5</v>
      </c>
      <c r="R237" s="177">
        <f t="shared" si="78"/>
        <v>0.96120981924462034</v>
      </c>
      <c r="S237" s="811">
        <f t="shared" si="79"/>
        <v>-1</v>
      </c>
      <c r="T237" s="176">
        <f t="shared" si="80"/>
        <v>5</v>
      </c>
      <c r="U237" s="251">
        <f t="shared" si="81"/>
        <v>-3.87901807553796E-2</v>
      </c>
      <c r="V237" s="383">
        <f t="shared" si="82"/>
        <v>54.803328316803949</v>
      </c>
      <c r="W237" s="402"/>
      <c r="X237" s="157">
        <f t="shared" si="83"/>
        <v>44419</v>
      </c>
      <c r="Y237" s="385">
        <f t="shared" si="84"/>
        <v>47.409795534526609</v>
      </c>
      <c r="Z237" s="385">
        <f t="shared" si="85"/>
        <v>48.629780926520311</v>
      </c>
      <c r="AA237" s="386">
        <f t="shared" si="86"/>
        <v>51.938692802838865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6.3708031483951807E-2</v>
      </c>
      <c r="AD237" s="231">
        <f>(INDEX(Models!$BJ237:$BT237,,AH237)*(1-AF237)+INDEX(Models!$BJ237:$BT237,,AH237+1)*AF237-ERP_i)*AE237*Ramure*Pc/MaxiM</f>
        <v>8.1246042100616885E-5</v>
      </c>
      <c r="AE237" s="305">
        <f t="shared" si="88"/>
        <v>0.5</v>
      </c>
      <c r="AF237" s="177">
        <f t="shared" si="89"/>
        <v>0.96120981924462034</v>
      </c>
      <c r="AG237" s="811">
        <f t="shared" si="95"/>
        <v>-1</v>
      </c>
      <c r="AH237" s="176">
        <f t="shared" si="90"/>
        <v>5</v>
      </c>
      <c r="AI237" s="225">
        <f t="shared" si="91"/>
        <v>-3.87901807553796E-2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7">
        <v>47.673999999999999</v>
      </c>
      <c r="C238" s="390"/>
      <c r="D238" s="393">
        <f t="shared" si="74"/>
        <v>48.901855181023151</v>
      </c>
      <c r="E238" s="385">
        <f t="shared" si="96"/>
        <v>49.647840619709307</v>
      </c>
      <c r="F238" s="385">
        <f t="shared" si="75"/>
        <v>49.650821856925837</v>
      </c>
      <c r="G238" s="110">
        <f t="shared" si="97"/>
        <v>0.87239775677636799</v>
      </c>
      <c r="H238" s="414" t="b">
        <f>Wh_hp&gt;='2020'!Maxi_hp</f>
        <v>0</v>
      </c>
      <c r="I238" s="380">
        <f>IF(H238,Wh_hp,'2020'!Maxi_hp)</f>
        <v>52.198759439863373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2.5108560329212937E-2</v>
      </c>
      <c r="M238" s="845"/>
      <c r="N238" s="845"/>
      <c r="O238" s="48">
        <f>IF(t&lt;Tnet,'2020'!Resal+('2020'!Salim-'2020'!Resal)*(1-EXP(('2020'!Tnet-t)/('2020'!Tau_j))),Resal+(Salim-Resal)*(1-EXP((Tnet-t)/(Tau_j))))*Salcycl</f>
        <v>1.5025536445788702E-2</v>
      </c>
      <c r="P238" s="169">
        <f>(INDEX(Models!$BJ238:$BT238,,T238)*(1-R238)+INDEX(Models!$BJ238:$BT238,,T238+1)*R238-ERP_i)*Q238*Ramure*Pc/MaxiM</f>
        <v>7.3427940933527423E-5</v>
      </c>
      <c r="Q238" s="305">
        <f t="shared" si="77"/>
        <v>0.5</v>
      </c>
      <c r="R238" s="177">
        <f t="shared" si="78"/>
        <v>0.96257095823218641</v>
      </c>
      <c r="S238" s="811">
        <f t="shared" si="79"/>
        <v>-1</v>
      </c>
      <c r="T238" s="176">
        <f t="shared" si="80"/>
        <v>5</v>
      </c>
      <c r="U238" s="251">
        <f t="shared" si="81"/>
        <v>-3.7429041767813531E-2</v>
      </c>
      <c r="V238" s="383">
        <f t="shared" si="82"/>
        <v>54.646360021584997</v>
      </c>
      <c r="W238" s="402"/>
      <c r="X238" s="157">
        <f t="shared" si="83"/>
        <v>44420</v>
      </c>
      <c r="Y238" s="385">
        <f t="shared" si="84"/>
        <v>45.315999397992371</v>
      </c>
      <c r="Z238" s="385">
        <f t="shared" si="85"/>
        <v>46.483123714057044</v>
      </c>
      <c r="AA238" s="386">
        <f t="shared" si="86"/>
        <v>49.647840619709307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6.3743294091947289E-2</v>
      </c>
      <c r="AD238" s="231">
        <f>(INDEX(Models!$BJ238:$BT238,,AH238)*(1-AF238)+INDEX(Models!$BJ238:$BT238,,AH238+1)*AF238-ERP_i)*AE238*Ramure*Pc/MaxiM</f>
        <v>7.3427940933527423E-5</v>
      </c>
      <c r="AE238" s="305">
        <f t="shared" si="88"/>
        <v>0.5</v>
      </c>
      <c r="AF238" s="177">
        <f t="shared" si="89"/>
        <v>0.96257095823218641</v>
      </c>
      <c r="AG238" s="811">
        <f t="shared" si="95"/>
        <v>-1</v>
      </c>
      <c r="AH238" s="176">
        <f t="shared" si="90"/>
        <v>5</v>
      </c>
      <c r="AI238" s="225">
        <f t="shared" si="91"/>
        <v>-3.7429041767813531E-2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7">
        <v>31.435000000000002</v>
      </c>
      <c r="C239" s="390"/>
      <c r="D239" s="393">
        <f t="shared" si="74"/>
        <v>32.245322138505784</v>
      </c>
      <c r="E239" s="385">
        <f t="shared" si="96"/>
        <v>32.739925207284003</v>
      </c>
      <c r="F239" s="385">
        <f t="shared" si="75"/>
        <v>32.74078212040417</v>
      </c>
      <c r="G239" s="110">
        <f t="shared" si="97"/>
        <v>0.57689488320445093</v>
      </c>
      <c r="H239" s="414" t="b">
        <f>Wh_hp&gt;='2020'!Maxi_hp</f>
        <v>0</v>
      </c>
      <c r="I239" s="380">
        <f>IF(H239,Wh_hp,'2020'!Maxi_hp)</f>
        <v>49.571963401626377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2.5129912953734568E-2</v>
      </c>
      <c r="M239" s="845"/>
      <c r="N239" s="845"/>
      <c r="O239" s="48">
        <f>IF(t&lt;Tnet,'2020'!Resal+('2020'!Salim-'2020'!Resal)*(1-EXP(('2020'!Tnet-t)/('2020'!Tau_j))),Resal+(Salim-Resal)*(1-EXP((Tnet-t)/(Tau_j))))*Salcycl</f>
        <v>1.5107031114053286E-2</v>
      </c>
      <c r="P239" s="169">
        <f>(INDEX(Models!$BJ239:$BT239,,T239)*(1-R239)+INDEX(Models!$BJ239:$BT239,,T239+1)*R239-ERP_i)*Q239*Ramure*Pc/MaxiM</f>
        <v>6.6159874050172085E-5</v>
      </c>
      <c r="Q239" s="305">
        <f t="shared" si="77"/>
        <v>0.5</v>
      </c>
      <c r="R239" s="177">
        <f t="shared" si="78"/>
        <v>0.96388481655993008</v>
      </c>
      <c r="S239" s="811">
        <f t="shared" si="79"/>
        <v>-1</v>
      </c>
      <c r="T239" s="176">
        <f t="shared" si="80"/>
        <v>5</v>
      </c>
      <c r="U239" s="251">
        <f t="shared" si="81"/>
        <v>-3.611518344006992E-2</v>
      </c>
      <c r="V239" s="383">
        <f t="shared" si="82"/>
        <v>54.487817250508549</v>
      </c>
      <c r="W239" s="402"/>
      <c r="X239" s="157">
        <f t="shared" si="83"/>
        <v>44421</v>
      </c>
      <c r="Y239" s="385">
        <f t="shared" si="84"/>
        <v>29.881548420369423</v>
      </c>
      <c r="Z239" s="385">
        <f t="shared" si="85"/>
        <v>30.651826143221587</v>
      </c>
      <c r="AA239" s="386">
        <f t="shared" si="86"/>
        <v>32.739925207284003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6.3778370012826241E-2</v>
      </c>
      <c r="AD239" s="231">
        <f>(INDEX(Models!$BJ239:$BT239,,AH239)*(1-AF239)+INDEX(Models!$BJ239:$BT239,,AH239+1)*AF239-ERP_i)*AE239*Ramure*Pc/MaxiM</f>
        <v>6.6159874050172085E-5</v>
      </c>
      <c r="AE239" s="305">
        <f t="shared" si="88"/>
        <v>0.5</v>
      </c>
      <c r="AF239" s="177">
        <f t="shared" si="89"/>
        <v>0.96388481655993008</v>
      </c>
      <c r="AG239" s="811">
        <f t="shared" si="95"/>
        <v>-1</v>
      </c>
      <c r="AH239" s="176">
        <f t="shared" si="90"/>
        <v>5</v>
      </c>
      <c r="AI239" s="225">
        <f t="shared" si="91"/>
        <v>-3.611518344006992E-2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7">
        <v>48.795000000000002</v>
      </c>
      <c r="C240" s="390"/>
      <c r="D240" s="393">
        <f t="shared" si="74"/>
        <v>50.053919396566606</v>
      </c>
      <c r="E240" s="385">
        <f t="shared" si="96"/>
        <v>50.825883646231851</v>
      </c>
      <c r="F240" s="385">
        <f t="shared" si="75"/>
        <v>50.828473232108941</v>
      </c>
      <c r="G240" s="110">
        <f t="shared" si="97"/>
        <v>0.89815466876023253</v>
      </c>
      <c r="H240" s="414" t="b">
        <f>Wh_hp&gt;='2020'!Maxi_hp</f>
        <v>0</v>
      </c>
      <c r="I240" s="380">
        <f>IF(H240,Wh_hp,'2020'!Maxi_hp)</f>
        <v>57.385484130512104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2.515126511057908E-2</v>
      </c>
      <c r="M240" s="845"/>
      <c r="N240" s="845"/>
      <c r="O240" s="48">
        <f>IF(t&lt;Tnet,'2020'!Resal+('2020'!Salim-'2020'!Resal)*(1-EXP(('2020'!Tnet-t)/('2020'!Tau_j))),Resal+(Salim-Resal)*(1-EXP((Tnet-t)/(Tau_j))))*Salcycl</f>
        <v>1.518840784035189E-2</v>
      </c>
      <c r="P240" s="169">
        <f>(INDEX(Models!$BJ240:$BT240,,T240)*(1-R240)+INDEX(Models!$BJ240:$BT240,,T240+1)*R240-ERP_i)*Q240*Ramure*Pc/MaxiM</f>
        <v>5.9621395879067555E-5</v>
      </c>
      <c r="Q240" s="305">
        <f t="shared" si="77"/>
        <v>0.5</v>
      </c>
      <c r="R240" s="177">
        <f t="shared" si="78"/>
        <v>0.96515276312087894</v>
      </c>
      <c r="S240" s="811">
        <f t="shared" si="79"/>
        <v>-1</v>
      </c>
      <c r="T240" s="176">
        <f t="shared" si="80"/>
        <v>5</v>
      </c>
      <c r="U240" s="251">
        <f t="shared" si="81"/>
        <v>-3.4847236879121002E-2</v>
      </c>
      <c r="V240" s="383">
        <f t="shared" si="82"/>
        <v>54.327587925571436</v>
      </c>
      <c r="W240" s="402"/>
      <c r="X240" s="157">
        <f t="shared" si="83"/>
        <v>44422</v>
      </c>
      <c r="Y240" s="385">
        <f t="shared" si="84"/>
        <v>46.385758008506279</v>
      </c>
      <c r="Z240" s="385">
        <f t="shared" si="85"/>
        <v>47.582518547113786</v>
      </c>
      <c r="AA240" s="386">
        <f t="shared" si="86"/>
        <v>50.825883646231851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6.3813255499760066E-2</v>
      </c>
      <c r="AD240" s="231">
        <f>(INDEX(Models!$BJ240:$BT240,,AH240)*(1-AF240)+INDEX(Models!$BJ240:$BT240,,AH240+1)*AF240-ERP_i)*AE240*Ramure*Pc/MaxiM</f>
        <v>5.9621395879067555E-5</v>
      </c>
      <c r="AE240" s="305">
        <f t="shared" si="88"/>
        <v>0.5</v>
      </c>
      <c r="AF240" s="177">
        <f t="shared" si="89"/>
        <v>0.96515276312087894</v>
      </c>
      <c r="AG240" s="811">
        <f t="shared" si="95"/>
        <v>-1</v>
      </c>
      <c r="AH240" s="176">
        <f t="shared" si="90"/>
        <v>5</v>
      </c>
      <c r="AI240" s="225">
        <f t="shared" si="91"/>
        <v>-3.4847236879121002E-2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7">
        <v>21.795000000000002</v>
      </c>
      <c r="C241" s="390"/>
      <c r="D241" s="393">
        <f t="shared" si="74"/>
        <v>22.357804443746321</v>
      </c>
      <c r="E241" s="385">
        <f t="shared" si="96"/>
        <v>22.704494470509243</v>
      </c>
      <c r="F241" s="385">
        <f t="shared" si="75"/>
        <v>22.704672062388653</v>
      </c>
      <c r="G241" s="110">
        <f t="shared" si="97"/>
        <v>0.40235887261789566</v>
      </c>
      <c r="H241" s="414" t="b">
        <f>Wh_hp&gt;='2020'!Maxi_hp</f>
        <v>0</v>
      </c>
      <c r="I241" s="380">
        <f>IF(H241,Wh_hp,'2020'!Maxi_hp)</f>
        <v>56.300151621417385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2.5172616799756464E-2</v>
      </c>
      <c r="M241" s="845"/>
      <c r="N241" s="845"/>
      <c r="O241" s="48">
        <f>IF(t&lt;Tnet,'2020'!Resal+('2020'!Salim-'2020'!Resal)*(1-EXP(('2020'!Tnet-t)/('2020'!Tau_j))),Resal+(Salim-Resal)*(1-EXP((Tnet-t)/(Tau_j))))*Salcycl</f>
        <v>1.5269665097068671E-2</v>
      </c>
      <c r="P241" s="169">
        <f>(INDEX(Models!$BJ241:$BT241,,T241)*(1-R241)+INDEX(Models!$BJ241:$BT241,,T241+1)*R241-ERP_i)*Q241*Ramure*Pc/MaxiM</f>
        <v>5.3481363486176086E-5</v>
      </c>
      <c r="Q241" s="305">
        <f t="shared" si="77"/>
        <v>0.5</v>
      </c>
      <c r="R241" s="177">
        <f t="shared" si="78"/>
        <v>0.96637614764391921</v>
      </c>
      <c r="S241" s="811">
        <f t="shared" si="79"/>
        <v>-1</v>
      </c>
      <c r="T241" s="176">
        <f t="shared" si="80"/>
        <v>5</v>
      </c>
      <c r="U241" s="251">
        <f t="shared" si="81"/>
        <v>-3.3623852356080786E-2</v>
      </c>
      <c r="V241" s="383">
        <f t="shared" si="82"/>
        <v>54.165587801472952</v>
      </c>
      <c r="W241" s="402"/>
      <c r="X241" s="157">
        <f t="shared" si="83"/>
        <v>44423</v>
      </c>
      <c r="Y241" s="385">
        <f t="shared" si="84"/>
        <v>20.719818707890379</v>
      </c>
      <c r="Z241" s="385">
        <f t="shared" si="85"/>
        <v>21.254859131951807</v>
      </c>
      <c r="AA241" s="386">
        <f t="shared" si="86"/>
        <v>22.704494470509243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6.3847946072543432E-2</v>
      </c>
      <c r="AD241" s="231">
        <f>(INDEX(Models!$BJ241:$BT241,,AH241)*(1-AF241)+INDEX(Models!$BJ241:$BT241,,AH241+1)*AF241-ERP_i)*AE241*Ramure*Pc/MaxiM</f>
        <v>5.3481363486176086E-5</v>
      </c>
      <c r="AE241" s="305">
        <f t="shared" si="88"/>
        <v>0.5</v>
      </c>
      <c r="AF241" s="177">
        <f t="shared" si="89"/>
        <v>0.96637614764391921</v>
      </c>
      <c r="AG241" s="811">
        <f t="shared" si="95"/>
        <v>-1</v>
      </c>
      <c r="AH241" s="176">
        <f t="shared" si="90"/>
        <v>5</v>
      </c>
      <c r="AI241" s="225">
        <f t="shared" si="91"/>
        <v>-3.3623852356080786E-2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7">
        <v>32.655999999999999</v>
      </c>
      <c r="C242" s="390"/>
      <c r="D242" s="393">
        <f t="shared" si="74"/>
        <v>33.499997875180135</v>
      </c>
      <c r="E242" s="385">
        <f t="shared" si="96"/>
        <v>34.022266930431854</v>
      </c>
      <c r="F242" s="385">
        <f t="shared" si="75"/>
        <v>34.022974051774</v>
      </c>
      <c r="G242" s="110">
        <f t="shared" si="97"/>
        <v>0.60470523854078007</v>
      </c>
      <c r="H242" s="414" t="b">
        <f>Wh_hp&gt;='2020'!Maxi_hp</f>
        <v>0</v>
      </c>
      <c r="I242" s="380">
        <f>IF(H242,Wh_hp,'2020'!Maxi_hp)</f>
        <v>56.421516120211891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2.5193968021277047E-2</v>
      </c>
      <c r="M242" s="845"/>
      <c r="N242" s="845"/>
      <c r="O242" s="48">
        <f>IF(t&lt;Tnet,'2020'!Resal+('2020'!Salim-'2020'!Resal)*(1-EXP(('2020'!Tnet-t)/('2020'!Tau_j))),Resal+(Salim-Resal)*(1-EXP((Tnet-t)/(Tau_j))))*Salcycl</f>
        <v>1.5350801177347979E-2</v>
      </c>
      <c r="P242" s="169">
        <f>(INDEX(Models!$BJ242:$BT242,,T242)*(1-R242)+INDEX(Models!$BJ242:$BT242,,T242+1)*R242-ERP_i)*Q242*Ramure*Pc/MaxiM</f>
        <v>4.7743752882602853E-5</v>
      </c>
      <c r="Q242" s="305">
        <f t="shared" si="77"/>
        <v>0.5</v>
      </c>
      <c r="R242" s="177">
        <f t="shared" si="78"/>
        <v>0.96755629927193798</v>
      </c>
      <c r="S242" s="811">
        <f t="shared" si="79"/>
        <v>-1</v>
      </c>
      <c r="T242" s="176">
        <f t="shared" si="80"/>
        <v>5</v>
      </c>
      <c r="U242" s="251">
        <f t="shared" si="81"/>
        <v>-3.2443700728062019E-2</v>
      </c>
      <c r="V242" s="383">
        <f t="shared" si="82"/>
        <v>54.001714374344402</v>
      </c>
      <c r="W242" s="402"/>
      <c r="X242" s="157">
        <f t="shared" si="83"/>
        <v>44424</v>
      </c>
      <c r="Y242" s="385">
        <f t="shared" si="84"/>
        <v>31.046442923562367</v>
      </c>
      <c r="Z242" s="385">
        <f t="shared" si="85"/>
        <v>31.848841620873369</v>
      </c>
      <c r="AA242" s="386">
        <f t="shared" si="86"/>
        <v>34.022266930431854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6.3882436581979313E-2</v>
      </c>
      <c r="AD242" s="231">
        <f>(INDEX(Models!$BJ242:$BT242,,AH242)*(1-AF242)+INDEX(Models!$BJ242:$BT242,,AH242+1)*AF242-ERP_i)*AE242*Ramure*Pc/MaxiM</f>
        <v>4.7743752882602853E-5</v>
      </c>
      <c r="AE242" s="305">
        <f t="shared" si="88"/>
        <v>0.5</v>
      </c>
      <c r="AF242" s="177">
        <f t="shared" si="89"/>
        <v>0.96755629927193798</v>
      </c>
      <c r="AG242" s="811">
        <f t="shared" si="95"/>
        <v>-1</v>
      </c>
      <c r="AH242" s="176">
        <f t="shared" si="90"/>
        <v>5</v>
      </c>
      <c r="AI242" s="225">
        <f t="shared" si="91"/>
        <v>-3.2443700728062019E-2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7">
        <v>42.919000000000004</v>
      </c>
      <c r="C243" s="390"/>
      <c r="D243" s="393">
        <f t="shared" si="74"/>
        <v>44.029210580197955</v>
      </c>
      <c r="E243" s="385">
        <f t="shared" si="96"/>
        <v>44.719310673936903</v>
      </c>
      <c r="F243" s="385">
        <f t="shared" si="75"/>
        <v>44.720657937166806</v>
      </c>
      <c r="G243" s="110">
        <f t="shared" si="97"/>
        <v>0.79720967633574713</v>
      </c>
      <c r="H243" s="414" t="b">
        <f>Wh_hp&gt;='2020'!Maxi_hp</f>
        <v>0</v>
      </c>
      <c r="I243" s="380">
        <f>IF(H243,Wh_hp,'2020'!Maxi_hp)</f>
        <v>55.293372982977111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2.5215318775151152E-2</v>
      </c>
      <c r="M243" s="845"/>
      <c r="N243" s="845"/>
      <c r="O243" s="48">
        <f>IF(t&lt;Tnet,'2020'!Resal+('2020'!Salim-'2020'!Resal)*(1-EXP(('2020'!Tnet-t)/('2020'!Tau_j))),Resal+(Salim-Resal)*(1-EXP((Tnet-t)/(Tau_j))))*Salcycl</f>
        <v>1.5431814205963288E-2</v>
      </c>
      <c r="P243" s="169">
        <f>(INDEX(Models!$BJ243:$BT243,,T243)*(1-R243)+INDEX(Models!$BJ243:$BT243,,T243+1)*R243-ERP_i)*Q243*Ramure*Pc/MaxiM</f>
        <v>4.2412530505935025E-5</v>
      </c>
      <c r="Q243" s="305">
        <f t="shared" si="77"/>
        <v>0.5</v>
      </c>
      <c r="R243" s="177">
        <f t="shared" si="78"/>
        <v>0.96869452530679068</v>
      </c>
      <c r="S243" s="811">
        <f t="shared" si="79"/>
        <v>-1</v>
      </c>
      <c r="T243" s="176">
        <f t="shared" si="80"/>
        <v>5</v>
      </c>
      <c r="U243" s="251">
        <f t="shared" si="81"/>
        <v>-3.1305474693209379E-2</v>
      </c>
      <c r="V243" s="383">
        <f t="shared" si="82"/>
        <v>53.835865194358583</v>
      </c>
      <c r="W243" s="402"/>
      <c r="X243" s="157">
        <f t="shared" si="83"/>
        <v>44425</v>
      </c>
      <c r="Y243" s="385">
        <f t="shared" si="84"/>
        <v>40.805460525215196</v>
      </c>
      <c r="Z243" s="385">
        <f t="shared" si="85"/>
        <v>41.860998958192283</v>
      </c>
      <c r="AA243" s="386">
        <f t="shared" si="86"/>
        <v>44.719310673936903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6.3916721270269705E-2</v>
      </c>
      <c r="AD243" s="231">
        <f>(INDEX(Models!$BJ243:$BT243,,AH243)*(1-AF243)+INDEX(Models!$BJ243:$BT243,,AH243+1)*AF243-ERP_i)*AE243*Ramure*Pc/MaxiM</f>
        <v>4.2412530505935025E-5</v>
      </c>
      <c r="AE243" s="305">
        <f t="shared" si="88"/>
        <v>0.5</v>
      </c>
      <c r="AF243" s="177">
        <f t="shared" si="89"/>
        <v>0.96869452530679068</v>
      </c>
      <c r="AG243" s="811">
        <f t="shared" si="95"/>
        <v>-1</v>
      </c>
      <c r="AH243" s="176">
        <f t="shared" si="90"/>
        <v>5</v>
      </c>
      <c r="AI243" s="225">
        <f t="shared" si="91"/>
        <v>-3.1305474693209379E-2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7">
        <v>51.000999999999998</v>
      </c>
      <c r="C244" s="390"/>
      <c r="D244" s="393">
        <f t="shared" si="74"/>
        <v>52.321418318937511</v>
      </c>
      <c r="E244" s="385">
        <f t="shared" si="96"/>
        <v>53.145854124449848</v>
      </c>
      <c r="F244" s="385">
        <f t="shared" si="75"/>
        <v>53.147705265054185</v>
      </c>
      <c r="G244" s="110">
        <f t="shared" si="97"/>
        <v>0.95030415330476359</v>
      </c>
      <c r="H244" s="414" t="b">
        <f>Wh_hp&gt;='2020'!Maxi_hp</f>
        <v>1</v>
      </c>
      <c r="I244" s="380">
        <f>IF(H244,Wh_hp,'2020'!Maxi_hp)</f>
        <v>53.147705265054185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2.5236669061388883E-2</v>
      </c>
      <c r="M244" s="845"/>
      <c r="N244" s="845"/>
      <c r="O244" s="48">
        <f>IF(t&lt;Tnet,'2020'!Resal+('2020'!Salim-'2020'!Resal)*(1-EXP(('2020'!Tnet-t)/('2020'!Tau_j))),Resal+(Salim-Resal)*(1-EXP((Tnet-t)/(Tau_j))))*Salcycl</f>
        <v>1.5512702149480626E-2</v>
      </c>
      <c r="P244" s="169">
        <f>(INDEX(Models!$BJ244:$BT244,,T244)*(1-R244)+INDEX(Models!$BJ244:$BT244,,T244+1)*R244-ERP_i)*Q244*Ramure*Pc/MaxiM</f>
        <v>3.7491663654948898E-5</v>
      </c>
      <c r="Q244" s="305">
        <f t="shared" si="77"/>
        <v>0.5</v>
      </c>
      <c r="R244" s="177">
        <f t="shared" si="78"/>
        <v>0.96979211011160427</v>
      </c>
      <c r="S244" s="811">
        <f t="shared" si="79"/>
        <v>-1</v>
      </c>
      <c r="T244" s="176">
        <f t="shared" si="80"/>
        <v>5</v>
      </c>
      <c r="U244" s="251">
        <f t="shared" si="81"/>
        <v>-3.0207889888395789E-2</v>
      </c>
      <c r="V244" s="383">
        <f t="shared" si="82"/>
        <v>53.667937866198322</v>
      </c>
      <c r="W244" s="402"/>
      <c r="X244" s="157">
        <f t="shared" si="83"/>
        <v>44426</v>
      </c>
      <c r="Y244" s="385">
        <f t="shared" si="84"/>
        <v>48.491682592834039</v>
      </c>
      <c r="Z244" s="385">
        <f t="shared" si="85"/>
        <v>49.747134564593054</v>
      </c>
      <c r="AA244" s="386">
        <f t="shared" si="86"/>
        <v>53.145854124449848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6.395079382670435E-2</v>
      </c>
      <c r="AD244" s="231">
        <f>(INDEX(Models!$BJ244:$BT244,,AH244)*(1-AF244)+INDEX(Models!$BJ244:$BT244,,AH244+1)*AF244-ERP_i)*AE244*Ramure*Pc/MaxiM</f>
        <v>3.7491663654948898E-5</v>
      </c>
      <c r="AE244" s="305">
        <f t="shared" si="88"/>
        <v>0.5</v>
      </c>
      <c r="AF244" s="177">
        <f t="shared" si="89"/>
        <v>0.96979211011160427</v>
      </c>
      <c r="AG244" s="811">
        <f t="shared" si="95"/>
        <v>-1</v>
      </c>
      <c r="AH244" s="176">
        <f t="shared" si="90"/>
        <v>5</v>
      </c>
      <c r="AI244" s="225">
        <f t="shared" si="91"/>
        <v>-3.0207889888395789E-2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7">
        <v>44.399000000000001</v>
      </c>
      <c r="C245" s="390"/>
      <c r="D245" s="393">
        <f t="shared" si="74"/>
        <v>45.549489875243289</v>
      </c>
      <c r="E245" s="385">
        <f t="shared" si="96"/>
        <v>46.271015231149526</v>
      </c>
      <c r="F245" s="385">
        <f t="shared" si="75"/>
        <v>46.272170682298885</v>
      </c>
      <c r="G245" s="110">
        <f t="shared" si="97"/>
        <v>0.82991486048676055</v>
      </c>
      <c r="H245" s="414" t="b">
        <f>Wh_hp&gt;='2020'!Maxi_hp</f>
        <v>0</v>
      </c>
      <c r="I245" s="380">
        <f>IF(H245,Wh_hp,'2020'!Maxi_hp)</f>
        <v>53.076716411968974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2.5258018880000566E-2</v>
      </c>
      <c r="M245" s="845"/>
      <c r="N245" s="845"/>
      <c r="O245" s="48">
        <f>IF(t&lt;Tnet,'2020'!Resal+('2020'!Salim-'2020'!Resal)*(1-EXP(('2020'!Tnet-t)/('2020'!Tau_j))),Resal+(Salim-Resal)*(1-EXP((Tnet-t)/(Tau_j))))*Salcycl</f>
        <v>1.559346282552509E-2</v>
      </c>
      <c r="P245" s="169">
        <f>(INDEX(Models!$BJ245:$BT245,,T245)*(1-R245)+INDEX(Models!$BJ245:$BT245,,T245+1)*R245-ERP_i)*Q245*Ramure*Pc/MaxiM</f>
        <v>3.29851304373365E-5</v>
      </c>
      <c r="Q245" s="305">
        <f t="shared" si="77"/>
        <v>0.5</v>
      </c>
      <c r="R245" s="177">
        <f t="shared" si="78"/>
        <v>0.97085031416104361</v>
      </c>
      <c r="S245" s="811">
        <f t="shared" si="79"/>
        <v>-1</v>
      </c>
      <c r="T245" s="176">
        <f t="shared" si="80"/>
        <v>5</v>
      </c>
      <c r="U245" s="251">
        <f t="shared" si="81"/>
        <v>-2.9149685838956441E-2</v>
      </c>
      <c r="V245" s="383">
        <f t="shared" si="82"/>
        <v>53.49783004840539</v>
      </c>
      <c r="W245" s="402"/>
      <c r="X245" s="157">
        <f t="shared" si="83"/>
        <v>44427</v>
      </c>
      <c r="Y245" s="385">
        <f t="shared" si="84"/>
        <v>42.216446223206283</v>
      </c>
      <c r="Z245" s="385">
        <f t="shared" si="85"/>
        <v>43.310380634984739</v>
      </c>
      <c r="AA245" s="386">
        <f t="shared" si="86"/>
        <v>46.271015231149526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6.3984647438029341E-2</v>
      </c>
      <c r="AD245" s="231">
        <f>(INDEX(Models!$BJ245:$BT245,,AH245)*(1-AF245)+INDEX(Models!$BJ245:$BT245,,AH245+1)*AF245-ERP_i)*AE245*Ramure*Pc/MaxiM</f>
        <v>3.29851304373365E-5</v>
      </c>
      <c r="AE245" s="305">
        <f t="shared" si="88"/>
        <v>0.5</v>
      </c>
      <c r="AF245" s="177">
        <f t="shared" si="89"/>
        <v>0.97085031416104361</v>
      </c>
      <c r="AG245" s="811">
        <f t="shared" si="95"/>
        <v>-1</v>
      </c>
      <c r="AH245" s="176">
        <f t="shared" si="90"/>
        <v>5</v>
      </c>
      <c r="AI245" s="225">
        <f t="shared" si="91"/>
        <v>-2.9149685838956441E-2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7">
        <v>51.236000000000004</v>
      </c>
      <c r="C246" s="390"/>
      <c r="D246" s="393">
        <f t="shared" si="74"/>
        <v>52.564805063182746</v>
      </c>
      <c r="E246" s="385">
        <f t="shared" si="96"/>
        <v>53.401830367379183</v>
      </c>
      <c r="F246" s="385">
        <f t="shared" si="75"/>
        <v>53.403287177639172</v>
      </c>
      <c r="G246" s="110">
        <f t="shared" si="97"/>
        <v>0.96081565668568858</v>
      </c>
      <c r="H246" s="414" t="b">
        <f>Wh_hp&gt;='2020'!Maxi_hp</f>
        <v>0</v>
      </c>
      <c r="I246" s="380">
        <f>IF(H246,Wh_hp,'2020'!Maxi_hp)</f>
        <v>53.656818151544883</v>
      </c>
      <c r="J246" s="85">
        <f>IF(H246,An,'2020'!An_max)</f>
        <v>2018</v>
      </c>
      <c r="K246" s="197">
        <f t="shared" si="76"/>
        <v>44428</v>
      </c>
      <c r="L246" s="147">
        <f>IF(t&lt;Tvie,1-EXP((T0-t)*PertePVj)+'2020'!Pspv,1-EXP((T0-t)*PertePVj)+Pspv)</f>
        <v>2.5279368230996413E-2</v>
      </c>
      <c r="M246" s="845"/>
      <c r="N246" s="845"/>
      <c r="O246" s="48">
        <f>IF(t&lt;Tnet,'2020'!Resal+('2020'!Salim-'2020'!Resal)*(1-EXP(('2020'!Tnet-t)/('2020'!Tau_j))),Resal+(Salim-Resal)*(1-EXP((Tnet-t)/(Tau_j))))*Salcycl</f>
        <v>1.56740939109784E-2</v>
      </c>
      <c r="P246" s="169">
        <f>(INDEX(Models!$BJ246:$BT246,,T246)*(1-R246)+INDEX(Models!$BJ246:$BT246,,T246+1)*R246-ERP_i)*Q246*Ramure*Pc/MaxiM</f>
        <v>2.8896929308837679E-5</v>
      </c>
      <c r="Q246" s="305">
        <f t="shared" si="77"/>
        <v>0.5</v>
      </c>
      <c r="R246" s="177">
        <f t="shared" si="78"/>
        <v>0.97187037323032888</v>
      </c>
      <c r="S246" s="811">
        <f t="shared" si="79"/>
        <v>-1</v>
      </c>
      <c r="T246" s="176">
        <f t="shared" si="80"/>
        <v>5</v>
      </c>
      <c r="U246" s="251">
        <f t="shared" si="81"/>
        <v>-2.8129626769671179E-2</v>
      </c>
      <c r="V246" s="383">
        <f t="shared" si="82"/>
        <v>53.325439449380831</v>
      </c>
      <c r="W246" s="402"/>
      <c r="X246" s="157">
        <f t="shared" si="83"/>
        <v>44428</v>
      </c>
      <c r="Y246" s="385">
        <f t="shared" si="84"/>
        <v>48.719595180826786</v>
      </c>
      <c r="Z246" s="385">
        <f t="shared" si="85"/>
        <v>49.983137314336354</v>
      </c>
      <c r="AA246" s="386">
        <f t="shared" si="86"/>
        <v>53.401830367379183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6.4018274832975744E-2</v>
      </c>
      <c r="AD246" s="231">
        <f>(INDEX(Models!$BJ246:$BT246,,AH246)*(1-AF246)+INDEX(Models!$BJ246:$BT246,,AH246+1)*AF246-ERP_i)*AE246*Ramure*Pc/MaxiM</f>
        <v>2.8896929308837679E-5</v>
      </c>
      <c r="AE246" s="305">
        <f t="shared" si="88"/>
        <v>0.5</v>
      </c>
      <c r="AF246" s="177">
        <f t="shared" si="89"/>
        <v>0.97187037323032888</v>
      </c>
      <c r="AG246" s="811">
        <f t="shared" si="95"/>
        <v>-1</v>
      </c>
      <c r="AH246" s="176">
        <f t="shared" si="90"/>
        <v>5</v>
      </c>
      <c r="AI246" s="225">
        <f t="shared" si="91"/>
        <v>-2.8129626769671179E-2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7">
        <v>48.850999999999999</v>
      </c>
      <c r="C247" s="390"/>
      <c r="D247" s="393">
        <f t="shared" si="74"/>
        <v>50.119047851739268</v>
      </c>
      <c r="E247" s="385">
        <f t="shared" si="96"/>
        <v>50.921292080908884</v>
      </c>
      <c r="F247" s="385">
        <f t="shared" si="75"/>
        <v>50.922428319015388</v>
      </c>
      <c r="G247" s="110">
        <f t="shared" si="97"/>
        <v>0.91906622684139294</v>
      </c>
      <c r="H247" s="414" t="b">
        <f>Wh_hp&gt;='2020'!Maxi_hp</f>
        <v>0</v>
      </c>
      <c r="I247" s="380">
        <f>IF(H247,Wh_hp,'2020'!Maxi_hp)</f>
        <v>54.498162972904758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2.530071711438675E-2</v>
      </c>
      <c r="M247" s="845"/>
      <c r="N247" s="845"/>
      <c r="O247" s="48">
        <f>IF(t&lt;Tnet,'2020'!Resal+('2020'!Salim-'2020'!Resal)*(1-EXP(('2020'!Tnet-t)/('2020'!Tau_j))),Resal+(Salim-Resal)*(1-EXP((Tnet-t)/(Tau_j))))*Salcycl</f>
        <v>1.5754592948955974E-2</v>
      </c>
      <c r="P247" s="169">
        <f>(INDEX(Models!$BJ247:$BT247,,T247)*(1-R247)+INDEX(Models!$BJ247:$BT247,,T247+1)*R247-ERP_i)*Q247*Ramure*Pc/MaxiM</f>
        <v>2.5230118615431768E-5</v>
      </c>
      <c r="Q247" s="305">
        <f t="shared" si="77"/>
        <v>0.5</v>
      </c>
      <c r="R247" s="177">
        <f t="shared" si="78"/>
        <v>0.9728534977139931</v>
      </c>
      <c r="S247" s="811">
        <f t="shared" si="79"/>
        <v>-1</v>
      </c>
      <c r="T247" s="176">
        <f t="shared" si="80"/>
        <v>5</v>
      </c>
      <c r="U247" s="251">
        <f t="shared" si="81"/>
        <v>-2.7146502286006957E-2</v>
      </c>
      <c r="V247" s="383">
        <f t="shared" si="82"/>
        <v>53.152706596855616</v>
      </c>
      <c r="W247" s="402"/>
      <c r="X247" s="157">
        <f t="shared" si="83"/>
        <v>44429</v>
      </c>
      <c r="Y247" s="385">
        <f t="shared" si="84"/>
        <v>46.453873823870978</v>
      </c>
      <c r="Z247" s="385">
        <f t="shared" si="85"/>
        <v>47.659698370089615</v>
      </c>
      <c r="AA247" s="386">
        <f t="shared" si="86"/>
        <v>50.921292080908884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6.4051668320531274E-2</v>
      </c>
      <c r="AD247" s="231">
        <f>(INDEX(Models!$BJ247:$BT247,,AH247)*(1-AF247)+INDEX(Models!$BJ247:$BT247,,AH247+1)*AF247-ERP_i)*AE247*Ramure*Pc/MaxiM</f>
        <v>2.5230118615431768E-5</v>
      </c>
      <c r="AE247" s="305">
        <f t="shared" si="88"/>
        <v>0.5</v>
      </c>
      <c r="AF247" s="177">
        <f t="shared" si="89"/>
        <v>0.9728534977139931</v>
      </c>
      <c r="AG247" s="811">
        <f t="shared" si="95"/>
        <v>-1</v>
      </c>
      <c r="AH247" s="176">
        <f t="shared" si="90"/>
        <v>5</v>
      </c>
      <c r="AI247" s="225">
        <f t="shared" si="91"/>
        <v>-2.7146502286006957E-2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7">
        <v>20.587</v>
      </c>
      <c r="C248" s="390"/>
      <c r="D248" s="393">
        <f t="shared" si="74"/>
        <v>21.121848840456636</v>
      </c>
      <c r="E248" s="385">
        <f t="shared" si="96"/>
        <v>21.461693847282309</v>
      </c>
      <c r="F248" s="385">
        <f t="shared" si="75"/>
        <v>21.461753842442825</v>
      </c>
      <c r="G248" s="110">
        <f t="shared" si="97"/>
        <v>0.38856513957620098</v>
      </c>
      <c r="H248" s="414" t="b">
        <f>Wh_hp&gt;='2020'!Maxi_hp</f>
        <v>0</v>
      </c>
      <c r="I248" s="380">
        <f>IF(H248,Wh_hp,'2020'!Maxi_hp)</f>
        <v>56.835581680919191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2.5322065530181681E-2</v>
      </c>
      <c r="M248" s="845"/>
      <c r="N248" s="845"/>
      <c r="O248" s="48">
        <f>IF(t&lt;Tnet,'2020'!Resal+('2020'!Salim-'2020'!Resal)*(1-EXP(('2020'!Tnet-t)/('2020'!Tau_j))),Resal+(Salim-Resal)*(1-EXP((Tnet-t)/(Tau_j))))*Salcycl</f>
        <v>1.5834957354435783E-2</v>
      </c>
      <c r="P248" s="169">
        <f>(INDEX(Models!$BJ248:$BT248,,T248)*(1-R248)+INDEX(Models!$BJ248:$BT248,,T248+1)*R248-ERP_i)*Q248*Ramure*Pc/MaxiM</f>
        <v>2.2092734355505904E-5</v>
      </c>
      <c r="Q248" s="305">
        <f t="shared" si="77"/>
        <v>0.5</v>
      </c>
      <c r="R248" s="177">
        <f t="shared" si="78"/>
        <v>0.9738008720656115</v>
      </c>
      <c r="S248" s="811">
        <f t="shared" si="79"/>
        <v>-1</v>
      </c>
      <c r="T248" s="176">
        <f t="shared" si="80"/>
        <v>5</v>
      </c>
      <c r="U248" s="251">
        <f t="shared" si="81"/>
        <v>-2.6199127934388555E-2</v>
      </c>
      <c r="V248" s="383">
        <f t="shared" si="82"/>
        <v>52.981085096966062</v>
      </c>
      <c r="W248" s="402"/>
      <c r="X248" s="157">
        <f t="shared" si="83"/>
        <v>44430</v>
      </c>
      <c r="Y248" s="385">
        <f t="shared" si="84"/>
        <v>19.577697824480442</v>
      </c>
      <c r="Z248" s="385">
        <f t="shared" si="85"/>
        <v>20.086325064011881</v>
      </c>
      <c r="AA248" s="386">
        <f t="shared" si="86"/>
        <v>21.461693847282309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6.4084819821646627E-2</v>
      </c>
      <c r="AD248" s="231">
        <f>(INDEX(Models!$BJ248:$BT248,,AH248)*(1-AF248)+INDEX(Models!$BJ248:$BT248,,AH248+1)*AF248-ERP_i)*AE248*Ramure*Pc/MaxiM</f>
        <v>2.2092734355505904E-5</v>
      </c>
      <c r="AE248" s="305">
        <f t="shared" si="88"/>
        <v>0.5</v>
      </c>
      <c r="AF248" s="177">
        <f t="shared" si="89"/>
        <v>0.9738008720656115</v>
      </c>
      <c r="AG248" s="811">
        <f t="shared" si="95"/>
        <v>-1</v>
      </c>
      <c r="AH248" s="176">
        <f t="shared" si="90"/>
        <v>5</v>
      </c>
      <c r="AI248" s="225">
        <f t="shared" si="91"/>
        <v>-2.6199127934388555E-2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7">
        <v>48.989000000000004</v>
      </c>
      <c r="C249" s="390"/>
      <c r="D249" s="393">
        <f t="shared" si="74"/>
        <v>50.262831727053545</v>
      </c>
      <c r="E249" s="385">
        <f t="shared" si="96"/>
        <v>51.075711088327047</v>
      </c>
      <c r="F249" s="385">
        <f t="shared" si="75"/>
        <v>51.076591232367974</v>
      </c>
      <c r="G249" s="110">
        <f t="shared" si="97"/>
        <v>0.92764855984540484</v>
      </c>
      <c r="H249" s="414" t="b">
        <f>Wh_hp&gt;='2020'!Maxi_hp</f>
        <v>0</v>
      </c>
      <c r="I249" s="380">
        <f>IF(H249,Wh_hp,'2020'!Maxi_hp)</f>
        <v>54.138140935976416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2.5343413478391641E-2</v>
      </c>
      <c r="M249" s="845"/>
      <c r="N249" s="845"/>
      <c r="O249" s="48">
        <f>IF(t&lt;Tnet,'2020'!Resal+('2020'!Salim-'2020'!Resal)*(1-EXP(('2020'!Tnet-t)/('2020'!Tau_j))),Resal+(Salim-Resal)*(1-EXP((Tnet-t)/(Tau_j))))*Salcycl</f>
        <v>1.5915184418436434E-2</v>
      </c>
      <c r="P249" s="169">
        <f>(INDEX(Models!$BJ249:$BT249,,T249)*(1-R249)+INDEX(Models!$BJ249:$BT249,,T249+1)*R249-ERP_i)*Q249*Ramure*Pc/MaxiM</f>
        <v>1.9218171993593194E-5</v>
      </c>
      <c r="Q249" s="305">
        <f t="shared" si="77"/>
        <v>0.5</v>
      </c>
      <c r="R249" s="177">
        <f t="shared" si="78"/>
        <v>0.97471365434999768</v>
      </c>
      <c r="S249" s="811">
        <f t="shared" si="79"/>
        <v>-1</v>
      </c>
      <c r="T249" s="176">
        <f t="shared" si="80"/>
        <v>5</v>
      </c>
      <c r="U249" s="251">
        <f t="shared" si="81"/>
        <v>-2.5286345650002262E-2</v>
      </c>
      <c r="V249" s="383">
        <f t="shared" si="82"/>
        <v>52.809765261152648</v>
      </c>
      <c r="W249" s="402"/>
      <c r="X249" s="157">
        <f t="shared" si="83"/>
        <v>44431</v>
      </c>
      <c r="Y249" s="385">
        <f t="shared" si="84"/>
        <v>46.589416120622005</v>
      </c>
      <c r="Z249" s="385">
        <f t="shared" si="85"/>
        <v>47.800852900293933</v>
      </c>
      <c r="AA249" s="386">
        <f t="shared" si="86"/>
        <v>51.075711088327047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6.4117720894179803E-2</v>
      </c>
      <c r="AD249" s="231">
        <f>(INDEX(Models!$BJ249:$BT249,,AH249)*(1-AF249)+INDEX(Models!$BJ249:$BT249,,AH249+1)*AF249-ERP_i)*AE249*Ramure*Pc/MaxiM</f>
        <v>1.9218171993593194E-5</v>
      </c>
      <c r="AE249" s="305">
        <f t="shared" si="88"/>
        <v>0.5</v>
      </c>
      <c r="AF249" s="177">
        <f t="shared" si="89"/>
        <v>0.97471365434999768</v>
      </c>
      <c r="AG249" s="811">
        <f t="shared" si="95"/>
        <v>-1</v>
      </c>
      <c r="AH249" s="176">
        <f t="shared" si="90"/>
        <v>5</v>
      </c>
      <c r="AI249" s="225">
        <f t="shared" si="91"/>
        <v>-2.5286345650002262E-2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7">
        <v>47.713999999999999</v>
      </c>
      <c r="C250" s="390"/>
      <c r="D250" s="393">
        <f t="shared" si="74"/>
        <v>48.955750919646476</v>
      </c>
      <c r="E250" s="385">
        <f t="shared" si="96"/>
        <v>49.75154030494781</v>
      </c>
      <c r="F250" s="385">
        <f t="shared" si="75"/>
        <v>49.752256237557106</v>
      </c>
      <c r="G250" s="110">
        <f t="shared" si="97"/>
        <v>0.90645472033627361</v>
      </c>
      <c r="H250" s="414" t="b">
        <f>Wh_hp&gt;='2020'!Maxi_hp</f>
        <v>0</v>
      </c>
      <c r="I250" s="380">
        <f>IF(H250,Wh_hp,'2020'!Maxi_hp)</f>
        <v>54.480093410292213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2.5364760959026622E-2</v>
      </c>
      <c r="M250" s="845"/>
      <c r="N250" s="845"/>
      <c r="O250" s="48">
        <f>IF(t&lt;Tnet,'2020'!Resal+('2020'!Salim-'2020'!Resal)*(1-EXP(('2020'!Tnet-t)/('2020'!Tau_j))),Resal+(Salim-Resal)*(1-EXP((Tnet-t)/(Tau_j))))*Salcycl</f>
        <v>1.5995271310669121E-2</v>
      </c>
      <c r="P250" s="169">
        <f>(INDEX(Models!$BJ250:$BT250,,T250)*(1-R250)+INDEX(Models!$BJ250:$BT250,,T250+1)*R250-ERP_i)*Q250*Ramure*Pc/MaxiM</f>
        <v>1.6609539126699796E-5</v>
      </c>
      <c r="Q250" s="305">
        <f t="shared" si="77"/>
        <v>0.5</v>
      </c>
      <c r="R250" s="177">
        <f t="shared" si="78"/>
        <v>0.97559297589966198</v>
      </c>
      <c r="S250" s="811">
        <f t="shared" si="79"/>
        <v>-1</v>
      </c>
      <c r="T250" s="176">
        <f t="shared" si="80"/>
        <v>5</v>
      </c>
      <c r="U250" s="251">
        <f t="shared" si="81"/>
        <v>-2.4407024100338015E-2</v>
      </c>
      <c r="V250" s="383">
        <f t="shared" si="82"/>
        <v>52.637923354212333</v>
      </c>
      <c r="W250" s="402"/>
      <c r="X250" s="157">
        <f t="shared" si="83"/>
        <v>44432</v>
      </c>
      <c r="Y250" s="385">
        <f t="shared" si="84"/>
        <v>45.378978667283242</v>
      </c>
      <c r="Z250" s="385">
        <f t="shared" si="85"/>
        <v>46.559960946964615</v>
      </c>
      <c r="AA250" s="386">
        <f t="shared" si="86"/>
        <v>49.75154030494781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6.4150362750995948E-2</v>
      </c>
      <c r="AD250" s="231">
        <f>(INDEX(Models!$BJ250:$BT250,,AH250)*(1-AF250)+INDEX(Models!$BJ250:$BT250,,AH250+1)*AF250-ERP_i)*AE250*Ramure*Pc/MaxiM</f>
        <v>1.6609539126699796E-5</v>
      </c>
      <c r="AE250" s="305">
        <f t="shared" si="88"/>
        <v>0.5</v>
      </c>
      <c r="AF250" s="177">
        <f t="shared" si="89"/>
        <v>0.97559297589966198</v>
      </c>
      <c r="AG250" s="811">
        <f t="shared" si="95"/>
        <v>-1</v>
      </c>
      <c r="AH250" s="176">
        <f t="shared" si="90"/>
        <v>5</v>
      </c>
      <c r="AI250" s="225">
        <f t="shared" si="91"/>
        <v>-2.4407024100338015E-2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7">
        <v>47.963000000000001</v>
      </c>
      <c r="C251" s="390"/>
      <c r="D251" s="393">
        <f t="shared" si="74"/>
        <v>49.212308989565301</v>
      </c>
      <c r="E251" s="385">
        <f t="shared" si="96"/>
        <v>50.01633228864894</v>
      </c>
      <c r="F251" s="385">
        <f t="shared" si="75"/>
        <v>50.016958530717517</v>
      </c>
      <c r="G251" s="110">
        <f t="shared" si="97"/>
        <v>0.91419341388938369</v>
      </c>
      <c r="H251" s="414" t="b">
        <f>Wh_hp&gt;='2020'!Maxi_hp</f>
        <v>0</v>
      </c>
      <c r="I251" s="380">
        <f>IF(H251,Wh_hp,'2020'!Maxi_hp)</f>
        <v>50.04617729749566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2.538610797209695E-2</v>
      </c>
      <c r="M251" s="845"/>
      <c r="N251" s="845"/>
      <c r="O251" s="48">
        <f>IF(t&lt;Tnet,'2020'!Resal+('2020'!Salim-'2020'!Resal)*(1-EXP(('2020'!Tnet-t)/('2020'!Tau_j))),Resal+(Salim-Resal)*(1-EXP((Tnet-t)/(Tau_j))))*Salcycl</f>
        <v>1.6075215080616923E-2</v>
      </c>
      <c r="P251" s="169">
        <f>(INDEX(Models!$BJ251:$BT251,,T251)*(1-R251)+INDEX(Models!$BJ251:$BT251,,T251+1)*R251-ERP_i)*Q251*Ramure*Pc/MaxiM</f>
        <v>1.4269761463842698E-5</v>
      </c>
      <c r="Q251" s="305">
        <f t="shared" si="77"/>
        <v>0.5</v>
      </c>
      <c r="R251" s="177">
        <f t="shared" si="78"/>
        <v>0.97643994106762655</v>
      </c>
      <c r="S251" s="811">
        <f t="shared" si="79"/>
        <v>-1</v>
      </c>
      <c r="T251" s="176">
        <f t="shared" si="80"/>
        <v>5</v>
      </c>
      <c r="U251" s="251">
        <f t="shared" si="81"/>
        <v>-2.3560058932373396E-2</v>
      </c>
      <c r="V251" s="383">
        <f t="shared" si="82"/>
        <v>52.464735990178667</v>
      </c>
      <c r="W251" s="402"/>
      <c r="X251" s="157">
        <f t="shared" si="83"/>
        <v>44433</v>
      </c>
      <c r="Y251" s="385">
        <f t="shared" si="84"/>
        <v>45.617921316921951</v>
      </c>
      <c r="Z251" s="385">
        <f t="shared" si="85"/>
        <v>46.806147224111101</v>
      </c>
      <c r="AA251" s="386">
        <f t="shared" si="86"/>
        <v>50.01633228864894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6.4182736271255619E-2</v>
      </c>
      <c r="AD251" s="231">
        <f>(INDEX(Models!$BJ251:$BT251,,AH251)*(1-AF251)+INDEX(Models!$BJ251:$BT251,,AH251+1)*AF251-ERP_i)*AE251*Ramure*Pc/MaxiM</f>
        <v>1.4269761463842698E-5</v>
      </c>
      <c r="AE251" s="305">
        <f t="shared" si="88"/>
        <v>0.5</v>
      </c>
      <c r="AF251" s="177">
        <f t="shared" si="89"/>
        <v>0.97643994106762655</v>
      </c>
      <c r="AG251" s="811">
        <f t="shared" si="95"/>
        <v>-1</v>
      </c>
      <c r="AH251" s="176">
        <f t="shared" si="90"/>
        <v>5</v>
      </c>
      <c r="AI251" s="225">
        <f t="shared" si="91"/>
        <v>-2.3560058932373396E-2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7">
        <v>50.416000000000004</v>
      </c>
      <c r="C252" s="390"/>
      <c r="D252" s="393">
        <f t="shared" si="74"/>
        <v>51.730336163248573</v>
      </c>
      <c r="E252" s="385">
        <f t="shared" si="96"/>
        <v>52.579762898375144</v>
      </c>
      <c r="F252" s="385">
        <f t="shared" si="75"/>
        <v>52.580371627080311</v>
      </c>
      <c r="G252" s="110">
        <f t="shared" si="97"/>
        <v>0.96417223516154782</v>
      </c>
      <c r="H252" s="414" t="b">
        <f>Wh_hp&gt;='2020'!Maxi_hp</f>
        <v>0</v>
      </c>
      <c r="I252" s="380">
        <f>IF(H252,Wh_hp,'2020'!Maxi_hp)</f>
        <v>54.589001673677714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2.540745451761306E-2</v>
      </c>
      <c r="M252" s="845"/>
      <c r="N252" s="845"/>
      <c r="O252" s="48">
        <f>IF(t&lt;Tnet,'2020'!Resal+('2020'!Salim-'2020'!Resal)*(1-EXP(('2020'!Tnet-t)/('2020'!Tau_j))),Resal+(Salim-Resal)*(1-EXP((Tnet-t)/(Tau_j))))*Salcycl</f>
        <v>1.6155012657024011E-2</v>
      </c>
      <c r="P252" s="169">
        <f>(INDEX(Models!$BJ252:$BT252,,T252)*(1-R252)+INDEX(Models!$BJ252:$BT252,,T252+1)*R252-ERP_i)*Q252*Ramure*Pc/MaxiM</f>
        <v>1.2201607773046648E-5</v>
      </c>
      <c r="Q252" s="305">
        <f t="shared" si="77"/>
        <v>0.5</v>
      </c>
      <c r="R252" s="177">
        <f t="shared" si="78"/>
        <v>0.97725562706903024</v>
      </c>
      <c r="S252" s="811">
        <f t="shared" si="79"/>
        <v>-1</v>
      </c>
      <c r="T252" s="176">
        <f t="shared" si="80"/>
        <v>5</v>
      </c>
      <c r="U252" s="251">
        <f t="shared" si="81"/>
        <v>-2.2744372930969758E-2</v>
      </c>
      <c r="V252" s="383">
        <f t="shared" si="82"/>
        <v>52.28938012975371</v>
      </c>
      <c r="W252" s="402"/>
      <c r="X252" s="157">
        <f t="shared" si="83"/>
        <v>44434</v>
      </c>
      <c r="Y252" s="385">
        <f t="shared" si="84"/>
        <v>47.95323006833307</v>
      </c>
      <c r="Z252" s="385">
        <f t="shared" si="85"/>
        <v>49.203362256991213</v>
      </c>
      <c r="AA252" s="386">
        <f t="shared" si="86"/>
        <v>52.579762898375144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6.4214832005038733E-2</v>
      </c>
      <c r="AD252" s="231">
        <f>(INDEX(Models!$BJ252:$BT252,,AH252)*(1-AF252)+INDEX(Models!$BJ252:$BT252,,AH252+1)*AF252-ERP_i)*AE252*Ramure*Pc/MaxiM</f>
        <v>1.2201607773046648E-5</v>
      </c>
      <c r="AE252" s="305">
        <f t="shared" si="88"/>
        <v>0.5</v>
      </c>
      <c r="AF252" s="177">
        <f t="shared" si="89"/>
        <v>0.97725562706903024</v>
      </c>
      <c r="AG252" s="811">
        <f t="shared" si="95"/>
        <v>-1</v>
      </c>
      <c r="AH252" s="176">
        <f t="shared" si="90"/>
        <v>5</v>
      </c>
      <c r="AI252" s="225">
        <f t="shared" si="91"/>
        <v>-2.2744372930969758E-2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7">
        <v>44.46</v>
      </c>
      <c r="C253" s="390"/>
      <c r="D253" s="393">
        <f t="shared" si="74"/>
        <v>45.620063497844612</v>
      </c>
      <c r="E253" s="385">
        <f t="shared" si="96"/>
        <v>46.372911996540957</v>
      </c>
      <c r="F253" s="385">
        <f t="shared" si="75"/>
        <v>46.373293406148953</v>
      </c>
      <c r="G253" s="110">
        <f t="shared" si="97"/>
        <v>0.85317638735675039</v>
      </c>
      <c r="H253" s="414" t="b">
        <f>Wh_hp&gt;='2020'!Maxi_hp</f>
        <v>0</v>
      </c>
      <c r="I253" s="380">
        <f>IF(H253,Wh_hp,'2020'!Maxi_hp)</f>
        <v>52.049973436944512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2.5428800595584944E-2</v>
      </c>
      <c r="M253" s="845"/>
      <c r="N253" s="845"/>
      <c r="O253" s="48">
        <f>IF(t&lt;Tnet,'2020'!Resal+('2020'!Salim-'2020'!Resal)*(1-EXP(('2020'!Tnet-t)/('2020'!Tau_j))),Resal+(Salim-Resal)*(1-EXP((Tnet-t)/(Tau_j))))*Salcycl</f>
        <v>1.6234660845808015E-2</v>
      </c>
      <c r="P253" s="169">
        <f>(INDEX(Models!$BJ253:$BT253,,T253)*(1-R253)+INDEX(Models!$BJ253:$BT253,,T253+1)*R253-ERP_i)*Q253*Ramure*Pc/MaxiM</f>
        <v>1.0407744753769647E-5</v>
      </c>
      <c r="Q253" s="305">
        <f t="shared" si="77"/>
        <v>0.5</v>
      </c>
      <c r="R253" s="177">
        <f t="shared" si="78"/>
        <v>0.97804108390427746</v>
      </c>
      <c r="S253" s="811">
        <f t="shared" si="79"/>
        <v>-1</v>
      </c>
      <c r="T253" s="176">
        <f t="shared" si="80"/>
        <v>5</v>
      </c>
      <c r="U253" s="251">
        <f t="shared" si="81"/>
        <v>-2.1958916095722536E-2</v>
      </c>
      <c r="V253" s="383">
        <f t="shared" si="82"/>
        <v>52.111033079366962</v>
      </c>
      <c r="W253" s="402"/>
      <c r="X253" s="157">
        <f t="shared" si="83"/>
        <v>44435</v>
      </c>
      <c r="Y253" s="385">
        <f t="shared" si="84"/>
        <v>42.290160795603555</v>
      </c>
      <c r="Z253" s="385">
        <f t="shared" si="85"/>
        <v>43.393608205791566</v>
      </c>
      <c r="AA253" s="386">
        <f t="shared" si="86"/>
        <v>46.372911996540957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6.4246640171564479E-2</v>
      </c>
      <c r="AD253" s="231">
        <f>(INDEX(Models!$BJ253:$BT253,,AH253)*(1-AF253)+INDEX(Models!$BJ253:$BT253,,AH253+1)*AF253-ERP_i)*AE253*Ramure*Pc/MaxiM</f>
        <v>1.0407744753769647E-5</v>
      </c>
      <c r="AE253" s="305">
        <f t="shared" si="88"/>
        <v>0.5</v>
      </c>
      <c r="AF253" s="177">
        <f t="shared" si="89"/>
        <v>0.97804108390427746</v>
      </c>
      <c r="AG253" s="811">
        <f t="shared" si="95"/>
        <v>-1</v>
      </c>
      <c r="AH253" s="176">
        <f t="shared" si="90"/>
        <v>5</v>
      </c>
      <c r="AI253" s="225">
        <f t="shared" si="91"/>
        <v>-2.1958916095722536E-2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7">
        <v>52.206000000000003</v>
      </c>
      <c r="C254" s="390"/>
      <c r="D254" s="393">
        <f t="shared" si="74"/>
        <v>53.569347731939139</v>
      </c>
      <c r="E254" s="385">
        <f t="shared" si="96"/>
        <v>54.457780475812463</v>
      </c>
      <c r="F254" s="385">
        <f t="shared" si="75"/>
        <v>54.458266820267049</v>
      </c>
      <c r="G254" s="110">
        <f t="shared" si="97"/>
        <v>1.0053367149229226</v>
      </c>
      <c r="H254" s="414" t="b">
        <f>Wh_hp&gt;='2020'!Maxi_hp</f>
        <v>1</v>
      </c>
      <c r="I254" s="380">
        <f>IF(H254,Wh_hp,'2020'!Maxi_hp)</f>
        <v>54.458266820267049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2.5450146206022928E-2</v>
      </c>
      <c r="M254" s="845"/>
      <c r="N254" s="845"/>
      <c r="O254" s="48">
        <f>IF(t&lt;Tnet,'2020'!Resal+('2020'!Salim-'2020'!Resal)*(1-EXP(('2020'!Tnet-t)/('2020'!Tau_j))),Resal+(Salim-Resal)*(1-EXP((Tnet-t)/(Tau_j))))*Salcycl</f>
        <v>1.6314156326439396E-2</v>
      </c>
      <c r="P254" s="169">
        <f>(INDEX(Models!$BJ254:$BT254,,T254)*(1-R254)+INDEX(Models!$BJ254:$BT254,,T254+1)*R254-ERP_i)*Q254*Ramure*Pc/MaxiM</f>
        <v>8.9305900276375126E-6</v>
      </c>
      <c r="Q254" s="305">
        <f t="shared" si="77"/>
        <v>0.5</v>
      </c>
      <c r="R254" s="177">
        <f t="shared" si="78"/>
        <v>0.97879733435683725</v>
      </c>
      <c r="S254" s="811">
        <f t="shared" si="79"/>
        <v>-1</v>
      </c>
      <c r="T254" s="176">
        <f t="shared" si="80"/>
        <v>5</v>
      </c>
      <c r="U254" s="251">
        <f t="shared" si="81"/>
        <v>-2.1202665643162699E-2</v>
      </c>
      <c r="V254" s="383">
        <f t="shared" si="82"/>
        <v>51.928870422286863</v>
      </c>
      <c r="W254" s="402"/>
      <c r="X254" s="157">
        <f t="shared" si="83"/>
        <v>44436</v>
      </c>
      <c r="Y254" s="385">
        <f t="shared" si="84"/>
        <v>49.660463430746823</v>
      </c>
      <c r="Z254" s="385">
        <f t="shared" si="85"/>
        <v>50.957335058248546</v>
      </c>
      <c r="AA254" s="386">
        <f t="shared" si="86"/>
        <v>54.457780475812463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6.4278150651377541E-2</v>
      </c>
      <c r="AD254" s="231">
        <f>(INDEX(Models!$BJ254:$BT254,,AH254)*(1-AF254)+INDEX(Models!$BJ254:$BT254,,AH254+1)*AF254-ERP_i)*AE254*Ramure*Pc/MaxiM</f>
        <v>8.9305900276375126E-6</v>
      </c>
      <c r="AE254" s="305">
        <f t="shared" si="88"/>
        <v>0.5</v>
      </c>
      <c r="AF254" s="177">
        <f t="shared" si="89"/>
        <v>0.97879733435683725</v>
      </c>
      <c r="AG254" s="811">
        <f t="shared" si="95"/>
        <v>-1</v>
      </c>
      <c r="AH254" s="176">
        <f t="shared" si="90"/>
        <v>5</v>
      </c>
      <c r="AI254" s="225">
        <f t="shared" si="91"/>
        <v>-2.1202665643162699E-2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7">
        <v>51.611000000000004</v>
      </c>
      <c r="C255" s="390"/>
      <c r="D255" s="393">
        <f t="shared" si="74"/>
        <v>52.959969402475139</v>
      </c>
      <c r="E255" s="385">
        <f t="shared" si="96"/>
        <v>53.842638461712802</v>
      </c>
      <c r="F255" s="385">
        <f t="shared" si="75"/>
        <v>53.843045701686705</v>
      </c>
      <c r="G255" s="110">
        <f t="shared" si="97"/>
        <v>0.99746664609763591</v>
      </c>
      <c r="H255" s="414" t="b">
        <f>Wh_hp&gt;='2020'!Maxi_hp</f>
        <v>1</v>
      </c>
      <c r="I255" s="380">
        <f>IF(H255,Wh_hp,'2020'!Maxi_hp)</f>
        <v>53.843045701686705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2.5471491348937336E-2</v>
      </c>
      <c r="M255" s="845"/>
      <c r="N255" s="845"/>
      <c r="O255" s="48">
        <f>IF(t&lt;Tnet,'2020'!Resal+('2020'!Salim-'2020'!Resal)*(1-EXP(('2020'!Tnet-t)/('2020'!Tau_j))),Resal+(Salim-Resal)*(1-EXP((Tnet-t)/(Tau_j))))*Salcycl</f>
        <v>1.6393495646862204E-2</v>
      </c>
      <c r="P255" s="169">
        <f>(INDEX(Models!$BJ255:$BT255,,T255)*(1-R255)+INDEX(Models!$BJ255:$BT255,,T255+1)*R255-ERP_i)*Q255*Ramure*Pc/MaxiM</f>
        <v>7.5909365570043876E-6</v>
      </c>
      <c r="Q255" s="305">
        <f t="shared" si="77"/>
        <v>0.5</v>
      </c>
      <c r="R255" s="177">
        <f t="shared" si="78"/>
        <v>0.97952537405913187</v>
      </c>
      <c r="S255" s="811">
        <f t="shared" si="79"/>
        <v>-1</v>
      </c>
      <c r="T255" s="176">
        <f t="shared" si="80"/>
        <v>5</v>
      </c>
      <c r="U255" s="251">
        <f t="shared" si="81"/>
        <v>-2.0474625940868074E-2</v>
      </c>
      <c r="V255" s="383">
        <f t="shared" si="82"/>
        <v>51.742079581361608</v>
      </c>
      <c r="W255" s="402"/>
      <c r="X255" s="157">
        <f t="shared" si="83"/>
        <v>44437</v>
      </c>
      <c r="Y255" s="385">
        <f t="shared" si="84"/>
        <v>49.096798130132925</v>
      </c>
      <c r="Z255" s="385">
        <f t="shared" si="85"/>
        <v>50.380053219882157</v>
      </c>
      <c r="AA255" s="386">
        <f t="shared" si="86"/>
        <v>53.842638461712802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6.4309352972976491E-2</v>
      </c>
      <c r="AD255" s="231">
        <f>(INDEX(Models!$BJ255:$BT255,,AH255)*(1-AF255)+INDEX(Models!$BJ255:$BT255,,AH255+1)*AF255-ERP_i)*AE255*Ramure*Pc/MaxiM</f>
        <v>7.5909365570043876E-6</v>
      </c>
      <c r="AE255" s="305">
        <f t="shared" si="88"/>
        <v>0.5</v>
      </c>
      <c r="AF255" s="177">
        <f t="shared" si="89"/>
        <v>0.97952537405913187</v>
      </c>
      <c r="AG255" s="811">
        <f t="shared" si="95"/>
        <v>-1</v>
      </c>
      <c r="AH255" s="176">
        <f t="shared" si="90"/>
        <v>5</v>
      </c>
      <c r="AI255" s="225">
        <f t="shared" si="91"/>
        <v>-2.0474625940868074E-2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7">
        <v>50.487000000000002</v>
      </c>
      <c r="C256" s="390"/>
      <c r="D256" s="393">
        <f t="shared" si="74"/>
        <v>51.80772586014659</v>
      </c>
      <c r="E256" s="385">
        <f t="shared" si="96"/>
        <v>52.675431129054139</v>
      </c>
      <c r="F256" s="385">
        <f t="shared" si="75"/>
        <v>52.67575781397985</v>
      </c>
      <c r="G256" s="110">
        <f t="shared" si="97"/>
        <v>0.97938212015528392</v>
      </c>
      <c r="H256" s="414" t="b">
        <f>Wh_hp&gt;='2020'!Maxi_hp</f>
        <v>1</v>
      </c>
      <c r="I256" s="380">
        <f>IF(H256,Wh_hp,'2020'!Maxi_hp)</f>
        <v>52.67575781397985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2.5492836024338272E-2</v>
      </c>
      <c r="M256" s="845"/>
      <c r="N256" s="845"/>
      <c r="O256" s="48">
        <f>IF(t&lt;Tnet,'2020'!Resal+('2020'!Salim-'2020'!Resal)*(1-EXP(('2020'!Tnet-t)/('2020'!Tau_j))),Resal+(Salim-Resal)*(1-EXP((Tnet-t)/(Tau_j))))*Salcycl</f>
        <v>1.6472675217060528E-2</v>
      </c>
      <c r="P256" s="169">
        <f>(INDEX(Models!$BJ256:$BT256,,T256)*(1-R256)+INDEX(Models!$BJ256:$BT256,,T256+1)*R256-ERP_i)*Q256*Ramure*Pc/MaxiM</f>
        <v>6.3900184501000477E-6</v>
      </c>
      <c r="Q256" s="305">
        <f t="shared" si="77"/>
        <v>0.5</v>
      </c>
      <c r="R256" s="177">
        <f t="shared" si="78"/>
        <v>0.98022617162030667</v>
      </c>
      <c r="S256" s="811">
        <f t="shared" si="79"/>
        <v>-1</v>
      </c>
      <c r="T256" s="176">
        <f t="shared" si="80"/>
        <v>5</v>
      </c>
      <c r="U256" s="251">
        <f t="shared" si="81"/>
        <v>-1.9773828379693381E-2</v>
      </c>
      <c r="V256" s="383">
        <f t="shared" si="82"/>
        <v>51.549838881830055</v>
      </c>
      <c r="W256" s="402"/>
      <c r="X256" s="157">
        <f t="shared" si="83"/>
        <v>44438</v>
      </c>
      <c r="Y256" s="385">
        <f t="shared" si="84"/>
        <v>48.029834352214884</v>
      </c>
      <c r="Z256" s="385">
        <f t="shared" si="85"/>
        <v>49.286281443298272</v>
      </c>
      <c r="AA256" s="386">
        <f t="shared" si="86"/>
        <v>52.675431129054139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6.4340236294459452E-2</v>
      </c>
      <c r="AD256" s="231">
        <f>(INDEX(Models!$BJ256:$BT256,,AH256)*(1-AF256)+INDEX(Models!$BJ256:$BT256,,AH256+1)*AF256-ERP_i)*AE256*Ramure*Pc/MaxiM</f>
        <v>6.3900184501000477E-6</v>
      </c>
      <c r="AE256" s="305">
        <f t="shared" si="88"/>
        <v>0.5</v>
      </c>
      <c r="AF256" s="177">
        <f t="shared" si="89"/>
        <v>0.98022617162030667</v>
      </c>
      <c r="AG256" s="811">
        <f t="shared" si="95"/>
        <v>-1</v>
      </c>
      <c r="AH256" s="176">
        <f t="shared" si="90"/>
        <v>5</v>
      </c>
      <c r="AI256" s="225">
        <f t="shared" si="91"/>
        <v>-1.9773828379693381E-2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7">
        <v>49.892000000000003</v>
      </c>
      <c r="C257" s="390"/>
      <c r="D257" s="393">
        <f t="shared" si="74"/>
        <v>51.198282199622042</v>
      </c>
      <c r="E257" s="385">
        <f t="shared" si="96"/>
        <v>52.059962630240456</v>
      </c>
      <c r="F257" s="385">
        <f t="shared" si="75"/>
        <v>52.060228799144411</v>
      </c>
      <c r="G257" s="110">
        <f t="shared" si="97"/>
        <v>0.97158130337179927</v>
      </c>
      <c r="H257" s="414" t="b">
        <f>Wh_hp&gt;='2020'!Maxi_hp</f>
        <v>1</v>
      </c>
      <c r="I257" s="380">
        <f>IF(H257,Wh_hp,'2020'!Maxi_hp)</f>
        <v>52.060228799144411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2.5514180232236061E-2</v>
      </c>
      <c r="M257" s="845"/>
      <c r="N257" s="845"/>
      <c r="O257" s="48">
        <f>IF(t&lt;Tnet,'2020'!Resal+('2020'!Salim-'2020'!Resal)*(1-EXP(('2020'!Tnet-t)/('2020'!Tau_j))),Resal+(Salim-Resal)*(1-EXP((Tnet-t)/(Tau_j))))*Salcycl</f>
        <v>1.6551691301404887E-2</v>
      </c>
      <c r="P257" s="169">
        <f>(INDEX(Models!$BJ257:$BT257,,T257)*(1-R257)+INDEX(Models!$BJ257:$BT257,,T257+1)*R257-ERP_i)*Q257*Ramure*Pc/MaxiM</f>
        <v>5.3290592743503724E-6</v>
      </c>
      <c r="Q257" s="305">
        <f t="shared" si="77"/>
        <v>0.5</v>
      </c>
      <c r="R257" s="177">
        <f t="shared" si="78"/>
        <v>0.98090066881000681</v>
      </c>
      <c r="S257" s="811">
        <f t="shared" si="79"/>
        <v>-1</v>
      </c>
      <c r="T257" s="176">
        <f t="shared" si="80"/>
        <v>5</v>
      </c>
      <c r="U257" s="251">
        <f t="shared" si="81"/>
        <v>-1.9099331189993185E-2</v>
      </c>
      <c r="V257" s="383">
        <f t="shared" si="82"/>
        <v>51.351326989053703</v>
      </c>
      <c r="W257" s="402"/>
      <c r="X257" s="157">
        <f t="shared" si="83"/>
        <v>44439</v>
      </c>
      <c r="Y257" s="385">
        <f t="shared" si="84"/>
        <v>47.466056083804638</v>
      </c>
      <c r="Z257" s="385">
        <f t="shared" si="85"/>
        <v>48.708821740594011</v>
      </c>
      <c r="AA257" s="386">
        <f t="shared" si="86"/>
        <v>52.059962630240456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6.4370789380856011E-2</v>
      </c>
      <c r="AD257" s="231">
        <f>(INDEX(Models!$BJ257:$BT257,,AH257)*(1-AF257)+INDEX(Models!$BJ257:$BT257,,AH257+1)*AF257-ERP_i)*AE257*Ramure*Pc/MaxiM</f>
        <v>5.3290592743503724E-6</v>
      </c>
      <c r="AE257" s="305">
        <f t="shared" si="88"/>
        <v>0.5</v>
      </c>
      <c r="AF257" s="177">
        <f t="shared" si="89"/>
        <v>0.98090066881000681</v>
      </c>
      <c r="AG257" s="811">
        <f t="shared" si="95"/>
        <v>-1</v>
      </c>
      <c r="AH257" s="176">
        <f t="shared" si="90"/>
        <v>5</v>
      </c>
      <c r="AI257" s="225">
        <f t="shared" si="91"/>
        <v>-1.9099331189993185E-2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7">
        <v>37.541000000000004</v>
      </c>
      <c r="C258" s="390"/>
      <c r="D258" s="393">
        <f t="shared" si="74"/>
        <v>38.524749668705212</v>
      </c>
      <c r="E258" s="385">
        <f t="shared" si="96"/>
        <v>39.176272231491346</v>
      </c>
      <c r="F258" s="385">
        <f t="shared" si="75"/>
        <v>39.176379330612143</v>
      </c>
      <c r="G258" s="110">
        <f t="shared" si="97"/>
        <v>0.73399954027932468</v>
      </c>
      <c r="H258" s="414" t="b">
        <f>Wh_hp&gt;='2020'!Maxi_hp</f>
        <v>0</v>
      </c>
      <c r="I258" s="380">
        <f>IF(H258,Wh_hp,'2020'!Maxi_hp)</f>
        <v>53.475031417285187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2.5535523972640806E-2</v>
      </c>
      <c r="M258" s="845"/>
      <c r="N258" s="845"/>
      <c r="O258" s="48">
        <f>IF(t&lt;Tnet,'2020'!Resal+('2020'!Salim-'2020'!Resal)*(1-EXP(('2020'!Tnet-t)/('2020'!Tau_j))),Resal+(Salim-Resal)*(1-EXP((Tnet-t)/(Tau_j))))*Salcycl</f>
        <v>1.663054000994036E-2</v>
      </c>
      <c r="P258" s="169">
        <f>(INDEX(Models!$BJ258:$BT258,,T258)*(1-R258)+INDEX(Models!$BJ258:$BT258,,T258+1)*R258-ERP_i)*Q258*Ramure*Pc/MaxiM</f>
        <v>4.4092949335951232E-6</v>
      </c>
      <c r="Q258" s="305">
        <f t="shared" si="77"/>
        <v>0.5</v>
      </c>
      <c r="R258" s="177">
        <f t="shared" si="78"/>
        <v>0.98154978079262833</v>
      </c>
      <c r="S258" s="811">
        <f t="shared" si="79"/>
        <v>-1</v>
      </c>
      <c r="T258" s="176">
        <f t="shared" si="80"/>
        <v>5</v>
      </c>
      <c r="U258" s="251">
        <f t="shared" si="81"/>
        <v>-1.8450219207371721E-2</v>
      </c>
      <c r="V258" s="383">
        <f t="shared" si="82"/>
        <v>51.145722904096473</v>
      </c>
      <c r="W258" s="402"/>
      <c r="X258" s="157">
        <f t="shared" si="83"/>
        <v>44440</v>
      </c>
      <c r="Y258" s="385">
        <f t="shared" si="84"/>
        <v>35.717320362643925</v>
      </c>
      <c r="Z258" s="385">
        <f t="shared" si="85"/>
        <v>36.653281100871162</v>
      </c>
      <c r="AA258" s="386">
        <f t="shared" si="86"/>
        <v>39.176272231491346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6.4401000577898521E-2</v>
      </c>
      <c r="AD258" s="231">
        <f>(INDEX(Models!$BJ258:$BT258,,AH258)*(1-AF258)+INDEX(Models!$BJ258:$BT258,,AH258+1)*AF258-ERP_i)*AE258*Ramure*Pc/MaxiM</f>
        <v>4.4092949335951232E-6</v>
      </c>
      <c r="AE258" s="305">
        <f t="shared" si="88"/>
        <v>0.5</v>
      </c>
      <c r="AF258" s="177">
        <f t="shared" si="89"/>
        <v>0.98154978079262833</v>
      </c>
      <c r="AG258" s="811">
        <f t="shared" si="95"/>
        <v>-1</v>
      </c>
      <c r="AH258" s="176">
        <f t="shared" si="90"/>
        <v>5</v>
      </c>
      <c r="AI258" s="225">
        <f t="shared" si="91"/>
        <v>-1.8450219207371721E-2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7">
        <v>18.975999999999999</v>
      </c>
      <c r="C259" s="390"/>
      <c r="D259" s="393">
        <f t="shared" si="74"/>
        <v>19.473686418581408</v>
      </c>
      <c r="E259" s="385">
        <f t="shared" si="96"/>
        <v>19.804605881575803</v>
      </c>
      <c r="F259" s="385">
        <f t="shared" si="75"/>
        <v>19.804613339072429</v>
      </c>
      <c r="G259" s="110">
        <f t="shared" si="97"/>
        <v>0.37257247874144223</v>
      </c>
      <c r="H259" s="414" t="b">
        <f>Wh_hp&gt;='2020'!Maxi_hp</f>
        <v>0</v>
      </c>
      <c r="I259" s="380">
        <f>IF(H259,Wh_hp,'2020'!Maxi_hp)</f>
        <v>51.427835350869806</v>
      </c>
      <c r="J259" s="85">
        <f>IF(H259,An,'2020'!An_max)</f>
        <v>2019</v>
      </c>
      <c r="K259" s="197">
        <f t="shared" si="76"/>
        <v>44441</v>
      </c>
      <c r="L259" s="147">
        <f>IF(t&lt;Tvie,1-EXP((T0-t)*PertePVj)+'2020'!Pspv,1-EXP((T0-t)*PertePVj)+Pspv)</f>
        <v>2.5556867245563053E-2</v>
      </c>
      <c r="M259" s="845"/>
      <c r="N259" s="845"/>
      <c r="O259" s="48">
        <f>IF(t&lt;Tnet,'2020'!Resal+('2020'!Salim-'2020'!Resal)*(1-EXP(('2020'!Tnet-t)/('2020'!Tau_j))),Resal+(Salim-Resal)*(1-EXP((Tnet-t)/(Tau_j))))*Salcycl</f>
        <v>1.6709217288805013E-2</v>
      </c>
      <c r="P259" s="169">
        <f>(INDEX(Models!$BJ259:$BT259,,T259)*(1-R259)+INDEX(Models!$BJ259:$BT259,,T259+1)*R259-ERP_i)*Q259*Ramure*Pc/MaxiM</f>
        <v>3.6319973468007206E-6</v>
      </c>
      <c r="Q259" s="305">
        <f t="shared" si="77"/>
        <v>0.5</v>
      </c>
      <c r="R259" s="177">
        <f t="shared" si="78"/>
        <v>0.9821743964068349</v>
      </c>
      <c r="S259" s="811">
        <f t="shared" si="79"/>
        <v>-1</v>
      </c>
      <c r="T259" s="176">
        <f t="shared" si="80"/>
        <v>5</v>
      </c>
      <c r="U259" s="251">
        <f t="shared" si="81"/>
        <v>-1.7825603593165096E-2</v>
      </c>
      <c r="V259" s="383">
        <f t="shared" si="82"/>
        <v>50.932205966408404</v>
      </c>
      <c r="W259" s="402"/>
      <c r="X259" s="157">
        <f t="shared" si="83"/>
        <v>44441</v>
      </c>
      <c r="Y259" s="385">
        <f t="shared" si="84"/>
        <v>18.055045724885026</v>
      </c>
      <c r="Z259" s="385">
        <f t="shared" si="85"/>
        <v>18.528578136570399</v>
      </c>
      <c r="AA259" s="386">
        <f t="shared" si="86"/>
        <v>19.804605881575803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6.4430857783061971E-2</v>
      </c>
      <c r="AD259" s="231">
        <f>(INDEX(Models!$BJ259:$BT259,,AH259)*(1-AF259)+INDEX(Models!$BJ259:$BT259,,AH259+1)*AF259-ERP_i)*AE259*Ramure*Pc/MaxiM</f>
        <v>3.6319973468007206E-6</v>
      </c>
      <c r="AE259" s="305">
        <f t="shared" si="88"/>
        <v>0.5</v>
      </c>
      <c r="AF259" s="177">
        <f t="shared" si="89"/>
        <v>0.9821743964068349</v>
      </c>
      <c r="AG259" s="811">
        <f t="shared" si="95"/>
        <v>-1</v>
      </c>
      <c r="AH259" s="176">
        <f t="shared" si="90"/>
        <v>5</v>
      </c>
      <c r="AI259" s="225">
        <f t="shared" si="91"/>
        <v>-1.7825603593165096E-2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7">
        <v>34.167000000000002</v>
      </c>
      <c r="C260" s="390"/>
      <c r="D260" s="393">
        <f t="shared" si="74"/>
        <v>35.063871059152632</v>
      </c>
      <c r="E260" s="385">
        <f t="shared" si="96"/>
        <v>35.662564161912378</v>
      </c>
      <c r="F260" s="385">
        <f t="shared" si="75"/>
        <v>35.662621260725423</v>
      </c>
      <c r="G260" s="110">
        <f t="shared" si="97"/>
        <v>0.67377207660326144</v>
      </c>
      <c r="H260" s="414" t="b">
        <f>Wh_hp&gt;='2020'!Maxi_hp</f>
        <v>0</v>
      </c>
      <c r="I260" s="380">
        <f>IF(H260,Wh_hp,'2020'!Maxi_hp)</f>
        <v>54.150203084511908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2.5578210051012684E-2</v>
      </c>
      <c r="M260" s="845"/>
      <c r="N260" s="845"/>
      <c r="O260" s="48">
        <f>IF(t&lt;Tnet,'2020'!Resal+('2020'!Salim-'2020'!Resal)*(1-EXP(('2020'!Tnet-t)/('2020'!Tau_j))),Resal+(Salim-Resal)*(1-EXP((Tnet-t)/(Tau_j))))*Salcycl</f>
        <v>1.6787718909992158E-2</v>
      </c>
      <c r="P260" s="169">
        <f>(INDEX(Models!$BJ260:$BT260,,T260)*(1-R260)+INDEX(Models!$BJ260:$BT260,,T260+1)*R260-ERP_i)*Q260*Ramure*Pc/MaxiM</f>
        <v>2.9984990225694626E-6</v>
      </c>
      <c r="Q260" s="305">
        <f t="shared" si="77"/>
        <v>0.5</v>
      </c>
      <c r="R260" s="177">
        <f t="shared" si="78"/>
        <v>0.98277537848546037</v>
      </c>
      <c r="S260" s="811">
        <f t="shared" si="79"/>
        <v>-1</v>
      </c>
      <c r="T260" s="176">
        <f t="shared" si="80"/>
        <v>5</v>
      </c>
      <c r="U260" s="251">
        <f t="shared" si="81"/>
        <v>-1.7224621514539629E-2</v>
      </c>
      <c r="V260" s="383">
        <f t="shared" si="82"/>
        <v>50.709955845388158</v>
      </c>
      <c r="W260" s="402"/>
      <c r="X260" s="157">
        <f t="shared" si="83"/>
        <v>44442</v>
      </c>
      <c r="Y260" s="385">
        <f t="shared" si="84"/>
        <v>32.510358027949046</v>
      </c>
      <c r="Z260" s="385">
        <f t="shared" si="85"/>
        <v>33.363742850671493</v>
      </c>
      <c r="AA260" s="386">
        <f t="shared" si="86"/>
        <v>35.662564161912378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6.4460348414767776E-2</v>
      </c>
      <c r="AD260" s="231">
        <f>(INDEX(Models!$BJ260:$BT260,,AH260)*(1-AF260)+INDEX(Models!$BJ260:$BT260,,AH260+1)*AF260-ERP_i)*AE260*Ramure*Pc/MaxiM</f>
        <v>2.9984990225694626E-6</v>
      </c>
      <c r="AE260" s="305">
        <f t="shared" si="88"/>
        <v>0.5</v>
      </c>
      <c r="AF260" s="177">
        <f t="shared" si="89"/>
        <v>0.98277537848546037</v>
      </c>
      <c r="AG260" s="811">
        <f t="shared" si="95"/>
        <v>-1</v>
      </c>
      <c r="AH260" s="176">
        <f t="shared" si="90"/>
        <v>5</v>
      </c>
      <c r="AI260" s="225">
        <f t="shared" si="91"/>
        <v>-1.7224621514539629E-2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7">
        <v>40.707000000000001</v>
      </c>
      <c r="C261" s="390"/>
      <c r="D261" s="393">
        <f t="shared" si="74"/>
        <v>41.77645864162313</v>
      </c>
      <c r="E261" s="385">
        <f t="shared" si="96"/>
        <v>42.493149825888807</v>
      </c>
      <c r="F261" s="385">
        <f t="shared" si="75"/>
        <v>42.493226991715098</v>
      </c>
      <c r="G261" s="110">
        <f t="shared" si="97"/>
        <v>0.8064089059857884</v>
      </c>
      <c r="H261" s="414" t="b">
        <f>Wh_hp&gt;='2020'!Maxi_hp</f>
        <v>0</v>
      </c>
      <c r="I261" s="380">
        <f>IF(H261,Wh_hp,'2020'!Maxi_hp)</f>
        <v>53.283178554064911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2.5599552389000135E-2</v>
      </c>
      <c r="M261" s="845"/>
      <c r="N261" s="845"/>
      <c r="O261" s="48">
        <f>IF(t&lt;Tnet,'2020'!Resal+('2020'!Salim-'2020'!Resal)*(1-EXP(('2020'!Tnet-t)/('2020'!Tau_j))),Resal+(Salim-Resal)*(1-EXP((Tnet-t)/(Tau_j))))*Salcycl</f>
        <v>1.6866040460691741E-2</v>
      </c>
      <c r="P261" s="169">
        <f>(INDEX(Models!$BJ261:$BT261,,T261)*(1-R261)+INDEX(Models!$BJ261:$BT261,,T261+1)*R261-ERP_i)*Q261*Ramure*Pc/MaxiM</f>
        <v>2.5101606826458876E-6</v>
      </c>
      <c r="Q261" s="305">
        <f t="shared" si="77"/>
        <v>0.5</v>
      </c>
      <c r="R261" s="177">
        <f t="shared" si="78"/>
        <v>0.98335356421122455</v>
      </c>
      <c r="S261" s="811">
        <f t="shared" si="79"/>
        <v>-1</v>
      </c>
      <c r="T261" s="176">
        <f t="shared" si="80"/>
        <v>5</v>
      </c>
      <c r="U261" s="251">
        <f t="shared" si="81"/>
        <v>-1.6646435788775393E-2</v>
      </c>
      <c r="V261" s="383">
        <f t="shared" si="82"/>
        <v>50.47931817071477</v>
      </c>
      <c r="W261" s="402"/>
      <c r="X261" s="157">
        <f t="shared" si="83"/>
        <v>44443</v>
      </c>
      <c r="Y261" s="385">
        <f t="shared" si="84"/>
        <v>38.735135947124391</v>
      </c>
      <c r="Z261" s="385">
        <f t="shared" si="85"/>
        <v>39.7527895662341</v>
      </c>
      <c r="AA261" s="386">
        <f t="shared" si="86"/>
        <v>42.493149825888807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6.4489459380701247E-2</v>
      </c>
      <c r="AD261" s="231">
        <f>(INDEX(Models!$BJ261:$BT261,,AH261)*(1-AF261)+INDEX(Models!$BJ261:$BT261,,AH261+1)*AF261-ERP_i)*AE261*Ramure*Pc/MaxiM</f>
        <v>2.5101606826458876E-6</v>
      </c>
      <c r="AE261" s="305">
        <f t="shared" si="88"/>
        <v>0.5</v>
      </c>
      <c r="AF261" s="177">
        <f t="shared" si="89"/>
        <v>0.98335356421122455</v>
      </c>
      <c r="AG261" s="811">
        <f t="shared" si="95"/>
        <v>-1</v>
      </c>
      <c r="AH261" s="176">
        <f t="shared" si="90"/>
        <v>5</v>
      </c>
      <c r="AI261" s="225">
        <f t="shared" si="91"/>
        <v>-1.6646435788775393E-2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7">
        <v>44.81</v>
      </c>
      <c r="C262" s="390"/>
      <c r="D262" s="393">
        <f t="shared" si="74"/>
        <v>45.988260355754797</v>
      </c>
      <c r="E262" s="385">
        <f t="shared" si="96"/>
        <v>46.780924638608127</v>
      </c>
      <c r="F262" s="385">
        <f t="shared" si="75"/>
        <v>46.781011725060409</v>
      </c>
      <c r="G262" s="110">
        <f t="shared" si="97"/>
        <v>0.89189257722106374</v>
      </c>
      <c r="H262" s="414" t="b">
        <f>Wh_hp&gt;='2020'!Maxi_hp</f>
        <v>0</v>
      </c>
      <c r="I262" s="380">
        <f>IF(H262,Wh_hp,'2020'!Maxi_hp)</f>
        <v>52.787883333438941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2.5620894259535731E-2</v>
      </c>
      <c r="M262" s="845"/>
      <c r="N262" s="845"/>
      <c r="O262" s="48">
        <f>IF(t&lt;Tnet,'2020'!Resal+('2020'!Salim-'2020'!Resal)*(1-EXP(('2020'!Tnet-t)/('2020'!Tau_j))),Resal+(Salim-Resal)*(1-EXP((Tnet-t)/(Tau_j))))*Salcycl</f>
        <v>1.6944177332466542E-2</v>
      </c>
      <c r="P262" s="169">
        <f>(INDEX(Models!$BJ262:$BT262,,T262)*(1-R262)+INDEX(Models!$BJ262:$BT262,,T262+1)*R262-ERP_i)*Q262*Ramure*Pc/MaxiM</f>
        <v>2.2015873062610976E-6</v>
      </c>
      <c r="Q262" s="305">
        <f t="shared" si="77"/>
        <v>0.5</v>
      </c>
      <c r="R262" s="177">
        <f t="shared" si="78"/>
        <v>0.98390976550399656</v>
      </c>
      <c r="S262" s="811">
        <f t="shared" si="79"/>
        <v>-1</v>
      </c>
      <c r="T262" s="176">
        <f t="shared" si="80"/>
        <v>5</v>
      </c>
      <c r="U262" s="251">
        <f t="shared" si="81"/>
        <v>-1.6090234496003497E-2</v>
      </c>
      <c r="V262" s="383">
        <f t="shared" si="82"/>
        <v>50.241459463340966</v>
      </c>
      <c r="W262" s="402"/>
      <c r="X262" s="157">
        <f t="shared" si="83"/>
        <v>44444</v>
      </c>
      <c r="Y262" s="385">
        <f t="shared" si="84"/>
        <v>42.641465031772697</v>
      </c>
      <c r="Z262" s="385">
        <f t="shared" si="85"/>
        <v>43.762704660387783</v>
      </c>
      <c r="AA262" s="386">
        <f t="shared" si="86"/>
        <v>46.780924638608127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6.451817704623608E-2</v>
      </c>
      <c r="AD262" s="231">
        <f>(INDEX(Models!$BJ262:$BT262,,AH262)*(1-AF262)+INDEX(Models!$BJ262:$BT262,,AH262+1)*AF262-ERP_i)*AE262*Ramure*Pc/MaxiM</f>
        <v>2.2015873062610976E-6</v>
      </c>
      <c r="AE262" s="305">
        <f t="shared" si="88"/>
        <v>0.5</v>
      </c>
      <c r="AF262" s="177">
        <f t="shared" si="89"/>
        <v>0.98390976550399656</v>
      </c>
      <c r="AG262" s="811">
        <f t="shared" si="95"/>
        <v>-1</v>
      </c>
      <c r="AH262" s="176">
        <f t="shared" si="90"/>
        <v>5</v>
      </c>
      <c r="AI262" s="225">
        <f t="shared" si="91"/>
        <v>-1.6090234496003497E-2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7">
        <v>47.823</v>
      </c>
      <c r="C263" s="390"/>
      <c r="D263" s="393">
        <f t="shared" si="74"/>
        <v>49.08156095263724</v>
      </c>
      <c r="E263" s="385">
        <f t="shared" si="96"/>
        <v>49.931501192927499</v>
      </c>
      <c r="F263" s="385">
        <f t="shared" si="75"/>
        <v>49.931593220904645</v>
      </c>
      <c r="G263" s="110">
        <f t="shared" si="97"/>
        <v>0.95652112238032605</v>
      </c>
      <c r="H263" s="414" t="b">
        <f>Wh_hp&gt;='2020'!Maxi_hp</f>
        <v>0</v>
      </c>
      <c r="I263" s="380">
        <f>IF(H263,Wh_hp,'2020'!Maxi_hp)</f>
        <v>54.673871330579189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2.5642235662629465E-2</v>
      </c>
      <c r="M263" s="845"/>
      <c r="N263" s="845"/>
      <c r="O263" s="48">
        <f>IF(t&lt;Tnet,'2020'!Resal+('2020'!Salim-'2020'!Resal)*(1-EXP(('2020'!Tnet-t)/('2020'!Tau_j))),Resal+(Salim-Resal)*(1-EXP((Tnet-t)/(Tau_j))))*Salcycl</f>
        <v>1.7022124710535477E-2</v>
      </c>
      <c r="P263" s="169">
        <f>(INDEX(Models!$BJ263:$BT263,,T263)*(1-R263)+INDEX(Models!$BJ263:$BT263,,T263+1)*R263-ERP_i)*Q263*Ramure*Pc/MaxiM</f>
        <v>1.9651409772989932E-6</v>
      </c>
      <c r="Q263" s="305">
        <f t="shared" si="77"/>
        <v>0.5</v>
      </c>
      <c r="R263" s="177">
        <f t="shared" si="78"/>
        <v>0.9844447694356282</v>
      </c>
      <c r="S263" s="811">
        <f t="shared" si="79"/>
        <v>-1</v>
      </c>
      <c r="T263" s="176">
        <f t="shared" si="80"/>
        <v>5</v>
      </c>
      <c r="U263" s="251">
        <f t="shared" si="81"/>
        <v>-1.5555230564371858E-2</v>
      </c>
      <c r="V263" s="383">
        <f t="shared" si="82"/>
        <v>49.996798861809118</v>
      </c>
      <c r="W263" s="402"/>
      <c r="X263" s="157">
        <f t="shared" si="83"/>
        <v>44445</v>
      </c>
      <c r="Y263" s="385">
        <f t="shared" si="84"/>
        <v>45.51088530784051</v>
      </c>
      <c r="Z263" s="385">
        <f t="shared" si="85"/>
        <v>46.70859819010218</v>
      </c>
      <c r="AA263" s="386">
        <f t="shared" si="86"/>
        <v>49.931501192927499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6.4546487203990241E-2</v>
      </c>
      <c r="AD263" s="231">
        <f>(INDEX(Models!$BJ263:$BT263,,AH263)*(1-AF263)+INDEX(Models!$BJ263:$BT263,,AH263+1)*AF263-ERP_i)*AE263*Ramure*Pc/MaxiM</f>
        <v>1.9651409772989932E-6</v>
      </c>
      <c r="AE263" s="305">
        <f t="shared" si="88"/>
        <v>0.5</v>
      </c>
      <c r="AF263" s="177">
        <f t="shared" si="89"/>
        <v>0.9844447694356282</v>
      </c>
      <c r="AG263" s="811">
        <f t="shared" si="95"/>
        <v>-1</v>
      </c>
      <c r="AH263" s="176">
        <f t="shared" si="90"/>
        <v>5</v>
      </c>
      <c r="AI263" s="225">
        <f t="shared" si="91"/>
        <v>-1.5555230564371858E-2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7">
        <v>37.727000000000004</v>
      </c>
      <c r="C264" s="390"/>
      <c r="D264" s="393">
        <f t="shared" si="74"/>
        <v>38.720711957255418</v>
      </c>
      <c r="E264" s="385">
        <f t="shared" si="96"/>
        <v>39.394350527975426</v>
      </c>
      <c r="F264" s="385">
        <f t="shared" si="75"/>
        <v>39.394397005993262</v>
      </c>
      <c r="G264" s="110">
        <f t="shared" si="97"/>
        <v>0.75839597686832072</v>
      </c>
      <c r="H264" s="414" t="b">
        <f>Wh_hp&gt;='2020'!Maxi_hp</f>
        <v>0</v>
      </c>
      <c r="I264" s="380">
        <f>IF(H264,Wh_hp,'2020'!Maxi_hp)</f>
        <v>50.140065797662274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2.5663576598291771E-2</v>
      </c>
      <c r="M264" s="845"/>
      <c r="N264" s="845"/>
      <c r="O264" s="48">
        <f>IF(t&lt;Tnet,'2020'!Resal+('2020'!Salim-'2020'!Resal)*(1-EXP(('2020'!Tnet-t)/('2020'!Tau_j))),Resal+(Salim-Resal)*(1-EXP((Tnet-t)/(Tau_j))))*Salcycl</f>
        <v>1.7099877563449876E-2</v>
      </c>
      <c r="P264" s="169">
        <f>(INDEX(Models!$BJ264:$BT264,,T264)*(1-R264)+INDEX(Models!$BJ264:$BT264,,T264+1)*R264-ERP_i)*Q264*Ramure*Pc/MaxiM</f>
        <v>1.8016479706828909E-6</v>
      </c>
      <c r="Q264" s="305">
        <f t="shared" si="77"/>
        <v>0.5</v>
      </c>
      <c r="R264" s="177">
        <f t="shared" si="78"/>
        <v>0.9849593386686657</v>
      </c>
      <c r="S264" s="811">
        <f t="shared" si="79"/>
        <v>-1</v>
      </c>
      <c r="T264" s="176">
        <f t="shared" si="80"/>
        <v>5</v>
      </c>
      <c r="U264" s="251">
        <f t="shared" si="81"/>
        <v>-1.5040661331334249E-2</v>
      </c>
      <c r="V264" s="383">
        <f t="shared" si="82"/>
        <v>49.745749833468793</v>
      </c>
      <c r="W264" s="402"/>
      <c r="X264" s="157">
        <f t="shared" si="83"/>
        <v>44446</v>
      </c>
      <c r="Y264" s="385">
        <f t="shared" si="84"/>
        <v>35.904769718791535</v>
      </c>
      <c r="Z264" s="385">
        <f t="shared" si="85"/>
        <v>36.85048496230587</v>
      </c>
      <c r="AA264" s="386">
        <f t="shared" si="86"/>
        <v>39.394350527975426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6.4574375045555465E-2</v>
      </c>
      <c r="AD264" s="231">
        <f>(INDEX(Models!$BJ264:$BT264,,AH264)*(1-AF264)+INDEX(Models!$BJ264:$BT264,,AH264+1)*AF264-ERP_i)*AE264*Ramure*Pc/MaxiM</f>
        <v>1.8016479706828909E-6</v>
      </c>
      <c r="AE264" s="305">
        <f t="shared" si="88"/>
        <v>0.5</v>
      </c>
      <c r="AF264" s="177">
        <f t="shared" si="89"/>
        <v>0.9849593386686657</v>
      </c>
      <c r="AG264" s="811">
        <f t="shared" si="95"/>
        <v>-1</v>
      </c>
      <c r="AH264" s="176">
        <f t="shared" si="90"/>
        <v>5</v>
      </c>
      <c r="AI264" s="225">
        <f t="shared" si="91"/>
        <v>-1.5040661331334249E-2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7">
        <v>29.749000000000002</v>
      </c>
      <c r="C265" s="390"/>
      <c r="D265" s="393">
        <f t="shared" si="74"/>
        <v>30.533243835691973</v>
      </c>
      <c r="E265" s="385">
        <f t="shared" si="96"/>
        <v>31.066893239307266</v>
      </c>
      <c r="F265" s="385">
        <f t="shared" si="75"/>
        <v>31.066916119034683</v>
      </c>
      <c r="G265" s="110">
        <f t="shared" si="97"/>
        <v>0.60112622759870138</v>
      </c>
      <c r="H265" s="414" t="b">
        <f>Wh_hp&gt;='2020'!Maxi_hp</f>
        <v>0</v>
      </c>
      <c r="I265" s="380">
        <f>IF(H265,Wh_hp,'2020'!Maxi_hp)</f>
        <v>49.195092920557293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2.5684917066532753E-2</v>
      </c>
      <c r="M265" s="845"/>
      <c r="N265" s="845"/>
      <c r="O265" s="48">
        <f>IF(t&lt;Tnet,'2020'!Resal+('2020'!Salim-'2020'!Resal)*(1-EXP(('2020'!Tnet-t)/('2020'!Tau_j))),Resal+(Salim-Resal)*(1-EXP((Tnet-t)/(Tau_j))))*Salcycl</f>
        <v>1.7177430633459535E-2</v>
      </c>
      <c r="P265" s="169">
        <f>(INDEX(Models!$BJ265:$BT265,,T265)*(1-R265)+INDEX(Models!$BJ265:$BT265,,T265+1)*R265-ERP_i)*Q265*Ramure*Pc/MaxiM</f>
        <v>1.7119903488712793E-6</v>
      </c>
      <c r="Q265" s="305">
        <f t="shared" si="77"/>
        <v>0.5</v>
      </c>
      <c r="R265" s="177">
        <f t="shared" si="78"/>
        <v>0.98545421191551164</v>
      </c>
      <c r="S265" s="811">
        <f t="shared" si="79"/>
        <v>-1</v>
      </c>
      <c r="T265" s="176">
        <f t="shared" si="80"/>
        <v>5</v>
      </c>
      <c r="U265" s="251">
        <f t="shared" si="81"/>
        <v>-1.454578808448842E-2</v>
      </c>
      <c r="V265" s="383">
        <f t="shared" si="82"/>
        <v>49.488725684024729</v>
      </c>
      <c r="W265" s="402"/>
      <c r="X265" s="157">
        <f t="shared" si="83"/>
        <v>44447</v>
      </c>
      <c r="Y265" s="385">
        <f t="shared" si="84"/>
        <v>28.313513721964345</v>
      </c>
      <c r="Z265" s="385">
        <f t="shared" si="85"/>
        <v>29.059915234728827</v>
      </c>
      <c r="AA265" s="386">
        <f t="shared" si="86"/>
        <v>31.066893239307266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6.4601825136448382E-2</v>
      </c>
      <c r="AD265" s="231">
        <f>(INDEX(Models!$BJ265:$BT265,,AH265)*(1-AF265)+INDEX(Models!$BJ265:$BT265,,AH265+1)*AF265-ERP_i)*AE265*Ramure*Pc/MaxiM</f>
        <v>1.7119903488712793E-6</v>
      </c>
      <c r="AE265" s="305">
        <f t="shared" si="88"/>
        <v>0.5</v>
      </c>
      <c r="AF265" s="177">
        <f t="shared" si="89"/>
        <v>0.98545421191551164</v>
      </c>
      <c r="AG265" s="811">
        <f t="shared" si="95"/>
        <v>-1</v>
      </c>
      <c r="AH265" s="176">
        <f t="shared" si="90"/>
        <v>5</v>
      </c>
      <c r="AI265" s="225">
        <f t="shared" si="91"/>
        <v>-1.454578808448842E-2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7">
        <v>17.992000000000001</v>
      </c>
      <c r="C266" s="390"/>
      <c r="D266" s="393">
        <f t="shared" si="74"/>
        <v>18.466709994301965</v>
      </c>
      <c r="E266" s="385">
        <f t="shared" si="96"/>
        <v>18.790943561913416</v>
      </c>
      <c r="F266" s="385">
        <f t="shared" si="75"/>
        <v>18.790946545776979</v>
      </c>
      <c r="G266" s="110">
        <f t="shared" si="97"/>
        <v>0.36549630922836751</v>
      </c>
      <c r="H266" s="414" t="b">
        <f>Wh_hp&gt;='2020'!Maxi_hp</f>
        <v>0</v>
      </c>
      <c r="I266" s="380">
        <f>IF(H266,Wh_hp,'2020'!Maxi_hp)</f>
        <v>49.204296027158733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2.5706257067362737E-2</v>
      </c>
      <c r="M266" s="845"/>
      <c r="N266" s="845"/>
      <c r="O266" s="48">
        <f>IF(t&lt;Tnet,'2020'!Resal+('2020'!Salim-'2020'!Resal)*(1-EXP(('2020'!Tnet-t)/('2020'!Tau_j))),Resal+(Salim-Resal)*(1-EXP((Tnet-t)/(Tau_j))))*Salcycl</f>
        <v>1.725477842787141E-2</v>
      </c>
      <c r="P266" s="169">
        <f>(INDEX(Models!$BJ266:$BT266,,T266)*(1-R266)+INDEX(Models!$BJ266:$BT266,,T266+1)*R266-ERP_i)*Q266*Ramure*Pc/MaxiM</f>
        <v>1.6971013858607412E-6</v>
      </c>
      <c r="Q266" s="305">
        <f t="shared" si="77"/>
        <v>0.5</v>
      </c>
      <c r="R266" s="177">
        <f t="shared" si="78"/>
        <v>0.98593010441486673</v>
      </c>
      <c r="S266" s="811">
        <f t="shared" si="79"/>
        <v>-1</v>
      </c>
      <c r="T266" s="176">
        <f t="shared" si="80"/>
        <v>5</v>
      </c>
      <c r="U266" s="251">
        <f t="shared" si="81"/>
        <v>-1.4069895585133219E-2</v>
      </c>
      <c r="V266" s="383">
        <f t="shared" si="82"/>
        <v>49.226139549066069</v>
      </c>
      <c r="W266" s="402"/>
      <c r="X266" s="157">
        <f t="shared" si="83"/>
        <v>44448</v>
      </c>
      <c r="Y266" s="385">
        <f t="shared" si="84"/>
        <v>17.124680818628818</v>
      </c>
      <c r="Z266" s="385">
        <f t="shared" si="85"/>
        <v>17.576507026600929</v>
      </c>
      <c r="AA266" s="386">
        <f t="shared" si="86"/>
        <v>18.790943561913416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6.4628821395322417E-2</v>
      </c>
      <c r="AD266" s="231">
        <f>(INDEX(Models!$BJ266:$BT266,,AH266)*(1-AF266)+INDEX(Models!$BJ266:$BT266,,AH266+1)*AF266-ERP_i)*AE266*Ramure*Pc/MaxiM</f>
        <v>1.6971013858607412E-6</v>
      </c>
      <c r="AE266" s="305">
        <f t="shared" si="88"/>
        <v>0.5</v>
      </c>
      <c r="AF266" s="177">
        <f t="shared" si="89"/>
        <v>0.98593010441486673</v>
      </c>
      <c r="AG266" s="811">
        <f t="shared" si="95"/>
        <v>-1</v>
      </c>
      <c r="AH266" s="176">
        <f t="shared" si="90"/>
        <v>5</v>
      </c>
      <c r="AI266" s="225">
        <f t="shared" si="91"/>
        <v>-1.4069895585133219E-2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7">
        <v>39.883000000000003</v>
      </c>
      <c r="C267" s="390"/>
      <c r="D267" s="393">
        <f t="shared" si="74"/>
        <v>40.936189776954961</v>
      </c>
      <c r="E267" s="385">
        <f t="shared" si="96"/>
        <v>41.658206276002446</v>
      </c>
      <c r="F267" s="385">
        <f t="shared" si="75"/>
        <v>41.658260116318772</v>
      </c>
      <c r="G267" s="110">
        <f t="shared" si="97"/>
        <v>0.81462992756734409</v>
      </c>
      <c r="H267" s="414" t="b">
        <f>Wh_hp&gt;='2020'!Maxi_hp</f>
        <v>1</v>
      </c>
      <c r="I267" s="380">
        <f>IF(H267,Wh_hp,'2020'!Maxi_hp)</f>
        <v>41.658260116318772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2.5727596600791935E-2</v>
      </c>
      <c r="M267" s="845"/>
      <c r="N267" s="845"/>
      <c r="O267" s="48">
        <f>IF(t&lt;Tnet,'2020'!Resal+('2020'!Salim-'2020'!Resal)*(1-EXP(('2020'!Tnet-t)/('2020'!Tau_j))),Resal+(Salim-Resal)*(1-EXP((Tnet-t)/(Tau_j))))*Salcycl</f>
        <v>1.7331915211707325E-2</v>
      </c>
      <c r="P267" s="169">
        <f>(INDEX(Models!$BJ267:$BT267,,T267)*(1-R267)+INDEX(Models!$BJ267:$BT267,,T267+1)*R267-ERP_i)*Q267*Ramure*Pc/MaxiM</f>
        <v>1.7579606797639965E-6</v>
      </c>
      <c r="Q267" s="305">
        <f t="shared" si="77"/>
        <v>0.5</v>
      </c>
      <c r="R267" s="177">
        <f t="shared" si="78"/>
        <v>0.98638770842253165</v>
      </c>
      <c r="S267" s="811">
        <f t="shared" si="79"/>
        <v>-1</v>
      </c>
      <c r="T267" s="176">
        <f t="shared" si="80"/>
        <v>5</v>
      </c>
      <c r="U267" s="251">
        <f t="shared" si="81"/>
        <v>-1.361229157746835E-2</v>
      </c>
      <c r="V267" s="383">
        <f t="shared" si="82"/>
        <v>48.958404403640053</v>
      </c>
      <c r="W267" s="402"/>
      <c r="X267" s="157">
        <f t="shared" si="83"/>
        <v>44449</v>
      </c>
      <c r="Y267" s="385">
        <f t="shared" si="84"/>
        <v>37.962310336461911</v>
      </c>
      <c r="Z267" s="385">
        <f t="shared" si="85"/>
        <v>38.964780490561488</v>
      </c>
      <c r="AA267" s="386">
        <f t="shared" si="86"/>
        <v>41.658206276002446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6.4655347078458589E-2</v>
      </c>
      <c r="AD267" s="231">
        <f>(INDEX(Models!$BJ267:$BT267,,AH267)*(1-AF267)+INDEX(Models!$BJ267:$BT267,,AH267+1)*AF267-ERP_i)*AE267*Ramure*Pc/MaxiM</f>
        <v>1.7579606797639965E-6</v>
      </c>
      <c r="AE267" s="305">
        <f t="shared" si="88"/>
        <v>0.5</v>
      </c>
      <c r="AF267" s="177">
        <f t="shared" si="89"/>
        <v>0.98638770842253165</v>
      </c>
      <c r="AG267" s="811">
        <f t="shared" si="95"/>
        <v>-1</v>
      </c>
      <c r="AH267" s="176">
        <f t="shared" si="90"/>
        <v>5</v>
      </c>
      <c r="AI267" s="225">
        <f t="shared" si="91"/>
        <v>-1.361229157746835E-2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7">
        <v>40.31</v>
      </c>
      <c r="C268" s="390"/>
      <c r="D268" s="393">
        <f t="shared" si="74"/>
        <v>41.375371786317075</v>
      </c>
      <c r="E268" s="385">
        <f t="shared" si="96"/>
        <v>42.108430505173395</v>
      </c>
      <c r="F268" s="385">
        <f t="shared" si="75"/>
        <v>42.108491929772732</v>
      </c>
      <c r="G268" s="110">
        <f t="shared" si="97"/>
        <v>0.82795953291395807</v>
      </c>
      <c r="H268" s="414" t="b">
        <f>Wh_hp&gt;='2020'!Maxi_hp</f>
        <v>0</v>
      </c>
      <c r="I268" s="380">
        <f>IF(H268,Wh_hp,'2020'!Maxi_hp)</f>
        <v>46.653482601520295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2.5748935666830564E-2</v>
      </c>
      <c r="M268" s="845"/>
      <c r="N268" s="845"/>
      <c r="O268" s="48">
        <f>IF(t&lt;Tnet,'2020'!Resal+('2020'!Salim-'2020'!Resal)*(1-EXP(('2020'!Tnet-t)/('2020'!Tau_j))),Resal+(Salim-Resal)*(1-EXP((Tnet-t)/(Tau_j))))*Salcycl</f>
        <v>1.7408835001966078E-2</v>
      </c>
      <c r="P268" s="169">
        <f>(INDEX(Models!$BJ268:$BT268,,T268)*(1-R268)+INDEX(Models!$BJ268:$BT268,,T268+1)*R268-ERP_i)*Q268*Ramure*Pc/MaxiM</f>
        <v>1.934059027884562E-6</v>
      </c>
      <c r="Q268" s="305">
        <f t="shared" si="77"/>
        <v>0.5</v>
      </c>
      <c r="R268" s="177">
        <f t="shared" si="78"/>
        <v>0.98682769371386836</v>
      </c>
      <c r="S268" s="811">
        <f t="shared" si="79"/>
        <v>-1</v>
      </c>
      <c r="T268" s="176">
        <f t="shared" si="80"/>
        <v>5</v>
      </c>
      <c r="U268" s="251">
        <f t="shared" si="81"/>
        <v>-1.3172306286131641E-2</v>
      </c>
      <c r="V268" s="383">
        <f t="shared" si="82"/>
        <v>48.685931179852226</v>
      </c>
      <c r="W268" s="402"/>
      <c r="X268" s="157">
        <f t="shared" si="83"/>
        <v>44450</v>
      </c>
      <c r="Y268" s="385">
        <f t="shared" si="84"/>
        <v>38.37068225621168</v>
      </c>
      <c r="Z268" s="385">
        <f t="shared" si="85"/>
        <v>39.384798909585662</v>
      </c>
      <c r="AA268" s="386">
        <f t="shared" si="86"/>
        <v>42.108430505173395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6.4681384770517839E-2</v>
      </c>
      <c r="AD268" s="231">
        <f>(INDEX(Models!$BJ268:$BT268,,AH268)*(1-AF268)+INDEX(Models!$BJ268:$BT268,,AH268+1)*AF268-ERP_i)*AE268*Ramure*Pc/MaxiM</f>
        <v>1.934059027884562E-6</v>
      </c>
      <c r="AE268" s="305">
        <f t="shared" si="88"/>
        <v>0.5</v>
      </c>
      <c r="AF268" s="177">
        <f t="shared" si="89"/>
        <v>0.98682769371386836</v>
      </c>
      <c r="AG268" s="811">
        <f t="shared" si="95"/>
        <v>-1</v>
      </c>
      <c r="AH268" s="176">
        <f t="shared" si="90"/>
        <v>5</v>
      </c>
      <c r="AI268" s="225">
        <f t="shared" si="91"/>
        <v>-1.3172306286131641E-2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7">
        <v>45.69</v>
      </c>
      <c r="C269" s="390"/>
      <c r="D269" s="393">
        <f t="shared" si="74"/>
        <v>46.898589514452013</v>
      </c>
      <c r="E269" s="385">
        <f t="shared" si="96"/>
        <v>47.733230421631127</v>
      </c>
      <c r="F269" s="385">
        <f t="shared" si="75"/>
        <v>47.733326338604591</v>
      </c>
      <c r="G269" s="110">
        <f t="shared" si="97"/>
        <v>0.94382996911415118</v>
      </c>
      <c r="H269" s="414" t="b">
        <f>Wh_hp&gt;='2020'!Maxi_hp</f>
        <v>0</v>
      </c>
      <c r="I269" s="380">
        <f>IF(H269,Wh_hp,'2020'!Maxi_hp)</f>
        <v>50.761032411385656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2.5770274265488946E-2</v>
      </c>
      <c r="M269" s="845"/>
      <c r="N269" s="845"/>
      <c r="O269" s="48">
        <f>IF(t&lt;Tnet,'2020'!Resal+('2020'!Salim-'2020'!Resal)*(1-EXP(('2020'!Tnet-t)/('2020'!Tau_j))),Resal+(Salim-Resal)*(1-EXP((Tnet-t)/(Tau_j))))*Salcycl</f>
        <v>1.7485531563790419E-2</v>
      </c>
      <c r="P269" s="169">
        <f>(INDEX(Models!$BJ269:$BT269,,T269)*(1-R269)+INDEX(Models!$BJ269:$BT269,,T269+1)*R269-ERP_i)*Q269*Ramure*Pc/MaxiM</f>
        <v>2.1847437572951595E-6</v>
      </c>
      <c r="Q269" s="305">
        <f t="shared" si="77"/>
        <v>0.5</v>
      </c>
      <c r="R269" s="177">
        <f t="shared" si="78"/>
        <v>0.98725070809545534</v>
      </c>
      <c r="S269" s="811">
        <f t="shared" si="79"/>
        <v>-1</v>
      </c>
      <c r="T269" s="176">
        <f t="shared" si="80"/>
        <v>5</v>
      </c>
      <c r="U269" s="251">
        <f t="shared" si="81"/>
        <v>-1.2749291904544657E-2</v>
      </c>
      <c r="V269" s="383">
        <f t="shared" si="82"/>
        <v>48.40913457428001</v>
      </c>
      <c r="W269" s="402"/>
      <c r="X269" s="157">
        <f t="shared" si="83"/>
        <v>44451</v>
      </c>
      <c r="Y269" s="385">
        <f t="shared" si="84"/>
        <v>43.49405770939903</v>
      </c>
      <c r="Z269" s="385">
        <f t="shared" si="85"/>
        <v>44.644560272072489</v>
      </c>
      <c r="AA269" s="386">
        <f t="shared" si="86"/>
        <v>47.733230421631127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6.4706916382490431E-2</v>
      </c>
      <c r="AD269" s="231">
        <f>(INDEX(Models!$BJ269:$BT269,,AH269)*(1-AF269)+INDEX(Models!$BJ269:$BT269,,AH269+1)*AF269-ERP_i)*AE269*Ramure*Pc/MaxiM</f>
        <v>2.1847437572951595E-6</v>
      </c>
      <c r="AE269" s="305">
        <f t="shared" si="88"/>
        <v>0.5</v>
      </c>
      <c r="AF269" s="177">
        <f t="shared" si="89"/>
        <v>0.98725070809545534</v>
      </c>
      <c r="AG269" s="811">
        <f t="shared" si="95"/>
        <v>-1</v>
      </c>
      <c r="AH269" s="176">
        <f t="shared" si="90"/>
        <v>5</v>
      </c>
      <c r="AI269" s="225">
        <f t="shared" si="91"/>
        <v>-1.2749291904544657E-2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7">
        <v>34.042999999999999</v>
      </c>
      <c r="C270" s="390"/>
      <c r="D270" s="393">
        <f t="shared" si="74"/>
        <v>34.944269042636378</v>
      </c>
      <c r="E270" s="385">
        <f t="shared" si="96"/>
        <v>35.568930544258457</v>
      </c>
      <c r="F270" s="385">
        <f t="shared" si="75"/>
        <v>35.568982518208664</v>
      </c>
      <c r="G270" s="110">
        <f t="shared" si="97"/>
        <v>0.70733589969730093</v>
      </c>
      <c r="H270" s="414" t="b">
        <f>Wh_hp&gt;='2020'!Maxi_hp</f>
        <v>0</v>
      </c>
      <c r="I270" s="380">
        <f>IF(H270,Wh_hp,'2020'!Maxi_hp)</f>
        <v>48.245201516580117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2.5791612396777186E-2</v>
      </c>
      <c r="M270" s="845"/>
      <c r="N270" s="845"/>
      <c r="O270" s="48">
        <f>IF(t&lt;Tnet,'2020'!Resal+('2020'!Salim-'2020'!Resal)*(1-EXP(('2020'!Tnet-t)/('2020'!Tau_j))),Resal+(Salim-Resal)*(1-EXP((Tnet-t)/(Tau_j))))*Salcycl</f>
        <v>1.7561998408830722E-2</v>
      </c>
      <c r="P270" s="169">
        <f>(INDEX(Models!$BJ270:$BT270,,T270)*(1-R270)+INDEX(Models!$BJ270:$BT270,,T270+1)*R270-ERP_i)*Q270*Ramure*Pc/MaxiM</f>
        <v>2.5110701467300364E-6</v>
      </c>
      <c r="Q270" s="305">
        <f t="shared" si="77"/>
        <v>0.5</v>
      </c>
      <c r="R270" s="177">
        <f t="shared" si="78"/>
        <v>0.98765737792366548</v>
      </c>
      <c r="S270" s="811">
        <f t="shared" si="79"/>
        <v>-1</v>
      </c>
      <c r="T270" s="176">
        <f t="shared" si="80"/>
        <v>5</v>
      </c>
      <c r="U270" s="251">
        <f t="shared" si="81"/>
        <v>-1.2342622076334575E-2</v>
      </c>
      <c r="V270" s="383">
        <f t="shared" si="82"/>
        <v>48.128427066003624</v>
      </c>
      <c r="W270" s="402"/>
      <c r="X270" s="157">
        <f t="shared" si="83"/>
        <v>44452</v>
      </c>
      <c r="Y270" s="385">
        <f t="shared" si="84"/>
        <v>32.408488971695398</v>
      </c>
      <c r="Z270" s="385">
        <f t="shared" si="85"/>
        <v>33.266485265465377</v>
      </c>
      <c r="AA270" s="386">
        <f t="shared" si="86"/>
        <v>35.568930544258457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6.4731923157716115E-2</v>
      </c>
      <c r="AD270" s="231">
        <f>(INDEX(Models!$BJ270:$BT270,,AH270)*(1-AF270)+INDEX(Models!$BJ270:$BT270,,AH270+1)*AF270-ERP_i)*AE270*Ramure*Pc/MaxiM</f>
        <v>2.5110701467300364E-6</v>
      </c>
      <c r="AE270" s="305">
        <f t="shared" si="88"/>
        <v>0.5</v>
      </c>
      <c r="AF270" s="177">
        <f t="shared" si="89"/>
        <v>0.98765737792366548</v>
      </c>
      <c r="AG270" s="811">
        <f t="shared" si="95"/>
        <v>-1</v>
      </c>
      <c r="AH270" s="176">
        <f t="shared" si="90"/>
        <v>5</v>
      </c>
      <c r="AI270" s="225">
        <f t="shared" si="91"/>
        <v>-1.2342622076334575E-2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7">
        <v>19.488</v>
      </c>
      <c r="C271" s="390"/>
      <c r="D271" s="393">
        <f t="shared" ref="D271:D334" si="98">Wh/(1-Ppv)</f>
        <v>20.004371851601164</v>
      </c>
      <c r="E271" s="385">
        <f t="shared" si="96"/>
        <v>20.363548784156336</v>
      </c>
      <c r="F271" s="385">
        <f t="shared" ref="F271:F334" si="99">Wh_sa/(1-Pvg*MEDIAN((-Sdif+Wh/Env_an)/Csdif,0,1))</f>
        <v>20.36355788225088</v>
      </c>
      <c r="G271" s="110">
        <f t="shared" si="97"/>
        <v>0.40732091610965104</v>
      </c>
      <c r="H271" s="414" t="b">
        <f>Wh_hp&gt;='2020'!Maxi_hp</f>
        <v>0</v>
      </c>
      <c r="I271" s="380">
        <f>IF(H271,Wh_hp,'2020'!Maxi_hp)</f>
        <v>47.954871485084247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2.5812950060705608E-2</v>
      </c>
      <c r="M271" s="845"/>
      <c r="N271" s="845"/>
      <c r="O271" s="48">
        <f>IF(t&lt;Tnet,'2020'!Resal+('2020'!Salim-'2020'!Resal)*(1-EXP(('2020'!Tnet-t)/('2020'!Tau_j))),Resal+(Salim-Resal)*(1-EXP((Tnet-t)/(Tau_j))))*Salcycl</f>
        <v>1.7638228796084243E-2</v>
      </c>
      <c r="P271" s="169">
        <f>(INDEX(Models!$BJ271:$BT271,,T271)*(1-R271)+INDEX(Models!$BJ271:$BT271,,T271+1)*R271-ERP_i)*Q271*Ramure*Pc/MaxiM</f>
        <v>2.914112998600164E-6</v>
      </c>
      <c r="Q271" s="305">
        <f t="shared" ref="Q271:Q334" si="101">IF(OR(t&lt;Ttai,Notai),Dd+PousD*Croivg,Dens+PousD*(Croivg-Croi_tai))</f>
        <v>0.5</v>
      </c>
      <c r="R271" s="177">
        <f t="shared" ref="R271:R334" si="102">(Hp_vg-S271)/(INDEX(Echel_vg,T271+1)-S271)</f>
        <v>0.988048308628101</v>
      </c>
      <c r="S271" s="81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-1.1951691371898998E-2</v>
      </c>
      <c r="V271" s="383">
        <f t="shared" ref="V271:V334" si="106">MaxiM*(1-Ppv)*(1-Pvg)*(1-Psa)</f>
        <v>47.844220971476616</v>
      </c>
      <c r="W271" s="402"/>
      <c r="X271" s="157">
        <f t="shared" ref="X271:X334" si="107">t</f>
        <v>44453</v>
      </c>
      <c r="Y271" s="385">
        <f t="shared" ref="Y271:Y334" si="108">Wh_pvt_s*(1-Ppv)</f>
        <v>18.553274455498716</v>
      </c>
      <c r="Z271" s="385">
        <f t="shared" ref="Z271:Z334" si="109">Wh_sa_s*(1-Psa_s)</f>
        <v>19.044878965138007</v>
      </c>
      <c r="AA271" s="386">
        <f t="shared" ref="AA271:AA334" si="110">Wh_hp*(1-Pvg_s*MEDIAN((-Sdif+Wh/Env_an)/Csdif,0,1))</f>
        <v>20.363548784156336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6.4756385686777149E-2</v>
      </c>
      <c r="AD271" s="231">
        <f>(INDEX(Models!$BJ271:$BT271,,AH271)*(1-AF271)+INDEX(Models!$BJ271:$BT271,,AH271+1)*AF271-ERP_i)*AE271*Ramure*Pc/MaxiM</f>
        <v>2.914112998600164E-6</v>
      </c>
      <c r="AE271" s="305">
        <f t="shared" ref="AE271:AE334" si="112">IF(OR(t&lt;Ttai,Notai),Dd_s+PousD*Croivg,Dens_s+PousD*(Croivg-Croi_tai))</f>
        <v>0.5</v>
      </c>
      <c r="AF271" s="177">
        <f t="shared" ref="AF271:AF334" si="113">(Hp_vg_s-AG271)/(INDEX(Echel_vg,AH271+1)-AG271)</f>
        <v>0.988048308628101</v>
      </c>
      <c r="AG271" s="81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-1.1951691371898998E-2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7">
        <v>31.548000000000002</v>
      </c>
      <c r="C272" s="390"/>
      <c r="D272" s="393">
        <f t="shared" si="98"/>
        <v>32.384633935819977</v>
      </c>
      <c r="E272" s="385">
        <f t="shared" si="96"/>
        <v>32.96864767321</v>
      </c>
      <c r="F272" s="385">
        <f t="shared" si="99"/>
        <v>32.968705775280092</v>
      </c>
      <c r="G272" s="110">
        <f t="shared" si="97"/>
        <v>0.66337228930109116</v>
      </c>
      <c r="H272" s="414" t="b">
        <f>Wh_hp&gt;='2020'!Maxi_hp</f>
        <v>0</v>
      </c>
      <c r="I272" s="380">
        <f>IF(H272,Wh_hp,'2020'!Maxi_hp)</f>
        <v>48.916978336718785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2.5834287257284427E-2</v>
      </c>
      <c r="M272" s="845"/>
      <c r="N272" s="845"/>
      <c r="O272" s="48">
        <f>IF(t&lt;Tnet,'2020'!Resal+('2020'!Salim-'2020'!Resal)*(1-EXP(('2020'!Tnet-t)/('2020'!Tau_j))),Resal+(Salim-Resal)*(1-EXP((Tnet-t)/(Tau_j))))*Salcycl</f>
        <v>1.7714215735472411E-2</v>
      </c>
      <c r="P272" s="169">
        <f>(INDEX(Models!$BJ272:$BT272,,T272)*(1-R272)+INDEX(Models!$BJ272:$BT272,,T272+1)*R272-ERP_i)*Q272*Ramure*Pc/MaxiM</f>
        <v>3.3949598911836507E-6</v>
      </c>
      <c r="Q272" s="305">
        <f t="shared" si="101"/>
        <v>0.5</v>
      </c>
      <c r="R272" s="177">
        <f t="shared" si="102"/>
        <v>0.98842408523799907</v>
      </c>
      <c r="S272" s="811">
        <f t="shared" si="103"/>
        <v>-1</v>
      </c>
      <c r="T272" s="176">
        <f t="shared" si="104"/>
        <v>5</v>
      </c>
      <c r="U272" s="251">
        <f t="shared" si="105"/>
        <v>-1.1575914762000927E-2</v>
      </c>
      <c r="V272" s="383">
        <f t="shared" si="106"/>
        <v>47.556928443990273</v>
      </c>
      <c r="W272" s="402"/>
      <c r="X272" s="157">
        <f t="shared" si="107"/>
        <v>44454</v>
      </c>
      <c r="Y272" s="385">
        <f t="shared" si="108"/>
        <v>30.036382563150706</v>
      </c>
      <c r="Z272" s="385">
        <f t="shared" si="109"/>
        <v>30.83292931608602</v>
      </c>
      <c r="AA272" s="386">
        <f t="shared" si="110"/>
        <v>32.96864767321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6.4780283931980792E-2</v>
      </c>
      <c r="AD272" s="231">
        <f>(INDEX(Models!$BJ272:$BT272,,AH272)*(1-AF272)+INDEX(Models!$BJ272:$BT272,,AH272+1)*AF272-ERP_i)*AE272*Ramure*Pc/MaxiM</f>
        <v>3.3949598911836507E-6</v>
      </c>
      <c r="AE272" s="305">
        <f t="shared" si="112"/>
        <v>0.5</v>
      </c>
      <c r="AF272" s="177">
        <f t="shared" si="113"/>
        <v>0.98842408523799907</v>
      </c>
      <c r="AG272" s="811">
        <f t="shared" ref="AG272:AG335" si="119">INDEX(Echel_vg,AH272)</f>
        <v>-1</v>
      </c>
      <c r="AH272" s="176">
        <f t="shared" si="114"/>
        <v>5</v>
      </c>
      <c r="AI272" s="225">
        <f t="shared" si="115"/>
        <v>-1.1575914762000927E-2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7">
        <v>20.187999999999999</v>
      </c>
      <c r="C273" s="390"/>
      <c r="D273" s="393">
        <f t="shared" si="98"/>
        <v>20.723827491173363</v>
      </c>
      <c r="E273" s="385">
        <f t="shared" si="96"/>
        <v>21.099180906623303</v>
      </c>
      <c r="F273" s="385">
        <f t="shared" si="99"/>
        <v>21.099196057846214</v>
      </c>
      <c r="G273" s="110">
        <f t="shared" si="97"/>
        <v>0.42710455738625575</v>
      </c>
      <c r="H273" s="414" t="b">
        <f>Wh_hp&gt;='2020'!Maxi_hp</f>
        <v>0</v>
      </c>
      <c r="I273" s="380">
        <f>IF(H273,Wh_hp,'2020'!Maxi_hp)</f>
        <v>46.225866499783969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2.5855623986523857E-2</v>
      </c>
      <c r="M273" s="845"/>
      <c r="N273" s="845"/>
      <c r="O273" s="48">
        <f>IF(t&lt;Tnet,'2020'!Resal+('2020'!Salim-'2020'!Resal)*(1-EXP(('2020'!Tnet-t)/('2020'!Tau_j))),Resal+(Salim-Resal)*(1-EXP((Tnet-t)/(Tau_j))))*Salcycl</f>
        <v>1.7789951994397639E-2</v>
      </c>
      <c r="P273" s="169">
        <f>(INDEX(Models!$BJ273:$BT273,,T273)*(1-R273)+INDEX(Models!$BJ273:$BT273,,T273+1)*R273-ERP_i)*Q273*Ramure*Pc/MaxiM</f>
        <v>3.954703917645097E-6</v>
      </c>
      <c r="Q273" s="305">
        <f t="shared" si="101"/>
        <v>0.5</v>
      </c>
      <c r="R273" s="177">
        <f t="shared" si="102"/>
        <v>0.98878527290989471</v>
      </c>
      <c r="S273" s="811">
        <f t="shared" si="103"/>
        <v>-1</v>
      </c>
      <c r="T273" s="176">
        <f t="shared" si="104"/>
        <v>5</v>
      </c>
      <c r="U273" s="251">
        <f t="shared" si="105"/>
        <v>-1.1214727090105292E-2</v>
      </c>
      <c r="V273" s="383">
        <f t="shared" si="106"/>
        <v>47.266961473864619</v>
      </c>
      <c r="W273" s="402"/>
      <c r="X273" s="157">
        <f t="shared" si="107"/>
        <v>44455</v>
      </c>
      <c r="Y273" s="385">
        <f t="shared" si="108"/>
        <v>19.221698064288162</v>
      </c>
      <c r="Z273" s="385">
        <f t="shared" si="109"/>
        <v>19.731878084591283</v>
      </c>
      <c r="AA273" s="386">
        <f t="shared" si="110"/>
        <v>21.099180906623303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6.4803597262053356E-2</v>
      </c>
      <c r="AD273" s="231">
        <f>(INDEX(Models!$BJ273:$BT273,,AH273)*(1-AF273)+INDEX(Models!$BJ273:$BT273,,AH273+1)*AF273-ERP_i)*AE273*Ramure*Pc/MaxiM</f>
        <v>3.954703917645097E-6</v>
      </c>
      <c r="AE273" s="305">
        <f t="shared" si="112"/>
        <v>0.5</v>
      </c>
      <c r="AF273" s="177">
        <f t="shared" si="113"/>
        <v>0.98878527290989471</v>
      </c>
      <c r="AG273" s="811">
        <f t="shared" si="119"/>
        <v>-1</v>
      </c>
      <c r="AH273" s="176">
        <f t="shared" si="114"/>
        <v>5</v>
      </c>
      <c r="AI273" s="225">
        <f t="shared" si="115"/>
        <v>-1.1214727090105292E-2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7">
        <v>43.997999999999998</v>
      </c>
      <c r="C274" s="390"/>
      <c r="D274" s="393">
        <f t="shared" si="98"/>
        <v>45.166778943264674</v>
      </c>
      <c r="E274" s="385">
        <f t="shared" si="96"/>
        <v>45.988381152501653</v>
      </c>
      <c r="F274" s="385">
        <f t="shared" si="99"/>
        <v>45.988573316496463</v>
      </c>
      <c r="G274" s="110">
        <f t="shared" si="97"/>
        <v>0.93663082110990759</v>
      </c>
      <c r="H274" s="414" t="b">
        <f>Wh_hp&gt;='2020'!Maxi_hp</f>
        <v>1</v>
      </c>
      <c r="I274" s="380">
        <f>IF(H274,Wh_hp,'2020'!Maxi_hp)</f>
        <v>45.988573316496463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2.5876960248434222E-2</v>
      </c>
      <c r="M274" s="845"/>
      <c r="N274" s="845"/>
      <c r="O274" s="48">
        <f>IF(t&lt;Tnet,'2020'!Resal+('2020'!Salim-'2020'!Resal)*(1-EXP(('2020'!Tnet-t)/('2020'!Tau_j))),Resal+(Salim-Resal)*(1-EXP((Tnet-t)/(Tau_j))))*Salcycl</f>
        <v>1.7865430107497603E-2</v>
      </c>
      <c r="P274" s="169">
        <f>(INDEX(Models!$BJ274:$BT274,,T274)*(1-R274)+INDEX(Models!$BJ274:$BT274,,T274+1)*R274-ERP_i)*Q274*Ramure*Pc/MaxiM</f>
        <v>4.5944358885453378E-6</v>
      </c>
      <c r="Q274" s="305">
        <f t="shared" si="101"/>
        <v>0.5</v>
      </c>
      <c r="R274" s="177">
        <f t="shared" si="102"/>
        <v>0.98913241745499303</v>
      </c>
      <c r="S274" s="811">
        <f t="shared" si="103"/>
        <v>-1</v>
      </c>
      <c r="T274" s="176">
        <f t="shared" si="104"/>
        <v>5</v>
      </c>
      <c r="U274" s="251">
        <f t="shared" si="105"/>
        <v>-1.0867582545006971E-2</v>
      </c>
      <c r="V274" s="383">
        <f t="shared" si="106"/>
        <v>46.974731888651519</v>
      </c>
      <c r="W274" s="402"/>
      <c r="X274" s="157">
        <f t="shared" si="107"/>
        <v>44456</v>
      </c>
      <c r="Y274" s="385">
        <f t="shared" si="108"/>
        <v>41.894230705288955</v>
      </c>
      <c r="Z274" s="385">
        <f t="shared" si="109"/>
        <v>43.007124352559607</v>
      </c>
      <c r="AA274" s="386">
        <f t="shared" si="110"/>
        <v>45.988381152501653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6.4826304497562659E-2</v>
      </c>
      <c r="AD274" s="231">
        <f>(INDEX(Models!$BJ274:$BT274,,AH274)*(1-AF274)+INDEX(Models!$BJ274:$BT274,,AH274+1)*AF274-ERP_i)*AE274*Ramure*Pc/MaxiM</f>
        <v>4.5944358885453378E-6</v>
      </c>
      <c r="AE274" s="305">
        <f t="shared" si="112"/>
        <v>0.5</v>
      </c>
      <c r="AF274" s="177">
        <f t="shared" si="113"/>
        <v>0.98913241745499303</v>
      </c>
      <c r="AG274" s="811">
        <f t="shared" si="119"/>
        <v>-1</v>
      </c>
      <c r="AH274" s="176">
        <f t="shared" si="114"/>
        <v>5</v>
      </c>
      <c r="AI274" s="225">
        <f t="shared" si="115"/>
        <v>-1.0867582545006971E-2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7">
        <v>9.1370000000000005</v>
      </c>
      <c r="C275" s="390"/>
      <c r="D275" s="393">
        <f t="shared" si="98"/>
        <v>9.3799240499055507</v>
      </c>
      <c r="E275" s="385">
        <f t="shared" si="96"/>
        <v>9.5512801514676973</v>
      </c>
      <c r="F275" s="385">
        <f t="shared" si="99"/>
        <v>9.5512801514676973</v>
      </c>
      <c r="G275" s="110">
        <f t="shared" si="97"/>
        <v>0.1957449323088587</v>
      </c>
      <c r="H275" s="414" t="b">
        <f>Wh_hp&gt;='2020'!Maxi_hp</f>
        <v>0</v>
      </c>
      <c r="I275" s="380">
        <f>IF(H275,Wh_hp,'2020'!Maxi_hp)</f>
        <v>43.62450867340219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2.5898296043025626E-2</v>
      </c>
      <c r="M275" s="845"/>
      <c r="N275" s="845"/>
      <c r="O275" s="48">
        <f>IF(t&lt;Tnet,'2020'!Resal+('2020'!Salim-'2020'!Resal)*(1-EXP(('2020'!Tnet-t)/('2020'!Tau_j))),Resal+(Salim-Resal)*(1-EXP((Tnet-t)/(Tau_j))))*Salcycl</f>
        <v>1.7940642389786366E-2</v>
      </c>
      <c r="P275" s="169">
        <f>(INDEX(Models!$BJ275:$BT275,,T275)*(1-R275)+INDEX(Models!$BJ275:$BT275,,T275+1)*R275-ERP_i)*Q275*Ramure*Pc/MaxiM</f>
        <v>5.3155556421073803E-6</v>
      </c>
      <c r="Q275" s="305">
        <f t="shared" si="101"/>
        <v>0.5</v>
      </c>
      <c r="R275" s="177">
        <f t="shared" si="102"/>
        <v>0.98946604586485087</v>
      </c>
      <c r="S275" s="811">
        <f t="shared" si="103"/>
        <v>-1</v>
      </c>
      <c r="T275" s="176">
        <f t="shared" si="104"/>
        <v>5</v>
      </c>
      <c r="U275" s="251">
        <f t="shared" si="105"/>
        <v>-1.0533954135149126E-2</v>
      </c>
      <c r="V275" s="383">
        <f t="shared" si="106"/>
        <v>46.67784409024312</v>
      </c>
      <c r="W275" s="402"/>
      <c r="X275" s="157">
        <f t="shared" si="107"/>
        <v>44457</v>
      </c>
      <c r="Y275" s="385">
        <f t="shared" si="108"/>
        <v>8.7005742061067703</v>
      </c>
      <c r="Z275" s="385">
        <f t="shared" si="109"/>
        <v>8.9318950688244261</v>
      </c>
      <c r="AA275" s="386">
        <f t="shared" si="110"/>
        <v>9.5512801514676973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6.484838396747207E-2</v>
      </c>
      <c r="AD275" s="231">
        <f>(INDEX(Models!$BJ275:$BT275,,AH275)*(1-AF275)+INDEX(Models!$BJ275:$BT275,,AH275+1)*AF275-ERP_i)*AE275*Ramure*Pc/MaxiM</f>
        <v>5.3155556421073803E-6</v>
      </c>
      <c r="AE275" s="305">
        <f t="shared" si="112"/>
        <v>0.5</v>
      </c>
      <c r="AF275" s="177">
        <f t="shared" si="113"/>
        <v>0.98946604586485087</v>
      </c>
      <c r="AG275" s="811">
        <f t="shared" si="119"/>
        <v>-1</v>
      </c>
      <c r="AH275" s="176">
        <f t="shared" si="114"/>
        <v>5</v>
      </c>
      <c r="AI275" s="225">
        <f t="shared" si="115"/>
        <v>-1.0533954135149126E-2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7">
        <v>35.286999999999999</v>
      </c>
      <c r="C276" s="390"/>
      <c r="D276" s="393">
        <f t="shared" si="98"/>
        <v>36.22596362314615</v>
      </c>
      <c r="E276" s="385">
        <f t="shared" si="96"/>
        <v>36.890568649058068</v>
      </c>
      <c r="F276" s="385">
        <f t="shared" si="99"/>
        <v>36.890732529104788</v>
      </c>
      <c r="G276" s="110">
        <f t="shared" si="97"/>
        <v>0.76091788338797683</v>
      </c>
      <c r="H276" s="414" t="b">
        <f>Wh_hp&gt;='2020'!Maxi_hp</f>
        <v>0</v>
      </c>
      <c r="I276" s="380">
        <f>IF(H276,Wh_hp,'2020'!Maxi_hp)</f>
        <v>42.413786815005437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2.5919631370308505E-2</v>
      </c>
      <c r="M276" s="845"/>
      <c r="N276" s="845"/>
      <c r="O276" s="48">
        <f>IF(t&lt;Tnet,'2020'!Resal+('2020'!Salim-'2020'!Resal)*(1-EXP(('2020'!Tnet-t)/('2020'!Tau_j))),Resal+(Salim-Resal)*(1-EXP((Tnet-t)/(Tau_j))))*Salcycl</f>
        <v>1.8015580953341808E-2</v>
      </c>
      <c r="P276" s="169">
        <f>(INDEX(Models!$BJ276:$BT276,,T276)*(1-R276)+INDEX(Models!$BJ276:$BT276,,T276+1)*R276-ERP_i)*Q276*Ramure*Pc/MaxiM</f>
        <v>6.7465482266856943E-6</v>
      </c>
      <c r="Q276" s="305">
        <f t="shared" si="101"/>
        <v>0.5</v>
      </c>
      <c r="R276" s="177">
        <f t="shared" si="102"/>
        <v>0.98978666683411243</v>
      </c>
      <c r="S276" s="811">
        <f t="shared" si="103"/>
        <v>-1</v>
      </c>
      <c r="T276" s="176">
        <f t="shared" si="104"/>
        <v>5</v>
      </c>
      <c r="U276" s="251">
        <f t="shared" si="105"/>
        <v>-1.0213333165887517E-2</v>
      </c>
      <c r="V276" s="383">
        <f t="shared" si="106"/>
        <v>46.374148196974502</v>
      </c>
      <c r="W276" s="402"/>
      <c r="X276" s="157">
        <f t="shared" si="107"/>
        <v>44458</v>
      </c>
      <c r="Y276" s="385">
        <f t="shared" si="108"/>
        <v>33.603322260795188</v>
      </c>
      <c r="Z276" s="385">
        <f t="shared" si="109"/>
        <v>34.497484338040181</v>
      </c>
      <c r="AA276" s="386">
        <f t="shared" si="110"/>
        <v>36.890568649058068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6.4869813577107652E-2</v>
      </c>
      <c r="AD276" s="231">
        <f>(INDEX(Models!$BJ276:$BT276,,AH276)*(1-AF276)+INDEX(Models!$BJ276:$BT276,,AH276+1)*AF276-ERP_i)*AE276*Ramure*Pc/MaxiM</f>
        <v>6.7465482266856943E-6</v>
      </c>
      <c r="AE276" s="305">
        <f t="shared" si="112"/>
        <v>0.5</v>
      </c>
      <c r="AF276" s="177">
        <f t="shared" si="113"/>
        <v>0.98978666683411243</v>
      </c>
      <c r="AG276" s="811">
        <f t="shared" si="119"/>
        <v>-1</v>
      </c>
      <c r="AH276" s="176">
        <f t="shared" si="114"/>
        <v>5</v>
      </c>
      <c r="AI276" s="225">
        <f t="shared" si="115"/>
        <v>-1.0213333165887517E-2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7">
        <v>31.179000000000002</v>
      </c>
      <c r="C277" s="390"/>
      <c r="D277" s="393">
        <f t="shared" si="98"/>
        <v>32.009353559746899</v>
      </c>
      <c r="E277" s="385">
        <f t="shared" si="96"/>
        <v>32.599078642085026</v>
      </c>
      <c r="F277" s="385">
        <f t="shared" si="99"/>
        <v>32.599234188169689</v>
      </c>
      <c r="G277" s="110">
        <f t="shared" si="97"/>
        <v>0.67685295597622397</v>
      </c>
      <c r="H277" s="414" t="b">
        <f>Wh_hp&gt;='2020'!Maxi_hp</f>
        <v>0</v>
      </c>
      <c r="I277" s="380">
        <f>IF(H277,Wh_hp,'2020'!Maxi_hp)</f>
        <v>48.16407719164706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2.594096623029285E-2</v>
      </c>
      <c r="M277" s="845"/>
      <c r="N277" s="845"/>
      <c r="O277" s="48">
        <f>IF(t&lt;Tnet,'2020'!Resal+('2020'!Salim-'2020'!Resal)*(1-EXP(('2020'!Tnet-t)/('2020'!Tau_j))),Resal+(Salim-Resal)*(1-EXP((Tnet-t)/(Tau_j))))*Salcycl</f>
        <v>1.8090237727663935E-2</v>
      </c>
      <c r="P277" s="169">
        <f>(INDEX(Models!$BJ277:$BT277,,T277)*(1-R277)+INDEX(Models!$BJ277:$BT277,,T277+1)*R277-ERP_i)*Q277*Ramure*Pc/MaxiM</f>
        <v>8.8628746764481977E-6</v>
      </c>
      <c r="Q277" s="305">
        <f t="shared" si="101"/>
        <v>0.5</v>
      </c>
      <c r="R277" s="177">
        <f t="shared" si="102"/>
        <v>0.99009477127917123</v>
      </c>
      <c r="S277" s="811">
        <f t="shared" si="103"/>
        <v>-1</v>
      </c>
      <c r="T277" s="176">
        <f t="shared" si="104"/>
        <v>5</v>
      </c>
      <c r="U277" s="251">
        <f t="shared" si="105"/>
        <v>-9.9052287208287737E-3</v>
      </c>
      <c r="V277" s="383">
        <f t="shared" si="106"/>
        <v>46.064469628178493</v>
      </c>
      <c r="W277" s="402"/>
      <c r="X277" s="157">
        <f t="shared" si="107"/>
        <v>44459</v>
      </c>
      <c r="Y277" s="385">
        <f t="shared" si="108"/>
        <v>29.692929035373197</v>
      </c>
      <c r="Z277" s="385">
        <f t="shared" si="109"/>
        <v>30.483705818587353</v>
      </c>
      <c r="AA277" s="386">
        <f t="shared" si="110"/>
        <v>32.599078642085026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6.4890570887692192E-2</v>
      </c>
      <c r="AD277" s="231">
        <f>(INDEX(Models!$BJ277:$BT277,,AH277)*(1-AF277)+INDEX(Models!$BJ277:$BT277,,AH277+1)*AF277-ERP_i)*AE277*Ramure*Pc/MaxiM</f>
        <v>8.8628746764481977E-6</v>
      </c>
      <c r="AE277" s="305">
        <f t="shared" si="112"/>
        <v>0.5</v>
      </c>
      <c r="AF277" s="177">
        <f t="shared" si="113"/>
        <v>0.99009477127917123</v>
      </c>
      <c r="AG277" s="811">
        <f t="shared" si="119"/>
        <v>-1</v>
      </c>
      <c r="AH277" s="176">
        <f t="shared" si="114"/>
        <v>5</v>
      </c>
      <c r="AI277" s="225">
        <f t="shared" si="115"/>
        <v>-9.9052287208287737E-3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7">
        <v>12.045999999999999</v>
      </c>
      <c r="C278" s="390"/>
      <c r="D278" s="393">
        <f t="shared" si="98"/>
        <v>12.367077791449502</v>
      </c>
      <c r="E278" s="385">
        <f t="shared" si="96"/>
        <v>12.595876913713644</v>
      </c>
      <c r="F278" s="385">
        <f t="shared" si="99"/>
        <v>12.595876913713644</v>
      </c>
      <c r="G278" s="110">
        <f t="shared" si="97"/>
        <v>0.26329959117697216</v>
      </c>
      <c r="H278" s="414" t="b">
        <f>Wh_hp&gt;='2020'!Maxi_hp</f>
        <v>0</v>
      </c>
      <c r="I278" s="380">
        <f>IF(H278,Wh_hp,'2020'!Maxi_hp)</f>
        <v>34.911371761935094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2.5962300622988987E-2</v>
      </c>
      <c r="M278" s="845"/>
      <c r="N278" s="845"/>
      <c r="O278" s="48">
        <f>IF(t&lt;Tnet,'2020'!Resal+('2020'!Salim-'2020'!Resal)*(1-EXP(('2020'!Tnet-t)/('2020'!Tau_j))),Resal+(Salim-Resal)*(1-EXP((Tnet-t)/(Tau_j))))*Salcycl</f>
        <v>1.8164604483792621E-2</v>
      </c>
      <c r="P278" s="169">
        <f>(INDEX(Models!$BJ278:$BT278,,T278)*(1-R278)+INDEX(Models!$BJ278:$BT278,,T278+1)*R278-ERP_i)*Q278*Ramure*Pc/MaxiM</f>
        <v>1.1675326553629172E-5</v>
      </c>
      <c r="Q278" s="305">
        <f t="shared" si="101"/>
        <v>0.5</v>
      </c>
      <c r="R278" s="177">
        <f t="shared" si="102"/>
        <v>0.99039083285175888</v>
      </c>
      <c r="S278" s="811">
        <f t="shared" si="103"/>
        <v>-1</v>
      </c>
      <c r="T278" s="176">
        <f t="shared" si="104"/>
        <v>5</v>
      </c>
      <c r="U278" s="251">
        <f t="shared" si="105"/>
        <v>-9.6091671482411156E-3</v>
      </c>
      <c r="V278" s="383">
        <f t="shared" si="106"/>
        <v>45.749631836381859</v>
      </c>
      <c r="W278" s="402"/>
      <c r="X278" s="157">
        <f t="shared" si="107"/>
        <v>44460</v>
      </c>
      <c r="Y278" s="385">
        <f t="shared" si="108"/>
        <v>11.472479566150373</v>
      </c>
      <c r="Z278" s="385">
        <f t="shared" si="109"/>
        <v>11.778270567441183</v>
      </c>
      <c r="AA278" s="386">
        <f t="shared" si="110"/>
        <v>12.595876913713644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6.4910633207466428E-2</v>
      </c>
      <c r="AD278" s="231">
        <f>(INDEX(Models!$BJ278:$BT278,,AH278)*(1-AF278)+INDEX(Models!$BJ278:$BT278,,AH278+1)*AF278-ERP_i)*AE278*Ramure*Pc/MaxiM</f>
        <v>1.1675326553629172E-5</v>
      </c>
      <c r="AE278" s="305">
        <f t="shared" si="112"/>
        <v>0.5</v>
      </c>
      <c r="AF278" s="177">
        <f t="shared" si="113"/>
        <v>0.99039083285175888</v>
      </c>
      <c r="AG278" s="811">
        <f t="shared" si="119"/>
        <v>-1</v>
      </c>
      <c r="AH278" s="176">
        <f t="shared" si="114"/>
        <v>5</v>
      </c>
      <c r="AI278" s="225">
        <f t="shared" si="115"/>
        <v>-9.6091671482411156E-3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7">
        <v>43.088999999999999</v>
      </c>
      <c r="C279" s="390"/>
      <c r="D279" s="393">
        <f t="shared" si="98"/>
        <v>44.238476403856133</v>
      </c>
      <c r="E279" s="385">
        <f t="shared" si="96"/>
        <v>45.060316780687742</v>
      </c>
      <c r="F279" s="385">
        <f t="shared" si="99"/>
        <v>45.060951064602598</v>
      </c>
      <c r="G279" s="110">
        <f t="shared" si="97"/>
        <v>0.94845955176377483</v>
      </c>
      <c r="H279" s="414" t="b">
        <f>Wh_hp&gt;='2020'!Maxi_hp</f>
        <v>1</v>
      </c>
      <c r="I279" s="380">
        <f>IF(H279,Wh_hp,'2020'!Maxi_hp)</f>
        <v>45.060951064602598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2.5983634548407242E-2</v>
      </c>
      <c r="M279" s="845"/>
      <c r="N279" s="845"/>
      <c r="O279" s="48">
        <f>IF(t&lt;Tnet,'2020'!Resal+('2020'!Salim-'2020'!Resal)*(1-EXP(('2020'!Tnet-t)/('2020'!Tau_j))),Resal+(Salim-Resal)*(1-EXP((Tnet-t)/(Tau_j))))*Salcycl</f>
        <v>1.8238672862234379E-2</v>
      </c>
      <c r="P279" s="169">
        <f>(INDEX(Models!$BJ279:$BT279,,T279)*(1-R279)+INDEX(Models!$BJ279:$BT279,,T279+1)*R279-ERP_i)*Q279*Ramure*Pc/MaxiM</f>
        <v>1.5194897745724438E-5</v>
      </c>
      <c r="Q279" s="305">
        <f t="shared" si="101"/>
        <v>0.5</v>
      </c>
      <c r="R279" s="177">
        <f t="shared" si="102"/>
        <v>0.99067530844656904</v>
      </c>
      <c r="S279" s="811">
        <f t="shared" si="103"/>
        <v>-1</v>
      </c>
      <c r="T279" s="176">
        <f t="shared" si="104"/>
        <v>5</v>
      </c>
      <c r="U279" s="251">
        <f t="shared" si="105"/>
        <v>-9.3246915534309638E-3</v>
      </c>
      <c r="V279" s="383">
        <f t="shared" si="106"/>
        <v>45.430457959660878</v>
      </c>
      <c r="W279" s="402"/>
      <c r="X279" s="157">
        <f t="shared" si="107"/>
        <v>44461</v>
      </c>
      <c r="Y279" s="385">
        <f t="shared" si="108"/>
        <v>41.039742631334285</v>
      </c>
      <c r="Z279" s="385">
        <f t="shared" si="109"/>
        <v>42.134551417220415</v>
      </c>
      <c r="AA279" s="386">
        <f t="shared" si="110"/>
        <v>45.060316780687742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6.4929977694281771E-2</v>
      </c>
      <c r="AD279" s="231">
        <f>(INDEX(Models!$BJ279:$BT279,,AH279)*(1-AF279)+INDEX(Models!$BJ279:$BT279,,AH279+1)*AF279-ERP_i)*AE279*Ramure*Pc/MaxiM</f>
        <v>1.5194897745724438E-5</v>
      </c>
      <c r="AE279" s="305">
        <f t="shared" si="112"/>
        <v>0.5</v>
      </c>
      <c r="AF279" s="177">
        <f t="shared" si="113"/>
        <v>0.99067530844656904</v>
      </c>
      <c r="AG279" s="811">
        <f t="shared" si="119"/>
        <v>-1</v>
      </c>
      <c r="AH279" s="176">
        <f t="shared" si="114"/>
        <v>5</v>
      </c>
      <c r="AI279" s="225">
        <f t="shared" si="115"/>
        <v>-9.3246915534309638E-3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7">
        <v>38.191000000000003</v>
      </c>
      <c r="C280" s="390"/>
      <c r="D280" s="393">
        <f t="shared" si="98"/>
        <v>39.210672278107815</v>
      </c>
      <c r="E280" s="385">
        <f t="shared" si="96"/>
        <v>39.942109539026845</v>
      </c>
      <c r="F280" s="385">
        <f t="shared" si="99"/>
        <v>39.942715706115422</v>
      </c>
      <c r="G280" s="110">
        <f t="shared" si="97"/>
        <v>0.84665760987367056</v>
      </c>
      <c r="H280" s="414" t="b">
        <f>Wh_hp&gt;='2020'!Maxi_hp</f>
        <v>0</v>
      </c>
      <c r="I280" s="380">
        <f>IF(H280,Wh_hp,'2020'!Maxi_hp)</f>
        <v>44.303472000025792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2.6004968006557716E-2</v>
      </c>
      <c r="M280" s="845"/>
      <c r="N280" s="845"/>
      <c r="O280" s="48">
        <f>IF(t&lt;Tnet,'2020'!Resal+('2020'!Salim-'2020'!Resal)*(1-EXP(('2020'!Tnet-t)/('2020'!Tau_j))),Resal+(Salim-Resal)*(1-EXP((Tnet-t)/(Tau_j))))*Salcycl</f>
        <v>1.8312434404706389E-2</v>
      </c>
      <c r="P280" s="169">
        <f>(INDEX(Models!$BJ280:$BT280,,T280)*(1-R280)+INDEX(Models!$BJ280:$BT280,,T280+1)*R280-ERP_i)*Q280*Ramure*Pc/MaxiM</f>
        <v>1.94327624687352E-5</v>
      </c>
      <c r="Q280" s="305">
        <f t="shared" si="101"/>
        <v>0.5</v>
      </c>
      <c r="R280" s="177">
        <f t="shared" si="102"/>
        <v>0.99094863870213423</v>
      </c>
      <c r="S280" s="811">
        <f t="shared" si="103"/>
        <v>-1</v>
      </c>
      <c r="T280" s="176">
        <f t="shared" si="104"/>
        <v>5</v>
      </c>
      <c r="U280" s="251">
        <f t="shared" si="105"/>
        <v>-9.0513612978657121E-3</v>
      </c>
      <c r="V280" s="383">
        <f t="shared" si="106"/>
        <v>45.107770813997796</v>
      </c>
      <c r="W280" s="402"/>
      <c r="X280" s="157">
        <f t="shared" si="107"/>
        <v>44462</v>
      </c>
      <c r="Y280" s="385">
        <f t="shared" si="108"/>
        <v>36.376694558056265</v>
      </c>
      <c r="Z280" s="385">
        <f t="shared" si="109"/>
        <v>37.347926183571317</v>
      </c>
      <c r="AA280" s="386">
        <f t="shared" si="110"/>
        <v>39.942109539026845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6.4948581469408587E-2</v>
      </c>
      <c r="AD280" s="231">
        <f>(INDEX(Models!$BJ280:$BT280,,AH280)*(1-AF280)+INDEX(Models!$BJ280:$BT280,,AH280+1)*AF280-ERP_i)*AE280*Ramure*Pc/MaxiM</f>
        <v>1.94327624687352E-5</v>
      </c>
      <c r="AE280" s="305">
        <f t="shared" si="112"/>
        <v>0.5</v>
      </c>
      <c r="AF280" s="177">
        <f t="shared" si="113"/>
        <v>0.99094863870213423</v>
      </c>
      <c r="AG280" s="811">
        <f t="shared" si="119"/>
        <v>-1</v>
      </c>
      <c r="AH280" s="176">
        <f t="shared" si="114"/>
        <v>5</v>
      </c>
      <c r="AI280" s="225">
        <f t="shared" si="115"/>
        <v>-9.0513612978657121E-3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7">
        <v>38.480000000000004</v>
      </c>
      <c r="C281" s="390"/>
      <c r="D281" s="393">
        <f t="shared" si="98"/>
        <v>39.50825370275146</v>
      </c>
      <c r="E281" s="385">
        <f t="shared" si="96"/>
        <v>40.248253281528207</v>
      </c>
      <c r="F281" s="385">
        <f t="shared" si="99"/>
        <v>40.249037915880088</v>
      </c>
      <c r="G281" s="110">
        <f t="shared" si="97"/>
        <v>0.85926206124987081</v>
      </c>
      <c r="H281" s="414" t="b">
        <f>Wh_hp&gt;='2020'!Maxi_hp</f>
        <v>1</v>
      </c>
      <c r="I281" s="380">
        <f>IF(H281,Wh_hp,'2020'!Maxi_hp)</f>
        <v>40.249037915880088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2.6026300997450735E-2</v>
      </c>
      <c r="M281" s="845"/>
      <c r="N281" s="845"/>
      <c r="O281" s="48">
        <f>IF(t&lt;Tnet,'2020'!Resal+('2020'!Salim-'2020'!Resal)*(1-EXP(('2020'!Tnet-t)/('2020'!Tau_j))),Resal+(Salim-Resal)*(1-EXP((Tnet-t)/(Tau_j))))*Salcycl</f>
        <v>1.8385880589664404E-2</v>
      </c>
      <c r="P281" s="169">
        <f>(INDEX(Models!$BJ281:$BT281,,T281)*(1-R281)+INDEX(Models!$BJ281:$BT281,,T281+1)*R281-ERP_i)*Q281*Ramure*Pc/MaxiM</f>
        <v>2.4400078401822164E-5</v>
      </c>
      <c r="Q281" s="305">
        <f t="shared" si="101"/>
        <v>0.5</v>
      </c>
      <c r="R281" s="177">
        <f t="shared" si="102"/>
        <v>0.99121124849427034</v>
      </c>
      <c r="S281" s="811">
        <f t="shared" si="103"/>
        <v>-1</v>
      </c>
      <c r="T281" s="176">
        <f t="shared" si="104"/>
        <v>5</v>
      </c>
      <c r="U281" s="251">
        <f t="shared" si="105"/>
        <v>-8.7887515057296639E-3</v>
      </c>
      <c r="V281" s="383">
        <f t="shared" si="106"/>
        <v>44.782392897919742</v>
      </c>
      <c r="W281" s="402"/>
      <c r="X281" s="157">
        <f t="shared" si="107"/>
        <v>44463</v>
      </c>
      <c r="Y281" s="385">
        <f t="shared" si="108"/>
        <v>36.654008311305731</v>
      </c>
      <c r="Z281" s="385">
        <f t="shared" si="109"/>
        <v>37.63346828445497</v>
      </c>
      <c r="AA281" s="386">
        <f t="shared" si="110"/>
        <v>40.248253281528207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6.4966421742165104E-2</v>
      </c>
      <c r="AD281" s="231">
        <f>(INDEX(Models!$BJ281:$BT281,,AH281)*(1-AF281)+INDEX(Models!$BJ281:$BT281,,AH281+1)*AF281-ERP_i)*AE281*Ramure*Pc/MaxiM</f>
        <v>2.4400078401822164E-5</v>
      </c>
      <c r="AE281" s="305">
        <f t="shared" si="112"/>
        <v>0.5</v>
      </c>
      <c r="AF281" s="177">
        <f t="shared" si="113"/>
        <v>0.99121124849427034</v>
      </c>
      <c r="AG281" s="811">
        <f t="shared" si="119"/>
        <v>-1</v>
      </c>
      <c r="AH281" s="176">
        <f t="shared" si="114"/>
        <v>5</v>
      </c>
      <c r="AI281" s="225">
        <f t="shared" si="115"/>
        <v>-8.7887515057296639E-3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7">
        <v>34.066000000000003</v>
      </c>
      <c r="C282" s="390"/>
      <c r="D282" s="393">
        <f t="shared" si="98"/>
        <v>34.97706989835411</v>
      </c>
      <c r="E282" s="385">
        <f t="shared" si="96"/>
        <v>35.634853766354027</v>
      </c>
      <c r="F282" s="385">
        <f t="shared" si="99"/>
        <v>35.635580004300863</v>
      </c>
      <c r="G282" s="110">
        <f t="shared" si="97"/>
        <v>0.76629302458105264</v>
      </c>
      <c r="H282" s="414" t="b">
        <f>Wh_hp&gt;='2020'!Maxi_hp</f>
        <v>0</v>
      </c>
      <c r="I282" s="380">
        <f>IF(H282,Wh_hp,'2020'!Maxi_hp)</f>
        <v>46.514117854235721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2.6047633521096514E-2</v>
      </c>
      <c r="M282" s="845"/>
      <c r="N282" s="845"/>
      <c r="O282" s="48">
        <f>IF(t&lt;Tnet,'2020'!Resal+('2020'!Salim-'2020'!Resal)*(1-EXP(('2020'!Tnet-t)/('2020'!Tau_j))),Resal+(Salim-Resal)*(1-EXP((Tnet-t)/(Tau_j))))*Salcycl</f>
        <v>1.8459002871536668E-2</v>
      </c>
      <c r="P282" s="169">
        <f>(INDEX(Models!$BJ282:$BT282,,T282)*(1-R282)+INDEX(Models!$BJ282:$BT282,,T282+1)*R282-ERP_i)*Q282*Ramure*Pc/MaxiM</f>
        <v>3.0593343099773395E-5</v>
      </c>
      <c r="Q282" s="305">
        <f t="shared" si="101"/>
        <v>0.5</v>
      </c>
      <c r="R282" s="177">
        <f t="shared" si="102"/>
        <v>0.99146354742148857</v>
      </c>
      <c r="S282" s="811">
        <f t="shared" si="103"/>
        <v>-1</v>
      </c>
      <c r="T282" s="176">
        <f t="shared" si="104"/>
        <v>5</v>
      </c>
      <c r="U282" s="251">
        <f t="shared" si="105"/>
        <v>-8.5364525785113776E-3</v>
      </c>
      <c r="V282" s="383">
        <f t="shared" si="106"/>
        <v>44.455124812446179</v>
      </c>
      <c r="W282" s="402"/>
      <c r="X282" s="157">
        <f t="shared" si="107"/>
        <v>44464</v>
      </c>
      <c r="Y282" s="385">
        <f t="shared" si="108"/>
        <v>32.451291389405469</v>
      </c>
      <c r="Z282" s="385">
        <f t="shared" si="109"/>
        <v>33.319177103830555</v>
      </c>
      <c r="AA282" s="386">
        <f t="shared" si="110"/>
        <v>35.634853766354027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6.4983475944831892E-2</v>
      </c>
      <c r="AD282" s="231">
        <f>(INDEX(Models!$BJ282:$BT282,,AH282)*(1-AF282)+INDEX(Models!$BJ282:$BT282,,AH282+1)*AF282-ERP_i)*AE282*Ramure*Pc/MaxiM</f>
        <v>3.0593343099773395E-5</v>
      </c>
      <c r="AE282" s="305">
        <f t="shared" si="112"/>
        <v>0.5</v>
      </c>
      <c r="AF282" s="177">
        <f t="shared" si="113"/>
        <v>0.99146354742148857</v>
      </c>
      <c r="AG282" s="811">
        <f t="shared" si="119"/>
        <v>-1</v>
      </c>
      <c r="AH282" s="176">
        <f t="shared" si="114"/>
        <v>5</v>
      </c>
      <c r="AI282" s="225">
        <f t="shared" si="115"/>
        <v>-8.5364525785113776E-3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7">
        <v>37.289000000000001</v>
      </c>
      <c r="C283" s="390"/>
      <c r="D283" s="393">
        <f t="shared" si="98"/>
        <v>38.287105228257772</v>
      </c>
      <c r="E283" s="385">
        <f t="shared" si="96"/>
        <v>39.010031037585271</v>
      </c>
      <c r="F283" s="385">
        <f t="shared" si="99"/>
        <v>39.011184971413499</v>
      </c>
      <c r="G283" s="110">
        <f t="shared" si="97"/>
        <v>0.84503509228970597</v>
      </c>
      <c r="H283" s="414" t="b">
        <f>Wh_hp&gt;='2020'!Maxi_hp</f>
        <v>0</v>
      </c>
      <c r="I283" s="380">
        <f>IF(H283,Wh_hp,'2020'!Maxi_hp)</f>
        <v>46.475483095151723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2.6068965577505265E-2</v>
      </c>
      <c r="M283" s="845"/>
      <c r="N283" s="845"/>
      <c r="O283" s="48">
        <f>IF(t&lt;Tnet,'2020'!Resal+('2020'!Salim-'2020'!Resal)*(1-EXP(('2020'!Tnet-t)/('2020'!Tau_j))),Resal+(Salim-Resal)*(1-EXP((Tnet-t)/(Tau_j))))*Salcycl</f>
        <v>1.8531792723542675E-2</v>
      </c>
      <c r="P283" s="169">
        <f>(INDEX(Models!$BJ283:$BT283,,T283)*(1-R283)+INDEX(Models!$BJ283:$BT283,,T283+1)*R283-ERP_i)*Q283*Ramure*Pc/MaxiM</f>
        <v>3.798915860441088E-5</v>
      </c>
      <c r="Q283" s="305">
        <f t="shared" si="101"/>
        <v>0.5</v>
      </c>
      <c r="R283" s="177">
        <f t="shared" si="102"/>
        <v>0.99170593028186649</v>
      </c>
      <c r="S283" s="811">
        <f t="shared" si="103"/>
        <v>-1</v>
      </c>
      <c r="T283" s="176">
        <f t="shared" si="104"/>
        <v>5</v>
      </c>
      <c r="U283" s="251">
        <f t="shared" si="105"/>
        <v>-8.2940697181334566E-3</v>
      </c>
      <c r="V283" s="383">
        <f t="shared" si="106"/>
        <v>44.126790408549439</v>
      </c>
      <c r="W283" s="402"/>
      <c r="X283" s="157">
        <f t="shared" si="107"/>
        <v>44465</v>
      </c>
      <c r="Y283" s="385">
        <f t="shared" si="108"/>
        <v>35.523540255747768</v>
      </c>
      <c r="Z283" s="385">
        <f t="shared" si="109"/>
        <v>36.47438986972206</v>
      </c>
      <c r="AA283" s="386">
        <f t="shared" si="110"/>
        <v>39.010031037585271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6.4999721877180214E-2</v>
      </c>
      <c r="AD283" s="231">
        <f>(INDEX(Models!$BJ283:$BT283,,AH283)*(1-AF283)+INDEX(Models!$BJ283:$BT283,,AH283+1)*AF283-ERP_i)*AE283*Ramure*Pc/MaxiM</f>
        <v>3.798915860441088E-5</v>
      </c>
      <c r="AE283" s="305">
        <f t="shared" si="112"/>
        <v>0.5</v>
      </c>
      <c r="AF283" s="177">
        <f t="shared" si="113"/>
        <v>0.99170593028186649</v>
      </c>
      <c r="AG283" s="811">
        <f t="shared" si="119"/>
        <v>-1</v>
      </c>
      <c r="AH283" s="176">
        <f t="shared" si="114"/>
        <v>5</v>
      </c>
      <c r="AI283" s="225">
        <f t="shared" si="115"/>
        <v>-8.2940697181334566E-3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7">
        <v>21.612000000000002</v>
      </c>
      <c r="C284" s="390"/>
      <c r="D284" s="393">
        <f t="shared" si="98"/>
        <v>22.190968974973803</v>
      </c>
      <c r="E284" s="385">
        <f t="shared" si="96"/>
        <v>22.611641416761607</v>
      </c>
      <c r="F284" s="385">
        <f t="shared" si="99"/>
        <v>22.611932638257439</v>
      </c>
      <c r="G284" s="110">
        <f t="shared" si="97"/>
        <v>0.49342816591900207</v>
      </c>
      <c r="H284" s="414" t="b">
        <f>Wh_hp&gt;='2020'!Maxi_hp</f>
        <v>0</v>
      </c>
      <c r="I284" s="380">
        <f>IF(H284,Wh_hp,'2020'!Maxi_hp)</f>
        <v>45.12039737403196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2.6090297166687204E-2</v>
      </c>
      <c r="M284" s="845"/>
      <c r="N284" s="845"/>
      <c r="O284" s="48">
        <f>IF(t&lt;Tnet,'2020'!Resal+('2020'!Salim-'2020'!Resal)*(1-EXP(('2020'!Tnet-t)/('2020'!Tau_j))),Resal+(Salim-Resal)*(1-EXP((Tnet-t)/(Tau_j))))*Salcycl</f>
        <v>1.860424168393051E-2</v>
      </c>
      <c r="P284" s="169">
        <f>(INDEX(Models!$BJ284:$BT284,,T284)*(1-R284)+INDEX(Models!$BJ284:$BT284,,T284+1)*R284-ERP_i)*Q284*Ramure*Pc/MaxiM</f>
        <v>4.6604377138885479E-5</v>
      </c>
      <c r="Q284" s="305">
        <f t="shared" si="101"/>
        <v>0.5</v>
      </c>
      <c r="R284" s="177">
        <f t="shared" si="102"/>
        <v>0.99193877754093585</v>
      </c>
      <c r="S284" s="811">
        <f t="shared" si="103"/>
        <v>-1</v>
      </c>
      <c r="T284" s="176">
        <f t="shared" si="104"/>
        <v>5</v>
      </c>
      <c r="U284" s="251">
        <f t="shared" si="105"/>
        <v>-8.0612224590642101E-3</v>
      </c>
      <c r="V284" s="383">
        <f t="shared" si="106"/>
        <v>43.798211396829927</v>
      </c>
      <c r="W284" s="402"/>
      <c r="X284" s="157">
        <f t="shared" si="107"/>
        <v>44466</v>
      </c>
      <c r="Y284" s="385">
        <f t="shared" si="108"/>
        <v>20.589953308180032</v>
      </c>
      <c r="Z284" s="385">
        <f t="shared" si="109"/>
        <v>21.141542432814283</v>
      </c>
      <c r="AA284" s="386">
        <f t="shared" si="110"/>
        <v>22.611641416761607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6.501513785980903E-2</v>
      </c>
      <c r="AD284" s="231">
        <f>(INDEX(Models!$BJ284:$BT284,,AH284)*(1-AF284)+INDEX(Models!$BJ284:$BT284,,AH284+1)*AF284-ERP_i)*AE284*Ramure*Pc/MaxiM</f>
        <v>4.6604377138885479E-5</v>
      </c>
      <c r="AE284" s="305">
        <f t="shared" si="112"/>
        <v>0.5</v>
      </c>
      <c r="AF284" s="177">
        <f t="shared" si="113"/>
        <v>0.99193877754093585</v>
      </c>
      <c r="AG284" s="811">
        <f t="shared" si="119"/>
        <v>-1</v>
      </c>
      <c r="AH284" s="176">
        <f t="shared" si="114"/>
        <v>5</v>
      </c>
      <c r="AI284" s="225">
        <f t="shared" si="115"/>
        <v>-8.0612224590642101E-3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7">
        <v>26.72</v>
      </c>
      <c r="C285" s="390"/>
      <c r="D285" s="393">
        <f t="shared" si="98"/>
        <v>27.436409321785792</v>
      </c>
      <c r="E285" s="385">
        <f t="shared" si="96"/>
        <v>27.958573179698341</v>
      </c>
      <c r="F285" s="385">
        <f t="shared" si="99"/>
        <v>27.959282742706201</v>
      </c>
      <c r="G285" s="110">
        <f t="shared" si="97"/>
        <v>0.61465472817372313</v>
      </c>
      <c r="H285" s="414" t="b">
        <f>Wh_hp&gt;='2020'!Maxi_hp</f>
        <v>0</v>
      </c>
      <c r="I285" s="380">
        <f>IF(H285,Wh_hp,'2020'!Maxi_hp)</f>
        <v>42.169880552957594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2.6111628288652544E-2</v>
      </c>
      <c r="M285" s="845"/>
      <c r="N285" s="845"/>
      <c r="O285" s="48">
        <f>IF(t&lt;Tnet,'2020'!Resal+('2020'!Salim-'2020'!Resal)*(1-EXP(('2020'!Tnet-t)/('2020'!Tau_j))),Resal+(Salim-Resal)*(1-EXP((Tnet-t)/(Tau_j))))*Salcycl</f>
        <v>1.8676341405422903E-2</v>
      </c>
      <c r="P285" s="169">
        <f>(INDEX(Models!$BJ285:$BT285,,T285)*(1-R285)+INDEX(Models!$BJ285:$BT285,,T285+1)*R285-ERP_i)*Q285*Ramure*Pc/MaxiM</f>
        <v>5.6454992381644808E-5</v>
      </c>
      <c r="Q285" s="305">
        <f t="shared" si="101"/>
        <v>0.5</v>
      </c>
      <c r="R285" s="177">
        <f t="shared" si="102"/>
        <v>0.99216245579022244</v>
      </c>
      <c r="S285" s="811">
        <f t="shared" si="103"/>
        <v>-1</v>
      </c>
      <c r="T285" s="176">
        <f t="shared" si="104"/>
        <v>5</v>
      </c>
      <c r="U285" s="251">
        <f t="shared" si="105"/>
        <v>-7.8375442097775583E-3</v>
      </c>
      <c r="V285" s="383">
        <f t="shared" si="106"/>
        <v>43.470209190226456</v>
      </c>
      <c r="W285" s="402"/>
      <c r="X285" s="157">
        <f t="shared" si="107"/>
        <v>44467</v>
      </c>
      <c r="Y285" s="385">
        <f t="shared" si="108"/>
        <v>25.457866138084498</v>
      </c>
      <c r="Z285" s="385">
        <f t="shared" si="109"/>
        <v>26.140435472444477</v>
      </c>
      <c r="AA285" s="386">
        <f t="shared" si="110"/>
        <v>27.958573179698341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6.5029702895356506E-2</v>
      </c>
      <c r="AD285" s="231">
        <f>(INDEX(Models!$BJ285:$BT285,,AH285)*(1-AF285)+INDEX(Models!$BJ285:$BT285,,AH285+1)*AF285-ERP_i)*AE285*Ramure*Pc/MaxiM</f>
        <v>5.6454992381644808E-5</v>
      </c>
      <c r="AE285" s="305">
        <f t="shared" si="112"/>
        <v>0.5</v>
      </c>
      <c r="AF285" s="177">
        <f t="shared" si="113"/>
        <v>0.99216245579022244</v>
      </c>
      <c r="AG285" s="811">
        <f t="shared" si="119"/>
        <v>-1</v>
      </c>
      <c r="AH285" s="176">
        <f t="shared" si="114"/>
        <v>5</v>
      </c>
      <c r="AI285" s="225">
        <f t="shared" si="115"/>
        <v>-7.8375442097775583E-3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7">
        <v>30.623000000000001</v>
      </c>
      <c r="C286" s="390"/>
      <c r="D286" s="393">
        <f t="shared" si="98"/>
        <v>31.444744209410612</v>
      </c>
      <c r="E286" s="385">
        <f t="shared" si="96"/>
        <v>32.045536612273054</v>
      </c>
      <c r="F286" s="385">
        <f t="shared" si="99"/>
        <v>32.046804011323786</v>
      </c>
      <c r="G286" s="110">
        <f t="shared" si="97"/>
        <v>0.70977245317053084</v>
      </c>
      <c r="H286" s="414" t="b">
        <f>Wh_hp&gt;='2020'!Maxi_hp</f>
        <v>0</v>
      </c>
      <c r="I286" s="380">
        <f>IF(H286,Wh_hp,'2020'!Maxi_hp)</f>
        <v>44.457549596928516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2.6132958943411722E-2</v>
      </c>
      <c r="M286" s="845"/>
      <c r="N286" s="845"/>
      <c r="O286" s="48">
        <f>IF(t&lt;Tnet,'2020'!Resal+('2020'!Salim-'2020'!Resal)*(1-EXP(('2020'!Tnet-t)/('2020'!Tau_j))),Resal+(Salim-Resal)*(1-EXP((Tnet-t)/(Tau_j))))*Salcycl</f>
        <v>1.8748083707618372E-2</v>
      </c>
      <c r="P286" s="169">
        <f>(INDEX(Models!$BJ286:$BT286,,T286)*(1-R286)+INDEX(Models!$BJ286:$BT286,,T286+1)*R286-ERP_i)*Q286*Ramure*Pc/MaxiM</f>
        <v>6.7555834640714709E-5</v>
      </c>
      <c r="Q286" s="305">
        <f t="shared" si="101"/>
        <v>0.5</v>
      </c>
      <c r="R286" s="177">
        <f t="shared" si="102"/>
        <v>0.99237731819613262</v>
      </c>
      <c r="S286" s="811">
        <f t="shared" si="103"/>
        <v>-1</v>
      </c>
      <c r="T286" s="176">
        <f t="shared" si="104"/>
        <v>5</v>
      </c>
      <c r="U286" s="251">
        <f t="shared" si="105"/>
        <v>-7.6226818038673261E-3</v>
      </c>
      <c r="V286" s="383">
        <f t="shared" si="106"/>
        <v>43.143604907292875</v>
      </c>
      <c r="W286" s="402"/>
      <c r="X286" s="157">
        <f t="shared" si="107"/>
        <v>44468</v>
      </c>
      <c r="Y286" s="385">
        <f t="shared" si="108"/>
        <v>29.178211612423215</v>
      </c>
      <c r="Z286" s="385">
        <f t="shared" si="109"/>
        <v>29.961186057561388</v>
      </c>
      <c r="AA286" s="386">
        <f t="shared" si="110"/>
        <v>32.045536612273054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6.5043396836531167E-2</v>
      </c>
      <c r="AD286" s="231">
        <f>(INDEX(Models!$BJ286:$BT286,,AH286)*(1-AF286)+INDEX(Models!$BJ286:$BT286,,AH286+1)*AF286-ERP_i)*AE286*Ramure*Pc/MaxiM</f>
        <v>6.7555834640714709E-5</v>
      </c>
      <c r="AE286" s="305">
        <f t="shared" si="112"/>
        <v>0.5</v>
      </c>
      <c r="AF286" s="177">
        <f t="shared" si="113"/>
        <v>0.99237731819613262</v>
      </c>
      <c r="AG286" s="811">
        <f t="shared" si="119"/>
        <v>-1</v>
      </c>
      <c r="AH286" s="176">
        <f t="shared" si="114"/>
        <v>5</v>
      </c>
      <c r="AI286" s="225">
        <f t="shared" si="115"/>
        <v>-7.6226818038673261E-3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7">
        <v>17.728000000000002</v>
      </c>
      <c r="C287" s="390"/>
      <c r="D287" s="393">
        <f t="shared" si="98"/>
        <v>18.204115705536317</v>
      </c>
      <c r="E287" s="385">
        <f t="shared" si="96"/>
        <v>18.553278397941888</v>
      </c>
      <c r="F287" s="385">
        <f t="shared" si="99"/>
        <v>18.553519924543064</v>
      </c>
      <c r="G287" s="110">
        <f t="shared" si="97"/>
        <v>0.41399199232275552</v>
      </c>
      <c r="H287" s="414" t="b">
        <f>Wh_hp&gt;='2020'!Maxi_hp</f>
        <v>0</v>
      </c>
      <c r="I287" s="380">
        <f>IF(H287,Wh_hp,'2020'!Maxi_hp)</f>
        <v>41.406216750872005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2.6154289130974728E-2</v>
      </c>
      <c r="M287" s="845"/>
      <c r="N287" s="845"/>
      <c r="O287" s="48">
        <f>IF(t&lt;Tnet,'2020'!Resal+('2020'!Salim-'2020'!Resal)*(1-EXP(('2020'!Tnet-t)/('2020'!Tau_j))),Resal+(Salim-Resal)*(1-EXP((Tnet-t)/(Tau_j))))*Salcycl</f>
        <v>1.8819460632052098E-2</v>
      </c>
      <c r="P287" s="169">
        <f>(INDEX(Models!$BJ287:$BT287,,T287)*(1-R287)+INDEX(Models!$BJ287:$BT287,,T287+1)*R287-ERP_i)*Q287*Ramure*Pc/MaxiM</f>
        <v>7.9920249854264808E-5</v>
      </c>
      <c r="Q287" s="305">
        <f t="shared" si="101"/>
        <v>0.5</v>
      </c>
      <c r="R287" s="177">
        <f t="shared" si="102"/>
        <v>0.99258370493894166</v>
      </c>
      <c r="S287" s="811">
        <f t="shared" si="103"/>
        <v>-1</v>
      </c>
      <c r="T287" s="176">
        <f t="shared" si="104"/>
        <v>5</v>
      </c>
      <c r="U287" s="251">
        <f t="shared" si="105"/>
        <v>-7.4162950610583422E-3</v>
      </c>
      <c r="V287" s="383">
        <f t="shared" si="106"/>
        <v>42.819219374350055</v>
      </c>
      <c r="W287" s="402"/>
      <c r="X287" s="157">
        <f t="shared" si="107"/>
        <v>44469</v>
      </c>
      <c r="Y287" s="385">
        <f t="shared" si="108"/>
        <v>16.892593168585456</v>
      </c>
      <c r="Z287" s="385">
        <f t="shared" si="109"/>
        <v>17.346272597443704</v>
      </c>
      <c r="AA287" s="386">
        <f t="shared" si="110"/>
        <v>18.553278397941888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6.5056200559793068E-2</v>
      </c>
      <c r="AD287" s="231">
        <f>(INDEX(Models!$BJ287:$BT287,,AH287)*(1-AF287)+INDEX(Models!$BJ287:$BT287,,AH287+1)*AF287-ERP_i)*AE287*Ramure*Pc/MaxiM</f>
        <v>7.9920249854264808E-5</v>
      </c>
      <c r="AE287" s="305">
        <f t="shared" si="112"/>
        <v>0.5</v>
      </c>
      <c r="AF287" s="177">
        <f t="shared" si="113"/>
        <v>0.99258370493894166</v>
      </c>
      <c r="AG287" s="811">
        <f t="shared" si="119"/>
        <v>-1</v>
      </c>
      <c r="AH287" s="176">
        <f t="shared" si="114"/>
        <v>5</v>
      </c>
      <c r="AI287" s="225">
        <f t="shared" si="115"/>
        <v>-7.4162950610583422E-3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7">
        <v>32.402999999999999</v>
      </c>
      <c r="C288" s="390"/>
      <c r="D288" s="393">
        <f t="shared" si="98"/>
        <v>33.273966669205713</v>
      </c>
      <c r="E288" s="385">
        <f t="shared" si="96"/>
        <v>33.914629779063532</v>
      </c>
      <c r="F288" s="385">
        <f t="shared" si="99"/>
        <v>33.916726210956924</v>
      </c>
      <c r="G288" s="110">
        <f t="shared" si="97"/>
        <v>0.76243747748563884</v>
      </c>
      <c r="H288" s="414" t="b">
        <f>Wh_hp&gt;='2020'!Maxi_hp</f>
        <v>0</v>
      </c>
      <c r="I288" s="380">
        <f>IF(H288,Wh_hp,'2020'!Maxi_hp)</f>
        <v>43.530133856028712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2.6175618851351889E-2</v>
      </c>
      <c r="M288" s="845"/>
      <c r="N288" s="845"/>
      <c r="O288" s="48">
        <f>IF(t&lt;Tnet,'2020'!Resal+('2020'!Salim-'2020'!Resal)*(1-EXP(('2020'!Tnet-t)/('2020'!Tau_j))),Resal+(Salim-Resal)*(1-EXP((Tnet-t)/(Tau_j))))*Salcycl</f>
        <v>1.8890464499580612E-2</v>
      </c>
      <c r="P288" s="169">
        <f>(INDEX(Models!$BJ288:$BT288,,T288)*(1-R288)+INDEX(Models!$BJ288:$BT288,,T288+1)*R288-ERP_i)*Q288*Ramure*Pc/MaxiM</f>
        <v>9.3559763262806179E-5</v>
      </c>
      <c r="Q288" s="305">
        <f t="shared" si="101"/>
        <v>0.5</v>
      </c>
      <c r="R288" s="177">
        <f t="shared" si="102"/>
        <v>0.99278194364168992</v>
      </c>
      <c r="S288" s="811">
        <f t="shared" si="103"/>
        <v>-1</v>
      </c>
      <c r="T288" s="176">
        <f t="shared" si="104"/>
        <v>5</v>
      </c>
      <c r="U288" s="251">
        <f t="shared" si="105"/>
        <v>-7.2180563583100765E-3</v>
      </c>
      <c r="V288" s="383">
        <f t="shared" si="106"/>
        <v>42.497873127889065</v>
      </c>
      <c r="W288" s="402"/>
      <c r="X288" s="157">
        <f t="shared" si="107"/>
        <v>44470</v>
      </c>
      <c r="Y288" s="385">
        <f t="shared" si="108"/>
        <v>30.877896284244276</v>
      </c>
      <c r="Z288" s="385">
        <f t="shared" si="109"/>
        <v>31.707869387931211</v>
      </c>
      <c r="AA288" s="386">
        <f t="shared" si="110"/>
        <v>33.914629779063532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6.5068096143411733E-2</v>
      </c>
      <c r="AD288" s="231">
        <f>(INDEX(Models!$BJ288:$BT288,,AH288)*(1-AF288)+INDEX(Models!$BJ288:$BT288,,AH288+1)*AF288-ERP_i)*AE288*Ramure*Pc/MaxiM</f>
        <v>9.3559763262806179E-5</v>
      </c>
      <c r="AE288" s="305">
        <f t="shared" si="112"/>
        <v>0.5</v>
      </c>
      <c r="AF288" s="177">
        <f t="shared" si="113"/>
        <v>0.99278194364168992</v>
      </c>
      <c r="AG288" s="811">
        <f t="shared" si="119"/>
        <v>-1</v>
      </c>
      <c r="AH288" s="176">
        <f t="shared" si="114"/>
        <v>5</v>
      </c>
      <c r="AI288" s="225">
        <f t="shared" si="115"/>
        <v>-7.2180563583100765E-3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7">
        <v>39.349000000000004</v>
      </c>
      <c r="C289" s="390"/>
      <c r="D289" s="393">
        <f t="shared" si="98"/>
        <v>40.40755461118102</v>
      </c>
      <c r="E289" s="385">
        <f t="shared" si="96"/>
        <v>41.188534028234017</v>
      </c>
      <c r="F289" s="385">
        <f t="shared" si="99"/>
        <v>41.192574715514745</v>
      </c>
      <c r="G289" s="110">
        <f t="shared" si="97"/>
        <v>0.93291000683827807</v>
      </c>
      <c r="H289" s="414" t="b">
        <f>Wh_hp&gt;='2020'!Maxi_hp</f>
        <v>0</v>
      </c>
      <c r="I289" s="380">
        <f>IF(H289,Wh_hp,'2020'!Maxi_hp)</f>
        <v>44.550821163435508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2.6196948104553419E-2</v>
      </c>
      <c r="M289" s="845"/>
      <c r="N289" s="845"/>
      <c r="O289" s="48">
        <f>IF(t&lt;Tnet,'2020'!Resal+('2020'!Salim-'2020'!Resal)*(1-EXP(('2020'!Tnet-t)/('2020'!Tau_j))),Resal+(Salim-Resal)*(1-EXP((Tnet-t)/(Tau_j))))*Salcycl</f>
        <v>1.8961087969716135E-2</v>
      </c>
      <c r="P289" s="169">
        <f>(INDEX(Models!$BJ289:$BT289,,T289)*(1-R289)+INDEX(Models!$BJ289:$BT289,,T289+1)*R289-ERP_i)*Q289*Ramure*Pc/MaxiM</f>
        <v>1.0848900453760297E-4</v>
      </c>
      <c r="Q289" s="305">
        <f t="shared" si="101"/>
        <v>0.5</v>
      </c>
      <c r="R289" s="177">
        <f t="shared" si="102"/>
        <v>0.9929723497888463</v>
      </c>
      <c r="S289" s="811">
        <f t="shared" si="103"/>
        <v>-1</v>
      </c>
      <c r="T289" s="176">
        <f t="shared" si="104"/>
        <v>5</v>
      </c>
      <c r="U289" s="251">
        <f t="shared" si="105"/>
        <v>-7.027650211153702E-3</v>
      </c>
      <c r="V289" s="383">
        <f t="shared" si="106"/>
        <v>42.178335084650065</v>
      </c>
      <c r="W289" s="402"/>
      <c r="X289" s="157">
        <f t="shared" si="107"/>
        <v>44471</v>
      </c>
      <c r="Y289" s="385">
        <f t="shared" si="108"/>
        <v>37.499229989331596</v>
      </c>
      <c r="Z289" s="385">
        <f t="shared" si="109"/>
        <v>38.508022660579769</v>
      </c>
      <c r="AA289" s="386">
        <f t="shared" si="110"/>
        <v>41.188534028234017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6.5079067048533557E-2</v>
      </c>
      <c r="AD289" s="231">
        <f>(INDEX(Models!$BJ289:$BT289,,AH289)*(1-AF289)+INDEX(Models!$BJ289:$BT289,,AH289+1)*AF289-ERP_i)*AE289*Ramure*Pc/MaxiM</f>
        <v>1.0848900453760297E-4</v>
      </c>
      <c r="AE289" s="305">
        <f t="shared" si="112"/>
        <v>0.5</v>
      </c>
      <c r="AF289" s="177">
        <f t="shared" si="113"/>
        <v>0.9929723497888463</v>
      </c>
      <c r="AG289" s="811">
        <f t="shared" si="119"/>
        <v>-1</v>
      </c>
      <c r="AH289" s="176">
        <f t="shared" si="114"/>
        <v>5</v>
      </c>
      <c r="AI289" s="225">
        <f t="shared" si="115"/>
        <v>-7.027650211153702E-3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7">
        <v>6.88</v>
      </c>
      <c r="C290" s="390"/>
      <c r="D290" s="393">
        <f t="shared" si="98"/>
        <v>7.065238376041064</v>
      </c>
      <c r="E290" s="385">
        <f t="shared" si="96"/>
        <v>7.2023078306448465</v>
      </c>
      <c r="F290" s="385">
        <f t="shared" si="99"/>
        <v>7.2023078306448465</v>
      </c>
      <c r="G290" s="110">
        <f t="shared" si="97"/>
        <v>0.16434148480104827</v>
      </c>
      <c r="H290" s="414" t="b">
        <f>Wh_hp&gt;='2020'!Maxi_hp</f>
        <v>0</v>
      </c>
      <c r="I290" s="380">
        <f>IF(H290,Wh_hp,'2020'!Maxi_hp)</f>
        <v>42.516161138689995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2.6218276890589531E-2</v>
      </c>
      <c r="M290" s="845"/>
      <c r="N290" s="845"/>
      <c r="O290" s="48">
        <f>IF(t&lt;Tnet,'2020'!Resal+('2020'!Salim-'2020'!Resal)*(1-EXP(('2020'!Tnet-t)/('2020'!Tau_j))),Resal+(Salim-Resal)*(1-EXP((Tnet-t)/(Tau_j))))*Salcycl</f>
        <v>1.9031324101501261E-2</v>
      </c>
      <c r="P290" s="169">
        <f>(INDEX(Models!$BJ290:$BT290,,T290)*(1-R290)+INDEX(Models!$BJ290:$BT290,,T290+1)*R290-ERP_i)*Q290*Ramure*Pc/MaxiM</f>
        <v>1.2370024532993356E-4</v>
      </c>
      <c r="Q290" s="305">
        <f t="shared" si="101"/>
        <v>0.5</v>
      </c>
      <c r="R290" s="177">
        <f t="shared" si="102"/>
        <v>0.99315522713463444</v>
      </c>
      <c r="S290" s="811">
        <f t="shared" si="103"/>
        <v>-1</v>
      </c>
      <c r="T290" s="176">
        <f t="shared" si="104"/>
        <v>5</v>
      </c>
      <c r="U290" s="251">
        <f t="shared" si="105"/>
        <v>-6.8447728653656115E-3</v>
      </c>
      <c r="V290" s="383">
        <f t="shared" si="106"/>
        <v>41.858870574523685</v>
      </c>
      <c r="W290" s="402"/>
      <c r="X290" s="157">
        <f t="shared" si="107"/>
        <v>44472</v>
      </c>
      <c r="Y290" s="385">
        <f t="shared" si="108"/>
        <v>6.5569749184826112</v>
      </c>
      <c r="Z290" s="385">
        <f t="shared" si="109"/>
        <v>6.733516108256115</v>
      </c>
      <c r="AA290" s="386">
        <f t="shared" si="110"/>
        <v>7.2023078306448465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6.5089098301809145E-2</v>
      </c>
      <c r="AD290" s="231">
        <f>(INDEX(Models!$BJ290:$BT290,,AH290)*(1-AF290)+INDEX(Models!$BJ290:$BT290,,AH290+1)*AF290-ERP_i)*AE290*Ramure*Pc/MaxiM</f>
        <v>1.2370024532993356E-4</v>
      </c>
      <c r="AE290" s="305">
        <f t="shared" si="112"/>
        <v>0.5</v>
      </c>
      <c r="AF290" s="177">
        <f t="shared" si="113"/>
        <v>0.99315522713463444</v>
      </c>
      <c r="AG290" s="811">
        <f t="shared" si="119"/>
        <v>-1</v>
      </c>
      <c r="AH290" s="176">
        <f t="shared" si="114"/>
        <v>5</v>
      </c>
      <c r="AI290" s="225">
        <f t="shared" si="115"/>
        <v>-6.8447728653656115E-3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7">
        <v>31.146000000000001</v>
      </c>
      <c r="C291" s="390"/>
      <c r="D291" s="393">
        <f t="shared" si="98"/>
        <v>31.985281149886955</v>
      </c>
      <c r="E291" s="385">
        <f t="shared" si="96"/>
        <v>32.608134554511089</v>
      </c>
      <c r="F291" s="385">
        <f t="shared" si="99"/>
        <v>32.611037099076199</v>
      </c>
      <c r="G291" s="110">
        <f t="shared" si="97"/>
        <v>0.74975509729409306</v>
      </c>
      <c r="H291" s="414" t="b">
        <f>Wh_hp&gt;='2020'!Maxi_hp</f>
        <v>0</v>
      </c>
      <c r="I291" s="380">
        <f>IF(H291,Wh_hp,'2020'!Maxi_hp)</f>
        <v>42.093320826448114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2.6239605209470551E-2</v>
      </c>
      <c r="M291" s="845"/>
      <c r="N291" s="845"/>
      <c r="O291" s="48">
        <f>IF(t&lt;Tnet,'2020'!Resal+('2020'!Salim-'2020'!Resal)*(1-EXP(('2020'!Tnet-t)/('2020'!Tau_j))),Resal+(Salim-Resal)*(1-EXP((Tnet-t)/(Tau_j))))*Salcycl</f>
        <v>1.9101166415481648E-2</v>
      </c>
      <c r="P291" s="169">
        <f>(INDEX(Models!$BJ291:$BT291,,T291)*(1-R291)+INDEX(Models!$BJ291:$BT291,,T291+1)*R291-ERP_i)*Q291*Ramure*Pc/MaxiM</f>
        <v>1.3851614083361694E-4</v>
      </c>
      <c r="Q291" s="305">
        <f t="shared" si="101"/>
        <v>0.5</v>
      </c>
      <c r="R291" s="177">
        <f t="shared" si="102"/>
        <v>0.99333086810096483</v>
      </c>
      <c r="S291" s="811">
        <f t="shared" si="103"/>
        <v>-1</v>
      </c>
      <c r="T291" s="176">
        <f t="shared" si="104"/>
        <v>5</v>
      </c>
      <c r="U291" s="251">
        <f t="shared" si="105"/>
        <v>-6.6691318990351744E-3</v>
      </c>
      <c r="V291" s="383">
        <f t="shared" si="106"/>
        <v>41.539507901165038</v>
      </c>
      <c r="W291" s="402"/>
      <c r="X291" s="157">
        <f t="shared" si="107"/>
        <v>44473</v>
      </c>
      <c r="Y291" s="385">
        <f t="shared" si="108"/>
        <v>29.685479472716821</v>
      </c>
      <c r="Z291" s="385">
        <f t="shared" si="109"/>
        <v>30.485404450139519</v>
      </c>
      <c r="AA291" s="386">
        <f t="shared" si="110"/>
        <v>32.608134554511089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6.5098176678061614E-2</v>
      </c>
      <c r="AD291" s="231">
        <f>(INDEX(Models!$BJ291:$BT291,,AH291)*(1-AF291)+INDEX(Models!$BJ291:$BT291,,AH291+1)*AF291-ERP_i)*AE291*Ramure*Pc/MaxiM</f>
        <v>1.3851614083361694E-4</v>
      </c>
      <c r="AE291" s="305">
        <f t="shared" si="112"/>
        <v>0.5</v>
      </c>
      <c r="AF291" s="177">
        <f t="shared" si="113"/>
        <v>0.99333086810096483</v>
      </c>
      <c r="AG291" s="811">
        <f t="shared" si="119"/>
        <v>-1</v>
      </c>
      <c r="AH291" s="176">
        <f t="shared" si="114"/>
        <v>5</v>
      </c>
      <c r="AI291" s="225">
        <f t="shared" si="115"/>
        <v>-6.6691318990351744E-3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7">
        <v>13.99</v>
      </c>
      <c r="C292" s="390"/>
      <c r="D292" s="393">
        <f t="shared" si="98"/>
        <v>14.367298668606644</v>
      </c>
      <c r="E292" s="385">
        <f t="shared" si="96"/>
        <v>14.648111893668379</v>
      </c>
      <c r="F292" s="385">
        <f t="shared" si="99"/>
        <v>14.648237967616437</v>
      </c>
      <c r="G292" s="110">
        <f t="shared" si="97"/>
        <v>0.33934733481284823</v>
      </c>
      <c r="H292" s="414" t="b">
        <f>Wh_hp&gt;='2020'!Maxi_hp</f>
        <v>0</v>
      </c>
      <c r="I292" s="380">
        <f>IF(H292,Wh_hp,'2020'!Maxi_hp)</f>
        <v>42.281588278704412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2.6260933061206693E-2</v>
      </c>
      <c r="M292" s="845"/>
      <c r="N292" s="845"/>
      <c r="O292" s="48">
        <f>IF(t&lt;Tnet,'2020'!Resal+('2020'!Salim-'2020'!Resal)*(1-EXP(('2020'!Tnet-t)/('2020'!Tau_j))),Resal+(Salim-Resal)*(1-EXP((Tnet-t)/(Tau_j))))*Salcycl</f>
        <v>1.9170608956306151E-2</v>
      </c>
      <c r="P292" s="169">
        <f>(INDEX(Models!$BJ292:$BT292,,T292)*(1-R292)+INDEX(Models!$BJ292:$BT292,,T292+1)*R292-ERP_i)*Q292*Ramure*Pc/MaxiM</f>
        <v>1.5292637204295209E-4</v>
      </c>
      <c r="Q292" s="305">
        <f t="shared" si="101"/>
        <v>0.5</v>
      </c>
      <c r="R292" s="177">
        <f t="shared" si="102"/>
        <v>0.99349955416494651</v>
      </c>
      <c r="S292" s="811">
        <f t="shared" si="103"/>
        <v>-1</v>
      </c>
      <c r="T292" s="176">
        <f t="shared" si="104"/>
        <v>5</v>
      </c>
      <c r="U292" s="251">
        <f t="shared" si="105"/>
        <v>-6.5004458350534922E-3</v>
      </c>
      <c r="V292" s="383">
        <f t="shared" si="106"/>
        <v>41.220246975095186</v>
      </c>
      <c r="W292" s="402"/>
      <c r="X292" s="157">
        <f t="shared" si="107"/>
        <v>44474</v>
      </c>
      <c r="Y292" s="385">
        <f t="shared" si="108"/>
        <v>13.33479921176858</v>
      </c>
      <c r="Z292" s="385">
        <f t="shared" si="109"/>
        <v>13.694427659855585</v>
      </c>
      <c r="AA292" s="386">
        <f t="shared" si="110"/>
        <v>14.648111893668379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6.5106290881422224E-2</v>
      </c>
      <c r="AD292" s="231">
        <f>(INDEX(Models!$BJ292:$BT292,,AH292)*(1-AF292)+INDEX(Models!$BJ292:$BT292,,AH292+1)*AF292-ERP_i)*AE292*Ramure*Pc/MaxiM</f>
        <v>1.5292637204295209E-4</v>
      </c>
      <c r="AE292" s="305">
        <f t="shared" si="112"/>
        <v>0.5</v>
      </c>
      <c r="AF292" s="177">
        <f t="shared" si="113"/>
        <v>0.99349955416494651</v>
      </c>
      <c r="AG292" s="811">
        <f t="shared" si="119"/>
        <v>-1</v>
      </c>
      <c r="AH292" s="176">
        <f t="shared" si="114"/>
        <v>5</v>
      </c>
      <c r="AI292" s="225">
        <f t="shared" si="115"/>
        <v>-6.5004458350534922E-3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7">
        <v>27.231000000000002</v>
      </c>
      <c r="C293" s="390"/>
      <c r="D293" s="393">
        <f t="shared" si="98"/>
        <v>27.966009957328573</v>
      </c>
      <c r="E293" s="385">
        <f t="shared" si="96"/>
        <v>28.514621184885627</v>
      </c>
      <c r="F293" s="385">
        <f t="shared" si="99"/>
        <v>28.517108517055544</v>
      </c>
      <c r="G293" s="110">
        <f t="shared" si="97"/>
        <v>0.66572385006219326</v>
      </c>
      <c r="H293" s="414" t="b">
        <f>Wh_hp&gt;='2020'!Maxi_hp</f>
        <v>0</v>
      </c>
      <c r="I293" s="380">
        <f>IF(H293,Wh_hp,'2020'!Maxi_hp)</f>
        <v>39.638043153684698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2.6282260445808059E-2</v>
      </c>
      <c r="M293" s="845"/>
      <c r="N293" s="845"/>
      <c r="O293" s="48">
        <f>IF(t&lt;Tnet,'2020'!Resal+('2020'!Salim-'2020'!Resal)*(1-EXP(('2020'!Tnet-t)/('2020'!Tau_j))),Resal+(Salim-Resal)*(1-EXP((Tnet-t)/(Tau_j))))*Salcycl</f>
        <v>1.9239646355458155E-2</v>
      </c>
      <c r="P293" s="169">
        <f>(INDEX(Models!$BJ293:$BT293,,T293)*(1-R293)+INDEX(Models!$BJ293:$BT293,,T293+1)*R293-ERP_i)*Q293*Ramure*Pc/MaxiM</f>
        <v>1.66920641391865E-4</v>
      </c>
      <c r="Q293" s="305">
        <f t="shared" si="101"/>
        <v>0.5</v>
      </c>
      <c r="R293" s="177">
        <f t="shared" si="102"/>
        <v>0.99366155623598562</v>
      </c>
      <c r="S293" s="811">
        <f t="shared" si="103"/>
        <v>-1</v>
      </c>
      <c r="T293" s="176">
        <f t="shared" si="104"/>
        <v>5</v>
      </c>
      <c r="U293" s="251">
        <f t="shared" si="105"/>
        <v>-6.3384437640143232E-3</v>
      </c>
      <c r="V293" s="383">
        <f t="shared" si="106"/>
        <v>40.901087660879391</v>
      </c>
      <c r="W293" s="402"/>
      <c r="X293" s="157">
        <f t="shared" si="107"/>
        <v>44475</v>
      </c>
      <c r="Y293" s="385">
        <f t="shared" si="108"/>
        <v>25.957305519273774</v>
      </c>
      <c r="Z293" s="385">
        <f t="shared" si="109"/>
        <v>26.657936345247336</v>
      </c>
      <c r="AA293" s="386">
        <f t="shared" si="110"/>
        <v>28.514621184885627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6.5113431723316725E-2</v>
      </c>
      <c r="AD293" s="231">
        <f>(INDEX(Models!$BJ293:$BT293,,AH293)*(1-AF293)+INDEX(Models!$BJ293:$BT293,,AH293+1)*AF293-ERP_i)*AE293*Ramure*Pc/MaxiM</f>
        <v>1.66920641391865E-4</v>
      </c>
      <c r="AE293" s="305">
        <f t="shared" si="112"/>
        <v>0.5</v>
      </c>
      <c r="AF293" s="177">
        <f t="shared" si="113"/>
        <v>0.99366155623598562</v>
      </c>
      <c r="AG293" s="811">
        <f t="shared" si="119"/>
        <v>-1</v>
      </c>
      <c r="AH293" s="176">
        <f t="shared" si="114"/>
        <v>5</v>
      </c>
      <c r="AI293" s="225">
        <f t="shared" si="115"/>
        <v>-6.3384437640143232E-3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7">
        <v>40.878999999999998</v>
      </c>
      <c r="C294" s="390"/>
      <c r="D294" s="393">
        <f t="shared" si="98"/>
        <v>41.983311707292799</v>
      </c>
      <c r="E294" s="385">
        <f t="shared" si="96"/>
        <v>42.809896922427889</v>
      </c>
      <c r="F294" s="385">
        <f t="shared" si="99"/>
        <v>42.817625020301556</v>
      </c>
      <c r="G294" s="110">
        <f t="shared" si="97"/>
        <v>1.0073177765525823</v>
      </c>
      <c r="H294" s="414" t="b">
        <f>Wh_hp&gt;='2020'!Maxi_hp</f>
        <v>1</v>
      </c>
      <c r="I294" s="380">
        <f>IF(H294,Wh_hp,'2020'!Maxi_hp)</f>
        <v>42.817625020301556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2.6303587363284975E-2</v>
      </c>
      <c r="M294" s="845"/>
      <c r="N294" s="845"/>
      <c r="O294" s="48">
        <f>IF(t&lt;Tnet,'2020'!Resal+('2020'!Salim-'2020'!Resal)*(1-EXP(('2020'!Tnet-t)/('2020'!Tau_j))),Resal+(Salim-Resal)*(1-EXP((Tnet-t)/(Tau_j))))*Salcycl</f>
        <v>1.9308273893601569E-2</v>
      </c>
      <c r="P294" s="169">
        <f>(INDEX(Models!$BJ294:$BT294,,T294)*(1-R294)+INDEX(Models!$BJ294:$BT294,,T294+1)*R294-ERP_i)*Q294*Ramure*Pc/MaxiM</f>
        <v>1.804887092641704E-4</v>
      </c>
      <c r="Q294" s="305">
        <f t="shared" si="101"/>
        <v>0.5</v>
      </c>
      <c r="R294" s="177">
        <f t="shared" si="102"/>
        <v>0.99381713502250846</v>
      </c>
      <c r="S294" s="811">
        <f t="shared" si="103"/>
        <v>-1</v>
      </c>
      <c r="T294" s="176">
        <f t="shared" si="104"/>
        <v>5</v>
      </c>
      <c r="U294" s="251">
        <f t="shared" si="105"/>
        <v>-6.1828649774914868E-3</v>
      </c>
      <c r="V294" s="383">
        <f t="shared" si="106"/>
        <v>40.582029774063159</v>
      </c>
      <c r="W294" s="402"/>
      <c r="X294" s="157">
        <f t="shared" si="107"/>
        <v>44476</v>
      </c>
      <c r="Y294" s="385">
        <f t="shared" si="108"/>
        <v>38.969408193415653</v>
      </c>
      <c r="Z294" s="385">
        <f t="shared" si="109"/>
        <v>40.022133888620061</v>
      </c>
      <c r="AA294" s="386">
        <f t="shared" si="110"/>
        <v>42.809896922427889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6.5119592295662096E-2</v>
      </c>
      <c r="AD294" s="231">
        <f>(INDEX(Models!$BJ294:$BT294,,AH294)*(1-AF294)+INDEX(Models!$BJ294:$BT294,,AH294+1)*AF294-ERP_i)*AE294*Ramure*Pc/MaxiM</f>
        <v>1.804887092641704E-4</v>
      </c>
      <c r="AE294" s="305">
        <f t="shared" si="112"/>
        <v>0.5</v>
      </c>
      <c r="AF294" s="177">
        <f t="shared" si="113"/>
        <v>0.99381713502250846</v>
      </c>
      <c r="AG294" s="811">
        <f t="shared" si="119"/>
        <v>-1</v>
      </c>
      <c r="AH294" s="176">
        <f t="shared" si="114"/>
        <v>5</v>
      </c>
      <c r="AI294" s="225">
        <f t="shared" si="115"/>
        <v>-6.1828649774914868E-3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7">
        <v>36.930999999999997</v>
      </c>
      <c r="C295" s="390"/>
      <c r="D295" s="393">
        <f t="shared" si="98"/>
        <v>37.929490570257592</v>
      </c>
      <c r="E295" s="385">
        <f t="shared" si="96"/>
        <v>38.678952818455897</v>
      </c>
      <c r="F295" s="385">
        <f t="shared" si="99"/>
        <v>38.685557589921132</v>
      </c>
      <c r="G295" s="110">
        <f t="shared" si="97"/>
        <v>0.91722145510744291</v>
      </c>
      <c r="H295" s="414" t="b">
        <f>Wh_hp&gt;='2020'!Maxi_hp</f>
        <v>0</v>
      </c>
      <c r="I295" s="380">
        <f>IF(H295,Wh_hp,'2020'!Maxi_hp)</f>
        <v>40.412475476580589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2.6324913813647766E-2</v>
      </c>
      <c r="M295" s="845"/>
      <c r="N295" s="845"/>
      <c r="O295" s="48">
        <f>IF(t&lt;Tnet,'2020'!Resal+('2020'!Salim-'2020'!Resal)*(1-EXP(('2020'!Tnet-t)/('2020'!Tau_j))),Resal+(Salim-Resal)*(1-EXP((Tnet-t)/(Tau_j))))*Salcycl</f>
        <v>1.9376487562008049E-2</v>
      </c>
      <c r="P295" s="169">
        <f>(INDEX(Models!$BJ295:$BT295,,T295)*(1-R295)+INDEX(Models!$BJ295:$BT295,,T295+1)*R295-ERP_i)*Q295*Ramure*Pc/MaxiM</f>
        <v>1.936204316989612E-4</v>
      </c>
      <c r="Q295" s="305">
        <f t="shared" si="101"/>
        <v>0.5</v>
      </c>
      <c r="R295" s="177">
        <f t="shared" si="102"/>
        <v>0.99396654138836971</v>
      </c>
      <c r="S295" s="811">
        <f t="shared" si="103"/>
        <v>-1</v>
      </c>
      <c r="T295" s="176">
        <f t="shared" si="104"/>
        <v>5</v>
      </c>
      <c r="U295" s="251">
        <f t="shared" si="105"/>
        <v>-6.0334586116302935E-3</v>
      </c>
      <c r="V295" s="383">
        <f t="shared" si="106"/>
        <v>40.263073078276285</v>
      </c>
      <c r="W295" s="402"/>
      <c r="X295" s="157">
        <f t="shared" si="107"/>
        <v>44477</v>
      </c>
      <c r="Y295" s="385">
        <f t="shared" si="108"/>
        <v>35.20808623288309</v>
      </c>
      <c r="Z295" s="385">
        <f t="shared" si="109"/>
        <v>36.159994984347989</v>
      </c>
      <c r="AA295" s="386">
        <f t="shared" si="110"/>
        <v>38.678952818455897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6.5124768137620581E-2</v>
      </c>
      <c r="AD295" s="231">
        <f>(INDEX(Models!$BJ295:$BT295,,AH295)*(1-AF295)+INDEX(Models!$BJ295:$BT295,,AH295+1)*AF295-ERP_i)*AE295*Ramure*Pc/MaxiM</f>
        <v>1.936204316989612E-4</v>
      </c>
      <c r="AE295" s="305">
        <f t="shared" si="112"/>
        <v>0.5</v>
      </c>
      <c r="AF295" s="177">
        <f t="shared" si="113"/>
        <v>0.99396654138836971</v>
      </c>
      <c r="AG295" s="811">
        <f t="shared" si="119"/>
        <v>-1</v>
      </c>
      <c r="AH295" s="176">
        <f t="shared" si="114"/>
        <v>5</v>
      </c>
      <c r="AI295" s="225">
        <f t="shared" si="115"/>
        <v>-6.0334586116302935E-3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7">
        <v>16.154</v>
      </c>
      <c r="C296" s="390"/>
      <c r="D296" s="393">
        <f t="shared" si="98"/>
        <v>16.591113453544772</v>
      </c>
      <c r="E296" s="385">
        <f t="shared" si="96"/>
        <v>16.920112936874506</v>
      </c>
      <c r="F296" s="385">
        <f t="shared" si="99"/>
        <v>16.920631307797315</v>
      </c>
      <c r="G296" s="110">
        <f t="shared" si="97"/>
        <v>0.40434293704578583</v>
      </c>
      <c r="H296" s="414" t="b">
        <f>Wh_hp&gt;='2020'!Maxi_hp</f>
        <v>0</v>
      </c>
      <c r="I296" s="380">
        <f>IF(H296,Wh_hp,'2020'!Maxi_hp)</f>
        <v>37.107170971880073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2.6346239796906423E-2</v>
      </c>
      <c r="M296" s="845"/>
      <c r="N296" s="845"/>
      <c r="O296" s="48">
        <f>IF(t&lt;Tnet,'2020'!Resal+('2020'!Salim-'2020'!Resal)*(1-EXP(('2020'!Tnet-t)/('2020'!Tau_j))),Resal+(Salim-Resal)*(1-EXP((Tnet-t)/(Tau_j))))*Salcycl</f>
        <v>1.9444284122521215E-2</v>
      </c>
      <c r="P296" s="169">
        <f>(INDEX(Models!$BJ296:$BT296,,T296)*(1-R296)+INDEX(Models!$BJ296:$BT296,,T296+1)*R296-ERP_i)*Q296*Ramure*Pc/MaxiM</f>
        <v>2.0538323980104603E-4</v>
      </c>
      <c r="Q296" s="305">
        <f t="shared" si="101"/>
        <v>0.5</v>
      </c>
      <c r="R296" s="177">
        <f t="shared" si="102"/>
        <v>0.99411001669903221</v>
      </c>
      <c r="S296" s="811">
        <f t="shared" si="103"/>
        <v>-1</v>
      </c>
      <c r="T296" s="176">
        <f t="shared" si="104"/>
        <v>5</v>
      </c>
      <c r="U296" s="251">
        <f t="shared" si="105"/>
        <v>-5.8899833009677383E-3</v>
      </c>
      <c r="V296" s="383">
        <f t="shared" si="106"/>
        <v>39.944254141060682</v>
      </c>
      <c r="W296" s="402"/>
      <c r="X296" s="157">
        <f t="shared" si="107"/>
        <v>44478</v>
      </c>
      <c r="Y296" s="385">
        <f t="shared" si="108"/>
        <v>15.40137554421235</v>
      </c>
      <c r="Z296" s="385">
        <f t="shared" si="109"/>
        <v>15.818123622302645</v>
      </c>
      <c r="AA296" s="386">
        <f t="shared" si="110"/>
        <v>16.920112936874506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6.5128957394265566E-2</v>
      </c>
      <c r="AD296" s="231">
        <f>(INDEX(Models!$BJ296:$BT296,,AH296)*(1-AF296)+INDEX(Models!$BJ296:$BT296,,AH296+1)*AF296-ERP_i)*AE296*Ramure*Pc/MaxiM</f>
        <v>2.0538323980104603E-4</v>
      </c>
      <c r="AE296" s="305">
        <f t="shared" si="112"/>
        <v>0.5</v>
      </c>
      <c r="AF296" s="177">
        <f t="shared" si="113"/>
        <v>0.99411001669903221</v>
      </c>
      <c r="AG296" s="811">
        <f t="shared" si="119"/>
        <v>-1</v>
      </c>
      <c r="AH296" s="176">
        <f t="shared" si="114"/>
        <v>5</v>
      </c>
      <c r="AI296" s="225">
        <f t="shared" si="115"/>
        <v>-5.8899833009677383E-3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7">
        <v>28.792000000000002</v>
      </c>
      <c r="C297" s="390"/>
      <c r="D297" s="393">
        <f t="shared" si="98"/>
        <v>29.571734644663994</v>
      </c>
      <c r="E297" s="385">
        <f t="shared" ref="E297:E360" si="120">Wh_pvt/(1-Psa)</f>
        <v>30.160210451677493</v>
      </c>
      <c r="F297" s="385">
        <f t="shared" si="99"/>
        <v>30.164167131782566</v>
      </c>
      <c r="G297" s="110">
        <f t="shared" ref="G297:G360" si="121">+Wh_hp/MaxiM</f>
        <v>0.72654002806553442</v>
      </c>
      <c r="H297" s="414" t="b">
        <f>Wh_hp&gt;='2020'!Maxi_hp</f>
        <v>0</v>
      </c>
      <c r="I297" s="380">
        <f>IF(H297,Wh_hp,'2020'!Maxi_hp)</f>
        <v>30.27474450167183</v>
      </c>
      <c r="J297" s="85">
        <f>IF(H297,An,'2020'!An_max)</f>
        <v>2019</v>
      </c>
      <c r="K297" s="197">
        <f t="shared" si="100"/>
        <v>44479</v>
      </c>
      <c r="L297" s="147">
        <f>IF(t&lt;Tvie,1-EXP((T0-t)*PertePVj)+'2020'!Pspv,1-EXP((T0-t)*PertePVj)+Pspv)</f>
        <v>2.6367565313071384E-2</v>
      </c>
      <c r="M297" s="845"/>
      <c r="N297" s="845"/>
      <c r="O297" s="48">
        <f>IF(t&lt;Tnet,'2020'!Resal+('2020'!Salim-'2020'!Resal)*(1-EXP(('2020'!Tnet-t)/('2020'!Tau_j))),Resal+(Salim-Resal)*(1-EXP((Tnet-t)/(Tau_j))))*Salcycl</f>
        <v>1.9511661165506494E-2</v>
      </c>
      <c r="P297" s="169">
        <f>(INDEX(Models!$BJ297:$BT297,,T297)*(1-R297)+INDEX(Models!$BJ297:$BT297,,T297+1)*R297-ERP_i)*Q297*Ramure*Pc/MaxiM</f>
        <v>2.1523636648876018E-4</v>
      </c>
      <c r="Q297" s="305">
        <f t="shared" si="101"/>
        <v>0.5</v>
      </c>
      <c r="R297" s="177">
        <f t="shared" si="102"/>
        <v>0.99424779315762335</v>
      </c>
      <c r="S297" s="811">
        <f t="shared" si="103"/>
        <v>-1</v>
      </c>
      <c r="T297" s="176">
        <f t="shared" si="104"/>
        <v>5</v>
      </c>
      <c r="U297" s="251">
        <f t="shared" si="105"/>
        <v>-5.7522068423766504E-3</v>
      </c>
      <c r="V297" s="383">
        <f t="shared" si="106"/>
        <v>39.625592776351183</v>
      </c>
      <c r="W297" s="402"/>
      <c r="X297" s="157">
        <f t="shared" si="107"/>
        <v>44479</v>
      </c>
      <c r="Y297" s="385">
        <f t="shared" si="108"/>
        <v>27.452355887757154</v>
      </c>
      <c r="Z297" s="385">
        <f t="shared" si="109"/>
        <v>28.195810769784448</v>
      </c>
      <c r="AA297" s="386">
        <f t="shared" si="110"/>
        <v>30.160210451677493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6.5132160965534244E-2</v>
      </c>
      <c r="AD297" s="231">
        <f>(INDEX(Models!$BJ297:$BT297,,AH297)*(1-AF297)+INDEX(Models!$BJ297:$BT297,,AH297+1)*AF297-ERP_i)*AE297*Ramure*Pc/MaxiM</f>
        <v>2.1523636648876018E-4</v>
      </c>
      <c r="AE297" s="305">
        <f t="shared" si="112"/>
        <v>0.5</v>
      </c>
      <c r="AF297" s="177">
        <f t="shared" si="113"/>
        <v>0.99424779315762335</v>
      </c>
      <c r="AG297" s="811">
        <f t="shared" si="119"/>
        <v>-1</v>
      </c>
      <c r="AH297" s="176">
        <f t="shared" si="114"/>
        <v>5</v>
      </c>
      <c r="AI297" s="225">
        <f t="shared" si="115"/>
        <v>-5.7522068423766504E-3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7">
        <v>39.855000000000004</v>
      </c>
      <c r="C298" s="390"/>
      <c r="D298" s="393">
        <f t="shared" si="98"/>
        <v>40.935235439974399</v>
      </c>
      <c r="E298" s="385">
        <f t="shared" si="120"/>
        <v>41.752695480401798</v>
      </c>
      <c r="F298" s="385">
        <f t="shared" si="99"/>
        <v>41.762014823220078</v>
      </c>
      <c r="G298" s="110">
        <f t="shared" si="121"/>
        <v>1.0139392711953765</v>
      </c>
      <c r="H298" s="414" t="b">
        <f>Wh_hp&gt;='2020'!Maxi_hp</f>
        <v>0</v>
      </c>
      <c r="I298" s="380">
        <f>IF(H298,Wh_hp,'2020'!Maxi_hp)</f>
        <v>42.375150802238252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2.638889036215275E-2</v>
      </c>
      <c r="M298" s="845"/>
      <c r="N298" s="845"/>
      <c r="O298" s="48">
        <f>IF(t&lt;Tnet,'2020'!Resal+('2020'!Salim-'2020'!Resal)*(1-EXP(('2020'!Tnet-t)/('2020'!Tau_j))),Resal+(Salim-Resal)*(1-EXP((Tnet-t)/(Tau_j))))*Salcycl</f>
        <v>1.9578617165234371E-2</v>
      </c>
      <c r="P298" s="169">
        <f>(INDEX(Models!$BJ298:$BT298,,T298)*(1-R298)+INDEX(Models!$BJ298:$BT298,,T298+1)*R298-ERP_i)*Q298*Ramure*Pc/MaxiM</f>
        <v>2.2315357287533695E-4</v>
      </c>
      <c r="Q298" s="305">
        <f t="shared" si="101"/>
        <v>0.5</v>
      </c>
      <c r="R298" s="177">
        <f t="shared" si="102"/>
        <v>0.99438009413098971</v>
      </c>
      <c r="S298" s="811">
        <f t="shared" si="103"/>
        <v>-1</v>
      </c>
      <c r="T298" s="176">
        <f t="shared" si="104"/>
        <v>5</v>
      </c>
      <c r="U298" s="251">
        <f t="shared" si="105"/>
        <v>-5.6199058690103443E-3</v>
      </c>
      <c r="V298" s="383">
        <f t="shared" si="106"/>
        <v>39.307087842660678</v>
      </c>
      <c r="W298" s="402"/>
      <c r="X298" s="157">
        <f t="shared" si="107"/>
        <v>44480</v>
      </c>
      <c r="Y298" s="385">
        <f t="shared" si="108"/>
        <v>38.003117671707862</v>
      </c>
      <c r="Z298" s="385">
        <f t="shared" si="109"/>
        <v>39.033159436567878</v>
      </c>
      <c r="AA298" s="386">
        <f t="shared" si="110"/>
        <v>41.752695480401798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6.5134382643880745E-2</v>
      </c>
      <c r="AD298" s="231">
        <f>(INDEX(Models!$BJ298:$BT298,,AH298)*(1-AF298)+INDEX(Models!$BJ298:$BT298,,AH298+1)*AF298-ERP_i)*AE298*Ramure*Pc/MaxiM</f>
        <v>2.2315357287533695E-4</v>
      </c>
      <c r="AE298" s="305">
        <f t="shared" si="112"/>
        <v>0.5</v>
      </c>
      <c r="AF298" s="177">
        <f t="shared" si="113"/>
        <v>0.99438009413098971</v>
      </c>
      <c r="AG298" s="811">
        <f t="shared" si="119"/>
        <v>-1</v>
      </c>
      <c r="AH298" s="176">
        <f t="shared" si="114"/>
        <v>5</v>
      </c>
      <c r="AI298" s="225">
        <f t="shared" si="115"/>
        <v>-5.6199058690103443E-3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7">
        <v>37.948999999999998</v>
      </c>
      <c r="C299" s="390"/>
      <c r="D299" s="393">
        <f t="shared" si="98"/>
        <v>38.978428679614261</v>
      </c>
      <c r="E299" s="385">
        <f t="shared" si="120"/>
        <v>39.759510283987211</v>
      </c>
      <c r="F299" s="385">
        <f t="shared" si="99"/>
        <v>39.768274465309958</v>
      </c>
      <c r="G299" s="110">
        <f t="shared" si="121"/>
        <v>0.97332385079822814</v>
      </c>
      <c r="H299" s="414" t="b">
        <f>Wh_hp&gt;='2020'!Maxi_hp</f>
        <v>1</v>
      </c>
      <c r="I299" s="380">
        <f>IF(H299,Wh_hp,'2020'!Maxi_hp)</f>
        <v>39.768274465309958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2.6410214944160959E-2</v>
      </c>
      <c r="M299" s="845"/>
      <c r="N299" s="845"/>
      <c r="O299" s="48">
        <f>IF(t&lt;Tnet,'2020'!Resal+('2020'!Salim-'2020'!Resal)*(1-EXP(('2020'!Tnet-t)/('2020'!Tau_j))),Resal+(Salim-Resal)*(1-EXP((Tnet-t)/(Tau_j))))*Salcycl</f>
        <v>1.9645151532148609E-2</v>
      </c>
      <c r="P299" s="169">
        <f>(INDEX(Models!$BJ299:$BT299,,T299)*(1-R299)+INDEX(Models!$BJ299:$BT299,,T299+1)*R299-ERP_i)*Q299*Ramure*Pc/MaxiM</f>
        <v>2.2910953682402354E-4</v>
      </c>
      <c r="Q299" s="305">
        <f t="shared" si="101"/>
        <v>0.5</v>
      </c>
      <c r="R299" s="177">
        <f t="shared" si="102"/>
        <v>0.99450713446589112</v>
      </c>
      <c r="S299" s="811">
        <f t="shared" si="103"/>
        <v>-1</v>
      </c>
      <c r="T299" s="176">
        <f t="shared" si="104"/>
        <v>5</v>
      </c>
      <c r="U299" s="251">
        <f t="shared" si="105"/>
        <v>-5.4928655341088817E-3</v>
      </c>
      <c r="V299" s="383">
        <f t="shared" si="106"/>
        <v>38.988738091054444</v>
      </c>
      <c r="W299" s="402"/>
      <c r="X299" s="157">
        <f t="shared" si="107"/>
        <v>44481</v>
      </c>
      <c r="Y299" s="385">
        <f t="shared" si="108"/>
        <v>36.188088488011282</v>
      </c>
      <c r="Z299" s="385">
        <f t="shared" si="109"/>
        <v>37.169749563401346</v>
      </c>
      <c r="AA299" s="386">
        <f t="shared" si="110"/>
        <v>39.759510283987211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6.5135629239097215E-2</v>
      </c>
      <c r="AD299" s="231">
        <f>(INDEX(Models!$BJ299:$BT299,,AH299)*(1-AF299)+INDEX(Models!$BJ299:$BT299,,AH299+1)*AF299-ERP_i)*AE299*Ramure*Pc/MaxiM</f>
        <v>2.2910953682402354E-4</v>
      </c>
      <c r="AE299" s="305">
        <f t="shared" si="112"/>
        <v>0.5</v>
      </c>
      <c r="AF299" s="177">
        <f t="shared" si="113"/>
        <v>0.99450713446589112</v>
      </c>
      <c r="AG299" s="811">
        <f t="shared" si="119"/>
        <v>-1</v>
      </c>
      <c r="AH299" s="176">
        <f t="shared" si="114"/>
        <v>5</v>
      </c>
      <c r="AI299" s="225">
        <f t="shared" si="115"/>
        <v>-5.4928655341088817E-3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7">
        <v>37.216000000000001</v>
      </c>
      <c r="C300" s="390"/>
      <c r="D300" s="393">
        <f t="shared" si="98"/>
        <v>38.226382111878429</v>
      </c>
      <c r="E300" s="385">
        <f t="shared" si="120"/>
        <v>38.995023337361772</v>
      </c>
      <c r="F300" s="385">
        <f t="shared" si="99"/>
        <v>39.003625806496558</v>
      </c>
      <c r="G300" s="110">
        <f t="shared" si="121"/>
        <v>0.96237424434376284</v>
      </c>
      <c r="H300" s="414" t="b">
        <f>Wh_hp&gt;='2020'!Maxi_hp</f>
        <v>0</v>
      </c>
      <c r="I300" s="380">
        <f>IF(H300,Wh_hp,'2020'!Maxi_hp)</f>
        <v>39.855056795061437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2.6431539059106002E-2</v>
      </c>
      <c r="M300" s="845"/>
      <c r="N300" s="845"/>
      <c r="O300" s="48">
        <f>IF(t&lt;Tnet,'2020'!Resal+('2020'!Salim-'2020'!Resal)*(1-EXP(('2020'!Tnet-t)/('2020'!Tau_j))),Resal+(Salim-Resal)*(1-EXP((Tnet-t)/(Tau_j))))*Salcycl</f>
        <v>1.9711264661480436E-2</v>
      </c>
      <c r="P300" s="169">
        <f>(INDEX(Models!$BJ300:$BT300,,T300)*(1-R300)+INDEX(Models!$BJ300:$BT300,,T300+1)*R300-ERP_i)*Q300*Ramure*Pc/MaxiM</f>
        <v>2.3307990921522787E-4</v>
      </c>
      <c r="Q300" s="305">
        <f t="shared" si="101"/>
        <v>0.5</v>
      </c>
      <c r="R300" s="177">
        <f t="shared" si="102"/>
        <v>0.99462912079548527</v>
      </c>
      <c r="S300" s="811">
        <f t="shared" si="103"/>
        <v>-1</v>
      </c>
      <c r="T300" s="176">
        <f t="shared" si="104"/>
        <v>5</v>
      </c>
      <c r="U300" s="251">
        <f t="shared" si="105"/>
        <v>-5.3708792045147336E-3</v>
      </c>
      <c r="V300" s="383">
        <f t="shared" si="106"/>
        <v>38.670542164037116</v>
      </c>
      <c r="W300" s="402"/>
      <c r="X300" s="157">
        <f t="shared" si="107"/>
        <v>44482</v>
      </c>
      <c r="Y300" s="385">
        <f t="shared" si="108"/>
        <v>35.491483981798041</v>
      </c>
      <c r="Z300" s="385">
        <f t="shared" si="109"/>
        <v>36.45504697995014</v>
      </c>
      <c r="AA300" s="386">
        <f t="shared" si="110"/>
        <v>38.995023337361772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6.5135910688840032E-2</v>
      </c>
      <c r="AD300" s="231">
        <f>(INDEX(Models!$BJ300:$BT300,,AH300)*(1-AF300)+INDEX(Models!$BJ300:$BT300,,AH300+1)*AF300-ERP_i)*AE300*Ramure*Pc/MaxiM</f>
        <v>2.3307990921522787E-4</v>
      </c>
      <c r="AE300" s="305">
        <f t="shared" si="112"/>
        <v>0.5</v>
      </c>
      <c r="AF300" s="177">
        <f t="shared" si="113"/>
        <v>0.99462912079548527</v>
      </c>
      <c r="AG300" s="811">
        <f t="shared" si="119"/>
        <v>-1</v>
      </c>
      <c r="AH300" s="176">
        <f t="shared" si="114"/>
        <v>5</v>
      </c>
      <c r="AI300" s="225">
        <f t="shared" si="115"/>
        <v>-5.3708792045147336E-3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7">
        <v>39.984999999999999</v>
      </c>
      <c r="C301" s="390"/>
      <c r="D301" s="393">
        <f t="shared" si="98"/>
        <v>41.071457629858955</v>
      </c>
      <c r="E301" s="385">
        <f t="shared" si="120"/>
        <v>41.900114432245658</v>
      </c>
      <c r="F301" s="385">
        <f t="shared" si="99"/>
        <v>41.909965007378638</v>
      </c>
      <c r="G301" s="110">
        <f t="shared" si="121"/>
        <v>1.0425657118720353</v>
      </c>
      <c r="H301" s="414" t="b">
        <f>Wh_hp&gt;='2020'!Maxi_hp</f>
        <v>1</v>
      </c>
      <c r="I301" s="380">
        <f>IF(H301,Wh_hp,'2020'!Maxi_hp)</f>
        <v>41.909965007378638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2.6452862706998204E-2</v>
      </c>
      <c r="M301" s="845"/>
      <c r="N301" s="845"/>
      <c r="O301" s="48">
        <f>IF(t&lt;Tnet,'2020'!Resal+('2020'!Salim-'2020'!Resal)*(1-EXP(('2020'!Tnet-t)/('2020'!Tau_j))),Resal+(Salim-Resal)*(1-EXP((Tnet-t)/(Tau_j))))*Salcycl</f>
        <v>1.9776957977684639E-2</v>
      </c>
      <c r="P301" s="169">
        <f>(INDEX(Models!$BJ301:$BT301,,T301)*(1-R301)+INDEX(Models!$BJ301:$BT301,,T301+1)*R301-ERP_i)*Q301*Ramure*Pc/MaxiM</f>
        <v>2.3504135904786464E-4</v>
      </c>
      <c r="Q301" s="305">
        <f t="shared" si="101"/>
        <v>0.5</v>
      </c>
      <c r="R301" s="177">
        <f t="shared" si="102"/>
        <v>0.99474625183626608</v>
      </c>
      <c r="S301" s="811">
        <f t="shared" si="103"/>
        <v>-1</v>
      </c>
      <c r="T301" s="176">
        <f t="shared" si="104"/>
        <v>5</v>
      </c>
      <c r="U301" s="251">
        <f t="shared" si="105"/>
        <v>-5.2537481637339178E-3</v>
      </c>
      <c r="V301" s="383">
        <f t="shared" si="106"/>
        <v>38.352498595223103</v>
      </c>
      <c r="W301" s="402"/>
      <c r="X301" s="157">
        <f t="shared" si="107"/>
        <v>44483</v>
      </c>
      <c r="Y301" s="385">
        <f t="shared" si="108"/>
        <v>38.134756907307988</v>
      </c>
      <c r="Z301" s="385">
        <f t="shared" si="109"/>
        <v>39.170940416242871</v>
      </c>
      <c r="AA301" s="386">
        <f t="shared" si="110"/>
        <v>41.900114432245658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6.5135240153484125E-2</v>
      </c>
      <c r="AD301" s="231">
        <f>(INDEX(Models!$BJ301:$BT301,,AH301)*(1-AF301)+INDEX(Models!$BJ301:$BT301,,AH301+1)*AF301-ERP_i)*AE301*Ramure*Pc/MaxiM</f>
        <v>2.3504135904786464E-4</v>
      </c>
      <c r="AE301" s="305">
        <f t="shared" si="112"/>
        <v>0.5</v>
      </c>
      <c r="AF301" s="177">
        <f t="shared" si="113"/>
        <v>0.99474625183626608</v>
      </c>
      <c r="AG301" s="811">
        <f t="shared" si="119"/>
        <v>-1</v>
      </c>
      <c r="AH301" s="176">
        <f t="shared" si="114"/>
        <v>5</v>
      </c>
      <c r="AI301" s="225">
        <f t="shared" si="115"/>
        <v>-5.2537481637339178E-3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7">
        <v>32.725000000000001</v>
      </c>
      <c r="C302" s="390"/>
      <c r="D302" s="393">
        <f t="shared" si="98"/>
        <v>33.614927848466905</v>
      </c>
      <c r="E302" s="385">
        <f t="shared" si="120"/>
        <v>34.295425709642195</v>
      </c>
      <c r="F302" s="385">
        <f t="shared" si="99"/>
        <v>34.301878296898892</v>
      </c>
      <c r="G302" s="110">
        <f t="shared" si="121"/>
        <v>0.86036033572031889</v>
      </c>
      <c r="H302" s="414" t="b">
        <f>Wh_hp&gt;='2020'!Maxi_hp</f>
        <v>1</v>
      </c>
      <c r="I302" s="380">
        <f>IF(H302,Wh_hp,'2020'!Maxi_hp)</f>
        <v>34.301878296898892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2.6474185887847779E-2</v>
      </c>
      <c r="M302" s="845"/>
      <c r="N302" s="845"/>
      <c r="O302" s="48">
        <f>IF(t&lt;Tnet,'2020'!Resal+('2020'!Salim-'2020'!Resal)*(1-EXP(('2020'!Tnet-t)/('2020'!Tau_j))),Resal+(Salim-Resal)*(1-EXP((Tnet-t)/(Tau_j))))*Salcycl</f>
        <v>1.9842233974193449E-2</v>
      </c>
      <c r="P302" s="169">
        <f>(INDEX(Models!$BJ302:$BT302,,T302)*(1-R302)+INDEX(Models!$BJ302:$BT302,,T302+1)*R302-ERP_i)*Q302*Ramure*Pc/MaxiM</f>
        <v>2.349716059332298E-4</v>
      </c>
      <c r="Q302" s="305">
        <f t="shared" si="101"/>
        <v>0.5</v>
      </c>
      <c r="R302" s="177">
        <f t="shared" si="102"/>
        <v>0.99485871867563214</v>
      </c>
      <c r="S302" s="811">
        <f t="shared" si="103"/>
        <v>-1</v>
      </c>
      <c r="T302" s="176">
        <f t="shared" si="104"/>
        <v>5</v>
      </c>
      <c r="U302" s="251">
        <f t="shared" si="105"/>
        <v>-5.141281324367919E-3</v>
      </c>
      <c r="V302" s="383">
        <f t="shared" si="106"/>
        <v>38.034605809851342</v>
      </c>
      <c r="W302" s="402"/>
      <c r="X302" s="157">
        <f t="shared" si="107"/>
        <v>44484</v>
      </c>
      <c r="Y302" s="385">
        <f t="shared" si="108"/>
        <v>31.212834183132365</v>
      </c>
      <c r="Z302" s="385">
        <f t="shared" si="109"/>
        <v>32.061640000371455</v>
      </c>
      <c r="AA302" s="386">
        <f t="shared" si="110"/>
        <v>34.295425709642195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6.5133634094027504E-2</v>
      </c>
      <c r="AD302" s="231">
        <f>(INDEX(Models!$BJ302:$BT302,,AH302)*(1-AF302)+INDEX(Models!$BJ302:$BT302,,AH302+1)*AF302-ERP_i)*AE302*Ramure*Pc/MaxiM</f>
        <v>2.349716059332298E-4</v>
      </c>
      <c r="AE302" s="305">
        <f t="shared" si="112"/>
        <v>0.5</v>
      </c>
      <c r="AF302" s="177">
        <f t="shared" si="113"/>
        <v>0.99485871867563214</v>
      </c>
      <c r="AG302" s="811">
        <f t="shared" si="119"/>
        <v>-1</v>
      </c>
      <c r="AH302" s="176">
        <f t="shared" si="114"/>
        <v>5</v>
      </c>
      <c r="AI302" s="225">
        <f t="shared" si="115"/>
        <v>-5.141281324367919E-3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7">
        <v>36.741999999999997</v>
      </c>
      <c r="C303" s="390"/>
      <c r="D303" s="393">
        <f t="shared" si="98"/>
        <v>37.741993308345236</v>
      </c>
      <c r="E303" s="385">
        <f t="shared" si="120"/>
        <v>38.508587465393717</v>
      </c>
      <c r="F303" s="385">
        <f t="shared" si="99"/>
        <v>38.517225515333379</v>
      </c>
      <c r="G303" s="110">
        <f t="shared" si="121"/>
        <v>0.97416770855452417</v>
      </c>
      <c r="H303" s="414" t="b">
        <f>Wh_hp&gt;='2020'!Maxi_hp</f>
        <v>1</v>
      </c>
      <c r="I303" s="380">
        <f>IF(H303,Wh_hp,'2020'!Maxi_hp)</f>
        <v>38.517225515333379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2.6495508601664941E-2</v>
      </c>
      <c r="M303" s="845"/>
      <c r="N303" s="845"/>
      <c r="O303" s="48">
        <f>IF(t&lt;Tnet,'2020'!Resal+('2020'!Salim-'2020'!Resal)*(1-EXP(('2020'!Tnet-t)/('2020'!Tau_j))),Resal+(Salim-Resal)*(1-EXP((Tnet-t)/(Tau_j))))*Salcycl</f>
        <v>1.9907096248009504E-2</v>
      </c>
      <c r="P303" s="169">
        <f>(INDEX(Models!$BJ303:$BT303,,T303)*(1-R303)+INDEX(Models!$BJ303:$BT303,,T303+1)*R303-ERP_i)*Q303*Ramure*Pc/MaxiM</f>
        <v>2.3285491826594996E-4</v>
      </c>
      <c r="Q303" s="305">
        <f t="shared" si="101"/>
        <v>0.5</v>
      </c>
      <c r="R303" s="177">
        <f t="shared" si="102"/>
        <v>0.99496670505026508</v>
      </c>
      <c r="S303" s="811">
        <f t="shared" si="103"/>
        <v>-1</v>
      </c>
      <c r="T303" s="176">
        <f t="shared" si="104"/>
        <v>5</v>
      </c>
      <c r="U303" s="251">
        <f t="shared" si="105"/>
        <v>-5.0332949497349233E-3</v>
      </c>
      <c r="V303" s="383">
        <f t="shared" si="106"/>
        <v>37.715974344932221</v>
      </c>
      <c r="W303" s="402"/>
      <c r="X303" s="157">
        <f t="shared" si="107"/>
        <v>44485</v>
      </c>
      <c r="Y303" s="385">
        <f t="shared" si="108"/>
        <v>35.046629293210216</v>
      </c>
      <c r="Z303" s="385">
        <f t="shared" si="109"/>
        <v>36.000480329443043</v>
      </c>
      <c r="AA303" s="386">
        <f t="shared" si="110"/>
        <v>38.508587465393717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6.5131112331882443E-2</v>
      </c>
      <c r="AD303" s="231">
        <f>(INDEX(Models!$BJ303:$BT303,,AH303)*(1-AF303)+INDEX(Models!$BJ303:$BT303,,AH303+1)*AF303-ERP_i)*AE303*Ramure*Pc/MaxiM</f>
        <v>2.3285491826594996E-4</v>
      </c>
      <c r="AE303" s="305">
        <f t="shared" si="112"/>
        <v>0.5</v>
      </c>
      <c r="AF303" s="177">
        <f t="shared" si="113"/>
        <v>0.99496670505026508</v>
      </c>
      <c r="AG303" s="811">
        <f t="shared" si="119"/>
        <v>-1</v>
      </c>
      <c r="AH303" s="176">
        <f t="shared" si="114"/>
        <v>5</v>
      </c>
      <c r="AI303" s="225">
        <f t="shared" si="115"/>
        <v>-5.0332949497349233E-3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7">
        <v>34.500999999999998</v>
      </c>
      <c r="C304" s="390"/>
      <c r="D304" s="393">
        <f t="shared" si="98"/>
        <v>35.440777091267101</v>
      </c>
      <c r="E304" s="385">
        <f t="shared" si="120"/>
        <v>36.163008404728579</v>
      </c>
      <c r="F304" s="385">
        <f t="shared" si="99"/>
        <v>36.170374756257267</v>
      </c>
      <c r="G304" s="110">
        <f t="shared" si="121"/>
        <v>0.92256251154387814</v>
      </c>
      <c r="H304" s="414" t="b">
        <f>Wh_hp&gt;='2020'!Maxi_hp</f>
        <v>1</v>
      </c>
      <c r="I304" s="380">
        <f>IF(H304,Wh_hp,'2020'!Maxi_hp)</f>
        <v>36.170374756257267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2.6516830848460016E-2</v>
      </c>
      <c r="M304" s="845"/>
      <c r="N304" s="845"/>
      <c r="O304" s="48">
        <f>IF(t&lt;Tnet,'2020'!Resal+('2020'!Salim-'2020'!Resal)*(1-EXP(('2020'!Tnet-t)/('2020'!Tau_j))),Resal+(Salim-Resal)*(1-EXP((Tnet-t)/(Tau_j))))*Salcycl</f>
        <v>1.9971549528690132E-2</v>
      </c>
      <c r="P304" s="169">
        <f>(INDEX(Models!$BJ304:$BT304,,T304)*(1-R304)+INDEX(Models!$BJ304:$BT304,,T304+1)*R304-ERP_i)*Q304*Ramure*Pc/MaxiM</f>
        <v>2.2898034490422361E-4</v>
      </c>
      <c r="Q304" s="305">
        <f t="shared" si="101"/>
        <v>0.5</v>
      </c>
      <c r="R304" s="177">
        <f t="shared" si="102"/>
        <v>0.99507038761550992</v>
      </c>
      <c r="S304" s="811">
        <f t="shared" si="103"/>
        <v>-1</v>
      </c>
      <c r="T304" s="176">
        <f t="shared" si="104"/>
        <v>5</v>
      </c>
      <c r="U304" s="251">
        <f t="shared" si="105"/>
        <v>-4.9296123844900785E-3</v>
      </c>
      <c r="V304" s="383">
        <f t="shared" si="106"/>
        <v>37.39597665314016</v>
      </c>
      <c r="W304" s="402"/>
      <c r="X304" s="157">
        <f t="shared" si="107"/>
        <v>44486</v>
      </c>
      <c r="Y304" s="385">
        <f t="shared" si="108"/>
        <v>32.911319332313411</v>
      </c>
      <c r="Z304" s="385">
        <f t="shared" si="109"/>
        <v>33.807794911336757</v>
      </c>
      <c r="AA304" s="386">
        <f t="shared" si="110"/>
        <v>36.163008404728579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6.5127698089516878E-2</v>
      </c>
      <c r="AD304" s="231">
        <f>(INDEX(Models!$BJ304:$BT304,,AH304)*(1-AF304)+INDEX(Models!$BJ304:$BT304,,AH304+1)*AF304-ERP_i)*AE304*Ramure*Pc/MaxiM</f>
        <v>2.2898034490422361E-4</v>
      </c>
      <c r="AE304" s="305">
        <f t="shared" si="112"/>
        <v>0.5</v>
      </c>
      <c r="AF304" s="177">
        <f t="shared" si="113"/>
        <v>0.99507038761550992</v>
      </c>
      <c r="AG304" s="811">
        <f t="shared" si="119"/>
        <v>-1</v>
      </c>
      <c r="AH304" s="176">
        <f t="shared" si="114"/>
        <v>5</v>
      </c>
      <c r="AI304" s="225">
        <f t="shared" si="115"/>
        <v>-4.9296123844900785E-3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7">
        <v>34.125999999999998</v>
      </c>
      <c r="C305" s="390"/>
      <c r="D305" s="393">
        <f t="shared" si="98"/>
        <v>35.056330242563234</v>
      </c>
      <c r="E305" s="385">
        <f t="shared" si="120"/>
        <v>35.773065054075609</v>
      </c>
      <c r="F305" s="385">
        <f t="shared" si="99"/>
        <v>35.780182307545168</v>
      </c>
      <c r="G305" s="110">
        <f t="shared" si="121"/>
        <v>0.92043553103982778</v>
      </c>
      <c r="H305" s="414" t="b">
        <f>Wh_hp&gt;='2020'!Maxi_hp</f>
        <v>0</v>
      </c>
      <c r="I305" s="380">
        <f>IF(H305,Wh_hp,'2020'!Maxi_hp)</f>
        <v>37.794322636082605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2.6538152628243106E-2</v>
      </c>
      <c r="M305" s="845"/>
      <c r="N305" s="845"/>
      <c r="O305" s="48">
        <f>IF(t&lt;Tnet,'2020'!Resal+('2020'!Salim-'2020'!Resal)*(1-EXP(('2020'!Tnet-t)/('2020'!Tau_j))),Resal+(Salim-Resal)*(1-EXP((Tnet-t)/(Tau_j))))*Salcycl</f>
        <v>2.0035599701309789E-2</v>
      </c>
      <c r="P305" s="169">
        <f>(INDEX(Models!$BJ305:$BT305,,T305)*(1-R305)+INDEX(Models!$BJ305:$BT305,,T305+1)*R305-ERP_i)*Q305*Ramure*Pc/MaxiM</f>
        <v>2.244165232005412E-4</v>
      </c>
      <c r="Q305" s="305">
        <f t="shared" si="101"/>
        <v>0.5</v>
      </c>
      <c r="R305" s="177">
        <f t="shared" si="102"/>
        <v>0.9951699362059504</v>
      </c>
      <c r="S305" s="811">
        <f t="shared" si="103"/>
        <v>-1</v>
      </c>
      <c r="T305" s="176">
        <f t="shared" si="104"/>
        <v>5</v>
      </c>
      <c r="U305" s="251">
        <f t="shared" si="105"/>
        <v>-4.8300637940495994E-3</v>
      </c>
      <c r="V305" s="383">
        <f t="shared" si="106"/>
        <v>37.074980754009459</v>
      </c>
      <c r="W305" s="402"/>
      <c r="X305" s="157">
        <f t="shared" si="107"/>
        <v>44487</v>
      </c>
      <c r="Y305" s="385">
        <f t="shared" si="108"/>
        <v>32.555874710582216</v>
      </c>
      <c r="Z305" s="385">
        <f t="shared" si="109"/>
        <v>33.443400785022654</v>
      </c>
      <c r="AA305" s="386">
        <f t="shared" si="110"/>
        <v>35.773065054075609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6.5123418011047374E-2</v>
      </c>
      <c r="AD305" s="231">
        <f>(INDEX(Models!$BJ305:$BT305,,AH305)*(1-AF305)+INDEX(Models!$BJ305:$BT305,,AH305+1)*AF305-ERP_i)*AE305*Ramure*Pc/MaxiM</f>
        <v>2.244165232005412E-4</v>
      </c>
      <c r="AE305" s="305">
        <f t="shared" si="112"/>
        <v>0.5</v>
      </c>
      <c r="AF305" s="177">
        <f t="shared" si="113"/>
        <v>0.9951699362059504</v>
      </c>
      <c r="AG305" s="811">
        <f t="shared" si="119"/>
        <v>-1</v>
      </c>
      <c r="AH305" s="176">
        <f t="shared" si="114"/>
        <v>5</v>
      </c>
      <c r="AI305" s="225">
        <f t="shared" si="115"/>
        <v>-4.8300637940495994E-3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7">
        <v>35.32</v>
      </c>
      <c r="C306" s="390"/>
      <c r="D306" s="393">
        <f t="shared" si="98"/>
        <v>36.283675329395678</v>
      </c>
      <c r="E306" s="385">
        <f t="shared" si="120"/>
        <v>37.027908664172813</v>
      </c>
      <c r="F306" s="385">
        <f t="shared" si="99"/>
        <v>37.035573020362577</v>
      </c>
      <c r="G306" s="110">
        <f t="shared" si="121"/>
        <v>0.96098791000190309</v>
      </c>
      <c r="H306" s="414" t="b">
        <f>Wh_hp&gt;='2020'!Maxi_hp</f>
        <v>0</v>
      </c>
      <c r="I306" s="380">
        <f>IF(H306,Wh_hp,'2020'!Maxi_hp)</f>
        <v>37.715287299843339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2.6559473941024536E-2</v>
      </c>
      <c r="M306" s="845"/>
      <c r="N306" s="845"/>
      <c r="O306" s="48">
        <f>IF(t&lt;Tnet,'2020'!Resal+('2020'!Salim-'2020'!Resal)*(1-EXP(('2020'!Tnet-t)/('2020'!Tau_j))),Resal+(Salim-Resal)*(1-EXP((Tnet-t)/(Tau_j))))*Salcycl</f>
        <v>2.0099253823028702E-2</v>
      </c>
      <c r="P306" s="169">
        <f>(INDEX(Models!$BJ306:$BT306,,T306)*(1-R306)+INDEX(Models!$BJ306:$BT306,,T306+1)*R306-ERP_i)*Q306*Ramure*Pc/MaxiM</f>
        <v>2.1915602971212252E-4</v>
      </c>
      <c r="Q306" s="305">
        <f t="shared" si="101"/>
        <v>0.5</v>
      </c>
      <c r="R306" s="177">
        <f t="shared" si="102"/>
        <v>0.99526551408738051</v>
      </c>
      <c r="S306" s="811">
        <f t="shared" si="103"/>
        <v>-1</v>
      </c>
      <c r="T306" s="176">
        <f t="shared" si="104"/>
        <v>5</v>
      </c>
      <c r="U306" s="251">
        <f t="shared" si="105"/>
        <v>-4.7344859126194905E-3</v>
      </c>
      <c r="V306" s="383">
        <f t="shared" si="106"/>
        <v>36.753395414991964</v>
      </c>
      <c r="W306" s="402"/>
      <c r="X306" s="157">
        <f t="shared" si="107"/>
        <v>44488</v>
      </c>
      <c r="Y306" s="385">
        <f t="shared" si="108"/>
        <v>33.697312402774116</v>
      </c>
      <c r="Z306" s="385">
        <f t="shared" si="109"/>
        <v>34.616714119350917</v>
      </c>
      <c r="AA306" s="386">
        <f t="shared" si="110"/>
        <v>37.027908664172813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6.5118302162036595E-2</v>
      </c>
      <c r="AD306" s="231">
        <f>(INDEX(Models!$BJ306:$BT306,,AH306)*(1-AF306)+INDEX(Models!$BJ306:$BT306,,AH306+1)*AF306-ERP_i)*AE306*Ramure*Pc/MaxiM</f>
        <v>2.1915602971212252E-4</v>
      </c>
      <c r="AE306" s="305">
        <f t="shared" si="112"/>
        <v>0.5</v>
      </c>
      <c r="AF306" s="177">
        <f t="shared" si="113"/>
        <v>0.99526551408738051</v>
      </c>
      <c r="AG306" s="811">
        <f t="shared" si="119"/>
        <v>-1</v>
      </c>
      <c r="AH306" s="176">
        <f t="shared" si="114"/>
        <v>5</v>
      </c>
      <c r="AI306" s="225">
        <f t="shared" si="115"/>
        <v>-4.7344859126194905E-3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7">
        <v>26.375</v>
      </c>
      <c r="C307" s="390"/>
      <c r="D307" s="393">
        <f t="shared" si="98"/>
        <v>27.095212277246667</v>
      </c>
      <c r="E307" s="385">
        <f t="shared" si="120"/>
        <v>27.652761640555735</v>
      </c>
      <c r="F307" s="385">
        <f t="shared" si="99"/>
        <v>27.656332648608785</v>
      </c>
      <c r="G307" s="110">
        <f t="shared" si="121"/>
        <v>0.72389796765117964</v>
      </c>
      <c r="H307" s="414" t="b">
        <f>Wh_hp&gt;='2020'!Maxi_hp</f>
        <v>0</v>
      </c>
      <c r="I307" s="380">
        <f>IF(H307,Wh_hp,'2020'!Maxi_hp)</f>
        <v>31.908942257613869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2.658079478681441E-2</v>
      </c>
      <c r="M307" s="845"/>
      <c r="N307" s="845"/>
      <c r="O307" s="48">
        <f>IF(t&lt;Tnet,'2020'!Resal+('2020'!Salim-'2020'!Resal)*(1-EXP(('2020'!Tnet-t)/('2020'!Tau_j))),Resal+(Salim-Resal)*(1-EXP((Tnet-t)/(Tau_j))))*Salcycl</f>
        <v>2.0162520132938976E-2</v>
      </c>
      <c r="P307" s="169">
        <f>(INDEX(Models!$BJ307:$BT307,,T307)*(1-R307)+INDEX(Models!$BJ307:$BT307,,T307+1)*R307-ERP_i)*Q307*Ramure*Pc/MaxiM</f>
        <v>2.1319184334171523E-4</v>
      </c>
      <c r="Q307" s="305">
        <f t="shared" si="101"/>
        <v>0.5</v>
      </c>
      <c r="R307" s="177">
        <f t="shared" si="102"/>
        <v>0.9953572782003739</v>
      </c>
      <c r="S307" s="811">
        <f t="shared" si="103"/>
        <v>-1</v>
      </c>
      <c r="T307" s="176">
        <f t="shared" si="104"/>
        <v>5</v>
      </c>
      <c r="U307" s="251">
        <f t="shared" si="105"/>
        <v>-4.6427217996261039E-3</v>
      </c>
      <c r="V307" s="383">
        <f t="shared" si="106"/>
        <v>36.431629205565663</v>
      </c>
      <c r="W307" s="402"/>
      <c r="X307" s="157">
        <f t="shared" si="107"/>
        <v>44489</v>
      </c>
      <c r="Y307" s="385">
        <f t="shared" si="108"/>
        <v>25.165051734025234</v>
      </c>
      <c r="Z307" s="385">
        <f t="shared" si="109"/>
        <v>25.852224405736798</v>
      </c>
      <c r="AA307" s="386">
        <f t="shared" si="110"/>
        <v>27.652761640555735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6.5112384007905186E-2</v>
      </c>
      <c r="AD307" s="231">
        <f>(INDEX(Models!$BJ307:$BT307,,AH307)*(1-AF307)+INDEX(Models!$BJ307:$BT307,,AH307+1)*AF307-ERP_i)*AE307*Ramure*Pc/MaxiM</f>
        <v>2.1319184334171523E-4</v>
      </c>
      <c r="AE307" s="305">
        <f t="shared" si="112"/>
        <v>0.5</v>
      </c>
      <c r="AF307" s="177">
        <f t="shared" si="113"/>
        <v>0.9953572782003739</v>
      </c>
      <c r="AG307" s="811">
        <f t="shared" si="119"/>
        <v>-1</v>
      </c>
      <c r="AH307" s="176">
        <f t="shared" si="114"/>
        <v>5</v>
      </c>
      <c r="AI307" s="225">
        <f t="shared" si="115"/>
        <v>-4.6427217996261039E-3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7">
        <v>14.914</v>
      </c>
      <c r="C308" s="390"/>
      <c r="D308" s="393">
        <f t="shared" si="98"/>
        <v>15.321586611560811</v>
      </c>
      <c r="E308" s="385">
        <f t="shared" si="120"/>
        <v>15.637868890990255</v>
      </c>
      <c r="F308" s="385">
        <f t="shared" si="99"/>
        <v>15.638390308704523</v>
      </c>
      <c r="G308" s="110">
        <f t="shared" si="121"/>
        <v>0.41294322363771707</v>
      </c>
      <c r="H308" s="414" t="b">
        <f>Wh_hp&gt;='2020'!Maxi_hp</f>
        <v>0</v>
      </c>
      <c r="I308" s="380">
        <f>IF(H308,Wh_hp,'2020'!Maxi_hp)</f>
        <v>24.59946864863414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2.6602115165623164E-2</v>
      </c>
      <c r="M308" s="845"/>
      <c r="N308" s="845"/>
      <c r="O308" s="48">
        <f>IF(t&lt;Tnet,'2020'!Resal+('2020'!Salim-'2020'!Resal)*(1-EXP(('2020'!Tnet-t)/('2020'!Tau_j))),Resal+(Salim-Resal)*(1-EXP((Tnet-t)/(Tau_j))))*Salcycl</f>
        <v>2.022540805490888E-2</v>
      </c>
      <c r="P308" s="169">
        <f>(INDEX(Models!$BJ308:$BT308,,T308)*(1-R308)+INDEX(Models!$BJ308:$BT308,,T308+1)*R308-ERP_i)*Q308*Ramure*Pc/MaxiM</f>
        <v>2.0651739812789066E-4</v>
      </c>
      <c r="Q308" s="305">
        <f t="shared" si="101"/>
        <v>0.5</v>
      </c>
      <c r="R308" s="177">
        <f t="shared" si="102"/>
        <v>0.99544537939565925</v>
      </c>
      <c r="S308" s="811">
        <f t="shared" si="103"/>
        <v>-1</v>
      </c>
      <c r="T308" s="176">
        <f t="shared" si="104"/>
        <v>5</v>
      </c>
      <c r="U308" s="251">
        <f t="shared" si="105"/>
        <v>-4.5546206043408088E-3</v>
      </c>
      <c r="V308" s="383">
        <f t="shared" si="106"/>
        <v>36.110090503546111</v>
      </c>
      <c r="W308" s="402"/>
      <c r="X308" s="157">
        <f t="shared" si="107"/>
        <v>44490</v>
      </c>
      <c r="Y308" s="385">
        <f t="shared" si="108"/>
        <v>14.230838092048838</v>
      </c>
      <c r="Z308" s="385">
        <f t="shared" si="109"/>
        <v>14.619754484539699</v>
      </c>
      <c r="AA308" s="386">
        <f t="shared" si="110"/>
        <v>15.637868890990255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6.5105700370537228E-2</v>
      </c>
      <c r="AD308" s="231">
        <f>(INDEX(Models!$BJ308:$BT308,,AH308)*(1-AF308)+INDEX(Models!$BJ308:$BT308,,AH308+1)*AF308-ERP_i)*AE308*Ramure*Pc/MaxiM</f>
        <v>2.0651739812789066E-4</v>
      </c>
      <c r="AE308" s="305">
        <f t="shared" si="112"/>
        <v>0.5</v>
      </c>
      <c r="AF308" s="177">
        <f t="shared" si="113"/>
        <v>0.99544537939565925</v>
      </c>
      <c r="AG308" s="811">
        <f t="shared" si="119"/>
        <v>-1</v>
      </c>
      <c r="AH308" s="176">
        <f t="shared" si="114"/>
        <v>5</v>
      </c>
      <c r="AI308" s="225">
        <f t="shared" si="115"/>
        <v>-4.5546206043408088E-3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7">
        <v>12.494</v>
      </c>
      <c r="C309" s="390"/>
      <c r="D309" s="393">
        <f t="shared" si="98"/>
        <v>12.83573125781415</v>
      </c>
      <c r="E309" s="385">
        <f t="shared" si="120"/>
        <v>13.101534243772527</v>
      </c>
      <c r="F309" s="385">
        <f t="shared" si="99"/>
        <v>13.101717238975315</v>
      </c>
      <c r="G309" s="110">
        <f t="shared" si="121"/>
        <v>0.34903521034462925</v>
      </c>
      <c r="H309" s="414" t="b">
        <f>Wh_hp&gt;='2020'!Maxi_hp</f>
        <v>0</v>
      </c>
      <c r="I309" s="380">
        <f>IF(H309,Wh_hp,'2020'!Maxi_hp)</f>
        <v>25.794551330369501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2.6623435077460789E-2</v>
      </c>
      <c r="M309" s="845"/>
      <c r="N309" s="845"/>
      <c r="O309" s="48">
        <f>IF(t&lt;Tnet,'2020'!Resal+('2020'!Salim-'2020'!Resal)*(1-EXP(('2020'!Tnet-t)/('2020'!Tau_j))),Resal+(Salim-Resal)*(1-EXP((Tnet-t)/(Tau_j))))*Salcycl</f>
        <v>2.0287928193197614E-2</v>
      </c>
      <c r="P309" s="169">
        <f>(INDEX(Models!$BJ309:$BT309,,T309)*(1-R309)+INDEX(Models!$BJ309:$BT309,,T309+1)*R309-ERP_i)*Q309*Ramure*Pc/MaxiM</f>
        <v>1.9912663471482279E-4</v>
      </c>
      <c r="Q309" s="305">
        <f t="shared" si="101"/>
        <v>0.5</v>
      </c>
      <c r="R309" s="177">
        <f t="shared" si="102"/>
        <v>0.99552996266150506</v>
      </c>
      <c r="S309" s="811">
        <f t="shared" si="103"/>
        <v>-1</v>
      </c>
      <c r="T309" s="176">
        <f t="shared" si="104"/>
        <v>5</v>
      </c>
      <c r="U309" s="251">
        <f t="shared" si="105"/>
        <v>-4.4700373384948811E-3</v>
      </c>
      <c r="V309" s="383">
        <f t="shared" si="106"/>
        <v>35.789187498398036</v>
      </c>
      <c r="W309" s="402"/>
      <c r="X309" s="157">
        <f t="shared" si="107"/>
        <v>44491</v>
      </c>
      <c r="Y309" s="385">
        <f t="shared" si="108"/>
        <v>11.922545698728714</v>
      </c>
      <c r="Z309" s="385">
        <f t="shared" si="109"/>
        <v>12.248646750271313</v>
      </c>
      <c r="AA309" s="386">
        <f t="shared" si="110"/>
        <v>13.101534243772527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6.5098291362831226E-2</v>
      </c>
      <c r="AD309" s="231">
        <f>(INDEX(Models!$BJ309:$BT309,,AH309)*(1-AF309)+INDEX(Models!$BJ309:$BT309,,AH309+1)*AF309-ERP_i)*AE309*Ramure*Pc/MaxiM</f>
        <v>1.9912663471482279E-4</v>
      </c>
      <c r="AE309" s="305">
        <f t="shared" si="112"/>
        <v>0.5</v>
      </c>
      <c r="AF309" s="177">
        <f t="shared" si="113"/>
        <v>0.99552996266150506</v>
      </c>
      <c r="AG309" s="811">
        <f t="shared" si="119"/>
        <v>-1</v>
      </c>
      <c r="AH309" s="176">
        <f t="shared" si="114"/>
        <v>5</v>
      </c>
      <c r="AI309" s="225">
        <f t="shared" si="115"/>
        <v>-4.4700373384948811E-3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7">
        <v>35.344000000000001</v>
      </c>
      <c r="C310" s="390"/>
      <c r="D310" s="393">
        <f t="shared" si="98"/>
        <v>36.311511305058374</v>
      </c>
      <c r="E310" s="385">
        <f t="shared" si="120"/>
        <v>37.065803835041223</v>
      </c>
      <c r="F310" s="385">
        <f t="shared" si="99"/>
        <v>37.072867075535292</v>
      </c>
      <c r="G310" s="110">
        <f t="shared" si="121"/>
        <v>0.99646608611182186</v>
      </c>
      <c r="H310" s="414" t="b">
        <f>Wh_hp&gt;='2020'!Maxi_hp</f>
        <v>0</v>
      </c>
      <c r="I310" s="380">
        <f>IF(H310,Wh_hp,'2020'!Maxi_hp)</f>
        <v>37.419724893736571</v>
      </c>
      <c r="J310" s="85">
        <f>IF(H310,An,'2020'!An_max)</f>
        <v>2018</v>
      </c>
      <c r="K310" s="197">
        <f t="shared" si="100"/>
        <v>44492</v>
      </c>
      <c r="L310" s="147">
        <f>IF(t&lt;Tvie,1-EXP((T0-t)*PertePVj)+'2020'!Pspv,1-EXP((T0-t)*PertePVj)+Pspv)</f>
        <v>2.6644754522337721E-2</v>
      </c>
      <c r="M310" s="845"/>
      <c r="N310" s="845"/>
      <c r="O310" s="48">
        <f>IF(t&lt;Tnet,'2020'!Resal+('2020'!Salim-'2020'!Resal)*(1-EXP(('2020'!Tnet-t)/('2020'!Tau_j))),Resal+(Salim-Resal)*(1-EXP((Tnet-t)/(Tau_j))))*Salcycl</f>
        <v>2.0350092320667808E-2</v>
      </c>
      <c r="P310" s="169">
        <f>(INDEX(Models!$BJ310:$BT310,,T310)*(1-R310)+INDEX(Models!$BJ310:$BT310,,T310+1)*R310-ERP_i)*Q310*Ramure*Pc/MaxiM</f>
        <v>1.9148964118974592E-4</v>
      </c>
      <c r="Q310" s="305">
        <f t="shared" si="101"/>
        <v>0.5</v>
      </c>
      <c r="R310" s="177">
        <f t="shared" si="102"/>
        <v>0.99561116734332689</v>
      </c>
      <c r="S310" s="811">
        <f t="shared" si="103"/>
        <v>-1</v>
      </c>
      <c r="T310" s="176">
        <f t="shared" si="104"/>
        <v>5</v>
      </c>
      <c r="U310" s="251">
        <f t="shared" si="105"/>
        <v>-4.388832656673114E-3</v>
      </c>
      <c r="V310" s="383">
        <f t="shared" si="106"/>
        <v>35.469311326756852</v>
      </c>
      <c r="W310" s="402"/>
      <c r="X310" s="157">
        <f t="shared" si="107"/>
        <v>44492</v>
      </c>
      <c r="Y310" s="385">
        <f t="shared" si="108"/>
        <v>33.729857678272772</v>
      </c>
      <c r="Z310" s="385">
        <f t="shared" si="109"/>
        <v>34.653183239096073</v>
      </c>
      <c r="AA310" s="386">
        <f t="shared" si="110"/>
        <v>37.065803835041223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6.5090200301127915E-2</v>
      </c>
      <c r="AD310" s="231">
        <f>(INDEX(Models!$BJ310:$BT310,,AH310)*(1-AF310)+INDEX(Models!$BJ310:$BT310,,AH310+1)*AF310-ERP_i)*AE310*Ramure*Pc/MaxiM</f>
        <v>1.9148964118974592E-4</v>
      </c>
      <c r="AE310" s="305">
        <f t="shared" si="112"/>
        <v>0.5</v>
      </c>
      <c r="AF310" s="177">
        <f t="shared" si="113"/>
        <v>0.99561116734332689</v>
      </c>
      <c r="AG310" s="811">
        <f t="shared" si="119"/>
        <v>-1</v>
      </c>
      <c r="AH310" s="176">
        <f t="shared" si="114"/>
        <v>5</v>
      </c>
      <c r="AI310" s="225">
        <f t="shared" si="115"/>
        <v>-4.388832656673114E-3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7">
        <v>36.771000000000001</v>
      </c>
      <c r="C311" s="390"/>
      <c r="D311" s="393">
        <f t="shared" si="98"/>
        <v>37.778401634713774</v>
      </c>
      <c r="E311" s="385">
        <f t="shared" si="120"/>
        <v>38.565599306412743</v>
      </c>
      <c r="F311" s="385">
        <f t="shared" si="99"/>
        <v>38.572719008292552</v>
      </c>
      <c r="G311" s="110">
        <f t="shared" si="121"/>
        <v>1.0460917652643686</v>
      </c>
      <c r="H311" s="414" t="b">
        <f>Wh_hp&gt;='2020'!Maxi_hp</f>
        <v>1</v>
      </c>
      <c r="I311" s="380">
        <f>IF(H311,Wh_hp,'2020'!Maxi_hp)</f>
        <v>38.572719008292552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2.6666073500264065E-2</v>
      </c>
      <c r="M311" s="845"/>
      <c r="N311" s="845"/>
      <c r="O311" s="48">
        <f>IF(t&lt;Tnet,'2020'!Resal+('2020'!Salim-'2020'!Resal)*(1-EXP(('2020'!Tnet-t)/('2020'!Tau_j))),Resal+(Salim-Resal)*(1-EXP((Tnet-t)/(Tau_j))))*Salcycl</f>
        <v>2.0411913359481389E-2</v>
      </c>
      <c r="P311" s="169">
        <f>(INDEX(Models!$BJ311:$BT311,,T311)*(1-R311)+INDEX(Models!$BJ311:$BT311,,T311+1)*R311-ERP_i)*Q311*Ramure*Pc/MaxiM</f>
        <v>1.8457868832833936E-4</v>
      </c>
      <c r="Q311" s="305">
        <f t="shared" si="101"/>
        <v>0.5</v>
      </c>
      <c r="R311" s="177">
        <f t="shared" si="102"/>
        <v>0.99568912735571957</v>
      </c>
      <c r="S311" s="811">
        <f t="shared" si="103"/>
        <v>-1</v>
      </c>
      <c r="T311" s="176">
        <f t="shared" si="104"/>
        <v>5</v>
      </c>
      <c r="U311" s="251">
        <f t="shared" si="105"/>
        <v>-4.3108726442804279E-3</v>
      </c>
      <c r="V311" s="383">
        <f t="shared" si="106"/>
        <v>35.150835921844028</v>
      </c>
      <c r="W311" s="402"/>
      <c r="X311" s="157">
        <f t="shared" si="107"/>
        <v>44493</v>
      </c>
      <c r="Y311" s="385">
        <f t="shared" si="108"/>
        <v>35.094229506519973</v>
      </c>
      <c r="Z311" s="385">
        <f t="shared" si="109"/>
        <v>36.055693273452846</v>
      </c>
      <c r="AA311" s="386">
        <f t="shared" si="110"/>
        <v>38.565599306412743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6.5081473595628686E-2</v>
      </c>
      <c r="AD311" s="231">
        <f>(INDEX(Models!$BJ311:$BT311,,AH311)*(1-AF311)+INDEX(Models!$BJ311:$BT311,,AH311+1)*AF311-ERP_i)*AE311*Ramure*Pc/MaxiM</f>
        <v>1.8457868832833936E-4</v>
      </c>
      <c r="AE311" s="305">
        <f t="shared" si="112"/>
        <v>0.5</v>
      </c>
      <c r="AF311" s="177">
        <f t="shared" si="113"/>
        <v>0.99568912735571957</v>
      </c>
      <c r="AG311" s="811">
        <f t="shared" si="119"/>
        <v>-1</v>
      </c>
      <c r="AH311" s="176">
        <f t="shared" si="114"/>
        <v>5</v>
      </c>
      <c r="AI311" s="225">
        <f t="shared" si="115"/>
        <v>-4.3108726442804279E-3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7">
        <v>32.533000000000001</v>
      </c>
      <c r="C312" s="390"/>
      <c r="D312" s="393">
        <f t="shared" si="98"/>
        <v>33.425026793011639</v>
      </c>
      <c r="E312" s="385">
        <f t="shared" si="120"/>
        <v>34.123654197565777</v>
      </c>
      <c r="F312" s="385">
        <f t="shared" si="99"/>
        <v>34.129168320859478</v>
      </c>
      <c r="G312" s="110">
        <f t="shared" si="121"/>
        <v>0.93392356686352118</v>
      </c>
      <c r="H312" s="414" t="b">
        <f>Wh_hp&gt;='2020'!Maxi_hp</f>
        <v>0</v>
      </c>
      <c r="I312" s="380">
        <f>IF(H312,Wh_hp,'2020'!Maxi_hp)</f>
        <v>35.926796289859503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2.6687392011250144E-2</v>
      </c>
      <c r="M312" s="845"/>
      <c r="N312" s="845"/>
      <c r="O312" s="48">
        <f>IF(t&lt;Tnet,'2020'!Resal+('2020'!Salim-'2020'!Resal)*(1-EXP(('2020'!Tnet-t)/('2020'!Tau_j))),Resal+(Salim-Resal)*(1-EXP((Tnet-t)/(Tau_j))))*Salcycl</f>
        <v>2.047340535422415E-2</v>
      </c>
      <c r="P312" s="169">
        <f>(INDEX(Models!$BJ312:$BT312,,T312)*(1-R312)+INDEX(Models!$BJ312:$BT312,,T312+1)*R312-ERP_i)*Q312*Ramure*Pc/MaxiM</f>
        <v>1.7840258208658093E-4</v>
      </c>
      <c r="Q312" s="305">
        <f t="shared" si="101"/>
        <v>0.5</v>
      </c>
      <c r="R312" s="177">
        <f t="shared" si="102"/>
        <v>0.9957639713871278</v>
      </c>
      <c r="S312" s="811">
        <f t="shared" si="103"/>
        <v>-1</v>
      </c>
      <c r="T312" s="176">
        <f t="shared" si="104"/>
        <v>5</v>
      </c>
      <c r="U312" s="251">
        <f t="shared" si="105"/>
        <v>-4.2360286128722002E-3</v>
      </c>
      <c r="V312" s="383">
        <f t="shared" si="106"/>
        <v>34.834169873060318</v>
      </c>
      <c r="W312" s="402"/>
      <c r="X312" s="157">
        <f t="shared" si="107"/>
        <v>44494</v>
      </c>
      <c r="Y312" s="385">
        <f t="shared" si="108"/>
        <v>31.051742305759461</v>
      </c>
      <c r="Z312" s="385">
        <f t="shared" si="109"/>
        <v>31.903154290711065</v>
      </c>
      <c r="AA312" s="386">
        <f t="shared" si="110"/>
        <v>34.123654197565777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6.5072160619102523E-2</v>
      </c>
      <c r="AD312" s="231">
        <f>(INDEX(Models!$BJ312:$BT312,,AH312)*(1-AF312)+INDEX(Models!$BJ312:$BT312,,AH312+1)*AF312-ERP_i)*AE312*Ramure*Pc/MaxiM</f>
        <v>1.7840258208658093E-4</v>
      </c>
      <c r="AE312" s="305">
        <f t="shared" si="112"/>
        <v>0.5</v>
      </c>
      <c r="AF312" s="177">
        <f t="shared" si="113"/>
        <v>0.9957639713871278</v>
      </c>
      <c r="AG312" s="811">
        <f t="shared" si="119"/>
        <v>-1</v>
      </c>
      <c r="AH312" s="176">
        <f t="shared" si="114"/>
        <v>5</v>
      </c>
      <c r="AI312" s="225">
        <f t="shared" si="115"/>
        <v>-4.2360286128722002E-3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7">
        <v>26.891999999999999</v>
      </c>
      <c r="C313" s="390"/>
      <c r="D313" s="393">
        <f t="shared" si="98"/>
        <v>27.629960606683436</v>
      </c>
      <c r="E313" s="385">
        <f t="shared" si="120"/>
        <v>28.209225297256218</v>
      </c>
      <c r="F313" s="385">
        <f t="shared" si="99"/>
        <v>28.212564759003151</v>
      </c>
      <c r="G313" s="110">
        <f t="shared" si="121"/>
        <v>0.77899039144606874</v>
      </c>
      <c r="H313" s="414" t="b">
        <f>Wh_hp&gt;='2020'!Maxi_hp</f>
        <v>0</v>
      </c>
      <c r="I313" s="380">
        <f>IF(H313,Wh_hp,'2020'!Maxi_hp)</f>
        <v>37.208706699200022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2.6708710055306062E-2</v>
      </c>
      <c r="M313" s="845"/>
      <c r="N313" s="845"/>
      <c r="O313" s="48">
        <f>IF(t&lt;Tnet,'2020'!Resal+('2020'!Salim-'2020'!Resal)*(1-EXP(('2020'!Tnet-t)/('2020'!Tau_j))),Resal+(Salim-Resal)*(1-EXP((Tnet-t)/(Tau_j))))*Salcycl</f>
        <v>2.0534583437465871E-2</v>
      </c>
      <c r="P313" s="169">
        <f>(INDEX(Models!$BJ313:$BT313,,T313)*(1-R313)+INDEX(Models!$BJ313:$BT313,,T313+1)*R313-ERP_i)*Q313*Ramure*Pc/MaxiM</f>
        <v>1.7296832240117898E-4</v>
      </c>
      <c r="Q313" s="305">
        <f t="shared" si="101"/>
        <v>0.5</v>
      </c>
      <c r="R313" s="177">
        <f t="shared" si="102"/>
        <v>0.9958358230973573</v>
      </c>
      <c r="S313" s="811">
        <f t="shared" si="103"/>
        <v>-1</v>
      </c>
      <c r="T313" s="176">
        <f t="shared" si="104"/>
        <v>5</v>
      </c>
      <c r="U313" s="251">
        <f t="shared" si="105"/>
        <v>-4.1641769026427022E-3</v>
      </c>
      <c r="V313" s="383">
        <f t="shared" si="106"/>
        <v>34.519721689272316</v>
      </c>
      <c r="W313" s="402"/>
      <c r="X313" s="157">
        <f t="shared" si="107"/>
        <v>44495</v>
      </c>
      <c r="Y313" s="385">
        <f t="shared" si="108"/>
        <v>25.669455846776039</v>
      </c>
      <c r="Z313" s="385">
        <f t="shared" si="109"/>
        <v>26.373867835840464</v>
      </c>
      <c r="AA313" s="386">
        <f t="shared" si="110"/>
        <v>28.209225297256218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6.5062313554363038E-2</v>
      </c>
      <c r="AD313" s="231">
        <f>(INDEX(Models!$BJ313:$BT313,,AH313)*(1-AF313)+INDEX(Models!$BJ313:$BT313,,AH313+1)*AF313-ERP_i)*AE313*Ramure*Pc/MaxiM</f>
        <v>1.7296832240117898E-4</v>
      </c>
      <c r="AE313" s="305">
        <f t="shared" si="112"/>
        <v>0.5</v>
      </c>
      <c r="AF313" s="177">
        <f t="shared" si="113"/>
        <v>0.9958358230973573</v>
      </c>
      <c r="AG313" s="811">
        <f t="shared" si="119"/>
        <v>-1</v>
      </c>
      <c r="AH313" s="176">
        <f t="shared" si="114"/>
        <v>5</v>
      </c>
      <c r="AI313" s="225">
        <f t="shared" si="115"/>
        <v>-4.1641769026427022E-3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7">
        <v>28.184000000000001</v>
      </c>
      <c r="C314" s="390"/>
      <c r="D314" s="393">
        <f t="shared" si="98"/>
        <v>28.958049462309148</v>
      </c>
      <c r="E314" s="385">
        <f t="shared" si="120"/>
        <v>29.566995446339043</v>
      </c>
      <c r="F314" s="385">
        <f t="shared" si="99"/>
        <v>29.570719829876996</v>
      </c>
      <c r="G314" s="110">
        <f t="shared" si="121"/>
        <v>0.82386837278875491</v>
      </c>
      <c r="H314" s="414" t="b">
        <f>Wh_hp&gt;='2020'!Maxi_hp</f>
        <v>1</v>
      </c>
      <c r="I314" s="380">
        <f>IF(H314,Wh_hp,'2020'!Maxi_hp)</f>
        <v>29.570719829876996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2.6730027632442033E-2</v>
      </c>
      <c r="M314" s="845"/>
      <c r="N314" s="845"/>
      <c r="O314" s="48">
        <f>IF(t&lt;Tnet,'2020'!Resal+('2020'!Salim-'2020'!Resal)*(1-EXP(('2020'!Tnet-t)/('2020'!Tau_j))),Resal+(Salim-Resal)*(1-EXP((Tnet-t)/(Tau_j))))*Salcycl</f>
        <v>2.059546378782608E-2</v>
      </c>
      <c r="P314" s="169">
        <f>(INDEX(Models!$BJ314:$BT314,,T314)*(1-R314)+INDEX(Models!$BJ314:$BT314,,T314+1)*R314-ERP_i)*Q314*Ramure*Pc/MaxiM</f>
        <v>1.6828268930944881E-4</v>
      </c>
      <c r="Q314" s="305">
        <f t="shared" si="101"/>
        <v>0.5</v>
      </c>
      <c r="R314" s="177">
        <f t="shared" si="102"/>
        <v>0.99590480130813464</v>
      </c>
      <c r="S314" s="811">
        <f t="shared" si="103"/>
        <v>-1</v>
      </c>
      <c r="T314" s="176">
        <f t="shared" si="104"/>
        <v>5</v>
      </c>
      <c r="U314" s="251">
        <f t="shared" si="105"/>
        <v>-4.0951986918654204E-3</v>
      </c>
      <c r="V314" s="383">
        <f t="shared" si="106"/>
        <v>34.207899744286053</v>
      </c>
      <c r="W314" s="402"/>
      <c r="X314" s="157">
        <f t="shared" si="107"/>
        <v>44496</v>
      </c>
      <c r="Y314" s="385">
        <f t="shared" si="108"/>
        <v>26.904689347333974</v>
      </c>
      <c r="Z314" s="385">
        <f t="shared" si="109"/>
        <v>27.643603636395088</v>
      </c>
      <c r="AA314" s="386">
        <f t="shared" si="110"/>
        <v>29.566995446339043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6.505198722118069E-2</v>
      </c>
      <c r="AD314" s="231">
        <f>(INDEX(Models!$BJ314:$BT314,,AH314)*(1-AF314)+INDEX(Models!$BJ314:$BT314,,AH314+1)*AF314-ERP_i)*AE314*Ramure*Pc/MaxiM</f>
        <v>1.6828268930944881E-4</v>
      </c>
      <c r="AE314" s="305">
        <f t="shared" si="112"/>
        <v>0.5</v>
      </c>
      <c r="AF314" s="177">
        <f t="shared" si="113"/>
        <v>0.99590480130813464</v>
      </c>
      <c r="AG314" s="811">
        <f t="shared" si="119"/>
        <v>-1</v>
      </c>
      <c r="AH314" s="176">
        <f t="shared" si="114"/>
        <v>5</v>
      </c>
      <c r="AI314" s="225">
        <f t="shared" si="115"/>
        <v>-4.0951986918654204E-3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7">
        <v>10.855</v>
      </c>
      <c r="C315" s="390"/>
      <c r="D315" s="393">
        <f t="shared" si="98"/>
        <v>11.15336758120656</v>
      </c>
      <c r="E315" s="385">
        <f t="shared" si="120"/>
        <v>11.388611463696309</v>
      </c>
      <c r="F315" s="385">
        <f t="shared" si="99"/>
        <v>11.388665516886578</v>
      </c>
      <c r="G315" s="110">
        <f t="shared" si="121"/>
        <v>0.32016376651777112</v>
      </c>
      <c r="H315" s="414" t="b">
        <f>Wh_hp&gt;='2020'!Maxi_hp</f>
        <v>0</v>
      </c>
      <c r="I315" s="380">
        <f>IF(H315,Wh_hp,'2020'!Maxi_hp)</f>
        <v>24.903019933810778</v>
      </c>
      <c r="J315" s="85">
        <f>IF(H315,An,'2020'!An_max)</f>
        <v>2020</v>
      </c>
      <c r="K315" s="197">
        <f t="shared" si="100"/>
        <v>44497</v>
      </c>
      <c r="L315" s="147">
        <f>IF(t&lt;Tvie,1-EXP((T0-t)*PertePVj)+'2020'!Pspv,1-EXP((T0-t)*PertePVj)+Pspv)</f>
        <v>2.6751344742668492E-2</v>
      </c>
      <c r="M315" s="845"/>
      <c r="N315" s="845"/>
      <c r="O315" s="48">
        <f>IF(t&lt;Tnet,'2020'!Resal+('2020'!Salim-'2020'!Resal)*(1-EXP(('2020'!Tnet-t)/('2020'!Tau_j))),Resal+(Salim-Resal)*(1-EXP((Tnet-t)/(Tau_j))))*Salcycl</f>
        <v>2.0656063580678102E-2</v>
      </c>
      <c r="P315" s="169">
        <f>(INDEX(Models!$BJ315:$BT315,,T315)*(1-R315)+INDEX(Models!$BJ315:$BT315,,T315+1)*R315-ERP_i)*Q315*Ramure*Pc/MaxiM</f>
        <v>1.6435218195038205E-4</v>
      </c>
      <c r="Q315" s="305">
        <f t="shared" si="101"/>
        <v>0.5</v>
      </c>
      <c r="R315" s="177">
        <f t="shared" si="102"/>
        <v>0.99597102018691674</v>
      </c>
      <c r="S315" s="811">
        <f t="shared" si="103"/>
        <v>-1</v>
      </c>
      <c r="T315" s="176">
        <f t="shared" si="104"/>
        <v>5</v>
      </c>
      <c r="U315" s="251">
        <f t="shared" si="105"/>
        <v>-4.028979813083311E-3</v>
      </c>
      <c r="V315" s="383">
        <f t="shared" si="106"/>
        <v>33.899112279878089</v>
      </c>
      <c r="W315" s="402"/>
      <c r="X315" s="157">
        <f t="shared" si="107"/>
        <v>44497</v>
      </c>
      <c r="Y315" s="385">
        <f t="shared" si="108"/>
        <v>10.363036901036626</v>
      </c>
      <c r="Z315" s="385">
        <f t="shared" si="109"/>
        <v>10.647882064934977</v>
      </c>
      <c r="AA315" s="386">
        <f t="shared" si="110"/>
        <v>11.388611463696309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6.5041238883473074E-2</v>
      </c>
      <c r="AD315" s="231">
        <f>(INDEX(Models!$BJ315:$BT315,,AH315)*(1-AF315)+INDEX(Models!$BJ315:$BT315,,AH315+1)*AF315-ERP_i)*AE315*Ramure*Pc/MaxiM</f>
        <v>1.6435218195038205E-4</v>
      </c>
      <c r="AE315" s="305">
        <f t="shared" si="112"/>
        <v>0.5</v>
      </c>
      <c r="AF315" s="177">
        <f t="shared" si="113"/>
        <v>0.99597102018691674</v>
      </c>
      <c r="AG315" s="811">
        <f t="shared" si="119"/>
        <v>-1</v>
      </c>
      <c r="AH315" s="176">
        <f t="shared" si="114"/>
        <v>5</v>
      </c>
      <c r="AI315" s="225">
        <f t="shared" si="115"/>
        <v>-4.028979813083311E-3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7">
        <v>17.783000000000001</v>
      </c>
      <c r="C316" s="390"/>
      <c r="D316" s="393">
        <f t="shared" si="98"/>
        <v>18.272195297478163</v>
      </c>
      <c r="E316" s="385">
        <f t="shared" si="120"/>
        <v>18.658737177731023</v>
      </c>
      <c r="F316" s="385">
        <f t="shared" si="99"/>
        <v>18.659722623791907</v>
      </c>
      <c r="G316" s="110">
        <f t="shared" si="121"/>
        <v>0.5292967743578445</v>
      </c>
      <c r="H316" s="414" t="b">
        <f>Wh_hp&gt;='2020'!Maxi_hp</f>
        <v>0</v>
      </c>
      <c r="I316" s="380">
        <f>IF(H316,Wh_hp,'2020'!Maxi_hp)</f>
        <v>29.923980500554308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2.6772661385995433E-2</v>
      </c>
      <c r="M316" s="845"/>
      <c r="N316" s="845"/>
      <c r="O316" s="48">
        <f>IF(t&lt;Tnet,'2020'!Resal+('2020'!Salim-'2020'!Resal)*(1-EXP(('2020'!Tnet-t)/('2020'!Tau_j))),Resal+(Salim-Resal)*(1-EXP((Tnet-t)/(Tau_j))))*Salcycl</f>
        <v>2.0716400931687577E-2</v>
      </c>
      <c r="P316" s="169">
        <f>(INDEX(Models!$BJ316:$BT316,,T316)*(1-R316)+INDEX(Models!$BJ316:$BT316,,T316+1)*R316-ERP_i)*Q316*Ramure*Pc/MaxiM</f>
        <v>1.6118295819684514E-4</v>
      </c>
      <c r="Q316" s="305">
        <f t="shared" si="101"/>
        <v>0.5</v>
      </c>
      <c r="R316" s="177">
        <f t="shared" si="102"/>
        <v>0.99603458942415291</v>
      </c>
      <c r="S316" s="811">
        <f t="shared" si="103"/>
        <v>-1</v>
      </c>
      <c r="T316" s="176">
        <f t="shared" si="104"/>
        <v>5</v>
      </c>
      <c r="U316" s="251">
        <f t="shared" si="105"/>
        <v>-3.9654105758471503E-3</v>
      </c>
      <c r="V316" s="383">
        <f t="shared" si="106"/>
        <v>33.593767406493647</v>
      </c>
      <c r="W316" s="402"/>
      <c r="X316" s="157">
        <f t="shared" si="107"/>
        <v>44498</v>
      </c>
      <c r="Y316" s="385">
        <f t="shared" si="108"/>
        <v>16.978298471374824</v>
      </c>
      <c r="Z316" s="385">
        <f t="shared" si="109"/>
        <v>17.445357110039684</v>
      </c>
      <c r="AA316" s="386">
        <f t="shared" si="110"/>
        <v>18.658737177731023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6.5030128037790985E-2</v>
      </c>
      <c r="AD316" s="231">
        <f>(INDEX(Models!$BJ316:$BT316,,AH316)*(1-AF316)+INDEX(Models!$BJ316:$BT316,,AH316+1)*AF316-ERP_i)*AE316*Ramure*Pc/MaxiM</f>
        <v>1.6118295819684514E-4</v>
      </c>
      <c r="AE316" s="305">
        <f t="shared" si="112"/>
        <v>0.5</v>
      </c>
      <c r="AF316" s="177">
        <f t="shared" si="113"/>
        <v>0.99603458942415291</v>
      </c>
      <c r="AG316" s="811">
        <f t="shared" si="119"/>
        <v>-1</v>
      </c>
      <c r="AH316" s="176">
        <f t="shared" si="114"/>
        <v>5</v>
      </c>
      <c r="AI316" s="225">
        <f t="shared" si="115"/>
        <v>-3.9654105758471503E-3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7">
        <v>10.149000000000001</v>
      </c>
      <c r="C317" s="390"/>
      <c r="D317" s="393">
        <f t="shared" si="98"/>
        <v>10.428418819871288</v>
      </c>
      <c r="E317" s="385">
        <f t="shared" si="120"/>
        <v>10.649681880438029</v>
      </c>
      <c r="F317" s="385">
        <f t="shared" si="99"/>
        <v>10.649693628497699</v>
      </c>
      <c r="G317" s="110">
        <f t="shared" si="121"/>
        <v>0.30481492678522709</v>
      </c>
      <c r="H317" s="414" t="b">
        <f>Wh_hp&gt;='2020'!Maxi_hp</f>
        <v>0</v>
      </c>
      <c r="I317" s="380">
        <f>IF(H317,Wh_hp,'2020'!Maxi_hp)</f>
        <v>33.09982659368044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2.679397756243318E-2</v>
      </c>
      <c r="M317" s="845"/>
      <c r="N317" s="845"/>
      <c r="O317" s="48">
        <f>IF(t&lt;Tnet,'2020'!Resal+('2020'!Salim-'2020'!Resal)*(1-EXP(('2020'!Tnet-t)/('2020'!Tau_j))),Resal+(Salim-Resal)*(1-EXP((Tnet-t)/(Tau_j))))*Salcycl</f>
        <v>2.0776494833443834E-2</v>
      </c>
      <c r="P317" s="169">
        <f>(INDEX(Models!$BJ317:$BT317,,T317)*(1-R317)+INDEX(Models!$BJ317:$BT317,,T317+1)*R317-ERP_i)*Q317*Ramure*Pc/MaxiM</f>
        <v>1.5878988254134765E-4</v>
      </c>
      <c r="Q317" s="305">
        <f t="shared" si="101"/>
        <v>0.5</v>
      </c>
      <c r="R317" s="177">
        <f t="shared" si="102"/>
        <v>0.99609561440419547</v>
      </c>
      <c r="S317" s="811">
        <f t="shared" si="103"/>
        <v>-1</v>
      </c>
      <c r="T317" s="176">
        <f t="shared" si="104"/>
        <v>5</v>
      </c>
      <c r="U317" s="251">
        <f t="shared" si="105"/>
        <v>-3.9043855958044715E-3</v>
      </c>
      <c r="V317" s="383">
        <f t="shared" si="106"/>
        <v>33.290363245869116</v>
      </c>
      <c r="W317" s="402"/>
      <c r="X317" s="157">
        <f t="shared" si="107"/>
        <v>44499</v>
      </c>
      <c r="Y317" s="385">
        <f t="shared" si="108"/>
        <v>9.690458816990601</v>
      </c>
      <c r="Z317" s="385">
        <f t="shared" si="109"/>
        <v>9.9572532368009092</v>
      </c>
      <c r="AA317" s="386">
        <f t="shared" si="110"/>
        <v>10.649681880438029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6.5018716184284647E-2</v>
      </c>
      <c r="AD317" s="231">
        <f>(INDEX(Models!$BJ317:$BT317,,AH317)*(1-AF317)+INDEX(Models!$BJ317:$BT317,,AH317+1)*AF317-ERP_i)*AE317*Ramure*Pc/MaxiM</f>
        <v>1.5878988254134765E-4</v>
      </c>
      <c r="AE317" s="305">
        <f t="shared" si="112"/>
        <v>0.5</v>
      </c>
      <c r="AF317" s="177">
        <f t="shared" si="113"/>
        <v>0.99609561440419547</v>
      </c>
      <c r="AG317" s="811">
        <f t="shared" si="119"/>
        <v>-1</v>
      </c>
      <c r="AH317" s="176">
        <f t="shared" si="114"/>
        <v>5</v>
      </c>
      <c r="AI317" s="225">
        <f t="shared" si="115"/>
        <v>-3.9043855958044715E-3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7">
        <v>18.184999999999999</v>
      </c>
      <c r="C318" s="390"/>
      <c r="D318" s="393">
        <f t="shared" si="98"/>
        <v>18.686072514580175</v>
      </c>
      <c r="E318" s="385">
        <f t="shared" si="120"/>
        <v>19.083707613602197</v>
      </c>
      <c r="F318" s="385">
        <f t="shared" si="99"/>
        <v>19.084786175696788</v>
      </c>
      <c r="G318" s="110">
        <f t="shared" si="121"/>
        <v>0.55121561637547523</v>
      </c>
      <c r="H318" s="414" t="b">
        <f>Wh_hp&gt;='2020'!Maxi_hp</f>
        <v>0</v>
      </c>
      <c r="I318" s="380">
        <f>IF(H318,Wh_hp,'2020'!Maxi_hp)</f>
        <v>33.51042975379562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2.6815293271991947E-2</v>
      </c>
      <c r="M318" s="845"/>
      <c r="N318" s="845"/>
      <c r="O318" s="48">
        <f>IF(t&lt;Tnet,'2020'!Resal+('2020'!Salim-'2020'!Resal)*(1-EXP(('2020'!Tnet-t)/('2020'!Tau_j))),Resal+(Salim-Resal)*(1-EXP((Tnet-t)/(Tau_j))))*Salcycl</f>
        <v>2.0836365085503739E-2</v>
      </c>
      <c r="P318" s="169">
        <f>(INDEX(Models!$BJ318:$BT318,,T318)*(1-R318)+INDEX(Models!$BJ318:$BT318,,T318+1)*R318-ERP_i)*Q318*Ramure*Pc/MaxiM</f>
        <v>1.5743927567843757E-4</v>
      </c>
      <c r="Q318" s="305">
        <f t="shared" si="101"/>
        <v>0.5</v>
      </c>
      <c r="R318" s="177">
        <f t="shared" si="102"/>
        <v>0.99615419637005642</v>
      </c>
      <c r="S318" s="811">
        <f t="shared" si="103"/>
        <v>-1</v>
      </c>
      <c r="T318" s="176">
        <f t="shared" si="104"/>
        <v>5</v>
      </c>
      <c r="U318" s="251">
        <f t="shared" si="105"/>
        <v>-3.8458036299435783E-3</v>
      </c>
      <c r="V318" s="383">
        <f t="shared" si="106"/>
        <v>32.98739011418936</v>
      </c>
      <c r="W318" s="402"/>
      <c r="X318" s="157">
        <f t="shared" si="107"/>
        <v>44500</v>
      </c>
      <c r="Y318" s="385">
        <f t="shared" si="108"/>
        <v>17.364662951050345</v>
      </c>
      <c r="Z318" s="385">
        <f t="shared" si="109"/>
        <v>17.843131762143006</v>
      </c>
      <c r="AA318" s="386">
        <f t="shared" si="110"/>
        <v>19.083707613602197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6.5007066581493356E-2</v>
      </c>
      <c r="AD318" s="231">
        <f>(INDEX(Models!$BJ318:$BT318,,AH318)*(1-AF318)+INDEX(Models!$BJ318:$BT318,,AH318+1)*AF318-ERP_i)*AE318*Ramure*Pc/MaxiM</f>
        <v>1.5743927567843757E-4</v>
      </c>
      <c r="AE318" s="305">
        <f t="shared" si="112"/>
        <v>0.5</v>
      </c>
      <c r="AF318" s="177">
        <f t="shared" si="113"/>
        <v>0.99615419637005642</v>
      </c>
      <c r="AG318" s="811">
        <f t="shared" si="119"/>
        <v>-1</v>
      </c>
      <c r="AH318" s="176">
        <f t="shared" si="114"/>
        <v>5</v>
      </c>
      <c r="AI318" s="225">
        <f t="shared" si="115"/>
        <v>-3.8458036299435783E-3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7">
        <v>17.613</v>
      </c>
      <c r="C319" s="390"/>
      <c r="D319" s="393">
        <f t="shared" si="98"/>
        <v>18.098707939596519</v>
      </c>
      <c r="E319" s="385">
        <f t="shared" si="120"/>
        <v>18.484970478263275</v>
      </c>
      <c r="F319" s="385">
        <f t="shared" si="99"/>
        <v>18.485959709550901</v>
      </c>
      <c r="G319" s="110">
        <f t="shared" si="121"/>
        <v>0.53881096362776681</v>
      </c>
      <c r="H319" s="414" t="b">
        <f>Wh_hp&gt;='2020'!Maxi_hp</f>
        <v>0</v>
      </c>
      <c r="I319" s="380">
        <f>IF(H319,Wh_hp,'2020'!Maxi_hp)</f>
        <v>32.377451552901285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2.6836608514682059E-2</v>
      </c>
      <c r="M319" s="845"/>
      <c r="N319" s="845"/>
      <c r="O319" s="48">
        <f>IF(t&lt;Tnet,'2020'!Resal+('2020'!Salim-'2020'!Resal)*(1-EXP(('2020'!Tnet-t)/('2020'!Tau_j))),Resal+(Salim-Resal)*(1-EXP((Tnet-t)/(Tau_j))))*Salcycl</f>
        <v>2.0896032218226553E-2</v>
      </c>
      <c r="P319" s="169">
        <f>(INDEX(Models!$BJ319:$BT319,,T319)*(1-R319)+INDEX(Models!$BJ319:$BT319,,T319+1)*R319-ERP_i)*Q319*Ramure*Pc/MaxiM</f>
        <v>1.568188953504593E-4</v>
      </c>
      <c r="Q319" s="305">
        <f t="shared" si="101"/>
        <v>0.5</v>
      </c>
      <c r="R319" s="177">
        <f t="shared" si="102"/>
        <v>0.9962104325821981</v>
      </c>
      <c r="S319" s="811">
        <f t="shared" si="103"/>
        <v>-1</v>
      </c>
      <c r="T319" s="176">
        <f t="shared" si="104"/>
        <v>5</v>
      </c>
      <c r="U319" s="251">
        <f t="shared" si="105"/>
        <v>-3.7895674178018979E-3</v>
      </c>
      <c r="V319" s="383">
        <f t="shared" si="106"/>
        <v>32.685267296372423</v>
      </c>
      <c r="W319" s="402"/>
      <c r="X319" s="157">
        <f t="shared" si="107"/>
        <v>44501</v>
      </c>
      <c r="Y319" s="385">
        <f t="shared" si="108"/>
        <v>16.819703841029838</v>
      </c>
      <c r="Z319" s="385">
        <f t="shared" si="109"/>
        <v>17.283535311946221</v>
      </c>
      <c r="AA319" s="386">
        <f t="shared" si="110"/>
        <v>18.484970478263275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6.4995243986450402E-2</v>
      </c>
      <c r="AD319" s="231">
        <f>(INDEX(Models!$BJ319:$BT319,,AH319)*(1-AF319)+INDEX(Models!$BJ319:$BT319,,AH319+1)*AF319-ERP_i)*AE319*Ramure*Pc/MaxiM</f>
        <v>1.568188953504593E-4</v>
      </c>
      <c r="AE319" s="305">
        <f t="shared" si="112"/>
        <v>0.5</v>
      </c>
      <c r="AF319" s="177">
        <f t="shared" si="113"/>
        <v>0.9962104325821981</v>
      </c>
      <c r="AG319" s="811">
        <f t="shared" si="119"/>
        <v>-1</v>
      </c>
      <c r="AH319" s="176">
        <f t="shared" si="114"/>
        <v>5</v>
      </c>
      <c r="AI319" s="225">
        <f t="shared" si="115"/>
        <v>-3.7895674178018979E-3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7">
        <v>26.78</v>
      </c>
      <c r="C320" s="390"/>
      <c r="D320" s="393">
        <f t="shared" si="98"/>
        <v>27.519106039019494</v>
      </c>
      <c r="E320" s="385">
        <f t="shared" si="120"/>
        <v>28.108126370563806</v>
      </c>
      <c r="F320" s="385">
        <f t="shared" si="99"/>
        <v>28.111447321683002</v>
      </c>
      <c r="G320" s="110">
        <f t="shared" si="121"/>
        <v>0.82690919486660319</v>
      </c>
      <c r="H320" s="414" t="b">
        <f>Wh_hp&gt;='2020'!Maxi_hp</f>
        <v>0</v>
      </c>
      <c r="I320" s="380">
        <f>IF(H320,Wh_hp,'2020'!Maxi_hp)</f>
        <v>28.955440063578585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2.6857923290513508E-2</v>
      </c>
      <c r="M320" s="845"/>
      <c r="N320" s="845"/>
      <c r="O320" s="48">
        <f>IF(t&lt;Tnet,'2020'!Resal+('2020'!Salim-'2020'!Resal)*(1-EXP(('2020'!Tnet-t)/('2020'!Tau_j))),Resal+(Salim-Resal)*(1-EXP((Tnet-t)/(Tau_j))))*Salcycl</f>
        <v>2.0955517410835428E-2</v>
      </c>
      <c r="P320" s="169">
        <f>(INDEX(Models!$BJ320:$BT320,,T320)*(1-R320)+INDEX(Models!$BJ320:$BT320,,T320+1)*R320-ERP_i)*Q320*Ramure*Pc/MaxiM</f>
        <v>1.569332950023173E-4</v>
      </c>
      <c r="Q320" s="305">
        <f t="shared" si="101"/>
        <v>0.5</v>
      </c>
      <c r="R320" s="177">
        <f t="shared" si="102"/>
        <v>0.99626441647155217</v>
      </c>
      <c r="S320" s="811">
        <f t="shared" si="103"/>
        <v>-1</v>
      </c>
      <c r="T320" s="176">
        <f t="shared" si="104"/>
        <v>5</v>
      </c>
      <c r="U320" s="251">
        <f t="shared" si="105"/>
        <v>-3.7355835284477723E-3</v>
      </c>
      <c r="V320" s="383">
        <f t="shared" si="106"/>
        <v>32.384403305928394</v>
      </c>
      <c r="W320" s="402"/>
      <c r="X320" s="157">
        <f t="shared" si="107"/>
        <v>44502</v>
      </c>
      <c r="Y320" s="385">
        <f t="shared" si="108"/>
        <v>25.575698843261442</v>
      </c>
      <c r="Z320" s="385">
        <f t="shared" si="109"/>
        <v>26.281567157943982</v>
      </c>
      <c r="AA320" s="386">
        <f t="shared" si="110"/>
        <v>28.108126370563806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6.4983314381732868E-2</v>
      </c>
      <c r="AD320" s="231">
        <f>(INDEX(Models!$BJ320:$BT320,,AH320)*(1-AF320)+INDEX(Models!$BJ320:$BT320,,AH320+1)*AF320-ERP_i)*AE320*Ramure*Pc/MaxiM</f>
        <v>1.569332950023173E-4</v>
      </c>
      <c r="AE320" s="305">
        <f t="shared" si="112"/>
        <v>0.5</v>
      </c>
      <c r="AF320" s="177">
        <f t="shared" si="113"/>
        <v>0.99626441647155217</v>
      </c>
      <c r="AG320" s="811">
        <f t="shared" si="119"/>
        <v>-1</v>
      </c>
      <c r="AH320" s="176">
        <f t="shared" si="114"/>
        <v>5</v>
      </c>
      <c r="AI320" s="225">
        <f t="shared" si="115"/>
        <v>-3.7355835284477723E-3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7">
        <v>17.265000000000001</v>
      </c>
      <c r="C321" s="390"/>
      <c r="D321" s="393">
        <f t="shared" si="98"/>
        <v>17.741888434700069</v>
      </c>
      <c r="E321" s="385">
        <f t="shared" si="120"/>
        <v>18.122734851538148</v>
      </c>
      <c r="F321" s="385">
        <f t="shared" si="99"/>
        <v>18.1237075467042</v>
      </c>
      <c r="G321" s="110">
        <f t="shared" si="121"/>
        <v>0.53804242475450614</v>
      </c>
      <c r="H321" s="414" t="b">
        <f>Wh_hp&gt;='2020'!Maxi_hp</f>
        <v>0</v>
      </c>
      <c r="I321" s="380">
        <f>IF(H321,Wh_hp,'2020'!Maxi_hp)</f>
        <v>30.00122544451607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2.6879237599496841E-2</v>
      </c>
      <c r="M321" s="845"/>
      <c r="N321" s="845"/>
      <c r="O321" s="48">
        <f>IF(t&lt;Tnet,'2020'!Resal+('2020'!Salim-'2020'!Resal)*(1-EXP(('2020'!Tnet-t)/('2020'!Tau_j))),Resal+(Salim-Resal)*(1-EXP((Tnet-t)/(Tau_j))))*Salcycl</f>
        <v>2.1014842404194555E-2</v>
      </c>
      <c r="P321" s="169">
        <f>(INDEX(Models!$BJ321:$BT321,,T321)*(1-R321)+INDEX(Models!$BJ321:$BT321,,T321+1)*R321-ERP_i)*Q321*Ramure*Pc/MaxiM</f>
        <v>1.5778698518122489E-4</v>
      </c>
      <c r="Q321" s="305">
        <f t="shared" si="101"/>
        <v>0.5</v>
      </c>
      <c r="R321" s="177">
        <f t="shared" si="102"/>
        <v>0.99631623778694545</v>
      </c>
      <c r="S321" s="811">
        <f t="shared" si="103"/>
        <v>-1</v>
      </c>
      <c r="T321" s="176">
        <f t="shared" si="104"/>
        <v>5</v>
      </c>
      <c r="U321" s="251">
        <f t="shared" si="105"/>
        <v>-3.6837622130545533E-3</v>
      </c>
      <c r="V321" s="383">
        <f t="shared" si="106"/>
        <v>32.085206529259018</v>
      </c>
      <c r="W321" s="402"/>
      <c r="X321" s="157">
        <f t="shared" si="107"/>
        <v>44503</v>
      </c>
      <c r="Y321" s="385">
        <f t="shared" si="108"/>
        <v>16.489800288240275</v>
      </c>
      <c r="Z321" s="385">
        <f t="shared" si="109"/>
        <v>16.94527639875146</v>
      </c>
      <c r="AA321" s="386">
        <f t="shared" si="110"/>
        <v>18.122734851538148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6.4971344691209923E-2</v>
      </c>
      <c r="AD321" s="231">
        <f>(INDEX(Models!$BJ321:$BT321,,AH321)*(1-AF321)+INDEX(Models!$BJ321:$BT321,,AH321+1)*AF321-ERP_i)*AE321*Ramure*Pc/MaxiM</f>
        <v>1.5778698518122489E-4</v>
      </c>
      <c r="AE321" s="305">
        <f t="shared" si="112"/>
        <v>0.5</v>
      </c>
      <c r="AF321" s="177">
        <f t="shared" si="113"/>
        <v>0.99631623778694545</v>
      </c>
      <c r="AG321" s="811">
        <f t="shared" si="119"/>
        <v>-1</v>
      </c>
      <c r="AH321" s="176">
        <f t="shared" si="114"/>
        <v>5</v>
      </c>
      <c r="AI321" s="225">
        <f t="shared" si="115"/>
        <v>-3.6837622130545533E-3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7">
        <v>16.260000000000002</v>
      </c>
      <c r="C322" s="390"/>
      <c r="D322" s="393">
        <f t="shared" si="98"/>
        <v>16.709494619577793</v>
      </c>
      <c r="E322" s="385">
        <f t="shared" si="120"/>
        <v>17.069211688691006</v>
      </c>
      <c r="F322" s="385">
        <f t="shared" si="99"/>
        <v>17.070033776116663</v>
      </c>
      <c r="G322" s="110">
        <f t="shared" si="121"/>
        <v>0.51145551169362757</v>
      </c>
      <c r="H322" s="414" t="b">
        <f>Wh_hp&gt;='2020'!Maxi_hp</f>
        <v>0</v>
      </c>
      <c r="I322" s="380">
        <f>IF(H322,Wh_hp,'2020'!Maxi_hp)</f>
        <v>23.180990079496752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2.690055144164194E-2</v>
      </c>
      <c r="M322" s="845"/>
      <c r="N322" s="845"/>
      <c r="O322" s="48">
        <f>IF(t&lt;Tnet,'2020'!Resal+('2020'!Salim-'2020'!Resal)*(1-EXP(('2020'!Tnet-t)/('2020'!Tau_j))),Resal+(Salim-Resal)*(1-EXP((Tnet-t)/(Tau_j))))*Salcycl</f>
        <v>2.1074029408841323E-2</v>
      </c>
      <c r="P322" s="169">
        <f>(INDEX(Models!$BJ322:$BT322,,T322)*(1-R322)+INDEX(Models!$BJ322:$BT322,,T322+1)*R322-ERP_i)*Q322*Ramure*Pc/MaxiM</f>
        <v>1.5938440186751246E-4</v>
      </c>
      <c r="Q322" s="305">
        <f t="shared" si="101"/>
        <v>0.5</v>
      </c>
      <c r="R322" s="177">
        <f t="shared" si="102"/>
        <v>0.99636598273711785</v>
      </c>
      <c r="S322" s="811">
        <f t="shared" si="103"/>
        <v>-1</v>
      </c>
      <c r="T322" s="176">
        <f t="shared" si="104"/>
        <v>5</v>
      </c>
      <c r="U322" s="251">
        <f t="shared" si="105"/>
        <v>-3.6340172628822054E-3</v>
      </c>
      <c r="V322" s="383">
        <f t="shared" si="106"/>
        <v>31.788085233732456</v>
      </c>
      <c r="W322" s="402"/>
      <c r="X322" s="157">
        <f t="shared" si="107"/>
        <v>44504</v>
      </c>
      <c r="Y322" s="385">
        <f t="shared" si="108"/>
        <v>15.531062176632778</v>
      </c>
      <c r="Z322" s="385">
        <f t="shared" si="109"/>
        <v>15.960405896480538</v>
      </c>
      <c r="AA322" s="386">
        <f t="shared" si="110"/>
        <v>17.069211688691006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6.4959402486354706E-2</v>
      </c>
      <c r="AD322" s="231">
        <f>(INDEX(Models!$BJ322:$BT322,,AH322)*(1-AF322)+INDEX(Models!$BJ322:$BT322,,AH322+1)*AF322-ERP_i)*AE322*Ramure*Pc/MaxiM</f>
        <v>1.5938440186751246E-4</v>
      </c>
      <c r="AE322" s="305">
        <f t="shared" si="112"/>
        <v>0.5</v>
      </c>
      <c r="AF322" s="177">
        <f t="shared" si="113"/>
        <v>0.99636598273711785</v>
      </c>
      <c r="AG322" s="811">
        <f t="shared" si="119"/>
        <v>-1</v>
      </c>
      <c r="AH322" s="176">
        <f t="shared" si="114"/>
        <v>5</v>
      </c>
      <c r="AI322" s="225">
        <f t="shared" si="115"/>
        <v>-3.6340172628822054E-3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7">
        <v>10.992000000000001</v>
      </c>
      <c r="C323" s="390"/>
      <c r="D323" s="393">
        <f t="shared" si="98"/>
        <v>11.296112411294036</v>
      </c>
      <c r="E323" s="385">
        <f t="shared" si="120"/>
        <v>11.539988146433652</v>
      </c>
      <c r="F323" s="385">
        <f t="shared" si="99"/>
        <v>11.540118859782016</v>
      </c>
      <c r="G323" s="110">
        <f t="shared" si="121"/>
        <v>0.34897248800521635</v>
      </c>
      <c r="H323" s="414" t="b">
        <f>Wh_hp&gt;='2020'!Maxi_hp</f>
        <v>0</v>
      </c>
      <c r="I323" s="380">
        <f>IF(H323,Wh_hp,'2020'!Maxi_hp)</f>
        <v>16.722086535438599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2.6921864816959351E-2</v>
      </c>
      <c r="M323" s="845"/>
      <c r="N323" s="845"/>
      <c r="O323" s="48">
        <f>IF(t&lt;Tnet,'2020'!Resal+('2020'!Salim-'2020'!Resal)*(1-EXP(('2020'!Tnet-t)/('2020'!Tau_j))),Resal+(Salim-Resal)*(1-EXP((Tnet-t)/(Tau_j))))*Salcycl</f>
        <v>2.1133101008858741E-2</v>
      </c>
      <c r="P323" s="169">
        <f>(INDEX(Models!$BJ323:$BT323,,T323)*(1-R323)+INDEX(Models!$BJ323:$BT323,,T323+1)*R323-ERP_i)*Q323*Ramure*Pc/MaxiM</f>
        <v>1.6172987317379322E-4</v>
      </c>
      <c r="Q323" s="305">
        <f t="shared" si="101"/>
        <v>0.5</v>
      </c>
      <c r="R323" s="177">
        <f t="shared" si="102"/>
        <v>0.99641373412750722</v>
      </c>
      <c r="S323" s="811">
        <f t="shared" si="103"/>
        <v>-1</v>
      </c>
      <c r="T323" s="176">
        <f t="shared" si="104"/>
        <v>5</v>
      </c>
      <c r="U323" s="251">
        <f t="shared" si="105"/>
        <v>-3.5862658724927776E-3</v>
      </c>
      <c r="V323" s="383">
        <f t="shared" si="106"/>
        <v>31.493447561472699</v>
      </c>
      <c r="W323" s="402"/>
      <c r="X323" s="157">
        <f t="shared" si="107"/>
        <v>44505</v>
      </c>
      <c r="Y323" s="385">
        <f t="shared" si="108"/>
        <v>10.499993899581874</v>
      </c>
      <c r="Z323" s="385">
        <f t="shared" si="109"/>
        <v>10.790494123687996</v>
      </c>
      <c r="AA323" s="386">
        <f t="shared" si="110"/>
        <v>11.539988146433652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6.49475556850794E-2</v>
      </c>
      <c r="AD323" s="231">
        <f>(INDEX(Models!$BJ323:$BT323,,AH323)*(1-AF323)+INDEX(Models!$BJ323:$BT323,,AH323+1)*AF323-ERP_i)*AE323*Ramure*Pc/MaxiM</f>
        <v>1.6172987317379322E-4</v>
      </c>
      <c r="AE323" s="305">
        <f t="shared" si="112"/>
        <v>0.5</v>
      </c>
      <c r="AF323" s="177">
        <f t="shared" si="113"/>
        <v>0.99641373412750722</v>
      </c>
      <c r="AG323" s="811">
        <f t="shared" si="119"/>
        <v>-1</v>
      </c>
      <c r="AH323" s="176">
        <f t="shared" si="114"/>
        <v>5</v>
      </c>
      <c r="AI323" s="225">
        <f t="shared" si="115"/>
        <v>-3.5862658724927776E-3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7">
        <v>12.83</v>
      </c>
      <c r="C324" s="390"/>
      <c r="D324" s="393">
        <f t="shared" si="98"/>
        <v>13.185252604271971</v>
      </c>
      <c r="E324" s="385">
        <f t="shared" si="120"/>
        <v>13.470725293181172</v>
      </c>
      <c r="F324" s="385">
        <f t="shared" si="99"/>
        <v>13.471078537477876</v>
      </c>
      <c r="G324" s="110">
        <f t="shared" si="121"/>
        <v>0.41113852822586622</v>
      </c>
      <c r="H324" s="414" t="b">
        <f>Wh_hp&gt;='2020'!Maxi_hp</f>
        <v>0</v>
      </c>
      <c r="I324" s="380">
        <f>IF(H324,Wh_hp,'2020'!Maxi_hp)</f>
        <v>25.022364408355351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2.6943177725459067E-2</v>
      </c>
      <c r="M324" s="845"/>
      <c r="N324" s="845"/>
      <c r="O324" s="48">
        <f>IF(t&lt;Tnet,'2020'!Resal+('2020'!Salim-'2020'!Resal)*(1-EXP(('2020'!Tnet-t)/('2020'!Tau_j))),Resal+(Salim-Resal)*(1-EXP((Tnet-t)/(Tau_j))))*Salcycl</f>
        <v>2.1192080062215034E-2</v>
      </c>
      <c r="P324" s="169">
        <f>(INDEX(Models!$BJ324:$BT324,,T324)*(1-R324)+INDEX(Models!$BJ324:$BT324,,T324+1)*R324-ERP_i)*Q324*Ramure*Pc/MaxiM</f>
        <v>1.6507569259498886E-4</v>
      </c>
      <c r="Q324" s="305">
        <f t="shared" si="101"/>
        <v>0.5</v>
      </c>
      <c r="R324" s="177">
        <f t="shared" si="102"/>
        <v>0.99645957149197639</v>
      </c>
      <c r="S324" s="811">
        <f t="shared" si="103"/>
        <v>-1</v>
      </c>
      <c r="T324" s="176">
        <f t="shared" si="104"/>
        <v>5</v>
      </c>
      <c r="U324" s="251">
        <f t="shared" si="105"/>
        <v>-3.5404285080236075E-3</v>
      </c>
      <c r="V324" s="383">
        <f t="shared" si="106"/>
        <v>31.201693796903577</v>
      </c>
      <c r="W324" s="402"/>
      <c r="X324" s="157">
        <f t="shared" si="107"/>
        <v>44506</v>
      </c>
      <c r="Y324" s="385">
        <f t="shared" si="108"/>
        <v>12.256615945503876</v>
      </c>
      <c r="Z324" s="385">
        <f t="shared" si="109"/>
        <v>12.59599199649387</v>
      </c>
      <c r="AA324" s="386">
        <f t="shared" si="110"/>
        <v>13.470725293181172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6.4935872245133558E-2</v>
      </c>
      <c r="AD324" s="231">
        <f>(INDEX(Models!$BJ324:$BT324,,AH324)*(1-AF324)+INDEX(Models!$BJ324:$BT324,,AH324+1)*AF324-ERP_i)*AE324*Ramure*Pc/MaxiM</f>
        <v>1.6507569259498886E-4</v>
      </c>
      <c r="AE324" s="305">
        <f t="shared" si="112"/>
        <v>0.5</v>
      </c>
      <c r="AF324" s="177">
        <f t="shared" si="113"/>
        <v>0.99645957149197639</v>
      </c>
      <c r="AG324" s="811">
        <f t="shared" si="119"/>
        <v>-1</v>
      </c>
      <c r="AH324" s="176">
        <f t="shared" si="114"/>
        <v>5</v>
      </c>
      <c r="AI324" s="225">
        <f t="shared" si="115"/>
        <v>-3.5404285080236075E-3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7">
        <v>8.918000000000001</v>
      </c>
      <c r="C325" s="390"/>
      <c r="D325" s="393">
        <f t="shared" si="98"/>
        <v>9.1651331425016185</v>
      </c>
      <c r="E325" s="385">
        <f t="shared" si="120"/>
        <v>9.3641301754567543</v>
      </c>
      <c r="F325" s="385">
        <f t="shared" si="99"/>
        <v>9.3641301754567543</v>
      </c>
      <c r="G325" s="110">
        <f t="shared" si="121"/>
        <v>0.28843600187608426</v>
      </c>
      <c r="H325" s="414" t="b">
        <f>Wh_hp&gt;='2020'!Maxi_hp</f>
        <v>0</v>
      </c>
      <c r="I325" s="380">
        <f>IF(H325,Wh_hp,'2020'!Maxi_hp)</f>
        <v>16.999112263029826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2.69644901671513E-2</v>
      </c>
      <c r="M325" s="845"/>
      <c r="N325" s="845"/>
      <c r="O325" s="48">
        <f>IF(t&lt;Tnet,'2020'!Resal+('2020'!Salim-'2020'!Resal)*(1-EXP(('2020'!Tnet-t)/('2020'!Tau_j))),Resal+(Salim-Resal)*(1-EXP((Tnet-t)/(Tau_j))))*Salcycl</f>
        <v>2.1250989598233586E-2</v>
      </c>
      <c r="P325" s="169">
        <f>(INDEX(Models!$BJ325:$BT325,,T325)*(1-R325)+INDEX(Models!$BJ325:$BT325,,T325+1)*R325-ERP_i)*Q325*Ramure*Pc/MaxiM</f>
        <v>1.6893452492224446E-4</v>
      </c>
      <c r="Q325" s="305">
        <f t="shared" si="101"/>
        <v>0.5</v>
      </c>
      <c r="R325" s="177">
        <f t="shared" si="102"/>
        <v>0.9965035712196475</v>
      </c>
      <c r="S325" s="811">
        <f t="shared" si="103"/>
        <v>-1</v>
      </c>
      <c r="T325" s="176">
        <f t="shared" si="104"/>
        <v>5</v>
      </c>
      <c r="U325" s="251">
        <f t="shared" si="105"/>
        <v>-3.4964287803525007E-3</v>
      </c>
      <c r="V325" s="383">
        <f t="shared" si="106"/>
        <v>30.913247250380977</v>
      </c>
      <c r="W325" s="402"/>
      <c r="X325" s="157">
        <f t="shared" si="107"/>
        <v>44507</v>
      </c>
      <c r="Y325" s="385">
        <f t="shared" si="108"/>
        <v>8.5200638111679527</v>
      </c>
      <c r="Z325" s="385">
        <f t="shared" si="109"/>
        <v>8.7561694563763233</v>
      </c>
      <c r="AA325" s="386">
        <f t="shared" si="110"/>
        <v>9.3641301754567543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6.4924419854167331E-2</v>
      </c>
      <c r="AD325" s="231">
        <f>(INDEX(Models!$BJ325:$BT325,,AH325)*(1-AF325)+INDEX(Models!$BJ325:$BT325,,AH325+1)*AF325-ERP_i)*AE325*Ramure*Pc/MaxiM</f>
        <v>1.6893452492224446E-4</v>
      </c>
      <c r="AE325" s="305">
        <f t="shared" si="112"/>
        <v>0.5</v>
      </c>
      <c r="AF325" s="177">
        <f t="shared" si="113"/>
        <v>0.9965035712196475</v>
      </c>
      <c r="AG325" s="811">
        <f t="shared" si="119"/>
        <v>-1</v>
      </c>
      <c r="AH325" s="176">
        <f t="shared" si="114"/>
        <v>5</v>
      </c>
      <c r="AI325" s="225">
        <f t="shared" si="115"/>
        <v>-3.4964287803525007E-3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7">
        <v>25.913</v>
      </c>
      <c r="C326" s="390"/>
      <c r="D326" s="393">
        <f t="shared" si="98"/>
        <v>26.631677170843233</v>
      </c>
      <c r="E326" s="385">
        <f t="shared" si="120"/>
        <v>27.211551321595628</v>
      </c>
      <c r="F326" s="385">
        <f t="shared" si="99"/>
        <v>27.215230575971084</v>
      </c>
      <c r="G326" s="110">
        <f t="shared" si="121"/>
        <v>0.84600940199971708</v>
      </c>
      <c r="H326" s="414" t="b">
        <f>Wh_hp&gt;='2020'!Maxi_hp</f>
        <v>1</v>
      </c>
      <c r="I326" s="380">
        <f>IF(H326,Wh_hp,'2020'!Maxi_hp)</f>
        <v>27.215230575971084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2.6985802142046489E-2</v>
      </c>
      <c r="M326" s="845"/>
      <c r="N326" s="845"/>
      <c r="O326" s="48">
        <f>IF(t&lt;Tnet,'2020'!Resal+('2020'!Salim-'2020'!Resal)*(1-EXP(('2020'!Tnet-t)/('2020'!Tau_j))),Resal+(Salim-Resal)*(1-EXP((Tnet-t)/(Tau_j))))*Salcycl</f>
        <v>2.1309852712887944E-2</v>
      </c>
      <c r="P326" s="169">
        <f>(INDEX(Models!$BJ326:$BT326,,T326)*(1-R326)+INDEX(Models!$BJ326:$BT326,,T326+1)*R326-ERP_i)*Q326*Ramure*Pc/MaxiM</f>
        <v>1.733085793508753E-4</v>
      </c>
      <c r="Q326" s="305">
        <f t="shared" si="101"/>
        <v>0.5</v>
      </c>
      <c r="R326" s="177">
        <f t="shared" si="102"/>
        <v>0.99654580667701353</v>
      </c>
      <c r="S326" s="811">
        <f t="shared" si="103"/>
        <v>-1</v>
      </c>
      <c r="T326" s="176">
        <f t="shared" si="104"/>
        <v>5</v>
      </c>
      <c r="U326" s="251">
        <f t="shared" si="105"/>
        <v>-3.4541933229864652E-3</v>
      </c>
      <c r="V326" s="383">
        <f t="shared" si="106"/>
        <v>30.628515551361755</v>
      </c>
      <c r="W326" s="402"/>
      <c r="X326" s="157">
        <f t="shared" si="107"/>
        <v>44508</v>
      </c>
      <c r="Y326" s="385">
        <f t="shared" si="108"/>
        <v>24.758502591644646</v>
      </c>
      <c r="Z326" s="385">
        <f t="shared" si="109"/>
        <v>25.44516066276254</v>
      </c>
      <c r="AA326" s="386">
        <f t="shared" si="110"/>
        <v>27.211551321595628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6.4913265618606941E-2</v>
      </c>
      <c r="AD326" s="231">
        <f>(INDEX(Models!$BJ326:$BT326,,AH326)*(1-AF326)+INDEX(Models!$BJ326:$BT326,,AH326+1)*AF326-ERP_i)*AE326*Ramure*Pc/MaxiM</f>
        <v>1.733085793508753E-4</v>
      </c>
      <c r="AE326" s="305">
        <f t="shared" si="112"/>
        <v>0.5</v>
      </c>
      <c r="AF326" s="177">
        <f t="shared" si="113"/>
        <v>0.99654580667701353</v>
      </c>
      <c r="AG326" s="811">
        <f t="shared" si="119"/>
        <v>-1</v>
      </c>
      <c r="AH326" s="176">
        <f t="shared" si="114"/>
        <v>5</v>
      </c>
      <c r="AI326" s="225">
        <f t="shared" si="115"/>
        <v>-3.4541933229864652E-3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7">
        <v>20.245000000000001</v>
      </c>
      <c r="C327" s="390"/>
      <c r="D327" s="393">
        <f t="shared" si="98"/>
        <v>20.806935265424737</v>
      </c>
      <c r="E327" s="385">
        <f t="shared" si="120"/>
        <v>21.261260604653661</v>
      </c>
      <c r="F327" s="385">
        <f t="shared" si="99"/>
        <v>21.263247705052521</v>
      </c>
      <c r="G327" s="110">
        <f t="shared" si="121"/>
        <v>0.66704055249458094</v>
      </c>
      <c r="H327" s="414" t="b">
        <f>Wh_hp&gt;='2020'!Maxi_hp</f>
        <v>0</v>
      </c>
      <c r="I327" s="380">
        <f>IF(H327,Wh_hp,'2020'!Maxi_hp)</f>
        <v>21.819080346731017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2.7007113650154624E-2</v>
      </c>
      <c r="M327" s="845"/>
      <c r="N327" s="845"/>
      <c r="O327" s="48">
        <f>IF(t&lt;Tnet,'2020'!Resal+('2020'!Salim-'2020'!Resal)*(1-EXP(('2020'!Tnet-t)/('2020'!Tau_j))),Resal+(Salim-Resal)*(1-EXP((Tnet-t)/(Tau_j))))*Salcycl</f>
        <v>2.1368692462641566E-2</v>
      </c>
      <c r="P327" s="169">
        <f>(INDEX(Models!$BJ327:$BT327,,T327)*(1-R327)+INDEX(Models!$BJ327:$BT327,,T327+1)*R327-ERP_i)*Q327*Ramure*Pc/MaxiM</f>
        <v>1.7819983892335009E-4</v>
      </c>
      <c r="Q327" s="305">
        <f t="shared" si="101"/>
        <v>0.5</v>
      </c>
      <c r="R327" s="177">
        <f t="shared" si="102"/>
        <v>0.9965863483254831</v>
      </c>
      <c r="S327" s="811">
        <f t="shared" si="103"/>
        <v>-1</v>
      </c>
      <c r="T327" s="176">
        <f t="shared" si="104"/>
        <v>5</v>
      </c>
      <c r="U327" s="251">
        <f t="shared" si="105"/>
        <v>-3.4136516745169598E-3</v>
      </c>
      <c r="V327" s="383">
        <f t="shared" si="106"/>
        <v>30.347906211945425</v>
      </c>
      <c r="W327" s="402"/>
      <c r="X327" s="157">
        <f t="shared" si="107"/>
        <v>44509</v>
      </c>
      <c r="Y327" s="385">
        <f t="shared" si="108"/>
        <v>19.344414216635304</v>
      </c>
      <c r="Z327" s="385">
        <f t="shared" si="109"/>
        <v>19.881352153770941</v>
      </c>
      <c r="AA327" s="386">
        <f t="shared" si="110"/>
        <v>21.261260604653661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6.4902475753516056E-2</v>
      </c>
      <c r="AD327" s="231">
        <f>(INDEX(Models!$BJ327:$BT327,,AH327)*(1-AF327)+INDEX(Models!$BJ327:$BT327,,AH327+1)*AF327-ERP_i)*AE327*Ramure*Pc/MaxiM</f>
        <v>1.7819983892335009E-4</v>
      </c>
      <c r="AE327" s="305">
        <f t="shared" si="112"/>
        <v>0.5</v>
      </c>
      <c r="AF327" s="177">
        <f t="shared" si="113"/>
        <v>0.9965863483254831</v>
      </c>
      <c r="AG327" s="811">
        <f t="shared" si="119"/>
        <v>-1</v>
      </c>
      <c r="AH327" s="176">
        <f t="shared" si="114"/>
        <v>5</v>
      </c>
      <c r="AI327" s="225">
        <f t="shared" si="115"/>
        <v>-3.4136516745169598E-3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7">
        <v>6.5309999999999997</v>
      </c>
      <c r="C328" s="390"/>
      <c r="D328" s="393">
        <f t="shared" si="98"/>
        <v>6.7124263089896772</v>
      </c>
      <c r="E328" s="385">
        <f t="shared" si="120"/>
        <v>6.8594064587220362</v>
      </c>
      <c r="F328" s="385">
        <f t="shared" si="99"/>
        <v>6.8594064587220362</v>
      </c>
      <c r="G328" s="110">
        <f t="shared" si="121"/>
        <v>0.2171401465747422</v>
      </c>
      <c r="H328" s="414" t="b">
        <f>Wh_hp&gt;='2020'!Maxi_hp</f>
        <v>0</v>
      </c>
      <c r="I328" s="380">
        <f>IF(H328,Wh_hp,'2020'!Maxi_hp)</f>
        <v>21.789231727925742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2.7028424691486141E-2</v>
      </c>
      <c r="M328" s="845"/>
      <c r="N328" s="845"/>
      <c r="O328" s="48">
        <f>IF(t&lt;Tnet,'2020'!Resal+('2020'!Salim-'2020'!Resal)*(1-EXP(('2020'!Tnet-t)/('2020'!Tau_j))),Resal+(Salim-Resal)*(1-EXP((Tnet-t)/(Tau_j))))*Salcycl</f>
        <v>2.1427531757571741E-2</v>
      </c>
      <c r="P328" s="169">
        <f>(INDEX(Models!$BJ328:$BT328,,T328)*(1-R328)+INDEX(Models!$BJ328:$BT328,,T328+1)*R328-ERP_i)*Q328*Ramure*Pc/MaxiM</f>
        <v>1.8361001824712602E-4</v>
      </c>
      <c r="Q328" s="305">
        <f t="shared" si="101"/>
        <v>0.5</v>
      </c>
      <c r="R328" s="177">
        <f t="shared" si="102"/>
        <v>0.99662526383451822</v>
      </c>
      <c r="S328" s="811">
        <f t="shared" si="103"/>
        <v>-1</v>
      </c>
      <c r="T328" s="176">
        <f t="shared" si="104"/>
        <v>5</v>
      </c>
      <c r="U328" s="251">
        <f t="shared" si="105"/>
        <v>-3.3747361654817842E-3</v>
      </c>
      <c r="V328" s="383">
        <f t="shared" si="106"/>
        <v>30.071826633511062</v>
      </c>
      <c r="W328" s="402"/>
      <c r="X328" s="157">
        <f t="shared" si="107"/>
        <v>44510</v>
      </c>
      <c r="Y328" s="385">
        <f t="shared" si="108"/>
        <v>6.2409170432760614</v>
      </c>
      <c r="Z328" s="385">
        <f t="shared" si="109"/>
        <v>6.4142850640802793</v>
      </c>
      <c r="AA328" s="386">
        <f t="shared" si="110"/>
        <v>6.8594064587220362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6.4892115275625051E-2</v>
      </c>
      <c r="AD328" s="231">
        <f>(INDEX(Models!$BJ328:$BT328,,AH328)*(1-AF328)+INDEX(Models!$BJ328:$BT328,,AH328+1)*AF328-ERP_i)*AE328*Ramure*Pc/MaxiM</f>
        <v>1.8361001824712602E-4</v>
      </c>
      <c r="AE328" s="305">
        <f t="shared" si="112"/>
        <v>0.5</v>
      </c>
      <c r="AF328" s="177">
        <f t="shared" si="113"/>
        <v>0.99662526383451822</v>
      </c>
      <c r="AG328" s="811">
        <f t="shared" si="119"/>
        <v>-1</v>
      </c>
      <c r="AH328" s="176">
        <f t="shared" si="114"/>
        <v>5</v>
      </c>
      <c r="AI328" s="225">
        <f t="shared" si="115"/>
        <v>-3.3747361654817842E-3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7">
        <v>11.916</v>
      </c>
      <c r="C329" s="390"/>
      <c r="D329" s="393">
        <f t="shared" si="98"/>
        <v>12.247285839691306</v>
      </c>
      <c r="E329" s="385">
        <f t="shared" si="120"/>
        <v>12.516214138734057</v>
      </c>
      <c r="F329" s="385">
        <f t="shared" si="99"/>
        <v>12.516552566111818</v>
      </c>
      <c r="G329" s="110">
        <f t="shared" si="121"/>
        <v>0.39979161318940376</v>
      </c>
      <c r="H329" s="414" t="b">
        <f>Wh_hp&gt;='2020'!Maxi_hp</f>
        <v>0</v>
      </c>
      <c r="I329" s="380">
        <f>IF(H329,Wh_hp,'2020'!Maxi_hp)</f>
        <v>26.827720309111356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2.7049735266051145E-2</v>
      </c>
      <c r="M329" s="845"/>
      <c r="N329" s="845"/>
      <c r="O329" s="48">
        <f>IF(t&lt;Tnet,'2020'!Resal+('2020'!Salim-'2020'!Resal)*(1-EXP(('2020'!Tnet-t)/('2020'!Tau_j))),Resal+(Salim-Resal)*(1-EXP((Tnet-t)/(Tau_j))))*Salcycl</f>
        <v>2.1486393254530219E-2</v>
      </c>
      <c r="P329" s="169">
        <f>(INDEX(Models!$BJ329:$BT329,,T329)*(1-R329)+INDEX(Models!$BJ329:$BT329,,T329+1)*R329-ERP_i)*Q329*Ramure*Pc/MaxiM</f>
        <v>1.8954051625811151E-4</v>
      </c>
      <c r="Q329" s="305">
        <f t="shared" si="101"/>
        <v>0.5</v>
      </c>
      <c r="R329" s="177">
        <f t="shared" si="102"/>
        <v>0.99666261819051538</v>
      </c>
      <c r="S329" s="811">
        <f t="shared" si="103"/>
        <v>-1</v>
      </c>
      <c r="T329" s="176">
        <f t="shared" si="104"/>
        <v>5</v>
      </c>
      <c r="U329" s="251">
        <f t="shared" si="105"/>
        <v>-3.3373818094846741E-3</v>
      </c>
      <c r="V329" s="383">
        <f t="shared" si="106"/>
        <v>29.800684104425631</v>
      </c>
      <c r="W329" s="402"/>
      <c r="X329" s="157">
        <f t="shared" si="107"/>
        <v>44511</v>
      </c>
      <c r="Y329" s="385">
        <f t="shared" si="108"/>
        <v>11.387540305594349</v>
      </c>
      <c r="Z329" s="385">
        <f t="shared" si="109"/>
        <v>11.704134032697189</v>
      </c>
      <c r="AA329" s="386">
        <f t="shared" si="110"/>
        <v>12.516214138734057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6.4882247701700521E-2</v>
      </c>
      <c r="AD329" s="231">
        <f>(INDEX(Models!$BJ329:$BT329,,AH329)*(1-AF329)+INDEX(Models!$BJ329:$BT329,,AH329+1)*AF329-ERP_i)*AE329*Ramure*Pc/MaxiM</f>
        <v>1.8954051625811151E-4</v>
      </c>
      <c r="AE329" s="305">
        <f t="shared" si="112"/>
        <v>0.5</v>
      </c>
      <c r="AF329" s="177">
        <f t="shared" si="113"/>
        <v>0.99666261819051538</v>
      </c>
      <c r="AG329" s="811">
        <f t="shared" si="119"/>
        <v>-1</v>
      </c>
      <c r="AH329" s="176">
        <f t="shared" si="114"/>
        <v>5</v>
      </c>
      <c r="AI329" s="225">
        <f t="shared" si="115"/>
        <v>-3.3373818094846741E-3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7">
        <v>7.8870000000000005</v>
      </c>
      <c r="C330" s="390"/>
      <c r="D330" s="393">
        <f t="shared" si="98"/>
        <v>8.1064500778791988</v>
      </c>
      <c r="E330" s="385">
        <f t="shared" si="120"/>
        <v>8.284951844653202</v>
      </c>
      <c r="F330" s="385">
        <f t="shared" si="99"/>
        <v>8.284951844653202</v>
      </c>
      <c r="G330" s="110">
        <f t="shared" si="121"/>
        <v>0.26698780080955087</v>
      </c>
      <c r="H330" s="414" t="b">
        <f>Wh_hp&gt;='2020'!Maxi_hp</f>
        <v>0</v>
      </c>
      <c r="I330" s="380">
        <f>IF(H330,Wh_hp,'2020'!Maxi_hp)</f>
        <v>28.254170415117652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2.7071045373859848E-2</v>
      </c>
      <c r="M330" s="845"/>
      <c r="N330" s="845"/>
      <c r="O330" s="48">
        <f>IF(t&lt;Tnet,'2020'!Resal+('2020'!Salim-'2020'!Resal)*(1-EXP(('2020'!Tnet-t)/('2020'!Tau_j))),Resal+(Salim-Resal)*(1-EXP((Tnet-t)/(Tau_j))))*Salcycl</f>
        <v>2.1545299251099645E-2</v>
      </c>
      <c r="P330" s="169">
        <f>(INDEX(Models!$BJ330:$BT330,,T330)*(1-R330)+INDEX(Models!$BJ330:$BT330,,T330+1)*R330-ERP_i)*Q330*Ramure*Pc/MaxiM</f>
        <v>1.959923634237648E-4</v>
      </c>
      <c r="Q330" s="305">
        <f t="shared" si="101"/>
        <v>0.5</v>
      </c>
      <c r="R330" s="177">
        <f t="shared" si="102"/>
        <v>0.9966984738015785</v>
      </c>
      <c r="S330" s="811">
        <f t="shared" si="103"/>
        <v>-1</v>
      </c>
      <c r="T330" s="176">
        <f t="shared" si="104"/>
        <v>5</v>
      </c>
      <c r="U330" s="251">
        <f t="shared" si="105"/>
        <v>-3.301526198421445E-3</v>
      </c>
      <c r="V330" s="383">
        <f t="shared" si="106"/>
        <v>29.534885804968194</v>
      </c>
      <c r="W330" s="402"/>
      <c r="X330" s="157">
        <f t="shared" si="107"/>
        <v>44512</v>
      </c>
      <c r="Y330" s="385">
        <f t="shared" si="108"/>
        <v>7.5377502483733201</v>
      </c>
      <c r="Z330" s="385">
        <f t="shared" si="109"/>
        <v>7.7474827041916878</v>
      </c>
      <c r="AA330" s="386">
        <f t="shared" si="110"/>
        <v>8.284951844653202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6.4872934754397676E-2</v>
      </c>
      <c r="AD330" s="231">
        <f>(INDEX(Models!$BJ330:$BT330,,AH330)*(1-AF330)+INDEX(Models!$BJ330:$BT330,,AH330+1)*AF330-ERP_i)*AE330*Ramure*Pc/MaxiM</f>
        <v>1.959923634237648E-4</v>
      </c>
      <c r="AE330" s="305">
        <f t="shared" si="112"/>
        <v>0.5</v>
      </c>
      <c r="AF330" s="177">
        <f t="shared" si="113"/>
        <v>0.9966984738015785</v>
      </c>
      <c r="AG330" s="811">
        <f t="shared" si="119"/>
        <v>-1</v>
      </c>
      <c r="AH330" s="176">
        <f t="shared" si="114"/>
        <v>5</v>
      </c>
      <c r="AI330" s="225">
        <f t="shared" si="115"/>
        <v>-3.301526198421445E-3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7">
        <v>5.2750000000000004</v>
      </c>
      <c r="C331" s="390"/>
      <c r="D331" s="393">
        <f t="shared" si="98"/>
        <v>5.4218918179853635</v>
      </c>
      <c r="E331" s="385">
        <f t="shared" si="120"/>
        <v>5.5416143596080909</v>
      </c>
      <c r="F331" s="385">
        <f t="shared" si="99"/>
        <v>5.5416143596080909</v>
      </c>
      <c r="G331" s="110">
        <f t="shared" si="121"/>
        <v>0.18015994393442061</v>
      </c>
      <c r="H331" s="414" t="b">
        <f>Wh_hp&gt;='2020'!Maxi_hp</f>
        <v>0</v>
      </c>
      <c r="I331" s="380">
        <f>IF(H331,Wh_hp,'2020'!Maxi_hp)</f>
        <v>29.179515996539571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2.7092355014922465E-2</v>
      </c>
      <c r="M331" s="845"/>
      <c r="N331" s="845"/>
      <c r="O331" s="48">
        <f>IF(t&lt;Tnet,'2020'!Resal+('2020'!Salim-'2020'!Resal)*(1-EXP(('2020'!Tnet-t)/('2020'!Tau_j))),Resal+(Salim-Resal)*(1-EXP((Tnet-t)/(Tau_j))))*Salcycl</f>
        <v>2.160427158110553E-2</v>
      </c>
      <c r="P331" s="169">
        <f>(INDEX(Models!$BJ331:$BT331,,T331)*(1-R331)+INDEX(Models!$BJ331:$BT331,,T331+1)*R331-ERP_i)*Q331*Ramure*Pc/MaxiM</f>
        <v>2.0297478222770147E-4</v>
      </c>
      <c r="Q331" s="305">
        <f t="shared" si="101"/>
        <v>0.5</v>
      </c>
      <c r="R331" s="177">
        <f t="shared" si="102"/>
        <v>0.99673289059832926</v>
      </c>
      <c r="S331" s="811">
        <f t="shared" si="103"/>
        <v>-1</v>
      </c>
      <c r="T331" s="176">
        <f t="shared" si="104"/>
        <v>5</v>
      </c>
      <c r="U331" s="251">
        <f t="shared" si="105"/>
        <v>-3.2671094016707425E-3</v>
      </c>
      <c r="V331" s="383">
        <f t="shared" si="106"/>
        <v>29.273595411105887</v>
      </c>
      <c r="W331" s="402"/>
      <c r="X331" s="157">
        <f t="shared" si="107"/>
        <v>44513</v>
      </c>
      <c r="Y331" s="385">
        <f t="shared" si="108"/>
        <v>5.0417648109132083</v>
      </c>
      <c r="Z331" s="385">
        <f t="shared" si="109"/>
        <v>5.1821617775349464</v>
      </c>
      <c r="AA331" s="386">
        <f t="shared" si="110"/>
        <v>5.5416143596080909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6.4864236077691526E-2</v>
      </c>
      <c r="AD331" s="231">
        <f>(INDEX(Models!$BJ331:$BT331,,AH331)*(1-AF331)+INDEX(Models!$BJ331:$BT331,,AH331+1)*AF331-ERP_i)*AE331*Ramure*Pc/MaxiM</f>
        <v>2.0297478222770147E-4</v>
      </c>
      <c r="AE331" s="305">
        <f t="shared" si="112"/>
        <v>0.5</v>
      </c>
      <c r="AF331" s="177">
        <f t="shared" si="113"/>
        <v>0.99673289059832926</v>
      </c>
      <c r="AG331" s="811">
        <f t="shared" si="119"/>
        <v>-1</v>
      </c>
      <c r="AH331" s="176">
        <f t="shared" si="114"/>
        <v>5</v>
      </c>
      <c r="AI331" s="225">
        <f t="shared" si="115"/>
        <v>-3.2671094016707425E-3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7">
        <v>6.2140000000000004</v>
      </c>
      <c r="C332" s="390"/>
      <c r="D332" s="393">
        <f t="shared" si="98"/>
        <v>6.3871798495572349</v>
      </c>
      <c r="E332" s="385">
        <f t="shared" si="120"/>
        <v>6.5286113209181318</v>
      </c>
      <c r="F332" s="385">
        <f t="shared" si="99"/>
        <v>6.5286113209181318</v>
      </c>
      <c r="G332" s="110">
        <f t="shared" si="121"/>
        <v>0.21411430452452945</v>
      </c>
      <c r="H332" s="414" t="b">
        <f>Wh_hp&gt;='2020'!Maxi_hp</f>
        <v>0</v>
      </c>
      <c r="I332" s="380">
        <f>IF(H332,Wh_hp,'2020'!Maxi_hp)</f>
        <v>19.900379192311398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2.711366418924932E-2</v>
      </c>
      <c r="M332" s="845"/>
      <c r="N332" s="845"/>
      <c r="O332" s="48">
        <f>IF(t&lt;Tnet,'2020'!Resal+('2020'!Salim-'2020'!Resal)*(1-EXP(('2020'!Tnet-t)/('2020'!Tau_j))),Resal+(Salim-Resal)*(1-EXP((Tnet-t)/(Tau_j))))*Salcycl</f>
        <v>2.1663331512436722E-2</v>
      </c>
      <c r="P332" s="169">
        <f>(INDEX(Models!$BJ332:$BT332,,T332)*(1-R332)+INDEX(Models!$BJ332:$BT332,,T332+1)*R332-ERP_i)*Q332*Ramure*Pc/MaxiM</f>
        <v>2.1057114988477511E-4</v>
      </c>
      <c r="Q332" s="305">
        <f t="shared" si="101"/>
        <v>0.5</v>
      </c>
      <c r="R332" s="177">
        <f t="shared" si="102"/>
        <v>0.99676592613089099</v>
      </c>
      <c r="S332" s="811">
        <f t="shared" si="103"/>
        <v>-1</v>
      </c>
      <c r="T332" s="176">
        <f t="shared" si="104"/>
        <v>5</v>
      </c>
      <c r="U332" s="251">
        <f t="shared" si="105"/>
        <v>-3.2340738691090665E-3</v>
      </c>
      <c r="V332" s="383">
        <f t="shared" si="106"/>
        <v>29.015770453406933</v>
      </c>
      <c r="W332" s="402"/>
      <c r="X332" s="157">
        <f t="shared" si="107"/>
        <v>44514</v>
      </c>
      <c r="Y332" s="385">
        <f t="shared" si="108"/>
        <v>5.9396562601313629</v>
      </c>
      <c r="Z332" s="385">
        <f t="shared" si="109"/>
        <v>6.1051903408444685</v>
      </c>
      <c r="AA332" s="386">
        <f t="shared" si="110"/>
        <v>6.5286113209181318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6.4856208963917375E-2</v>
      </c>
      <c r="AD332" s="231">
        <f>(INDEX(Models!$BJ332:$BT332,,AH332)*(1-AF332)+INDEX(Models!$BJ332:$BT332,,AH332+1)*AF332-ERP_i)*AE332*Ramure*Pc/MaxiM</f>
        <v>2.1057114988477511E-4</v>
      </c>
      <c r="AE332" s="305">
        <f t="shared" si="112"/>
        <v>0.5</v>
      </c>
      <c r="AF332" s="177">
        <f t="shared" si="113"/>
        <v>0.99676592613089099</v>
      </c>
      <c r="AG332" s="811">
        <f t="shared" si="119"/>
        <v>-1</v>
      </c>
      <c r="AH332" s="176">
        <f t="shared" si="114"/>
        <v>5</v>
      </c>
      <c r="AI332" s="225">
        <f t="shared" si="115"/>
        <v>-3.2340738691090665E-3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7">
        <v>5.2620000000000005</v>
      </c>
      <c r="C333" s="390"/>
      <c r="D333" s="393">
        <f t="shared" si="98"/>
        <v>5.4087667388644745</v>
      </c>
      <c r="E333" s="385">
        <f t="shared" si="120"/>
        <v>5.5288675625452299</v>
      </c>
      <c r="F333" s="385">
        <f t="shared" si="99"/>
        <v>5.5288675625452299</v>
      </c>
      <c r="G333" s="110">
        <f t="shared" si="121"/>
        <v>0.18291280218754202</v>
      </c>
      <c r="H333" s="414" t="b">
        <f>Wh_hp&gt;='2020'!Maxi_hp</f>
        <v>0</v>
      </c>
      <c r="I333" s="380">
        <f>IF(H333,Wh_hp,'2020'!Maxi_hp)</f>
        <v>27.219183293094108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2.7134972896850518E-2</v>
      </c>
      <c r="M333" s="845"/>
      <c r="N333" s="845"/>
      <c r="O333" s="48">
        <f>IF(t&lt;Tnet,'2020'!Resal+('2020'!Salim-'2020'!Resal)*(1-EXP(('2020'!Tnet-t)/('2020'!Tau_j))),Resal+(Salim-Resal)*(1-EXP((Tnet-t)/(Tau_j))))*Salcycl</f>
        <v>2.1722499647914645E-2</v>
      </c>
      <c r="P333" s="169">
        <f>(INDEX(Models!$BJ333:$BT333,,T333)*(1-R333)+INDEX(Models!$BJ333:$BT333,,T333+1)*R333-ERP_i)*Q333*Ramure*Pc/MaxiM</f>
        <v>2.1852664249763073E-4</v>
      </c>
      <c r="Q333" s="305">
        <f t="shared" si="101"/>
        <v>0.5</v>
      </c>
      <c r="R333" s="177">
        <f t="shared" si="102"/>
        <v>0.99679763566218604</v>
      </c>
      <c r="S333" s="811">
        <f t="shared" si="103"/>
        <v>-1</v>
      </c>
      <c r="T333" s="176">
        <f t="shared" si="104"/>
        <v>5</v>
      </c>
      <c r="U333" s="251">
        <f t="shared" si="105"/>
        <v>-3.2023643378139566E-3</v>
      </c>
      <c r="V333" s="383">
        <f t="shared" si="106"/>
        <v>28.761519422862396</v>
      </c>
      <c r="W333" s="402"/>
      <c r="X333" s="157">
        <f t="shared" si="107"/>
        <v>44515</v>
      </c>
      <c r="Y333" s="385">
        <f t="shared" si="108"/>
        <v>5.0300298676361646</v>
      </c>
      <c r="Z333" s="385">
        <f t="shared" si="109"/>
        <v>5.1703265381158037</v>
      </c>
      <c r="AA333" s="386">
        <f t="shared" si="110"/>
        <v>5.5288675625452299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6.4848908094367705E-2</v>
      </c>
      <c r="AD333" s="231">
        <f>(INDEX(Models!$BJ333:$BT333,,AH333)*(1-AF333)+INDEX(Models!$BJ333:$BT333,,AH333+1)*AF333-ERP_i)*AE333*Ramure*Pc/MaxiM</f>
        <v>2.1852664249763073E-4</v>
      </c>
      <c r="AE333" s="305">
        <f t="shared" si="112"/>
        <v>0.5</v>
      </c>
      <c r="AF333" s="177">
        <f t="shared" si="113"/>
        <v>0.99679763566218604</v>
      </c>
      <c r="AG333" s="811">
        <f t="shared" si="119"/>
        <v>-1</v>
      </c>
      <c r="AH333" s="176">
        <f t="shared" si="114"/>
        <v>5</v>
      </c>
      <c r="AI333" s="225">
        <f t="shared" si="115"/>
        <v>-3.2023643378139566E-3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7">
        <v>9.4079999999999995</v>
      </c>
      <c r="C334" s="390"/>
      <c r="D334" s="393">
        <f t="shared" si="98"/>
        <v>9.6706180217749811</v>
      </c>
      <c r="E334" s="385">
        <f t="shared" si="120"/>
        <v>9.8859518055888671</v>
      </c>
      <c r="F334" s="385">
        <f t="shared" si="99"/>
        <v>9.8860478483782988</v>
      </c>
      <c r="G334" s="110">
        <f t="shared" si="121"/>
        <v>0.32990691194861915</v>
      </c>
      <c r="H334" s="414" t="b">
        <f>Wh_hp&gt;='2020'!Maxi_hp</f>
        <v>0</v>
      </c>
      <c r="I334" s="380">
        <f>IF(H334,Wh_hp,'2020'!Maxi_hp)</f>
        <v>25.63773042545121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2.7156281137736382E-2</v>
      </c>
      <c r="M334" s="845"/>
      <c r="N334" s="845"/>
      <c r="O334" s="48">
        <f>IF(t&lt;Tnet,'2020'!Resal+('2020'!Salim-'2020'!Resal)*(1-EXP(('2020'!Tnet-t)/('2020'!Tau_j))),Resal+(Salim-Resal)*(1-EXP((Tnet-t)/(Tau_j))))*Salcycl</f>
        <v>2.1781795829932209E-2</v>
      </c>
      <c r="P334" s="169">
        <f>(INDEX(Models!$BJ334:$BT334,,T334)*(1-R334)+INDEX(Models!$BJ334:$BT334,,T334+1)*R334-ERP_i)*Q334*Ramure*Pc/MaxiM</f>
        <v>2.2684505460901654E-4</v>
      </c>
      <c r="Q334" s="305">
        <f t="shared" si="101"/>
        <v>0.5</v>
      </c>
      <c r="R334" s="177">
        <f t="shared" si="102"/>
        <v>0.99682807225767567</v>
      </c>
      <c r="S334" s="811">
        <f t="shared" si="103"/>
        <v>-1</v>
      </c>
      <c r="T334" s="176">
        <f t="shared" si="104"/>
        <v>5</v>
      </c>
      <c r="U334" s="251">
        <f t="shared" si="105"/>
        <v>-3.1719277423243875E-3</v>
      </c>
      <c r="V334" s="383">
        <f t="shared" si="106"/>
        <v>28.510943177535388</v>
      </c>
      <c r="W334" s="402"/>
      <c r="X334" s="157">
        <f t="shared" si="107"/>
        <v>44516</v>
      </c>
      <c r="Y334" s="385">
        <f t="shared" si="108"/>
        <v>8.9938653785391125</v>
      </c>
      <c r="Z334" s="385">
        <f t="shared" si="109"/>
        <v>9.2449231096001707</v>
      </c>
      <c r="AA334" s="386">
        <f t="shared" si="110"/>
        <v>9.8859518055888671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6.484238529529357E-2</v>
      </c>
      <c r="AD334" s="231">
        <f>(INDEX(Models!$BJ334:$BT334,,AH334)*(1-AF334)+INDEX(Models!$BJ334:$BT334,,AH334+1)*AF334-ERP_i)*AE334*Ramure*Pc/MaxiM</f>
        <v>2.2684505460901654E-4</v>
      </c>
      <c r="AE334" s="305">
        <f t="shared" si="112"/>
        <v>0.5</v>
      </c>
      <c r="AF334" s="177">
        <f t="shared" si="113"/>
        <v>0.99682807225767567</v>
      </c>
      <c r="AG334" s="811">
        <f t="shared" si="119"/>
        <v>-1</v>
      </c>
      <c r="AH334" s="176">
        <f t="shared" si="114"/>
        <v>5</v>
      </c>
      <c r="AI334" s="225">
        <f t="shared" si="115"/>
        <v>-3.1719277423243875E-3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7">
        <v>2.9540000000000002</v>
      </c>
      <c r="C335" s="390"/>
      <c r="D335" s="393">
        <f t="shared" ref="D335:D379" si="122">Wh/(1-Ppv)</f>
        <v>3.036525440132499</v>
      </c>
      <c r="E335" s="385">
        <f t="shared" si="120"/>
        <v>3.1043278058277708</v>
      </c>
      <c r="F335" s="385">
        <f t="shared" ref="F335:F379" si="123">Wh_sa/(1-Pvg*MEDIAN((-Sdif+Wh/Env_an)/Csdif,0,1))</f>
        <v>3.1043278058277708</v>
      </c>
      <c r="G335" s="110">
        <f t="shared" si="121"/>
        <v>0.10448943343480926</v>
      </c>
      <c r="H335" s="414" t="b">
        <f>Wh_hp&gt;='2020'!Maxi_hp</f>
        <v>0</v>
      </c>
      <c r="I335" s="380">
        <f>IF(H335,Wh_hp,'2020'!Maxi_hp)</f>
        <v>28.670073792979203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2.7177588911917017E-2</v>
      </c>
      <c r="M335" s="845"/>
      <c r="N335" s="845"/>
      <c r="O335" s="48">
        <f>IF(t&lt;Tnet,'2020'!Resal+('2020'!Salim-'2020'!Resal)*(1-EXP(('2020'!Tnet-t)/('2020'!Tau_j))),Resal+(Salim-Resal)*(1-EXP((Tnet-t)/(Tau_j))))*Salcycl</f>
        <v>2.1841239049557221E-2</v>
      </c>
      <c r="P335" s="169">
        <f>(INDEX(Models!$BJ335:$BT335,,T335)*(1-R335)+INDEX(Models!$BJ335:$BT335,,T335+1)*R335-ERP_i)*Q335*Ramure*Pc/MaxiM</f>
        <v>2.3553031392666712E-4</v>
      </c>
      <c r="Q335" s="305">
        <f t="shared" ref="Q335:Q379" si="125">IF(OR(t&lt;Ttai,Notai),Dd+PousD*Croivg,Dens+PousD*(Croivg-Croi_tai))</f>
        <v>0.5</v>
      </c>
      <c r="R335" s="177">
        <f t="shared" ref="R335:R379" si="126">(Hp_vg-S335)/(INDEX(Echel_vg,T335+1)-S335)</f>
        <v>0.99685728687166986</v>
      </c>
      <c r="S335" s="811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-3.1427131283301435E-3</v>
      </c>
      <c r="V335" s="383">
        <f t="shared" ref="V335:V379" si="130">MaxiM*(1-Ppv)*(1-Pvg)*(1-Psa)</f>
        <v>28.264142568015941</v>
      </c>
      <c r="W335" s="402"/>
      <c r="X335" s="157">
        <f t="shared" ref="X335:X379" si="131">t</f>
        <v>44517</v>
      </c>
      <c r="Y335" s="385">
        <f t="shared" ref="Y335:Y379" si="132">Wh_pvt_s*(1-Ppv)</f>
        <v>2.8241554746092383</v>
      </c>
      <c r="Z335" s="385">
        <f t="shared" ref="Z335:Z379" si="133">Wh_sa_s*(1-Psa_s)</f>
        <v>2.9030534683616871</v>
      </c>
      <c r="AA335" s="386">
        <f t="shared" ref="AA335:AA379" si="134">Wh_hp*(1-Pvg_s*MEDIAN((-Sdif+Wh/Env_an)/Csdif,0,1))</f>
        <v>3.1043278058277708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6.4836689311041931E-2</v>
      </c>
      <c r="AD335" s="231">
        <f>(INDEX(Models!$BJ335:$BT335,,AH335)*(1-AF335)+INDEX(Models!$BJ335:$BT335,,AH335+1)*AF335-ERP_i)*AE335*Ramure*Pc/MaxiM</f>
        <v>2.3553031392666712E-4</v>
      </c>
      <c r="AE335" s="305">
        <f t="shared" ref="AE335:AE379" si="136">IF(OR(t&lt;Ttai,Notai),Dd_s+PousD*Croivg,Dens_s+PousD*(Croivg-Croi_tai))</f>
        <v>0.5</v>
      </c>
      <c r="AF335" s="177">
        <f t="shared" ref="AF335:AF379" si="137">(Hp_vg_s-AG335)/(INDEX(Echel_vg,AH335+1)-AG335)</f>
        <v>0.99685728687166986</v>
      </c>
      <c r="AG335" s="811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-3.1427131283301435E-3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7">
        <v>17.597000000000001</v>
      </c>
      <c r="C336" s="390"/>
      <c r="D336" s="393">
        <f t="shared" si="122"/>
        <v>18.089000857022853</v>
      </c>
      <c r="E336" s="385">
        <f t="shared" si="120"/>
        <v>18.494035914674619</v>
      </c>
      <c r="F336" s="385">
        <f t="shared" si="123"/>
        <v>18.496155614315828</v>
      </c>
      <c r="G336" s="110">
        <f t="shared" si="121"/>
        <v>0.62790675706169174</v>
      </c>
      <c r="H336" s="414" t="b">
        <f>Wh_hp&gt;='2020'!Maxi_hp</f>
        <v>0</v>
      </c>
      <c r="I336" s="380">
        <f>IF(H336,Wh_hp,'2020'!Maxi_hp)</f>
        <v>27.452705708144066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2.7198896219402746E-2</v>
      </c>
      <c r="M336" s="845"/>
      <c r="N336" s="845"/>
      <c r="O336" s="48">
        <f>IF(t&lt;Tnet,'2020'!Resal+('2020'!Salim-'2020'!Resal)*(1-EXP(('2020'!Tnet-t)/('2020'!Tau_j))),Resal+(Salim-Resal)*(1-EXP((Tnet-t)/(Tau_j))))*Salcycl</f>
        <v>2.1900847360763476E-2</v>
      </c>
      <c r="P336" s="169">
        <f>(INDEX(Models!$BJ336:$BT336,,T336)*(1-R336)+INDEX(Models!$BJ336:$BT336,,T336+1)*R336-ERP_i)*Q336*Ramure*Pc/MaxiM</f>
        <v>2.4458646374441936E-4</v>
      </c>
      <c r="Q336" s="305">
        <f t="shared" si="125"/>
        <v>0.5</v>
      </c>
      <c r="R336" s="177">
        <f t="shared" si="126"/>
        <v>0.99688532843033317</v>
      </c>
      <c r="S336" s="811">
        <f t="shared" si="127"/>
        <v>-1</v>
      </c>
      <c r="T336" s="176">
        <f t="shared" si="128"/>
        <v>5</v>
      </c>
      <c r="U336" s="251">
        <f t="shared" si="129"/>
        <v>-3.1146715696667715E-3</v>
      </c>
      <c r="V336" s="383">
        <f t="shared" si="130"/>
        <v>28.021218447500402</v>
      </c>
      <c r="W336" s="402"/>
      <c r="X336" s="157">
        <f t="shared" si="131"/>
        <v>44518</v>
      </c>
      <c r="Y336" s="385">
        <f t="shared" si="132"/>
        <v>16.82462725451121</v>
      </c>
      <c r="Z336" s="385">
        <f t="shared" si="133"/>
        <v>17.29503306392813</v>
      </c>
      <c r="AA336" s="386">
        <f t="shared" si="134"/>
        <v>18.494035914674619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6.4831865595930169E-2</v>
      </c>
      <c r="AD336" s="231">
        <f>(INDEX(Models!$BJ336:$BT336,,AH336)*(1-AF336)+INDEX(Models!$BJ336:$BT336,,AH336+1)*AF336-ERP_i)*AE336*Ramure*Pc/MaxiM</f>
        <v>2.4458646374441936E-4</v>
      </c>
      <c r="AE336" s="305">
        <f t="shared" si="136"/>
        <v>0.5</v>
      </c>
      <c r="AF336" s="177">
        <f t="shared" si="137"/>
        <v>0.99688532843033317</v>
      </c>
      <c r="AG336" s="811">
        <f t="shared" ref="AG336:AG379" si="143">INDEX(Echel_vg,AH336)</f>
        <v>-1</v>
      </c>
      <c r="AH336" s="176">
        <f t="shared" si="138"/>
        <v>5</v>
      </c>
      <c r="AI336" s="225">
        <f t="shared" si="139"/>
        <v>-3.1146715696667715E-3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7">
        <v>27.172000000000001</v>
      </c>
      <c r="C337" s="390"/>
      <c r="D337" s="393">
        <f t="shared" si="122"/>
        <v>27.932323518106156</v>
      </c>
      <c r="E337" s="385">
        <f t="shared" si="120"/>
        <v>28.5595085409314</v>
      </c>
      <c r="F337" s="385">
        <f t="shared" si="123"/>
        <v>28.566537236993994</v>
      </c>
      <c r="G337" s="110">
        <f t="shared" si="121"/>
        <v>0.97802597586089435</v>
      </c>
      <c r="H337" s="414" t="b">
        <f>Wh_hp&gt;='2020'!Maxi_hp</f>
        <v>0</v>
      </c>
      <c r="I337" s="380">
        <f>IF(H337,Wh_hp,'2020'!Maxi_hp)</f>
        <v>29.080430360791048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2.7220203060203785E-2</v>
      </c>
      <c r="M337" s="845"/>
      <c r="N337" s="845"/>
      <c r="O337" s="48">
        <f>IF(t&lt;Tnet,'2020'!Resal+('2020'!Salim-'2020'!Resal)*(1-EXP(('2020'!Tnet-t)/('2020'!Tau_j))),Resal+(Salim-Resal)*(1-EXP((Tnet-t)/(Tau_j))))*Salcycl</f>
        <v>2.196063780041467E-2</v>
      </c>
      <c r="P337" s="169">
        <f>(INDEX(Models!$BJ337:$BT337,,T337)*(1-R337)+INDEX(Models!$BJ337:$BT337,,T337+1)*R337-ERP_i)*Q337*Ramure*Pc/MaxiM</f>
        <v>2.5401764015624235E-4</v>
      </c>
      <c r="Q337" s="305">
        <f t="shared" si="125"/>
        <v>0.5</v>
      </c>
      <c r="R337" s="177">
        <f t="shared" si="126"/>
        <v>0.99691224391150368</v>
      </c>
      <c r="S337" s="811">
        <f t="shared" si="127"/>
        <v>-1</v>
      </c>
      <c r="T337" s="176">
        <f t="shared" si="128"/>
        <v>5</v>
      </c>
      <c r="U337" s="251">
        <f t="shared" si="129"/>
        <v>-3.0877560884962629E-3</v>
      </c>
      <c r="V337" s="383">
        <f t="shared" si="130"/>
        <v>27.782271662608014</v>
      </c>
      <c r="W337" s="402"/>
      <c r="X337" s="157">
        <f t="shared" si="131"/>
        <v>44519</v>
      </c>
      <c r="Y337" s="385">
        <f t="shared" si="132"/>
        <v>25.981055321728814</v>
      </c>
      <c r="Z337" s="385">
        <f t="shared" si="133"/>
        <v>26.708053974250802</v>
      </c>
      <c r="AA337" s="386">
        <f t="shared" si="134"/>
        <v>28.5595085409314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6.4827956126314187E-2</v>
      </c>
      <c r="AD337" s="231">
        <f>(INDEX(Models!$BJ337:$BT337,,AH337)*(1-AF337)+INDEX(Models!$BJ337:$BT337,,AH337+1)*AF337-ERP_i)*AE337*Ramure*Pc/MaxiM</f>
        <v>2.5401764015624235E-4</v>
      </c>
      <c r="AE337" s="305">
        <f t="shared" si="136"/>
        <v>0.5</v>
      </c>
      <c r="AF337" s="177">
        <f t="shared" si="137"/>
        <v>0.99691224391150368</v>
      </c>
      <c r="AG337" s="811">
        <f t="shared" si="143"/>
        <v>-1</v>
      </c>
      <c r="AH337" s="176">
        <f t="shared" si="138"/>
        <v>5</v>
      </c>
      <c r="AI337" s="225">
        <f t="shared" si="139"/>
        <v>-3.0877560884962629E-3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7">
        <v>21.995000000000001</v>
      </c>
      <c r="C338" s="390"/>
      <c r="D338" s="393">
        <f t="shared" si="122"/>
        <v>22.610956587189147</v>
      </c>
      <c r="E338" s="385">
        <f t="shared" si="120"/>
        <v>23.120075121811642</v>
      </c>
      <c r="F338" s="385">
        <f t="shared" si="123"/>
        <v>23.124412406329142</v>
      </c>
      <c r="G338" s="110">
        <f t="shared" si="121"/>
        <v>0.79838096484033483</v>
      </c>
      <c r="H338" s="414" t="b">
        <f>Wh_hp&gt;='2020'!Maxi_hp</f>
        <v>0</v>
      </c>
      <c r="I338" s="380">
        <f>IF(H338,Wh_hp,'2020'!Maxi_hp)</f>
        <v>30.110087627610774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2.7241509434330347E-2</v>
      </c>
      <c r="M338" s="845"/>
      <c r="N338" s="845"/>
      <c r="O338" s="48">
        <f>IF(t&lt;Tnet,'2020'!Resal+('2020'!Salim-'2020'!Resal)*(1-EXP(('2020'!Tnet-t)/('2020'!Tau_j))),Resal+(Salim-Resal)*(1-EXP((Tnet-t)/(Tau_j))))*Salcycl</f>
        <v>2.2020626314582799E-2</v>
      </c>
      <c r="P338" s="169">
        <f>(INDEX(Models!$BJ338:$BT338,,T338)*(1-R338)+INDEX(Models!$BJ338:$BT338,,T338+1)*R338-ERP_i)*Q338*Ramure*Pc/MaxiM</f>
        <v>2.634092495918385E-4</v>
      </c>
      <c r="Q338" s="305">
        <f t="shared" si="125"/>
        <v>0.5</v>
      </c>
      <c r="R338" s="177">
        <f t="shared" si="126"/>
        <v>0.99693807842144277</v>
      </c>
      <c r="S338" s="811">
        <f t="shared" si="127"/>
        <v>-1</v>
      </c>
      <c r="T338" s="176">
        <f t="shared" si="128"/>
        <v>5</v>
      </c>
      <c r="U338" s="251">
        <f t="shared" si="129"/>
        <v>-3.0619215785572251E-3</v>
      </c>
      <c r="V338" s="383">
        <f t="shared" si="130"/>
        <v>27.547414602396277</v>
      </c>
      <c r="W338" s="402"/>
      <c r="X338" s="157">
        <f t="shared" si="131"/>
        <v>44520</v>
      </c>
      <c r="Y338" s="385">
        <f t="shared" si="132"/>
        <v>21.032318978601786</v>
      </c>
      <c r="Z338" s="385">
        <f t="shared" si="133"/>
        <v>21.621316269746732</v>
      </c>
      <c r="AA338" s="386">
        <f t="shared" si="134"/>
        <v>23.120075121811642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6.4824999234149083E-2</v>
      </c>
      <c r="AD338" s="231">
        <f>(INDEX(Models!$BJ338:$BT338,,AH338)*(1-AF338)+INDEX(Models!$BJ338:$BT338,,AH338+1)*AF338-ERP_i)*AE338*Ramure*Pc/MaxiM</f>
        <v>2.634092495918385E-4</v>
      </c>
      <c r="AE338" s="305">
        <f t="shared" si="136"/>
        <v>0.5</v>
      </c>
      <c r="AF338" s="177">
        <f t="shared" si="137"/>
        <v>0.99693807842144277</v>
      </c>
      <c r="AG338" s="811">
        <f t="shared" si="143"/>
        <v>-1</v>
      </c>
      <c r="AH338" s="176">
        <f t="shared" si="138"/>
        <v>5</v>
      </c>
      <c r="AI338" s="225">
        <f t="shared" si="139"/>
        <v>-3.0619215785572251E-3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7">
        <v>9.3659999999999997</v>
      </c>
      <c r="C339" s="390"/>
      <c r="D339" s="393">
        <f t="shared" si="122"/>
        <v>9.6285000180094364</v>
      </c>
      <c r="E339" s="385">
        <f t="shared" si="120"/>
        <v>9.8459057667132832</v>
      </c>
      <c r="F339" s="385">
        <f t="shared" si="123"/>
        <v>9.8460700753644197</v>
      </c>
      <c r="G339" s="110">
        <f t="shared" si="121"/>
        <v>0.3427787815955311</v>
      </c>
      <c r="H339" s="414" t="b">
        <f>Wh_hp&gt;='2020'!Maxi_hp</f>
        <v>0</v>
      </c>
      <c r="I339" s="380">
        <f>IF(H339,Wh_hp,'2020'!Maxi_hp)</f>
        <v>29.084066217541494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2.7262815341792535E-2</v>
      </c>
      <c r="M339" s="845"/>
      <c r="N339" s="845"/>
      <c r="O339" s="48">
        <f>IF(t&lt;Tnet,'2020'!Resal+('2020'!Salim-'2020'!Resal)*(1-EXP(('2020'!Tnet-t)/('2020'!Tau_j))),Resal+(Salim-Resal)*(1-EXP((Tnet-t)/(Tau_j))))*Salcycl</f>
        <v>2.208082769173399E-2</v>
      </c>
      <c r="P339" s="169">
        <f>(INDEX(Models!$BJ339:$BT339,,T339)*(1-R339)+INDEX(Models!$BJ339:$BT339,,T339+1)*R339-ERP_i)*Q339*Ramure*Pc/MaxiM</f>
        <v>2.7250694466456602E-4</v>
      </c>
      <c r="Q339" s="305">
        <f t="shared" si="125"/>
        <v>0.5</v>
      </c>
      <c r="R339" s="177">
        <f t="shared" si="126"/>
        <v>0.99696287526862792</v>
      </c>
      <c r="S339" s="811">
        <f t="shared" si="127"/>
        <v>-1</v>
      </c>
      <c r="T339" s="176">
        <f t="shared" si="128"/>
        <v>5</v>
      </c>
      <c r="U339" s="251">
        <f t="shared" si="129"/>
        <v>-3.0371247313721317E-3</v>
      </c>
      <c r="V339" s="383">
        <f t="shared" si="130"/>
        <v>27.316754887084461</v>
      </c>
      <c r="W339" s="402"/>
      <c r="X339" s="157">
        <f t="shared" si="131"/>
        <v>44521</v>
      </c>
      <c r="Y339" s="385">
        <f t="shared" si="132"/>
        <v>8.956637474826902</v>
      </c>
      <c r="Z339" s="385">
        <f t="shared" si="133"/>
        <v>9.2076643271060039</v>
      </c>
      <c r="AA339" s="386">
        <f t="shared" si="134"/>
        <v>9.8459057667132832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6.4823029463172976E-2</v>
      </c>
      <c r="AD339" s="231">
        <f>(INDEX(Models!$BJ339:$BT339,,AH339)*(1-AF339)+INDEX(Models!$BJ339:$BT339,,AH339+1)*AF339-ERP_i)*AE339*Ramure*Pc/MaxiM</f>
        <v>2.7250694466456602E-4</v>
      </c>
      <c r="AE339" s="305">
        <f t="shared" si="136"/>
        <v>0.5</v>
      </c>
      <c r="AF339" s="177">
        <f t="shared" si="137"/>
        <v>0.99696287526862792</v>
      </c>
      <c r="AG339" s="811">
        <f t="shared" si="143"/>
        <v>-1</v>
      </c>
      <c r="AH339" s="176">
        <f t="shared" si="138"/>
        <v>5</v>
      </c>
      <c r="AI339" s="225">
        <f t="shared" si="139"/>
        <v>-3.0371247313721317E-3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7">
        <v>17.715</v>
      </c>
      <c r="C340" s="390"/>
      <c r="D340" s="393">
        <f t="shared" si="122"/>
        <v>18.211895558086955</v>
      </c>
      <c r="E340" s="385">
        <f t="shared" si="120"/>
        <v>18.624260058603685</v>
      </c>
      <c r="F340" s="385">
        <f t="shared" si="123"/>
        <v>18.626909386623737</v>
      </c>
      <c r="G340" s="110">
        <f t="shared" si="121"/>
        <v>0.65383089276327322</v>
      </c>
      <c r="H340" s="414" t="b">
        <f>Wh_hp&gt;='2020'!Maxi_hp</f>
        <v>0</v>
      </c>
      <c r="I340" s="380">
        <f>IF(H340,Wh_hp,'2020'!Maxi_hp)</f>
        <v>29.591035421411469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2.7284120782600785E-2</v>
      </c>
      <c r="M340" s="845"/>
      <c r="N340" s="845"/>
      <c r="O340" s="48">
        <f>IF(t&lt;Tnet,'2020'!Resal+('2020'!Salim-'2020'!Resal)*(1-EXP(('2020'!Tnet-t)/('2020'!Tau_j))),Resal+(Salim-Resal)*(1-EXP((Tnet-t)/(Tau_j))))*Salcycl</f>
        <v>2.2141255503261442E-2</v>
      </c>
      <c r="P340" s="169">
        <f>(INDEX(Models!$BJ340:$BT340,,T340)*(1-R340)+INDEX(Models!$BJ340:$BT340,,T340+1)*R340-ERP_i)*Q340*Ramure*Pc/MaxiM</f>
        <v>2.8131027309773529E-4</v>
      </c>
      <c r="Q340" s="305">
        <f t="shared" si="125"/>
        <v>0.5</v>
      </c>
      <c r="R340" s="177">
        <f t="shared" si="126"/>
        <v>0.99698667603469648</v>
      </c>
      <c r="S340" s="811">
        <f t="shared" si="127"/>
        <v>-1</v>
      </c>
      <c r="T340" s="176">
        <f t="shared" si="128"/>
        <v>5</v>
      </c>
      <c r="U340" s="251">
        <f t="shared" si="129"/>
        <v>-3.013323965303516E-3</v>
      </c>
      <c r="V340" s="383">
        <f t="shared" si="130"/>
        <v>27.090393036054991</v>
      </c>
      <c r="W340" s="402"/>
      <c r="X340" s="157">
        <f t="shared" si="131"/>
        <v>44522</v>
      </c>
      <c r="Y340" s="385">
        <f t="shared" si="132"/>
        <v>16.94178938546284</v>
      </c>
      <c r="Z340" s="385">
        <f t="shared" si="133"/>
        <v>17.416996830660764</v>
      </c>
      <c r="AA340" s="386">
        <f t="shared" si="134"/>
        <v>18.624260058603685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6.4822077448666873E-2</v>
      </c>
      <c r="AD340" s="231">
        <f>(INDEX(Models!$BJ340:$BT340,,AH340)*(1-AF340)+INDEX(Models!$BJ340:$BT340,,AH340+1)*AF340-ERP_i)*AE340*Ramure*Pc/MaxiM</f>
        <v>2.8131027309773529E-4</v>
      </c>
      <c r="AE340" s="305">
        <f t="shared" si="136"/>
        <v>0.5</v>
      </c>
      <c r="AF340" s="177">
        <f t="shared" si="137"/>
        <v>0.99698667603469648</v>
      </c>
      <c r="AG340" s="811">
        <f t="shared" si="143"/>
        <v>-1</v>
      </c>
      <c r="AH340" s="176">
        <f t="shared" si="138"/>
        <v>5</v>
      </c>
      <c r="AI340" s="225">
        <f t="shared" si="139"/>
        <v>-3.013323965303516E-3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7">
        <v>12.416</v>
      </c>
      <c r="C341" s="390"/>
      <c r="D341" s="393">
        <f t="shared" si="122"/>
        <v>12.764541232955636</v>
      </c>
      <c r="E341" s="385">
        <f t="shared" si="120"/>
        <v>13.054373413926552</v>
      </c>
      <c r="F341" s="385">
        <f t="shared" si="123"/>
        <v>13.055249614190638</v>
      </c>
      <c r="G341" s="110">
        <f t="shared" si="121"/>
        <v>0.46200075392392037</v>
      </c>
      <c r="H341" s="414" t="b">
        <f>Wh_hp&gt;='2020'!Maxi_hp</f>
        <v>0</v>
      </c>
      <c r="I341" s="380">
        <f>IF(H341,Wh_hp,'2020'!Maxi_hp)</f>
        <v>29.56301535081597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2.7305425756765089E-2</v>
      </c>
      <c r="M341" s="845"/>
      <c r="N341" s="845"/>
      <c r="O341" s="48">
        <f>IF(t&lt;Tnet,'2020'!Resal+('2020'!Salim-'2020'!Resal)*(1-EXP(('2020'!Tnet-t)/('2020'!Tau_j))),Resal+(Salim-Resal)*(1-EXP((Tnet-t)/(Tau_j))))*Salcycl</f>
        <v>2.2201922051786848E-2</v>
      </c>
      <c r="P341" s="169">
        <f>(INDEX(Models!$BJ341:$BT341,,T341)*(1-R341)+INDEX(Models!$BJ341:$BT341,,T341+1)*R341-ERP_i)*Q341*Ramure*Pc/MaxiM</f>
        <v>2.8981668640468041E-4</v>
      </c>
      <c r="Q341" s="305">
        <f t="shared" si="125"/>
        <v>0.5</v>
      </c>
      <c r="R341" s="177">
        <f t="shared" si="126"/>
        <v>0.99700952064264614</v>
      </c>
      <c r="S341" s="811">
        <f t="shared" si="127"/>
        <v>-1</v>
      </c>
      <c r="T341" s="176">
        <f t="shared" si="128"/>
        <v>5</v>
      </c>
      <c r="U341" s="251">
        <f t="shared" si="129"/>
        <v>-2.9904793573538035E-3</v>
      </c>
      <c r="V341" s="383">
        <f t="shared" si="130"/>
        <v>26.868429633862512</v>
      </c>
      <c r="W341" s="402"/>
      <c r="X341" s="157">
        <f t="shared" si="131"/>
        <v>44523</v>
      </c>
      <c r="Y341" s="385">
        <f t="shared" si="132"/>
        <v>11.874811580587414</v>
      </c>
      <c r="Z341" s="385">
        <f t="shared" si="133"/>
        <v>12.208160603574996</v>
      </c>
      <c r="AA341" s="386">
        <f t="shared" si="134"/>
        <v>13.054373413926552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6.4822169821556322E-2</v>
      </c>
      <c r="AD341" s="231">
        <f>(INDEX(Models!$BJ341:$BT341,,AH341)*(1-AF341)+INDEX(Models!$BJ341:$BT341,,AH341+1)*AF341-ERP_i)*AE341*Ramure*Pc/MaxiM</f>
        <v>2.8981668640468041E-4</v>
      </c>
      <c r="AE341" s="305">
        <f t="shared" si="136"/>
        <v>0.5</v>
      </c>
      <c r="AF341" s="177">
        <f t="shared" si="137"/>
        <v>0.99700952064264614</v>
      </c>
      <c r="AG341" s="811">
        <f t="shared" si="143"/>
        <v>-1</v>
      </c>
      <c r="AH341" s="176">
        <f t="shared" si="138"/>
        <v>5</v>
      </c>
      <c r="AI341" s="225">
        <f t="shared" si="139"/>
        <v>-2.9904793573538035E-3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7">
        <v>1.776</v>
      </c>
      <c r="C342" s="390"/>
      <c r="D342" s="393">
        <f t="shared" si="122"/>
        <v>1.8258957609502076</v>
      </c>
      <c r="E342" s="385">
        <f t="shared" si="120"/>
        <v>1.867470965128329</v>
      </c>
      <c r="F342" s="385">
        <f t="shared" si="123"/>
        <v>1.867470965128329</v>
      </c>
      <c r="G342" s="110">
        <f t="shared" si="121"/>
        <v>6.6619377264856422E-2</v>
      </c>
      <c r="H342" s="414" t="b">
        <f>Wh_hp&gt;='2020'!Maxi_hp</f>
        <v>0</v>
      </c>
      <c r="I342" s="380">
        <f>IF(H342,Wh_hp,'2020'!Maxi_hp)</f>
        <v>27.223770958160259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2.7326730264295884E-2</v>
      </c>
      <c r="M342" s="845"/>
      <c r="N342" s="845"/>
      <c r="O342" s="48">
        <f>IF(t&lt;Tnet,'2020'!Resal+('2020'!Salim-'2020'!Resal)*(1-EXP(('2020'!Tnet-t)/('2020'!Tau_j))),Resal+(Salim-Resal)*(1-EXP((Tnet-t)/(Tau_j))))*Salcycl</f>
        <v>2.2262838327590545E-2</v>
      </c>
      <c r="P342" s="169">
        <f>(INDEX(Models!$BJ342:$BT342,,T342)*(1-R342)+INDEX(Models!$BJ342:$BT342,,T342+1)*R342-ERP_i)*Q342*Ramure*Pc/MaxiM</f>
        <v>2.9802432445881792E-4</v>
      </c>
      <c r="Q342" s="305">
        <f t="shared" si="125"/>
        <v>0.5</v>
      </c>
      <c r="R342" s="177">
        <f t="shared" si="126"/>
        <v>0.99703144742239425</v>
      </c>
      <c r="S342" s="811">
        <f t="shared" si="127"/>
        <v>-1</v>
      </c>
      <c r="T342" s="176">
        <f t="shared" si="128"/>
        <v>5</v>
      </c>
      <c r="U342" s="251">
        <f t="shared" si="129"/>
        <v>-2.9685525776058097E-3</v>
      </c>
      <c r="V342" s="383">
        <f t="shared" si="130"/>
        <v>26.650965255065081</v>
      </c>
      <c r="W342" s="402"/>
      <c r="X342" s="157">
        <f t="shared" si="131"/>
        <v>44524</v>
      </c>
      <c r="Y342" s="385">
        <f t="shared" si="132"/>
        <v>1.6986914608124524</v>
      </c>
      <c r="Z342" s="385">
        <f t="shared" si="133"/>
        <v>1.7464152801012232</v>
      </c>
      <c r="AA342" s="386">
        <f t="shared" si="134"/>
        <v>1.867470965128329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6.4823329137428928E-2</v>
      </c>
      <c r="AD342" s="231">
        <f>(INDEX(Models!$BJ342:$BT342,,AH342)*(1-AF342)+INDEX(Models!$BJ342:$BT342,,AH342+1)*AF342-ERP_i)*AE342*Ramure*Pc/MaxiM</f>
        <v>2.9802432445881792E-4</v>
      </c>
      <c r="AE342" s="305">
        <f t="shared" si="136"/>
        <v>0.5</v>
      </c>
      <c r="AF342" s="177">
        <f t="shared" si="137"/>
        <v>0.99703144742239425</v>
      </c>
      <c r="AG342" s="811">
        <f t="shared" si="143"/>
        <v>-1</v>
      </c>
      <c r="AH342" s="176">
        <f t="shared" si="138"/>
        <v>5</v>
      </c>
      <c r="AI342" s="225">
        <f t="shared" si="139"/>
        <v>-2.9685525776058097E-3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7">
        <v>17.152999999999999</v>
      </c>
      <c r="C343" s="390"/>
      <c r="D343" s="393">
        <f t="shared" si="122"/>
        <v>17.635290530407815</v>
      </c>
      <c r="E343" s="385">
        <f t="shared" si="120"/>
        <v>18.037970434439188</v>
      </c>
      <c r="F343" s="385">
        <f t="shared" si="123"/>
        <v>18.04072058200839</v>
      </c>
      <c r="G343" s="110">
        <f t="shared" si="121"/>
        <v>0.64869890300844457</v>
      </c>
      <c r="H343" s="414" t="b">
        <f>Wh_hp&gt;='2020'!Maxi_hp</f>
        <v>0</v>
      </c>
      <c r="I343" s="380">
        <f>IF(H343,Wh_hp,'2020'!Maxi_hp)</f>
        <v>26.38503248912658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2.7348034305203162E-2</v>
      </c>
      <c r="M343" s="845"/>
      <c r="N343" s="845"/>
      <c r="O343" s="48">
        <f>IF(t&lt;Tnet,'2020'!Resal+('2020'!Salim-'2020'!Resal)*(1-EXP(('2020'!Tnet-t)/('2020'!Tau_j))),Resal+(Salim-Resal)*(1-EXP((Tnet-t)/(Tau_j))))*Salcycl</f>
        <v>2.2324013973465159E-2</v>
      </c>
      <c r="P343" s="169">
        <f>(INDEX(Models!$BJ343:$BT343,,T343)*(1-R343)+INDEX(Models!$BJ343:$BT343,,T343+1)*R343-ERP_i)*Q343*Ramure*Pc/MaxiM</f>
        <v>3.0593245057129287E-4</v>
      </c>
      <c r="Q343" s="305">
        <f t="shared" si="125"/>
        <v>0.5</v>
      </c>
      <c r="R343" s="177">
        <f t="shared" si="126"/>
        <v>0.99705249317379152</v>
      </c>
      <c r="S343" s="811">
        <f t="shared" si="127"/>
        <v>-1</v>
      </c>
      <c r="T343" s="176">
        <f t="shared" si="128"/>
        <v>5</v>
      </c>
      <c r="U343" s="251">
        <f t="shared" si="129"/>
        <v>-2.9475068262084791E-3</v>
      </c>
      <c r="V343" s="383">
        <f t="shared" si="130"/>
        <v>26.43810045334973</v>
      </c>
      <c r="W343" s="402"/>
      <c r="X343" s="157">
        <f t="shared" si="131"/>
        <v>44525</v>
      </c>
      <c r="Y343" s="385">
        <f t="shared" si="132"/>
        <v>16.407324268312522</v>
      </c>
      <c r="Z343" s="385">
        <f t="shared" si="133"/>
        <v>16.868648650282875</v>
      </c>
      <c r="AA343" s="386">
        <f t="shared" si="134"/>
        <v>18.037970434439188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6.4825573830843641E-2</v>
      </c>
      <c r="AD343" s="231">
        <f>(INDEX(Models!$BJ343:$BT343,,AH343)*(1-AF343)+INDEX(Models!$BJ343:$BT343,,AH343+1)*AF343-ERP_i)*AE343*Ramure*Pc/MaxiM</f>
        <v>3.0593245057129287E-4</v>
      </c>
      <c r="AE343" s="305">
        <f t="shared" si="136"/>
        <v>0.5</v>
      </c>
      <c r="AF343" s="177">
        <f t="shared" si="137"/>
        <v>0.99705249317379152</v>
      </c>
      <c r="AG343" s="811">
        <f t="shared" si="143"/>
        <v>-1</v>
      </c>
      <c r="AH343" s="176">
        <f t="shared" si="138"/>
        <v>5</v>
      </c>
      <c r="AI343" s="225">
        <f t="shared" si="139"/>
        <v>-2.9475068262084791E-3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7">
        <v>7.7640000000000002</v>
      </c>
      <c r="C344" s="390"/>
      <c r="D344" s="393">
        <f t="shared" si="122"/>
        <v>7.9824750569482772</v>
      </c>
      <c r="E344" s="385">
        <f t="shared" si="120"/>
        <v>8.1652580929912713</v>
      </c>
      <c r="F344" s="385">
        <f t="shared" si="123"/>
        <v>8.1652580929912713</v>
      </c>
      <c r="G344" s="110">
        <f t="shared" si="121"/>
        <v>0.29590486742581484</v>
      </c>
      <c r="H344" s="414" t="b">
        <f>Wh_hp&gt;='2020'!Maxi_hp</f>
        <v>0</v>
      </c>
      <c r="I344" s="380">
        <f>IF(H344,Wh_hp,'2020'!Maxi_hp)</f>
        <v>26.793324525882319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2.7369337879497357E-2</v>
      </c>
      <c r="M344" s="845"/>
      <c r="N344" s="845"/>
      <c r="O344" s="48">
        <f>IF(t&lt;Tnet,'2020'!Resal+('2020'!Salim-'2020'!Resal)*(1-EXP(('2020'!Tnet-t)/('2020'!Tau_j))),Resal+(Salim-Resal)*(1-EXP((Tnet-t)/(Tau_j))))*Salcycl</f>
        <v>2.2385457258220397E-2</v>
      </c>
      <c r="P344" s="169">
        <f>(INDEX(Models!$BJ344:$BT344,,T344)*(1-R344)+INDEX(Models!$BJ344:$BT344,,T344+1)*R344-ERP_i)*Q344*Ramure*Pc/MaxiM</f>
        <v>3.13540001520045E-4</v>
      </c>
      <c r="Q344" s="305">
        <f t="shared" si="125"/>
        <v>0.5</v>
      </c>
      <c r="R344" s="177">
        <f t="shared" si="126"/>
        <v>0.99707269322718983</v>
      </c>
      <c r="S344" s="811">
        <f t="shared" si="127"/>
        <v>-1</v>
      </c>
      <c r="T344" s="176">
        <f t="shared" si="128"/>
        <v>5</v>
      </c>
      <c r="U344" s="251">
        <f t="shared" si="129"/>
        <v>-2.9273067728101121E-3</v>
      </c>
      <c r="V344" s="383">
        <f t="shared" si="130"/>
        <v>26.229935799802515</v>
      </c>
      <c r="W344" s="402"/>
      <c r="X344" s="157">
        <f t="shared" si="131"/>
        <v>44526</v>
      </c>
      <c r="Y344" s="385">
        <f t="shared" si="132"/>
        <v>7.4269233544441677</v>
      </c>
      <c r="Z344" s="385">
        <f t="shared" si="133"/>
        <v>7.635913244038794</v>
      </c>
      <c r="AA344" s="386">
        <f t="shared" si="134"/>
        <v>8.1652580929912713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6.4828918195108318E-2</v>
      </c>
      <c r="AD344" s="231">
        <f>(INDEX(Models!$BJ344:$BT344,,AH344)*(1-AF344)+INDEX(Models!$BJ344:$BT344,,AH344+1)*AF344-ERP_i)*AE344*Ramure*Pc/MaxiM</f>
        <v>3.13540001520045E-4</v>
      </c>
      <c r="AE344" s="305">
        <f t="shared" si="136"/>
        <v>0.5</v>
      </c>
      <c r="AF344" s="177">
        <f t="shared" si="137"/>
        <v>0.99707269322718983</v>
      </c>
      <c r="AG344" s="811">
        <f t="shared" si="143"/>
        <v>-1</v>
      </c>
      <c r="AH344" s="176">
        <f t="shared" si="138"/>
        <v>5</v>
      </c>
      <c r="AI344" s="225">
        <f t="shared" si="139"/>
        <v>-2.9273067728101121E-3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7">
        <v>15.606</v>
      </c>
      <c r="C345" s="390"/>
      <c r="D345" s="393">
        <f t="shared" si="122"/>
        <v>16.045496432236607</v>
      </c>
      <c r="E345" s="385">
        <f t="shared" si="120"/>
        <v>16.413943086098669</v>
      </c>
      <c r="F345" s="385">
        <f t="shared" si="123"/>
        <v>16.416198396065131</v>
      </c>
      <c r="G345" s="110">
        <f t="shared" si="121"/>
        <v>0.59958512574439138</v>
      </c>
      <c r="H345" s="414" t="b">
        <f>Wh_hp&gt;='2020'!Maxi_hp</f>
        <v>0</v>
      </c>
      <c r="I345" s="380">
        <f>IF(H345,Wh_hp,'2020'!Maxi_hp)</f>
        <v>25.130362962848679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2.7390640987188575E-2</v>
      </c>
      <c r="M345" s="845"/>
      <c r="N345" s="845"/>
      <c r="O345" s="48">
        <f>IF(t&lt;Tnet,'2020'!Resal+('2020'!Salim-'2020'!Resal)*(1-EXP(('2020'!Tnet-t)/('2020'!Tau_j))),Resal+(Salim-Resal)*(1-EXP((Tnet-t)/(Tau_j))))*Salcycl</f>
        <v>2.2447175058996512E-2</v>
      </c>
      <c r="P345" s="169">
        <f>(INDEX(Models!$BJ345:$BT345,,T345)*(1-R345)+INDEX(Models!$BJ345:$BT345,,T345+1)*R345-ERP_i)*Q345*Ramure*Pc/MaxiM</f>
        <v>3.2088684888716135E-4</v>
      </c>
      <c r="Q345" s="305">
        <f t="shared" si="125"/>
        <v>0.5</v>
      </c>
      <c r="R345" s="177">
        <f t="shared" si="126"/>
        <v>0.99709208150165041</v>
      </c>
      <c r="S345" s="811">
        <f t="shared" si="127"/>
        <v>-1</v>
      </c>
      <c r="T345" s="176">
        <f t="shared" si="128"/>
        <v>5</v>
      </c>
      <c r="U345" s="251">
        <f t="shared" si="129"/>
        <v>-2.9079184983495376E-3</v>
      </c>
      <c r="V345" s="383">
        <f t="shared" si="130"/>
        <v>26.023220354727446</v>
      </c>
      <c r="W345" s="402"/>
      <c r="X345" s="157">
        <f t="shared" si="131"/>
        <v>44527</v>
      </c>
      <c r="Y345" s="385">
        <f t="shared" si="132"/>
        <v>14.929331712996134</v>
      </c>
      <c r="Z345" s="385">
        <f t="shared" si="133"/>
        <v>15.349771801650412</v>
      </c>
      <c r="AA345" s="386">
        <f t="shared" si="134"/>
        <v>16.413943086098669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6.4833372387499394E-2</v>
      </c>
      <c r="AD345" s="231">
        <f>(INDEX(Models!$BJ345:$BT345,,AH345)*(1-AF345)+INDEX(Models!$BJ345:$BT345,,AH345+1)*AF345-ERP_i)*AE345*Ramure*Pc/MaxiM</f>
        <v>3.2088684888716135E-4</v>
      </c>
      <c r="AE345" s="305">
        <f t="shared" si="136"/>
        <v>0.5</v>
      </c>
      <c r="AF345" s="177">
        <f t="shared" si="137"/>
        <v>0.99709208150165041</v>
      </c>
      <c r="AG345" s="811">
        <f t="shared" si="143"/>
        <v>-1</v>
      </c>
      <c r="AH345" s="176">
        <f t="shared" si="138"/>
        <v>5</v>
      </c>
      <c r="AI345" s="225">
        <f t="shared" si="139"/>
        <v>-2.9079184983495376E-3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7">
        <v>7.1219999999999999</v>
      </c>
      <c r="C346" s="390"/>
      <c r="D346" s="393">
        <f t="shared" si="122"/>
        <v>7.3227302693485337</v>
      </c>
      <c r="E346" s="385">
        <f t="shared" si="120"/>
        <v>7.4913544618289887</v>
      </c>
      <c r="F346" s="385">
        <f t="shared" si="123"/>
        <v>7.4913544618289887</v>
      </c>
      <c r="G346" s="110">
        <f t="shared" si="121"/>
        <v>0.27578932863579014</v>
      </c>
      <c r="H346" s="414" t="b">
        <f>Wh_hp&gt;='2020'!Maxi_hp</f>
        <v>0</v>
      </c>
      <c r="I346" s="380">
        <f>IF(H346,Wh_hp,'2020'!Maxi_hp)</f>
        <v>18.630206084198146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2.7411943628287139E-2</v>
      </c>
      <c r="M346" s="845"/>
      <c r="N346" s="845"/>
      <c r="O346" s="48">
        <f>IF(t&lt;Tnet,'2020'!Resal+('2020'!Salim-'2020'!Resal)*(1-EXP(('2020'!Tnet-t)/('2020'!Tau_j))),Resal+(Salim-Resal)*(1-EXP((Tnet-t)/(Tau_j))))*Salcycl</f>
        <v>2.2509172852473176E-2</v>
      </c>
      <c r="P346" s="169">
        <f>(INDEX(Models!$BJ346:$BT346,,T346)*(1-R346)+INDEX(Models!$BJ346:$BT346,,T346+1)*R346-ERP_i)*Q346*Ramure*Pc/MaxiM</f>
        <v>3.2763273164167954E-4</v>
      </c>
      <c r="Q346" s="305">
        <f t="shared" si="125"/>
        <v>0.5</v>
      </c>
      <c r="R346" s="177">
        <f t="shared" si="126"/>
        <v>0.99711069056088519</v>
      </c>
      <c r="S346" s="811">
        <f t="shared" si="127"/>
        <v>-1</v>
      </c>
      <c r="T346" s="176">
        <f t="shared" si="128"/>
        <v>5</v>
      </c>
      <c r="U346" s="251">
        <f t="shared" si="129"/>
        <v>-2.8893094391148066E-3</v>
      </c>
      <c r="V346" s="383">
        <f t="shared" si="130"/>
        <v>25.815598576286984</v>
      </c>
      <c r="W346" s="402"/>
      <c r="X346" s="157">
        <f t="shared" si="131"/>
        <v>44528</v>
      </c>
      <c r="Y346" s="385">
        <f t="shared" si="132"/>
        <v>6.813585219247118</v>
      </c>
      <c r="Z346" s="385">
        <f t="shared" si="133"/>
        <v>7.0056229609332545</v>
      </c>
      <c r="AA346" s="386">
        <f t="shared" si="134"/>
        <v>7.4913544618289887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6.4838942459698359E-2</v>
      </c>
      <c r="AD346" s="231">
        <f>(INDEX(Models!$BJ346:$BT346,,AH346)*(1-AF346)+INDEX(Models!$BJ346:$BT346,,AH346+1)*AF346-ERP_i)*AE346*Ramure*Pc/MaxiM</f>
        <v>3.2763273164167954E-4</v>
      </c>
      <c r="AE346" s="305">
        <f t="shared" si="136"/>
        <v>0.5</v>
      </c>
      <c r="AF346" s="177">
        <f t="shared" si="137"/>
        <v>0.99711069056088519</v>
      </c>
      <c r="AG346" s="811">
        <f t="shared" si="143"/>
        <v>-1</v>
      </c>
      <c r="AH346" s="176">
        <f t="shared" si="138"/>
        <v>5</v>
      </c>
      <c r="AI346" s="225">
        <f t="shared" si="139"/>
        <v>-2.8893094391148066E-3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7">
        <v>7.5890000000000004</v>
      </c>
      <c r="C347" s="390"/>
      <c r="D347" s="393">
        <f t="shared" si="122"/>
        <v>7.8030633550334789</v>
      </c>
      <c r="E347" s="385">
        <f t="shared" si="120"/>
        <v>7.9832570807088059</v>
      </c>
      <c r="F347" s="385">
        <f t="shared" si="123"/>
        <v>7.9832570807088059</v>
      </c>
      <c r="G347" s="110">
        <f t="shared" si="121"/>
        <v>0.29624801625064878</v>
      </c>
      <c r="H347" s="414" t="b">
        <f>Wh_hp&gt;='2020'!Maxi_hp</f>
        <v>0</v>
      </c>
      <c r="I347" s="380">
        <f>IF(H347,Wh_hp,'2020'!Maxi_hp)</f>
        <v>26.41641779115476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2.7433245802803041E-2</v>
      </c>
      <c r="M347" s="845"/>
      <c r="N347" s="845"/>
      <c r="O347" s="48">
        <f>IF(t&lt;Tnet,'2020'!Resal+('2020'!Salim-'2020'!Resal)*(1-EXP(('2020'!Tnet-t)/('2020'!Tau_j))),Resal+(Salim-Resal)*(1-EXP((Tnet-t)/(Tau_j))))*Salcycl</f>
        <v>2.2571454714988066E-2</v>
      </c>
      <c r="P347" s="169">
        <f>(INDEX(Models!$BJ347:$BT347,,T347)*(1-R347)+INDEX(Models!$BJ347:$BT347,,T347+1)*R347-ERP_i)*Q347*Ramure*Pc/MaxiM</f>
        <v>3.3368669902246966E-4</v>
      </c>
      <c r="Q347" s="305">
        <f t="shared" si="125"/>
        <v>0.5</v>
      </c>
      <c r="R347" s="177">
        <f t="shared" si="126"/>
        <v>0.99712855166701431</v>
      </c>
      <c r="S347" s="811">
        <f t="shared" si="127"/>
        <v>-1</v>
      </c>
      <c r="T347" s="176">
        <f t="shared" si="128"/>
        <v>5</v>
      </c>
      <c r="U347" s="251">
        <f t="shared" si="129"/>
        <v>-2.8714483329856377E-3</v>
      </c>
      <c r="V347" s="383">
        <f t="shared" si="130"/>
        <v>25.60850110544666</v>
      </c>
      <c r="W347" s="402"/>
      <c r="X347" s="157">
        <f t="shared" si="131"/>
        <v>44529</v>
      </c>
      <c r="Y347" s="385">
        <f t="shared" si="132"/>
        <v>7.2607727132894251</v>
      </c>
      <c r="Z347" s="385">
        <f t="shared" si="133"/>
        <v>7.4655777425610372</v>
      </c>
      <c r="AA347" s="386">
        <f t="shared" si="134"/>
        <v>7.9832570807088059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6.4845630413020064E-2</v>
      </c>
      <c r="AD347" s="231">
        <f>(INDEX(Models!$BJ347:$BT347,,AH347)*(1-AF347)+INDEX(Models!$BJ347:$BT347,,AH347+1)*AF347-ERP_i)*AE347*Ramure*Pc/MaxiM</f>
        <v>3.3368669902246966E-4</v>
      </c>
      <c r="AE347" s="305">
        <f t="shared" si="136"/>
        <v>0.5</v>
      </c>
      <c r="AF347" s="177">
        <f t="shared" si="137"/>
        <v>0.99712855166701431</v>
      </c>
      <c r="AG347" s="811">
        <f t="shared" si="143"/>
        <v>-1</v>
      </c>
      <c r="AH347" s="176">
        <f t="shared" si="138"/>
        <v>5</v>
      </c>
      <c r="AI347" s="225">
        <f t="shared" si="139"/>
        <v>-2.8714483329856377E-3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7">
        <v>20.339000000000002</v>
      </c>
      <c r="C348" s="390"/>
      <c r="D348" s="393">
        <f t="shared" si="122"/>
        <v>20.913161382783549</v>
      </c>
      <c r="E348" s="385">
        <f t="shared" si="120"/>
        <v>21.397472269363625</v>
      </c>
      <c r="F348" s="385">
        <f t="shared" si="123"/>
        <v>21.402661858392811</v>
      </c>
      <c r="G348" s="110">
        <f t="shared" si="121"/>
        <v>0.80056491440126243</v>
      </c>
      <c r="H348" s="414" t="b">
        <f>Wh_hp&gt;='2020'!Maxi_hp</f>
        <v>0</v>
      </c>
      <c r="I348" s="380">
        <f>IF(H348,Wh_hp,'2020'!Maxi_hp)</f>
        <v>25.687652657075112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2.745454751074683E-2</v>
      </c>
      <c r="M348" s="845"/>
      <c r="N348" s="845"/>
      <c r="O348" s="48">
        <f>IF(t&lt;Tnet,'2020'!Resal+('2020'!Salim-'2020'!Resal)*(1-EXP(('2020'!Tnet-t)/('2020'!Tau_j))),Resal+(Salim-Resal)*(1-EXP((Tnet-t)/(Tau_j))))*Salcycl</f>
        <v>2.2634023331508244E-2</v>
      </c>
      <c r="P348" s="169">
        <f>(INDEX(Models!$BJ348:$BT348,,T348)*(1-R348)+INDEX(Models!$BJ348:$BT348,,T348+1)*R348-ERP_i)*Q348*Ramure*Pc/MaxiM</f>
        <v>3.3902812604730525E-4</v>
      </c>
      <c r="Q348" s="305">
        <f t="shared" si="125"/>
        <v>0.5</v>
      </c>
      <c r="R348" s="177">
        <f t="shared" si="126"/>
        <v>0.99714569483222348</v>
      </c>
      <c r="S348" s="811">
        <f t="shared" si="127"/>
        <v>-1</v>
      </c>
      <c r="T348" s="176">
        <f t="shared" si="128"/>
        <v>5</v>
      </c>
      <c r="U348" s="251">
        <f t="shared" si="129"/>
        <v>-2.8543051677765718E-3</v>
      </c>
      <c r="V348" s="383">
        <f t="shared" si="130"/>
        <v>25.403356234451895</v>
      </c>
      <c r="W348" s="402"/>
      <c r="X348" s="157">
        <f t="shared" si="131"/>
        <v>44530</v>
      </c>
      <c r="Y348" s="385">
        <f t="shared" si="132"/>
        <v>19.460413452344685</v>
      </c>
      <c r="Z348" s="385">
        <f t="shared" si="133"/>
        <v>20.009772707831079</v>
      </c>
      <c r="AA348" s="386">
        <f t="shared" si="134"/>
        <v>21.397472269363625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6.4853434277815217E-2</v>
      </c>
      <c r="AD348" s="231">
        <f>(INDEX(Models!$BJ348:$BT348,,AH348)*(1-AF348)+INDEX(Models!$BJ348:$BT348,,AH348+1)*AF348-ERP_i)*AE348*Ramure*Pc/MaxiM</f>
        <v>3.3902812604730525E-4</v>
      </c>
      <c r="AE348" s="305">
        <f t="shared" si="136"/>
        <v>0.5</v>
      </c>
      <c r="AF348" s="177">
        <f t="shared" si="137"/>
        <v>0.99714569483222348</v>
      </c>
      <c r="AG348" s="811">
        <f t="shared" si="143"/>
        <v>-1</v>
      </c>
      <c r="AH348" s="176">
        <f t="shared" si="138"/>
        <v>5</v>
      </c>
      <c r="AI348" s="225">
        <f t="shared" si="139"/>
        <v>-2.8543051677765718E-3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7">
        <v>4.3849999999999998</v>
      </c>
      <c r="C349" s="390"/>
      <c r="D349" s="393">
        <f t="shared" si="122"/>
        <v>4.5088854547966646</v>
      </c>
      <c r="E349" s="385">
        <f t="shared" si="120"/>
        <v>4.6135997753267581</v>
      </c>
      <c r="F349" s="385">
        <f t="shared" si="123"/>
        <v>4.6135997753267581</v>
      </c>
      <c r="G349" s="110">
        <f t="shared" si="121"/>
        <v>0.17393715425544523</v>
      </c>
      <c r="H349" s="414" t="b">
        <f>Wh_hp&gt;='2020'!Maxi_hp</f>
        <v>0</v>
      </c>
      <c r="I349" s="380">
        <f>IF(H349,Wh_hp,'2020'!Maxi_hp)</f>
        <v>26.512351889003813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2.7475848752128385E-2</v>
      </c>
      <c r="M349" s="845"/>
      <c r="N349" s="845"/>
      <c r="O349" s="48">
        <f>IF(t&lt;Tnet,'2020'!Resal+('2020'!Salim-'2020'!Resal)*(1-EXP(('2020'!Tnet-t)/('2020'!Tau_j))),Resal+(Salim-Resal)*(1-EXP((Tnet-t)/(Tau_j))))*Salcycl</f>
        <v>2.2696880013324715E-2</v>
      </c>
      <c r="P349" s="169">
        <f>(INDEX(Models!$BJ349:$BT349,,T349)*(1-R349)+INDEX(Models!$BJ349:$BT349,,T349+1)*R349-ERP_i)*Q349*Ramure*Pc/MaxiM</f>
        <v>3.4363350081636059E-4</v>
      </c>
      <c r="Q349" s="305">
        <f t="shared" si="125"/>
        <v>0.5</v>
      </c>
      <c r="R349" s="177">
        <f t="shared" si="126"/>
        <v>0.99716214886839893</v>
      </c>
      <c r="S349" s="811">
        <f t="shared" si="127"/>
        <v>-1</v>
      </c>
      <c r="T349" s="176">
        <f t="shared" si="128"/>
        <v>5</v>
      </c>
      <c r="U349" s="251">
        <f t="shared" si="129"/>
        <v>-2.8378511316010657E-3</v>
      </c>
      <c r="V349" s="383">
        <f t="shared" si="130"/>
        <v>25.20159183851711</v>
      </c>
      <c r="W349" s="402"/>
      <c r="X349" s="157">
        <f t="shared" si="131"/>
        <v>44531</v>
      </c>
      <c r="Y349" s="385">
        <f t="shared" si="132"/>
        <v>4.195810408471524</v>
      </c>
      <c r="Z349" s="385">
        <f t="shared" si="133"/>
        <v>4.3143508601691467</v>
      </c>
      <c r="AA349" s="386">
        <f t="shared" si="134"/>
        <v>4.6135997753267581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6.4862348216240068E-2</v>
      </c>
      <c r="AD349" s="231">
        <f>(INDEX(Models!$BJ349:$BT349,,AH349)*(1-AF349)+INDEX(Models!$BJ349:$BT349,,AH349+1)*AF349-ERP_i)*AE349*Ramure*Pc/MaxiM</f>
        <v>3.4363350081636059E-4</v>
      </c>
      <c r="AE349" s="305">
        <f t="shared" si="136"/>
        <v>0.5</v>
      </c>
      <c r="AF349" s="177">
        <f t="shared" si="137"/>
        <v>0.99716214886839893</v>
      </c>
      <c r="AG349" s="811">
        <f t="shared" si="143"/>
        <v>-1</v>
      </c>
      <c r="AH349" s="176">
        <f t="shared" si="138"/>
        <v>5</v>
      </c>
      <c r="AI349" s="225">
        <f t="shared" si="139"/>
        <v>-2.8378511316010657E-3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7">
        <v>10.037000000000001</v>
      </c>
      <c r="C350" s="390"/>
      <c r="D350" s="393">
        <f t="shared" si="122"/>
        <v>10.320792371063831</v>
      </c>
      <c r="E350" s="385">
        <f t="shared" si="120"/>
        <v>10.561164741702074</v>
      </c>
      <c r="F350" s="385">
        <f t="shared" si="123"/>
        <v>10.56169638849005</v>
      </c>
      <c r="G350" s="110">
        <f t="shared" si="121"/>
        <v>0.40128629426159568</v>
      </c>
      <c r="H350" s="414" t="b">
        <f>Wh_hp&gt;='2020'!Maxi_hp</f>
        <v>1</v>
      </c>
      <c r="I350" s="380">
        <f>IF(H350,Wh_hp,'2020'!Maxi_hp)</f>
        <v>10.56169638849005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2.7497149526958142E-2</v>
      </c>
      <c r="M350" s="845"/>
      <c r="N350" s="845"/>
      <c r="O350" s="48">
        <f>IF(t&lt;Tnet,'2020'!Resal+('2020'!Salim-'2020'!Resal)*(1-EXP(('2020'!Tnet-t)/('2020'!Tau_j))),Resal+(Salim-Resal)*(1-EXP((Tnet-t)/(Tau_j))))*Salcycl</f>
        <v>2.2760024724271365E-2</v>
      </c>
      <c r="P350" s="169">
        <f>(INDEX(Models!$BJ350:$BT350,,T350)*(1-R350)+INDEX(Models!$BJ350:$BT350,,T350+1)*R350-ERP_i)*Q350*Ramure*Pc/MaxiM</f>
        <v>3.4747673255693063E-4</v>
      </c>
      <c r="Q350" s="305">
        <f t="shared" si="125"/>
        <v>0.5</v>
      </c>
      <c r="R350" s="177">
        <f t="shared" si="126"/>
        <v>0.99717794143482086</v>
      </c>
      <c r="S350" s="811">
        <f t="shared" si="127"/>
        <v>-1</v>
      </c>
      <c r="T350" s="176">
        <f t="shared" si="128"/>
        <v>5</v>
      </c>
      <c r="U350" s="251">
        <f t="shared" si="129"/>
        <v>-2.8220585651791419E-3</v>
      </c>
      <c r="V350" s="383">
        <f t="shared" si="130"/>
        <v>25.004635354862831</v>
      </c>
      <c r="W350" s="402"/>
      <c r="X350" s="157">
        <f t="shared" si="131"/>
        <v>44532</v>
      </c>
      <c r="Y350" s="385">
        <f t="shared" si="132"/>
        <v>9.6044741655802035</v>
      </c>
      <c r="Z350" s="385">
        <f t="shared" si="133"/>
        <v>9.8760370325993634</v>
      </c>
      <c r="AA350" s="386">
        <f t="shared" si="134"/>
        <v>10.561164741702074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6.4872362647407478E-2</v>
      </c>
      <c r="AD350" s="231">
        <f>(INDEX(Models!$BJ350:$BT350,,AH350)*(1-AF350)+INDEX(Models!$BJ350:$BT350,,AH350+1)*AF350-ERP_i)*AE350*Ramure*Pc/MaxiM</f>
        <v>3.4747673255693063E-4</v>
      </c>
      <c r="AE350" s="305">
        <f t="shared" si="136"/>
        <v>0.5</v>
      </c>
      <c r="AF350" s="177">
        <f t="shared" si="137"/>
        <v>0.99717794143482086</v>
      </c>
      <c r="AG350" s="811">
        <f t="shared" si="143"/>
        <v>-1</v>
      </c>
      <c r="AH350" s="176">
        <f t="shared" si="138"/>
        <v>5</v>
      </c>
      <c r="AI350" s="225">
        <f t="shared" si="139"/>
        <v>-2.8220585651791419E-3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7">
        <v>16.363</v>
      </c>
      <c r="C351" s="390"/>
      <c r="D351" s="393">
        <f t="shared" si="122"/>
        <v>16.82602615672025</v>
      </c>
      <c r="E351" s="385">
        <f t="shared" si="120"/>
        <v>17.219023790550466</v>
      </c>
      <c r="F351" s="385">
        <f t="shared" si="123"/>
        <v>17.22212353344614</v>
      </c>
      <c r="G351" s="110">
        <f t="shared" si="121"/>
        <v>0.65931594005503491</v>
      </c>
      <c r="H351" s="414" t="b">
        <f>Wh_hp&gt;='2020'!Maxi_hp</f>
        <v>1</v>
      </c>
      <c r="I351" s="380">
        <f>IF(H351,Wh_hp,'2020'!Maxi_hp)</f>
        <v>17.22212353344614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2.7518449835246317E-2</v>
      </c>
      <c r="M351" s="845"/>
      <c r="N351" s="845"/>
      <c r="O351" s="48">
        <f>IF(t&lt;Tnet,'2020'!Resal+('2020'!Salim-'2020'!Resal)*(1-EXP(('2020'!Tnet-t)/('2020'!Tau_j))),Resal+(Salim-Resal)*(1-EXP((Tnet-t)/(Tau_j))))*Salcycl</f>
        <v>2.2823456115200078E-2</v>
      </c>
      <c r="P351" s="169">
        <f>(INDEX(Models!$BJ351:$BT351,,T351)*(1-R351)+INDEX(Models!$BJ351:$BT351,,T351+1)*R351-ERP_i)*Q351*Ramure*Pc/MaxiM</f>
        <v>3.5052951961857259E-4</v>
      </c>
      <c r="Q351" s="305">
        <f t="shared" si="125"/>
        <v>0.5</v>
      </c>
      <c r="R351" s="177">
        <f t="shared" si="126"/>
        <v>0.99719309908398346</v>
      </c>
      <c r="S351" s="811">
        <f t="shared" si="127"/>
        <v>-1</v>
      </c>
      <c r="T351" s="176">
        <f t="shared" si="128"/>
        <v>5</v>
      </c>
      <c r="U351" s="251">
        <f t="shared" si="129"/>
        <v>-2.8069009160165415E-3</v>
      </c>
      <c r="V351" s="383">
        <f t="shared" si="130"/>
        <v>24.813913788196881</v>
      </c>
      <c r="W351" s="402"/>
      <c r="X351" s="157">
        <f t="shared" si="131"/>
        <v>44533</v>
      </c>
      <c r="Y351" s="385">
        <f t="shared" si="132"/>
        <v>15.658697466574443</v>
      </c>
      <c r="Z351" s="385">
        <f t="shared" si="133"/>
        <v>16.101793873540956</v>
      </c>
      <c r="AA351" s="386">
        <f t="shared" si="134"/>
        <v>17.219023790550466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6.4883464393761386E-2</v>
      </c>
      <c r="AD351" s="231">
        <f>(INDEX(Models!$BJ351:$BT351,,AH351)*(1-AF351)+INDEX(Models!$BJ351:$BT351,,AH351+1)*AF351-ERP_i)*AE351*Ramure*Pc/MaxiM</f>
        <v>3.5052951961857259E-4</v>
      </c>
      <c r="AE351" s="305">
        <f t="shared" si="136"/>
        <v>0.5</v>
      </c>
      <c r="AF351" s="177">
        <f t="shared" si="137"/>
        <v>0.99719309908398346</v>
      </c>
      <c r="AG351" s="811">
        <f t="shared" si="143"/>
        <v>-1</v>
      </c>
      <c r="AH351" s="176">
        <f t="shared" si="138"/>
        <v>5</v>
      </c>
      <c r="AI351" s="225">
        <f t="shared" si="139"/>
        <v>-2.8069009160165415E-3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7">
        <v>6.7149999999999999</v>
      </c>
      <c r="C352" s="390"/>
      <c r="D352" s="393">
        <f t="shared" si="122"/>
        <v>6.9051665584990767</v>
      </c>
      <c r="E352" s="385">
        <f t="shared" si="120"/>
        <v>7.0669080965486124</v>
      </c>
      <c r="F352" s="385">
        <f t="shared" si="123"/>
        <v>7.0669080965486124</v>
      </c>
      <c r="G352" s="110">
        <f t="shared" si="121"/>
        <v>0.2725293766111655</v>
      </c>
      <c r="H352" s="414" t="b">
        <f>Wh_hp&gt;='2020'!Maxi_hp</f>
        <v>0</v>
      </c>
      <c r="I352" s="380">
        <f>IF(H352,Wh_hp,'2020'!Maxi_hp)</f>
        <v>13.397272469910812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2.7539749677003011E-2</v>
      </c>
      <c r="M352" s="845"/>
      <c r="N352" s="845"/>
      <c r="O352" s="48">
        <f>IF(t&lt;Tnet,'2020'!Resal+('2020'!Salim-'2020'!Resal)*(1-EXP(('2020'!Tnet-t)/('2020'!Tau_j))),Resal+(Salim-Resal)*(1-EXP((Tnet-t)/(Tau_j))))*Salcycl</f>
        <v>2.2887171566378185E-2</v>
      </c>
      <c r="P352" s="169">
        <f>(INDEX(Models!$BJ352:$BT352,,T352)*(1-R352)+INDEX(Models!$BJ352:$BT352,,T352+1)*R352-ERP_i)*Q352*Ramure*Pc/MaxiM</f>
        <v>3.5291652021690552E-4</v>
      </c>
      <c r="Q352" s="305">
        <f t="shared" si="125"/>
        <v>0.5</v>
      </c>
      <c r="R352" s="177">
        <f t="shared" si="126"/>
        <v>0.99720764730561839</v>
      </c>
      <c r="S352" s="811">
        <f t="shared" si="127"/>
        <v>-1</v>
      </c>
      <c r="T352" s="176">
        <f t="shared" si="128"/>
        <v>5</v>
      </c>
      <c r="U352" s="251">
        <f t="shared" si="129"/>
        <v>-2.7923526943815502E-3</v>
      </c>
      <c r="V352" s="383">
        <f t="shared" si="130"/>
        <v>24.63084988868583</v>
      </c>
      <c r="W352" s="402"/>
      <c r="X352" s="157">
        <f t="shared" si="131"/>
        <v>44534</v>
      </c>
      <c r="Y352" s="385">
        <f t="shared" si="132"/>
        <v>6.4263057610614158</v>
      </c>
      <c r="Z352" s="385">
        <f t="shared" si="133"/>
        <v>6.608296595081347</v>
      </c>
      <c r="AA352" s="386">
        <f t="shared" si="134"/>
        <v>7.0669080965486124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6.4895636847357038E-2</v>
      </c>
      <c r="AD352" s="231">
        <f>(INDEX(Models!$BJ352:$BT352,,AH352)*(1-AF352)+INDEX(Models!$BJ352:$BT352,,AH352+1)*AF352-ERP_i)*AE352*Ramure*Pc/MaxiM</f>
        <v>3.5291652021690552E-4</v>
      </c>
      <c r="AE352" s="305">
        <f t="shared" si="136"/>
        <v>0.5</v>
      </c>
      <c r="AF352" s="177">
        <f t="shared" si="137"/>
        <v>0.99720764730561839</v>
      </c>
      <c r="AG352" s="811">
        <f t="shared" si="143"/>
        <v>-1</v>
      </c>
      <c r="AH352" s="176">
        <f t="shared" si="138"/>
        <v>5</v>
      </c>
      <c r="AI352" s="225">
        <f t="shared" si="139"/>
        <v>-2.7923526943815502E-3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7">
        <v>9.6349999999999998</v>
      </c>
      <c r="C353" s="390"/>
      <c r="D353" s="393">
        <f t="shared" si="122"/>
        <v>9.9080769961029489</v>
      </c>
      <c r="E353" s="385">
        <f t="shared" si="120"/>
        <v>10.140820667159526</v>
      </c>
      <c r="F353" s="385">
        <f t="shared" si="123"/>
        <v>10.141303968116013</v>
      </c>
      <c r="G353" s="110">
        <f t="shared" si="121"/>
        <v>0.39383790568921201</v>
      </c>
      <c r="H353" s="414" t="b">
        <f>Wh_hp&gt;='2020'!Maxi_hp</f>
        <v>0</v>
      </c>
      <c r="I353" s="380">
        <f>IF(H353,Wh_hp,'2020'!Maxi_hp)</f>
        <v>19.604054954984996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2.7561049052238551E-2</v>
      </c>
      <c r="M353" s="845"/>
      <c r="N353" s="845"/>
      <c r="O353" s="48">
        <f>IF(t&lt;Tnet,'2020'!Resal+('2020'!Salim-'2020'!Resal)*(1-EXP(('2020'!Tnet-t)/('2020'!Tau_j))),Resal+(Salim-Resal)*(1-EXP((Tnet-t)/(Tau_j))))*Salcycl</f>
        <v>2.2951167237411394E-2</v>
      </c>
      <c r="P353" s="169">
        <f>(INDEX(Models!$BJ353:$BT353,,T353)*(1-R353)+INDEX(Models!$BJ353:$BT353,,T353+1)*R353-ERP_i)*Q353*Ramure*Pc/MaxiM</f>
        <v>3.5504505062768928E-4</v>
      </c>
      <c r="Q353" s="305">
        <f t="shared" si="125"/>
        <v>0.5</v>
      </c>
      <c r="R353" s="177">
        <f t="shared" si="126"/>
        <v>0.99722161056898739</v>
      </c>
      <c r="S353" s="811">
        <f t="shared" si="127"/>
        <v>-1</v>
      </c>
      <c r="T353" s="176">
        <f t="shared" si="128"/>
        <v>5</v>
      </c>
      <c r="U353" s="251">
        <f t="shared" si="129"/>
        <v>-2.7783894310126067E-3</v>
      </c>
      <c r="V353" s="383">
        <f t="shared" si="130"/>
        <v>24.456859110899199</v>
      </c>
      <c r="W353" s="402"/>
      <c r="X353" s="157">
        <f t="shared" si="131"/>
        <v>44535</v>
      </c>
      <c r="Y353" s="385">
        <f t="shared" si="132"/>
        <v>9.221241385587776</v>
      </c>
      <c r="Z353" s="385">
        <f t="shared" si="133"/>
        <v>9.4825915566221823</v>
      </c>
      <c r="AA353" s="386">
        <f t="shared" si="134"/>
        <v>10.140820667159526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6.4908860154581083E-2</v>
      </c>
      <c r="AD353" s="231">
        <f>(INDEX(Models!$BJ353:$BT353,,AH353)*(1-AF353)+INDEX(Models!$BJ353:$BT353,,AH353+1)*AF353-ERP_i)*AE353*Ramure*Pc/MaxiM</f>
        <v>3.5504505062768928E-4</v>
      </c>
      <c r="AE353" s="305">
        <f t="shared" si="136"/>
        <v>0.5</v>
      </c>
      <c r="AF353" s="177">
        <f t="shared" si="137"/>
        <v>0.99722161056898739</v>
      </c>
      <c r="AG353" s="811">
        <f t="shared" si="143"/>
        <v>-1</v>
      </c>
      <c r="AH353" s="176">
        <f t="shared" si="138"/>
        <v>5</v>
      </c>
      <c r="AI353" s="225">
        <f t="shared" si="139"/>
        <v>-2.7783894310126067E-3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7">
        <v>12.153</v>
      </c>
      <c r="C354" s="390"/>
      <c r="D354" s="393">
        <f t="shared" si="122"/>
        <v>12.497716361397487</v>
      </c>
      <c r="E354" s="385">
        <f t="shared" si="120"/>
        <v>12.792132904743614</v>
      </c>
      <c r="F354" s="385">
        <f t="shared" si="123"/>
        <v>12.793439123879123</v>
      </c>
      <c r="G354" s="110">
        <f t="shared" si="121"/>
        <v>0.50013253054968454</v>
      </c>
      <c r="H354" s="414" t="b">
        <f>Wh_hp&gt;='2020'!Maxi_hp</f>
        <v>0</v>
      </c>
      <c r="I354" s="380">
        <f>IF(H354,Wh_hp,'2020'!Maxi_hp)</f>
        <v>20.632916228723204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2.7582347960963038E-2</v>
      </c>
      <c r="M354" s="845"/>
      <c r="N354" s="845"/>
      <c r="O354" s="48">
        <f>IF(t&lt;Tnet,'2020'!Resal+('2020'!Salim-'2020'!Resal)*(1-EXP(('2020'!Tnet-t)/('2020'!Tau_j))),Resal+(Salim-Resal)*(1-EXP((Tnet-t)/(Tau_j))))*Salcycl</f>
        <v>2.3015438124235812E-2</v>
      </c>
      <c r="P354" s="169">
        <f>(INDEX(Models!$BJ354:$BT354,,T354)*(1-R354)+INDEX(Models!$BJ354:$BT354,,T354+1)*R354-ERP_i)*Q354*Ramure*Pc/MaxiM</f>
        <v>3.5688850079278276E-4</v>
      </c>
      <c r="Q354" s="305">
        <f t="shared" si="125"/>
        <v>0.5</v>
      </c>
      <c r="R354" s="177">
        <f t="shared" si="126"/>
        <v>0.99723501236351031</v>
      </c>
      <c r="S354" s="811">
        <f t="shared" si="127"/>
        <v>-1</v>
      </c>
      <c r="T354" s="176">
        <f t="shared" si="128"/>
        <v>5</v>
      </c>
      <c r="U354" s="251">
        <f t="shared" si="129"/>
        <v>-2.7649876364896353E-3</v>
      </c>
      <c r="V354" s="383">
        <f t="shared" si="130"/>
        <v>24.293367268803657</v>
      </c>
      <c r="W354" s="402"/>
      <c r="X354" s="157">
        <f t="shared" si="131"/>
        <v>44536</v>
      </c>
      <c r="Y354" s="385">
        <f t="shared" si="132"/>
        <v>11.631698053777056</v>
      </c>
      <c r="Z354" s="385">
        <f t="shared" si="133"/>
        <v>11.961627834898774</v>
      </c>
      <c r="AA354" s="386">
        <f t="shared" si="134"/>
        <v>12.792132904743614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6.4923111417711218E-2</v>
      </c>
      <c r="AD354" s="231">
        <f>(INDEX(Models!$BJ354:$BT354,,AH354)*(1-AF354)+INDEX(Models!$BJ354:$BT354,,AH354+1)*AF354-ERP_i)*AE354*Ramure*Pc/MaxiM</f>
        <v>3.5688850079278276E-4</v>
      </c>
      <c r="AE354" s="305">
        <f t="shared" si="136"/>
        <v>0.5</v>
      </c>
      <c r="AF354" s="177">
        <f t="shared" si="137"/>
        <v>0.99723501236351031</v>
      </c>
      <c r="AG354" s="811">
        <f t="shared" si="143"/>
        <v>-1</v>
      </c>
      <c r="AH354" s="176">
        <f t="shared" si="138"/>
        <v>5</v>
      </c>
      <c r="AI354" s="225">
        <f t="shared" si="139"/>
        <v>-2.7649876364896353E-3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7">
        <v>5.6930000000000005</v>
      </c>
      <c r="C355" s="390"/>
      <c r="D355" s="393">
        <f t="shared" si="122"/>
        <v>5.8546085440798574</v>
      </c>
      <c r="E355" s="385">
        <f t="shared" si="120"/>
        <v>5.9929251248522322</v>
      </c>
      <c r="F355" s="385">
        <f t="shared" si="123"/>
        <v>5.9929251248522322</v>
      </c>
      <c r="G355" s="110">
        <f t="shared" si="121"/>
        <v>0.23573054174826227</v>
      </c>
      <c r="H355" s="414" t="b">
        <f>Wh_hp&gt;='2020'!Maxi_hp</f>
        <v>0</v>
      </c>
      <c r="I355" s="380">
        <f>IF(H355,Wh_hp,'2020'!Maxi_hp)</f>
        <v>19.491266327728862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2.7603646403186799E-2</v>
      </c>
      <c r="M355" s="845"/>
      <c r="N355" s="845"/>
      <c r="O355" s="48">
        <f>IF(t&lt;Tnet,'2020'!Resal+('2020'!Salim-'2020'!Resal)*(1-EXP(('2020'!Tnet-t)/('2020'!Tau_j))),Resal+(Salim-Resal)*(1-EXP((Tnet-t)/(Tau_j))))*Salcycl</f>
        <v>2.307997812266761E-2</v>
      </c>
      <c r="P355" s="169">
        <f>(INDEX(Models!$BJ355:$BT355,,T355)*(1-R355)+INDEX(Models!$BJ355:$BT355,,T355+1)*R355-ERP_i)*Q355*Ramure*Pc/MaxiM</f>
        <v>3.5841929952819512E-4</v>
      </c>
      <c r="Q355" s="305">
        <f t="shared" si="125"/>
        <v>0.5</v>
      </c>
      <c r="R355" s="177">
        <f t="shared" si="126"/>
        <v>0.99724787523779534</v>
      </c>
      <c r="S355" s="811">
        <f t="shared" si="127"/>
        <v>-1</v>
      </c>
      <c r="T355" s="176">
        <f t="shared" si="128"/>
        <v>5</v>
      </c>
      <c r="U355" s="251">
        <f t="shared" si="129"/>
        <v>-2.7521247622045997E-3</v>
      </c>
      <c r="V355" s="383">
        <f t="shared" si="130"/>
        <v>24.14179968671683</v>
      </c>
      <c r="W355" s="402"/>
      <c r="X355" s="157">
        <f t="shared" si="131"/>
        <v>44537</v>
      </c>
      <c r="Y355" s="385">
        <f t="shared" si="132"/>
        <v>5.4490703121516297</v>
      </c>
      <c r="Z355" s="385">
        <f t="shared" si="133"/>
        <v>5.6037543662067142</v>
      </c>
      <c r="AA355" s="386">
        <f t="shared" si="134"/>
        <v>5.9929251248522322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6.4938364911594645E-2</v>
      </c>
      <c r="AD355" s="231">
        <f>(INDEX(Models!$BJ355:$BT355,,AH355)*(1-AF355)+INDEX(Models!$BJ355:$BT355,,AH355+1)*AF355-ERP_i)*AE355*Ramure*Pc/MaxiM</f>
        <v>3.5841929952819512E-4</v>
      </c>
      <c r="AE355" s="305">
        <f t="shared" si="136"/>
        <v>0.5</v>
      </c>
      <c r="AF355" s="177">
        <f t="shared" si="137"/>
        <v>0.99724787523779534</v>
      </c>
      <c r="AG355" s="811">
        <f t="shared" si="143"/>
        <v>-1</v>
      </c>
      <c r="AH355" s="176">
        <f t="shared" si="138"/>
        <v>5</v>
      </c>
      <c r="AI355" s="225">
        <f t="shared" si="139"/>
        <v>-2.7521247622045997E-3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7">
        <v>10.023</v>
      </c>
      <c r="C356" s="390"/>
      <c r="D356" s="393">
        <f t="shared" si="122"/>
        <v>10.307751049411754</v>
      </c>
      <c r="E356" s="385">
        <f t="shared" si="120"/>
        <v>10.551974171203494</v>
      </c>
      <c r="F356" s="385">
        <f t="shared" si="123"/>
        <v>10.552611498093542</v>
      </c>
      <c r="G356" s="110">
        <f t="shared" si="121"/>
        <v>0.41743774446332998</v>
      </c>
      <c r="H356" s="414" t="b">
        <f>Wh_hp&gt;='2020'!Maxi_hp</f>
        <v>0</v>
      </c>
      <c r="I356" s="380">
        <f>IF(H356,Wh_hp,'2020'!Maxi_hp)</f>
        <v>16.757981515209075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2.7624944378920047E-2</v>
      </c>
      <c r="M356" s="845"/>
      <c r="N356" s="845"/>
      <c r="O356" s="48">
        <f>IF(t&lt;Tnet,'2020'!Resal+('2020'!Salim-'2020'!Resal)*(1-EXP(('2020'!Tnet-t)/('2020'!Tau_j))),Resal+(Salim-Resal)*(1-EXP((Tnet-t)/(Tau_j))))*Salcycl</f>
        <v>2.314478009794866E-2</v>
      </c>
      <c r="P356" s="169">
        <f>(INDEX(Models!$BJ356:$BT356,,T356)*(1-R356)+INDEX(Models!$BJ356:$BT356,,T356+1)*R356-ERP_i)*Q356*Ramure*Pc/MaxiM</f>
        <v>3.5960921212392828E-4</v>
      </c>
      <c r="Q356" s="305">
        <f t="shared" si="125"/>
        <v>0.5</v>
      </c>
      <c r="R356" s="177">
        <f t="shared" si="126"/>
        <v>0.99726022083712951</v>
      </c>
      <c r="S356" s="811">
        <f t="shared" si="127"/>
        <v>-1</v>
      </c>
      <c r="T356" s="176">
        <f t="shared" si="128"/>
        <v>5</v>
      </c>
      <c r="U356" s="251">
        <f t="shared" si="129"/>
        <v>-2.7397791628705481E-3</v>
      </c>
      <c r="V356" s="383">
        <f t="shared" si="130"/>
        <v>24.00358120351283</v>
      </c>
      <c r="W356" s="402"/>
      <c r="X356" s="157">
        <f t="shared" si="131"/>
        <v>44538</v>
      </c>
      <c r="Y356" s="385">
        <f t="shared" si="132"/>
        <v>9.594011405477568</v>
      </c>
      <c r="Z356" s="385">
        <f t="shared" si="133"/>
        <v>9.8665749908091129</v>
      </c>
      <c r="AA356" s="386">
        <f t="shared" si="134"/>
        <v>10.551974171203494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6.4954592313620871E-2</v>
      </c>
      <c r="AD356" s="231">
        <f>(INDEX(Models!$BJ356:$BT356,,AH356)*(1-AF356)+INDEX(Models!$BJ356:$BT356,,AH356+1)*AF356-ERP_i)*AE356*Ramure*Pc/MaxiM</f>
        <v>3.5960921212392828E-4</v>
      </c>
      <c r="AE356" s="305">
        <f t="shared" si="136"/>
        <v>0.5</v>
      </c>
      <c r="AF356" s="177">
        <f t="shared" si="137"/>
        <v>0.99726022083712951</v>
      </c>
      <c r="AG356" s="811">
        <f t="shared" si="143"/>
        <v>-1</v>
      </c>
      <c r="AH356" s="176">
        <f t="shared" si="138"/>
        <v>5</v>
      </c>
      <c r="AI356" s="225">
        <f t="shared" si="139"/>
        <v>-2.7397791628705481E-3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7">
        <v>8.3179999999999996</v>
      </c>
      <c r="C357" s="390"/>
      <c r="D357" s="393">
        <f t="shared" si="122"/>
        <v>8.5544997698701497</v>
      </c>
      <c r="E357" s="385">
        <f t="shared" si="120"/>
        <v>8.757766084054305</v>
      </c>
      <c r="F357" s="385">
        <f t="shared" si="123"/>
        <v>8.7579839956310295</v>
      </c>
      <c r="G357" s="110">
        <f t="shared" si="121"/>
        <v>0.34820608994156621</v>
      </c>
      <c r="H357" s="414" t="b">
        <f>Wh_hp&gt;='2020'!Maxi_hp</f>
        <v>0</v>
      </c>
      <c r="I357" s="380">
        <f>IF(H357,Wh_hp,'2020'!Maxi_hp)</f>
        <v>11.880379374635188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2.7646241888172995E-2</v>
      </c>
      <c r="M357" s="845"/>
      <c r="N357" s="845"/>
      <c r="O357" s="48">
        <f>IF(t&lt;Tnet,'2020'!Resal+('2020'!Salim-'2020'!Resal)*(1-EXP(('2020'!Tnet-t)/('2020'!Tau_j))),Resal+(Salim-Resal)*(1-EXP((Tnet-t)/(Tau_j))))*Salcycl</f>
        <v>2.3209835959680642E-2</v>
      </c>
      <c r="P357" s="169">
        <f>(INDEX(Models!$BJ357:$BT357,,T357)*(1-R357)+INDEX(Models!$BJ357:$BT357,,T357+1)*R357-ERP_i)*Q357*Ramure*Pc/MaxiM</f>
        <v>3.6042969065447469E-4</v>
      </c>
      <c r="Q357" s="305">
        <f t="shared" si="125"/>
        <v>0.5</v>
      </c>
      <c r="R357" s="177">
        <f t="shared" si="126"/>
        <v>0.99727206993948947</v>
      </c>
      <c r="S357" s="811">
        <f t="shared" si="127"/>
        <v>-1</v>
      </c>
      <c r="T357" s="176">
        <f t="shared" si="128"/>
        <v>5</v>
      </c>
      <c r="U357" s="251">
        <f t="shared" si="129"/>
        <v>-2.727930060510475E-3</v>
      </c>
      <c r="V357" s="383">
        <f t="shared" si="130"/>
        <v>23.88013616276918</v>
      </c>
      <c r="W357" s="402"/>
      <c r="X357" s="157">
        <f t="shared" si="131"/>
        <v>44539</v>
      </c>
      <c r="Y357" s="385">
        <f t="shared" si="132"/>
        <v>7.9623701815877626</v>
      </c>
      <c r="Z357" s="385">
        <f t="shared" si="133"/>
        <v>8.1887585821127029</v>
      </c>
      <c r="AA357" s="386">
        <f t="shared" si="134"/>
        <v>8.757766084054305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6.4971762945076034E-2</v>
      </c>
      <c r="AD357" s="231">
        <f>(INDEX(Models!$BJ357:$BT357,,AH357)*(1-AF357)+INDEX(Models!$BJ357:$BT357,,AH357+1)*AF357-ERP_i)*AE357*Ramure*Pc/MaxiM</f>
        <v>3.6042969065447469E-4</v>
      </c>
      <c r="AE357" s="305">
        <f t="shared" si="136"/>
        <v>0.5</v>
      </c>
      <c r="AF357" s="177">
        <f t="shared" si="137"/>
        <v>0.99727206993948947</v>
      </c>
      <c r="AG357" s="811">
        <f t="shared" si="143"/>
        <v>-1</v>
      </c>
      <c r="AH357" s="176">
        <f t="shared" si="138"/>
        <v>5</v>
      </c>
      <c r="AI357" s="225">
        <f t="shared" si="139"/>
        <v>-2.727930060510475E-3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7">
        <v>2.226</v>
      </c>
      <c r="C358" s="390"/>
      <c r="D358" s="393">
        <f t="shared" si="122"/>
        <v>2.2893404150598795</v>
      </c>
      <c r="E358" s="385">
        <f t="shared" si="120"/>
        <v>2.3438948891116587</v>
      </c>
      <c r="F358" s="385">
        <f t="shared" si="123"/>
        <v>2.3438948891116587</v>
      </c>
      <c r="G358" s="110">
        <f t="shared" si="121"/>
        <v>9.3602287813790722E-2</v>
      </c>
      <c r="H358" s="414" t="b">
        <f>Wh_hp&gt;='2020'!Maxi_hp</f>
        <v>0</v>
      </c>
      <c r="I358" s="380">
        <f>IF(H358,Wh_hp,'2020'!Maxi_hp)</f>
        <v>21.95872257479607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2.7667538930955748E-2</v>
      </c>
      <c r="M358" s="845"/>
      <c r="N358" s="845"/>
      <c r="O358" s="48">
        <f>IF(t&lt;Tnet,'2020'!Resal+('2020'!Salim-'2020'!Resal)*(1-EXP(('2020'!Tnet-t)/('2020'!Tau_j))),Resal+(Salim-Resal)*(1-EXP((Tnet-t)/(Tau_j))))*Salcycl</f>
        <v>2.3275136741500894E-2</v>
      </c>
      <c r="P358" s="169">
        <f>(INDEX(Models!$BJ358:$BT358,,T358)*(1-R358)+INDEX(Models!$BJ358:$BT358,,T358+1)*R358-ERP_i)*Q358*Ramure*Pc/MaxiM</f>
        <v>3.6085227571852564E-4</v>
      </c>
      <c r="Q358" s="305">
        <f t="shared" si="125"/>
        <v>0.5</v>
      </c>
      <c r="R358" s="177">
        <f t="shared" si="126"/>
        <v>0.99728344249013401</v>
      </c>
      <c r="S358" s="811">
        <f t="shared" si="127"/>
        <v>-1</v>
      </c>
      <c r="T358" s="176">
        <f t="shared" si="128"/>
        <v>5</v>
      </c>
      <c r="U358" s="251">
        <f t="shared" si="129"/>
        <v>-2.7165575098659356E-3</v>
      </c>
      <c r="V358" s="383">
        <f t="shared" si="130"/>
        <v>23.772888406969102</v>
      </c>
      <c r="W358" s="402"/>
      <c r="X358" s="157">
        <f t="shared" si="131"/>
        <v>44540</v>
      </c>
      <c r="Y358" s="385">
        <f t="shared" si="132"/>
        <v>2.1309303013579752</v>
      </c>
      <c r="Z358" s="385">
        <f t="shared" si="133"/>
        <v>2.1915655258645739</v>
      </c>
      <c r="AA358" s="386">
        <f t="shared" si="134"/>
        <v>2.3438948891116587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6.4989844021895407E-2</v>
      </c>
      <c r="AD358" s="231">
        <f>(INDEX(Models!$BJ358:$BT358,,AH358)*(1-AF358)+INDEX(Models!$BJ358:$BT358,,AH358+1)*AF358-ERP_i)*AE358*Ramure*Pc/MaxiM</f>
        <v>3.6085227571852564E-4</v>
      </c>
      <c r="AE358" s="305">
        <f t="shared" si="136"/>
        <v>0.5</v>
      </c>
      <c r="AF358" s="177">
        <f t="shared" si="137"/>
        <v>0.99728344249013401</v>
      </c>
      <c r="AG358" s="811">
        <f t="shared" si="143"/>
        <v>-1</v>
      </c>
      <c r="AH358" s="176">
        <f t="shared" si="138"/>
        <v>5</v>
      </c>
      <c r="AI358" s="225">
        <f t="shared" si="139"/>
        <v>-2.7165575098659356E-3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7">
        <v>12.488</v>
      </c>
      <c r="C359" s="390"/>
      <c r="D359" s="393">
        <f t="shared" si="122"/>
        <v>12.843625020510071</v>
      </c>
      <c r="E359" s="385">
        <f t="shared" si="120"/>
        <v>13.150568126776578</v>
      </c>
      <c r="F359" s="385">
        <f t="shared" si="123"/>
        <v>13.152110031001266</v>
      </c>
      <c r="G359" s="110">
        <f t="shared" si="121"/>
        <v>0.52725510944605158</v>
      </c>
      <c r="H359" s="414" t="b">
        <f>Wh_hp&gt;='2020'!Maxi_hp</f>
        <v>0</v>
      </c>
      <c r="I359" s="380">
        <f>IF(H359,Wh_hp,'2020'!Maxi_hp)</f>
        <v>18.260406248134906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2.7688835507278631E-2</v>
      </c>
      <c r="M359" s="845"/>
      <c r="N359" s="845"/>
      <c r="O359" s="48">
        <f>IF(t&lt;Tnet,'2020'!Resal+('2020'!Salim-'2020'!Resal)*(1-EXP(('2020'!Tnet-t)/('2020'!Tau_j))),Resal+(Salim-Resal)*(1-EXP((Tnet-t)/(Tau_j))))*Salcycl</f>
        <v>2.3340672684819114E-2</v>
      </c>
      <c r="P359" s="169">
        <f>(INDEX(Models!$BJ359:$BT359,,T359)*(1-R359)+INDEX(Models!$BJ359:$BT359,,T359+1)*R359-ERP_i)*Q359*Ramure*Pc/MaxiM</f>
        <v>3.609115661654619E-4</v>
      </c>
      <c r="Q359" s="305">
        <f t="shared" si="125"/>
        <v>0.5</v>
      </c>
      <c r="R359" s="177">
        <f t="shared" si="126"/>
        <v>0.99729435763482543</v>
      </c>
      <c r="S359" s="811">
        <f t="shared" si="127"/>
        <v>-1</v>
      </c>
      <c r="T359" s="176">
        <f t="shared" si="128"/>
        <v>5</v>
      </c>
      <c r="U359" s="251">
        <f t="shared" si="129"/>
        <v>-2.7056423651746209E-3</v>
      </c>
      <c r="V359" s="383">
        <f t="shared" si="130"/>
        <v>23.679157209366256</v>
      </c>
      <c r="W359" s="402"/>
      <c r="X359" s="157">
        <f t="shared" si="131"/>
        <v>44541</v>
      </c>
      <c r="Y359" s="385">
        <f t="shared" si="132"/>
        <v>11.955212803116121</v>
      </c>
      <c r="Z359" s="385">
        <f t="shared" si="133"/>
        <v>12.295665461533035</v>
      </c>
      <c r="AA359" s="386">
        <f t="shared" si="134"/>
        <v>13.150568126776578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6.5008800912778025E-2</v>
      </c>
      <c r="AD359" s="231">
        <f>(INDEX(Models!$BJ359:$BT359,,AH359)*(1-AF359)+INDEX(Models!$BJ359:$BT359,,AH359+1)*AF359-ERP_i)*AE359*Ramure*Pc/MaxiM</f>
        <v>3.609115661654619E-4</v>
      </c>
      <c r="AE359" s="305">
        <f t="shared" si="136"/>
        <v>0.5</v>
      </c>
      <c r="AF359" s="177">
        <f t="shared" si="137"/>
        <v>0.99729435763482543</v>
      </c>
      <c r="AG359" s="811">
        <f t="shared" si="143"/>
        <v>-1</v>
      </c>
      <c r="AH359" s="176">
        <f t="shared" si="138"/>
        <v>5</v>
      </c>
      <c r="AI359" s="225">
        <f t="shared" si="139"/>
        <v>-2.7056423651746209E-3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7">
        <v>22.584</v>
      </c>
      <c r="C360" s="390"/>
      <c r="D360" s="393">
        <f t="shared" si="122"/>
        <v>23.227640988960033</v>
      </c>
      <c r="E360" s="385">
        <f t="shared" si="120"/>
        <v>23.784347738501449</v>
      </c>
      <c r="F360" s="385">
        <f t="shared" si="123"/>
        <v>23.792403120855759</v>
      </c>
      <c r="G360" s="110">
        <f t="shared" si="121"/>
        <v>0.95711147714695854</v>
      </c>
      <c r="H360" s="414" t="b">
        <f>Wh_hp&gt;='2020'!Maxi_hp</f>
        <v>1</v>
      </c>
      <c r="I360" s="380">
        <f>IF(H360,Wh_hp,'2020'!Maxi_hp)</f>
        <v>23.792403120855759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2.7710131617151856E-2</v>
      </c>
      <c r="M360" s="845"/>
      <c r="N360" s="845"/>
      <c r="O360" s="48">
        <f>IF(t&lt;Tnet,'2020'!Resal+('2020'!Salim-'2020'!Resal)*(1-EXP(('2020'!Tnet-t)/('2020'!Tau_j))),Resal+(Salim-Resal)*(1-EXP((Tnet-t)/(Tau_j))))*Salcycl</f>
        <v>2.3406433325906736E-2</v>
      </c>
      <c r="P360" s="169">
        <f>(INDEX(Models!$BJ360:$BT360,,T360)*(1-R360)+INDEX(Models!$BJ360:$BT360,,T360+1)*R360-ERP_i)*Q360*Ramure*Pc/MaxiM</f>
        <v>3.6065575047893148E-4</v>
      </c>
      <c r="Q360" s="305">
        <f t="shared" si="125"/>
        <v>0.5</v>
      </c>
      <c r="R360" s="177">
        <f t="shared" si="126"/>
        <v>0.99730483375174006</v>
      </c>
      <c r="S360" s="811">
        <f t="shared" si="127"/>
        <v>-1</v>
      </c>
      <c r="T360" s="176">
        <f t="shared" si="128"/>
        <v>5</v>
      </c>
      <c r="U360" s="251">
        <f t="shared" si="129"/>
        <v>-2.6951662482598837E-3</v>
      </c>
      <c r="V360" s="383">
        <f t="shared" si="130"/>
        <v>23.595476153742531</v>
      </c>
      <c r="W360" s="402"/>
      <c r="X360" s="157">
        <f t="shared" si="131"/>
        <v>44542</v>
      </c>
      <c r="Y360" s="385">
        <f t="shared" si="132"/>
        <v>21.62147578769218</v>
      </c>
      <c r="Z360" s="385">
        <f t="shared" si="133"/>
        <v>22.237684964931184</v>
      </c>
      <c r="AA360" s="386">
        <f t="shared" si="134"/>
        <v>23.784347738501449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6.5028597402592189E-2</v>
      </c>
      <c r="AD360" s="231">
        <f>(INDEX(Models!$BJ360:$BT360,,AH360)*(1-AF360)+INDEX(Models!$BJ360:$BT360,,AH360+1)*AF360-ERP_i)*AE360*Ramure*Pc/MaxiM</f>
        <v>3.6065575047893148E-4</v>
      </c>
      <c r="AE360" s="305">
        <f t="shared" si="136"/>
        <v>0.5</v>
      </c>
      <c r="AF360" s="177">
        <f t="shared" si="137"/>
        <v>0.99730483375174006</v>
      </c>
      <c r="AG360" s="811">
        <f t="shared" si="143"/>
        <v>-1</v>
      </c>
      <c r="AH360" s="176">
        <f t="shared" si="138"/>
        <v>5</v>
      </c>
      <c r="AI360" s="225">
        <f t="shared" si="139"/>
        <v>-2.6951662482598837E-3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7">
        <v>24.184000000000001</v>
      </c>
      <c r="C361" s="390"/>
      <c r="D361" s="393">
        <f t="shared" si="122"/>
        <v>24.873785575379028</v>
      </c>
      <c r="E361" s="385">
        <f t="shared" ref="E361:E379" si="144">Wh_pvt/(1-Psa)</f>
        <v>25.471666923287305</v>
      </c>
      <c r="F361" s="385">
        <f t="shared" si="123"/>
        <v>25.480851358483925</v>
      </c>
      <c r="G361" s="110">
        <f t="shared" ref="G361:G379" si="145">+Wh_hp/MaxiM</f>
        <v>1.028140304426099</v>
      </c>
      <c r="H361" s="414" t="b">
        <f>Wh_hp&gt;='2020'!Maxi_hp</f>
        <v>1</v>
      </c>
      <c r="I361" s="380">
        <f>IF(H361,Wh_hp,'2020'!Maxi_hp)</f>
        <v>25.480851358483925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2.7731427260585639E-2</v>
      </c>
      <c r="M361" s="845"/>
      <c r="N361" s="845"/>
      <c r="O361" s="48">
        <f>IF(t&lt;Tnet,'2020'!Resal+('2020'!Salim-'2020'!Resal)*(1-EXP(('2020'!Tnet-t)/('2020'!Tau_j))),Resal+(Salim-Resal)*(1-EXP((Tnet-t)/(Tau_j))))*Salcycl</f>
        <v>2.3472407585609121E-2</v>
      </c>
      <c r="P361" s="169">
        <f>(INDEX(Models!$BJ361:$BT361,,T361)*(1-R361)+INDEX(Models!$BJ361:$BT361,,T361+1)*R361-ERP_i)*Q361*Ramure*Pc/MaxiM</f>
        <v>3.6044459690168343E-4</v>
      </c>
      <c r="Q361" s="305">
        <f t="shared" si="125"/>
        <v>0.5</v>
      </c>
      <c r="R361" s="177">
        <f t="shared" si="126"/>
        <v>0.99731488848211602</v>
      </c>
      <c r="S361" s="811">
        <f t="shared" si="127"/>
        <v>-1</v>
      </c>
      <c r="T361" s="176">
        <f t="shared" si="128"/>
        <v>5</v>
      </c>
      <c r="U361" s="251">
        <f t="shared" si="129"/>
        <v>-2.6851115178839757E-3</v>
      </c>
      <c r="V361" s="383">
        <f t="shared" si="130"/>
        <v>23.52208146678905</v>
      </c>
      <c r="W361" s="402"/>
      <c r="X361" s="157">
        <f t="shared" si="131"/>
        <v>44543</v>
      </c>
      <c r="Y361" s="385">
        <f t="shared" si="132"/>
        <v>23.154338311142126</v>
      </c>
      <c r="Z361" s="385">
        <f t="shared" si="133"/>
        <v>23.814755470192402</v>
      </c>
      <c r="AA361" s="386">
        <f t="shared" si="134"/>
        <v>25.471666923287305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6.5049195958984632E-2</v>
      </c>
      <c r="AD361" s="231">
        <f>(INDEX(Models!$BJ361:$BT361,,AH361)*(1-AF361)+INDEX(Models!$BJ361:$BT361,,AH361+1)*AF361-ERP_i)*AE361*Ramure*Pc/MaxiM</f>
        <v>3.6044459690168343E-4</v>
      </c>
      <c r="AE361" s="305">
        <f t="shared" si="136"/>
        <v>0.5</v>
      </c>
      <c r="AF361" s="177">
        <f t="shared" si="137"/>
        <v>0.99731488848211602</v>
      </c>
      <c r="AG361" s="811">
        <f t="shared" si="143"/>
        <v>-1</v>
      </c>
      <c r="AH361" s="176">
        <f t="shared" si="138"/>
        <v>5</v>
      </c>
      <c r="AI361" s="225">
        <f t="shared" si="139"/>
        <v>-2.6851115178839757E-3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7">
        <v>21.682000000000002</v>
      </c>
      <c r="C362" s="390"/>
      <c r="D362" s="393">
        <f t="shared" si="122"/>
        <v>22.300910992891112</v>
      </c>
      <c r="E362" s="385">
        <f t="shared" si="144"/>
        <v>22.838496866644363</v>
      </c>
      <c r="F362" s="385">
        <f t="shared" si="123"/>
        <v>22.845836803064749</v>
      </c>
      <c r="G362" s="110">
        <f t="shared" si="145"/>
        <v>0.92420618375292363</v>
      </c>
      <c r="H362" s="414" t="b">
        <f>Wh_hp&gt;='2020'!Maxi_hp</f>
        <v>1</v>
      </c>
      <c r="I362" s="380">
        <f>IF(H362,Wh_hp,'2020'!Maxi_hp)</f>
        <v>22.845836803064749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2.7752722437590083E-2</v>
      </c>
      <c r="M362" s="845"/>
      <c r="N362" s="845"/>
      <c r="O362" s="48">
        <f>IF(t&lt;Tnet,'2020'!Resal+('2020'!Salim-'2020'!Resal)*(1-EXP(('2020'!Tnet-t)/('2020'!Tau_j))),Resal+(Salim-Resal)*(1-EXP((Tnet-t)/(Tau_j))))*Salcycl</f>
        <v>2.3538583860936876E-2</v>
      </c>
      <c r="P362" s="169">
        <f>(INDEX(Models!$BJ362:$BT362,,T362)*(1-R362)+INDEX(Models!$BJ362:$BT362,,T362+1)*R362-ERP_i)*Q362*Ramure*Pc/MaxiM</f>
        <v>3.6027167700731008E-4</v>
      </c>
      <c r="Q362" s="305">
        <f t="shared" si="125"/>
        <v>0.5</v>
      </c>
      <c r="R362" s="177">
        <f t="shared" si="126"/>
        <v>0.99732453875968541</v>
      </c>
      <c r="S362" s="811">
        <f t="shared" si="127"/>
        <v>-1</v>
      </c>
      <c r="T362" s="176">
        <f t="shared" si="128"/>
        <v>5</v>
      </c>
      <c r="U362" s="251">
        <f t="shared" si="129"/>
        <v>-2.6754612403146472E-3</v>
      </c>
      <c r="V362" s="383">
        <f t="shared" si="130"/>
        <v>23.459217993296242</v>
      </c>
      <c r="W362" s="402"/>
      <c r="X362" s="157">
        <f t="shared" si="131"/>
        <v>44544</v>
      </c>
      <c r="Y362" s="385">
        <f t="shared" si="132"/>
        <v>20.759796369214403</v>
      </c>
      <c r="Z362" s="385">
        <f t="shared" si="133"/>
        <v>21.352383131648114</v>
      </c>
      <c r="AA362" s="386">
        <f t="shared" si="134"/>
        <v>22.838496866644363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6.5070558000107193E-2</v>
      </c>
      <c r="AD362" s="231">
        <f>(INDEX(Models!$BJ362:$BT362,,AH362)*(1-AF362)+INDEX(Models!$BJ362:$BT362,,AH362+1)*AF362-ERP_i)*AE362*Ramure*Pc/MaxiM</f>
        <v>3.6027167700731008E-4</v>
      </c>
      <c r="AE362" s="305">
        <f t="shared" si="136"/>
        <v>0.5</v>
      </c>
      <c r="AF362" s="177">
        <f t="shared" si="137"/>
        <v>0.99732453875968541</v>
      </c>
      <c r="AG362" s="811">
        <f t="shared" si="143"/>
        <v>-1</v>
      </c>
      <c r="AH362" s="176">
        <f t="shared" si="138"/>
        <v>5</v>
      </c>
      <c r="AI362" s="225">
        <f t="shared" si="139"/>
        <v>-2.6754612403146472E-3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7">
        <v>22.138999999999999</v>
      </c>
      <c r="C363" s="390"/>
      <c r="D363" s="393">
        <f t="shared" si="122"/>
        <v>22.771454775421461</v>
      </c>
      <c r="E363" s="385">
        <f t="shared" si="144"/>
        <v>23.321968682828143</v>
      </c>
      <c r="F363" s="385">
        <f t="shared" si="123"/>
        <v>23.329720166294226</v>
      </c>
      <c r="G363" s="110">
        <f t="shared" si="145"/>
        <v>0.94579652754330268</v>
      </c>
      <c r="H363" s="414" t="b">
        <f>Wh_hp&gt;='2020'!Maxi_hp</f>
        <v>0</v>
      </c>
      <c r="I363" s="380">
        <f>IF(H363,Wh_hp,'2020'!Maxi_hp)</f>
        <v>25.557265904120406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2.7774017148175623E-2</v>
      </c>
      <c r="M363" s="845"/>
      <c r="N363" s="845"/>
      <c r="O363" s="48">
        <f>IF(t&lt;Tnet,'2020'!Resal+('2020'!Salim-'2020'!Resal)*(1-EXP(('2020'!Tnet-t)/('2020'!Tau_j))),Resal+(Salim-Resal)*(1-EXP((Tnet-t)/(Tau_j))))*Salcycl</f>
        <v>2.3604950117784192E-2</v>
      </c>
      <c r="P363" s="169">
        <f>(INDEX(Models!$BJ363:$BT363,,T363)*(1-R363)+INDEX(Models!$BJ363:$BT363,,T363+1)*R363-ERP_i)*Q363*Ramure*Pc/MaxiM</f>
        <v>3.6013049319135907E-4</v>
      </c>
      <c r="Q363" s="305">
        <f t="shared" si="125"/>
        <v>0.5</v>
      </c>
      <c r="R363" s="177">
        <f t="shared" si="126"/>
        <v>0.99733380083894185</v>
      </c>
      <c r="S363" s="811">
        <f t="shared" si="127"/>
        <v>-1</v>
      </c>
      <c r="T363" s="176">
        <f t="shared" si="128"/>
        <v>5</v>
      </c>
      <c r="U363" s="251">
        <f t="shared" si="129"/>
        <v>-2.666199161058147E-3</v>
      </c>
      <c r="V363" s="383">
        <f t="shared" si="130"/>
        <v>23.407130475222946</v>
      </c>
      <c r="W363" s="402"/>
      <c r="X363" s="157">
        <f t="shared" si="131"/>
        <v>44545</v>
      </c>
      <c r="Y363" s="385">
        <f t="shared" si="132"/>
        <v>21.198298735135616</v>
      </c>
      <c r="Z363" s="385">
        <f t="shared" si="133"/>
        <v>21.803880074213588</v>
      </c>
      <c r="AA363" s="386">
        <f t="shared" si="134"/>
        <v>23.321968682828143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6.5092644161396054E-2</v>
      </c>
      <c r="AD363" s="231">
        <f>(INDEX(Models!$BJ363:$BT363,,AH363)*(1-AF363)+INDEX(Models!$BJ363:$BT363,,AH363+1)*AF363-ERP_i)*AE363*Ramure*Pc/MaxiM</f>
        <v>3.6013049319135907E-4</v>
      </c>
      <c r="AE363" s="305">
        <f t="shared" si="136"/>
        <v>0.5</v>
      </c>
      <c r="AF363" s="177">
        <f t="shared" si="137"/>
        <v>0.99733380083894185</v>
      </c>
      <c r="AG363" s="811">
        <f t="shared" si="143"/>
        <v>-1</v>
      </c>
      <c r="AH363" s="176">
        <f t="shared" si="138"/>
        <v>5</v>
      </c>
      <c r="AI363" s="225">
        <f t="shared" si="139"/>
        <v>-2.666199161058147E-3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7">
        <v>23.897000000000002</v>
      </c>
      <c r="C364" s="390"/>
      <c r="D364" s="393">
        <f t="shared" si="122"/>
        <v>24.580214722297132</v>
      </c>
      <c r="E364" s="385">
        <f t="shared" si="144"/>
        <v>25.176172334247973</v>
      </c>
      <c r="F364" s="385">
        <f t="shared" si="123"/>
        <v>25.18523938599883</v>
      </c>
      <c r="G364" s="110">
        <f t="shared" si="145"/>
        <v>1.0227225452563229</v>
      </c>
      <c r="H364" s="414" t="b">
        <f>Wh_hp&gt;='2020'!Maxi_hp</f>
        <v>1</v>
      </c>
      <c r="I364" s="380">
        <f>IF(H364,Wh_hp,'2020'!Maxi_hp)</f>
        <v>25.18523938599883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2.7795311392352251E-2</v>
      </c>
      <c r="M364" s="845"/>
      <c r="N364" s="845"/>
      <c r="O364" s="48">
        <f>IF(t&lt;Tnet,'2020'!Resal+('2020'!Salim-'2020'!Resal)*(1-EXP(('2020'!Tnet-t)/('2020'!Tau_j))),Resal+(Salim-Resal)*(1-EXP((Tnet-t)/(Tau_j))))*Salcycl</f>
        <v>2.3671493984021599E-2</v>
      </c>
      <c r="P364" s="169">
        <f>(INDEX(Models!$BJ364:$BT364,,T364)*(1-R364)+INDEX(Models!$BJ364:$BT364,,T364+1)*R364-ERP_i)*Q364*Ramure*Pc/MaxiM</f>
        <v>3.6001451532348411E-4</v>
      </c>
      <c r="Q364" s="305">
        <f t="shared" si="125"/>
        <v>0.5</v>
      </c>
      <c r="R364" s="177">
        <f t="shared" si="126"/>
        <v>0.99734269032228706</v>
      </c>
      <c r="S364" s="811">
        <f t="shared" si="127"/>
        <v>-1</v>
      </c>
      <c r="T364" s="176">
        <f t="shared" si="128"/>
        <v>5</v>
      </c>
      <c r="U364" s="251">
        <f t="shared" si="129"/>
        <v>-2.6573096777129379E-3</v>
      </c>
      <c r="V364" s="383">
        <f t="shared" si="130"/>
        <v>23.366063563222561</v>
      </c>
      <c r="W364" s="402"/>
      <c r="X364" s="157">
        <f t="shared" si="131"/>
        <v>44546</v>
      </c>
      <c r="Y364" s="385">
        <f t="shared" si="132"/>
        <v>22.882602321465953</v>
      </c>
      <c r="Z364" s="385">
        <f t="shared" si="133"/>
        <v>23.536815435685146</v>
      </c>
      <c r="AA364" s="386">
        <f t="shared" si="134"/>
        <v>25.176172334247973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6.5115414559375071E-2</v>
      </c>
      <c r="AD364" s="231">
        <f>(INDEX(Models!$BJ364:$BT364,,AH364)*(1-AF364)+INDEX(Models!$BJ364:$BT364,,AH364+1)*AF364-ERP_i)*AE364*Ramure*Pc/MaxiM</f>
        <v>3.6001451532348411E-4</v>
      </c>
      <c r="AE364" s="305">
        <f t="shared" si="136"/>
        <v>0.5</v>
      </c>
      <c r="AF364" s="177">
        <f t="shared" si="137"/>
        <v>0.99734269032228706</v>
      </c>
      <c r="AG364" s="811">
        <f t="shared" si="143"/>
        <v>-1</v>
      </c>
      <c r="AH364" s="176">
        <f t="shared" si="138"/>
        <v>5</v>
      </c>
      <c r="AI364" s="225">
        <f t="shared" si="139"/>
        <v>-2.6573096777129379E-3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7">
        <v>24.29</v>
      </c>
      <c r="C365" s="390"/>
      <c r="D365" s="393">
        <f t="shared" si="122"/>
        <v>24.984997819522214</v>
      </c>
      <c r="E365" s="385">
        <f t="shared" si="144"/>
        <v>25.592518207986501</v>
      </c>
      <c r="F365" s="385">
        <f t="shared" si="123"/>
        <v>25.601732712427946</v>
      </c>
      <c r="G365" s="110">
        <f t="shared" si="145"/>
        <v>1.0408693647597316</v>
      </c>
      <c r="H365" s="414" t="b">
        <f>Wh_hp&gt;='2020'!Maxi_hp</f>
        <v>1</v>
      </c>
      <c r="I365" s="380">
        <f>IF(H365,Wh_hp,'2020'!Maxi_hp)</f>
        <v>25.601732712427946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2.7816605170130293E-2</v>
      </c>
      <c r="M365" s="845"/>
      <c r="N365" s="845"/>
      <c r="O365" s="48">
        <f>IF(t&lt;Tnet,'2020'!Resal+('2020'!Salim-'2020'!Resal)*(1-EXP(('2020'!Tnet-t)/('2020'!Tau_j))),Resal+(Salim-Resal)*(1-EXP((Tnet-t)/(Tau_j))))*Salcycl</f>
        <v>2.3738202842215835E-2</v>
      </c>
      <c r="P365" s="169">
        <f>(INDEX(Models!$BJ365:$BT365,,T365)*(1-R365)+INDEX(Models!$BJ365:$BT365,,T365+1)*R365-ERP_i)*Q365*Ramure*Pc/MaxiM</f>
        <v>3.5991721907837769E-4</v>
      </c>
      <c r="Q365" s="305">
        <f t="shared" si="125"/>
        <v>0.5</v>
      </c>
      <c r="R365" s="177">
        <f t="shared" si="126"/>
        <v>0.99735122218609951</v>
      </c>
      <c r="S365" s="811">
        <f t="shared" si="127"/>
        <v>-1</v>
      </c>
      <c r="T365" s="176">
        <f t="shared" si="128"/>
        <v>5</v>
      </c>
      <c r="U365" s="251">
        <f t="shared" si="129"/>
        <v>-2.6487778139004936E-3</v>
      </c>
      <c r="V365" s="383">
        <f t="shared" si="130"/>
        <v>23.336261804195736</v>
      </c>
      <c r="W365" s="402"/>
      <c r="X365" s="157">
        <f t="shared" si="131"/>
        <v>44547</v>
      </c>
      <c r="Y365" s="385">
        <f t="shared" si="132"/>
        <v>23.259926700474004</v>
      </c>
      <c r="Z365" s="385">
        <f t="shared" si="133"/>
        <v>23.925451539464369</v>
      </c>
      <c r="AA365" s="386">
        <f t="shared" si="134"/>
        <v>25.592518207986501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6.513882905051141E-2</v>
      </c>
      <c r="AD365" s="231">
        <f>(INDEX(Models!$BJ365:$BT365,,AH365)*(1-AF365)+INDEX(Models!$BJ365:$BT365,,AH365+1)*AF365-ERP_i)*AE365*Ramure*Pc/MaxiM</f>
        <v>3.5991721907837769E-4</v>
      </c>
      <c r="AE365" s="305">
        <f t="shared" si="136"/>
        <v>0.5</v>
      </c>
      <c r="AF365" s="177">
        <f t="shared" si="137"/>
        <v>0.99735122218609951</v>
      </c>
      <c r="AG365" s="811">
        <f t="shared" si="143"/>
        <v>-1</v>
      </c>
      <c r="AH365" s="176">
        <f t="shared" si="138"/>
        <v>5</v>
      </c>
      <c r="AI365" s="225">
        <f t="shared" si="139"/>
        <v>-2.6487778139004936E-3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7">
        <v>24.404</v>
      </c>
      <c r="C366" s="390"/>
      <c r="D366" s="393">
        <f t="shared" si="122"/>
        <v>25.102809461387032</v>
      </c>
      <c r="E366" s="385">
        <f t="shared" si="144"/>
        <v>25.714955623742132</v>
      </c>
      <c r="F366" s="385">
        <f t="shared" si="123"/>
        <v>25.724211482819697</v>
      </c>
      <c r="G366" s="110">
        <f t="shared" si="145"/>
        <v>1.0465748032640063</v>
      </c>
      <c r="H366" s="414" t="b">
        <f>Wh_hp&gt;='2020'!Maxi_hp</f>
        <v>1</v>
      </c>
      <c r="I366" s="380">
        <f>IF(H366,Wh_hp,'2020'!Maxi_hp)</f>
        <v>25.724211482819697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2.7837898481519963E-2</v>
      </c>
      <c r="M366" s="845"/>
      <c r="N366" s="845"/>
      <c r="O366" s="48">
        <f>IF(t&lt;Tnet,'2020'!Resal+('2020'!Salim-'2020'!Resal)*(1-EXP(('2020'!Tnet-t)/('2020'!Tau_j))),Resal+(Salim-Resal)*(1-EXP((Tnet-t)/(Tau_j))))*Salcycl</f>
        <v>2.3805063921242545E-2</v>
      </c>
      <c r="P366" s="169">
        <f>(INDEX(Models!$BJ366:$BT366,,T366)*(1-R366)+INDEX(Models!$BJ366:$BT366,,T366+1)*R366-ERP_i)*Q366*Ramure*Pc/MaxiM</f>
        <v>3.5981118736122823E-4</v>
      </c>
      <c r="Q366" s="305">
        <f t="shared" si="125"/>
        <v>0.5</v>
      </c>
      <c r="R366" s="177">
        <f t="shared" si="126"/>
        <v>0.99735941080576884</v>
      </c>
      <c r="S366" s="811">
        <f t="shared" si="127"/>
        <v>-1</v>
      </c>
      <c r="T366" s="176">
        <f t="shared" si="128"/>
        <v>5</v>
      </c>
      <c r="U366" s="251">
        <f t="shared" si="129"/>
        <v>-2.6405891942312132E-3</v>
      </c>
      <c r="V366" s="383">
        <f t="shared" si="130"/>
        <v>23.317970128738057</v>
      </c>
      <c r="W366" s="402"/>
      <c r="X366" s="157">
        <f t="shared" si="131"/>
        <v>44548</v>
      </c>
      <c r="Y366" s="385">
        <f t="shared" si="132"/>
        <v>23.370092413774685</v>
      </c>
      <c r="Z366" s="385">
        <f t="shared" si="133"/>
        <v>24.039295892394378</v>
      </c>
      <c r="AA366" s="386">
        <f t="shared" si="134"/>
        <v>25.714955623742132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6.5162847483222916E-2</v>
      </c>
      <c r="AD366" s="231">
        <f>(INDEX(Models!$BJ366:$BT366,,AH366)*(1-AF366)+INDEX(Models!$BJ366:$BT366,,AH366+1)*AF366-ERP_i)*AE366*Ramure*Pc/MaxiM</f>
        <v>3.5981118736122823E-4</v>
      </c>
      <c r="AE366" s="305">
        <f t="shared" si="136"/>
        <v>0.5</v>
      </c>
      <c r="AF366" s="177">
        <f t="shared" si="137"/>
        <v>0.99735941080576884</v>
      </c>
      <c r="AG366" s="811">
        <f t="shared" si="143"/>
        <v>-1</v>
      </c>
      <c r="AH366" s="176">
        <f t="shared" si="138"/>
        <v>5</v>
      </c>
      <c r="AI366" s="225">
        <f t="shared" si="139"/>
        <v>-2.6405891942312132E-3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7">
        <v>24.102</v>
      </c>
      <c r="C367" s="390"/>
      <c r="D367" s="393">
        <f t="shared" si="122"/>
        <v>24.79270470384666</v>
      </c>
      <c r="E367" s="385">
        <f t="shared" si="144"/>
        <v>25.399032031855111</v>
      </c>
      <c r="F367" s="385">
        <f t="shared" si="123"/>
        <v>25.408167099175618</v>
      </c>
      <c r="G367" s="110">
        <f t="shared" si="145"/>
        <v>1.0339131157568784</v>
      </c>
      <c r="H367" s="414" t="b">
        <f>Wh_hp&gt;='2020'!Maxi_hp</f>
        <v>1</v>
      </c>
      <c r="I367" s="380">
        <f>IF(H367,Wh_hp,'2020'!Maxi_hp)</f>
        <v>25.408167099175618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2.7859191326531474E-2</v>
      </c>
      <c r="M367" s="845"/>
      <c r="N367" s="845"/>
      <c r="O367" s="48">
        <f>IF(t&lt;Tnet,'2020'!Resal+('2020'!Salim-'2020'!Resal)*(1-EXP(('2020'!Tnet-t)/('2020'!Tau_j))),Resal+(Salim-Resal)*(1-EXP((Tnet-t)/(Tau_j))))*Salcycl</f>
        <v>2.3872064386075972E-2</v>
      </c>
      <c r="P367" s="169">
        <f>(INDEX(Models!$BJ367:$BT367,,T367)*(1-R367)+INDEX(Models!$BJ367:$BT367,,T367+1)*R367-ERP_i)*Q367*Ramure*Pc/MaxiM</f>
        <v>3.5953271579369631E-4</v>
      </c>
      <c r="Q367" s="305">
        <f t="shared" si="125"/>
        <v>0.5</v>
      </c>
      <c r="R367" s="177">
        <f t="shared" si="126"/>
        <v>0.99736726997973502</v>
      </c>
      <c r="S367" s="811">
        <f t="shared" si="127"/>
        <v>-1</v>
      </c>
      <c r="T367" s="176">
        <f t="shared" si="128"/>
        <v>5</v>
      </c>
      <c r="U367" s="251">
        <f t="shared" si="129"/>
        <v>-2.6327300202649839E-3</v>
      </c>
      <c r="V367" s="383">
        <f t="shared" si="130"/>
        <v>23.311436553695401</v>
      </c>
      <c r="W367" s="402"/>
      <c r="X367" s="157">
        <f t="shared" si="131"/>
        <v>44549</v>
      </c>
      <c r="Y367" s="385">
        <f t="shared" si="132"/>
        <v>23.081864314626024</v>
      </c>
      <c r="Z367" s="385">
        <f t="shared" si="133"/>
        <v>23.743334410703635</v>
      </c>
      <c r="AA367" s="386">
        <f t="shared" si="134"/>
        <v>25.399032031855111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6.5187429941224631E-2</v>
      </c>
      <c r="AD367" s="231">
        <f>(INDEX(Models!$BJ367:$BT367,,AH367)*(1-AF367)+INDEX(Models!$BJ367:$BT367,,AH367+1)*AF367-ERP_i)*AE367*Ramure*Pc/MaxiM</f>
        <v>3.5953271579369631E-4</v>
      </c>
      <c r="AE367" s="305">
        <f t="shared" si="136"/>
        <v>0.5</v>
      </c>
      <c r="AF367" s="177">
        <f t="shared" si="137"/>
        <v>0.99736726997973502</v>
      </c>
      <c r="AG367" s="811">
        <f t="shared" si="143"/>
        <v>-1</v>
      </c>
      <c r="AH367" s="176">
        <f t="shared" si="138"/>
        <v>5</v>
      </c>
      <c r="AI367" s="225">
        <f t="shared" si="139"/>
        <v>-2.6327300202649839E-3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7">
        <v>21.388999999999999</v>
      </c>
      <c r="C368" s="390"/>
      <c r="D368" s="393">
        <f t="shared" si="122"/>
        <v>22.002438631746521</v>
      </c>
      <c r="E368" s="385">
        <f t="shared" si="144"/>
        <v>22.542077746027381</v>
      </c>
      <c r="F368" s="385">
        <f t="shared" si="123"/>
        <v>22.549218247197125</v>
      </c>
      <c r="G368" s="110">
        <f t="shared" si="145"/>
        <v>0.91727835495131627</v>
      </c>
      <c r="H368" s="414" t="b">
        <f>Wh_hp&gt;='2020'!Maxi_hp</f>
        <v>1</v>
      </c>
      <c r="I368" s="380">
        <f>IF(H368,Wh_hp,'2020'!Maxi_hp)</f>
        <v>22.549218247197125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2.7880483705175041E-2</v>
      </c>
      <c r="M368" s="845"/>
      <c r="N368" s="845"/>
      <c r="O368" s="48">
        <f>IF(t&lt;Tnet,'2020'!Resal+('2020'!Salim-'2020'!Resal)*(1-EXP(('2020'!Tnet-t)/('2020'!Tau_j))),Resal+(Salim-Resal)*(1-EXP((Tnet-t)/(Tau_j))))*Salcycl</f>
        <v>2.3939191425065461E-2</v>
      </c>
      <c r="P368" s="169">
        <f>(INDEX(Models!$BJ368:$BT368,,T368)*(1-R368)+INDEX(Models!$BJ368:$BT368,,T368+1)*R368-ERP_i)*Q368*Ramure*Pc/MaxiM</f>
        <v>3.5907636078241214E-4</v>
      </c>
      <c r="Q368" s="305">
        <f t="shared" si="125"/>
        <v>0.5</v>
      </c>
      <c r="R368" s="177">
        <f t="shared" si="126"/>
        <v>0.99737481295257335</v>
      </c>
      <c r="S368" s="811">
        <f t="shared" si="127"/>
        <v>-1</v>
      </c>
      <c r="T368" s="176">
        <f t="shared" si="128"/>
        <v>5</v>
      </c>
      <c r="U368" s="251">
        <f t="shared" si="129"/>
        <v>-2.625187047426647E-3</v>
      </c>
      <c r="V368" s="383">
        <f t="shared" si="130"/>
        <v>23.316905294871887</v>
      </c>
      <c r="W368" s="402"/>
      <c r="X368" s="157">
        <f t="shared" si="131"/>
        <v>44550</v>
      </c>
      <c r="Y368" s="385">
        <f t="shared" si="132"/>
        <v>20.484552674337319</v>
      </c>
      <c r="Z368" s="385">
        <f t="shared" si="133"/>
        <v>21.072051667487305</v>
      </c>
      <c r="AA368" s="386">
        <f t="shared" si="134"/>
        <v>22.542077746027381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6.52125369765056E-2</v>
      </c>
      <c r="AD368" s="231">
        <f>(INDEX(Models!$BJ368:$BT368,,AH368)*(1-AF368)+INDEX(Models!$BJ368:$BT368,,AH368+1)*AF368-ERP_i)*AE368*Ramure*Pc/MaxiM</f>
        <v>3.5907636078241214E-4</v>
      </c>
      <c r="AE368" s="305">
        <f t="shared" si="136"/>
        <v>0.5</v>
      </c>
      <c r="AF368" s="177">
        <f t="shared" si="137"/>
        <v>0.99737481295257335</v>
      </c>
      <c r="AG368" s="811">
        <f t="shared" si="143"/>
        <v>-1</v>
      </c>
      <c r="AH368" s="176">
        <f t="shared" si="138"/>
        <v>5</v>
      </c>
      <c r="AI368" s="225">
        <f t="shared" si="139"/>
        <v>-2.625187047426647E-3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7">
        <v>16.917000000000002</v>
      </c>
      <c r="C369" s="390"/>
      <c r="D369" s="393">
        <f t="shared" si="122"/>
        <v>17.402562391002622</v>
      </c>
      <c r="E369" s="385">
        <f t="shared" si="144"/>
        <v>17.830611765833641</v>
      </c>
      <c r="F369" s="385">
        <f t="shared" si="123"/>
        <v>17.834492720179504</v>
      </c>
      <c r="G369" s="110">
        <f t="shared" si="145"/>
        <v>0.72487217494121725</v>
      </c>
      <c r="H369" s="414" t="b">
        <f>Wh_hp&gt;='2020'!Maxi_hp</f>
        <v>0</v>
      </c>
      <c r="I369" s="380">
        <f>IF(H369,Wh_hp,'2020'!Maxi_hp)</f>
        <v>20.512881562962292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2.7901775617460878E-2</v>
      </c>
      <c r="M369" s="845"/>
      <c r="N369" s="845"/>
      <c r="O369" s="48">
        <f>IF(t&lt;Tnet,'2020'!Resal+('2020'!Salim-'2020'!Resal)*(1-EXP(('2020'!Tnet-t)/('2020'!Tau_j))),Resal+(Salim-Resal)*(1-EXP((Tnet-t)/(Tau_j))))*Salcycl</f>
        <v>2.4006432334039922E-2</v>
      </c>
      <c r="P369" s="169">
        <f>(INDEX(Models!$BJ369:$BT369,,T369)*(1-R369)+INDEX(Models!$BJ369:$BT369,,T369+1)*R369-ERP_i)*Q369*Ramure*Pc/MaxiM</f>
        <v>3.5843726284773882E-4</v>
      </c>
      <c r="Q369" s="305">
        <f t="shared" si="125"/>
        <v>0.5</v>
      </c>
      <c r="R369" s="177">
        <f t="shared" si="126"/>
        <v>0.99738205243716027</v>
      </c>
      <c r="S369" s="811">
        <f t="shared" si="127"/>
        <v>-1</v>
      </c>
      <c r="T369" s="176">
        <f t="shared" si="128"/>
        <v>5</v>
      </c>
      <c r="U369" s="251">
        <f t="shared" si="129"/>
        <v>-2.6179475628397286E-3</v>
      </c>
      <c r="V369" s="383">
        <f t="shared" si="130"/>
        <v>23.334620478298291</v>
      </c>
      <c r="W369" s="402"/>
      <c r="X369" s="157">
        <f t="shared" si="131"/>
        <v>44551</v>
      </c>
      <c r="Y369" s="385">
        <f t="shared" si="132"/>
        <v>16.202326615201947</v>
      </c>
      <c r="Z369" s="385">
        <f t="shared" si="133"/>
        <v>16.667376000499743</v>
      </c>
      <c r="AA369" s="386">
        <f t="shared" si="134"/>
        <v>17.830611765833641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6.5238129830343175E-2</v>
      </c>
      <c r="AD369" s="231">
        <f>(INDEX(Models!$BJ369:$BT369,,AH369)*(1-AF369)+INDEX(Models!$BJ369:$BT369,,AH369+1)*AF369-ERP_i)*AE369*Ramure*Pc/MaxiM</f>
        <v>3.5843726284773882E-4</v>
      </c>
      <c r="AE369" s="305">
        <f t="shared" si="136"/>
        <v>0.5</v>
      </c>
      <c r="AF369" s="177">
        <f t="shared" si="137"/>
        <v>0.99738205243716027</v>
      </c>
      <c r="AG369" s="811">
        <f t="shared" si="143"/>
        <v>-1</v>
      </c>
      <c r="AH369" s="176">
        <f t="shared" si="138"/>
        <v>5</v>
      </c>
      <c r="AI369" s="225">
        <f t="shared" si="139"/>
        <v>-2.6179475628397286E-3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7">
        <v>23.748000000000001</v>
      </c>
      <c r="C370" s="390"/>
      <c r="D370" s="393">
        <f t="shared" si="122"/>
        <v>24.430165139561904</v>
      </c>
      <c r="E370" s="385">
        <f t="shared" si="144"/>
        <v>25.032799102682308</v>
      </c>
      <c r="F370" s="385">
        <f t="shared" si="123"/>
        <v>25.041754314682116</v>
      </c>
      <c r="G370" s="110">
        <f t="shared" si="145"/>
        <v>1.0163996030432845</v>
      </c>
      <c r="H370" s="414" t="b">
        <f>Wh_hp&gt;='2020'!Maxi_hp</f>
        <v>1</v>
      </c>
      <c r="I370" s="380">
        <f>IF(H370,Wh_hp,'2020'!Maxi_hp)</f>
        <v>25.041754314682116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2.7923067063399198E-2</v>
      </c>
      <c r="M370" s="845"/>
      <c r="N370" s="845"/>
      <c r="O370" s="48">
        <f>IF(t&lt;Tnet,'2020'!Resal+('2020'!Salim-'2020'!Resal)*(1-EXP(('2020'!Tnet-t)/('2020'!Tau_j))),Resal+(Salim-Resal)*(1-EXP((Tnet-t)/(Tau_j))))*Salcycl</f>
        <v>2.4073774596618407E-2</v>
      </c>
      <c r="P370" s="169">
        <f>(INDEX(Models!$BJ370:$BT370,,T370)*(1-R370)+INDEX(Models!$BJ370:$BT370,,T370+1)*R370-ERP_i)*Q370*Ramure*Pc/MaxiM</f>
        <v>3.5761120755646439E-4</v>
      </c>
      <c r="Q370" s="305">
        <f t="shared" si="125"/>
        <v>0.5</v>
      </c>
      <c r="R370" s="177">
        <f t="shared" si="126"/>
        <v>0.99738900063595759</v>
      </c>
      <c r="S370" s="811">
        <f t="shared" si="127"/>
        <v>-1</v>
      </c>
      <c r="T370" s="176">
        <f t="shared" si="128"/>
        <v>5</v>
      </c>
      <c r="U370" s="251">
        <f t="shared" si="129"/>
        <v>-2.6109993640424656E-3</v>
      </c>
      <c r="V370" s="383">
        <f t="shared" si="130"/>
        <v>23.364826126352455</v>
      </c>
      <c r="W370" s="402"/>
      <c r="X370" s="157">
        <f t="shared" si="131"/>
        <v>44552</v>
      </c>
      <c r="Y370" s="385">
        <f t="shared" si="132"/>
        <v>22.745680869929384</v>
      </c>
      <c r="Z370" s="385">
        <f t="shared" si="133"/>
        <v>23.399054230425673</v>
      </c>
      <c r="AA370" s="386">
        <f t="shared" si="134"/>
        <v>25.032799102682308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6.5264170640892294E-2</v>
      </c>
      <c r="AD370" s="231">
        <f>(INDEX(Models!$BJ370:$BT370,,AH370)*(1-AF370)+INDEX(Models!$BJ370:$BT370,,AH370+1)*AF370-ERP_i)*AE370*Ramure*Pc/MaxiM</f>
        <v>3.5761120755646439E-4</v>
      </c>
      <c r="AE370" s="305">
        <f t="shared" si="136"/>
        <v>0.5</v>
      </c>
      <c r="AF370" s="177">
        <f t="shared" si="137"/>
        <v>0.99738900063595759</v>
      </c>
      <c r="AG370" s="811">
        <f t="shared" si="143"/>
        <v>-1</v>
      </c>
      <c r="AH370" s="176">
        <f t="shared" si="138"/>
        <v>5</v>
      </c>
      <c r="AI370" s="225">
        <f t="shared" si="139"/>
        <v>-2.6109993640424656E-3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7">
        <v>5.5720000000000001</v>
      </c>
      <c r="C371" s="390"/>
      <c r="D371" s="393">
        <f t="shared" si="122"/>
        <v>5.7321821503778541</v>
      </c>
      <c r="E371" s="385">
        <f t="shared" si="144"/>
        <v>5.8739872872875498</v>
      </c>
      <c r="F371" s="385">
        <f t="shared" si="123"/>
        <v>5.8739872872875498</v>
      </c>
      <c r="G371" s="110">
        <f t="shared" si="145"/>
        <v>0.23795577158187273</v>
      </c>
      <c r="H371" s="414" t="b">
        <f>Wh_hp&gt;='2020'!Maxi_hp</f>
        <v>0</v>
      </c>
      <c r="I371" s="380">
        <f>IF(H371,Wh_hp,'2020'!Maxi_hp)</f>
        <v>19.829576058520093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2.7944358043000217E-2</v>
      </c>
      <c r="M371" s="845"/>
      <c r="N371" s="845"/>
      <c r="O371" s="48">
        <f>IF(t&lt;Tnet,'2020'!Resal+('2020'!Salim-'2020'!Resal)*(1-EXP(('2020'!Tnet-t)/('2020'!Tau_j))),Resal+(Salim-Resal)*(1-EXP((Tnet-t)/(Tau_j))))*Salcycl</f>
        <v>2.4141205960147398E-2</v>
      </c>
      <c r="P371" s="169">
        <f>(INDEX(Models!$BJ371:$BT371,,T371)*(1-R371)+INDEX(Models!$BJ371:$BT371,,T371+1)*R371-ERP_i)*Q371*Ramure*Pc/MaxiM</f>
        <v>3.5659344560791823E-4</v>
      </c>
      <c r="Q371" s="305">
        <f t="shared" si="125"/>
        <v>0.5</v>
      </c>
      <c r="R371" s="177">
        <f t="shared" si="126"/>
        <v>0.99738900063595759</v>
      </c>
      <c r="S371" s="811">
        <f t="shared" si="127"/>
        <v>-1</v>
      </c>
      <c r="T371" s="176">
        <f t="shared" si="128"/>
        <v>5</v>
      </c>
      <c r="U371" s="251">
        <f t="shared" si="129"/>
        <v>-2.6109993640424656E-3</v>
      </c>
      <c r="V371" s="383">
        <f t="shared" si="130"/>
        <v>23.407766175592073</v>
      </c>
      <c r="W371" s="402"/>
      <c r="X371" s="157">
        <f t="shared" si="131"/>
        <v>44553</v>
      </c>
      <c r="Y371" s="385">
        <f t="shared" si="132"/>
        <v>5.3370433124972774</v>
      </c>
      <c r="Z371" s="385">
        <f t="shared" si="133"/>
        <v>5.4904709999444341</v>
      </c>
      <c r="AA371" s="386">
        <f t="shared" si="134"/>
        <v>5.8739872872875498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6.529062263602782E-2</v>
      </c>
      <c r="AD371" s="231">
        <f>(INDEX(Models!$BJ371:$BT371,,AH371)*(1-AF371)+INDEX(Models!$BJ371:$BT371,,AH371+1)*AF371-ERP_i)*AE371*Ramure*Pc/MaxiM</f>
        <v>3.5659344560791823E-4</v>
      </c>
      <c r="AE371" s="305">
        <f t="shared" si="136"/>
        <v>0.5</v>
      </c>
      <c r="AF371" s="177">
        <f t="shared" si="137"/>
        <v>0.99738900063595759</v>
      </c>
      <c r="AG371" s="811">
        <f t="shared" si="143"/>
        <v>-1</v>
      </c>
      <c r="AH371" s="176">
        <f t="shared" si="138"/>
        <v>5</v>
      </c>
      <c r="AI371" s="225">
        <f t="shared" si="139"/>
        <v>-2.6109993640424656E-3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7">
        <v>13.202</v>
      </c>
      <c r="C372" s="390"/>
      <c r="D372" s="393">
        <f t="shared" si="122"/>
        <v>13.581824531603814</v>
      </c>
      <c r="E372" s="385">
        <f t="shared" si="144"/>
        <v>13.918780310420724</v>
      </c>
      <c r="F372" s="385">
        <f t="shared" si="123"/>
        <v>13.920636596817337</v>
      </c>
      <c r="G372" s="110">
        <f t="shared" si="145"/>
        <v>0.56253178634340339</v>
      </c>
      <c r="H372" s="414" t="b">
        <f>Wh_hp&gt;='2020'!Maxi_hp</f>
        <v>0</v>
      </c>
      <c r="I372" s="380">
        <f>IF(H372,Wh_hp,'2020'!Maxi_hp)</f>
        <v>15.301038083820069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2.7965648556274147E-2</v>
      </c>
      <c r="M372" s="845"/>
      <c r="N372" s="845"/>
      <c r="O372" s="48">
        <f>IF(t&lt;Tnet,'2020'!Resal+('2020'!Salim-'2020'!Resal)*(1-EXP(('2020'!Tnet-t)/('2020'!Tau_j))),Resal+(Salim-Resal)*(1-EXP((Tnet-t)/(Tau_j))))*Salcycl</f>
        <v>2.4208714506732787E-2</v>
      </c>
      <c r="P372" s="169">
        <f>(INDEX(Models!$BJ372:$BT372,,T372)*(1-R372)+INDEX(Models!$BJ372:$BT372,,T372+1)*R372-ERP_i)*Q372*Ramure*Pc/MaxiM</f>
        <v>3.55381969124909E-4</v>
      </c>
      <c r="Q372" s="305">
        <f t="shared" si="125"/>
        <v>0.5</v>
      </c>
      <c r="R372" s="177">
        <f t="shared" si="126"/>
        <v>0.99738900063595759</v>
      </c>
      <c r="S372" s="811">
        <f t="shared" si="127"/>
        <v>-1</v>
      </c>
      <c r="T372" s="176">
        <f t="shared" si="128"/>
        <v>5</v>
      </c>
      <c r="U372" s="251">
        <f t="shared" si="129"/>
        <v>-2.6109993640424656E-3</v>
      </c>
      <c r="V372" s="383">
        <f t="shared" si="130"/>
        <v>23.463684425528324</v>
      </c>
      <c r="W372" s="402"/>
      <c r="X372" s="157">
        <f t="shared" si="131"/>
        <v>44554</v>
      </c>
      <c r="Y372" s="385">
        <f t="shared" si="132"/>
        <v>12.645818019133115</v>
      </c>
      <c r="Z372" s="385">
        <f t="shared" si="133"/>
        <v>13.009641069115263</v>
      </c>
      <c r="AA372" s="386">
        <f t="shared" si="134"/>
        <v>13.918780310420724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6.5317450310269365E-2</v>
      </c>
      <c r="AD372" s="231">
        <f>(INDEX(Models!$BJ372:$BT372,,AH372)*(1-AF372)+INDEX(Models!$BJ372:$BT372,,AH372+1)*AF372-ERP_i)*AE372*Ramure*Pc/MaxiM</f>
        <v>3.55381969124909E-4</v>
      </c>
      <c r="AE372" s="305">
        <f t="shared" si="136"/>
        <v>0.5</v>
      </c>
      <c r="AF372" s="177">
        <f t="shared" si="137"/>
        <v>0.99738900063595759</v>
      </c>
      <c r="AG372" s="811">
        <f t="shared" si="143"/>
        <v>-1</v>
      </c>
      <c r="AH372" s="176">
        <f t="shared" si="138"/>
        <v>5</v>
      </c>
      <c r="AI372" s="225">
        <f t="shared" si="139"/>
        <v>-2.6109993640424656E-3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7">
        <v>9.92</v>
      </c>
      <c r="C373" s="390"/>
      <c r="D373" s="393">
        <f t="shared" si="122"/>
        <v>10.20562417725653</v>
      </c>
      <c r="E373" s="385">
        <f t="shared" si="144"/>
        <v>10.459543064559398</v>
      </c>
      <c r="F373" s="385">
        <f t="shared" si="123"/>
        <v>10.460185684397207</v>
      </c>
      <c r="G373" s="110">
        <f t="shared" si="145"/>
        <v>0.42137804118852512</v>
      </c>
      <c r="H373" s="414" t="b">
        <f>Wh_hp&gt;='2020'!Maxi_hp</f>
        <v>0</v>
      </c>
      <c r="I373" s="380">
        <f>IF(H373,Wh_hp,'2020'!Maxi_hp)</f>
        <v>16.332134440633631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2.7986938603231093E-2</v>
      </c>
      <c r="M373" s="845"/>
      <c r="N373" s="845"/>
      <c r="O373" s="48">
        <f>IF(t&lt;Tnet,'2020'!Resal+('2020'!Salim-'2020'!Resal)*(1-EXP(('2020'!Tnet-t)/('2020'!Tau_j))),Resal+(Salim-Resal)*(1-EXP((Tnet-t)/(Tau_j))))*Salcycl</f>
        <v>2.4276288718886343E-2</v>
      </c>
      <c r="P373" s="169">
        <f>(INDEX(Models!$BJ373:$BT373,,T373)*(1-R373)+INDEX(Models!$BJ373:$BT373,,T373+1)*R373-ERP_i)*Q373*Ramure*Pc/MaxiM</f>
        <v>3.5394167655713706E-4</v>
      </c>
      <c r="Q373" s="305">
        <f t="shared" si="125"/>
        <v>0.5</v>
      </c>
      <c r="R373" s="177">
        <f t="shared" si="126"/>
        <v>0.99738900063595759</v>
      </c>
      <c r="S373" s="811">
        <f t="shared" si="127"/>
        <v>-1</v>
      </c>
      <c r="T373" s="176">
        <f t="shared" si="128"/>
        <v>5</v>
      </c>
      <c r="U373" s="251">
        <f t="shared" si="129"/>
        <v>-2.6109993640424656E-3</v>
      </c>
      <c r="V373" s="383">
        <f t="shared" si="130"/>
        <v>23.534919204472008</v>
      </c>
      <c r="W373" s="402"/>
      <c r="X373" s="157">
        <f t="shared" si="131"/>
        <v>44555</v>
      </c>
      <c r="Y373" s="385">
        <f t="shared" si="132"/>
        <v>9.5024659814254857</v>
      </c>
      <c r="Z373" s="385">
        <f t="shared" si="133"/>
        <v>9.7760682019751641</v>
      </c>
      <c r="AA373" s="386">
        <f t="shared" si="134"/>
        <v>10.459543064559398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6.5344619584777677E-2</v>
      </c>
      <c r="AD373" s="231">
        <f>(INDEX(Models!$BJ373:$BT373,,AH373)*(1-AF373)+INDEX(Models!$BJ373:$BT373,,AH373+1)*AF373-ERP_i)*AE373*Ramure*Pc/MaxiM</f>
        <v>3.5394167655713706E-4</v>
      </c>
      <c r="AE373" s="305">
        <f t="shared" si="136"/>
        <v>0.5</v>
      </c>
      <c r="AF373" s="177">
        <f t="shared" si="137"/>
        <v>0.99738900063595759</v>
      </c>
      <c r="AG373" s="811">
        <f t="shared" si="143"/>
        <v>-1</v>
      </c>
      <c r="AH373" s="176">
        <f t="shared" si="138"/>
        <v>5</v>
      </c>
      <c r="AI373" s="225">
        <f t="shared" si="139"/>
        <v>-2.6109993640424656E-3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7">
        <v>11.27</v>
      </c>
      <c r="C374" s="390"/>
      <c r="D374" s="393">
        <f t="shared" si="122"/>
        <v>11.594748357738217</v>
      </c>
      <c r="E374" s="385">
        <f t="shared" si="144"/>
        <v>11.8840527581152</v>
      </c>
      <c r="F374" s="385">
        <f t="shared" si="123"/>
        <v>11.885111841391137</v>
      </c>
      <c r="G374" s="110">
        <f t="shared" si="145"/>
        <v>0.47695452711923936</v>
      </c>
      <c r="H374" s="414" t="b">
        <f>Wh_hp&gt;='2020'!Maxi_hp</f>
        <v>0</v>
      </c>
      <c r="I374" s="380">
        <f>IF(H374,Wh_hp,'2020'!Maxi_hp)</f>
        <v>24.2954595694269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2.8008228183881489E-2</v>
      </c>
      <c r="M374" s="845"/>
      <c r="N374" s="845"/>
      <c r="O374" s="48">
        <f>IF(t&lt;Tnet,'2020'!Resal+('2020'!Salim-'2020'!Resal)*(1-EXP(('2020'!Tnet-t)/('2020'!Tau_j))),Resal+(Salim-Resal)*(1-EXP((Tnet-t)/(Tau_j))))*Salcycl</f>
        <v>2.4343917539361867E-2</v>
      </c>
      <c r="P374" s="169">
        <f>(INDEX(Models!$BJ374:$BT374,,T374)*(1-R374)+INDEX(Models!$BJ374:$BT374,,T374+1)*R374-ERP_i)*Q374*Ramure*Pc/MaxiM</f>
        <v>3.5225338147979493E-4</v>
      </c>
      <c r="Q374" s="305">
        <f t="shared" si="125"/>
        <v>0.5</v>
      </c>
      <c r="R374" s="177">
        <f t="shared" si="126"/>
        <v>0.99738900063595759</v>
      </c>
      <c r="S374" s="811">
        <f t="shared" si="127"/>
        <v>-1</v>
      </c>
      <c r="T374" s="176">
        <f t="shared" si="128"/>
        <v>5</v>
      </c>
      <c r="U374" s="251">
        <f t="shared" si="129"/>
        <v>-2.6109993640424656E-3</v>
      </c>
      <c r="V374" s="383">
        <f t="shared" si="130"/>
        <v>23.622868575673234</v>
      </c>
      <c r="W374" s="402"/>
      <c r="X374" s="157">
        <f t="shared" si="131"/>
        <v>44556</v>
      </c>
      <c r="Y374" s="385">
        <f t="shared" si="132"/>
        <v>10.796075221037963</v>
      </c>
      <c r="Z374" s="385">
        <f t="shared" si="133"/>
        <v>11.107167297173751</v>
      </c>
      <c r="AA374" s="386">
        <f t="shared" si="134"/>
        <v>11.8840527581152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6.5372097949577157E-2</v>
      </c>
      <c r="AD374" s="231">
        <f>(INDEX(Models!$BJ374:$BT374,,AH374)*(1-AF374)+INDEX(Models!$BJ374:$BT374,,AH374+1)*AF374-ERP_i)*AE374*Ramure*Pc/MaxiM</f>
        <v>3.5225338147979493E-4</v>
      </c>
      <c r="AE374" s="305">
        <f t="shared" si="136"/>
        <v>0.5</v>
      </c>
      <c r="AF374" s="177">
        <f t="shared" si="137"/>
        <v>0.99738900063595759</v>
      </c>
      <c r="AG374" s="811">
        <f t="shared" si="143"/>
        <v>-1</v>
      </c>
      <c r="AH374" s="176">
        <f t="shared" si="138"/>
        <v>5</v>
      </c>
      <c r="AI374" s="225">
        <f t="shared" si="139"/>
        <v>-2.6109993640424656E-3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7">
        <v>10.483000000000001</v>
      </c>
      <c r="C375" s="390"/>
      <c r="D375" s="393">
        <f t="shared" si="122"/>
        <v>10.785306947656107</v>
      </c>
      <c r="E375" s="385">
        <f t="shared" si="144"/>
        <v>11.055181510768993</v>
      </c>
      <c r="F375" s="385">
        <f t="shared" si="123"/>
        <v>11.055966640376134</v>
      </c>
      <c r="G375" s="110">
        <f t="shared" si="145"/>
        <v>0.4417057187576412</v>
      </c>
      <c r="H375" s="414" t="b">
        <f>Wh_hp&gt;='2020'!Maxi_hp</f>
        <v>0</v>
      </c>
      <c r="I375" s="380">
        <f>IF(H375,Wh_hp,'2020'!Maxi_hp)</f>
        <v>24.678488393426758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2.802951729823544E-2</v>
      </c>
      <c r="M375" s="845"/>
      <c r="N375" s="845"/>
      <c r="O375" s="48">
        <f>IF(t&lt;Tnet,'2020'!Resal+('2020'!Salim-'2020'!Resal)*(1-EXP(('2020'!Tnet-t)/('2020'!Tau_j))),Resal+(Salim-Resal)*(1-EXP((Tnet-t)/(Tau_j))))*Salcycl</f>
        <v>2.4411590424815579E-2</v>
      </c>
      <c r="P375" s="169">
        <f>(INDEX(Models!$BJ375:$BT375,,T375)*(1-R375)+INDEX(Models!$BJ375:$BT375,,T375+1)*R375-ERP_i)*Q375*Ramure*Pc/MaxiM</f>
        <v>3.5049110095918765E-4</v>
      </c>
      <c r="Q375" s="305">
        <f t="shared" si="125"/>
        <v>0.5</v>
      </c>
      <c r="R375" s="177">
        <f t="shared" si="126"/>
        <v>0.99738900063595759</v>
      </c>
      <c r="S375" s="811">
        <f t="shared" si="127"/>
        <v>-1</v>
      </c>
      <c r="T375" s="176">
        <f t="shared" si="128"/>
        <v>5</v>
      </c>
      <c r="U375" s="251">
        <f t="shared" si="129"/>
        <v>-2.6109993640424656E-3</v>
      </c>
      <c r="V375" s="383">
        <f t="shared" si="130"/>
        <v>23.726362574812889</v>
      </c>
      <c r="W375" s="402"/>
      <c r="X375" s="157">
        <f t="shared" si="131"/>
        <v>44557</v>
      </c>
      <c r="Y375" s="385">
        <f t="shared" si="132"/>
        <v>10.042568390728665</v>
      </c>
      <c r="Z375" s="385">
        <f t="shared" si="133"/>
        <v>10.332174247528137</v>
      </c>
      <c r="AA375" s="386">
        <f t="shared" si="134"/>
        <v>11.055181510768993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6.539985458733226E-2</v>
      </c>
      <c r="AD375" s="231">
        <f>(INDEX(Models!$BJ375:$BT375,,AH375)*(1-AF375)+INDEX(Models!$BJ375:$BT375,,AH375+1)*AF375-ERP_i)*AE375*Ramure*Pc/MaxiM</f>
        <v>3.5049110095918765E-4</v>
      </c>
      <c r="AE375" s="305">
        <f t="shared" si="136"/>
        <v>0.5</v>
      </c>
      <c r="AF375" s="177">
        <f t="shared" si="137"/>
        <v>0.99738900063595759</v>
      </c>
      <c r="AG375" s="811">
        <f t="shared" si="143"/>
        <v>-1</v>
      </c>
      <c r="AH375" s="176">
        <f t="shared" si="138"/>
        <v>5</v>
      </c>
      <c r="AI375" s="225">
        <f t="shared" si="139"/>
        <v>-2.6109993640424656E-3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7">
        <v>5.6770000000000005</v>
      </c>
      <c r="C376" s="390"/>
      <c r="D376" s="393">
        <f t="shared" si="122"/>
        <v>5.8408402771784846</v>
      </c>
      <c r="E376" s="385">
        <f t="shared" si="144"/>
        <v>5.9874078136622151</v>
      </c>
      <c r="F376" s="385">
        <f t="shared" si="123"/>
        <v>5.9874078136622151</v>
      </c>
      <c r="G376" s="110">
        <f t="shared" si="145"/>
        <v>0.23800388276508697</v>
      </c>
      <c r="H376" s="414" t="b">
        <f>Wh_hp&gt;='2020'!Maxi_hp</f>
        <v>0</v>
      </c>
      <c r="I376" s="380">
        <f>IF(H376,Wh_hp,'2020'!Maxi_hp)</f>
        <v>6.7428070187051032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2.8050805946303048E-2</v>
      </c>
      <c r="M376" s="845"/>
      <c r="N376" s="845"/>
      <c r="O376" s="48">
        <f>IF(t&lt;Tnet,'2020'!Resal+('2020'!Salim-'2020'!Resal)*(1-EXP(('2020'!Tnet-t)/('2020'!Tau_j))),Resal+(Salim-Resal)*(1-EXP((Tnet-t)/(Tau_j))))*Salcycl</f>
        <v>2.4479297392986789E-2</v>
      </c>
      <c r="P376" s="169">
        <f>(INDEX(Models!$BJ376:$BT376,,T376)*(1-R376)+INDEX(Models!$BJ376:$BT376,,T376+1)*R376-ERP_i)*Q376*Ramure*Pc/MaxiM</f>
        <v>3.4869343613512044E-4</v>
      </c>
      <c r="Q376" s="305">
        <f t="shared" si="125"/>
        <v>0.5</v>
      </c>
      <c r="R376" s="177">
        <f t="shared" si="126"/>
        <v>0.99738900063595759</v>
      </c>
      <c r="S376" s="811">
        <f t="shared" si="127"/>
        <v>-1</v>
      </c>
      <c r="T376" s="176">
        <f t="shared" si="128"/>
        <v>5</v>
      </c>
      <c r="U376" s="251">
        <f t="shared" si="129"/>
        <v>-2.6109993640424656E-3</v>
      </c>
      <c r="V376" s="383">
        <f t="shared" si="130"/>
        <v>23.844234814288232</v>
      </c>
      <c r="W376" s="402"/>
      <c r="X376" s="157">
        <f t="shared" si="131"/>
        <v>44558</v>
      </c>
      <c r="Y376" s="385">
        <f t="shared" si="132"/>
        <v>5.4387016307153768</v>
      </c>
      <c r="Z376" s="385">
        <f t="shared" si="133"/>
        <v>5.5956645306039592</v>
      </c>
      <c r="AA376" s="386">
        <f t="shared" si="134"/>
        <v>5.9874078136622151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6.5427860478179931E-2</v>
      </c>
      <c r="AD376" s="231">
        <f>(INDEX(Models!$BJ376:$BT376,,AH376)*(1-AF376)+INDEX(Models!$BJ376:$BT376,,AH376+1)*AF376-ERP_i)*AE376*Ramure*Pc/MaxiM</f>
        <v>3.4869343613512044E-4</v>
      </c>
      <c r="AE376" s="305">
        <f t="shared" si="136"/>
        <v>0.5</v>
      </c>
      <c r="AF376" s="177">
        <f t="shared" si="137"/>
        <v>0.99738900063595759</v>
      </c>
      <c r="AG376" s="811">
        <f t="shared" si="143"/>
        <v>-1</v>
      </c>
      <c r="AH376" s="176">
        <f t="shared" si="138"/>
        <v>5</v>
      </c>
      <c r="AI376" s="225">
        <f t="shared" si="139"/>
        <v>-2.6109993640424656E-3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7">
        <v>4.3220000000000001</v>
      </c>
      <c r="C377" s="390"/>
      <c r="D377" s="393">
        <f t="shared" si="122"/>
        <v>4.446831883196916</v>
      </c>
      <c r="E377" s="385">
        <f t="shared" si="144"/>
        <v>4.558735290873229</v>
      </c>
      <c r="F377" s="385">
        <f t="shared" si="123"/>
        <v>4.558735290873229</v>
      </c>
      <c r="G377" s="110">
        <f t="shared" si="145"/>
        <v>0.18020617999163271</v>
      </c>
      <c r="H377" s="414" t="b">
        <f>Wh_hp&gt;='2020'!Maxi_hp</f>
        <v>0</v>
      </c>
      <c r="I377" s="380">
        <f>IF(H377,Wh_hp,'2020'!Maxi_hp)</f>
        <v>24.70046719987749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2.8072094128094638E-2</v>
      </c>
      <c r="M377" s="845"/>
      <c r="N377" s="845"/>
      <c r="O377" s="48">
        <f>IF(t&lt;Tnet,'2020'!Resal+('2020'!Salim-'2020'!Resal)*(1-EXP(('2020'!Tnet-t)/('2020'!Tau_j))),Resal+(Salim-Resal)*(1-EXP((Tnet-t)/(Tau_j))))*Salcycl</f>
        <v>2.4547029063158771E-2</v>
      </c>
      <c r="P377" s="169">
        <f>(INDEX(Models!$BJ377:$BT377,,T377)*(1-R377)+INDEX(Models!$BJ377:$BT377,,T377+1)*R377-ERP_i)*Q377*Ramure*Pc/MaxiM</f>
        <v>3.4687803597458557E-4</v>
      </c>
      <c r="Q377" s="305">
        <f t="shared" si="125"/>
        <v>0.5</v>
      </c>
      <c r="R377" s="177">
        <f t="shared" si="126"/>
        <v>0.99738900063595759</v>
      </c>
      <c r="S377" s="811">
        <f t="shared" si="127"/>
        <v>-1</v>
      </c>
      <c r="T377" s="176">
        <f t="shared" si="128"/>
        <v>5</v>
      </c>
      <c r="U377" s="251">
        <f t="shared" si="129"/>
        <v>-2.6109993640424656E-3</v>
      </c>
      <c r="V377" s="383">
        <f t="shared" si="130"/>
        <v>23.975319788306521</v>
      </c>
      <c r="W377" s="402"/>
      <c r="X377" s="157">
        <f t="shared" si="131"/>
        <v>44559</v>
      </c>
      <c r="Y377" s="385">
        <f t="shared" si="132"/>
        <v>4.1407416922287172</v>
      </c>
      <c r="Z377" s="385">
        <f t="shared" si="133"/>
        <v>4.2603383102927843</v>
      </c>
      <c r="AA377" s="386">
        <f t="shared" si="134"/>
        <v>4.558735290873229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6.545608848529702E-2</v>
      </c>
      <c r="AD377" s="231">
        <f>(INDEX(Models!$BJ377:$BT377,,AH377)*(1-AF377)+INDEX(Models!$BJ377:$BT377,,AH377+1)*AF377-ERP_i)*AE377*Ramure*Pc/MaxiM</f>
        <v>3.4687803597458557E-4</v>
      </c>
      <c r="AE377" s="305">
        <f t="shared" si="136"/>
        <v>0.5</v>
      </c>
      <c r="AF377" s="177">
        <f t="shared" si="137"/>
        <v>0.99738900063595759</v>
      </c>
      <c r="AG377" s="811">
        <f t="shared" si="143"/>
        <v>-1</v>
      </c>
      <c r="AH377" s="176">
        <f t="shared" si="138"/>
        <v>5</v>
      </c>
      <c r="AI377" s="225">
        <f t="shared" si="139"/>
        <v>-2.6109993640424656E-3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7">
        <v>16.513999999999999</v>
      </c>
      <c r="C378" s="390"/>
      <c r="D378" s="393">
        <f t="shared" si="122"/>
        <v>16.991344324134339</v>
      </c>
      <c r="E378" s="385">
        <f t="shared" si="144"/>
        <v>17.420137108976189</v>
      </c>
      <c r="F378" s="385">
        <f t="shared" si="123"/>
        <v>17.423441259290424</v>
      </c>
      <c r="G378" s="110">
        <f t="shared" si="145"/>
        <v>0.68459752569744503</v>
      </c>
      <c r="H378" s="414" t="b">
        <f>Wh_hp&gt;='2020'!Maxi_hp</f>
        <v>0</v>
      </c>
      <c r="I378" s="380">
        <f>IF(H378,Wh_hp,'2020'!Maxi_hp)</f>
        <v>26.021620495154139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2.8093381843620424E-2</v>
      </c>
      <c r="M378" s="845"/>
      <c r="N378" s="845"/>
      <c r="O378" s="48">
        <f>IF(t&lt;Tnet,'2020'!Resal+('2020'!Salim-'2020'!Resal)*(1-EXP(('2020'!Tnet-t)/('2020'!Tau_j))),Resal+(Salim-Resal)*(1-EXP((Tnet-t)/(Tau_j))))*Salcycl</f>
        <v>2.4614776689725573E-2</v>
      </c>
      <c r="P378" s="169">
        <f>(INDEX(Models!$BJ378:$BT378,,T378)*(1-R378)+INDEX(Models!$BJ378:$BT378,,T378+1)*R378-ERP_i)*Q378*Ramure*Pc/MaxiM</f>
        <v>3.4506208173186448E-4</v>
      </c>
      <c r="Q378" s="305">
        <f t="shared" si="125"/>
        <v>0.5</v>
      </c>
      <c r="R378" s="177">
        <f t="shared" si="126"/>
        <v>0.99738900063595759</v>
      </c>
      <c r="S378" s="811">
        <f t="shared" si="127"/>
        <v>-1</v>
      </c>
      <c r="T378" s="176">
        <f t="shared" si="128"/>
        <v>5</v>
      </c>
      <c r="U378" s="251">
        <f t="shared" si="129"/>
        <v>-2.6109993640424656E-3</v>
      </c>
      <c r="V378" s="383">
        <f t="shared" si="130"/>
        <v>24.118452409868716</v>
      </c>
      <c r="W378" s="402"/>
      <c r="X378" s="157">
        <f t="shared" si="131"/>
        <v>44560</v>
      </c>
      <c r="Y378" s="385">
        <f t="shared" si="132"/>
        <v>15.822044846024305</v>
      </c>
      <c r="Z378" s="385">
        <f t="shared" si="133"/>
        <v>16.27938790666671</v>
      </c>
      <c r="AA378" s="386">
        <f t="shared" si="134"/>
        <v>17.420137108976189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6.5484513421061291E-2</v>
      </c>
      <c r="AD378" s="231">
        <f>(INDEX(Models!$BJ378:$BT378,,AH378)*(1-AF378)+INDEX(Models!$BJ378:$BT378,,AH378+1)*AF378-ERP_i)*AE378*Ramure*Pc/MaxiM</f>
        <v>3.4506208173186448E-4</v>
      </c>
      <c r="AE378" s="305">
        <f t="shared" si="136"/>
        <v>0.5</v>
      </c>
      <c r="AF378" s="177">
        <f t="shared" si="137"/>
        <v>0.99738900063595759</v>
      </c>
      <c r="AG378" s="811">
        <f t="shared" si="143"/>
        <v>-1</v>
      </c>
      <c r="AH378" s="176">
        <f t="shared" si="138"/>
        <v>5</v>
      </c>
      <c r="AI378" s="225">
        <f t="shared" si="139"/>
        <v>-2.6109993640424656E-3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7">
        <v>24.153000000000002</v>
      </c>
      <c r="C379" s="390"/>
      <c r="D379" s="393">
        <f t="shared" si="122"/>
        <v>24.851697244423679</v>
      </c>
      <c r="E379" s="385">
        <f t="shared" si="144"/>
        <v>25.480623555522442</v>
      </c>
      <c r="F379" s="385">
        <f t="shared" si="123"/>
        <v>25.489311551615195</v>
      </c>
      <c r="G379" s="110">
        <f t="shared" si="145"/>
        <v>0.99507564267300441</v>
      </c>
      <c r="H379" s="414" t="b">
        <f>Wh_hp&gt;='2020'!Maxi_hp</f>
        <v>1</v>
      </c>
      <c r="I379" s="380">
        <f>IF(H379,Wh_hp,'2020'!Maxi_hp)</f>
        <v>25.489311551615195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2.8114669092890732E-2</v>
      </c>
      <c r="M379" s="845"/>
      <c r="N379" s="845"/>
      <c r="O379" s="48">
        <f>IF(t&lt;Tnet,'2020'!Resal+('2020'!Salim-'2020'!Resal)*(1-EXP(('2020'!Tnet-t)/('2020'!Tau_j))),Resal+(Salim-Resal)*(1-EXP((Tnet-t)/(Tau_j))))*Salcycl</f>
        <v>2.4682532188756108E-2</v>
      </c>
      <c r="P379" s="169">
        <f>(INDEX(Models!$BJ379:$BT379,,T379)*(1-R379)+INDEX(Models!$BJ379:$BT379,,T379+1)*R379-ERP_i)*Q379*Ramure*Pc/MaxiM</f>
        <v>3.4326219892773626E-4</v>
      </c>
      <c r="Q379" s="306">
        <f t="shared" si="125"/>
        <v>0.5</v>
      </c>
      <c r="R379" s="177">
        <f t="shared" si="126"/>
        <v>0.99738900063595759</v>
      </c>
      <c r="S379" s="811">
        <f t="shared" si="127"/>
        <v>-1</v>
      </c>
      <c r="T379" s="176">
        <f t="shared" si="128"/>
        <v>5</v>
      </c>
      <c r="U379" s="307">
        <f t="shared" si="129"/>
        <v>-2.6109993640424656E-3</v>
      </c>
      <c r="V379" s="383">
        <f t="shared" si="130"/>
        <v>24.272467989997935</v>
      </c>
      <c r="W379" s="402"/>
      <c r="X379" s="157">
        <f t="shared" si="131"/>
        <v>44561</v>
      </c>
      <c r="Y379" s="385">
        <f t="shared" si="132"/>
        <v>23.141861546117319</v>
      </c>
      <c r="Z379" s="385">
        <f t="shared" si="133"/>
        <v>23.811308608308615</v>
      </c>
      <c r="AA379" s="386">
        <f t="shared" si="134"/>
        <v>25.480623555522442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6.5513112093837936E-2</v>
      </c>
      <c r="AD379" s="231">
        <f>(INDEX(Models!$BJ379:$BT379,,AH379)*(1-AF379)+INDEX(Models!$BJ379:$BT379,,AH379+1)*AF379-ERP_i)*AE379*Ramure*Pc/MaxiM</f>
        <v>3.4326219892773626E-4</v>
      </c>
      <c r="AE379" s="306">
        <f t="shared" si="136"/>
        <v>0.5</v>
      </c>
      <c r="AF379" s="177">
        <f t="shared" si="137"/>
        <v>0.99738900063595759</v>
      </c>
      <c r="AG379" s="811">
        <f t="shared" si="143"/>
        <v>-1</v>
      </c>
      <c r="AH379" s="176">
        <f t="shared" si="138"/>
        <v>5</v>
      </c>
      <c r="AI379" s="222">
        <f t="shared" si="139"/>
        <v>-2.6109993640424656E-3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7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15.05843026866239</v>
      </c>
      <c r="J380" s="85">
        <f>IF(H380,An,'2020'!An_max)</f>
        <v>2020</v>
      </c>
      <c r="K380" s="234"/>
      <c r="L380" s="214"/>
      <c r="M380" s="850"/>
      <c r="N380" s="850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1.776</v>
      </c>
      <c r="C381" s="375"/>
      <c r="D381" s="373">
        <f>MIN(D15:D380)</f>
        <v>1.8258957609502076</v>
      </c>
      <c r="E381" s="373">
        <f>MIN(E15:E380)</f>
        <v>1.867470965128329</v>
      </c>
      <c r="F381" s="374">
        <f>MIN(F15:F380)</f>
        <v>1.867470965128329</v>
      </c>
      <c r="G381" s="125">
        <f>+MIN(G15:G380)</f>
        <v>6.6619377264856422E-2</v>
      </c>
      <c r="H381" s="94"/>
      <c r="I381" s="374">
        <f>MIN(I15:I380)</f>
        <v>6.7428070187051032</v>
      </c>
      <c r="J381" s="57">
        <f>MIN(J15:J380)</f>
        <v>2018</v>
      </c>
      <c r="K381" s="200" t="s">
        <v>7</v>
      </c>
      <c r="L381" s="146">
        <f t="shared" ref="L381:T381" si="146">MIN(L15:L380)</f>
        <v>2.0335225141618674E-2</v>
      </c>
      <c r="M381" s="847"/>
      <c r="N381" s="847"/>
      <c r="O381" s="47">
        <f t="shared" si="146"/>
        <v>5.0350886553575799E-3</v>
      </c>
      <c r="P381" s="168">
        <f t="shared" si="146"/>
        <v>7.0072331474034671E-7</v>
      </c>
      <c r="Q381" s="310">
        <f t="shared" si="146"/>
        <v>0.5</v>
      </c>
      <c r="R381" s="311">
        <f t="shared" si="146"/>
        <v>0.49739027367212862</v>
      </c>
      <c r="S381" s="811">
        <f t="shared" si="146"/>
        <v>-1</v>
      </c>
      <c r="T381" s="176">
        <f t="shared" si="146"/>
        <v>5</v>
      </c>
      <c r="U381" s="252">
        <f>+MIN(U15:U380)</f>
        <v>-0.50260972632787138</v>
      </c>
      <c r="V381" s="57">
        <f>MIN(V15:V380)</f>
        <v>23.311436553695401</v>
      </c>
      <c r="W381" s="58"/>
      <c r="X381" s="112" t="s">
        <v>7</v>
      </c>
      <c r="Y381" s="373">
        <f>MIN(Y15:Y380)</f>
        <v>1.6986914608124524</v>
      </c>
      <c r="Z381" s="373">
        <f>MIN(Z15:Z380)</f>
        <v>1.7464152801012232</v>
      </c>
      <c r="AA381" s="373">
        <f>MIN(AA15:AA380)</f>
        <v>1.867470965128329</v>
      </c>
      <c r="AB381" s="200" t="s">
        <v>7</v>
      </c>
      <c r="AC381" s="47">
        <f t="shared" ref="AC381:AH381" si="147">MIN(AC15:AC380)</f>
        <v>5.0301113607721076E-2</v>
      </c>
      <c r="AD381" s="168">
        <f t="shared" si="147"/>
        <v>7.0072331474034671E-7</v>
      </c>
      <c r="AE381" s="310">
        <f t="shared" si="147"/>
        <v>0.5</v>
      </c>
      <c r="AF381" s="311">
        <f t="shared" si="147"/>
        <v>0.49739027367212862</v>
      </c>
      <c r="AG381" s="811">
        <f t="shared" si="147"/>
        <v>-1</v>
      </c>
      <c r="AH381" s="176">
        <f t="shared" si="147"/>
        <v>5</v>
      </c>
      <c r="AI381" s="226">
        <f>MIN(AI15:AI380)</f>
        <v>-0.50260972632787138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30.466013698630135</v>
      </c>
      <c r="C382" s="375"/>
      <c r="D382" s="375">
        <f>AVERAGE(D15:D380)</f>
        <v>31.219077457458997</v>
      </c>
      <c r="E382" s="375">
        <f>AVERAGE(E15:E380)</f>
        <v>32.005447347573352</v>
      </c>
      <c r="F382" s="376">
        <f>AVERAGE(F15:F380)</f>
        <v>32.007336324133128</v>
      </c>
      <c r="G382" s="126">
        <f>AVERAGE(G15:G380)</f>
        <v>0.65731045259955945</v>
      </c>
      <c r="H382" s="94"/>
      <c r="I382" s="376">
        <f>AVERAGE(I15:I380)</f>
        <v>42.809730375478551</v>
      </c>
      <c r="J382" s="59">
        <f>AVERAGE(J15:J380)</f>
        <v>2019.655737704918</v>
      </c>
      <c r="K382" s="200" t="s">
        <v>8</v>
      </c>
      <c r="L382" s="147">
        <f t="shared" ref="L382:V382" si="148">AVERAGE(L15:L380)</f>
        <v>2.4230101459326633E-2</v>
      </c>
      <c r="M382" s="845"/>
      <c r="N382" s="845"/>
      <c r="O382" s="48">
        <f t="shared" si="148"/>
        <v>2.7040149002456628E-2</v>
      </c>
      <c r="P382" s="169">
        <f t="shared" si="148"/>
        <v>1.2015647321330637E-4</v>
      </c>
      <c r="Q382" s="312">
        <f t="shared" si="148"/>
        <v>0.5</v>
      </c>
      <c r="R382" s="177">
        <f t="shared" si="148"/>
        <v>0.77727387067127207</v>
      </c>
      <c r="S382" s="811">
        <f t="shared" si="148"/>
        <v>-1</v>
      </c>
      <c r="T382" s="176">
        <f t="shared" si="148"/>
        <v>5</v>
      </c>
      <c r="U382" s="251">
        <f t="shared" si="148"/>
        <v>-0.22272612932872787</v>
      </c>
      <c r="V382" s="59">
        <f t="shared" si="148"/>
        <v>44.747738617108062</v>
      </c>
      <c r="X382" s="112" t="s">
        <v>8</v>
      </c>
      <c r="Y382" s="375">
        <f>AVERAGE(Y15:Y380)</f>
        <v>29.350066180228204</v>
      </c>
      <c r="Z382" s="375">
        <f>AVERAGE(Z15:Z380)</f>
        <v>30.074705730036317</v>
      </c>
      <c r="AA382" s="375">
        <f>AVERAGE(AA15:AA380)</f>
        <v>32.005447347573352</v>
      </c>
      <c r="AB382" s="200" t="s">
        <v>8</v>
      </c>
      <c r="AC382" s="48">
        <f t="shared" ref="AC382:AH382" si="149">AVERAGE(AC15:AC380)</f>
        <v>6.0133282391639245E-2</v>
      </c>
      <c r="AD382" s="169">
        <f t="shared" si="149"/>
        <v>1.2015647321330637E-4</v>
      </c>
      <c r="AE382" s="312">
        <f t="shared" si="149"/>
        <v>0.5</v>
      </c>
      <c r="AF382" s="177">
        <f t="shared" si="149"/>
        <v>0.77727387067127207</v>
      </c>
      <c r="AG382" s="811">
        <f t="shared" si="149"/>
        <v>-1</v>
      </c>
      <c r="AH382" s="176">
        <f t="shared" si="149"/>
        <v>5</v>
      </c>
      <c r="AI382" s="225">
        <f>AVERAGE(AI15:AI380)</f>
        <v>-0.22272612932872787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60.862000000000002</v>
      </c>
      <c r="C383" s="377"/>
      <c r="D383" s="377">
        <f>MAX(D15:D380)</f>
        <v>62.314760794323526</v>
      </c>
      <c r="E383" s="377">
        <f>MAX(E15:E380)</f>
        <v>62.795753446245477</v>
      </c>
      <c r="F383" s="378">
        <f>MAX(F15:F380)</f>
        <v>62.803447200223168</v>
      </c>
      <c r="G383" s="127">
        <f>+MAX(G15:G380)</f>
        <v>1.0465748032640063</v>
      </c>
      <c r="H383" s="94"/>
      <c r="I383" s="378">
        <f>MAX(I15:I380)</f>
        <v>66.115436428019962</v>
      </c>
      <c r="J383" s="60">
        <f>MAX(J15:J380)</f>
        <v>2021</v>
      </c>
      <c r="K383" s="200" t="s">
        <v>9</v>
      </c>
      <c r="L383" s="148">
        <f t="shared" ref="L383:T383" si="150">MAX(L15:L380)</f>
        <v>2.8114669092890732E-2</v>
      </c>
      <c r="M383" s="848"/>
      <c r="N383" s="848"/>
      <c r="O383" s="49">
        <f t="shared" si="150"/>
        <v>5.6779710776284194E-2</v>
      </c>
      <c r="P383" s="170">
        <f t="shared" si="150"/>
        <v>3.609115661654619E-4</v>
      </c>
      <c r="Q383" s="313">
        <f t="shared" si="150"/>
        <v>0.5</v>
      </c>
      <c r="R383" s="314">
        <f t="shared" si="150"/>
        <v>0.99738900063595759</v>
      </c>
      <c r="S383" s="812">
        <f t="shared" si="150"/>
        <v>-1</v>
      </c>
      <c r="T383" s="233">
        <f t="shared" si="150"/>
        <v>5</v>
      </c>
      <c r="U383" s="253">
        <f>+MAX(U15:U380)</f>
        <v>-2.6109993640424656E-3</v>
      </c>
      <c r="V383" s="60">
        <f>MAX(V15:V380)</f>
        <v>61.723745740677536</v>
      </c>
      <c r="X383" s="112" t="s">
        <v>9</v>
      </c>
      <c r="Y383" s="377">
        <f>MAX(Y15:Y380)</f>
        <v>57.715862652317156</v>
      </c>
      <c r="Z383" s="377">
        <f>MAX(Z15:Z380)</f>
        <v>59.093525931076442</v>
      </c>
      <c r="AA383" s="377">
        <f>MAX(AA15:AA380)</f>
        <v>62.795753446245477</v>
      </c>
      <c r="AB383" s="200" t="s">
        <v>9</v>
      </c>
      <c r="AC383" s="49">
        <f t="shared" ref="AC383:AH383" si="151">MAX(AC15:AC380)</f>
        <v>6.5513112093837936E-2</v>
      </c>
      <c r="AD383" s="170">
        <f t="shared" si="151"/>
        <v>3.609115661654619E-4</v>
      </c>
      <c r="AE383" s="313">
        <f t="shared" si="151"/>
        <v>0.5</v>
      </c>
      <c r="AF383" s="314">
        <f t="shared" si="151"/>
        <v>0.99738900063595759</v>
      </c>
      <c r="AG383" s="812">
        <f t="shared" si="151"/>
        <v>-1</v>
      </c>
      <c r="AH383" s="233">
        <f t="shared" si="151"/>
        <v>5</v>
      </c>
      <c r="AI383" s="227">
        <f>MAX(AI15:AI380)</f>
        <v>-2.6109993640424656E-3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4" priority="7" stopIfTrue="1" operator="lessThan">
      <formula>0.01</formula>
    </cfRule>
    <cfRule type="cellIs" dxfId="13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0">
        <f>'2021'!An+1</f>
        <v>2022</v>
      </c>
      <c r="K1" s="1271"/>
      <c r="L1" s="113" t="str">
        <f>"Calcul pertes et enveloppes en "&amp;TEXT(An,0)</f>
        <v>Calcul pertes et enveloppes en 2022</v>
      </c>
      <c r="M1" s="243"/>
      <c r="N1" s="243"/>
      <c r="V1" s="458"/>
      <c r="W1" s="456"/>
      <c r="X1" s="487" t="str">
        <f>"Prévision sans nettoyage ni taille végétation en "&amp;TEXT(An,0)</f>
        <v>Prévision sans nettoyage ni taille végétation en 2022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29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4" t="s">
        <v>24</v>
      </c>
      <c r="P2" s="18"/>
      <c r="Q2" s="790"/>
      <c r="R2" s="18"/>
      <c r="S2" s="495"/>
      <c r="T2" s="495"/>
      <c r="U2" s="294" t="s">
        <v>79</v>
      </c>
      <c r="V2" s="496">
        <f>PertePVan</f>
        <v>8.0000000000000002E-3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35" t="s">
        <v>259</v>
      </c>
      <c r="AK2" s="835" t="s">
        <v>261</v>
      </c>
      <c r="AL2" s="835" t="s">
        <v>260</v>
      </c>
      <c r="AM2" s="835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0">
        <f>Tmaj</f>
        <v>44926</v>
      </c>
      <c r="F3" s="1280"/>
      <c r="G3" s="8"/>
      <c r="H3" s="26"/>
      <c r="I3" s="6"/>
      <c r="J3" s="34"/>
      <c r="K3" s="191"/>
      <c r="L3" s="54"/>
      <c r="M3" s="34"/>
      <c r="N3" s="34"/>
      <c r="O3" s="501"/>
      <c r="P3" s="34"/>
      <c r="Q3" s="501"/>
      <c r="R3" s="34"/>
      <c r="S3" s="513"/>
      <c r="T3" s="450"/>
      <c r="U3" s="209" t="s">
        <v>166</v>
      </c>
      <c r="V3" s="632">
        <f>Salim_i</f>
        <v>7.0000000000000007E-2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33">
        <f>AL11-AJ11</f>
        <v>21.866050053105639</v>
      </c>
      <c r="AK3" s="834">
        <f>AM11-AK11</f>
        <v>0</v>
      </c>
      <c r="AL3" s="833"/>
      <c r="AM3" s="834"/>
      <c r="AN3" s="832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1" t="str">
        <f>Station</f>
        <v>Garderie Labège</v>
      </c>
      <c r="F4" s="1212"/>
      <c r="G4" s="1212"/>
      <c r="H4" s="1212"/>
      <c r="I4" s="1213"/>
      <c r="J4" s="158"/>
      <c r="K4" s="191"/>
      <c r="L4" s="506"/>
      <c r="M4" s="505"/>
      <c r="N4" s="505"/>
      <c r="O4" s="428"/>
      <c r="P4" s="34"/>
      <c r="Q4" s="505"/>
      <c r="R4" s="34"/>
      <c r="S4" s="495"/>
      <c r="T4" s="409"/>
      <c r="U4" s="295" t="s">
        <v>82</v>
      </c>
      <c r="V4" s="631">
        <f>Persistant</f>
        <v>0.6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33">
        <f>AL12-AJ12</f>
        <v>364.87784271008547</v>
      </c>
      <c r="AK4" s="834">
        <f>AM12-AK12</f>
        <v>-3.5250962824366794E-2</v>
      </c>
      <c r="AL4" s="833"/>
      <c r="AM4" s="834"/>
      <c r="AN4" s="832" t="s">
        <v>269</v>
      </c>
    </row>
    <row r="5" spans="1:40" s="35" customFormat="1" ht="16.5" customHeight="1" x14ac:dyDescent="0.25">
      <c r="D5" s="161" t="s">
        <v>20</v>
      </c>
      <c r="E5" s="1281">
        <f>T0</f>
        <v>43259</v>
      </c>
      <c r="F5" s="1281"/>
      <c r="G5" s="34"/>
      <c r="H5" s="158"/>
      <c r="I5" s="158"/>
      <c r="K5" s="192"/>
      <c r="L5" s="506"/>
      <c r="M5" s="505"/>
      <c r="N5" s="505"/>
      <c r="O5" s="19"/>
      <c r="R5" s="39"/>
      <c r="S5" s="178"/>
      <c r="T5" s="178"/>
      <c r="U5" s="41"/>
      <c r="V5" s="507"/>
      <c r="W5" s="508"/>
      <c r="X5" s="509"/>
      <c r="Y5" s="510"/>
      <c r="Z5" s="236">
        <f>Wh_Psa_s-Wh_Psa</f>
        <v>386.73051037232443</v>
      </c>
      <c r="AA5" s="237">
        <f>Wh_Pvg_s-Wh_Pvg</f>
        <v>-3.5250962824366794E-2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529.72100000000012</v>
      </c>
      <c r="AK5" s="516">
        <f>SUMIF(AK15:AK380,"VRAI",Wh)</f>
        <v>0</v>
      </c>
      <c r="AL5" s="516">
        <f>SUMIF(AJ15:AJ380,"VRAI",Wh_s)</f>
        <v>507.85491638913118</v>
      </c>
      <c r="AM5" s="516">
        <f>SUMIF(AK15:AK380,"VRAI",Wh_s)</f>
        <v>0</v>
      </c>
      <c r="AN5" s="832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2">
        <f>Tservice</f>
        <v>43301</v>
      </c>
      <c r="F6" s="1282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10537.802499999994</v>
      </c>
      <c r="AK6" s="516">
        <f>SUMIF(AK15:AK380,"FAUX",Wh)</f>
        <v>11067.523499999998</v>
      </c>
      <c r="AL6" s="516">
        <f>SUMIF(AJ15:AJ380,"FAUX",Wh_s)</f>
        <v>10172.86147113235</v>
      </c>
      <c r="AM6" s="516">
        <f>SUMIF(AK15:AK380,"FAUX",Wh_s)</f>
        <v>10680.716387521483</v>
      </c>
      <c r="AN6" s="832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81</v>
      </c>
      <c r="M7" s="843"/>
      <c r="N7" s="843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48"/>
      <c r="Z7" s="518"/>
      <c r="AA7" s="518"/>
      <c r="AB7" s="518"/>
      <c r="AC7" s="518"/>
      <c r="AD7" s="248"/>
      <c r="AE7" s="248"/>
      <c r="AF7" s="493"/>
      <c r="AG7" s="493"/>
      <c r="AH7" s="493"/>
      <c r="AI7" s="518"/>
      <c r="AJ7" s="516">
        <f>SUMIF(AJ15:AJ380,"VRAI",Wh_pvt)</f>
        <v>545.23827678245448</v>
      </c>
      <c r="AK7" s="516">
        <f>SUMIF(AK15:AK380,"VRAI",Wh_sa)</f>
        <v>0</v>
      </c>
      <c r="AL7" s="516">
        <f>SUMIF(AJ15:AJ380,"VRAI",Wh_pvt_s)</f>
        <v>522.73169566062768</v>
      </c>
      <c r="AM7" s="516">
        <f>SUMIF(AK15:AK380,"VRAI",Wh_sa_s)</f>
        <v>0</v>
      </c>
      <c r="AN7" s="832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4"/>
      <c r="X8" s="1268" t="s">
        <v>102</v>
      </c>
      <c r="Y8" s="1269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10886.75755069303</v>
      </c>
      <c r="AK8" s="516">
        <f>SUMIF(AK15:AK380,"FAUX",Wh_sa)</f>
        <v>11919.389097768109</v>
      </c>
      <c r="AL8" s="516">
        <f>SUMIF(AJ15:AJ380,"FAUX",Wh_pvt_s)</f>
        <v>10509.792042260091</v>
      </c>
      <c r="AM8" s="516">
        <f>SUMIF(AK15:AK380,"FAUX",Wh_sa_s)</f>
        <v>11919.389097768109</v>
      </c>
      <c r="AN8" s="832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11431.995827475486</v>
      </c>
      <c r="E9" s="184">
        <f>SUM(E$15:E$380)</f>
        <v>11919.389097768109</v>
      </c>
      <c r="F9" s="184">
        <f>SUM(F$15:F$380)</f>
        <v>11920.475349619277</v>
      </c>
      <c r="H9" s="1272">
        <f>+SUM(Wh)</f>
        <v>11067.523499999998</v>
      </c>
      <c r="I9" s="1273"/>
      <c r="J9" s="1274"/>
      <c r="K9" s="191"/>
      <c r="L9" s="232"/>
      <c r="M9" s="232"/>
      <c r="N9" s="232"/>
      <c r="O9" s="223">
        <f>Tnet_2022</f>
        <v>44593</v>
      </c>
      <c r="P9" s="244" t="s">
        <v>91</v>
      </c>
      <c r="Q9" s="245"/>
      <c r="R9" s="245"/>
      <c r="S9" s="245"/>
      <c r="T9" s="245"/>
      <c r="U9" s="246"/>
      <c r="V9" s="462"/>
      <c r="W9" s="521"/>
      <c r="X9" s="1266">
        <f>+SUM(Wh_s)</f>
        <v>10680.716387521483</v>
      </c>
      <c r="Y9" s="1267"/>
      <c r="Z9" s="516">
        <f>SUM(Z$15:Z$380)</f>
        <v>11032.523737920719</v>
      </c>
      <c r="AA9" s="516">
        <f>SUM(AA$15:AA$380)</f>
        <v>11919.389097768109</v>
      </c>
      <c r="AB9" s="516">
        <f>F9</f>
        <v>11920.475349619277</v>
      </c>
      <c r="AC9" s="325">
        <f>IF(An_Tnet,Tnet,'2021'!Tnet_s)</f>
        <v>44593</v>
      </c>
      <c r="AD9" s="316" t="s">
        <v>91</v>
      </c>
      <c r="AE9" s="316"/>
      <c r="AF9" s="316"/>
      <c r="AG9" s="316"/>
      <c r="AH9" s="316"/>
      <c r="AI9" s="317"/>
      <c r="AJ9" s="516">
        <f>SUMIF(AJ15:AJ380,"VRAI",Wh_sa)</f>
        <v>559.66468677422301</v>
      </c>
      <c r="AK9" s="516">
        <f>SUMIF(AK15:AK380,"VRAI",Wh_hp)</f>
        <v>0</v>
      </c>
      <c r="AL9" s="516">
        <f>SUMIF(AJ15:AJ380,"VRAI",Wh_sa_s)</f>
        <v>559.66468677422301</v>
      </c>
      <c r="AM9" s="516">
        <f>SUMIF(AK15:AK380,"VRAI",Wh_hp)</f>
        <v>0</v>
      </c>
      <c r="AN9" s="832" t="s">
        <v>263</v>
      </c>
    </row>
    <row r="10" spans="1:40" s="19" customFormat="1" ht="15" customHeight="1" x14ac:dyDescent="0.25">
      <c r="A10" s="206"/>
      <c r="B10" s="207"/>
      <c r="C10" s="839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2.6837011099374114E-2</v>
      </c>
      <c r="P10" s="421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18">
        <f>IF(OR(Inflex,GainD),'2021'!Resal_s+('2021'!Salim-'2021'!Resal_s)*(1-EXP(('2021'!Tnet_s-Tnet)/('2021'!Tau_j))),IF(Acti_net,'2021'!Resal+('2021'!Salim-'2021'!Resal)*(1-EXP(('2021'!Tnet-Tnet)/'2021'!Tau_j)),'2021'!Resal_s))</f>
        <v>6.646727012724056E-2</v>
      </c>
      <c r="AD10" s="428"/>
      <c r="AE10" s="428"/>
      <c r="AF10" s="260"/>
      <c r="AG10" s="261"/>
      <c r="AH10" s="262"/>
      <c r="AI10" s="473"/>
      <c r="AJ10" s="516">
        <f>SUMIF(AJ15:AJ380,"FAUX",Wh_sa)</f>
        <v>11359.724410993884</v>
      </c>
      <c r="AK10" s="516">
        <f>SUMIF(AK15:AK380,"FAUX",Wh_hp)</f>
        <v>11920.475349619277</v>
      </c>
      <c r="AL10" s="516">
        <f>SUMIF(AJ15:AJ380,"FAUX",Wh_sa_s)</f>
        <v>11359.724410993884</v>
      </c>
      <c r="AM10" s="516">
        <f>SUMIF(AK15:AK380,"FAUX",Wh_hp)</f>
        <v>11920.475349619277</v>
      </c>
      <c r="AN10" s="832" t="s">
        <v>264</v>
      </c>
    </row>
    <row r="11" spans="1:40" s="40" customFormat="1" ht="15" customHeight="1" x14ac:dyDescent="0.25">
      <c r="A11" s="216"/>
      <c r="B11" s="217" t="s">
        <v>43</v>
      </c>
      <c r="C11" s="840"/>
      <c r="D11" s="50">
        <f>D$9-Prod_an</f>
        <v>364.47232747548878</v>
      </c>
      <c r="E11" s="51">
        <f>(E$9-D$9)*Prod_an/D$9</f>
        <v>471.85430734159564</v>
      </c>
      <c r="F11" s="186">
        <f>(F$9-E$9)*Prod_an/E$9</f>
        <v>1.0086186289503065</v>
      </c>
      <c r="G11" s="185" t="s">
        <v>6</v>
      </c>
      <c r="K11" s="194"/>
      <c r="L11" s="211">
        <f>Tvie_2022</f>
        <v>43259</v>
      </c>
      <c r="M11" s="844"/>
      <c r="N11" s="844"/>
      <c r="O11" s="202">
        <f>IF(An_Tnet,Salim_2022,'2021'!Salim)</f>
        <v>0.1</v>
      </c>
      <c r="P11" s="256">
        <f>Ttai_2022</f>
        <v>43101</v>
      </c>
      <c r="Q11" s="272">
        <f>Dens_2022</f>
        <v>0.5</v>
      </c>
      <c r="R11" s="277"/>
      <c r="S11" s="230"/>
      <c r="T11" s="230"/>
      <c r="U11" s="266">
        <f>Htf_2022</f>
        <v>0.49738900063595753</v>
      </c>
      <c r="V11" s="19"/>
      <c r="W11" s="836"/>
      <c r="X11" s="235" t="s">
        <v>43</v>
      </c>
      <c r="Y11" s="50">
        <f>Z$9-Prod_an_s</f>
        <v>351.80735039923638</v>
      </c>
      <c r="Z11" s="51">
        <f>(AA$9-Z$9)*Prod_an_s/Z$9</f>
        <v>858.58481771392007</v>
      </c>
      <c r="AA11" s="186">
        <f>(AB$9-AA$9)*Prod_an_s/AA$9</f>
        <v>0.97336766612593972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3">
        <f>IF($AJ7=0,0,($AJ9-$AJ7)*$AJ5/$AJ7)</f>
        <v>14.015839776228157</v>
      </c>
      <c r="AK11" s="834">
        <f>IF($AK7=0,0,($AK9-$AK7)*$AK5/$AK7)</f>
        <v>0</v>
      </c>
      <c r="AL11" s="833">
        <f>IF($AL7=0,0,($AL9-$AL7)*$AL5/$AL7)</f>
        <v>35.881889829333794</v>
      </c>
      <c r="AM11" s="834">
        <f>IF($AM7=0,0,($AM9-$AM7)*$AM5/$AM7)</f>
        <v>0</v>
      </c>
      <c r="AN11" s="832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4.6592603713102809E-2</v>
      </c>
      <c r="K12" s="191"/>
      <c r="L12" s="212">
        <f>Pspv_2022</f>
        <v>0</v>
      </c>
      <c r="M12" s="212"/>
      <c r="N12" s="212"/>
      <c r="O12" s="205">
        <f>IF(An_Tnet,Tau_2022*365,'2021'!Tau_j)</f>
        <v>730</v>
      </c>
      <c r="P12" s="281">
        <f>INDEX(Croivg,MIN(MAX(Ttai-$A$15,0)+1,366))</f>
        <v>2.3909964587625958E-6</v>
      </c>
      <c r="Q12" s="280">
        <f>'2021'!Df</f>
        <v>0.5</v>
      </c>
      <c r="R12" s="278"/>
      <c r="S12" s="279"/>
      <c r="T12" s="279"/>
      <c r="U12" s="267">
        <f>'2021'!Hdf</f>
        <v>-2.6109993640424656E-3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'2021'!Df_s</f>
        <v>0.5</v>
      </c>
      <c r="AF12" s="203"/>
      <c r="AG12" s="203"/>
      <c r="AH12" s="203"/>
      <c r="AI12" s="297">
        <f>'2021'!Hdf_s</f>
        <v>-2.6109993640424656E-3</v>
      </c>
      <c r="AJ12" s="833">
        <f>IF($AJ8=0,0,($AJ10-$AJ8)*$AJ6/$AJ8)</f>
        <v>457.80677485356637</v>
      </c>
      <c r="AK12" s="834">
        <f>IF($AK8=0,0,($AK10-$AK8)*$AK6/$AK8)</f>
        <v>1.0086186289503065</v>
      </c>
      <c r="AL12" s="833">
        <f>IF($AL8=0,0,($AL10-$AL8)*$AL6/$AL8)</f>
        <v>822.68461756365184</v>
      </c>
      <c r="AM12" s="834">
        <f>IF($AM8=0,0,($AM10-$AM8)*$AM6/$AM8)</f>
        <v>0.97336766612593972</v>
      </c>
      <c r="AN12" s="832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7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471.82261462979454</v>
      </c>
      <c r="AK13" s="73">
        <f>+AK11+AK12</f>
        <v>1.0086186289503065</v>
      </c>
      <c r="AL13" s="73">
        <f>+AL11+AL12</f>
        <v>858.56650739298561</v>
      </c>
      <c r="AM13" s="73">
        <f>+AM11+AM12</f>
        <v>0.97336766612593972</v>
      </c>
      <c r="AN13" s="831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2022</v>
      </c>
      <c r="W14" s="838" t="s">
        <v>116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3" t="s">
        <v>255</v>
      </c>
      <c r="AK14" s="693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39">
        <v>23.241</v>
      </c>
      <c r="C15" s="841"/>
      <c r="D15" s="393">
        <f t="shared" ref="D15:D78" si="0">Wh/(1-Ppv)</f>
        <v>23.913838710790564</v>
      </c>
      <c r="E15" s="400">
        <f t="shared" ref="E15:E79" si="1">Wh_pvt/(1-Psa)</f>
        <v>24.520733941680902</v>
      </c>
      <c r="F15" s="400">
        <f t="shared" ref="F15:F78" si="2">Wh_sa/(1-Pvg*MEDIAN((-Sdif+Wh/Env_an)/Csdif,0,1))</f>
        <v>24.528525019852513</v>
      </c>
      <c r="G15" s="123">
        <f>+Wh_hp/MaxiM</f>
        <v>0.95106616919484566</v>
      </c>
      <c r="H15" s="414" t="b">
        <f>Wh_hp&gt;='2021'!Maxi_hp</f>
        <v>1</v>
      </c>
      <c r="I15" s="379">
        <f>IF(H15,Wh_hp,'2021'!Maxi_hp)</f>
        <v>24.528525019852513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2.8135955875915553E-2</v>
      </c>
      <c r="M15" s="845"/>
      <c r="N15" s="845"/>
      <c r="O15" s="48">
        <f>IF(t&lt;Tnet,'2021'!Resal+('2021'!Salim-'2021'!Resal)*(1-EXP(('2021'!Tnet-t)/('2021'!Tau_j))),Resal+(Salim-Resal)*(1-EXP((Tnet-t)/(Tau_j))))*Salcycl</f>
        <v>2.4750288157514119E-2</v>
      </c>
      <c r="P15" s="338">
        <f>(INDEX(Models!$BJ15:$BT15,,T15)*(1-R15)+INDEX(Models!$BJ15:$BT15,,T15+1)*R15-ERP_i)*Q15*Ramure*Pc/MaxiM</f>
        <v>3.4149464402851234E-4</v>
      </c>
      <c r="Q15" s="303">
        <f t="shared" ref="Q15:Q78" si="4">IF(OR(t&lt;Ttai,Notai),Dd+PousD*Croivg,Dens+PousD*(Croivg-Croi_tai))</f>
        <v>0.5</v>
      </c>
      <c r="R15" s="304">
        <f t="shared" ref="R15:R78" si="5">(Hp_vg-S15)/(INDEX(Echel_vg,T15+1)-S15)</f>
        <v>0.99739019613418689</v>
      </c>
      <c r="S15" s="810">
        <f t="shared" ref="S15:S78" si="6">INDEX(Echel_vg,T15)</f>
        <v>-1</v>
      </c>
      <c r="T15" s="249">
        <f t="shared" ref="T15:T78" si="7">MIN(MATCH(Hp_vg,Echel_vg),10)</f>
        <v>5</v>
      </c>
      <c r="U15" s="250">
        <f>IF(OR(t&lt;Ttai,Notai),Hdd+PousH*Croivg,Hdtf+PousH*(Croivg-Croi_tai))</f>
        <v>-2.6098038658130844E-3</v>
      </c>
      <c r="V15" s="382">
        <f t="shared" ref="V15:V78" si="8">MaxiM*(1-Ppv)*(1-Pvg)*(1-Psa)</f>
        <v>24.436202250475688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22.268903328550785</v>
      </c>
      <c r="Z15" s="385">
        <f>Wh_sa_s*(1-Psa_s)</f>
        <v>22.913599348786654</v>
      </c>
      <c r="AA15" s="386">
        <f t="shared" ref="AA15:AA78" si="12">Wh_hp*(1-Pvg_s*MEDIAN((-Sdif+Wh/Env_an)/Csdif,0,1))</f>
        <v>24.520733941680902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6.5541863335599582E-2</v>
      </c>
      <c r="AD15" s="231">
        <f>(INDEX(Models!$BJ15:$BT15,,AH15)*(1-AF15)+INDEX(Models!$BJ15:$BT15,,AH15+1)*AF15-ERP_i)*AE15*Ramure*Pc/MaxiM</f>
        <v>3.4149464402851234E-4</v>
      </c>
      <c r="AE15" s="303">
        <f t="shared" ref="AE15:AE78" si="14">IF(OR(t&lt;Ttai,Notai),Dd_s+PousD*Croivg,Dens_s+PousD*(Croivg-Croi_tai))</f>
        <v>0.5</v>
      </c>
      <c r="AF15" s="304">
        <f>(Hp_vg_s-AG15)/(INDEX(Echel_vg,AH15+1)-AG15)</f>
        <v>0.99739019613418689</v>
      </c>
      <c r="AG15" s="810">
        <f>INDEX(Echel_vg,AH15)</f>
        <v>-1</v>
      </c>
      <c r="AH15" s="249">
        <f t="shared" ref="AH15:AH78" si="15">MIN(MATCH(Hp_vg_s,Echel_vg),10)</f>
        <v>5</v>
      </c>
      <c r="AI15" s="224">
        <f>IF(OR(t&lt;Ttai,Notai),Hdd_s+PousH*Croivg,Hdtai_s+PousH*(Croivg-Croi_tai))</f>
        <v>-2.6098038658130844E-3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40">
        <v>16.711000000000002</v>
      </c>
      <c r="C16" s="841"/>
      <c r="D16" s="393">
        <f t="shared" si="0"/>
        <v>17.195168524694196</v>
      </c>
      <c r="E16" s="385">
        <f t="shared" si="1"/>
        <v>17.632779514743483</v>
      </c>
      <c r="F16" s="385">
        <f t="shared" si="2"/>
        <v>17.636021304603418</v>
      </c>
      <c r="G16" s="110">
        <f t="shared" ref="G16:G79" si="19">+Wh_hp/MaxiM</f>
        <v>0.67896861632916805</v>
      </c>
      <c r="H16" s="414" t="b">
        <f>Wh_hp&gt;='2021'!Maxi_hp</f>
        <v>0</v>
      </c>
      <c r="I16" s="380">
        <f>IF(H16,Wh_hp,'2021'!Maxi_hp)</f>
        <v>24.297474136240545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2.8157242192705101E-2</v>
      </c>
      <c r="M16" s="845"/>
      <c r="N16" s="845"/>
      <c r="O16" s="48">
        <f>IF(t&lt;Tnet,'2021'!Resal+('2021'!Salim-'2021'!Resal)*(1-EXP(('2021'!Tnet-t)/('2021'!Tau_j))),Resal+(Salim-Resal)*(1-EXP((Tnet-t)/(Tau_j))))*Salcycl</f>
        <v>2.4818037886958206E-2</v>
      </c>
      <c r="P16" s="339">
        <f>(INDEX(Models!$BJ16:$BT16,,T16)*(1-R16)+INDEX(Models!$BJ16:$BT16,,T16+1)*R16-ERP_i)*Q16*Ramure*Pc/MaxiM</f>
        <v>3.3943602120598438E-4</v>
      </c>
      <c r="Q16" s="305">
        <f t="shared" si="4"/>
        <v>0.5</v>
      </c>
      <c r="R16" s="177">
        <f t="shared" si="5"/>
        <v>0.99741941074818119</v>
      </c>
      <c r="S16" s="811">
        <f t="shared" si="6"/>
        <v>-1</v>
      </c>
      <c r="T16" s="176">
        <f t="shared" si="7"/>
        <v>5</v>
      </c>
      <c r="U16" s="251">
        <f t="shared" ref="U16:U78" si="20">IF(OR(t&lt;Ttai,Notai),Hdd+PousH*Croivg,Hdtf+PousH*(Croivg-Croi_tai))</f>
        <v>-2.5805892518188456E-3</v>
      </c>
      <c r="V16" s="383">
        <f t="shared" si="8"/>
        <v>24.608499657389565</v>
      </c>
      <c r="W16" s="402">
        <f t="shared" si="9"/>
        <v>0</v>
      </c>
      <c r="X16" s="157">
        <f t="shared" si="10"/>
        <v>44563</v>
      </c>
      <c r="Y16" s="385">
        <f t="shared" si="11"/>
        <v>16.012649778875012</v>
      </c>
      <c r="Z16" s="385">
        <f t="shared" ref="Z16:Z78" si="21">Wh_sa_s*(1-Psa_s)</f>
        <v>16.476584972453058</v>
      </c>
      <c r="AA16" s="386">
        <f t="shared" si="12"/>
        <v>17.632779514743483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6.5570748010753688E-2</v>
      </c>
      <c r="AD16" s="231">
        <f>(INDEX(Models!$BJ16:$BT16,,AH16)*(1-AF16)+INDEX(Models!$BJ16:$BT16,,AH16+1)*AF16-ERP_i)*AE16*Ramure*Pc/MaxiM</f>
        <v>3.3943602120598438E-4</v>
      </c>
      <c r="AE16" s="305">
        <f>IF(OR(t&lt;Ttai,Notai),Dd_s+PousD*Croivg,Dens_s+PousD*(Croivg-Croi_tai))</f>
        <v>0.5</v>
      </c>
      <c r="AF16" s="177">
        <f t="shared" ref="AF16:AF78" si="22">(Hp_vg_s-AG16)/(INDEX(Echel_vg,AH16+1)-AG16)</f>
        <v>0.99741941074818119</v>
      </c>
      <c r="AG16" s="811">
        <f t="shared" ref="AG16:AG79" si="23">INDEX(Echel_vg,AH16)</f>
        <v>-1</v>
      </c>
      <c r="AH16" s="176">
        <f t="shared" si="15"/>
        <v>5</v>
      </c>
      <c r="AI16" s="225">
        <f t="shared" ref="AI16:AI78" si="24">IF(OR(t&lt;Ttai,Notai),Hdd_s+PousH*Croivg,Hdtai_s+PousH*(Croivg-Croi_tai))</f>
        <v>-2.5805892518188456E-3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40">
        <v>17.983000000000001</v>
      </c>
      <c r="C17" s="841"/>
      <c r="D17" s="393">
        <f t="shared" si="0"/>
        <v>18.504427530081042</v>
      </c>
      <c r="E17" s="385">
        <f t="shared" si="1"/>
        <v>18.976676847321546</v>
      </c>
      <c r="F17" s="385">
        <f t="shared" si="2"/>
        <v>18.980565853825546</v>
      </c>
      <c r="G17" s="110">
        <f t="shared" si="19"/>
        <v>0.72537030779553135</v>
      </c>
      <c r="H17" s="414" t="b">
        <f>Wh_hp&gt;='2021'!Maxi_hp</f>
        <v>0</v>
      </c>
      <c r="I17" s="380">
        <f>IF(H17,Wh_hp,'2021'!Maxi_hp)</f>
        <v>27.383515682442006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2.8178528043269813E-2</v>
      </c>
      <c r="M17" s="845"/>
      <c r="N17" s="845"/>
      <c r="O17" s="48">
        <f>IF(t&lt;Tnet,'2021'!Resal+('2021'!Salim-'2021'!Resal)*(1-EXP(('2021'!Tnet-t)/('2021'!Tau_j))),Resal+(Salim-Resal)*(1-EXP((Tnet-t)/(Tau_j))))*Salcycl</f>
        <v>2.4885775367311364E-2</v>
      </c>
      <c r="P17" s="339">
        <f>(INDEX(Models!$BJ17:$BT17,,T17)*(1-R17)+INDEX(Models!$BJ17:$BT17,,T17+1)*R17-ERP_i)*Q17*Ramure*Pc/MaxiM</f>
        <v>3.3710286857945102E-4</v>
      </c>
      <c r="Q17" s="305">
        <f t="shared" si="4"/>
        <v>0.5</v>
      </c>
      <c r="R17" s="177">
        <f t="shared" si="5"/>
        <v>0.9974498473436707</v>
      </c>
      <c r="S17" s="811">
        <f t="shared" si="6"/>
        <v>-1</v>
      </c>
      <c r="T17" s="176">
        <f t="shared" si="7"/>
        <v>5</v>
      </c>
      <c r="U17" s="251">
        <f t="shared" si="20"/>
        <v>-2.5501526563292626E-3</v>
      </c>
      <c r="V17" s="383">
        <f t="shared" si="8"/>
        <v>24.788196883380866</v>
      </c>
      <c r="W17" s="402">
        <f t="shared" si="9"/>
        <v>0</v>
      </c>
      <c r="X17" s="157">
        <f t="shared" si="10"/>
        <v>44564</v>
      </c>
      <c r="Y17" s="385">
        <f t="shared" si="11"/>
        <v>17.232155258469131</v>
      </c>
      <c r="Z17" s="385">
        <f t="shared" si="21"/>
        <v>17.731811609155702</v>
      </c>
      <c r="AA17" s="386">
        <f t="shared" si="12"/>
        <v>18.976676847321546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6.5599749006715655E-2</v>
      </c>
      <c r="AD17" s="231">
        <f>(INDEX(Models!$BJ17:$BT17,,AH17)*(1-AF17)+INDEX(Models!$BJ17:$BT17,,AH17+1)*AF17-ERP_i)*AE17*Ramure*Pc/MaxiM</f>
        <v>3.3710286857945102E-4</v>
      </c>
      <c r="AE17" s="305">
        <f t="shared" si="14"/>
        <v>0.5</v>
      </c>
      <c r="AF17" s="177">
        <f>(Hp_vg_s-AG17)/(INDEX(Echel_vg,AH17+1)-AG17)</f>
        <v>0.9974498473436707</v>
      </c>
      <c r="AG17" s="811">
        <f>INDEX(Echel_vg,AH17)</f>
        <v>-1</v>
      </c>
      <c r="AH17" s="176">
        <f t="shared" si="15"/>
        <v>5</v>
      </c>
      <c r="AI17" s="225">
        <f t="shared" si="24"/>
        <v>-2.5501526563292626E-3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40">
        <v>19.001000000000001</v>
      </c>
      <c r="C18" s="841"/>
      <c r="D18" s="393">
        <f t="shared" si="0"/>
        <v>19.552373278521483</v>
      </c>
      <c r="E18" s="385">
        <f t="shared" si="1"/>
        <v>20.05275972377715</v>
      </c>
      <c r="F18" s="385">
        <f t="shared" si="2"/>
        <v>20.057176730761295</v>
      </c>
      <c r="G18" s="110">
        <f t="shared" si="19"/>
        <v>0.76074029851663227</v>
      </c>
      <c r="H18" s="414" t="b">
        <f>Wh_hp&gt;='2021'!Maxi_hp</f>
        <v>0</v>
      </c>
      <c r="I18" s="380">
        <f>IF(H18,Wh_hp,'2021'!Maxi_hp)</f>
        <v>24.454097030053351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2.819981342761968E-2</v>
      </c>
      <c r="M18" s="845"/>
      <c r="N18" s="845"/>
      <c r="O18" s="48">
        <f>IF(t&lt;Tnet,'2021'!Resal+('2021'!Salim-'2021'!Resal)*(1-EXP(('2021'!Tnet-t)/('2021'!Tau_j))),Resal+(Salim-Resal)*(1-EXP((Tnet-t)/(Tau_j))))*Salcycl</f>
        <v>2.4953495286852919E-2</v>
      </c>
      <c r="P18" s="339">
        <f>(INDEX(Models!$BJ18:$BT18,,T18)*(1-R18)+INDEX(Models!$BJ18:$BT18,,T18+1)*R18-ERP_i)*Q18*Ramure*Pc/MaxiM</f>
        <v>3.3451696414654638E-4</v>
      </c>
      <c r="Q18" s="305">
        <f t="shared" si="4"/>
        <v>0.5</v>
      </c>
      <c r="R18" s="177">
        <f t="shared" si="5"/>
        <v>0.99748155687496587</v>
      </c>
      <c r="S18" s="811">
        <f t="shared" si="6"/>
        <v>-1</v>
      </c>
      <c r="T18" s="176">
        <f t="shared" si="7"/>
        <v>5</v>
      </c>
      <c r="U18" s="251">
        <f t="shared" si="20"/>
        <v>-2.5184431250341432E-3</v>
      </c>
      <c r="V18" s="383">
        <f t="shared" si="8"/>
        <v>24.974130878525884</v>
      </c>
      <c r="W18" s="402">
        <f t="shared" si="9"/>
        <v>0</v>
      </c>
      <c r="X18" s="157">
        <f t="shared" si="10"/>
        <v>44565</v>
      </c>
      <c r="Y18" s="385">
        <f t="shared" si="11"/>
        <v>18.20834812739567</v>
      </c>
      <c r="Z18" s="385">
        <f>Wh_sa_s*(1-Psa_s)</f>
        <v>18.736720139577272</v>
      </c>
      <c r="AA18" s="386">
        <f t="shared" si="12"/>
        <v>20.05275972377715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6.5628851206919414E-2</v>
      </c>
      <c r="AD18" s="231">
        <f>(INDEX(Models!$BJ18:$BT18,,AH18)*(1-AF18)+INDEX(Models!$BJ18:$BT18,,AH18+1)*AF18-ERP_i)*AE18*Ramure*Pc/MaxiM</f>
        <v>3.3451696414654638E-4</v>
      </c>
      <c r="AE18" s="305">
        <f t="shared" si="14"/>
        <v>0.5</v>
      </c>
      <c r="AF18" s="177">
        <f t="shared" si="22"/>
        <v>0.99748155687496587</v>
      </c>
      <c r="AG18" s="811">
        <f t="shared" si="23"/>
        <v>-1</v>
      </c>
      <c r="AH18" s="176">
        <f t="shared" si="15"/>
        <v>5</v>
      </c>
      <c r="AI18" s="225">
        <f t="shared" si="24"/>
        <v>-2.5184431250341432E-3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40">
        <v>15.128</v>
      </c>
      <c r="C19" s="841"/>
      <c r="D19" s="393">
        <f t="shared" si="0"/>
        <v>15.567327068171561</v>
      </c>
      <c r="E19" s="385">
        <f t="shared" si="1"/>
        <v>15.966836362789893</v>
      </c>
      <c r="F19" s="385">
        <f t="shared" si="2"/>
        <v>15.969115178031991</v>
      </c>
      <c r="G19" s="110">
        <f t="shared" si="19"/>
        <v>0.60103544161242772</v>
      </c>
      <c r="H19" s="414" t="b">
        <f>Wh_hp&gt;='2021'!Maxi_hp</f>
        <v>0</v>
      </c>
      <c r="I19" s="380">
        <f>IF(H19,Wh_hp,'2021'!Maxi_hp)</f>
        <v>27.046839831733369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2.8221098345765139E-2</v>
      </c>
      <c r="M19" s="845"/>
      <c r="N19" s="845"/>
      <c r="O19" s="48">
        <f>IF(t&lt;Tnet,'2021'!Resal+('2021'!Salim-'2021'!Resal)*(1-EXP(('2021'!Tnet-t)/('2021'!Tau_j))),Resal+(Salim-Resal)*(1-EXP((Tnet-t)/(Tau_j))))*Salcycl</f>
        <v>2.5021193024146723E-2</v>
      </c>
      <c r="P19" s="339">
        <f>(INDEX(Models!$BJ19:$BT19,,T19)*(1-R19)+INDEX(Models!$BJ19:$BT19,,T19+1)*R19-ERP_i)*Q19*Ramure*Pc/MaxiM</f>
        <v>3.3169946458282758E-4</v>
      </c>
      <c r="Q19" s="305">
        <f t="shared" si="4"/>
        <v>0.5</v>
      </c>
      <c r="R19" s="177">
        <f t="shared" si="5"/>
        <v>0.99751459240752749</v>
      </c>
      <c r="S19" s="811">
        <f t="shared" si="6"/>
        <v>-1</v>
      </c>
      <c r="T19" s="176">
        <f t="shared" si="7"/>
        <v>5</v>
      </c>
      <c r="U19" s="251">
        <f t="shared" si="20"/>
        <v>-2.4854075924724763E-3</v>
      </c>
      <c r="V19" s="383">
        <f t="shared" si="8"/>
        <v>25.165138995428993</v>
      </c>
      <c r="W19" s="402">
        <f t="shared" si="9"/>
        <v>0</v>
      </c>
      <c r="X19" s="157">
        <f t="shared" si="10"/>
        <v>44566</v>
      </c>
      <c r="Y19" s="385">
        <f t="shared" si="11"/>
        <v>14.497469122257842</v>
      </c>
      <c r="Z19" s="385">
        <f t="shared" si="21"/>
        <v>14.918485159102717</v>
      </c>
      <c r="AA19" s="386">
        <f t="shared" si="12"/>
        <v>15.966836362789893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6.5658041447103369E-2</v>
      </c>
      <c r="AD19" s="231">
        <f>(INDEX(Models!$BJ19:$BT19,,AH19)*(1-AF19)+INDEX(Models!$BJ19:$BT19,,AH19+1)*AF19-ERP_i)*AE19*Ramure*Pc/MaxiM</f>
        <v>3.3169946458282758E-4</v>
      </c>
      <c r="AE19" s="305">
        <f t="shared" si="14"/>
        <v>0.5</v>
      </c>
      <c r="AF19" s="177">
        <f t="shared" si="22"/>
        <v>0.99751459240752749</v>
      </c>
      <c r="AG19" s="811">
        <f t="shared" si="23"/>
        <v>-1</v>
      </c>
      <c r="AH19" s="176">
        <f t="shared" si="15"/>
        <v>5</v>
      </c>
      <c r="AI19" s="225">
        <f t="shared" si="24"/>
        <v>-2.4854075924724763E-3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40">
        <v>21.815000000000001</v>
      </c>
      <c r="C20" s="841"/>
      <c r="D20" s="393">
        <f t="shared" si="0"/>
        <v>22.449013636554728</v>
      </c>
      <c r="E20" s="385">
        <f t="shared" si="1"/>
        <v>23.026728100840124</v>
      </c>
      <c r="F20" s="385">
        <f t="shared" si="2"/>
        <v>23.03278654505505</v>
      </c>
      <c r="G20" s="110">
        <f t="shared" si="19"/>
        <v>0.86015445761813725</v>
      </c>
      <c r="H20" s="414" t="b">
        <f>Wh_hp&gt;='2021'!Maxi_hp</f>
        <v>0</v>
      </c>
      <c r="I20" s="380">
        <f>IF(H20,Wh_hp,'2021'!Maxi_hp)</f>
        <v>26.739364860323523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2.824238279771607E-2</v>
      </c>
      <c r="M20" s="845"/>
      <c r="N20" s="845"/>
      <c r="O20" s="48">
        <f>IF(t&lt;Tnet,'2021'!Resal+('2021'!Salim-'2021'!Resal)*(1-EXP(('2021'!Tnet-t)/('2021'!Tau_j))),Resal+(Salim-Resal)*(1-EXP((Tnet-t)/(Tau_j))))*Salcycl</f>
        <v>2.5088864633978015E-2</v>
      </c>
      <c r="P20" s="339">
        <f>(INDEX(Models!$BJ20:$BT20,,T20)*(1-R20)+INDEX(Models!$BJ20:$BT20,,T20+1)*R20-ERP_i)*Q20*Ramure*Pc/MaxiM</f>
        <v>3.2867077639228568E-4</v>
      </c>
      <c r="Q20" s="305">
        <f t="shared" si="4"/>
        <v>0.5</v>
      </c>
      <c r="R20" s="177">
        <f t="shared" si="5"/>
        <v>0.99754900920427825</v>
      </c>
      <c r="S20" s="811">
        <f t="shared" si="6"/>
        <v>-1</v>
      </c>
      <c r="T20" s="176">
        <f t="shared" si="7"/>
        <v>5</v>
      </c>
      <c r="U20" s="251">
        <f t="shared" si="20"/>
        <v>-2.4509907957217646E-3</v>
      </c>
      <c r="V20" s="383">
        <f t="shared" si="8"/>
        <v>25.360058998732395</v>
      </c>
      <c r="W20" s="402">
        <f t="shared" si="9"/>
        <v>0</v>
      </c>
      <c r="X20" s="157">
        <f t="shared" si="10"/>
        <v>44567</v>
      </c>
      <c r="Y20" s="385">
        <f t="shared" si="11"/>
        <v>20.906553045353704</v>
      </c>
      <c r="Z20" s="385">
        <f t="shared" si="21"/>
        <v>21.514164309351365</v>
      </c>
      <c r="AA20" s="386">
        <f t="shared" si="12"/>
        <v>23.026728100840124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6.5687308455845042E-2</v>
      </c>
      <c r="AD20" s="231">
        <f>(INDEX(Models!$BJ20:$BT20,,AH20)*(1-AF20)+INDEX(Models!$BJ20:$BT20,,AH20+1)*AF20-ERP_i)*AE20*Ramure*Pc/MaxiM</f>
        <v>3.2867077639228568E-4</v>
      </c>
      <c r="AE20" s="305">
        <f t="shared" si="14"/>
        <v>0.5</v>
      </c>
      <c r="AF20" s="177">
        <f t="shared" si="22"/>
        <v>0.99754900920427825</v>
      </c>
      <c r="AG20" s="811">
        <f t="shared" si="23"/>
        <v>-1</v>
      </c>
      <c r="AH20" s="176">
        <f t="shared" si="15"/>
        <v>5</v>
      </c>
      <c r="AI20" s="225">
        <f t="shared" si="24"/>
        <v>-2.4509907957217646E-3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40">
        <v>11.156000000000001</v>
      </c>
      <c r="C21" s="841"/>
      <c r="D21" s="393">
        <f t="shared" si="0"/>
        <v>11.480480474649784</v>
      </c>
      <c r="E21" s="385">
        <f t="shared" si="1"/>
        <v>11.776742169438929</v>
      </c>
      <c r="F21" s="385">
        <f t="shared" si="2"/>
        <v>11.77748961333968</v>
      </c>
      <c r="G21" s="110">
        <f t="shared" si="19"/>
        <v>0.43638764093172078</v>
      </c>
      <c r="H21" s="414" t="b">
        <f>Wh_hp&gt;='2021'!Maxi_hp</f>
        <v>0</v>
      </c>
      <c r="I21" s="380">
        <f>IF(H21,Wh_hp,'2021'!Maxi_hp)</f>
        <v>14.932480243717823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2.8263666783483021E-2</v>
      </c>
      <c r="M21" s="845"/>
      <c r="N21" s="845"/>
      <c r="O21" s="48">
        <f>IF(t&lt;Tnet,'2021'!Resal+('2021'!Salim-'2021'!Resal)*(1-EXP(('2021'!Tnet-t)/('2021'!Tau_j))),Resal+(Salim-Resal)*(1-EXP((Tnet-t)/(Tau_j))))*Salcycl</f>
        <v>2.5156506827325762E-2</v>
      </c>
      <c r="P21" s="339">
        <f>(INDEX(Models!$BJ21:$BT21,,T21)*(1-R21)+INDEX(Models!$BJ21:$BT21,,T21+1)*R21-ERP_i)*Q21*Ramure*Pc/MaxiM</f>
        <v>3.254504520045291E-4</v>
      </c>
      <c r="Q21" s="305">
        <f t="shared" si="4"/>
        <v>0.5</v>
      </c>
      <c r="R21" s="177">
        <f t="shared" si="5"/>
        <v>0.99758486481534137</v>
      </c>
      <c r="S21" s="811">
        <f t="shared" si="6"/>
        <v>-1</v>
      </c>
      <c r="T21" s="176">
        <f t="shared" si="7"/>
        <v>5</v>
      </c>
      <c r="U21" s="251">
        <f t="shared" si="20"/>
        <v>-2.4151351846585811E-3</v>
      </c>
      <c r="V21" s="383">
        <f t="shared" si="8"/>
        <v>25.557729057753239</v>
      </c>
      <c r="W21" s="402">
        <f t="shared" si="9"/>
        <v>0</v>
      </c>
      <c r="X21" s="157">
        <f t="shared" si="10"/>
        <v>44568</v>
      </c>
      <c r="Y21" s="385">
        <f t="shared" si="11"/>
        <v>10.691834336627393</v>
      </c>
      <c r="Z21" s="385">
        <f t="shared" si="21"/>
        <v>11.002814211172545</v>
      </c>
      <c r="AA21" s="386">
        <f t="shared" si="12"/>
        <v>11.776742169438929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6.5716642780441856E-2</v>
      </c>
      <c r="AD21" s="231">
        <f>(INDEX(Models!$BJ21:$BT21,,AH21)*(1-AF21)+INDEX(Models!$BJ21:$BT21,,AH21+1)*AF21-ERP_i)*AE21*Ramure*Pc/MaxiM</f>
        <v>3.254504520045291E-4</v>
      </c>
      <c r="AE21" s="305">
        <f t="shared" si="14"/>
        <v>0.5</v>
      </c>
      <c r="AF21" s="177">
        <f t="shared" si="22"/>
        <v>0.99758486481534137</v>
      </c>
      <c r="AG21" s="811">
        <f t="shared" si="23"/>
        <v>-1</v>
      </c>
      <c r="AH21" s="176">
        <f t="shared" si="15"/>
        <v>5</v>
      </c>
      <c r="AI21" s="225">
        <f t="shared" si="24"/>
        <v>-2.4151351846585811E-3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40">
        <v>7.8260000000000005</v>
      </c>
      <c r="C22" s="841"/>
      <c r="D22" s="393">
        <f t="shared" si="0"/>
        <v>8.0538013715449956</v>
      </c>
      <c r="E22" s="385">
        <f t="shared" si="1"/>
        <v>8.2622082794150984</v>
      </c>
      <c r="F22" s="385">
        <f t="shared" si="2"/>
        <v>8.2622228759277281</v>
      </c>
      <c r="G22" s="110">
        <f t="shared" si="19"/>
        <v>0.30374256016128504</v>
      </c>
      <c r="H22" s="414" t="b">
        <f>Wh_hp&gt;='2021'!Maxi_hp</f>
        <v>0</v>
      </c>
      <c r="I22" s="380">
        <f>IF(H22,Wh_hp,'2021'!Maxi_hp)</f>
        <v>20.323342747491672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2.8284950303075984E-2</v>
      </c>
      <c r="M22" s="845"/>
      <c r="N22" s="845"/>
      <c r="O22" s="48">
        <f>IF(t&lt;Tnet,'2021'!Resal+('2021'!Salim-'2021'!Resal)*(1-EXP(('2021'!Tnet-t)/('2021'!Tau_j))),Resal+(Salim-Resal)*(1-EXP((Tnet-t)/(Tau_j))))*Salcycl</f>
        <v>2.5224116945749026E-2</v>
      </c>
      <c r="P22" s="339">
        <f>(INDEX(Models!$BJ22:$BT22,,T22)*(1-R22)+INDEX(Models!$BJ22:$BT22,,T22+1)*R22-ERP_i)*Q22*Ramure*Pc/MaxiM</f>
        <v>3.2205710835860133E-4</v>
      </c>
      <c r="Q22" s="305">
        <f t="shared" si="4"/>
        <v>0.5</v>
      </c>
      <c r="R22" s="177">
        <f t="shared" si="5"/>
        <v>0.99762221917133853</v>
      </c>
      <c r="S22" s="811">
        <f t="shared" si="6"/>
        <v>-1</v>
      </c>
      <c r="T22" s="176">
        <f t="shared" si="7"/>
        <v>5</v>
      </c>
      <c r="U22" s="251">
        <f t="shared" si="20"/>
        <v>-2.3777808286614284E-3</v>
      </c>
      <c r="V22" s="383">
        <f t="shared" si="8"/>
        <v>25.756987754182258</v>
      </c>
      <c r="W22" s="402">
        <f t="shared" si="9"/>
        <v>0</v>
      </c>
      <c r="X22" s="157">
        <f t="shared" si="10"/>
        <v>44569</v>
      </c>
      <c r="Y22" s="385">
        <f t="shared" si="11"/>
        <v>7.5006692757744347</v>
      </c>
      <c r="Z22" s="385">
        <f t="shared" si="21"/>
        <v>7.7190008306590272</v>
      </c>
      <c r="AA22" s="386">
        <f t="shared" si="12"/>
        <v>8.2622082794150984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6.5746036699346685E-2</v>
      </c>
      <c r="AD22" s="231">
        <f>(INDEX(Models!$BJ22:$BT22,,AH22)*(1-AF22)+INDEX(Models!$BJ22:$BT22,,AH22+1)*AF22-ERP_i)*AE22*Ramure*Pc/MaxiM</f>
        <v>3.2205710835860133E-4</v>
      </c>
      <c r="AE22" s="305">
        <f t="shared" si="14"/>
        <v>0.5</v>
      </c>
      <c r="AF22" s="177">
        <f t="shared" si="22"/>
        <v>0.99762221917133853</v>
      </c>
      <c r="AG22" s="811">
        <f t="shared" si="23"/>
        <v>-1</v>
      </c>
      <c r="AH22" s="176">
        <f t="shared" si="15"/>
        <v>5</v>
      </c>
      <c r="AI22" s="225">
        <f t="shared" si="24"/>
        <v>-2.3777808286614284E-3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40">
        <v>2.31</v>
      </c>
      <c r="C23" s="841"/>
      <c r="D23" s="393">
        <f t="shared" si="0"/>
        <v>2.377292187413524</v>
      </c>
      <c r="E23" s="385">
        <f t="shared" si="1"/>
        <v>2.4389780718718015</v>
      </c>
      <c r="F23" s="385">
        <f t="shared" si="2"/>
        <v>2.4389780718718015</v>
      </c>
      <c r="G23" s="110">
        <f t="shared" si="19"/>
        <v>8.8953846335015394E-2</v>
      </c>
      <c r="H23" s="414" t="b">
        <f>Wh_hp&gt;='2021'!Maxi_hp</f>
        <v>0</v>
      </c>
      <c r="I23" s="380">
        <f>IF(H23,Wh_hp,'2021'!Maxi_hp)</f>
        <v>26.033603222307448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2.8306233356505284E-2</v>
      </c>
      <c r="M23" s="845"/>
      <c r="N23" s="845"/>
      <c r="O23" s="48">
        <f>IF(t&lt;Tnet,'2021'!Resal+('2021'!Salim-'2021'!Resal)*(1-EXP(('2021'!Tnet-t)/('2021'!Tau_j))),Resal+(Salim-Resal)*(1-EXP((Tnet-t)/(Tau_j))))*Salcycl</f>
        <v>2.5291692930611856E-2</v>
      </c>
      <c r="P23" s="339">
        <f>(INDEX(Models!$BJ23:$BT23,,T23)*(1-R23)+INDEX(Models!$BJ23:$BT23,,T23+1)*R23-ERP_i)*Q23*Ramure*Pc/MaxiM</f>
        <v>3.1846447129529697E-4</v>
      </c>
      <c r="Q23" s="305">
        <f t="shared" si="4"/>
        <v>0.5</v>
      </c>
      <c r="R23" s="177">
        <f t="shared" si="5"/>
        <v>0.99766113468037365</v>
      </c>
      <c r="S23" s="811">
        <f t="shared" si="6"/>
        <v>-1</v>
      </c>
      <c r="T23" s="176">
        <f t="shared" si="7"/>
        <v>5</v>
      </c>
      <c r="U23" s="251">
        <f t="shared" si="20"/>
        <v>-2.3388653196263118E-3</v>
      </c>
      <c r="V23" s="383">
        <f t="shared" si="8"/>
        <v>25.960252897600672</v>
      </c>
      <c r="W23" s="402">
        <f t="shared" si="9"/>
        <v>0</v>
      </c>
      <c r="X23" s="157">
        <f t="shared" si="10"/>
        <v>44570</v>
      </c>
      <c r="Y23" s="385">
        <f t="shared" si="11"/>
        <v>2.2140558524279363</v>
      </c>
      <c r="Z23" s="385">
        <f t="shared" si="21"/>
        <v>2.2785531084303563</v>
      </c>
      <c r="AA23" s="386">
        <f t="shared" si="12"/>
        <v>2.4389780718718015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6.5775484122465463E-2</v>
      </c>
      <c r="AD23" s="231">
        <f>(INDEX(Models!$BJ23:$BT23,,AH23)*(1-AF23)+INDEX(Models!$BJ23:$BT23,,AH23+1)*AF23-ERP_i)*AE23*Ramure*Pc/MaxiM</f>
        <v>3.1846447129529697E-4</v>
      </c>
      <c r="AE23" s="305">
        <f t="shared" si="14"/>
        <v>0.5</v>
      </c>
      <c r="AF23" s="177">
        <f t="shared" si="22"/>
        <v>0.99766113468037365</v>
      </c>
      <c r="AG23" s="811">
        <f t="shared" si="23"/>
        <v>-1</v>
      </c>
      <c r="AH23" s="176">
        <f t="shared" si="15"/>
        <v>5</v>
      </c>
      <c r="AI23" s="225">
        <f t="shared" si="24"/>
        <v>-2.3388653196263118E-3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40">
        <v>1.7929999999999999</v>
      </c>
      <c r="C24" s="841"/>
      <c r="D24" s="393">
        <f t="shared" si="0"/>
        <v>1.8452719711843366</v>
      </c>
      <c r="E24" s="385">
        <f t="shared" si="1"/>
        <v>1.8932842070712099</v>
      </c>
      <c r="F24" s="385">
        <f t="shared" si="2"/>
        <v>1.8932842070712099</v>
      </c>
      <c r="G24" s="110">
        <f t="shared" si="19"/>
        <v>6.8490525871064106E-2</v>
      </c>
      <c r="H24" s="414" t="b">
        <f>Wh_hp&gt;='2021'!Maxi_hp</f>
        <v>0</v>
      </c>
      <c r="I24" s="380">
        <f>IF(H24,Wh_hp,'2021'!Maxi_hp)</f>
        <v>13.230713123965954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2.8327515943781134E-2</v>
      </c>
      <c r="M24" s="845"/>
      <c r="N24" s="845"/>
      <c r="O24" s="48">
        <f>IF(t&lt;Tnet,'2021'!Resal+('2021'!Salim-'2021'!Resal)*(1-EXP(('2021'!Tnet-t)/('2021'!Tau_j))),Resal+(Salim-Resal)*(1-EXP((Tnet-t)/(Tau_j))))*Salcycl</f>
        <v>2.5359233287613591E-2</v>
      </c>
      <c r="P24" s="339">
        <f>(INDEX(Models!$BJ24:$BT24,,T24)*(1-R24)+INDEX(Models!$BJ24:$BT24,,T24+1)*R24-ERP_i)*Q24*Ramure*Pc/MaxiM</f>
        <v>3.1424983501068408E-4</v>
      </c>
      <c r="Q24" s="305">
        <f t="shared" si="4"/>
        <v>0.5</v>
      </c>
      <c r="R24" s="177">
        <f t="shared" si="5"/>
        <v>0.99770167632884321</v>
      </c>
      <c r="S24" s="811">
        <f t="shared" si="6"/>
        <v>-1</v>
      </c>
      <c r="T24" s="176">
        <f t="shared" si="7"/>
        <v>5</v>
      </c>
      <c r="U24" s="251">
        <f t="shared" si="20"/>
        <v>-2.298323671156754E-3</v>
      </c>
      <c r="V24" s="383">
        <f t="shared" si="8"/>
        <v>26.170576546895731</v>
      </c>
      <c r="W24" s="402">
        <f t="shared" si="9"/>
        <v>0</v>
      </c>
      <c r="X24" s="157">
        <f t="shared" si="10"/>
        <v>44571</v>
      </c>
      <c r="Y24" s="385">
        <f t="shared" si="11"/>
        <v>1.718593893469246</v>
      </c>
      <c r="Z24" s="385">
        <f t="shared" si="21"/>
        <v>1.7686966767804571</v>
      </c>
      <c r="AA24" s="386">
        <f t="shared" si="12"/>
        <v>1.8932842070712099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6.5804980480707584E-2</v>
      </c>
      <c r="AD24" s="231">
        <f>(INDEX(Models!$BJ24:$BT24,,AH24)*(1-AF24)+INDEX(Models!$BJ24:$BT24,,AH24+1)*AF24-ERP_i)*AE24*Ramure*Pc/MaxiM</f>
        <v>3.1424983501068408E-4</v>
      </c>
      <c r="AE24" s="305">
        <f t="shared" si="14"/>
        <v>0.5</v>
      </c>
      <c r="AF24" s="177">
        <f t="shared" si="22"/>
        <v>0.99770167632884321</v>
      </c>
      <c r="AG24" s="811">
        <f t="shared" si="23"/>
        <v>-1</v>
      </c>
      <c r="AH24" s="176">
        <f t="shared" si="15"/>
        <v>5</v>
      </c>
      <c r="AI24" s="225">
        <f t="shared" si="24"/>
        <v>-2.298323671156754E-3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40">
        <v>25.839000000000002</v>
      </c>
      <c r="C25" s="841"/>
      <c r="D25" s="393">
        <f t="shared" si="0"/>
        <v>26.592876073780889</v>
      </c>
      <c r="E25" s="385">
        <f t="shared" si="1"/>
        <v>27.286687501775695</v>
      </c>
      <c r="F25" s="385">
        <f t="shared" si="2"/>
        <v>27.294878882178857</v>
      </c>
      <c r="G25" s="110">
        <f t="shared" si="19"/>
        <v>0.97919583747879835</v>
      </c>
      <c r="H25" s="414" t="b">
        <f>Wh_hp&gt;='2021'!Maxi_hp</f>
        <v>0</v>
      </c>
      <c r="I25" s="380">
        <f>IF(H25,Wh_hp,'2021'!Maxi_hp)</f>
        <v>27.813177241518638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2.8348798064913638E-2</v>
      </c>
      <c r="M25" s="845"/>
      <c r="N25" s="845"/>
      <c r="O25" s="48">
        <f>IF(t&lt;Tnet,'2021'!Resal+('2021'!Salim-'2021'!Resal)*(1-EXP(('2021'!Tnet-t)/('2021'!Tau_j))),Resal+(Salim-Resal)*(1-EXP((Tnet-t)/(Tau_j))))*Salcycl</f>
        <v>2.5426737047128081E-2</v>
      </c>
      <c r="P25" s="339">
        <f>(INDEX(Models!$BJ25:$BT25,,T25)*(1-R25)+INDEX(Models!$BJ25:$BT25,,T25+1)*R25-ERP_i)*Q25*Ramure*Pc/MaxiM</f>
        <v>3.0929520906511549E-4</v>
      </c>
      <c r="Q25" s="305">
        <f t="shared" si="4"/>
        <v>0.5</v>
      </c>
      <c r="R25" s="177">
        <f t="shared" si="5"/>
        <v>0.99774391178620925</v>
      </c>
      <c r="S25" s="811">
        <f t="shared" si="6"/>
        <v>-1</v>
      </c>
      <c r="T25" s="176">
        <f t="shared" si="7"/>
        <v>5</v>
      </c>
      <c r="U25" s="251">
        <f t="shared" si="20"/>
        <v>-2.2560882137907402E-3</v>
      </c>
      <c r="V25" s="383">
        <f t="shared" si="8"/>
        <v>26.387737286049511</v>
      </c>
      <c r="W25" s="402">
        <f t="shared" si="9"/>
        <v>0</v>
      </c>
      <c r="X25" s="157">
        <f t="shared" si="10"/>
        <v>44572</v>
      </c>
      <c r="Y25" s="385">
        <f t="shared" si="11"/>
        <v>24.767662614959669</v>
      </c>
      <c r="Z25" s="385">
        <f t="shared" si="21"/>
        <v>25.49028145659036</v>
      </c>
      <c r="AA25" s="386">
        <f t="shared" si="12"/>
        <v>27.286687501775695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6.5834522606250098E-2</v>
      </c>
      <c r="AD25" s="231">
        <f>(INDEX(Models!$BJ25:$BT25,,AH25)*(1-AF25)+INDEX(Models!$BJ25:$BT25,,AH25+1)*AF25-ERP_i)*AE25*Ramure*Pc/MaxiM</f>
        <v>3.0929520906511549E-4</v>
      </c>
      <c r="AE25" s="305">
        <f t="shared" si="14"/>
        <v>0.5</v>
      </c>
      <c r="AF25" s="177">
        <f t="shared" si="22"/>
        <v>0.99774391178620925</v>
      </c>
      <c r="AG25" s="811">
        <f t="shared" si="23"/>
        <v>-1</v>
      </c>
      <c r="AH25" s="176">
        <f t="shared" si="15"/>
        <v>5</v>
      </c>
      <c r="AI25" s="225">
        <f t="shared" si="24"/>
        <v>-2.2560882137907402E-3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40">
        <v>22.045999999999999</v>
      </c>
      <c r="C26" s="841"/>
      <c r="D26" s="393">
        <f t="shared" si="0"/>
        <v>22.689708848863887</v>
      </c>
      <c r="E26" s="385">
        <f t="shared" si="1"/>
        <v>23.283297991144227</v>
      </c>
      <c r="F26" s="385">
        <f t="shared" si="2"/>
        <v>23.288635969140365</v>
      </c>
      <c r="G26" s="110">
        <f t="shared" si="19"/>
        <v>0.82837685540656858</v>
      </c>
      <c r="H26" s="414" t="b">
        <f>Wh_hp&gt;='2021'!Maxi_hp</f>
        <v>0</v>
      </c>
      <c r="I26" s="380">
        <f>IF(H26,Wh_hp,'2021'!Maxi_hp)</f>
        <v>27.969146072299974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2.8370079719913122E-2</v>
      </c>
      <c r="M26" s="845"/>
      <c r="N26" s="845"/>
      <c r="O26" s="48">
        <f>IF(t&lt;Tnet,'2021'!Resal+('2021'!Salim-'2021'!Resal)*(1-EXP(('2021'!Tnet-t)/('2021'!Tau_j))),Resal+(Salim-Resal)*(1-EXP((Tnet-t)/(Tau_j))))*Salcycl</f>
        <v>2.5494203720886552E-2</v>
      </c>
      <c r="P26" s="339">
        <f>(INDEX(Models!$BJ26:$BT26,,T26)*(1-R26)+INDEX(Models!$BJ26:$BT26,,T26+1)*R26-ERP_i)*Q26*Ramure*Pc/MaxiM</f>
        <v>3.0362414260471526E-4</v>
      </c>
      <c r="Q26" s="305">
        <f t="shared" si="4"/>
        <v>0.5</v>
      </c>
      <c r="R26" s="177">
        <f t="shared" si="5"/>
        <v>0.99778791151388035</v>
      </c>
      <c r="S26" s="811">
        <f t="shared" si="6"/>
        <v>-1</v>
      </c>
      <c r="T26" s="176">
        <f t="shared" si="7"/>
        <v>5</v>
      </c>
      <c r="U26" s="251">
        <f t="shared" si="20"/>
        <v>-2.2120884861196255E-3</v>
      </c>
      <c r="V26" s="383">
        <f t="shared" si="8"/>
        <v>26.611510131063454</v>
      </c>
      <c r="W26" s="402">
        <f t="shared" si="9"/>
        <v>0</v>
      </c>
      <c r="X26" s="157">
        <f t="shared" si="10"/>
        <v>44573</v>
      </c>
      <c r="Y26" s="385">
        <f t="shared" si="11"/>
        <v>21.132721775823171</v>
      </c>
      <c r="Z26" s="385">
        <f t="shared" si="21"/>
        <v>21.749764323572236</v>
      </c>
      <c r="AA26" s="386">
        <f t="shared" si="12"/>
        <v>23.283297991144227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6.5864108605029684E-2</v>
      </c>
      <c r="AD26" s="231">
        <f>(INDEX(Models!$BJ26:$BT26,,AH26)*(1-AF26)+INDEX(Models!$BJ26:$BT26,,AH26+1)*AF26-ERP_i)*AE26*Ramure*Pc/MaxiM</f>
        <v>3.0362414260471526E-4</v>
      </c>
      <c r="AE26" s="305">
        <f t="shared" si="14"/>
        <v>0.5</v>
      </c>
      <c r="AF26" s="177">
        <f t="shared" si="22"/>
        <v>0.99778791151388035</v>
      </c>
      <c r="AG26" s="811">
        <f t="shared" si="23"/>
        <v>-1</v>
      </c>
      <c r="AH26" s="176">
        <f t="shared" si="15"/>
        <v>5</v>
      </c>
      <c r="AI26" s="225">
        <f t="shared" si="24"/>
        <v>-2.2120884861196255E-3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40">
        <v>5.3090000000000002</v>
      </c>
      <c r="C27" s="841"/>
      <c r="D27" s="393">
        <f t="shared" si="0"/>
        <v>5.4641342063052765</v>
      </c>
      <c r="E27" s="385">
        <f t="shared" si="1"/>
        <v>5.6074703057523889</v>
      </c>
      <c r="F27" s="385">
        <f t="shared" si="2"/>
        <v>5.6074703057523889</v>
      </c>
      <c r="G27" s="110">
        <f t="shared" si="19"/>
        <v>0.19773068563293011</v>
      </c>
      <c r="H27" s="414" t="b">
        <f>Wh_hp&gt;='2021'!Maxi_hp</f>
        <v>0</v>
      </c>
      <c r="I27" s="380">
        <f>IF(H27,Wh_hp,'2021'!Maxi_hp)</f>
        <v>16.029400800100351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2.8391360908789687E-2</v>
      </c>
      <c r="M27" s="845"/>
      <c r="N27" s="845"/>
      <c r="O27" s="48">
        <f>IF(t&lt;Tnet,'2021'!Resal+('2021'!Salim-'2021'!Resal)*(1-EXP(('2021'!Tnet-t)/('2021'!Tau_j))),Resal+(Salim-Resal)*(1-EXP((Tnet-t)/(Tau_j))))*Salcycl</f>
        <v>2.556163325556482E-2</v>
      </c>
      <c r="P27" s="339">
        <f>(INDEX(Models!$BJ27:$BT27,,T27)*(1-R27)+INDEX(Models!$BJ27:$BT27,,T27+1)*R27-ERP_i)*Q27*Ramure*Pc/MaxiM</f>
        <v>2.9726039475264668E-4</v>
      </c>
      <c r="Q27" s="305">
        <f t="shared" si="4"/>
        <v>0.5</v>
      </c>
      <c r="R27" s="177">
        <f t="shared" si="5"/>
        <v>0.99783374887834952</v>
      </c>
      <c r="S27" s="811">
        <f t="shared" si="6"/>
        <v>-1</v>
      </c>
      <c r="T27" s="176">
        <f t="shared" si="7"/>
        <v>5</v>
      </c>
      <c r="U27" s="251">
        <f t="shared" si="20"/>
        <v>-2.1662511216505066E-3</v>
      </c>
      <c r="V27" s="383">
        <f t="shared" si="8"/>
        <v>26.84167016148939</v>
      </c>
      <c r="W27" s="402">
        <f t="shared" si="9"/>
        <v>0</v>
      </c>
      <c r="X27" s="157">
        <f t="shared" si="10"/>
        <v>44574</v>
      </c>
      <c r="Y27" s="385">
        <f t="shared" si="11"/>
        <v>5.0892599426241025</v>
      </c>
      <c r="Z27" s="385">
        <f t="shared" si="21"/>
        <v>5.2379731281355406</v>
      </c>
      <c r="AA27" s="386">
        <f t="shared" si="12"/>
        <v>5.6074703057523889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6.589373772301596E-2</v>
      </c>
      <c r="AD27" s="231">
        <f>(INDEX(Models!$BJ27:$BT27,,AH27)*(1-AF27)+INDEX(Models!$BJ27:$BT27,,AH27+1)*AF27-ERP_i)*AE27*Ramure*Pc/MaxiM</f>
        <v>2.9726039475264668E-4</v>
      </c>
      <c r="AE27" s="305">
        <f t="shared" si="14"/>
        <v>0.5</v>
      </c>
      <c r="AF27" s="177">
        <f t="shared" si="22"/>
        <v>0.99783374887834952</v>
      </c>
      <c r="AG27" s="811">
        <f t="shared" si="23"/>
        <v>-1</v>
      </c>
      <c r="AH27" s="176">
        <f t="shared" si="15"/>
        <v>5</v>
      </c>
      <c r="AI27" s="225">
        <f t="shared" si="24"/>
        <v>-2.1662511216505066E-3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40">
        <v>26.247</v>
      </c>
      <c r="C28" s="841"/>
      <c r="D28" s="393">
        <f t="shared" si="0"/>
        <v>27.014554866250727</v>
      </c>
      <c r="E28" s="385">
        <f t="shared" si="1"/>
        <v>27.725122757816372</v>
      </c>
      <c r="F28" s="385">
        <f t="shared" si="2"/>
        <v>27.732818722514551</v>
      </c>
      <c r="G28" s="110">
        <f t="shared" si="19"/>
        <v>0.9692988101766945</v>
      </c>
      <c r="H28" s="414" t="b">
        <f>Wh_hp&gt;='2021'!Maxi_hp</f>
        <v>0</v>
      </c>
      <c r="I28" s="380">
        <f>IF(H28,Wh_hp,'2021'!Maxi_hp)</f>
        <v>27.813666688911876</v>
      </c>
      <c r="J28" s="85">
        <f>IF(H28,An,'2021'!An_max)</f>
        <v>2020</v>
      </c>
      <c r="K28" s="197">
        <f t="shared" si="3"/>
        <v>44575</v>
      </c>
      <c r="L28" s="147">
        <f>IF(t&lt;Tvie,1-EXP((T0-t)*PertePVj)+'2021'!Pspv,1-EXP((T0-t)*PertePVj)+Pspv)</f>
        <v>2.8412641631553659E-2</v>
      </c>
      <c r="M28" s="845"/>
      <c r="N28" s="845"/>
      <c r="O28" s="48">
        <f>IF(t&lt;Tnet,'2021'!Resal+('2021'!Salim-'2021'!Resal)*(1-EXP(('2021'!Tnet-t)/('2021'!Tau_j))),Resal+(Salim-Resal)*(1-EXP((Tnet-t)/(Tau_j))))*Salcycl</f>
        <v>2.5629025983855001E-2</v>
      </c>
      <c r="P28" s="339">
        <f>(INDEX(Models!$BJ28:$BT28,,T28)*(1-R28)+INDEX(Models!$BJ28:$BT28,,T28+1)*R28-ERP_i)*Q28*Ramure*Pc/MaxiM</f>
        <v>2.9022781753024131E-4</v>
      </c>
      <c r="Q28" s="305">
        <f t="shared" si="4"/>
        <v>0.5</v>
      </c>
      <c r="R28" s="177">
        <f t="shared" si="5"/>
        <v>0.99788150026873901</v>
      </c>
      <c r="S28" s="811">
        <f t="shared" si="6"/>
        <v>-1</v>
      </c>
      <c r="T28" s="176">
        <f t="shared" si="7"/>
        <v>5</v>
      </c>
      <c r="U28" s="251">
        <f t="shared" si="20"/>
        <v>-2.1184997312610259E-3</v>
      </c>
      <c r="V28" s="383">
        <f t="shared" si="8"/>
        <v>27.077992530734114</v>
      </c>
      <c r="W28" s="402">
        <f t="shared" si="9"/>
        <v>0</v>
      </c>
      <c r="X28" s="157">
        <f t="shared" si="10"/>
        <v>44575</v>
      </c>
      <c r="Y28" s="385">
        <f t="shared" si="11"/>
        <v>25.161574909423077</v>
      </c>
      <c r="Z28" s="385">
        <f t="shared" si="21"/>
        <v>25.897388117190054</v>
      </c>
      <c r="AA28" s="386">
        <f t="shared" si="12"/>
        <v>27.725122757816372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6.5923410207842467E-2</v>
      </c>
      <c r="AD28" s="231">
        <f>(INDEX(Models!$BJ28:$BT28,,AH28)*(1-AF28)+INDEX(Models!$BJ28:$BT28,,AH28+1)*AF28-ERP_i)*AE28*Ramure*Pc/MaxiM</f>
        <v>2.9022781753024131E-4</v>
      </c>
      <c r="AE28" s="305">
        <f t="shared" si="14"/>
        <v>0.5</v>
      </c>
      <c r="AF28" s="177">
        <f t="shared" si="22"/>
        <v>0.99788150026873901</v>
      </c>
      <c r="AG28" s="811">
        <f t="shared" si="23"/>
        <v>-1</v>
      </c>
      <c r="AH28" s="176">
        <f t="shared" si="15"/>
        <v>5</v>
      </c>
      <c r="AI28" s="225">
        <f t="shared" si="24"/>
        <v>-2.1184997312610259E-3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40">
        <v>27.891000000000002</v>
      </c>
      <c r="C29" s="841"/>
      <c r="D29" s="393">
        <f t="shared" si="0"/>
        <v>28.707259988127092</v>
      </c>
      <c r="E29" s="385">
        <f t="shared" si="1"/>
        <v>29.46438817907411</v>
      </c>
      <c r="F29" s="385">
        <f t="shared" si="2"/>
        <v>29.472715702164702</v>
      </c>
      <c r="G29" s="110">
        <f t="shared" si="19"/>
        <v>1.0208910053719742</v>
      </c>
      <c r="H29" s="414" t="b">
        <f>Wh_hp&gt;='2021'!Maxi_hp</f>
        <v>1</v>
      </c>
      <c r="I29" s="380">
        <f>IF(H29,Wh_hp,'2021'!Maxi_hp)</f>
        <v>29.472715702164702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2.8433921888215141E-2</v>
      </c>
      <c r="M29" s="845"/>
      <c r="N29" s="845"/>
      <c r="O29" s="48">
        <f>IF(t&lt;Tnet,'2021'!Resal+('2021'!Salim-'2021'!Resal)*(1-EXP(('2021'!Tnet-t)/('2021'!Tau_j))),Resal+(Salim-Resal)*(1-EXP((Tnet-t)/(Tau_j))))*Salcycl</f>
        <v>2.5696382573616009E-2</v>
      </c>
      <c r="P29" s="339">
        <f>(INDEX(Models!$BJ29:$BT29,,T29)*(1-R29)+INDEX(Models!$BJ29:$BT29,,T29+1)*R29-ERP_i)*Q29*Ramure*Pc/MaxiM</f>
        <v>2.8255024663300618E-4</v>
      </c>
      <c r="Q29" s="305">
        <f t="shared" si="4"/>
        <v>0.5</v>
      </c>
      <c r="R29" s="177">
        <f t="shared" si="5"/>
        <v>0.9979312452189113</v>
      </c>
      <c r="S29" s="811">
        <f t="shared" si="6"/>
        <v>-1</v>
      </c>
      <c r="T29" s="176">
        <f t="shared" si="7"/>
        <v>5</v>
      </c>
      <c r="U29" s="251">
        <f t="shared" si="20"/>
        <v>-2.0687547810887214E-3</v>
      </c>
      <c r="V29" s="383">
        <f t="shared" si="8"/>
        <v>27.320252459112979</v>
      </c>
      <c r="W29" s="402">
        <f t="shared" si="9"/>
        <v>0</v>
      </c>
      <c r="X29" s="157">
        <f t="shared" si="10"/>
        <v>44576</v>
      </c>
      <c r="Y29" s="385">
        <f t="shared" si="11"/>
        <v>26.738586272510727</v>
      </c>
      <c r="Z29" s="385">
        <f t="shared" si="21"/>
        <v>27.521119638590637</v>
      </c>
      <c r="AA29" s="386">
        <f t="shared" si="12"/>
        <v>29.46438817907411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6.5953127167378375E-2</v>
      </c>
      <c r="AD29" s="231">
        <f>(INDEX(Models!$BJ29:$BT29,,AH29)*(1-AF29)+INDEX(Models!$BJ29:$BT29,,AH29+1)*AF29-ERP_i)*AE29*Ramure*Pc/MaxiM</f>
        <v>2.8255024663300618E-4</v>
      </c>
      <c r="AE29" s="305">
        <f t="shared" si="14"/>
        <v>0.5</v>
      </c>
      <c r="AF29" s="177">
        <f t="shared" si="22"/>
        <v>0.9979312452189113</v>
      </c>
      <c r="AG29" s="811">
        <f t="shared" si="23"/>
        <v>-1</v>
      </c>
      <c r="AH29" s="176">
        <f t="shared" si="15"/>
        <v>5</v>
      </c>
      <c r="AI29" s="225">
        <f t="shared" si="24"/>
        <v>-2.0687547810887214E-3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40">
        <v>27.393000000000001</v>
      </c>
      <c r="C30" s="841"/>
      <c r="D30" s="393">
        <f t="shared" si="0"/>
        <v>28.195303034233557</v>
      </c>
      <c r="E30" s="385">
        <f t="shared" si="1"/>
        <v>28.94092855018247</v>
      </c>
      <c r="F30" s="385">
        <f t="shared" si="2"/>
        <v>28.94879755291776</v>
      </c>
      <c r="G30" s="110">
        <f t="shared" si="19"/>
        <v>0.99364153021511825</v>
      </c>
      <c r="H30" s="414" t="b">
        <f>Wh_hp&gt;='2021'!Maxi_hp</f>
        <v>0</v>
      </c>
      <c r="I30" s="380">
        <f>IF(H30,Wh_hp,'2021'!Maxi_hp)</f>
        <v>29.178076379468706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2.8455201678784348E-2</v>
      </c>
      <c r="M30" s="845"/>
      <c r="N30" s="845"/>
      <c r="O30" s="48">
        <f>IF(t&lt;Tnet,'2021'!Resal+('2021'!Salim-'2021'!Resal)*(1-EXP(('2021'!Tnet-t)/('2021'!Tau_j))),Resal+(Salim-Resal)*(1-EXP((Tnet-t)/(Tau_j))))*Salcycl</f>
        <v>2.5763703975704391E-2</v>
      </c>
      <c r="P30" s="339">
        <f>(INDEX(Models!$BJ30:$BT30,,T30)*(1-R30)+INDEX(Models!$BJ30:$BT30,,T30+1)*R30-ERP_i)*Q30*Ramure*Pc/MaxiM</f>
        <v>2.7431564003699971E-4</v>
      </c>
      <c r="Q30" s="305">
        <f t="shared" si="4"/>
        <v>0.5</v>
      </c>
      <c r="R30" s="177">
        <f t="shared" si="5"/>
        <v>0.99798306653430457</v>
      </c>
      <c r="S30" s="811">
        <f t="shared" si="6"/>
        <v>-1</v>
      </c>
      <c r="T30" s="176">
        <f t="shared" si="7"/>
        <v>5</v>
      </c>
      <c r="U30" s="251">
        <f t="shared" si="20"/>
        <v>-2.016933465695433E-3</v>
      </c>
      <c r="V30" s="383">
        <f t="shared" si="8"/>
        <v>27.568223467349831</v>
      </c>
      <c r="W30" s="402">
        <f t="shared" si="9"/>
        <v>0</v>
      </c>
      <c r="X30" s="157">
        <f t="shared" si="10"/>
        <v>44577</v>
      </c>
      <c r="Y30" s="385">
        <f t="shared" si="11"/>
        <v>26.262140701335706</v>
      </c>
      <c r="Z30" s="385">
        <f t="shared" si="21"/>
        <v>27.031322432805432</v>
      </c>
      <c r="AA30" s="386">
        <f t="shared" si="12"/>
        <v>28.94092855018247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6.5982890426817292E-2</v>
      </c>
      <c r="AD30" s="231">
        <f>(INDEX(Models!$BJ30:$BT30,,AH30)*(1-AF30)+INDEX(Models!$BJ30:$BT30,,AH30+1)*AF30-ERP_i)*AE30*Ramure*Pc/MaxiM</f>
        <v>2.7431564003699971E-4</v>
      </c>
      <c r="AE30" s="305">
        <f t="shared" si="14"/>
        <v>0.5</v>
      </c>
      <c r="AF30" s="177">
        <f t="shared" si="22"/>
        <v>0.99798306653430457</v>
      </c>
      <c r="AG30" s="811">
        <f t="shared" si="23"/>
        <v>-1</v>
      </c>
      <c r="AH30" s="176">
        <f t="shared" si="15"/>
        <v>5</v>
      </c>
      <c r="AI30" s="225">
        <f t="shared" si="24"/>
        <v>-2.016933465695433E-3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40">
        <v>14.022</v>
      </c>
      <c r="C31" s="841"/>
      <c r="D31" s="393">
        <f t="shared" si="0"/>
        <v>14.433001081106323</v>
      </c>
      <c r="E31" s="385">
        <f t="shared" si="1"/>
        <v>14.815705440496384</v>
      </c>
      <c r="F31" s="385">
        <f t="shared" si="2"/>
        <v>14.816853446814875</v>
      </c>
      <c r="G31" s="110">
        <f t="shared" si="19"/>
        <v>0.50390063686256858</v>
      </c>
      <c r="H31" s="414" t="b">
        <f>Wh_hp&gt;='2021'!Maxi_hp</f>
        <v>1</v>
      </c>
      <c r="I31" s="380">
        <f>IF(H31,Wh_hp,'2021'!Maxi_hp)</f>
        <v>14.816853446814875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2.8476481003271603E-2</v>
      </c>
      <c r="M31" s="845"/>
      <c r="N31" s="845"/>
      <c r="O31" s="48">
        <f>IF(t&lt;Tnet,'2021'!Resal+('2021'!Salim-'2021'!Resal)*(1-EXP(('2021'!Tnet-t)/('2021'!Tau_j))),Resal+(Salim-Resal)*(1-EXP((Tnet-t)/(Tau_j))))*Salcycl</f>
        <v>2.5830991371089265E-2</v>
      </c>
      <c r="P31" s="339">
        <f>(INDEX(Models!$BJ31:$BT31,,T31)*(1-R31)+INDEX(Models!$BJ31:$BT31,,T31+1)*R31-ERP_i)*Q31*Ramure*Pc/MaxiM</f>
        <v>2.6586768391890109E-4</v>
      </c>
      <c r="Q31" s="305">
        <f t="shared" si="4"/>
        <v>0.5</v>
      </c>
      <c r="R31" s="177">
        <f t="shared" si="5"/>
        <v>0.99803705042365864</v>
      </c>
      <c r="S31" s="811">
        <f t="shared" si="6"/>
        <v>-1</v>
      </c>
      <c r="T31" s="176">
        <f t="shared" si="7"/>
        <v>5</v>
      </c>
      <c r="U31" s="251">
        <f t="shared" si="20"/>
        <v>-1.96294957634131E-3</v>
      </c>
      <c r="V31" s="383">
        <f t="shared" si="8"/>
        <v>27.821671961362554</v>
      </c>
      <c r="W31" s="402">
        <f t="shared" si="9"/>
        <v>0</v>
      </c>
      <c r="X31" s="157">
        <f t="shared" si="10"/>
        <v>44578</v>
      </c>
      <c r="Y31" s="385">
        <f t="shared" si="11"/>
        <v>13.443632235414926</v>
      </c>
      <c r="Z31" s="385">
        <f t="shared" si="21"/>
        <v>13.837680686616705</v>
      </c>
      <c r="AA31" s="386">
        <f t="shared" si="12"/>
        <v>14.815705440496384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6.6012702385834621E-2</v>
      </c>
      <c r="AD31" s="231">
        <f>(INDEX(Models!$BJ31:$BT31,,AH31)*(1-AF31)+INDEX(Models!$BJ31:$BT31,,AH31+1)*AF31-ERP_i)*AE31*Ramure*Pc/MaxiM</f>
        <v>2.6586768391890109E-4</v>
      </c>
      <c r="AE31" s="305">
        <f t="shared" si="14"/>
        <v>0.5</v>
      </c>
      <c r="AF31" s="177">
        <f t="shared" si="22"/>
        <v>0.99803705042365864</v>
      </c>
      <c r="AG31" s="811">
        <f t="shared" si="23"/>
        <v>-1</v>
      </c>
      <c r="AH31" s="176">
        <f t="shared" si="15"/>
        <v>5</v>
      </c>
      <c r="AI31" s="225">
        <f t="shared" si="24"/>
        <v>-1.96294957634131E-3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40">
        <v>3.702</v>
      </c>
      <c r="C32" s="841"/>
      <c r="D32" s="393">
        <f t="shared" si="0"/>
        <v>3.8105933749292697</v>
      </c>
      <c r="E32" s="385">
        <f t="shared" si="1"/>
        <v>3.9119048495115307</v>
      </c>
      <c r="F32" s="385">
        <f t="shared" si="2"/>
        <v>3.9119048495115307</v>
      </c>
      <c r="G32" s="110">
        <f t="shared" si="19"/>
        <v>0.13180194315499236</v>
      </c>
      <c r="H32" s="414" t="b">
        <f>Wh_hp&gt;='2021'!Maxi_hp</f>
        <v>0</v>
      </c>
      <c r="I32" s="380">
        <f>IF(H32,Wh_hp,'2021'!Maxi_hp)</f>
        <v>28.469265740450702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2.8497759861687011E-2</v>
      </c>
      <c r="M32" s="845"/>
      <c r="N32" s="845"/>
      <c r="O32" s="48">
        <f>IF(t&lt;Tnet,'2021'!Resal+('2021'!Salim-'2021'!Resal)*(1-EXP(('2021'!Tnet-t)/('2021'!Tau_j))),Resal+(Salim-Resal)*(1-EXP((Tnet-t)/(Tau_j))))*Salcycl</f>
        <v>2.5898246117850122E-2</v>
      </c>
      <c r="P32" s="339">
        <f>(INDEX(Models!$BJ32:$BT32,,T32)*(1-R32)+INDEX(Models!$BJ32:$BT32,,T32+1)*R32-ERP_i)*Q32*Ramure*Pc/MaxiM</f>
        <v>2.5721889254343042E-4</v>
      </c>
      <c r="Q32" s="305">
        <f t="shared" si="4"/>
        <v>0.5</v>
      </c>
      <c r="R32" s="177">
        <f t="shared" si="5"/>
        <v>0.99809328663580033</v>
      </c>
      <c r="S32" s="811">
        <f t="shared" si="6"/>
        <v>-1</v>
      </c>
      <c r="T32" s="176">
        <f t="shared" si="7"/>
        <v>5</v>
      </c>
      <c r="U32" s="251">
        <f t="shared" si="20"/>
        <v>-1.9067133641996264E-3</v>
      </c>
      <c r="V32" s="383">
        <f t="shared" si="8"/>
        <v>28.080373377405834</v>
      </c>
      <c r="W32" s="402">
        <f t="shared" si="9"/>
        <v>0</v>
      </c>
      <c r="X32" s="157">
        <f t="shared" si="10"/>
        <v>44579</v>
      </c>
      <c r="Y32" s="385">
        <f t="shared" si="11"/>
        <v>3.5494345506952367</v>
      </c>
      <c r="Z32" s="385">
        <f t="shared" si="21"/>
        <v>3.6535526157818254</v>
      </c>
      <c r="AA32" s="386">
        <f t="shared" si="12"/>
        <v>3.9119048495115307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6.6042565877328277E-2</v>
      </c>
      <c r="AD32" s="231">
        <f>(INDEX(Models!$BJ32:$BT32,,AH32)*(1-AF32)+INDEX(Models!$BJ32:$BT32,,AH32+1)*AF32-ERP_i)*AE32*Ramure*Pc/MaxiM</f>
        <v>2.5721889254343042E-4</v>
      </c>
      <c r="AE32" s="305">
        <f t="shared" si="14"/>
        <v>0.5</v>
      </c>
      <c r="AF32" s="177">
        <f t="shared" si="22"/>
        <v>0.99809328663580033</v>
      </c>
      <c r="AG32" s="811">
        <f t="shared" si="23"/>
        <v>-1</v>
      </c>
      <c r="AH32" s="176">
        <f t="shared" si="15"/>
        <v>5</v>
      </c>
      <c r="AI32" s="225">
        <f t="shared" si="24"/>
        <v>-1.9067133641996264E-3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40">
        <v>10.708</v>
      </c>
      <c r="C33" s="841"/>
      <c r="D33" s="393">
        <f t="shared" si="0"/>
        <v>11.022346727984697</v>
      </c>
      <c r="E33" s="385">
        <f t="shared" si="1"/>
        <v>11.316176567759385</v>
      </c>
      <c r="F33" s="385">
        <f t="shared" si="2"/>
        <v>11.316488911676977</v>
      </c>
      <c r="G33" s="110">
        <f t="shared" si="19"/>
        <v>0.37770240000387884</v>
      </c>
      <c r="H33" s="414" t="b">
        <f>Wh_hp&gt;='2021'!Maxi_hp</f>
        <v>0</v>
      </c>
      <c r="I33" s="380">
        <f>IF(H33,Wh_hp,'2021'!Maxi_hp)</f>
        <v>30.474199442688686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2.8519038254040785E-2</v>
      </c>
      <c r="M33" s="845"/>
      <c r="N33" s="845"/>
      <c r="O33" s="48">
        <f>IF(t&lt;Tnet,'2021'!Resal+('2021'!Salim-'2021'!Resal)*(1-EXP(('2021'!Tnet-t)/('2021'!Tau_j))),Resal+(Salim-Resal)*(1-EXP((Tnet-t)/(Tau_j))))*Salcycl</f>
        <v>2.5965469698646371E-2</v>
      </c>
      <c r="P33" s="339">
        <f>(INDEX(Models!$BJ33:$BT33,,T33)*(1-R33)+INDEX(Models!$BJ33:$BT33,,T33+1)*R33-ERP_i)*Q33*Ramure*Pc/MaxiM</f>
        <v>2.4838136648041865E-4</v>
      </c>
      <c r="Q33" s="305">
        <f t="shared" si="4"/>
        <v>0.5</v>
      </c>
      <c r="R33" s="177">
        <f t="shared" si="5"/>
        <v>0.99815186860166127</v>
      </c>
      <c r="S33" s="811">
        <f t="shared" si="6"/>
        <v>-1</v>
      </c>
      <c r="T33" s="176">
        <f t="shared" si="7"/>
        <v>5</v>
      </c>
      <c r="U33" s="251">
        <f t="shared" si="20"/>
        <v>-1.8481313983387459E-3</v>
      </c>
      <c r="V33" s="383">
        <f t="shared" si="8"/>
        <v>28.344103230780775</v>
      </c>
      <c r="W33" s="402">
        <f t="shared" si="9"/>
        <v>0</v>
      </c>
      <c r="X33" s="157">
        <f t="shared" si="10"/>
        <v>44580</v>
      </c>
      <c r="Y33" s="385">
        <f t="shared" si="11"/>
        <v>10.26708553948416</v>
      </c>
      <c r="Z33" s="385">
        <f t="shared" si="21"/>
        <v>10.568488672214441</v>
      </c>
      <c r="AA33" s="386">
        <f t="shared" si="12"/>
        <v>11.316176567759385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6.6072484029204834E-2</v>
      </c>
      <c r="AD33" s="231">
        <f>(INDEX(Models!$BJ33:$BT33,,AH33)*(1-AF33)+INDEX(Models!$BJ33:$BT33,,AH33+1)*AF33-ERP_i)*AE33*Ramure*Pc/MaxiM</f>
        <v>2.4838136648041865E-4</v>
      </c>
      <c r="AE33" s="305">
        <f t="shared" si="14"/>
        <v>0.5</v>
      </c>
      <c r="AF33" s="177">
        <f t="shared" si="22"/>
        <v>0.99815186860166127</v>
      </c>
      <c r="AG33" s="811">
        <f t="shared" si="23"/>
        <v>-1</v>
      </c>
      <c r="AH33" s="176">
        <f t="shared" si="15"/>
        <v>5</v>
      </c>
      <c r="AI33" s="225">
        <f t="shared" si="24"/>
        <v>-1.8481313983387459E-3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40">
        <v>6.7359999999999998</v>
      </c>
      <c r="C34" s="841"/>
      <c r="D34" s="393">
        <f t="shared" si="0"/>
        <v>6.9338955719859614</v>
      </c>
      <c r="E34" s="385">
        <f t="shared" si="1"/>
        <v>7.1192280411662026</v>
      </c>
      <c r="F34" s="385">
        <f t="shared" si="2"/>
        <v>7.1192280411662026</v>
      </c>
      <c r="G34" s="110">
        <f t="shared" si="19"/>
        <v>0.23536410152400106</v>
      </c>
      <c r="H34" s="414" t="b">
        <f>Wh_hp&gt;='2021'!Maxi_hp</f>
        <v>0</v>
      </c>
      <c r="I34" s="380">
        <f>IF(H34,Wh_hp,'2021'!Maxi_hp)</f>
        <v>12.344744575403277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2.854031618034325E-2</v>
      </c>
      <c r="M34" s="845"/>
      <c r="N34" s="845"/>
      <c r="O34" s="48">
        <f>IF(t&lt;Tnet,'2021'!Resal+('2021'!Salim-'2021'!Resal)*(1-EXP(('2021'!Tnet-t)/('2021'!Tau_j))),Resal+(Salim-Resal)*(1-EXP((Tnet-t)/(Tau_j))))*Salcycl</f>
        <v>2.6032663669231411E-2</v>
      </c>
      <c r="P34" s="339">
        <f>(INDEX(Models!$BJ34:$BT34,,T34)*(1-R34)+INDEX(Models!$BJ34:$BT34,,T34+1)*R34-ERP_i)*Q34*Ramure*Pc/MaxiM</f>
        <v>2.3936810664485923E-4</v>
      </c>
      <c r="Q34" s="305">
        <f t="shared" si="4"/>
        <v>0.5</v>
      </c>
      <c r="R34" s="177">
        <f t="shared" si="5"/>
        <v>0.99821289358170395</v>
      </c>
      <c r="S34" s="811">
        <f t="shared" si="6"/>
        <v>-1</v>
      </c>
      <c r="T34" s="176">
        <f t="shared" si="7"/>
        <v>5</v>
      </c>
      <c r="U34" s="251">
        <f t="shared" si="20"/>
        <v>-1.787106418296096E-3</v>
      </c>
      <c r="V34" s="383">
        <f t="shared" si="8"/>
        <v>28.612637070937968</v>
      </c>
      <c r="W34" s="402">
        <f t="shared" si="9"/>
        <v>0</v>
      </c>
      <c r="X34" s="157">
        <f t="shared" si="10"/>
        <v>44581</v>
      </c>
      <c r="Y34" s="385">
        <f t="shared" si="11"/>
        <v>6.4588755637938862</v>
      </c>
      <c r="Z34" s="385">
        <f t="shared" si="21"/>
        <v>6.6486295534143052</v>
      </c>
      <c r="AA34" s="386">
        <f t="shared" si="12"/>
        <v>7.1192280411662026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6.6102460130608304E-2</v>
      </c>
      <c r="AD34" s="231">
        <f>(INDEX(Models!$BJ34:$BT34,,AH34)*(1-AF34)+INDEX(Models!$BJ34:$BT34,,AH34+1)*AF34-ERP_i)*AE34*Ramure*Pc/MaxiM</f>
        <v>2.3936810664485923E-4</v>
      </c>
      <c r="AE34" s="305">
        <f t="shared" si="14"/>
        <v>0.5</v>
      </c>
      <c r="AF34" s="177">
        <f t="shared" si="22"/>
        <v>0.99821289358170395</v>
      </c>
      <c r="AG34" s="811">
        <f t="shared" si="23"/>
        <v>-1</v>
      </c>
      <c r="AH34" s="176">
        <f t="shared" si="15"/>
        <v>5</v>
      </c>
      <c r="AI34" s="225">
        <f t="shared" si="24"/>
        <v>-1.787106418296096E-3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40">
        <v>21.516000000000002</v>
      </c>
      <c r="C35" s="841"/>
      <c r="D35" s="393">
        <f t="shared" si="0"/>
        <v>22.148599292706873</v>
      </c>
      <c r="E35" s="385">
        <f t="shared" si="1"/>
        <v>22.742165948902883</v>
      </c>
      <c r="F35" s="385">
        <f t="shared" si="2"/>
        <v>22.745493436016041</v>
      </c>
      <c r="G35" s="110">
        <f t="shared" si="19"/>
        <v>0.74480303140635129</v>
      </c>
      <c r="H35" s="414" t="b">
        <f>Wh_hp&gt;='2021'!Maxi_hp</f>
        <v>1</v>
      </c>
      <c r="I35" s="380">
        <f>IF(H35,Wh_hp,'2021'!Maxi_hp)</f>
        <v>22.745493436016041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2.8561593640604399E-2</v>
      </c>
      <c r="M35" s="845"/>
      <c r="N35" s="845"/>
      <c r="O35" s="48">
        <f>IF(t&lt;Tnet,'2021'!Resal+('2021'!Salim-'2021'!Resal)*(1-EXP(('2021'!Tnet-t)/('2021'!Tau_j))),Resal+(Salim-Resal)*(1-EXP((Tnet-t)/(Tau_j))))*Salcycl</f>
        <v>2.6099829608562164E-2</v>
      </c>
      <c r="P35" s="339">
        <f>(INDEX(Models!$BJ35:$BT35,,T35)*(1-R35)+INDEX(Models!$BJ35:$BT35,,T35+1)*R35-ERP_i)*Q35*Ramure*Pc/MaxiM</f>
        <v>2.3019203841240731E-4</v>
      </c>
      <c r="Q35" s="305">
        <f t="shared" si="4"/>
        <v>0.5</v>
      </c>
      <c r="R35" s="177">
        <f t="shared" si="5"/>
        <v>0.99827646281894011</v>
      </c>
      <c r="S35" s="811">
        <f t="shared" si="6"/>
        <v>-1</v>
      </c>
      <c r="T35" s="176">
        <f t="shared" si="7"/>
        <v>5</v>
      </c>
      <c r="U35" s="251">
        <f t="shared" si="20"/>
        <v>-1.7235371810599052E-3</v>
      </c>
      <c r="V35" s="383">
        <f t="shared" si="8"/>
        <v>28.885750512092507</v>
      </c>
      <c r="W35" s="402">
        <f t="shared" si="9"/>
        <v>0</v>
      </c>
      <c r="X35" s="157">
        <f t="shared" si="10"/>
        <v>44582</v>
      </c>
      <c r="Y35" s="385">
        <f t="shared" si="11"/>
        <v>20.631573742953439</v>
      </c>
      <c r="Z35" s="385">
        <f t="shared" si="21"/>
        <v>21.238169716053552</v>
      </c>
      <c r="AA35" s="386">
        <f t="shared" si="12"/>
        <v>22.742165948902883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6.6132497503910287E-2</v>
      </c>
      <c r="AD35" s="231">
        <f>(INDEX(Models!$BJ35:$BT35,,AH35)*(1-AF35)+INDEX(Models!$BJ35:$BT35,,AH35+1)*AF35-ERP_i)*AE35*Ramure*Pc/MaxiM</f>
        <v>2.3019203841240731E-4</v>
      </c>
      <c r="AE35" s="305">
        <f t="shared" si="14"/>
        <v>0.5</v>
      </c>
      <c r="AF35" s="177">
        <f t="shared" si="22"/>
        <v>0.99827646281894011</v>
      </c>
      <c r="AG35" s="811">
        <f t="shared" si="23"/>
        <v>-1</v>
      </c>
      <c r="AH35" s="176">
        <f t="shared" si="15"/>
        <v>5</v>
      </c>
      <c r="AI35" s="225">
        <f t="shared" si="24"/>
        <v>-1.7235371810599052E-3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40">
        <v>29.031000000000002</v>
      </c>
      <c r="C36" s="841"/>
      <c r="D36" s="393">
        <f t="shared" si="0"/>
        <v>29.885204946892554</v>
      </c>
      <c r="E36" s="385">
        <f t="shared" si="1"/>
        <v>30.688222721696015</v>
      </c>
      <c r="F36" s="385">
        <f t="shared" si="2"/>
        <v>30.694958235093285</v>
      </c>
      <c r="G36" s="110">
        <f t="shared" si="19"/>
        <v>0.99546480714479813</v>
      </c>
      <c r="H36" s="414" t="b">
        <f>Wh_hp&gt;='2021'!Maxi_hp</f>
        <v>1</v>
      </c>
      <c r="I36" s="380">
        <f>IF(H36,Wh_hp,'2021'!Maxi_hp)</f>
        <v>30.694958235093285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2.8582870634834667E-2</v>
      </c>
      <c r="M36" s="845"/>
      <c r="N36" s="845"/>
      <c r="O36" s="48">
        <f>IF(t&lt;Tnet,'2021'!Resal+('2021'!Salim-'2021'!Resal)*(1-EXP(('2021'!Tnet-t)/('2021'!Tau_j))),Resal+(Salim-Resal)*(1-EXP((Tnet-t)/(Tau_j))))*Salcycl</f>
        <v>2.6166969071028737E-2</v>
      </c>
      <c r="P36" s="339">
        <f>(INDEX(Models!$BJ36:$BT36,,T36)*(1-R36)+INDEX(Models!$BJ36:$BT36,,T36+1)*R36-ERP_i)*Q36*Ramure*Pc/MaxiM</f>
        <v>2.2086436447470948E-4</v>
      </c>
      <c r="Q36" s="305">
        <f t="shared" si="4"/>
        <v>0.5</v>
      </c>
      <c r="R36" s="177">
        <f t="shared" si="5"/>
        <v>0.99834268169772222</v>
      </c>
      <c r="S36" s="811">
        <f t="shared" si="6"/>
        <v>-1</v>
      </c>
      <c r="T36" s="176">
        <f t="shared" si="7"/>
        <v>5</v>
      </c>
      <c r="U36" s="251">
        <f t="shared" si="20"/>
        <v>-1.6573183022778096E-3</v>
      </c>
      <c r="V36" s="383">
        <f t="shared" si="8"/>
        <v>29.163219285866511</v>
      </c>
      <c r="W36" s="402">
        <f t="shared" si="9"/>
        <v>0</v>
      </c>
      <c r="X36" s="157">
        <f t="shared" si="10"/>
        <v>44583</v>
      </c>
      <c r="Y36" s="385">
        <f t="shared" si="11"/>
        <v>27.838687656169061</v>
      </c>
      <c r="Z36" s="385">
        <f t="shared" si="21"/>
        <v>28.657810135962944</v>
      </c>
      <c r="AA36" s="386">
        <f t="shared" si="12"/>
        <v>30.688222721696015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6.6162599383691484E-2</v>
      </c>
      <c r="AD36" s="231">
        <f>(INDEX(Models!$BJ36:$BT36,,AH36)*(1-AF36)+INDEX(Models!$BJ36:$BT36,,AH36+1)*AF36-ERP_i)*AE36*Ramure*Pc/MaxiM</f>
        <v>2.2086436447470948E-4</v>
      </c>
      <c r="AE36" s="305">
        <f t="shared" si="14"/>
        <v>0.5</v>
      </c>
      <c r="AF36" s="177">
        <f t="shared" si="22"/>
        <v>0.99834268169772222</v>
      </c>
      <c r="AG36" s="811">
        <f t="shared" si="23"/>
        <v>-1</v>
      </c>
      <c r="AH36" s="176">
        <f t="shared" si="15"/>
        <v>5</v>
      </c>
      <c r="AI36" s="225">
        <f t="shared" si="24"/>
        <v>-1.6573183022778096E-3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40">
        <v>29.097999999999999</v>
      </c>
      <c r="C37" s="841"/>
      <c r="D37" s="393">
        <f t="shared" si="0"/>
        <v>29.954832435221398</v>
      </c>
      <c r="E37" s="385">
        <f t="shared" si="1"/>
        <v>30.761841145722375</v>
      </c>
      <c r="F37" s="385">
        <f t="shared" si="2"/>
        <v>30.768234513818296</v>
      </c>
      <c r="G37" s="110">
        <f t="shared" si="19"/>
        <v>0.98812529582591346</v>
      </c>
      <c r="H37" s="414" t="b">
        <f>Wh_hp&gt;='2021'!Maxi_hp</f>
        <v>1</v>
      </c>
      <c r="I37" s="380">
        <f>IF(H37,Wh_hp,'2021'!Maxi_hp)</f>
        <v>30.768234513818296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2.8604147163044047E-2</v>
      </c>
      <c r="M37" s="845"/>
      <c r="N37" s="845"/>
      <c r="O37" s="48">
        <f>IF(t&lt;Tnet,'2021'!Resal+('2021'!Salim-'2021'!Resal)*(1-EXP(('2021'!Tnet-t)/('2021'!Tau_j))),Resal+(Salim-Resal)*(1-EXP((Tnet-t)/(Tau_j))))*Salcycl</f>
        <v>2.6234083541296683E-2</v>
      </c>
      <c r="P37" s="339">
        <f>(INDEX(Models!$BJ37:$BT37,,T37)*(1-R37)+INDEX(Models!$BJ37:$BT37,,T37+1)*R37-ERP_i)*Q37*Ramure*Pc/MaxiM</f>
        <v>2.1137587258694576E-4</v>
      </c>
      <c r="Q37" s="305">
        <f t="shared" si="4"/>
        <v>0.5</v>
      </c>
      <c r="R37" s="177">
        <f t="shared" si="5"/>
        <v>0.99841165990849945</v>
      </c>
      <c r="S37" s="811">
        <f t="shared" si="6"/>
        <v>-1</v>
      </c>
      <c r="T37" s="176">
        <f t="shared" si="7"/>
        <v>5</v>
      </c>
      <c r="U37" s="251">
        <f t="shared" si="20"/>
        <v>-1.5883400915005161E-3</v>
      </c>
      <c r="V37" s="383">
        <f t="shared" si="8"/>
        <v>29.447576936016695</v>
      </c>
      <c r="W37" s="402">
        <f t="shared" si="9"/>
        <v>0</v>
      </c>
      <c r="X37" s="157">
        <f t="shared" si="10"/>
        <v>44584</v>
      </c>
      <c r="Y37" s="385">
        <f t="shared" si="11"/>
        <v>27.903957567299063</v>
      </c>
      <c r="Z37" s="385">
        <f t="shared" si="21"/>
        <v>28.725629706782993</v>
      </c>
      <c r="AA37" s="386">
        <f t="shared" si="12"/>
        <v>30.761841145722375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6.6192768803844129E-2</v>
      </c>
      <c r="AD37" s="231">
        <f>(INDEX(Models!$BJ37:$BT37,,AH37)*(1-AF37)+INDEX(Models!$BJ37:$BT37,,AH37+1)*AF37-ERP_i)*AE37*Ramure*Pc/MaxiM</f>
        <v>2.1137587258694576E-4</v>
      </c>
      <c r="AE37" s="305">
        <f t="shared" si="14"/>
        <v>0.5</v>
      </c>
      <c r="AF37" s="177">
        <f t="shared" si="22"/>
        <v>0.99841165990849945</v>
      </c>
      <c r="AG37" s="811">
        <f t="shared" si="23"/>
        <v>-1</v>
      </c>
      <c r="AH37" s="176">
        <f t="shared" si="15"/>
        <v>5</v>
      </c>
      <c r="AI37" s="225">
        <f t="shared" si="24"/>
        <v>-1.5883400915005161E-3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40">
        <v>29.751999999999999</v>
      </c>
      <c r="C38" s="841"/>
      <c r="D38" s="393">
        <f t="shared" si="0"/>
        <v>30.62876125375362</v>
      </c>
      <c r="E38" s="385">
        <f t="shared" si="1"/>
        <v>31.456093453368602</v>
      </c>
      <c r="F38" s="385">
        <f t="shared" si="2"/>
        <v>31.46244680579083</v>
      </c>
      <c r="G38" s="110">
        <f t="shared" si="19"/>
        <v>1.0003758637461395</v>
      </c>
      <c r="H38" s="414" t="b">
        <f>Wh_hp&gt;='2021'!Maxi_hp</f>
        <v>1</v>
      </c>
      <c r="I38" s="380">
        <f>IF(H38,Wh_hp,'2021'!Maxi_hp)</f>
        <v>31.46244680579083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2.8625423225242974E-2</v>
      </c>
      <c r="M38" s="845"/>
      <c r="N38" s="845"/>
      <c r="O38" s="48">
        <f>IF(t&lt;Tnet,'2021'!Resal+('2021'!Salim-'2021'!Resal)*(1-EXP(('2021'!Tnet-t)/('2021'!Tau_j))),Resal+(Salim-Resal)*(1-EXP((Tnet-t)/(Tau_j))))*Salcycl</f>
        <v>2.6301174392218931E-2</v>
      </c>
      <c r="P38" s="339">
        <f>(INDEX(Models!$BJ38:$BT38,,T38)*(1-R38)+INDEX(Models!$BJ38:$BT38,,T38+1)*R38-ERP_i)*Q38*Ramure*Pc/MaxiM</f>
        <v>2.0193446687238352E-4</v>
      </c>
      <c r="Q38" s="305">
        <f t="shared" si="4"/>
        <v>0.5</v>
      </c>
      <c r="R38" s="177">
        <f t="shared" si="5"/>
        <v>0.99848351161872895</v>
      </c>
      <c r="S38" s="811">
        <f t="shared" si="6"/>
        <v>-1</v>
      </c>
      <c r="T38" s="176">
        <f t="shared" si="7"/>
        <v>5</v>
      </c>
      <c r="U38" s="251">
        <f t="shared" si="20"/>
        <v>-1.5164883812710393E-3</v>
      </c>
      <c r="V38" s="383">
        <f t="shared" si="8"/>
        <v>29.740821503416456</v>
      </c>
      <c r="W38" s="402">
        <f t="shared" si="9"/>
        <v>0</v>
      </c>
      <c r="X38" s="157">
        <f t="shared" si="10"/>
        <v>44585</v>
      </c>
      <c r="Y38" s="385">
        <f t="shared" si="11"/>
        <v>28.532162431181586</v>
      </c>
      <c r="Z38" s="385">
        <f t="shared" si="21"/>
        <v>29.37297630942388</v>
      </c>
      <c r="AA38" s="386">
        <f t="shared" si="12"/>
        <v>31.456093453368602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6.6223008493816751E-2</v>
      </c>
      <c r="AD38" s="231">
        <f>(INDEX(Models!$BJ38:$BT38,,AH38)*(1-AF38)+INDEX(Models!$BJ38:$BT38,,AH38+1)*AF38-ERP_i)*AE38*Ramure*Pc/MaxiM</f>
        <v>2.0193446687238352E-4</v>
      </c>
      <c r="AE38" s="305">
        <f t="shared" si="14"/>
        <v>0.5</v>
      </c>
      <c r="AF38" s="177">
        <f t="shared" si="22"/>
        <v>0.99848351161872895</v>
      </c>
      <c r="AG38" s="811">
        <f t="shared" si="23"/>
        <v>-1</v>
      </c>
      <c r="AH38" s="176">
        <f t="shared" si="15"/>
        <v>5</v>
      </c>
      <c r="AI38" s="225">
        <f t="shared" si="24"/>
        <v>-1.5164883812710393E-3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40">
        <v>28.335000000000001</v>
      </c>
      <c r="C39" s="841"/>
      <c r="D39" s="393">
        <f t="shared" si="0"/>
        <v>29.170642613373207</v>
      </c>
      <c r="E39" s="385">
        <f t="shared" si="1"/>
        <v>29.960652370921235</v>
      </c>
      <c r="F39" s="385">
        <f t="shared" si="2"/>
        <v>29.965963471414504</v>
      </c>
      <c r="G39" s="110">
        <f t="shared" si="19"/>
        <v>0.94316713547527875</v>
      </c>
      <c r="H39" s="414" t="b">
        <f>Wh_hp&gt;='2021'!Maxi_hp</f>
        <v>1</v>
      </c>
      <c r="I39" s="380">
        <f>IF(H39,Wh_hp,'2021'!Maxi_hp)</f>
        <v>29.965963471414504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2.8646698821441441E-2</v>
      </c>
      <c r="M39" s="845"/>
      <c r="N39" s="845"/>
      <c r="O39" s="48">
        <f>IF(t&lt;Tnet,'2021'!Resal+('2021'!Salim-'2021'!Resal)*(1-EXP(('2021'!Tnet-t)/('2021'!Tau_j))),Resal+(Salim-Resal)*(1-EXP((Tnet-t)/(Tau_j))))*Salcycl</f>
        <v>2.6368242846233295E-2</v>
      </c>
      <c r="P39" s="339">
        <f>(INDEX(Models!$BJ39:$BT39,,T39)*(1-R39)+INDEX(Models!$BJ39:$BT39,,T39+1)*R39-ERP_i)*Q39*Ramure*Pc/MaxiM</f>
        <v>1.9289478887449753E-4</v>
      </c>
      <c r="Q39" s="305">
        <f t="shared" si="4"/>
        <v>0.5</v>
      </c>
      <c r="R39" s="177">
        <f t="shared" si="5"/>
        <v>0.99855835565013717</v>
      </c>
      <c r="S39" s="811">
        <f t="shared" si="6"/>
        <v>-1</v>
      </c>
      <c r="T39" s="176">
        <f t="shared" si="7"/>
        <v>5</v>
      </c>
      <c r="U39" s="251">
        <f t="shared" si="20"/>
        <v>-1.4416443498628062E-3</v>
      </c>
      <c r="V39" s="383">
        <f t="shared" si="8"/>
        <v>30.041924929246214</v>
      </c>
      <c r="W39" s="402">
        <f t="shared" si="9"/>
        <v>0</v>
      </c>
      <c r="X39" s="157">
        <f t="shared" si="10"/>
        <v>44586</v>
      </c>
      <c r="Y39" s="385">
        <f t="shared" si="11"/>
        <v>27.174249361898379</v>
      </c>
      <c r="Z39" s="385">
        <f t="shared" si="21"/>
        <v>27.975659658465592</v>
      </c>
      <c r="AA39" s="386">
        <f t="shared" si="12"/>
        <v>29.960652370921235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6.6253320784904077E-2</v>
      </c>
      <c r="AD39" s="231">
        <f>(INDEX(Models!$BJ39:$BT39,,AH39)*(1-AF39)+INDEX(Models!$BJ39:$BT39,,AH39+1)*AF39-ERP_i)*AE39*Ramure*Pc/MaxiM</f>
        <v>1.9289478887449753E-4</v>
      </c>
      <c r="AE39" s="305">
        <f t="shared" si="14"/>
        <v>0.5</v>
      </c>
      <c r="AF39" s="177">
        <f t="shared" si="22"/>
        <v>0.99855835565013717</v>
      </c>
      <c r="AG39" s="811">
        <f t="shared" si="23"/>
        <v>-1</v>
      </c>
      <c r="AH39" s="176">
        <f t="shared" si="15"/>
        <v>5</v>
      </c>
      <c r="AI39" s="225">
        <f t="shared" si="24"/>
        <v>-1.4416443498628062E-3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40">
        <v>29.346</v>
      </c>
      <c r="C40" s="841"/>
      <c r="D40" s="393">
        <f t="shared" si="0"/>
        <v>30.21212027712884</v>
      </c>
      <c r="E40" s="385">
        <f t="shared" si="1"/>
        <v>31.032472690270467</v>
      </c>
      <c r="F40" s="385">
        <f t="shared" si="2"/>
        <v>31.037921449908918</v>
      </c>
      <c r="G40" s="110">
        <f t="shared" si="19"/>
        <v>0.96691500400873542</v>
      </c>
      <c r="H40" s="414" t="b">
        <f>Wh_hp&gt;='2021'!Maxi_hp</f>
        <v>1</v>
      </c>
      <c r="I40" s="380">
        <f>IF(H40,Wh_hp,'2021'!Maxi_hp)</f>
        <v>31.037921449908918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2.8667973951649772E-2</v>
      </c>
      <c r="M40" s="845"/>
      <c r="N40" s="845"/>
      <c r="O40" s="48">
        <f>IF(t&lt;Tnet,'2021'!Resal+('2021'!Salim-'2021'!Resal)*(1-EXP(('2021'!Tnet-t)/('2021'!Tau_j))),Resal+(Salim-Resal)*(1-EXP((Tnet-t)/(Tau_j))))*Salcycl</f>
        <v>2.6435289940618667E-2</v>
      </c>
      <c r="P40" s="339">
        <f>(INDEX(Models!$BJ40:$BT40,,T40)*(1-R40)+INDEX(Models!$BJ40:$BT40,,T40+1)*R40-ERP_i)*Q40*Ramure*Pc/MaxiM</f>
        <v>1.8425831245468045E-4</v>
      </c>
      <c r="Q40" s="305">
        <f t="shared" si="4"/>
        <v>0.5</v>
      </c>
      <c r="R40" s="177">
        <f t="shared" si="5"/>
        <v>0.99863631566252986</v>
      </c>
      <c r="S40" s="811">
        <f t="shared" si="6"/>
        <v>-1</v>
      </c>
      <c r="T40" s="176">
        <f t="shared" si="7"/>
        <v>5</v>
      </c>
      <c r="U40" s="251">
        <f t="shared" si="20"/>
        <v>-1.3636843374701375E-3</v>
      </c>
      <c r="V40" s="383">
        <f t="shared" si="8"/>
        <v>30.349869770352651</v>
      </c>
      <c r="W40" s="402">
        <f t="shared" si="9"/>
        <v>0</v>
      </c>
      <c r="X40" s="157">
        <f t="shared" si="10"/>
        <v>44587</v>
      </c>
      <c r="Y40" s="385">
        <f t="shared" si="11"/>
        <v>28.144855740745498</v>
      </c>
      <c r="Z40" s="385">
        <f t="shared" si="21"/>
        <v>28.975525346617701</v>
      </c>
      <c r="AA40" s="386">
        <f t="shared" si="12"/>
        <v>31.032472690270467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6.6283707527362942E-2</v>
      </c>
      <c r="AD40" s="231">
        <f>(INDEX(Models!$BJ40:$BT40,,AH40)*(1-AF40)+INDEX(Models!$BJ40:$BT40,,AH40+1)*AF40-ERP_i)*AE40*Ramure*Pc/MaxiM</f>
        <v>1.8425831245468045E-4</v>
      </c>
      <c r="AE40" s="305">
        <f t="shared" si="14"/>
        <v>0.5</v>
      </c>
      <c r="AF40" s="177">
        <f t="shared" si="22"/>
        <v>0.99863631566252986</v>
      </c>
      <c r="AG40" s="811">
        <f t="shared" si="23"/>
        <v>-1</v>
      </c>
      <c r="AH40" s="176">
        <f t="shared" si="15"/>
        <v>5</v>
      </c>
      <c r="AI40" s="225">
        <f t="shared" si="24"/>
        <v>-1.3636843374701375E-3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40">
        <v>27.342000000000002</v>
      </c>
      <c r="C41" s="841"/>
      <c r="D41" s="393">
        <f t="shared" si="0"/>
        <v>28.149590603251884</v>
      </c>
      <c r="E41" s="385">
        <f t="shared" si="1"/>
        <v>28.91592972461682</v>
      </c>
      <c r="F41" s="385">
        <f t="shared" si="2"/>
        <v>28.920232617261767</v>
      </c>
      <c r="G41" s="110">
        <f t="shared" si="19"/>
        <v>0.89165069833534738</v>
      </c>
      <c r="H41" s="414" t="b">
        <f>Wh_hp&gt;='2021'!Maxi_hp</f>
        <v>1</v>
      </c>
      <c r="I41" s="380">
        <f>IF(H41,Wh_hp,'2021'!Maxi_hp)</f>
        <v>28.920232617261767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2.8689248615878182E-2</v>
      </c>
      <c r="M41" s="845"/>
      <c r="N41" s="845"/>
      <c r="O41" s="48">
        <f>IF(t&lt;Tnet,'2021'!Resal+('2021'!Salim-'2021'!Resal)*(1-EXP(('2021'!Tnet-t)/('2021'!Tau_j))),Resal+(Salim-Resal)*(1-EXP((Tnet-t)/(Tau_j))))*Salcycl</f>
        <v>2.6502316496935401E-2</v>
      </c>
      <c r="P41" s="339">
        <f>(INDEX(Models!$BJ41:$BT41,,T41)*(1-R41)+INDEX(Models!$BJ41:$BT41,,T41+1)*R41-ERP_i)*Q41*Ramure*Pc/MaxiM</f>
        <v>1.7602467700879971E-4</v>
      </c>
      <c r="Q41" s="305">
        <f t="shared" si="4"/>
        <v>0.5</v>
      </c>
      <c r="R41" s="177">
        <f t="shared" si="5"/>
        <v>0.99871752034435157</v>
      </c>
      <c r="S41" s="811">
        <f t="shared" si="6"/>
        <v>-1</v>
      </c>
      <c r="T41" s="176">
        <f t="shared" si="7"/>
        <v>5</v>
      </c>
      <c r="U41" s="251">
        <f t="shared" si="20"/>
        <v>-1.2824796556483954E-3</v>
      </c>
      <c r="V41" s="383">
        <f t="shared" si="8"/>
        <v>30.663638966500756</v>
      </c>
      <c r="W41" s="402">
        <f t="shared" si="9"/>
        <v>0</v>
      </c>
      <c r="X41" s="157">
        <f t="shared" si="10"/>
        <v>44588</v>
      </c>
      <c r="Y41" s="385">
        <f t="shared" si="11"/>
        <v>26.22383021136385</v>
      </c>
      <c r="Z41" s="385">
        <f t="shared" si="21"/>
        <v>26.998393844601004</v>
      </c>
      <c r="AA41" s="386">
        <f t="shared" si="12"/>
        <v>28.91592972461682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6.6314170019004193E-2</v>
      </c>
      <c r="AD41" s="231">
        <f>(INDEX(Models!$BJ41:$BT41,,AH41)*(1-AF41)+INDEX(Models!$BJ41:$BT41,,AH41+1)*AF41-ERP_i)*AE41*Ramure*Pc/MaxiM</f>
        <v>1.7602467700879971E-4</v>
      </c>
      <c r="AE41" s="305">
        <f t="shared" si="14"/>
        <v>0.5</v>
      </c>
      <c r="AF41" s="177">
        <f t="shared" si="22"/>
        <v>0.99871752034435157</v>
      </c>
      <c r="AG41" s="811">
        <f t="shared" si="23"/>
        <v>-1</v>
      </c>
      <c r="AH41" s="176">
        <f t="shared" si="15"/>
        <v>5</v>
      </c>
      <c r="AI41" s="225">
        <f t="shared" si="24"/>
        <v>-1.2824796556483954E-3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40">
        <v>4.4660000000000002</v>
      </c>
      <c r="C42" s="841"/>
      <c r="D42" s="393">
        <f t="shared" si="0"/>
        <v>4.5980113085744874</v>
      </c>
      <c r="E42" s="385">
        <f t="shared" si="1"/>
        <v>4.7235118202699429</v>
      </c>
      <c r="F42" s="385">
        <f t="shared" si="2"/>
        <v>4.7235118202699429</v>
      </c>
      <c r="G42" s="110">
        <f t="shared" si="19"/>
        <v>0.14412296653231677</v>
      </c>
      <c r="H42" s="414" t="b">
        <f>Wh_hp&gt;='2021'!Maxi_hp</f>
        <v>0</v>
      </c>
      <c r="I42" s="380">
        <f>IF(H42,Wh_hp,'2021'!Maxi_hp)</f>
        <v>18.517028420857695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2.8710522814136885E-2</v>
      </c>
      <c r="M42" s="845"/>
      <c r="N42" s="845"/>
      <c r="O42" s="48">
        <f>IF(t&lt;Tnet,'2021'!Resal+('2021'!Salim-'2021'!Resal)*(1-EXP(('2021'!Tnet-t)/('2021'!Tau_j))),Resal+(Salim-Resal)*(1-EXP((Tnet-t)/(Tau_j))))*Salcycl</f>
        <v>2.656932309492618E-2</v>
      </c>
      <c r="P42" s="339">
        <f>(INDEX(Models!$BJ42:$BT42,,T42)*(1-R42)+INDEX(Models!$BJ42:$BT42,,T42+1)*R42-ERP_i)*Q42*Ramure*Pc/MaxiM</f>
        <v>1.6819191759855827E-4</v>
      </c>
      <c r="Q42" s="305">
        <f t="shared" si="4"/>
        <v>0.5</v>
      </c>
      <c r="R42" s="177">
        <f t="shared" si="5"/>
        <v>0.99880210361019761</v>
      </c>
      <c r="S42" s="811">
        <f t="shared" si="6"/>
        <v>-1</v>
      </c>
      <c r="T42" s="176">
        <f t="shared" si="7"/>
        <v>5</v>
      </c>
      <c r="U42" s="251">
        <f t="shared" si="20"/>
        <v>-1.1978963898024431E-3</v>
      </c>
      <c r="V42" s="383">
        <f t="shared" si="8"/>
        <v>30.982215828139786</v>
      </c>
      <c r="W42" s="402">
        <f t="shared" si="9"/>
        <v>0</v>
      </c>
      <c r="X42" s="157">
        <f t="shared" si="10"/>
        <v>44589</v>
      </c>
      <c r="Y42" s="385">
        <f t="shared" si="11"/>
        <v>4.2835146135986957</v>
      </c>
      <c r="Z42" s="385">
        <f t="shared" si="21"/>
        <v>4.410131803352189</v>
      </c>
      <c r="AA42" s="386">
        <f t="shared" si="12"/>
        <v>4.7235118202699429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6.6344708945778638E-2</v>
      </c>
      <c r="AD42" s="231">
        <f>(INDEX(Models!$BJ42:$BT42,,AH42)*(1-AF42)+INDEX(Models!$BJ42:$BT42,,AH42+1)*AF42-ERP_i)*AE42*Ramure*Pc/MaxiM</f>
        <v>1.6819191759855827E-4</v>
      </c>
      <c r="AE42" s="305">
        <f t="shared" si="14"/>
        <v>0.5</v>
      </c>
      <c r="AF42" s="177">
        <f t="shared" si="22"/>
        <v>0.99880210361019761</v>
      </c>
      <c r="AG42" s="811">
        <f t="shared" si="23"/>
        <v>-1</v>
      </c>
      <c r="AH42" s="176">
        <f t="shared" si="15"/>
        <v>5</v>
      </c>
      <c r="AI42" s="225">
        <f t="shared" si="24"/>
        <v>-1.1978963898024431E-3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40">
        <v>9.793000000000001</v>
      </c>
      <c r="C43" s="841"/>
      <c r="D43" s="393">
        <f t="shared" si="0"/>
        <v>10.082693910063947</v>
      </c>
      <c r="E43" s="385">
        <f t="shared" si="1"/>
        <v>10.35860903193676</v>
      </c>
      <c r="F43" s="385">
        <f t="shared" si="2"/>
        <v>10.358639552060666</v>
      </c>
      <c r="G43" s="110">
        <f t="shared" si="19"/>
        <v>0.31278021592959032</v>
      </c>
      <c r="H43" s="414" t="b">
        <f>Wh_hp&gt;='2021'!Maxi_hp</f>
        <v>0</v>
      </c>
      <c r="I43" s="380">
        <f>IF(H43,Wh_hp,'2021'!Maxi_hp)</f>
        <v>20.355528257182332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2.8731796546435984E-2</v>
      </c>
      <c r="M43" s="845"/>
      <c r="N43" s="845"/>
      <c r="O43" s="48">
        <f>IF(t&lt;Tnet,'2021'!Resal+('2021'!Salim-'2021'!Resal)*(1-EXP(('2021'!Tnet-t)/('2021'!Tau_j))),Resal+(Salim-Resal)*(1-EXP((Tnet-t)/(Tau_j))))*Salcycl</f>
        <v>2.6636310051102036E-2</v>
      </c>
      <c r="P43" s="339">
        <f>(INDEX(Models!$BJ43:$BT43,,T43)*(1-R43)+INDEX(Models!$BJ43:$BT43,,T43+1)*R43-ERP_i)*Q43*Ramure*Pc/MaxiM</f>
        <v>1.6075668531526563E-4</v>
      </c>
      <c r="Q43" s="305">
        <f t="shared" si="4"/>
        <v>0.5</v>
      </c>
      <c r="R43" s="177">
        <f t="shared" si="5"/>
        <v>0.99889020480548285</v>
      </c>
      <c r="S43" s="811">
        <f t="shared" si="6"/>
        <v>-1</v>
      </c>
      <c r="T43" s="176">
        <f t="shared" si="7"/>
        <v>5</v>
      </c>
      <c r="U43" s="251">
        <f t="shared" si="20"/>
        <v>-1.10979519451717E-3</v>
      </c>
      <c r="V43" s="383">
        <f t="shared" si="8"/>
        <v>31.304584050118429</v>
      </c>
      <c r="W43" s="402">
        <f t="shared" si="9"/>
        <v>0</v>
      </c>
      <c r="X43" s="157">
        <f t="shared" si="10"/>
        <v>44590</v>
      </c>
      <c r="Y43" s="385">
        <f t="shared" si="11"/>
        <v>9.3931862706630387</v>
      </c>
      <c r="Z43" s="385">
        <f t="shared" si="21"/>
        <v>9.6710529977852033</v>
      </c>
      <c r="AA43" s="386">
        <f t="shared" si="12"/>
        <v>10.35860903193676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6.6375324334738819E-2</v>
      </c>
      <c r="AD43" s="231">
        <f>(INDEX(Models!$BJ43:$BT43,,AH43)*(1-AF43)+INDEX(Models!$BJ43:$BT43,,AH43+1)*AF43-ERP_i)*AE43*Ramure*Pc/MaxiM</f>
        <v>1.6075668531526563E-4</v>
      </c>
      <c r="AE43" s="305">
        <f t="shared" si="14"/>
        <v>0.5</v>
      </c>
      <c r="AF43" s="177">
        <f t="shared" si="22"/>
        <v>0.99889020480548285</v>
      </c>
      <c r="AG43" s="811">
        <f t="shared" si="23"/>
        <v>-1</v>
      </c>
      <c r="AH43" s="176">
        <f t="shared" si="15"/>
        <v>5</v>
      </c>
      <c r="AI43" s="225">
        <f t="shared" si="24"/>
        <v>-1.10979519451717E-3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40">
        <v>4.6580000000000004</v>
      </c>
      <c r="C44" s="841"/>
      <c r="D44" s="393">
        <f t="shared" si="0"/>
        <v>4.7958967541880826</v>
      </c>
      <c r="E44" s="385">
        <f t="shared" si="1"/>
        <v>4.9274765267753207</v>
      </c>
      <c r="F44" s="385">
        <f t="shared" si="2"/>
        <v>4.9274765267753207</v>
      </c>
      <c r="G44" s="110">
        <f t="shared" si="19"/>
        <v>0.14724388530443536</v>
      </c>
      <c r="H44" s="414" t="b">
        <f>Wh_hp&gt;='2021'!Maxi_hp</f>
        <v>0</v>
      </c>
      <c r="I44" s="380">
        <f>IF(H44,Wh_hp,'2021'!Maxi_hp)</f>
        <v>12.271638358981564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2.8753069812785692E-2</v>
      </c>
      <c r="M44" s="845"/>
      <c r="N44" s="845"/>
      <c r="O44" s="48">
        <f>IF(t&lt;Tnet,'2021'!Resal+('2021'!Salim-'2021'!Resal)*(1-EXP(('2021'!Tnet-t)/('2021'!Tau_j))),Resal+(Salim-Resal)*(1-EXP((Tnet-t)/(Tau_j))))*Salcycl</f>
        <v>2.6703277402185394E-2</v>
      </c>
      <c r="P44" s="339">
        <f>(INDEX(Models!$BJ44:$BT44,,T44)*(1-R44)+INDEX(Models!$BJ44:$BT44,,T44+1)*R44-ERP_i)*Q44*Ramure*Pc/MaxiM</f>
        <v>1.5391730464140723E-4</v>
      </c>
      <c r="Q44" s="305">
        <f t="shared" si="4"/>
        <v>0.5</v>
      </c>
      <c r="R44" s="177">
        <f t="shared" si="5"/>
        <v>0.99898196891847635</v>
      </c>
      <c r="S44" s="811">
        <f t="shared" si="6"/>
        <v>-1</v>
      </c>
      <c r="T44" s="176">
        <f t="shared" si="7"/>
        <v>5</v>
      </c>
      <c r="U44" s="251">
        <f t="shared" si="20"/>
        <v>-1.0180310815236984E-3</v>
      </c>
      <c r="V44" s="383">
        <f t="shared" si="8"/>
        <v>31.629721285646429</v>
      </c>
      <c r="W44" s="402">
        <f t="shared" si="9"/>
        <v>0</v>
      </c>
      <c r="X44" s="157">
        <f t="shared" si="10"/>
        <v>44591</v>
      </c>
      <c r="Y44" s="385">
        <f t="shared" si="11"/>
        <v>4.4679907768543483</v>
      </c>
      <c r="Z44" s="385">
        <f t="shared" si="21"/>
        <v>4.6002624440657058</v>
      </c>
      <c r="AA44" s="386">
        <f t="shared" si="12"/>
        <v>4.9274765267753207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6.6406015519621872E-2</v>
      </c>
      <c r="AD44" s="231">
        <f>(INDEX(Models!$BJ44:$BT44,,AH44)*(1-AF44)+INDEX(Models!$BJ44:$BT44,,AH44+1)*AF44-ERP_i)*AE44*Ramure*Pc/MaxiM</f>
        <v>1.5391730464140723E-4</v>
      </c>
      <c r="AE44" s="305">
        <f t="shared" si="14"/>
        <v>0.5</v>
      </c>
      <c r="AF44" s="177">
        <f t="shared" si="22"/>
        <v>0.99898196891847635</v>
      </c>
      <c r="AG44" s="811">
        <f t="shared" si="23"/>
        <v>-1</v>
      </c>
      <c r="AH44" s="176">
        <f t="shared" si="15"/>
        <v>5</v>
      </c>
      <c r="AI44" s="225">
        <f t="shared" si="24"/>
        <v>-1.0180310815236984E-3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40">
        <v>9.527000000000001</v>
      </c>
      <c r="C45" s="841"/>
      <c r="D45" s="393">
        <f t="shared" si="0"/>
        <v>9.8092548601254101</v>
      </c>
      <c r="E45" s="385">
        <f t="shared" si="1"/>
        <v>10.079073936113666</v>
      </c>
      <c r="F45" s="385">
        <f t="shared" si="2"/>
        <v>10.079073936113666</v>
      </c>
      <c r="G45" s="110">
        <f t="shared" si="19"/>
        <v>0.29807894617882846</v>
      </c>
      <c r="H45" s="414" t="b">
        <f>Wh_hp&gt;='2021'!Maxi_hp</f>
        <v>0</v>
      </c>
      <c r="I45" s="380">
        <f>IF(H45,Wh_hp,'2021'!Maxi_hp)</f>
        <v>23.585730416186674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2.8774342613196335E-2</v>
      </c>
      <c r="M45" s="845"/>
      <c r="N45" s="845"/>
      <c r="O45" s="48">
        <f>IF(t&lt;Tnet,'2021'!Resal+('2021'!Salim-'2021'!Resal)*(1-EXP(('2021'!Tnet-t)/('2021'!Tau_j))),Resal+(Salim-Resal)*(1-EXP((Tnet-t)/(Tau_j))))*Salcycl</f>
        <v>2.6770224893527646E-2</v>
      </c>
      <c r="P45" s="339">
        <f>(INDEX(Models!$BJ45:$BT45,,T45)*(1-R45)+INDEX(Models!$BJ45:$BT45,,T45+1)*R45-ERP_i)*Q45*Ramure*Pc/MaxiM</f>
        <v>1.4760667472956974E-4</v>
      </c>
      <c r="Q45" s="305">
        <f t="shared" si="4"/>
        <v>0.5</v>
      </c>
      <c r="R45" s="177">
        <f t="shared" si="5"/>
        <v>0.99907754679990635</v>
      </c>
      <c r="S45" s="811">
        <f t="shared" si="6"/>
        <v>-1</v>
      </c>
      <c r="T45" s="176">
        <f t="shared" si="7"/>
        <v>5</v>
      </c>
      <c r="U45" s="251">
        <f t="shared" si="20"/>
        <v>-9.22453200093638E-4</v>
      </c>
      <c r="V45" s="383">
        <f t="shared" si="8"/>
        <v>31.956613753911693</v>
      </c>
      <c r="W45" s="402">
        <f t="shared" si="9"/>
        <v>0</v>
      </c>
      <c r="X45" s="157">
        <f t="shared" si="10"/>
        <v>44592</v>
      </c>
      <c r="Y45" s="385">
        <f t="shared" si="11"/>
        <v>9.1387018911384246</v>
      </c>
      <c r="Z45" s="385">
        <f t="shared" si="21"/>
        <v>9.4094527071362304</v>
      </c>
      <c r="AA45" s="386">
        <f t="shared" si="12"/>
        <v>10.079073936113666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6.6436781119162167E-2</v>
      </c>
      <c r="AD45" s="231">
        <f>(INDEX(Models!$BJ45:$BT45,,AH45)*(1-AF45)+INDEX(Models!$BJ45:$BT45,,AH45+1)*AF45-ERP_i)*AE45*Ramure*Pc/MaxiM</f>
        <v>1.4760667472956974E-4</v>
      </c>
      <c r="AE45" s="305">
        <f t="shared" si="14"/>
        <v>0.5</v>
      </c>
      <c r="AF45" s="177">
        <f t="shared" si="22"/>
        <v>0.99907754679990635</v>
      </c>
      <c r="AG45" s="811">
        <f t="shared" si="23"/>
        <v>-1</v>
      </c>
      <c r="AH45" s="176">
        <f t="shared" si="15"/>
        <v>5</v>
      </c>
      <c r="AI45" s="225">
        <f t="shared" si="24"/>
        <v>-9.22453200093638E-4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40">
        <v>13.831</v>
      </c>
      <c r="C46" s="841"/>
      <c r="D46" s="393">
        <f t="shared" si="0"/>
        <v>14.241080675572606</v>
      </c>
      <c r="E46" s="385">
        <f t="shared" si="1"/>
        <v>14.633810471123871</v>
      </c>
      <c r="F46" s="385">
        <f t="shared" si="2"/>
        <v>14.634191186375247</v>
      </c>
      <c r="G46" s="110">
        <f t="shared" si="19"/>
        <v>0.4283636738327416</v>
      </c>
      <c r="H46" s="414" t="b">
        <f>Wh_hp&gt;='2021'!Maxi_hp</f>
        <v>0</v>
      </c>
      <c r="I46" s="380">
        <f>IF(H46,Wh_hp,'2021'!Maxi_hp)</f>
        <v>27.944973498874095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2.8795614947678017E-2</v>
      </c>
      <c r="M46" s="845"/>
      <c r="N46" s="845"/>
      <c r="O46" s="48">
        <f>IF(t&lt;Tnet,'2021'!Resal+('2021'!Salim-'2021'!Resal)*(1-EXP(('2021'!Tnet-t)/('2021'!Tau_j))),Resal+(Salim-Resal)*(1-EXP((Tnet-t)/(Tau_j))))*Salcycl</f>
        <v>2.6837151972565115E-2</v>
      </c>
      <c r="P46" s="339">
        <f>(INDEX(Models!$BJ46:$BT46,,T46)*(1-R46)+INDEX(Models!$BJ46:$BT46,,T46+1)*R46-ERP_i)*Q46*Ramure*Pc/MaxiM</f>
        <v>1.4181417244371719E-4</v>
      </c>
      <c r="Q46" s="305">
        <f t="shared" si="4"/>
        <v>0.5</v>
      </c>
      <c r="R46" s="177">
        <f t="shared" si="5"/>
        <v>0.99917709539034683</v>
      </c>
      <c r="S46" s="811">
        <f t="shared" si="6"/>
        <v>-1</v>
      </c>
      <c r="T46" s="176">
        <f t="shared" si="7"/>
        <v>5</v>
      </c>
      <c r="U46" s="251">
        <f t="shared" si="20"/>
        <v>-8.2290460965316341E-4</v>
      </c>
      <c r="V46" s="383">
        <f t="shared" si="8"/>
        <v>32.284246286892675</v>
      </c>
      <c r="W46" s="402">
        <f t="shared" si="9"/>
        <v>0</v>
      </c>
      <c r="X46" s="157">
        <f t="shared" si="10"/>
        <v>44593</v>
      </c>
      <c r="Y46" s="385">
        <f t="shared" si="11"/>
        <v>13.267755121759686</v>
      </c>
      <c r="Z46" s="385">
        <f t="shared" si="21"/>
        <v>13.661135931799679</v>
      </c>
      <c r="AA46" s="386">
        <f t="shared" si="12"/>
        <v>14.633810471123871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6.646761902810755E-2</v>
      </c>
      <c r="AD46" s="231">
        <f>(INDEX(Models!$BJ46:$BT46,,AH46)*(1-AF46)+INDEX(Models!$BJ46:$BT46,,AH46+1)*AF46-ERP_i)*AE46*Ramure*Pc/MaxiM</f>
        <v>1.4181417244371719E-4</v>
      </c>
      <c r="AE46" s="305">
        <f t="shared" si="14"/>
        <v>0.5</v>
      </c>
      <c r="AF46" s="177">
        <f t="shared" si="22"/>
        <v>0.99917709539034683</v>
      </c>
      <c r="AG46" s="811">
        <f t="shared" si="23"/>
        <v>-1</v>
      </c>
      <c r="AH46" s="176">
        <f t="shared" si="15"/>
        <v>5</v>
      </c>
      <c r="AI46" s="225">
        <f t="shared" si="24"/>
        <v>-8.2290460965316341E-4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40">
        <v>5.556</v>
      </c>
      <c r="C47" s="841"/>
      <c r="D47" s="393">
        <f t="shared" si="0"/>
        <v>5.7208572972260292</v>
      </c>
      <c r="E47" s="385">
        <f t="shared" si="1"/>
        <v>5.8792285926951973</v>
      </c>
      <c r="F47" s="385">
        <f t="shared" si="2"/>
        <v>5.8792285926951973</v>
      </c>
      <c r="G47" s="110">
        <f t="shared" si="19"/>
        <v>0.17035138597572935</v>
      </c>
      <c r="H47" s="414" t="b">
        <f>Wh_hp&gt;='2021'!Maxi_hp</f>
        <v>0</v>
      </c>
      <c r="I47" s="380">
        <f>IF(H47,Wh_hp,'2021'!Maxi_hp)</f>
        <v>29.540538398179784</v>
      </c>
      <c r="J47" s="85">
        <f>IF(H47,An,'2021'!An_max)</f>
        <v>2020</v>
      </c>
      <c r="K47" s="197">
        <f t="shared" si="3"/>
        <v>44594</v>
      </c>
      <c r="L47" s="147">
        <f>IF(t&lt;Tvie,1-EXP((T0-t)*PertePVj)+'2021'!Pspv,1-EXP((T0-t)*PertePVj)+Pspv)</f>
        <v>2.8816886816241061E-2</v>
      </c>
      <c r="M47" s="845"/>
      <c r="N47" s="845"/>
      <c r="O47" s="48">
        <f>IF(t&lt;Tnet,'2021'!Resal+('2021'!Salim-'2021'!Resal)*(1-EXP(('2021'!Tnet-t)/('2021'!Tau_j))),Resal+(Salim-Resal)*(1-EXP((Tnet-t)/(Tau_j))))*Salcycl</f>
        <v>2.6937427754712615E-2</v>
      </c>
      <c r="P47" s="339">
        <f>(INDEX(Models!$BJ47:$BT47,,T47)*(1-R47)+INDEX(Models!$BJ47:$BT47,,T47+1)*R47-ERP_i)*Q47*Ramure*Pc/MaxiM</f>
        <v>1.3652876100632736E-4</v>
      </c>
      <c r="Q47" s="305">
        <f t="shared" si="4"/>
        <v>0.5</v>
      </c>
      <c r="R47" s="177">
        <f t="shared" si="5"/>
        <v>0.99928077795559167</v>
      </c>
      <c r="S47" s="811">
        <f t="shared" si="6"/>
        <v>-1</v>
      </c>
      <c r="T47" s="176">
        <f t="shared" si="7"/>
        <v>5</v>
      </c>
      <c r="U47" s="251">
        <f t="shared" si="20"/>
        <v>-7.1922204440828287E-4</v>
      </c>
      <c r="V47" s="383">
        <f t="shared" si="8"/>
        <v>32.610485757922312</v>
      </c>
      <c r="W47" s="402">
        <f t="shared" si="9"/>
        <v>0</v>
      </c>
      <c r="X47" s="157">
        <f t="shared" si="10"/>
        <v>44594</v>
      </c>
      <c r="Y47" s="385">
        <f t="shared" si="11"/>
        <v>5.330026412786558</v>
      </c>
      <c r="Z47" s="385">
        <f t="shared" si="21"/>
        <v>5.4881786353487145</v>
      </c>
      <c r="AA47" s="386">
        <f t="shared" si="12"/>
        <v>5.8792285926951973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6.6513820849278218E-2</v>
      </c>
      <c r="AD47" s="231">
        <f>(INDEX(Models!$BJ47:$BT47,,AH47)*(1-AF47)+INDEX(Models!$BJ47:$BT47,,AH47+1)*AF47-ERP_i)*AE47*Ramure*Pc/MaxiM</f>
        <v>1.3652876100632736E-4</v>
      </c>
      <c r="AE47" s="305">
        <f t="shared" si="14"/>
        <v>0.5</v>
      </c>
      <c r="AF47" s="177">
        <f t="shared" si="22"/>
        <v>0.99928077795559167</v>
      </c>
      <c r="AG47" s="811">
        <f t="shared" si="23"/>
        <v>-1</v>
      </c>
      <c r="AH47" s="176">
        <f t="shared" si="15"/>
        <v>5</v>
      </c>
      <c r="AI47" s="225">
        <f t="shared" si="24"/>
        <v>-7.1922204440828287E-4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40">
        <v>10.472</v>
      </c>
      <c r="C48" s="841"/>
      <c r="D48" s="393">
        <f t="shared" si="0"/>
        <v>10.782960727528607</v>
      </c>
      <c r="E48" s="385">
        <f t="shared" si="1"/>
        <v>11.08260790663439</v>
      </c>
      <c r="F48" s="385">
        <f t="shared" si="2"/>
        <v>11.082645357362074</v>
      </c>
      <c r="G48" s="110">
        <f t="shared" si="19"/>
        <v>0.31791478711732662</v>
      </c>
      <c r="H48" s="414" t="b">
        <f>Wh_hp&gt;='2021'!Maxi_hp</f>
        <v>0</v>
      </c>
      <c r="I48" s="380">
        <f>IF(H48,Wh_hp,'2021'!Maxi_hp)</f>
        <v>27.40840746637317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2.8838158218895571E-2</v>
      </c>
      <c r="M48" s="845"/>
      <c r="N48" s="845"/>
      <c r="O48" s="48">
        <f>IF(t&lt;Tnet,'2021'!Resal+('2021'!Salim-'2021'!Resal)*(1-EXP(('2021'!Tnet-t)/('2021'!Tau_j))),Resal+(Salim-Resal)*(1-EXP((Tnet-t)/(Tau_j))))*Salcycl</f>
        <v>2.7037605375031293E-2</v>
      </c>
      <c r="P48" s="339">
        <f>(INDEX(Models!$BJ48:$BT48,,T48)*(1-R48)+INDEX(Models!$BJ48:$BT48,,T48+1)*R48-ERP_i)*Q48*Ramure*Pc/MaxiM</f>
        <v>1.3173917580407059E-4</v>
      </c>
      <c r="Q48" s="305">
        <f t="shared" si="4"/>
        <v>0.5</v>
      </c>
      <c r="R48" s="177">
        <f t="shared" si="5"/>
        <v>0.99938876433022472</v>
      </c>
      <c r="S48" s="811">
        <f t="shared" si="6"/>
        <v>-1</v>
      </c>
      <c r="T48" s="176">
        <f t="shared" si="7"/>
        <v>5</v>
      </c>
      <c r="U48" s="251">
        <f t="shared" si="20"/>
        <v>-6.1123566977529936E-4</v>
      </c>
      <c r="V48" s="383">
        <f t="shared" si="8"/>
        <v>32.935416137675404</v>
      </c>
      <c r="W48" s="402">
        <f t="shared" si="9"/>
        <v>0</v>
      </c>
      <c r="X48" s="157">
        <f t="shared" si="10"/>
        <v>44595</v>
      </c>
      <c r="Y48" s="385">
        <f t="shared" si="11"/>
        <v>10.046619653032089</v>
      </c>
      <c r="Z48" s="385">
        <f t="shared" si="21"/>
        <v>10.344948926953981</v>
      </c>
      <c r="AA48" s="386">
        <f t="shared" si="12"/>
        <v>11.08260790663439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6.6560053905617741E-2</v>
      </c>
      <c r="AD48" s="231">
        <f>(INDEX(Models!$BJ48:$BT48,,AH48)*(1-AF48)+INDEX(Models!$BJ48:$BT48,,AH48+1)*AF48-ERP_i)*AE48*Ramure*Pc/MaxiM</f>
        <v>1.3173917580407059E-4</v>
      </c>
      <c r="AE48" s="305">
        <f t="shared" si="14"/>
        <v>0.5</v>
      </c>
      <c r="AF48" s="177">
        <f t="shared" si="22"/>
        <v>0.99938876433022472</v>
      </c>
      <c r="AG48" s="811">
        <f t="shared" si="23"/>
        <v>-1</v>
      </c>
      <c r="AH48" s="176">
        <f t="shared" si="15"/>
        <v>5</v>
      </c>
      <c r="AI48" s="225">
        <f t="shared" si="24"/>
        <v>-6.1123566977529936E-4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40">
        <v>10.369</v>
      </c>
      <c r="C49" s="841"/>
      <c r="D49" s="393">
        <f t="shared" si="0"/>
        <v>10.677136051462435</v>
      </c>
      <c r="E49" s="385">
        <f t="shared" si="1"/>
        <v>10.974971352228152</v>
      </c>
      <c r="F49" s="385">
        <f t="shared" si="2"/>
        <v>10.974994877263029</v>
      </c>
      <c r="G49" s="110">
        <f t="shared" si="19"/>
        <v>0.31173532602903298</v>
      </c>
      <c r="H49" s="414" t="b">
        <f>Wh_hp&gt;='2021'!Maxi_hp</f>
        <v>0</v>
      </c>
      <c r="I49" s="380">
        <f>IF(H49,Wh_hp,'2021'!Maxi_hp)</f>
        <v>27.911356460515268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2.8859429155651761E-2</v>
      </c>
      <c r="M49" s="845"/>
      <c r="N49" s="845"/>
      <c r="O49" s="48">
        <f>IF(t&lt;Tnet,'2021'!Resal+('2021'!Salim-'2021'!Resal)*(1-EXP(('2021'!Tnet-t)/('2021'!Tau_j))),Resal+(Salim-Resal)*(1-EXP((Tnet-t)/(Tau_j))))*Salcycl</f>
        <v>2.7137683662859808E-2</v>
      </c>
      <c r="P49" s="339">
        <f>(INDEX(Models!$BJ49:$BT49,,T49)*(1-R49)+INDEX(Models!$BJ49:$BT49,,T49+1)*R49-ERP_i)*Q49*Ramure*Pc/MaxiM</f>
        <v>1.2743409179121471E-4</v>
      </c>
      <c r="Q49" s="305">
        <f t="shared" si="4"/>
        <v>0.5</v>
      </c>
      <c r="R49" s="177">
        <f t="shared" si="5"/>
        <v>0.99950123116959066</v>
      </c>
      <c r="S49" s="811">
        <f t="shared" si="6"/>
        <v>-1</v>
      </c>
      <c r="T49" s="176">
        <f t="shared" si="7"/>
        <v>5</v>
      </c>
      <c r="U49" s="251">
        <f t="shared" si="20"/>
        <v>-4.987688304093317E-4</v>
      </c>
      <c r="V49" s="383">
        <f t="shared" si="8"/>
        <v>33.258023693565633</v>
      </c>
      <c r="W49" s="402">
        <f t="shared" si="9"/>
        <v>0</v>
      </c>
      <c r="X49" s="157">
        <f t="shared" si="10"/>
        <v>44596</v>
      </c>
      <c r="Y49" s="385">
        <f t="shared" si="11"/>
        <v>9.9483338664199348</v>
      </c>
      <c r="Z49" s="385">
        <f t="shared" si="21"/>
        <v>10.243968962979745</v>
      </c>
      <c r="AA49" s="386">
        <f t="shared" si="12"/>
        <v>10.974971352228152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6.6606314111243611E-2</v>
      </c>
      <c r="AD49" s="231">
        <f>(INDEX(Models!$BJ49:$BT49,,AH49)*(1-AF49)+INDEX(Models!$BJ49:$BT49,,AH49+1)*AF49-ERP_i)*AE49*Ramure*Pc/MaxiM</f>
        <v>1.2743409179121471E-4</v>
      </c>
      <c r="AE49" s="305">
        <f t="shared" si="14"/>
        <v>0.5</v>
      </c>
      <c r="AF49" s="177">
        <f t="shared" si="22"/>
        <v>0.99950123116959066</v>
      </c>
      <c r="AG49" s="811">
        <f t="shared" si="23"/>
        <v>-1</v>
      </c>
      <c r="AH49" s="176">
        <f t="shared" si="15"/>
        <v>5</v>
      </c>
      <c r="AI49" s="225">
        <f t="shared" si="24"/>
        <v>-4.987688304093317E-4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40">
        <v>10.032</v>
      </c>
      <c r="C50" s="841"/>
      <c r="D50" s="393">
        <f t="shared" si="0"/>
        <v>10.330347668038128</v>
      </c>
      <c r="E50" s="385">
        <f t="shared" si="1"/>
        <v>10.619600755085523</v>
      </c>
      <c r="F50" s="385">
        <f t="shared" si="2"/>
        <v>10.619600755085523</v>
      </c>
      <c r="G50" s="110">
        <f t="shared" si="19"/>
        <v>0.29873639193629603</v>
      </c>
      <c r="H50" s="414" t="b">
        <f>Wh_hp&gt;='2021'!Maxi_hp</f>
        <v>0</v>
      </c>
      <c r="I50" s="380">
        <f>IF(H50,Wh_hp,'2021'!Maxi_hp)</f>
        <v>35.533389786711119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2.8880699626519735E-2</v>
      </c>
      <c r="M50" s="845"/>
      <c r="N50" s="845"/>
      <c r="O50" s="48">
        <f>IF(t&lt;Tnet,'2021'!Resal+('2021'!Salim-'2021'!Resal)*(1-EXP(('2021'!Tnet-t)/('2021'!Tau_j))),Resal+(Salim-Resal)*(1-EXP((Tnet-t)/(Tau_j))))*Salcycl</f>
        <v>2.7237661162438479E-2</v>
      </c>
      <c r="P50" s="339">
        <f>(INDEX(Models!$BJ50:$BT50,,T50)*(1-R50)+INDEX(Models!$BJ50:$BT50,,T50+1)*R50-ERP_i)*Q50*Ramure*Pc/MaxiM</f>
        <v>1.2360227361569396E-4</v>
      </c>
      <c r="Q50" s="305">
        <f t="shared" si="4"/>
        <v>0.5</v>
      </c>
      <c r="R50" s="177">
        <f t="shared" si="5"/>
        <v>0.99961836221037148</v>
      </c>
      <c r="S50" s="811">
        <f t="shared" si="6"/>
        <v>-1</v>
      </c>
      <c r="T50" s="176">
        <f t="shared" si="7"/>
        <v>5</v>
      </c>
      <c r="U50" s="251">
        <f t="shared" si="20"/>
        <v>-3.8163778962848217E-4</v>
      </c>
      <c r="V50" s="383">
        <f t="shared" si="8"/>
        <v>33.577295209919022</v>
      </c>
      <c r="W50" s="402">
        <f t="shared" si="9"/>
        <v>0</v>
      </c>
      <c r="X50" s="157">
        <f t="shared" si="10"/>
        <v>44597</v>
      </c>
      <c r="Y50" s="385">
        <f t="shared" si="11"/>
        <v>9.6255177402523522</v>
      </c>
      <c r="Z50" s="385">
        <f t="shared" si="21"/>
        <v>9.9117767884445289</v>
      </c>
      <c r="AA50" s="386">
        <f t="shared" si="12"/>
        <v>10.619600755085523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6.6652596737408573E-2</v>
      </c>
      <c r="AD50" s="231">
        <f>(INDEX(Models!$BJ50:$BT50,,AH50)*(1-AF50)+INDEX(Models!$BJ50:$BT50,,AH50+1)*AF50-ERP_i)*AE50*Ramure*Pc/MaxiM</f>
        <v>1.2360227361569396E-4</v>
      </c>
      <c r="AE50" s="305">
        <f t="shared" si="14"/>
        <v>0.5</v>
      </c>
      <c r="AF50" s="177">
        <f t="shared" si="22"/>
        <v>0.99961836221037148</v>
      </c>
      <c r="AG50" s="811">
        <f t="shared" si="23"/>
        <v>-1</v>
      </c>
      <c r="AH50" s="176">
        <f t="shared" si="15"/>
        <v>5</v>
      </c>
      <c r="AI50" s="225">
        <f t="shared" si="24"/>
        <v>-3.8163778962848217E-4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40">
        <v>22.951000000000001</v>
      </c>
      <c r="C51" s="841"/>
      <c r="D51" s="393">
        <f t="shared" si="0"/>
        <v>23.634071208332159</v>
      </c>
      <c r="E51" s="385">
        <f t="shared" si="1"/>
        <v>24.298327617954879</v>
      </c>
      <c r="F51" s="385">
        <f t="shared" si="2"/>
        <v>24.299901594330979</v>
      </c>
      <c r="G51" s="110">
        <f t="shared" si="19"/>
        <v>0.6770966774682674</v>
      </c>
      <c r="H51" s="414" t="b">
        <f>Wh_hp&gt;='2021'!Maxi_hp</f>
        <v>0</v>
      </c>
      <c r="I51" s="380">
        <f>IF(H51,Wh_hp,'2021'!Maxi_hp)</f>
        <v>37.103452774243969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2.8901969631509927E-2</v>
      </c>
      <c r="M51" s="845"/>
      <c r="N51" s="845"/>
      <c r="O51" s="48">
        <f>IF(t&lt;Tnet,'2021'!Resal+('2021'!Salim-'2021'!Resal)*(1-EXP(('2021'!Tnet-t)/('2021'!Tau_j))),Resal+(Salim-Resal)*(1-EXP((Tnet-t)/(Tau_j))))*Salcycl</f>
        <v>2.733753614927293E-2</v>
      </c>
      <c r="P51" s="339">
        <f>(INDEX(Models!$BJ51:$BT51,,T51)*(1-R51)+INDEX(Models!$BJ51:$BT51,,T51+1)*R51-ERP_i)*Q51*Ramure*Pc/MaxiM</f>
        <v>1.2022527641778221E-4</v>
      </c>
      <c r="Q51" s="305">
        <f t="shared" si="4"/>
        <v>0.5</v>
      </c>
      <c r="R51" s="177">
        <f t="shared" si="5"/>
        <v>0.99974034853996563</v>
      </c>
      <c r="S51" s="811">
        <f t="shared" si="6"/>
        <v>-1</v>
      </c>
      <c r="T51" s="176">
        <f t="shared" si="7"/>
        <v>5</v>
      </c>
      <c r="U51" s="251">
        <f t="shared" si="20"/>
        <v>-2.5965146003433274E-4</v>
      </c>
      <c r="V51" s="383">
        <f t="shared" si="8"/>
        <v>33.894313758986748</v>
      </c>
      <c r="W51" s="402">
        <f t="shared" si="9"/>
        <v>0</v>
      </c>
      <c r="X51" s="157">
        <f t="shared" si="10"/>
        <v>44598</v>
      </c>
      <c r="Y51" s="385">
        <f t="shared" si="11"/>
        <v>22.022227055528433</v>
      </c>
      <c r="Z51" s="385">
        <f t="shared" si="21"/>
        <v>22.677655979975516</v>
      </c>
      <c r="AA51" s="386">
        <f t="shared" si="12"/>
        <v>24.298327617954879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6.6698896461573495E-2</v>
      </c>
      <c r="AD51" s="231">
        <f>(INDEX(Models!$BJ51:$BT51,,AH51)*(1-AF51)+INDEX(Models!$BJ51:$BT51,,AH51+1)*AF51-ERP_i)*AE51*Ramure*Pc/MaxiM</f>
        <v>1.2022527641778221E-4</v>
      </c>
      <c r="AE51" s="305">
        <f t="shared" si="14"/>
        <v>0.5</v>
      </c>
      <c r="AF51" s="177">
        <f t="shared" si="22"/>
        <v>0.99974034853996563</v>
      </c>
      <c r="AG51" s="811">
        <f t="shared" si="23"/>
        <v>-1</v>
      </c>
      <c r="AH51" s="176">
        <f t="shared" si="15"/>
        <v>5</v>
      </c>
      <c r="AI51" s="225">
        <f t="shared" si="24"/>
        <v>-2.5965146003433274E-4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40">
        <v>9.8480000000000008</v>
      </c>
      <c r="C52" s="841"/>
      <c r="D52" s="393">
        <f t="shared" si="0"/>
        <v>10.141319818619817</v>
      </c>
      <c r="E52" s="385">
        <f t="shared" si="1"/>
        <v>10.42742014265281</v>
      </c>
      <c r="F52" s="385">
        <f t="shared" si="2"/>
        <v>10.42742014265281</v>
      </c>
      <c r="G52" s="110">
        <f t="shared" si="19"/>
        <v>0.28782709515133342</v>
      </c>
      <c r="H52" s="414" t="b">
        <f>Wh_hp&gt;='2021'!Maxi_hp</f>
        <v>0</v>
      </c>
      <c r="I52" s="380">
        <f>IF(H52,Wh_hp,'2021'!Maxi_hp)</f>
        <v>25.358898167859724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2.8923239170632442E-2</v>
      </c>
      <c r="M52" s="845"/>
      <c r="N52" s="845"/>
      <c r="O52" s="48">
        <f>IF(t&lt;Tnet,'2021'!Resal+('2021'!Salim-'2021'!Resal)*(1-EXP(('2021'!Tnet-t)/('2021'!Tau_j))),Resal+(Salim-Resal)*(1-EXP((Tnet-t)/(Tau_j))))*Salcycl</f>
        <v>2.7437306651020569E-2</v>
      </c>
      <c r="P52" s="339">
        <f>(INDEX(Models!$BJ52:$BT52,,T52)*(1-R52)+INDEX(Models!$BJ52:$BT52,,T52+1)*R52-ERP_i)*Q52*Ramure*Pc/MaxiM</f>
        <v>1.176445692424985E-4</v>
      </c>
      <c r="Q52" s="305">
        <f t="shared" si="4"/>
        <v>0.5</v>
      </c>
      <c r="R52" s="177">
        <f t="shared" si="5"/>
        <v>0.99986738887486715</v>
      </c>
      <c r="S52" s="811">
        <f t="shared" si="6"/>
        <v>-1</v>
      </c>
      <c r="T52" s="176">
        <f t="shared" si="7"/>
        <v>5</v>
      </c>
      <c r="U52" s="251">
        <f t="shared" si="20"/>
        <v>-1.326111251328658E-4</v>
      </c>
      <c r="V52" s="383">
        <f t="shared" si="8"/>
        <v>34.210960684937731</v>
      </c>
      <c r="W52" s="402">
        <f t="shared" si="9"/>
        <v>0</v>
      </c>
      <c r="X52" s="157">
        <f t="shared" si="10"/>
        <v>44599</v>
      </c>
      <c r="Y52" s="385">
        <f t="shared" si="11"/>
        <v>9.4499750608525357</v>
      </c>
      <c r="Z52" s="385">
        <f t="shared" si="21"/>
        <v>9.7314398223077596</v>
      </c>
      <c r="AA52" s="386">
        <f t="shared" si="12"/>
        <v>10.42742014265281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6.6745207426540804E-2</v>
      </c>
      <c r="AD52" s="231">
        <f>(INDEX(Models!$BJ52:$BT52,,AH52)*(1-AF52)+INDEX(Models!$BJ52:$BT52,,AH52+1)*AF52-ERP_i)*AE52*Ramure*Pc/MaxiM</f>
        <v>1.176445692424985E-4</v>
      </c>
      <c r="AE52" s="305">
        <f t="shared" si="14"/>
        <v>0.5</v>
      </c>
      <c r="AF52" s="177">
        <f t="shared" si="22"/>
        <v>0.99986738887486715</v>
      </c>
      <c r="AG52" s="811">
        <f t="shared" si="23"/>
        <v>-1</v>
      </c>
      <c r="AH52" s="176">
        <f t="shared" si="15"/>
        <v>5</v>
      </c>
      <c r="AI52" s="225">
        <f t="shared" si="24"/>
        <v>-1.326111251328658E-4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40">
        <v>34.517000000000003</v>
      </c>
      <c r="C53" s="841"/>
      <c r="D53" s="393">
        <f t="shared" si="0"/>
        <v>35.545857361434443</v>
      </c>
      <c r="E53" s="385">
        <f t="shared" si="1"/>
        <v>36.552399713036827</v>
      </c>
      <c r="F53" s="385">
        <f t="shared" si="2"/>
        <v>36.556625907813178</v>
      </c>
      <c r="G53" s="110">
        <f t="shared" si="19"/>
        <v>0.99969742892253066</v>
      </c>
      <c r="H53" s="414" t="b">
        <f>Wh_hp&gt;='2021'!Maxi_hp</f>
        <v>1</v>
      </c>
      <c r="I53" s="380">
        <f>IF(H53,Wh_hp,'2021'!Maxi_hp)</f>
        <v>36.556625907813178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2.8944508243897382E-2</v>
      </c>
      <c r="M53" s="845"/>
      <c r="N53" s="845"/>
      <c r="O53" s="48">
        <f>IF(t&lt;Tnet,'2021'!Resal+('2021'!Salim-'2021'!Resal)*(1-EXP(('2021'!Tnet-t)/('2021'!Tau_j))),Resal+(Salim-Resal)*(1-EXP((Tnet-t)/(Tau_j))))*Salcycl</f>
        <v>2.7536970472649729E-2</v>
      </c>
      <c r="P53" s="339">
        <f>(INDEX(Models!$BJ53:$BT53,,T53)*(1-R53)+INDEX(Models!$BJ53:$BT53,,T53+1)*R53-ERP_i)*Q53*Ramure*Pc/MaxiM</f>
        <v>1.1565679020791483E-4</v>
      </c>
      <c r="Q53" s="305">
        <f t="shared" si="4"/>
        <v>0.5</v>
      </c>
      <c r="R53" s="177">
        <f t="shared" si="5"/>
        <v>0.9999996898482334</v>
      </c>
      <c r="S53" s="811">
        <f t="shared" si="6"/>
        <v>-1</v>
      </c>
      <c r="T53" s="176">
        <f t="shared" si="7"/>
        <v>5</v>
      </c>
      <c r="U53" s="251">
        <f t="shared" si="20"/>
        <v>-3.1015176660351834E-7</v>
      </c>
      <c r="V53" s="383">
        <f t="shared" si="8"/>
        <v>34.527445280832566</v>
      </c>
      <c r="W53" s="402">
        <f t="shared" si="9"/>
        <v>0</v>
      </c>
      <c r="X53" s="157">
        <f t="shared" si="10"/>
        <v>44600</v>
      </c>
      <c r="Y53" s="385">
        <f t="shared" si="11"/>
        <v>33.123682867002699</v>
      </c>
      <c r="Z53" s="385">
        <f t="shared" si="21"/>
        <v>34.111009255609346</v>
      </c>
      <c r="AA53" s="386">
        <f t="shared" si="12"/>
        <v>36.552399713036827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6.6791523308843997E-2</v>
      </c>
      <c r="AD53" s="231">
        <f>(INDEX(Models!$BJ53:$BT53,,AH53)*(1-AF53)+INDEX(Models!$BJ53:$BT53,,AH53+1)*AF53-ERP_i)*AE53*Ramure*Pc/MaxiM</f>
        <v>1.1565679020791483E-4</v>
      </c>
      <c r="AE53" s="305">
        <f t="shared" si="14"/>
        <v>0.5</v>
      </c>
      <c r="AF53" s="177">
        <f t="shared" si="22"/>
        <v>0.9999996898482334</v>
      </c>
      <c r="AG53" s="811">
        <f t="shared" si="23"/>
        <v>-1</v>
      </c>
      <c r="AH53" s="176">
        <f t="shared" si="15"/>
        <v>5</v>
      </c>
      <c r="AI53" s="225">
        <f t="shared" si="24"/>
        <v>-3.1015176660351834E-7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40">
        <v>34.743000000000002</v>
      </c>
      <c r="C54" s="841"/>
      <c r="D54" s="393">
        <f t="shared" si="0"/>
        <v>35.77937746348632</v>
      </c>
      <c r="E54" s="385">
        <f t="shared" si="1"/>
        <v>36.796299317790407</v>
      </c>
      <c r="F54" s="385">
        <f t="shared" si="2"/>
        <v>36.800486280884854</v>
      </c>
      <c r="G54" s="110">
        <f t="shared" si="19"/>
        <v>0.99710174089725456</v>
      </c>
      <c r="H54" s="414" t="b">
        <f>Wh_hp&gt;='2021'!Maxi_hp</f>
        <v>1</v>
      </c>
      <c r="I54" s="380">
        <f>IF(H54,Wh_hp,'2021'!Maxi_hp)</f>
        <v>36.800486280884854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2.8965776851315073E-2</v>
      </c>
      <c r="M54" s="845"/>
      <c r="N54" s="845"/>
      <c r="O54" s="48">
        <f>IF(t&lt;Tnet,'2021'!Resal+('2021'!Salim-'2021'!Resal)*(1-EXP(('2021'!Tnet-t)/('2021'!Tau_j))),Resal+(Salim-Resal)*(1-EXP((Tnet-t)/(Tau_j))))*Salcycl</f>
        <v>2.763652522557947E-2</v>
      </c>
      <c r="P54" s="339">
        <f>(INDEX(Models!$BJ54:$BT54,,T54)*(1-R54)+INDEX(Models!$BJ54:$BT54,,T54+1)*R54-ERP_i)*Q54*Ramure*Pc/MaxiM</f>
        <v>1.142476180600553E-4</v>
      </c>
      <c r="Q54" s="305">
        <f t="shared" si="4"/>
        <v>0.5</v>
      </c>
      <c r="R54" s="177">
        <f t="shared" si="5"/>
        <v>1.3746630682452904E-4</v>
      </c>
      <c r="S54" s="811">
        <f t="shared" si="6"/>
        <v>0</v>
      </c>
      <c r="T54" s="176">
        <f t="shared" si="7"/>
        <v>6</v>
      </c>
      <c r="U54" s="251">
        <f t="shared" si="20"/>
        <v>1.3746630682452904E-4</v>
      </c>
      <c r="V54" s="383">
        <f t="shared" si="8"/>
        <v>34.843970420860806</v>
      </c>
      <c r="W54" s="402">
        <f t="shared" si="9"/>
        <v>0</v>
      </c>
      <c r="X54" s="157">
        <f t="shared" si="10"/>
        <v>44601</v>
      </c>
      <c r="Y54" s="385">
        <f t="shared" si="11"/>
        <v>33.342318851383396</v>
      </c>
      <c r="Z54" s="385">
        <f t="shared" si="21"/>
        <v>34.336914247231441</v>
      </c>
      <c r="AA54" s="386">
        <f t="shared" si="12"/>
        <v>36.796299317790407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6.6837837395509289E-2</v>
      </c>
      <c r="AD54" s="231">
        <f>(INDEX(Models!$BJ54:$BT54,,AH54)*(1-AF54)+INDEX(Models!$BJ54:$BT54,,AH54+1)*AF54-ERP_i)*AE54*Ramure*Pc/MaxiM</f>
        <v>1.142476180600553E-4</v>
      </c>
      <c r="AE54" s="305">
        <f t="shared" si="14"/>
        <v>0.5</v>
      </c>
      <c r="AF54" s="177">
        <f t="shared" si="22"/>
        <v>1.3746630682452904E-4</v>
      </c>
      <c r="AG54" s="811">
        <f t="shared" si="23"/>
        <v>0</v>
      </c>
      <c r="AH54" s="176">
        <f t="shared" si="15"/>
        <v>6</v>
      </c>
      <c r="AI54" s="225">
        <f t="shared" si="24"/>
        <v>1.3746630682452904E-4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40">
        <v>32.297000000000004</v>
      </c>
      <c r="C55" s="841"/>
      <c r="D55" s="393">
        <f t="shared" si="0"/>
        <v>33.261142226226738</v>
      </c>
      <c r="E55" s="385">
        <f t="shared" si="1"/>
        <v>34.209989410117771</v>
      </c>
      <c r="F55" s="385">
        <f t="shared" si="2"/>
        <v>34.213417729613788</v>
      </c>
      <c r="G55" s="110">
        <f t="shared" si="19"/>
        <v>0.91854081229686768</v>
      </c>
      <c r="H55" s="414" t="b">
        <f>Wh_hp&gt;='2021'!Maxi_hp</f>
        <v>1</v>
      </c>
      <c r="I55" s="380">
        <f>IF(H55,Wh_hp,'2021'!Maxi_hp)</f>
        <v>34.213417729613788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2.8987044992895616E-2</v>
      </c>
      <c r="M55" s="845"/>
      <c r="N55" s="845"/>
      <c r="O55" s="48">
        <f>IF(t&lt;Tnet,'2021'!Resal+('2021'!Salim-'2021'!Resal)*(1-EXP(('2021'!Tnet-t)/('2021'!Tau_j))),Resal+(Salim-Resal)*(1-EXP((Tnet-t)/(Tau_j))))*Salcycl</f>
        <v>2.7735968360469855E-2</v>
      </c>
      <c r="P55" s="339">
        <f>(INDEX(Models!$BJ55:$BT55,,T55)*(1-R55)+INDEX(Models!$BJ55:$BT55,,T55+1)*R55-ERP_i)*Q55*Ramure*Pc/MaxiM</f>
        <v>1.1339815742507788E-4</v>
      </c>
      <c r="Q55" s="305">
        <f t="shared" si="4"/>
        <v>0.5</v>
      </c>
      <c r="R55" s="177">
        <f t="shared" si="5"/>
        <v>2.8094161748703616E-4</v>
      </c>
      <c r="S55" s="811">
        <f t="shared" si="6"/>
        <v>0</v>
      </c>
      <c r="T55" s="176">
        <f t="shared" si="7"/>
        <v>6</v>
      </c>
      <c r="U55" s="251">
        <f t="shared" si="20"/>
        <v>2.8094161748703616E-4</v>
      </c>
      <c r="V55" s="383">
        <f t="shared" si="8"/>
        <v>35.160739067348572</v>
      </c>
      <c r="W55" s="402">
        <f t="shared" si="9"/>
        <v>0</v>
      </c>
      <c r="X55" s="157">
        <f t="shared" si="10"/>
        <v>44602</v>
      </c>
      <c r="Y55" s="385">
        <f t="shared" si="11"/>
        <v>30.99656252162719</v>
      </c>
      <c r="Z55" s="385">
        <f t="shared" si="21"/>
        <v>31.921883597732641</v>
      </c>
      <c r="AA55" s="386">
        <f t="shared" si="12"/>
        <v>34.209989410117771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6.6884142668235225E-2</v>
      </c>
      <c r="AD55" s="231">
        <f>(INDEX(Models!$BJ55:$BT55,,AH55)*(1-AF55)+INDEX(Models!$BJ55:$BT55,,AH55+1)*AF55-ERP_i)*AE55*Ramure*Pc/MaxiM</f>
        <v>1.1339815742507788E-4</v>
      </c>
      <c r="AE55" s="305">
        <f t="shared" si="14"/>
        <v>0.5</v>
      </c>
      <c r="AF55" s="177">
        <f t="shared" si="22"/>
        <v>2.8094161748703616E-4</v>
      </c>
      <c r="AG55" s="811">
        <f t="shared" si="23"/>
        <v>0</v>
      </c>
      <c r="AH55" s="176">
        <f t="shared" si="15"/>
        <v>6</v>
      </c>
      <c r="AI55" s="225">
        <f t="shared" si="24"/>
        <v>2.8094161748703616E-4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40">
        <v>18.029</v>
      </c>
      <c r="C56" s="841"/>
      <c r="D56" s="393">
        <f t="shared" si="0"/>
        <v>18.567615186851345</v>
      </c>
      <c r="E56" s="385">
        <f t="shared" si="1"/>
        <v>19.099248443639688</v>
      </c>
      <c r="F56" s="385">
        <f t="shared" si="2"/>
        <v>19.099890829555054</v>
      </c>
      <c r="G56" s="110">
        <f t="shared" si="19"/>
        <v>0.50813435779203509</v>
      </c>
      <c r="H56" s="414" t="b">
        <f>Wh_hp&gt;='2021'!Maxi_hp</f>
        <v>0</v>
      </c>
      <c r="I56" s="380">
        <f>IF(H56,Wh_hp,'2021'!Maxi_hp)</f>
        <v>30.625815125737557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2.9008312668649339E-2</v>
      </c>
      <c r="M56" s="845"/>
      <c r="N56" s="845"/>
      <c r="O56" s="48">
        <f>IF(t&lt;Tnet,'2021'!Resal+('2021'!Salim-'2021'!Resal)*(1-EXP(('2021'!Tnet-t)/('2021'!Tau_j))),Resal+(Salim-Resal)*(1-EXP((Tnet-t)/(Tau_j))))*Salcycl</f>
        <v>2.78352972032983E-2</v>
      </c>
      <c r="P56" s="339">
        <f>(INDEX(Models!$BJ56:$BT56,,T56)*(1-R56)+INDEX(Models!$BJ56:$BT56,,T56+1)*R56-ERP_i)*Q56*Ramure*Pc/MaxiM</f>
        <v>1.1309284702065104E-4</v>
      </c>
      <c r="Q56" s="305">
        <f t="shared" si="4"/>
        <v>0.5</v>
      </c>
      <c r="R56" s="177">
        <f t="shared" si="5"/>
        <v>4.3034798334824157E-4</v>
      </c>
      <c r="S56" s="811">
        <f t="shared" si="6"/>
        <v>0</v>
      </c>
      <c r="T56" s="176">
        <f t="shared" si="7"/>
        <v>6</v>
      </c>
      <c r="U56" s="251">
        <f t="shared" si="20"/>
        <v>4.3034798334824157E-4</v>
      </c>
      <c r="V56" s="383">
        <f t="shared" si="8"/>
        <v>35.477953996056485</v>
      </c>
      <c r="W56" s="402">
        <f t="shared" si="9"/>
        <v>0</v>
      </c>
      <c r="X56" s="157">
        <f t="shared" si="10"/>
        <v>44603</v>
      </c>
      <c r="Y56" s="385">
        <f t="shared" si="11"/>
        <v>17.303972459593961</v>
      </c>
      <c r="Z56" s="385">
        <f t="shared" si="21"/>
        <v>17.820927496456502</v>
      </c>
      <c r="AA56" s="386">
        <f t="shared" si="12"/>
        <v>19.099248443639688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6.6930431893977682E-2</v>
      </c>
      <c r="AD56" s="231">
        <f>(INDEX(Models!$BJ56:$BT56,,AH56)*(1-AF56)+INDEX(Models!$BJ56:$BT56,,AH56+1)*AF56-ERP_i)*AE56*Ramure*Pc/MaxiM</f>
        <v>1.1309284702065104E-4</v>
      </c>
      <c r="AE56" s="305">
        <f t="shared" si="14"/>
        <v>0.5</v>
      </c>
      <c r="AF56" s="177">
        <f t="shared" si="22"/>
        <v>4.3034798334824157E-4</v>
      </c>
      <c r="AG56" s="811">
        <f t="shared" si="23"/>
        <v>0</v>
      </c>
      <c r="AH56" s="176">
        <f t="shared" si="15"/>
        <v>6</v>
      </c>
      <c r="AI56" s="225">
        <f t="shared" si="24"/>
        <v>4.3034798334824157E-4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40">
        <v>27.39</v>
      </c>
      <c r="C57" s="841"/>
      <c r="D57" s="393">
        <f t="shared" si="0"/>
        <v>28.208892292079359</v>
      </c>
      <c r="E57" s="385">
        <f t="shared" si="1"/>
        <v>29.019538861414802</v>
      </c>
      <c r="F57" s="385">
        <f t="shared" si="2"/>
        <v>29.021724275467907</v>
      </c>
      <c r="G57" s="110">
        <f t="shared" si="19"/>
        <v>0.76514409600772859</v>
      </c>
      <c r="H57" s="414" t="b">
        <f>Wh_hp&gt;='2021'!Maxi_hp</f>
        <v>0</v>
      </c>
      <c r="I57" s="380">
        <f>IF(H57,Wh_hp,'2021'!Maxi_hp)</f>
        <v>38.463815462769276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2.9029579878586453E-2</v>
      </c>
      <c r="M57" s="845"/>
      <c r="N57" s="845"/>
      <c r="O57" s="48">
        <f>IF(t&lt;Tnet,'2021'!Resal+('2021'!Salim-'2021'!Resal)*(1-EXP(('2021'!Tnet-t)/('2021'!Tau_j))),Resal+(Salim-Resal)*(1-EXP((Tnet-t)/(Tau_j))))*Salcycl</f>
        <v>2.7934508994328023E-2</v>
      </c>
      <c r="P57" s="339">
        <f>(INDEX(Models!$BJ57:$BT57,,T57)*(1-R57)+INDEX(Models!$BJ57:$BT57,,T57+1)*R57-ERP_i)*Q57*Ramure*Pc/MaxiM</f>
        <v>1.1331669189739582E-4</v>
      </c>
      <c r="Q57" s="305">
        <f t="shared" si="4"/>
        <v>0.5</v>
      </c>
      <c r="R57" s="177">
        <f t="shared" si="5"/>
        <v>5.8592676987108318E-4</v>
      </c>
      <c r="S57" s="811">
        <f t="shared" si="6"/>
        <v>0</v>
      </c>
      <c r="T57" s="176">
        <f t="shared" si="7"/>
        <v>6</v>
      </c>
      <c r="U57" s="251">
        <f t="shared" si="20"/>
        <v>5.8592676987108318E-4</v>
      </c>
      <c r="V57" s="383">
        <f t="shared" si="8"/>
        <v>35.795817887273522</v>
      </c>
      <c r="W57" s="402">
        <f t="shared" si="9"/>
        <v>0</v>
      </c>
      <c r="X57" s="157">
        <f t="shared" si="10"/>
        <v>44604</v>
      </c>
      <c r="Y57" s="385">
        <f t="shared" si="11"/>
        <v>26.289903803689228</v>
      </c>
      <c r="Z57" s="385">
        <f t="shared" si="21"/>
        <v>27.075905979094447</v>
      </c>
      <c r="AA57" s="386">
        <f t="shared" si="12"/>
        <v>29.019538861414802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6.6976697720881523E-2</v>
      </c>
      <c r="AD57" s="231">
        <f>(INDEX(Models!$BJ57:$BT57,,AH57)*(1-AF57)+INDEX(Models!$BJ57:$BT57,,AH57+1)*AF57-ERP_i)*AE57*Ramure*Pc/MaxiM</f>
        <v>1.1331669189739582E-4</v>
      </c>
      <c r="AE57" s="305">
        <f t="shared" si="14"/>
        <v>0.5</v>
      </c>
      <c r="AF57" s="177">
        <f t="shared" si="22"/>
        <v>5.8592676987108318E-4</v>
      </c>
      <c r="AG57" s="811">
        <f t="shared" si="23"/>
        <v>0</v>
      </c>
      <c r="AH57" s="176">
        <f t="shared" si="15"/>
        <v>6</v>
      </c>
      <c r="AI57" s="225">
        <f t="shared" si="24"/>
        <v>5.8592676987108318E-4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40">
        <v>32.377000000000002</v>
      </c>
      <c r="C58" s="841"/>
      <c r="D58" s="393">
        <f t="shared" si="0"/>
        <v>33.345721439049676</v>
      </c>
      <c r="E58" s="385">
        <f t="shared" si="1"/>
        <v>34.307483747319033</v>
      </c>
      <c r="F58" s="385">
        <f t="shared" si="2"/>
        <v>34.310825124502784</v>
      </c>
      <c r="G58" s="110">
        <f t="shared" si="19"/>
        <v>0.89649393890537943</v>
      </c>
      <c r="H58" s="414" t="b">
        <f>Wh_hp&gt;='2021'!Maxi_hp</f>
        <v>0</v>
      </c>
      <c r="I58" s="380">
        <f>IF(H58,Wh_hp,'2021'!Maxi_hp)</f>
        <v>39.79279391744533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2.9050846622716953E-2</v>
      </c>
      <c r="M58" s="845"/>
      <c r="N58" s="845"/>
      <c r="O58" s="48">
        <f>IF(t&lt;Tnet,'2021'!Resal+('2021'!Salim-'2021'!Resal)*(1-EXP(('2021'!Tnet-t)/('2021'!Tau_j))),Resal+(Salim-Resal)*(1-EXP((Tnet-t)/(Tau_j))))*Salcycl</f>
        <v>2.803360092954971E-2</v>
      </c>
      <c r="P58" s="339">
        <f>(INDEX(Models!$BJ58:$BT58,,T58)*(1-R58)+INDEX(Models!$BJ58:$BT58,,T58+1)*R58-ERP_i)*Q58*Ramure*Pc/MaxiM</f>
        <v>1.142813378936273E-4</v>
      </c>
      <c r="Q58" s="305">
        <f t="shared" si="4"/>
        <v>0.5</v>
      </c>
      <c r="R58" s="177">
        <f t="shared" si="5"/>
        <v>7.479288409102656E-4</v>
      </c>
      <c r="S58" s="811">
        <f t="shared" si="6"/>
        <v>0</v>
      </c>
      <c r="T58" s="176">
        <f t="shared" si="7"/>
        <v>6</v>
      </c>
      <c r="U58" s="251">
        <f t="shared" si="20"/>
        <v>7.479288409102656E-4</v>
      </c>
      <c r="V58" s="383">
        <f t="shared" si="8"/>
        <v>36.114525157877786</v>
      </c>
      <c r="W58" s="402">
        <f t="shared" si="9"/>
        <v>0</v>
      </c>
      <c r="X58" s="157">
        <f t="shared" si="10"/>
        <v>44605</v>
      </c>
      <c r="Y58" s="385">
        <f t="shared" si="11"/>
        <v>31.078233295225406</v>
      </c>
      <c r="Z58" s="385">
        <f t="shared" si="21"/>
        <v>32.008095570324159</v>
      </c>
      <c r="AA58" s="386">
        <f t="shared" si="12"/>
        <v>34.307483747319033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6.702293277846591E-2</v>
      </c>
      <c r="AD58" s="231">
        <f>(INDEX(Models!$BJ58:$BT58,,AH58)*(1-AF58)+INDEX(Models!$BJ58:$BT58,,AH58+1)*AF58-ERP_i)*AE58*Ramure*Pc/MaxiM</f>
        <v>1.142813378936273E-4</v>
      </c>
      <c r="AE58" s="305">
        <f t="shared" si="14"/>
        <v>0.5</v>
      </c>
      <c r="AF58" s="177">
        <f t="shared" si="22"/>
        <v>7.479288409102656E-4</v>
      </c>
      <c r="AG58" s="811">
        <f t="shared" si="23"/>
        <v>0</v>
      </c>
      <c r="AH58" s="176">
        <f t="shared" si="15"/>
        <v>6</v>
      </c>
      <c r="AI58" s="225">
        <f t="shared" si="24"/>
        <v>7.479288409102656E-4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40">
        <v>15.857000000000001</v>
      </c>
      <c r="C59" s="841"/>
      <c r="D59" s="393">
        <f t="shared" si="0"/>
        <v>16.331799931485531</v>
      </c>
      <c r="E59" s="385">
        <f t="shared" si="1"/>
        <v>16.804555262147534</v>
      </c>
      <c r="F59" s="385">
        <f t="shared" si="2"/>
        <v>16.804931151987184</v>
      </c>
      <c r="G59" s="110">
        <f t="shared" si="19"/>
        <v>0.43518127735557949</v>
      </c>
      <c r="H59" s="414" t="b">
        <f>Wh_hp&gt;='2021'!Maxi_hp</f>
        <v>0</v>
      </c>
      <c r="I59" s="380">
        <f>IF(H59,Wh_hp,'2021'!Maxi_hp)</f>
        <v>40.073233720515397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2.9072112901051272E-2</v>
      </c>
      <c r="M59" s="845"/>
      <c r="N59" s="845"/>
      <c r="O59" s="48">
        <f>IF(t&lt;Tnet,'2021'!Resal+('2021'!Salim-'2021'!Resal)*(1-EXP(('2021'!Tnet-t)/('2021'!Tau_j))),Resal+(Salim-Resal)*(1-EXP((Tnet-t)/(Tau_j))))*Salcycl</f>
        <v>2.8132570204157107E-2</v>
      </c>
      <c r="P59" s="339">
        <f>(INDEX(Models!$BJ59:$BT59,,T59)*(1-R59)+INDEX(Models!$BJ59:$BT59,,T59+1)*R59-ERP_i)*Q59*Ramure*Pc/MaxiM</f>
        <v>1.1579098093713751E-4</v>
      </c>
      <c r="Q59" s="305">
        <f t="shared" si="4"/>
        <v>0.5</v>
      </c>
      <c r="R59" s="177">
        <f t="shared" si="5"/>
        <v>9.166149048919687E-4</v>
      </c>
      <c r="S59" s="811">
        <f t="shared" si="6"/>
        <v>0</v>
      </c>
      <c r="T59" s="176">
        <f t="shared" si="7"/>
        <v>6</v>
      </c>
      <c r="U59" s="251">
        <f t="shared" si="20"/>
        <v>9.166149048919687E-4</v>
      </c>
      <c r="V59" s="383">
        <f t="shared" si="8"/>
        <v>36.43428470154587</v>
      </c>
      <c r="W59" s="402">
        <f t="shared" si="9"/>
        <v>0</v>
      </c>
      <c r="X59" s="157">
        <f t="shared" si="10"/>
        <v>44606</v>
      </c>
      <c r="Y59" s="385">
        <f t="shared" si="11"/>
        <v>15.221710652625886</v>
      </c>
      <c r="Z59" s="385">
        <f t="shared" si="21"/>
        <v>15.677488364359462</v>
      </c>
      <c r="AA59" s="386">
        <f t="shared" si="12"/>
        <v>16.804555262147534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6.7069129780947229E-2</v>
      </c>
      <c r="AD59" s="231">
        <f>(INDEX(Models!$BJ59:$BT59,,AH59)*(1-AF59)+INDEX(Models!$BJ59:$BT59,,AH59+1)*AF59-ERP_i)*AE59*Ramure*Pc/MaxiM</f>
        <v>1.1579098093713751E-4</v>
      </c>
      <c r="AE59" s="305">
        <f t="shared" si="14"/>
        <v>0.5</v>
      </c>
      <c r="AF59" s="177">
        <f t="shared" si="22"/>
        <v>9.166149048919687E-4</v>
      </c>
      <c r="AG59" s="811">
        <f t="shared" si="23"/>
        <v>0</v>
      </c>
      <c r="AH59" s="176">
        <f t="shared" si="15"/>
        <v>6</v>
      </c>
      <c r="AI59" s="225">
        <f t="shared" si="24"/>
        <v>9.166149048919687E-4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40">
        <v>19.936</v>
      </c>
      <c r="C60" s="841"/>
      <c r="D60" s="393">
        <f t="shared" si="0"/>
        <v>20.533385562440433</v>
      </c>
      <c r="E60" s="385">
        <f t="shared" si="1"/>
        <v>21.129912882013624</v>
      </c>
      <c r="F60" s="385">
        <f t="shared" si="2"/>
        <v>21.130775078562582</v>
      </c>
      <c r="G60" s="110">
        <f t="shared" si="19"/>
        <v>0.54235620172803933</v>
      </c>
      <c r="H60" s="414" t="b">
        <f>Wh_hp&gt;='2021'!Maxi_hp</f>
        <v>0</v>
      </c>
      <c r="I60" s="380">
        <f>IF(H60,Wh_hp,'2021'!Maxi_hp)</f>
        <v>40.326165520091415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2.9093378713599405E-2</v>
      </c>
      <c r="M60" s="845"/>
      <c r="N60" s="845"/>
      <c r="O60" s="48">
        <f>IF(t&lt;Tnet,'2021'!Resal+('2021'!Salim-'2021'!Resal)*(1-EXP(('2021'!Tnet-t)/('2021'!Tau_j))),Resal+(Salim-Resal)*(1-EXP((Tnet-t)/(Tau_j))))*Salcycl</f>
        <v>2.8231414057602319E-2</v>
      </c>
      <c r="P60" s="339">
        <f>(INDEX(Models!$BJ60:$BT60,,T60)*(1-R60)+INDEX(Models!$BJ60:$BT60,,T60+1)*R60-ERP_i)*Q60*Ramure*Pc/MaxiM</f>
        <v>1.1783108874033658E-4</v>
      </c>
      <c r="Q60" s="305">
        <f t="shared" si="4"/>
        <v>0.5</v>
      </c>
      <c r="R60" s="177">
        <f t="shared" si="5"/>
        <v>1.0922558712224083E-3</v>
      </c>
      <c r="S60" s="811">
        <f t="shared" si="6"/>
        <v>0</v>
      </c>
      <c r="T60" s="176">
        <f t="shared" si="7"/>
        <v>6</v>
      </c>
      <c r="U60" s="251">
        <f t="shared" si="20"/>
        <v>1.0922558712224083E-3</v>
      </c>
      <c r="V60" s="383">
        <f t="shared" si="8"/>
        <v>36.755298896777234</v>
      </c>
      <c r="W60" s="402">
        <f t="shared" si="9"/>
        <v>0</v>
      </c>
      <c r="X60" s="157">
        <f t="shared" si="10"/>
        <v>44607</v>
      </c>
      <c r="Y60" s="385">
        <f t="shared" si="11"/>
        <v>19.138290756062169</v>
      </c>
      <c r="Z60" s="385">
        <f t="shared" si="21"/>
        <v>19.711772828065516</v>
      </c>
      <c r="AA60" s="386">
        <f t="shared" si="12"/>
        <v>21.129912882013624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6.711528163257445E-2</v>
      </c>
      <c r="AD60" s="231">
        <f>(INDEX(Models!$BJ60:$BT60,,AH60)*(1-AF60)+INDEX(Models!$BJ60:$BT60,,AH60+1)*AF60-ERP_i)*AE60*Ramure*Pc/MaxiM</f>
        <v>1.1783108874033658E-4</v>
      </c>
      <c r="AE60" s="305">
        <f t="shared" si="14"/>
        <v>0.5</v>
      </c>
      <c r="AF60" s="177">
        <f t="shared" si="22"/>
        <v>1.0922558712224083E-3</v>
      </c>
      <c r="AG60" s="811">
        <f t="shared" si="23"/>
        <v>0</v>
      </c>
      <c r="AH60" s="176">
        <f t="shared" si="15"/>
        <v>6</v>
      </c>
      <c r="AI60" s="225">
        <f t="shared" si="24"/>
        <v>1.0922558712224083E-3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40">
        <v>10.443</v>
      </c>
      <c r="C61" s="841"/>
      <c r="D61" s="393">
        <f t="shared" si="0"/>
        <v>10.756161822930377</v>
      </c>
      <c r="E61" s="385">
        <f t="shared" si="1"/>
        <v>11.069769839560049</v>
      </c>
      <c r="F61" s="385">
        <f t="shared" si="2"/>
        <v>11.069769839560049</v>
      </c>
      <c r="G61" s="110">
        <f t="shared" si="19"/>
        <v>0.28161733532278399</v>
      </c>
      <c r="H61" s="414" t="b">
        <f>Wh_hp&gt;='2021'!Maxi_hp</f>
        <v>0</v>
      </c>
      <c r="I61" s="380">
        <f>IF(H61,Wh_hp,'2021'!Maxi_hp)</f>
        <v>40.772992464506032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2.9114644060371786E-2</v>
      </c>
      <c r="M61" s="845"/>
      <c r="N61" s="845"/>
      <c r="O61" s="48">
        <f>IF(t&lt;Tnet,'2021'!Resal+('2021'!Salim-'2021'!Resal)*(1-EXP(('2021'!Tnet-t)/('2021'!Tau_j))),Resal+(Salim-Resal)*(1-EXP((Tnet-t)/(Tau_j))))*Salcycl</f>
        <v>2.8330129819766459E-2</v>
      </c>
      <c r="P61" s="339">
        <f>(INDEX(Models!$BJ61:$BT61,,T61)*(1-R61)+INDEX(Models!$BJ61:$BT61,,T61+1)*R61-ERP_i)*Q61*Ramure*Pc/MaxiM</f>
        <v>1.2038755149559768E-4</v>
      </c>
      <c r="Q61" s="305">
        <f t="shared" si="4"/>
        <v>0.5</v>
      </c>
      <c r="R61" s="177">
        <f t="shared" si="5"/>
        <v>1.2751332170104872E-3</v>
      </c>
      <c r="S61" s="811">
        <f t="shared" si="6"/>
        <v>0</v>
      </c>
      <c r="T61" s="176">
        <f t="shared" si="7"/>
        <v>6</v>
      </c>
      <c r="U61" s="251">
        <f t="shared" si="20"/>
        <v>1.2751332170104872E-3</v>
      </c>
      <c r="V61" s="383">
        <f t="shared" si="8"/>
        <v>37.077770020199999</v>
      </c>
      <c r="W61" s="402">
        <f t="shared" si="9"/>
        <v>0</v>
      </c>
      <c r="X61" s="157">
        <f t="shared" si="10"/>
        <v>44608</v>
      </c>
      <c r="Y61" s="385">
        <f t="shared" si="11"/>
        <v>10.025661998591159</v>
      </c>
      <c r="Z61" s="385">
        <f t="shared" si="21"/>
        <v>10.326308803873417</v>
      </c>
      <c r="AA61" s="386">
        <f t="shared" si="12"/>
        <v>11.069769839560049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6.7161381533853065E-2</v>
      </c>
      <c r="AD61" s="231">
        <f>(INDEX(Models!$BJ61:$BT61,,AH61)*(1-AF61)+INDEX(Models!$BJ61:$BT61,,AH61+1)*AF61-ERP_i)*AE61*Ramure*Pc/MaxiM</f>
        <v>1.2038755149559768E-4</v>
      </c>
      <c r="AE61" s="305">
        <f t="shared" si="14"/>
        <v>0.5</v>
      </c>
      <c r="AF61" s="177">
        <f t="shared" si="22"/>
        <v>1.2751332170104872E-3</v>
      </c>
      <c r="AG61" s="811">
        <f t="shared" si="23"/>
        <v>0</v>
      </c>
      <c r="AH61" s="176">
        <f t="shared" si="15"/>
        <v>6</v>
      </c>
      <c r="AI61" s="225">
        <f t="shared" si="24"/>
        <v>1.2751332170104872E-3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40">
        <v>11.298</v>
      </c>
      <c r="C62" s="841"/>
      <c r="D62" s="393">
        <f t="shared" si="0"/>
        <v>11.637056210082671</v>
      </c>
      <c r="E62" s="385">
        <f t="shared" si="1"/>
        <v>11.97756293258187</v>
      </c>
      <c r="F62" s="385">
        <f t="shared" si="2"/>
        <v>11.977567305436617</v>
      </c>
      <c r="G62" s="110">
        <f t="shared" si="19"/>
        <v>0.30203303441031804</v>
      </c>
      <c r="H62" s="414" t="b">
        <f>Wh_hp&gt;='2021'!Maxi_hp</f>
        <v>0</v>
      </c>
      <c r="I62" s="380">
        <f>IF(H62,Wh_hp,'2021'!Maxi_hp)</f>
        <v>41.216821259374889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2.9135908941378408E-2</v>
      </c>
      <c r="M62" s="845"/>
      <c r="N62" s="845"/>
      <c r="O62" s="48">
        <f>IF(t&lt;Tnet,'2021'!Resal+('2021'!Salim-'2021'!Resal)*(1-EXP(('2021'!Tnet-t)/('2021'!Tau_j))),Resal+(Salim-Resal)*(1-EXP((Tnet-t)/(Tau_j))))*Salcycl</f>
        <v>2.8428714957776487E-2</v>
      </c>
      <c r="P62" s="339">
        <f>(INDEX(Models!$BJ62:$BT62,,T62)*(1-R62)+INDEX(Models!$BJ62:$BT62,,T62+1)*R62-ERP_i)*Q62*Ramure*Pc/MaxiM</f>
        <v>1.2344664579876034E-4</v>
      </c>
      <c r="Q62" s="305">
        <f t="shared" si="4"/>
        <v>0.5</v>
      </c>
      <c r="R62" s="177">
        <f t="shared" si="5"/>
        <v>1.4655393641668218E-3</v>
      </c>
      <c r="S62" s="811">
        <f t="shared" si="6"/>
        <v>0</v>
      </c>
      <c r="T62" s="176">
        <f t="shared" si="7"/>
        <v>6</v>
      </c>
      <c r="U62" s="251">
        <f t="shared" si="20"/>
        <v>1.4655393641668218E-3</v>
      </c>
      <c r="V62" s="383">
        <f t="shared" si="8"/>
        <v>37.401900246100013</v>
      </c>
      <c r="W62" s="402">
        <f t="shared" si="9"/>
        <v>0</v>
      </c>
      <c r="X62" s="157">
        <f t="shared" si="10"/>
        <v>44609</v>
      </c>
      <c r="Y62" s="385">
        <f t="shared" si="11"/>
        <v>10.847058467252756</v>
      </c>
      <c r="Z62" s="385">
        <f t="shared" si="21"/>
        <v>11.172581793014118</v>
      </c>
      <c r="AA62" s="386">
        <f t="shared" si="12"/>
        <v>11.97756293258187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6.7207423087547236E-2</v>
      </c>
      <c r="AD62" s="231">
        <f>(INDEX(Models!$BJ62:$BT62,,AH62)*(1-AF62)+INDEX(Models!$BJ62:$BT62,,AH62+1)*AF62-ERP_i)*AE62*Ramure*Pc/MaxiM</f>
        <v>1.2344664579876034E-4</v>
      </c>
      <c r="AE62" s="305">
        <f t="shared" si="14"/>
        <v>0.5</v>
      </c>
      <c r="AF62" s="177">
        <f t="shared" si="22"/>
        <v>1.4655393641668218E-3</v>
      </c>
      <c r="AG62" s="811">
        <f t="shared" si="23"/>
        <v>0</v>
      </c>
      <c r="AH62" s="176">
        <f t="shared" si="15"/>
        <v>6</v>
      </c>
      <c r="AI62" s="225">
        <f t="shared" si="24"/>
        <v>1.4655393641668218E-3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40">
        <v>28.771000000000001</v>
      </c>
      <c r="C63" s="841"/>
      <c r="D63" s="393">
        <f t="shared" si="0"/>
        <v>29.635075019788705</v>
      </c>
      <c r="E63" s="385">
        <f t="shared" si="1"/>
        <v>30.505304952301053</v>
      </c>
      <c r="F63" s="385">
        <f t="shared" si="2"/>
        <v>30.507865299252845</v>
      </c>
      <c r="G63" s="110">
        <f t="shared" si="19"/>
        <v>0.76255946070413105</v>
      </c>
      <c r="H63" s="414" t="b">
        <f>Wh_hp&gt;='2021'!Maxi_hp</f>
        <v>0</v>
      </c>
      <c r="I63" s="380">
        <f>IF(H63,Wh_hp,'2021'!Maxi_hp)</f>
        <v>40.739227562492772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2.9157173356629595E-2</v>
      </c>
      <c r="M63" s="845"/>
      <c r="N63" s="845"/>
      <c r="O63" s="48">
        <f>IF(t&lt;Tnet,'2021'!Resal+('2021'!Salim-'2021'!Resal)*(1-EXP(('2021'!Tnet-t)/('2021'!Tau_j))),Resal+(Salim-Resal)*(1-EXP((Tnet-t)/(Tau_j))))*Salcycl</f>
        <v>2.8527167122999197E-2</v>
      </c>
      <c r="P63" s="339">
        <f>(INDEX(Models!$BJ63:$BT63,,T63)*(1-R63)+INDEX(Models!$BJ63:$BT63,,T63+1)*R63-ERP_i)*Q63*Ramure*Pc/MaxiM</f>
        <v>1.2699500289223116E-4</v>
      </c>
      <c r="Q63" s="305">
        <f t="shared" si="4"/>
        <v>0.5</v>
      </c>
      <c r="R63" s="177">
        <f t="shared" si="5"/>
        <v>1.6637780669150936E-3</v>
      </c>
      <c r="S63" s="811">
        <f t="shared" si="6"/>
        <v>0</v>
      </c>
      <c r="T63" s="176">
        <f t="shared" si="7"/>
        <v>6</v>
      </c>
      <c r="U63" s="251">
        <f t="shared" si="20"/>
        <v>1.6637780669150936E-3</v>
      </c>
      <c r="V63" s="383">
        <f t="shared" si="8"/>
        <v>37.727891642956045</v>
      </c>
      <c r="W63" s="402">
        <f t="shared" si="9"/>
        <v>0</v>
      </c>
      <c r="X63" s="157">
        <f t="shared" si="10"/>
        <v>44610</v>
      </c>
      <c r="Y63" s="385">
        <f t="shared" si="11"/>
        <v>27.624089432866533</v>
      </c>
      <c r="Z63" s="385">
        <f t="shared" si="21"/>
        <v>28.453719463916862</v>
      </c>
      <c r="AA63" s="386">
        <f t="shared" si="12"/>
        <v>30.505304952301053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6.725340040337606E-2</v>
      </c>
      <c r="AD63" s="231">
        <f>(INDEX(Models!$BJ63:$BT63,,AH63)*(1-AF63)+INDEX(Models!$BJ63:$BT63,,AH63+1)*AF63-ERP_i)*AE63*Ramure*Pc/MaxiM</f>
        <v>1.2699500289223116E-4</v>
      </c>
      <c r="AE63" s="305">
        <f t="shared" si="14"/>
        <v>0.5</v>
      </c>
      <c r="AF63" s="177">
        <f t="shared" si="22"/>
        <v>1.6637780669150936E-3</v>
      </c>
      <c r="AG63" s="811">
        <f t="shared" si="23"/>
        <v>0</v>
      </c>
      <c r="AH63" s="176">
        <f t="shared" si="15"/>
        <v>6</v>
      </c>
      <c r="AI63" s="225">
        <f t="shared" si="24"/>
        <v>1.6637780669150936E-3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40">
        <v>20.85</v>
      </c>
      <c r="C64" s="841"/>
      <c r="D64" s="393">
        <f t="shared" si="0"/>
        <v>21.47665523841972</v>
      </c>
      <c r="E64" s="385">
        <f t="shared" si="1"/>
        <v>22.109551865978588</v>
      </c>
      <c r="F64" s="385">
        <f t="shared" si="2"/>
        <v>22.110577696267658</v>
      </c>
      <c r="G64" s="110">
        <f t="shared" si="19"/>
        <v>0.54783122225038794</v>
      </c>
      <c r="H64" s="414" t="b">
        <f>Wh_hp&gt;='2021'!Maxi_hp</f>
        <v>0</v>
      </c>
      <c r="I64" s="380">
        <f>IF(H64,Wh_hp,'2021'!Maxi_hp)</f>
        <v>38.479174675338513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2.9178437306135563E-2</v>
      </c>
      <c r="M64" s="845"/>
      <c r="N64" s="845"/>
      <c r="O64" s="48">
        <f>IF(t&lt;Tnet,'2021'!Resal+('2021'!Salim-'2021'!Resal)*(1-EXP(('2021'!Tnet-t)/('2021'!Tau_j))),Resal+(Salim-Resal)*(1-EXP((Tnet-t)/(Tau_j))))*Salcycl</f>
        <v>2.862548419774831E-2</v>
      </c>
      <c r="P64" s="339">
        <f>(INDEX(Models!$BJ64:$BT64,,T64)*(1-R64)+INDEX(Models!$BJ64:$BT64,,T64+1)*R64-ERP_i)*Q64*Ramure*Pc/MaxiM</f>
        <v>1.3101958112000407E-4</v>
      </c>
      <c r="Q64" s="305">
        <f t="shared" si="4"/>
        <v>0.5</v>
      </c>
      <c r="R64" s="177">
        <f t="shared" si="5"/>
        <v>1.8701648097240583E-3</v>
      </c>
      <c r="S64" s="811">
        <f t="shared" si="6"/>
        <v>0</v>
      </c>
      <c r="T64" s="176">
        <f t="shared" si="7"/>
        <v>6</v>
      </c>
      <c r="U64" s="251">
        <f t="shared" si="20"/>
        <v>1.8701648097240583E-3</v>
      </c>
      <c r="V64" s="383">
        <f t="shared" si="8"/>
        <v>38.055946171602073</v>
      </c>
      <c r="W64" s="402">
        <f t="shared" si="9"/>
        <v>0</v>
      </c>
      <c r="X64" s="157">
        <f t="shared" si="10"/>
        <v>44611</v>
      </c>
      <c r="Y64" s="385">
        <f t="shared" si="11"/>
        <v>20.01988842373699</v>
      </c>
      <c r="Z64" s="385">
        <f t="shared" si="21"/>
        <v>20.621594320778385</v>
      </c>
      <c r="AA64" s="386">
        <f t="shared" si="12"/>
        <v>22.109551865978588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6.7299308200353916E-2</v>
      </c>
      <c r="AD64" s="231">
        <f>(INDEX(Models!$BJ64:$BT64,,AH64)*(1-AF64)+INDEX(Models!$BJ64:$BT64,,AH64+1)*AF64-ERP_i)*AE64*Ramure*Pc/MaxiM</f>
        <v>1.3101958112000407E-4</v>
      </c>
      <c r="AE64" s="305">
        <f t="shared" si="14"/>
        <v>0.5</v>
      </c>
      <c r="AF64" s="177">
        <f t="shared" si="22"/>
        <v>1.8701648097240583E-3</v>
      </c>
      <c r="AG64" s="811">
        <f t="shared" si="23"/>
        <v>0</v>
      </c>
      <c r="AH64" s="176">
        <f t="shared" si="15"/>
        <v>6</v>
      </c>
      <c r="AI64" s="225">
        <f t="shared" si="24"/>
        <v>1.8701648097240583E-3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40">
        <v>19.887</v>
      </c>
      <c r="C65" s="841"/>
      <c r="D65" s="393">
        <f t="shared" si="0"/>
        <v>20.485160558954668</v>
      </c>
      <c r="E65" s="385">
        <f t="shared" si="1"/>
        <v>21.090970516707809</v>
      </c>
      <c r="F65" s="385">
        <f t="shared" si="2"/>
        <v>21.091860911409988</v>
      </c>
      <c r="G65" s="110">
        <f t="shared" si="19"/>
        <v>0.51802553875008295</v>
      </c>
      <c r="H65" s="414" t="b">
        <f>Wh_hp&gt;='2021'!Maxi_hp</f>
        <v>0</v>
      </c>
      <c r="I65" s="380">
        <f>IF(H65,Wh_hp,'2021'!Maxi_hp)</f>
        <v>40.655100676030095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2.9199700789906413E-2</v>
      </c>
      <c r="M65" s="845"/>
      <c r="N65" s="845"/>
      <c r="O65" s="48">
        <f>IF(t&lt;Tnet,'2021'!Resal+('2021'!Salim-'2021'!Resal)*(1-EXP(('2021'!Tnet-t)/('2021'!Tau_j))),Resal+(Salim-Resal)*(1-EXP((Tnet-t)/(Tau_j))))*Salcycl</f>
        <v>2.8723664341251332E-2</v>
      </c>
      <c r="P65" s="339">
        <f>(INDEX(Models!$BJ65:$BT65,,T65)*(1-R65)+INDEX(Models!$BJ65:$BT65,,T65+1)*R65-ERP_i)*Q65*Ramure*Pc/MaxiM</f>
        <v>1.3550710652942145E-4</v>
      </c>
      <c r="Q65" s="305">
        <f t="shared" si="4"/>
        <v>0.5</v>
      </c>
      <c r="R65" s="177">
        <f t="shared" si="5"/>
        <v>2.0850272156343443E-3</v>
      </c>
      <c r="S65" s="811">
        <f t="shared" si="6"/>
        <v>0</v>
      </c>
      <c r="T65" s="176">
        <f t="shared" si="7"/>
        <v>6</v>
      </c>
      <c r="U65" s="251">
        <f t="shared" si="20"/>
        <v>2.0850272156343443E-3</v>
      </c>
      <c r="V65" s="383">
        <f t="shared" si="8"/>
        <v>38.386417533050071</v>
      </c>
      <c r="W65" s="402">
        <f t="shared" si="9"/>
        <v>0</v>
      </c>
      <c r="X65" s="157">
        <f t="shared" si="10"/>
        <v>44612</v>
      </c>
      <c r="Y65" s="385">
        <f t="shared" si="11"/>
        <v>19.096220593432125</v>
      </c>
      <c r="Z65" s="385">
        <f t="shared" si="21"/>
        <v>19.670596114329648</v>
      </c>
      <c r="AA65" s="386">
        <f t="shared" si="12"/>
        <v>21.090970516707809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6.7345141905772996E-2</v>
      </c>
      <c r="AD65" s="231">
        <f>(INDEX(Models!$BJ65:$BT65,,AH65)*(1-AF65)+INDEX(Models!$BJ65:$BT65,,AH65+1)*AF65-ERP_i)*AE65*Ramure*Pc/MaxiM</f>
        <v>1.3550710652942145E-4</v>
      </c>
      <c r="AE65" s="305">
        <f t="shared" si="14"/>
        <v>0.5</v>
      </c>
      <c r="AF65" s="177">
        <f t="shared" si="22"/>
        <v>2.0850272156343443E-3</v>
      </c>
      <c r="AG65" s="811">
        <f t="shared" si="23"/>
        <v>0</v>
      </c>
      <c r="AH65" s="176">
        <f t="shared" si="15"/>
        <v>6</v>
      </c>
      <c r="AI65" s="225">
        <f t="shared" si="24"/>
        <v>2.0850272156343443E-3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40">
        <v>21.984000000000002</v>
      </c>
      <c r="C66" s="841"/>
      <c r="D66" s="393">
        <f t="shared" si="0"/>
        <v>22.645730058442407</v>
      </c>
      <c r="E66" s="385">
        <f t="shared" si="1"/>
        <v>23.317788504080177</v>
      </c>
      <c r="F66" s="385">
        <f t="shared" si="2"/>
        <v>23.31903554350589</v>
      </c>
      <c r="G66" s="110">
        <f t="shared" si="19"/>
        <v>0.56772915791118461</v>
      </c>
      <c r="H66" s="414" t="b">
        <f>Wh_hp&gt;='2021'!Maxi_hp</f>
        <v>0</v>
      </c>
      <c r="I66" s="380">
        <f>IF(H66,Wh_hp,'2021'!Maxi_hp)</f>
        <v>38.737384022485628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2.922096380795236E-2</v>
      </c>
      <c r="M66" s="845"/>
      <c r="N66" s="845"/>
      <c r="O66" s="48">
        <f>IF(t&lt;Tnet,'2021'!Resal+('2021'!Salim-'2021'!Resal)*(1-EXP(('2021'!Tnet-t)/('2021'!Tau_j))),Resal+(Salim-Resal)*(1-EXP((Tnet-t)/(Tau_j))))*Salcycl</f>
        <v>2.8821706034436824E-2</v>
      </c>
      <c r="P66" s="339">
        <f>(INDEX(Models!$BJ66:$BT66,,T66)*(1-R66)+INDEX(Models!$BJ66:$BT66,,T66+1)*R66-ERP_i)*Q66*Ramure*Pc/MaxiM</f>
        <v>1.3979526783915283E-4</v>
      </c>
      <c r="Q66" s="305">
        <f t="shared" si="4"/>
        <v>0.5</v>
      </c>
      <c r="R66" s="177">
        <f t="shared" si="5"/>
        <v>2.3087054649209657E-3</v>
      </c>
      <c r="S66" s="811">
        <f t="shared" si="6"/>
        <v>0</v>
      </c>
      <c r="T66" s="176">
        <f t="shared" si="7"/>
        <v>6</v>
      </c>
      <c r="U66" s="251">
        <f t="shared" si="20"/>
        <v>2.3087054649209657E-3</v>
      </c>
      <c r="V66" s="383">
        <f t="shared" si="8"/>
        <v>38.719347030779872</v>
      </c>
      <c r="W66" s="402">
        <f t="shared" si="9"/>
        <v>0</v>
      </c>
      <c r="X66" s="157">
        <f t="shared" si="10"/>
        <v>44613</v>
      </c>
      <c r="Y66" s="385">
        <f t="shared" si="11"/>
        <v>21.110931567621744</v>
      </c>
      <c r="Z66" s="385">
        <f t="shared" si="21"/>
        <v>21.746381803248379</v>
      </c>
      <c r="AA66" s="386">
        <f t="shared" si="12"/>
        <v>23.317788504080177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6.7390897749880205E-2</v>
      </c>
      <c r="AD66" s="231">
        <f>(INDEX(Models!$BJ66:$BT66,,AH66)*(1-AF66)+INDEX(Models!$BJ66:$BT66,,AH66+1)*AF66-ERP_i)*AE66*Ramure*Pc/MaxiM</f>
        <v>1.3979526783915283E-4</v>
      </c>
      <c r="AE66" s="305">
        <f t="shared" si="14"/>
        <v>0.5</v>
      </c>
      <c r="AF66" s="177">
        <f t="shared" si="22"/>
        <v>2.3087054649209657E-3</v>
      </c>
      <c r="AG66" s="811">
        <f t="shared" si="23"/>
        <v>0</v>
      </c>
      <c r="AH66" s="176">
        <f t="shared" si="15"/>
        <v>6</v>
      </c>
      <c r="AI66" s="225">
        <f t="shared" si="24"/>
        <v>2.3087054649209657E-3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40">
        <v>33.978000000000002</v>
      </c>
      <c r="C67" s="841"/>
      <c r="D67" s="393">
        <f t="shared" si="0"/>
        <v>35.001522442209648</v>
      </c>
      <c r="E67" s="385">
        <f t="shared" si="1"/>
        <v>36.043897843060819</v>
      </c>
      <c r="F67" s="385">
        <f t="shared" si="2"/>
        <v>36.048112308481478</v>
      </c>
      <c r="G67" s="110">
        <f t="shared" si="19"/>
        <v>0.86999305830977824</v>
      </c>
      <c r="H67" s="414" t="b">
        <f>Wh_hp&gt;='2021'!Maxi_hp</f>
        <v>0</v>
      </c>
      <c r="I67" s="380">
        <f>IF(H67,Wh_hp,'2021'!Maxi_hp)</f>
        <v>40.196901311599696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2.924222636028373E-2</v>
      </c>
      <c r="M67" s="845"/>
      <c r="N67" s="845"/>
      <c r="O67" s="48">
        <f>IF(t&lt;Tnet,'2021'!Resal+('2021'!Salim-'2021'!Resal)*(1-EXP(('2021'!Tnet-t)/('2021'!Tau_j))),Resal+(Salim-Resal)*(1-EXP((Tnet-t)/(Tau_j))))*Salcycl</f>
        <v>2.8919608123122338E-2</v>
      </c>
      <c r="P67" s="339">
        <f>(INDEX(Models!$BJ67:$BT67,,T67)*(1-R67)+INDEX(Models!$BJ67:$BT67,,T67+1)*R67-ERP_i)*Q67*Ramure*Pc/MaxiM</f>
        <v>1.4357233590003897E-4</v>
      </c>
      <c r="Q67" s="305">
        <f t="shared" si="4"/>
        <v>0.5</v>
      </c>
      <c r="R67" s="177">
        <f t="shared" si="5"/>
        <v>2.5415527239902548E-3</v>
      </c>
      <c r="S67" s="811">
        <f t="shared" si="6"/>
        <v>0</v>
      </c>
      <c r="T67" s="176">
        <f t="shared" si="7"/>
        <v>6</v>
      </c>
      <c r="U67" s="251">
        <f t="shared" si="20"/>
        <v>2.5415527239902548E-3</v>
      </c>
      <c r="V67" s="383">
        <f t="shared" si="8"/>
        <v>39.054442690870225</v>
      </c>
      <c r="W67" s="402">
        <f t="shared" si="9"/>
        <v>0</v>
      </c>
      <c r="X67" s="157">
        <f t="shared" si="10"/>
        <v>44614</v>
      </c>
      <c r="Y67" s="385">
        <f t="shared" si="11"/>
        <v>32.630295485914715</v>
      </c>
      <c r="Z67" s="385">
        <f t="shared" si="21"/>
        <v>33.613220900175875</v>
      </c>
      <c r="AA67" s="386">
        <f t="shared" si="12"/>
        <v>36.043897843060819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6.7436572855366139E-2</v>
      </c>
      <c r="AD67" s="231">
        <f>(INDEX(Models!$BJ67:$BT67,,AH67)*(1-AF67)+INDEX(Models!$BJ67:$BT67,,AH67+1)*AF67-ERP_i)*AE67*Ramure*Pc/MaxiM</f>
        <v>1.4357233590003897E-4</v>
      </c>
      <c r="AE67" s="305">
        <f t="shared" si="14"/>
        <v>0.5</v>
      </c>
      <c r="AF67" s="177">
        <f t="shared" si="22"/>
        <v>2.5415527239902548E-3</v>
      </c>
      <c r="AG67" s="811">
        <f t="shared" si="23"/>
        <v>0</v>
      </c>
      <c r="AH67" s="176">
        <f t="shared" si="15"/>
        <v>6</v>
      </c>
      <c r="AI67" s="225">
        <f t="shared" si="24"/>
        <v>2.5415527239902548E-3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40">
        <v>35.155999999999999</v>
      </c>
      <c r="C68" s="841"/>
      <c r="D68" s="393">
        <f t="shared" si="0"/>
        <v>36.21580066433642</v>
      </c>
      <c r="E68" s="385">
        <f t="shared" si="1"/>
        <v>37.298093230653471</v>
      </c>
      <c r="F68" s="385">
        <f t="shared" si="2"/>
        <v>37.302729768017024</v>
      </c>
      <c r="G68" s="110">
        <f t="shared" si="19"/>
        <v>0.89245892832656259</v>
      </c>
      <c r="H68" s="414" t="b">
        <f>Wh_hp&gt;='2021'!Maxi_hp</f>
        <v>0</v>
      </c>
      <c r="I68" s="380">
        <f>IF(H68,Wh_hp,'2021'!Maxi_hp)</f>
        <v>40.899659056750139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2.9263488446910513E-2</v>
      </c>
      <c r="M68" s="845"/>
      <c r="N68" s="845"/>
      <c r="O68" s="48">
        <f>IF(t&lt;Tnet,'2021'!Resal+('2021'!Salim-'2021'!Resal)*(1-EXP(('2021'!Tnet-t)/('2021'!Tau_j))),Resal+(Salim-Resal)*(1-EXP((Tnet-t)/(Tau_j))))*Salcycl</f>
        <v>2.9017369859206749E-2</v>
      </c>
      <c r="P68" s="339">
        <f>(INDEX(Models!$BJ68:$BT68,,T68)*(1-R68)+INDEX(Models!$BJ68:$BT68,,T68+1)*R68-ERP_i)*Q68*Ramure*Pc/MaxiM</f>
        <v>1.4685143090077682E-4</v>
      </c>
      <c r="Q68" s="305">
        <f t="shared" si="4"/>
        <v>0.5</v>
      </c>
      <c r="R68" s="177">
        <f t="shared" si="5"/>
        <v>2.7839355843681203E-3</v>
      </c>
      <c r="S68" s="811">
        <f t="shared" si="6"/>
        <v>0</v>
      </c>
      <c r="T68" s="176">
        <f t="shared" si="7"/>
        <v>6</v>
      </c>
      <c r="U68" s="251">
        <f t="shared" si="20"/>
        <v>2.7839355843681203E-3</v>
      </c>
      <c r="V68" s="383">
        <f t="shared" si="8"/>
        <v>39.391400306046627</v>
      </c>
      <c r="W68" s="402">
        <f t="shared" si="9"/>
        <v>0</v>
      </c>
      <c r="X68" s="157">
        <f t="shared" si="10"/>
        <v>44615</v>
      </c>
      <c r="Y68" s="385">
        <f t="shared" si="11"/>
        <v>33.763319732327595</v>
      </c>
      <c r="Z68" s="385">
        <f t="shared" si="21"/>
        <v>34.781137137109816</v>
      </c>
      <c r="AA68" s="386">
        <f t="shared" si="12"/>
        <v>37.298093230653471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6.748216532085588E-2</v>
      </c>
      <c r="AD68" s="231">
        <f>(INDEX(Models!$BJ68:$BT68,,AH68)*(1-AF68)+INDEX(Models!$BJ68:$BT68,,AH68+1)*AF68-ERP_i)*AE68*Ramure*Pc/MaxiM</f>
        <v>1.4685143090077682E-4</v>
      </c>
      <c r="AE68" s="305">
        <f t="shared" si="14"/>
        <v>0.5</v>
      </c>
      <c r="AF68" s="177">
        <f t="shared" si="22"/>
        <v>2.7839355843681203E-3</v>
      </c>
      <c r="AG68" s="811">
        <f t="shared" si="23"/>
        <v>0</v>
      </c>
      <c r="AH68" s="176">
        <f t="shared" si="15"/>
        <v>6</v>
      </c>
      <c r="AI68" s="225">
        <f t="shared" si="24"/>
        <v>2.7839355843681203E-3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40">
        <v>21.613</v>
      </c>
      <c r="C69" s="841"/>
      <c r="D69" s="393">
        <f t="shared" si="0"/>
        <v>22.265025713267129</v>
      </c>
      <c r="E69" s="385">
        <f t="shared" si="1"/>
        <v>22.932711397833145</v>
      </c>
      <c r="F69" s="385">
        <f t="shared" si="2"/>
        <v>22.933907675881773</v>
      </c>
      <c r="G69" s="110">
        <f t="shared" si="19"/>
        <v>0.5439450988718092</v>
      </c>
      <c r="H69" s="414" t="b">
        <f>Wh_hp&gt;='2021'!Maxi_hp</f>
        <v>0</v>
      </c>
      <c r="I69" s="380">
        <f>IF(H69,Wh_hp,'2021'!Maxi_hp)</f>
        <v>41.03378848015074</v>
      </c>
      <c r="J69" s="85">
        <f>IF(H69,An,'2021'!An_max)</f>
        <v>2019</v>
      </c>
      <c r="K69" s="197">
        <f t="shared" si="3"/>
        <v>44616</v>
      </c>
      <c r="L69" s="147">
        <f>IF(t&lt;Tvie,1-EXP((T0-t)*PertePVj)+'2021'!Pspv,1-EXP((T0-t)*PertePVj)+Pspv)</f>
        <v>2.9284750067843146E-2</v>
      </c>
      <c r="M69" s="845"/>
      <c r="N69" s="845"/>
      <c r="O69" s="48">
        <f>IF(t&lt;Tnet,'2021'!Resal+('2021'!Salim-'2021'!Resal)*(1-EXP(('2021'!Tnet-t)/('2021'!Tau_j))),Resal+(Salim-Resal)*(1-EXP((Tnet-t)/(Tau_j))))*Salcycl</f>
        <v>2.9114990939497262E-2</v>
      </c>
      <c r="P69" s="339">
        <f>(INDEX(Models!$BJ69:$BT69,,T69)*(1-R69)+INDEX(Models!$BJ69:$BT69,,T69+1)*R69-ERP_i)*Q69*Ramure*Pc/MaxiM</f>
        <v>1.4964617160804705E-4</v>
      </c>
      <c r="Q69" s="305">
        <f t="shared" si="4"/>
        <v>0.5</v>
      </c>
      <c r="R69" s="177">
        <f t="shared" si="5"/>
        <v>3.0362345115864066E-3</v>
      </c>
      <c r="S69" s="811">
        <f t="shared" si="6"/>
        <v>0</v>
      </c>
      <c r="T69" s="176">
        <f t="shared" si="7"/>
        <v>6</v>
      </c>
      <c r="U69" s="251">
        <f t="shared" si="20"/>
        <v>3.0362345115864066E-3</v>
      </c>
      <c r="V69" s="383">
        <f t="shared" si="8"/>
        <v>39.729915774766226</v>
      </c>
      <c r="W69" s="402">
        <f t="shared" si="9"/>
        <v>0</v>
      </c>
      <c r="X69" s="157">
        <f t="shared" si="10"/>
        <v>44616</v>
      </c>
      <c r="Y69" s="385">
        <f t="shared" si="11"/>
        <v>20.757890159316034</v>
      </c>
      <c r="Z69" s="385">
        <f t="shared" si="21"/>
        <v>21.384118731797816</v>
      </c>
      <c r="AA69" s="386">
        <f t="shared" si="12"/>
        <v>22.932711397833145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6.752767429766951E-2</v>
      </c>
      <c r="AD69" s="231">
        <f>(INDEX(Models!$BJ69:$BT69,,AH69)*(1-AF69)+INDEX(Models!$BJ69:$BT69,,AH69+1)*AF69-ERP_i)*AE69*Ramure*Pc/MaxiM</f>
        <v>1.4964617160804705E-4</v>
      </c>
      <c r="AE69" s="305">
        <f t="shared" si="14"/>
        <v>0.5</v>
      </c>
      <c r="AF69" s="177">
        <f t="shared" si="22"/>
        <v>3.0362345115864066E-3</v>
      </c>
      <c r="AG69" s="811">
        <f t="shared" si="23"/>
        <v>0</v>
      </c>
      <c r="AH69" s="176">
        <f t="shared" si="15"/>
        <v>6</v>
      </c>
      <c r="AI69" s="225">
        <f t="shared" si="24"/>
        <v>3.0362345115864066E-3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40">
        <v>31.478000000000002</v>
      </c>
      <c r="C70" s="841"/>
      <c r="D70" s="393">
        <f t="shared" si="0"/>
        <v>32.428345455876205</v>
      </c>
      <c r="E70" s="385">
        <f t="shared" si="1"/>
        <v>33.404163635455667</v>
      </c>
      <c r="F70" s="385">
        <f t="shared" si="2"/>
        <v>33.407685463985814</v>
      </c>
      <c r="G70" s="110">
        <f t="shared" si="19"/>
        <v>0.78554484364824451</v>
      </c>
      <c r="H70" s="414" t="b">
        <f>Wh_hp&gt;='2021'!Maxi_hp</f>
        <v>0</v>
      </c>
      <c r="I70" s="380">
        <f>IF(H70,Wh_hp,'2021'!Maxi_hp)</f>
        <v>42.028165575806206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2.9306011223091732E-2</v>
      </c>
      <c r="M70" s="845"/>
      <c r="N70" s="845"/>
      <c r="O70" s="48">
        <f>IF(t&lt;Tnet,'2021'!Resal+('2021'!Salim-'2021'!Resal)*(1-EXP(('2021'!Tnet-t)/('2021'!Tau_j))),Resal+(Salim-Resal)*(1-EXP((Tnet-t)/(Tau_j))))*Salcycl</f>
        <v>2.9212471541832537E-2</v>
      </c>
      <c r="P70" s="339">
        <f>(INDEX(Models!$BJ70:$BT70,,T70)*(1-R70)+INDEX(Models!$BJ70:$BT70,,T70+1)*R70-ERP_i)*Q70*Ramure*Pc/MaxiM</f>
        <v>1.519699783378548E-4</v>
      </c>
      <c r="Q70" s="305">
        <f t="shared" si="4"/>
        <v>0.5</v>
      </c>
      <c r="R70" s="177">
        <f t="shared" si="5"/>
        <v>3.2988443037224591E-3</v>
      </c>
      <c r="S70" s="811">
        <f t="shared" si="6"/>
        <v>0</v>
      </c>
      <c r="T70" s="176">
        <f t="shared" si="7"/>
        <v>6</v>
      </c>
      <c r="U70" s="251">
        <f t="shared" si="20"/>
        <v>3.2988443037224591E-3</v>
      </c>
      <c r="V70" s="383">
        <f t="shared" si="8"/>
        <v>40.069685124526146</v>
      </c>
      <c r="W70" s="402">
        <f t="shared" si="9"/>
        <v>0</v>
      </c>
      <c r="X70" s="157">
        <f t="shared" si="10"/>
        <v>44617</v>
      </c>
      <c r="Y70" s="385">
        <f t="shared" si="11"/>
        <v>30.234148148722383</v>
      </c>
      <c r="Z70" s="385">
        <f t="shared" si="21"/>
        <v>31.146940743722901</v>
      </c>
      <c r="AA70" s="386">
        <f t="shared" si="12"/>
        <v>33.404163635455667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6.7573100059206914E-2</v>
      </c>
      <c r="AD70" s="231">
        <f>(INDEX(Models!$BJ70:$BT70,,AH70)*(1-AF70)+INDEX(Models!$BJ70:$BT70,,AH70+1)*AF70-ERP_i)*AE70*Ramure*Pc/MaxiM</f>
        <v>1.519699783378548E-4</v>
      </c>
      <c r="AE70" s="305">
        <f t="shared" si="14"/>
        <v>0.5</v>
      </c>
      <c r="AF70" s="177">
        <f t="shared" si="22"/>
        <v>3.2988443037224591E-3</v>
      </c>
      <c r="AG70" s="811">
        <f t="shared" si="23"/>
        <v>0</v>
      </c>
      <c r="AH70" s="176">
        <f t="shared" si="15"/>
        <v>6</v>
      </c>
      <c r="AI70" s="225">
        <f t="shared" si="24"/>
        <v>3.2988443037224591E-3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92">
        <f>42.67*0.95</f>
        <v>40.536499999999997</v>
      </c>
      <c r="C71" s="841"/>
      <c r="D71" s="393">
        <f t="shared" si="0"/>
        <v>41.761243338808256</v>
      </c>
      <c r="E71" s="385">
        <f t="shared" si="1"/>
        <v>43.022216429593357</v>
      </c>
      <c r="F71" s="385">
        <f t="shared" si="2"/>
        <v>43.028835815721592</v>
      </c>
      <c r="G71" s="110">
        <f t="shared" si="19"/>
        <v>1.0031203719459276</v>
      </c>
      <c r="H71" s="414" t="b">
        <f>Wh_hp&gt;='2021'!Maxi_hp</f>
        <v>1</v>
      </c>
      <c r="I71" s="380">
        <f>IF(H71,Wh_hp,'2021'!Maxi_hp)</f>
        <v>43.028835815721592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2.9327271912666375E-2</v>
      </c>
      <c r="M71" s="845"/>
      <c r="N71" s="845"/>
      <c r="O71" s="48">
        <f>IF(t&lt;Tnet,'2021'!Resal+('2021'!Salim-'2021'!Resal)*(1-EXP(('2021'!Tnet-t)/('2021'!Tau_j))),Resal+(Salim-Resal)*(1-EXP((Tnet-t)/(Tau_j))))*Salcycl</f>
        <v>2.9309812358196515E-2</v>
      </c>
      <c r="P71" s="339">
        <f>(INDEX(Models!$BJ71:$BT71,,T71)*(1-R71)+INDEX(Models!$BJ71:$BT71,,T71+1)*R71-ERP_i)*Q71*Ramure*Pc/MaxiM</f>
        <v>1.538360497733015E-4</v>
      </c>
      <c r="Q71" s="305">
        <f t="shared" si="4"/>
        <v>0.5</v>
      </c>
      <c r="R71" s="177">
        <f t="shared" si="5"/>
        <v>3.5721745592877593E-3</v>
      </c>
      <c r="S71" s="811">
        <f t="shared" si="6"/>
        <v>0</v>
      </c>
      <c r="T71" s="176">
        <f t="shared" si="7"/>
        <v>6</v>
      </c>
      <c r="U71" s="251">
        <f t="shared" si="20"/>
        <v>3.5721745592877593E-3</v>
      </c>
      <c r="V71" s="383">
        <f t="shared" si="8"/>
        <v>40.410404507451361</v>
      </c>
      <c r="W71" s="402">
        <f t="shared" si="9"/>
        <v>0</v>
      </c>
      <c r="X71" s="157">
        <f t="shared" si="10"/>
        <v>44618</v>
      </c>
      <c r="Y71" s="385">
        <f t="shared" si="11"/>
        <v>38.936712684904101</v>
      </c>
      <c r="Z71" s="385">
        <f t="shared" si="21"/>
        <v>40.113121094508465</v>
      </c>
      <c r="AA71" s="386">
        <f t="shared" si="12"/>
        <v>43.022216429593357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6.7618444062399211E-2</v>
      </c>
      <c r="AD71" s="231">
        <f>(INDEX(Models!$BJ71:$BT71,,AH71)*(1-AF71)+INDEX(Models!$BJ71:$BT71,,AH71+1)*AF71-ERP_i)*AE71*Ramure*Pc/MaxiM</f>
        <v>1.538360497733015E-4</v>
      </c>
      <c r="AE71" s="305">
        <f t="shared" si="14"/>
        <v>0.5</v>
      </c>
      <c r="AF71" s="177">
        <f t="shared" si="22"/>
        <v>3.5721745592877593E-3</v>
      </c>
      <c r="AG71" s="811">
        <f t="shared" si="23"/>
        <v>0</v>
      </c>
      <c r="AH71" s="176">
        <f t="shared" si="15"/>
        <v>6</v>
      </c>
      <c r="AI71" s="225">
        <f t="shared" si="24"/>
        <v>3.5721745592877593E-3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40">
        <v>28.249000000000002</v>
      </c>
      <c r="C72" s="841"/>
      <c r="D72" s="393">
        <f t="shared" si="0"/>
        <v>29.103134271440499</v>
      </c>
      <c r="E72" s="385">
        <f t="shared" si="1"/>
        <v>29.984900684381905</v>
      </c>
      <c r="F72" s="385">
        <f t="shared" si="2"/>
        <v>29.987503899447994</v>
      </c>
      <c r="G72" s="110">
        <f t="shared" si="19"/>
        <v>0.69314942947439684</v>
      </c>
      <c r="H72" s="414" t="b">
        <f>Wh_hp&gt;='2021'!Maxi_hp</f>
        <v>0</v>
      </c>
      <c r="I72" s="380">
        <f>IF(H72,Wh_hp,'2021'!Maxi_hp)</f>
        <v>42.246597609719124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2.9348532136577399E-2</v>
      </c>
      <c r="M72" s="845"/>
      <c r="N72" s="845"/>
      <c r="O72" s="48">
        <f>IF(t&lt;Tnet,'2021'!Resal+('2021'!Salim-'2021'!Resal)*(1-EXP(('2021'!Tnet-t)/('2021'!Tau_j))),Resal+(Salim-Resal)*(1-EXP((Tnet-t)/(Tau_j))))*Salcycl</f>
        <v>2.9407014624553675E-2</v>
      </c>
      <c r="P72" s="339">
        <f>(INDEX(Models!$BJ72:$BT72,,T72)*(1-R72)+INDEX(Models!$BJ72:$BT72,,T72+1)*R72-ERP_i)*Q72*Ramure*Pc/MaxiM</f>
        <v>1.5454617186099544E-4</v>
      </c>
      <c r="Q72" s="305">
        <f t="shared" si="4"/>
        <v>0.5</v>
      </c>
      <c r="R72" s="177">
        <f t="shared" si="5"/>
        <v>3.8566501540978904E-3</v>
      </c>
      <c r="S72" s="811">
        <f t="shared" si="6"/>
        <v>0</v>
      </c>
      <c r="T72" s="176">
        <f t="shared" si="7"/>
        <v>6</v>
      </c>
      <c r="U72" s="251">
        <f t="shared" si="20"/>
        <v>3.8566501540978904E-3</v>
      </c>
      <c r="V72" s="383">
        <f t="shared" si="8"/>
        <v>40.751799184250856</v>
      </c>
      <c r="W72" s="402">
        <f t="shared" si="9"/>
        <v>0</v>
      </c>
      <c r="X72" s="157">
        <f t="shared" si="10"/>
        <v>44619</v>
      </c>
      <c r="Y72" s="385">
        <f t="shared" si="11"/>
        <v>27.13554320017003</v>
      </c>
      <c r="Z72" s="385">
        <f t="shared" si="21"/>
        <v>27.956011090057086</v>
      </c>
      <c r="AA72" s="386">
        <f t="shared" si="12"/>
        <v>29.984900684381905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6.766370900076378E-2</v>
      </c>
      <c r="AD72" s="231">
        <f>(INDEX(Models!$BJ72:$BT72,,AH72)*(1-AF72)+INDEX(Models!$BJ72:$BT72,,AH72+1)*AF72-ERP_i)*AE72*Ramure*Pc/MaxiM</f>
        <v>1.5454617186099544E-4</v>
      </c>
      <c r="AE72" s="305">
        <f t="shared" si="14"/>
        <v>0.5</v>
      </c>
      <c r="AF72" s="177">
        <f t="shared" si="22"/>
        <v>3.8566501540978904E-3</v>
      </c>
      <c r="AG72" s="811">
        <f t="shared" si="23"/>
        <v>0</v>
      </c>
      <c r="AH72" s="176">
        <f t="shared" si="15"/>
        <v>6</v>
      </c>
      <c r="AI72" s="225">
        <f t="shared" si="24"/>
        <v>3.8566501540978904E-3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40">
        <v>34.905999999999999</v>
      </c>
      <c r="C73" s="841"/>
      <c r="D73" s="393">
        <f t="shared" si="0"/>
        <v>35.962202400585113</v>
      </c>
      <c r="E73" s="385">
        <f t="shared" si="1"/>
        <v>37.055490564080635</v>
      </c>
      <c r="F73" s="385">
        <f t="shared" si="2"/>
        <v>37.059968091396428</v>
      </c>
      <c r="G73" s="110">
        <f t="shared" si="19"/>
        <v>0.84939908697107447</v>
      </c>
      <c r="H73" s="414" t="b">
        <f>Wh_hp&gt;='2021'!Maxi_hp</f>
        <v>1</v>
      </c>
      <c r="I73" s="380">
        <f>IF(H73,Wh_hp,'2021'!Maxi_hp)</f>
        <v>37.059968091396428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2.9369791894834907E-2</v>
      </c>
      <c r="M73" s="845"/>
      <c r="N73" s="845"/>
      <c r="O73" s="48">
        <f>IF(t&lt;Tnet,'2021'!Resal+('2021'!Salim-'2021'!Resal)*(1-EXP(('2021'!Tnet-t)/('2021'!Tau_j))),Resal+(Salim-Resal)*(1-EXP((Tnet-t)/(Tau_j))))*Salcycl</f>
        <v>2.9504080147174983E-2</v>
      </c>
      <c r="P73" s="339">
        <f>(INDEX(Models!$BJ73:$BT73,,T73)*(1-R73)+INDEX(Models!$BJ73:$BT73,,T73+1)*R73-ERP_i)*Q73*Ramure*Pc/MaxiM</f>
        <v>1.5392922216629846E-4</v>
      </c>
      <c r="Q73" s="305">
        <f t="shared" si="4"/>
        <v>0.5</v>
      </c>
      <c r="R73" s="177">
        <f t="shared" si="5"/>
        <v>4.1527117266855493E-3</v>
      </c>
      <c r="S73" s="811">
        <f t="shared" si="6"/>
        <v>0</v>
      </c>
      <c r="T73" s="176">
        <f t="shared" si="7"/>
        <v>6</v>
      </c>
      <c r="U73" s="251">
        <f t="shared" si="20"/>
        <v>4.1527117266855493E-3</v>
      </c>
      <c r="V73" s="383">
        <f t="shared" si="8"/>
        <v>41.093573834237958</v>
      </c>
      <c r="W73" s="402">
        <f t="shared" si="9"/>
        <v>0</v>
      </c>
      <c r="X73" s="157">
        <f t="shared" si="10"/>
        <v>44620</v>
      </c>
      <c r="Y73" s="385">
        <f t="shared" si="11"/>
        <v>33.531880465527877</v>
      </c>
      <c r="Z73" s="385">
        <f t="shared" si="21"/>
        <v>34.546504101688527</v>
      </c>
      <c r="AA73" s="386">
        <f t="shared" si="12"/>
        <v>37.055490564080635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6.7708898848695021E-2</v>
      </c>
      <c r="AD73" s="231">
        <f>(INDEX(Models!$BJ73:$BT73,,AH73)*(1-AF73)+INDEX(Models!$BJ73:$BT73,,AH73+1)*AF73-ERP_i)*AE73*Ramure*Pc/MaxiM</f>
        <v>1.5392922216629846E-4</v>
      </c>
      <c r="AE73" s="305">
        <f t="shared" si="14"/>
        <v>0.5</v>
      </c>
      <c r="AF73" s="177">
        <f t="shared" si="22"/>
        <v>4.1527117266855493E-3</v>
      </c>
      <c r="AG73" s="811">
        <f t="shared" si="23"/>
        <v>0</v>
      </c>
      <c r="AH73" s="176">
        <f t="shared" si="15"/>
        <v>6</v>
      </c>
      <c r="AI73" s="225">
        <f t="shared" si="24"/>
        <v>4.1527117266855493E-3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40">
        <v>40.518999999999998</v>
      </c>
      <c r="C74" s="841"/>
      <c r="D74" s="393">
        <f t="shared" si="0"/>
        <v>41.745957575984846</v>
      </c>
      <c r="E74" s="385">
        <f t="shared" si="1"/>
        <v>43.019374569832181</v>
      </c>
      <c r="F74" s="385">
        <f t="shared" si="2"/>
        <v>43.025708603641178</v>
      </c>
      <c r="G74" s="110">
        <f t="shared" si="19"/>
        <v>0.97787835702211334</v>
      </c>
      <c r="H74" s="414" t="b">
        <f>Wh_hp&gt;='2021'!Maxi_hp</f>
        <v>1</v>
      </c>
      <c r="I74" s="380">
        <f>IF(H74,Wh_hp,'2021'!Maxi_hp)</f>
        <v>43.025708603641178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2.9391051187449113E-2</v>
      </c>
      <c r="M74" s="845"/>
      <c r="N74" s="845"/>
      <c r="O74" s="48">
        <f>IF(t&lt;Tnet,'2021'!Resal+('2021'!Salim-'2021'!Resal)*(1-EXP(('2021'!Tnet-t)/('2021'!Tau_j))),Resal+(Salim-Resal)*(1-EXP((Tnet-t)/(Tau_j))))*Salcycl</f>
        <v>2.9601011325263063E-2</v>
      </c>
      <c r="P74" s="339">
        <f>(INDEX(Models!$BJ74:$BT74,,T74)*(1-R74)+INDEX(Models!$BJ74:$BT74,,T74+1)*R74-ERP_i)*Q74*Ramure*Pc/MaxiM</f>
        <v>1.5201820768472193E-4</v>
      </c>
      <c r="Q74" s="305">
        <f t="shared" si="4"/>
        <v>0.5</v>
      </c>
      <c r="R74" s="177">
        <f t="shared" si="5"/>
        <v>4.4608161717443317E-3</v>
      </c>
      <c r="S74" s="811">
        <f t="shared" si="6"/>
        <v>0</v>
      </c>
      <c r="T74" s="176">
        <f t="shared" si="7"/>
        <v>6</v>
      </c>
      <c r="U74" s="251">
        <f t="shared" si="20"/>
        <v>4.4608161717443317E-3</v>
      </c>
      <c r="V74" s="383">
        <f t="shared" si="8"/>
        <v>41.435425033273106</v>
      </c>
      <c r="W74" s="402">
        <f t="shared" si="9"/>
        <v>0</v>
      </c>
      <c r="X74" s="157">
        <f t="shared" si="10"/>
        <v>44621</v>
      </c>
      <c r="Y74" s="385">
        <f t="shared" si="11"/>
        <v>38.925921553062295</v>
      </c>
      <c r="Z74" s="385">
        <f t="shared" si="21"/>
        <v>40.104639052302694</v>
      </c>
      <c r="AA74" s="386">
        <f t="shared" si="12"/>
        <v>43.019374569832181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6.7754018896719975E-2</v>
      </c>
      <c r="AD74" s="231">
        <f>(INDEX(Models!$BJ74:$BT74,,AH74)*(1-AF74)+INDEX(Models!$BJ74:$BT74,,AH74+1)*AF74-ERP_i)*AE74*Ramure*Pc/MaxiM</f>
        <v>1.5201820768472193E-4</v>
      </c>
      <c r="AE74" s="305">
        <f t="shared" si="14"/>
        <v>0.5</v>
      </c>
      <c r="AF74" s="177">
        <f t="shared" si="22"/>
        <v>4.4608161717443317E-3</v>
      </c>
      <c r="AG74" s="811">
        <f t="shared" si="23"/>
        <v>0</v>
      </c>
      <c r="AH74" s="176">
        <f t="shared" si="15"/>
        <v>6</v>
      </c>
      <c r="AI74" s="225">
        <f t="shared" si="24"/>
        <v>4.4608161717443317E-3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40">
        <v>11.157999999999999</v>
      </c>
      <c r="C75" s="841"/>
      <c r="D75" s="393">
        <f t="shared" si="0"/>
        <v>11.496127671025677</v>
      </c>
      <c r="E75" s="385">
        <f t="shared" si="1"/>
        <v>11.847986950214535</v>
      </c>
      <c r="F75" s="385">
        <f t="shared" si="2"/>
        <v>11.847986950214535</v>
      </c>
      <c r="G75" s="110">
        <f t="shared" si="19"/>
        <v>0.26704468906407552</v>
      </c>
      <c r="H75" s="414" t="b">
        <f>Wh_hp&gt;='2021'!Maxi_hp</f>
        <v>0</v>
      </c>
      <c r="I75" s="380">
        <f>IF(H75,Wh_hp,'2021'!Maxi_hp)</f>
        <v>29.154269715170336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2.9412310014430343E-2</v>
      </c>
      <c r="M75" s="845"/>
      <c r="N75" s="845"/>
      <c r="O75" s="48">
        <f>IF(t&lt;Tnet,'2021'!Resal+('2021'!Salim-'2021'!Resal)*(1-EXP(('2021'!Tnet-t)/('2021'!Tau_j))),Resal+(Salim-Resal)*(1-EXP((Tnet-t)/(Tau_j))))*Salcycl</f>
        <v>2.9697811169726737E-2</v>
      </c>
      <c r="P75" s="339">
        <f>(INDEX(Models!$BJ75:$BT75,,T75)*(1-R75)+INDEX(Models!$BJ75:$BT75,,T75+1)*R75-ERP_i)*Q75*Ramure*Pc/MaxiM</f>
        <v>1.4884499181947949E-4</v>
      </c>
      <c r="Q75" s="305">
        <f t="shared" si="4"/>
        <v>0.5</v>
      </c>
      <c r="R75" s="177">
        <f t="shared" si="5"/>
        <v>4.7814371410058844E-3</v>
      </c>
      <c r="S75" s="811">
        <f t="shared" si="6"/>
        <v>0</v>
      </c>
      <c r="T75" s="176">
        <f t="shared" si="7"/>
        <v>6</v>
      </c>
      <c r="U75" s="251">
        <f t="shared" si="20"/>
        <v>4.7814371410058844E-3</v>
      </c>
      <c r="V75" s="383">
        <f t="shared" si="8"/>
        <v>41.777049476930024</v>
      </c>
      <c r="W75" s="402">
        <f t="shared" si="9"/>
        <v>0</v>
      </c>
      <c r="X75" s="157">
        <f t="shared" si="10"/>
        <v>44622</v>
      </c>
      <c r="Y75" s="385">
        <f t="shared" si="11"/>
        <v>10.719854115771335</v>
      </c>
      <c r="Z75" s="385">
        <f t="shared" si="21"/>
        <v>11.044704385165563</v>
      </c>
      <c r="AA75" s="386">
        <f t="shared" si="12"/>
        <v>11.847986950214535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6.7799075777546083E-2</v>
      </c>
      <c r="AD75" s="231">
        <f>(INDEX(Models!$BJ75:$BT75,,AH75)*(1-AF75)+INDEX(Models!$BJ75:$BT75,,AH75+1)*AF75-ERP_i)*AE75*Ramure*Pc/MaxiM</f>
        <v>1.4884499181947949E-4</v>
      </c>
      <c r="AE75" s="305">
        <f t="shared" si="14"/>
        <v>0.5</v>
      </c>
      <c r="AF75" s="177">
        <f t="shared" si="22"/>
        <v>4.7814371410058844E-3</v>
      </c>
      <c r="AG75" s="811">
        <f t="shared" si="23"/>
        <v>0</v>
      </c>
      <c r="AH75" s="176">
        <f t="shared" si="15"/>
        <v>6</v>
      </c>
      <c r="AI75" s="225">
        <f t="shared" si="24"/>
        <v>4.7814371410058844E-3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40">
        <v>35.96</v>
      </c>
      <c r="C76" s="841"/>
      <c r="D76" s="393">
        <f t="shared" si="0"/>
        <v>37.050529287131958</v>
      </c>
      <c r="E76" s="385">
        <f t="shared" si="1"/>
        <v>38.188330874308654</v>
      </c>
      <c r="F76" s="385">
        <f t="shared" si="2"/>
        <v>38.192695174549762</v>
      </c>
      <c r="G76" s="110">
        <f t="shared" si="19"/>
        <v>0.85376304787399593</v>
      </c>
      <c r="H76" s="414" t="b">
        <f>Wh_hp&gt;='2021'!Maxi_hp</f>
        <v>0</v>
      </c>
      <c r="I76" s="380">
        <f>IF(H76,Wh_hp,'2021'!Maxi_hp)</f>
        <v>39.010447727103518</v>
      </c>
      <c r="J76" s="85">
        <f>IF(H76,An,'2021'!An_max)</f>
        <v>2019</v>
      </c>
      <c r="K76" s="197">
        <f t="shared" si="3"/>
        <v>44623</v>
      </c>
      <c r="L76" s="147">
        <f>IF(t&lt;Tvie,1-EXP((T0-t)*PertePVj)+'2021'!Pspv,1-EXP((T0-t)*PertePVj)+Pspv)</f>
        <v>2.9433568375788699E-2</v>
      </c>
      <c r="M76" s="845"/>
      <c r="N76" s="845"/>
      <c r="O76" s="48">
        <f>IF(t&lt;Tnet,'2021'!Resal+('2021'!Salim-'2021'!Resal)*(1-EXP(('2021'!Tnet-t)/('2021'!Tau_j))),Resal+(Salim-Resal)*(1-EXP((Tnet-t)/(Tau_j))))*Salcycl</f>
        <v>2.9794483317995949E-2</v>
      </c>
      <c r="P76" s="339">
        <f>(INDEX(Models!$BJ76:$BT76,,T76)*(1-R76)+INDEX(Models!$BJ76:$BT76,,T76+1)*R76-ERP_i)*Q76*Ramure*Pc/MaxiM</f>
        <v>1.4444023221522192E-4</v>
      </c>
      <c r="Q76" s="305">
        <f t="shared" si="4"/>
        <v>0.5</v>
      </c>
      <c r="R76" s="177">
        <f t="shared" si="5"/>
        <v>5.1150655508637672E-3</v>
      </c>
      <c r="S76" s="811">
        <f t="shared" si="6"/>
        <v>0</v>
      </c>
      <c r="T76" s="176">
        <f t="shared" si="7"/>
        <v>6</v>
      </c>
      <c r="U76" s="251">
        <f t="shared" si="20"/>
        <v>5.1150655508637672E-3</v>
      </c>
      <c r="V76" s="383">
        <f t="shared" si="8"/>
        <v>42.118143978876098</v>
      </c>
      <c r="W76" s="402">
        <f t="shared" si="9"/>
        <v>0</v>
      </c>
      <c r="X76" s="157">
        <f t="shared" si="10"/>
        <v>44623</v>
      </c>
      <c r="Y76" s="385">
        <f t="shared" si="11"/>
        <v>34.54971796939838</v>
      </c>
      <c r="Z76" s="385">
        <f t="shared" si="21"/>
        <v>35.597478795532368</v>
      </c>
      <c r="AA76" s="386">
        <f t="shared" si="12"/>
        <v>38.188330874308654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6.7844077482823201E-2</v>
      </c>
      <c r="AD76" s="231">
        <f>(INDEX(Models!$BJ76:$BT76,,AH76)*(1-AF76)+INDEX(Models!$BJ76:$BT76,,AH76+1)*AF76-ERP_i)*AE76*Ramure*Pc/MaxiM</f>
        <v>1.4444023221522192E-4</v>
      </c>
      <c r="AE76" s="305">
        <f t="shared" si="14"/>
        <v>0.5</v>
      </c>
      <c r="AF76" s="177">
        <f t="shared" si="22"/>
        <v>5.1150655508637672E-3</v>
      </c>
      <c r="AG76" s="811">
        <f t="shared" si="23"/>
        <v>0</v>
      </c>
      <c r="AH76" s="176">
        <f t="shared" si="15"/>
        <v>6</v>
      </c>
      <c r="AI76" s="225">
        <f t="shared" si="24"/>
        <v>5.1150655508637672E-3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40">
        <v>4.1360000000000001</v>
      </c>
      <c r="C77" s="841"/>
      <c r="D77" s="393">
        <f t="shared" si="0"/>
        <v>4.2615224020032576</v>
      </c>
      <c r="E77" s="385">
        <f t="shared" si="1"/>
        <v>4.392828581912565</v>
      </c>
      <c r="F77" s="385">
        <f t="shared" si="2"/>
        <v>4.392828581912565</v>
      </c>
      <c r="G77" s="110">
        <f t="shared" si="19"/>
        <v>9.7399460474505067E-2</v>
      </c>
      <c r="H77" s="414" t="b">
        <f>Wh_hp&gt;='2021'!Maxi_hp</f>
        <v>0</v>
      </c>
      <c r="I77" s="380">
        <f>IF(H77,Wh_hp,'2021'!Maxi_hp)</f>
        <v>30.286197485540761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2.9454826271534285E-2</v>
      </c>
      <c r="M77" s="845"/>
      <c r="N77" s="845"/>
      <c r="O77" s="48">
        <f>IF(t&lt;Tnet,'2021'!Resal+('2021'!Salim-'2021'!Resal)*(1-EXP(('2021'!Tnet-t)/('2021'!Tau_j))),Resal+(Salim-Resal)*(1-EXP((Tnet-t)/(Tau_j))))*Salcycl</f>
        <v>2.9891032044810379E-2</v>
      </c>
      <c r="P77" s="339">
        <f>(INDEX(Models!$BJ77:$BT77,,T77)*(1-R77)+INDEX(Models!$BJ77:$BT77,,T77+1)*R77-ERP_i)*Q77*Ramure*Pc/MaxiM</f>
        <v>1.3883332040817326E-4</v>
      </c>
      <c r="Q77" s="305">
        <f t="shared" si="4"/>
        <v>0.5</v>
      </c>
      <c r="R77" s="177">
        <f t="shared" si="5"/>
        <v>5.4622100959620529E-3</v>
      </c>
      <c r="S77" s="811">
        <f t="shared" si="6"/>
        <v>0</v>
      </c>
      <c r="T77" s="176">
        <f t="shared" si="7"/>
        <v>6</v>
      </c>
      <c r="U77" s="251">
        <f t="shared" si="20"/>
        <v>5.4622100959620529E-3</v>
      </c>
      <c r="V77" s="383">
        <f t="shared" si="8"/>
        <v>42.458405470010447</v>
      </c>
      <c r="W77" s="402">
        <f t="shared" si="9"/>
        <v>0</v>
      </c>
      <c r="X77" s="157">
        <f t="shared" si="10"/>
        <v>44624</v>
      </c>
      <c r="Y77" s="385">
        <f t="shared" si="11"/>
        <v>3.9739978552152868</v>
      </c>
      <c r="Z77" s="385">
        <f t="shared" si="21"/>
        <v>4.0946036957236078</v>
      </c>
      <c r="AA77" s="386">
        <f t="shared" si="12"/>
        <v>4.392828581912565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6.7889033370638521E-2</v>
      </c>
      <c r="AD77" s="231">
        <f>(INDEX(Models!$BJ77:$BT77,,AH77)*(1-AF77)+INDEX(Models!$BJ77:$BT77,,AH77+1)*AF77-ERP_i)*AE77*Ramure*Pc/MaxiM</f>
        <v>1.3883332040817326E-4</v>
      </c>
      <c r="AE77" s="305">
        <f t="shared" si="14"/>
        <v>0.5</v>
      </c>
      <c r="AF77" s="177">
        <f t="shared" si="22"/>
        <v>5.4622100959620529E-3</v>
      </c>
      <c r="AG77" s="811">
        <f t="shared" si="23"/>
        <v>0</v>
      </c>
      <c r="AH77" s="176">
        <f t="shared" si="15"/>
        <v>6</v>
      </c>
      <c r="AI77" s="225">
        <f t="shared" si="24"/>
        <v>5.4622100959620529E-3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40">
        <v>13.692</v>
      </c>
      <c r="C78" s="841"/>
      <c r="D78" s="393">
        <f t="shared" si="0"/>
        <v>14.107843990308544</v>
      </c>
      <c r="E78" s="385">
        <f t="shared" si="1"/>
        <v>14.543981074005698</v>
      </c>
      <c r="F78" s="385">
        <f t="shared" si="2"/>
        <v>14.544035741757639</v>
      </c>
      <c r="G78" s="110">
        <f t="shared" si="19"/>
        <v>0.31988395309428874</v>
      </c>
      <c r="H78" s="414" t="b">
        <f>Wh_hp&gt;='2021'!Maxi_hp</f>
        <v>0</v>
      </c>
      <c r="I78" s="380">
        <f>IF(H78,Wh_hp,'2021'!Maxi_hp)</f>
        <v>44.531611979407565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2.9476083701677536E-2</v>
      </c>
      <c r="M78" s="845"/>
      <c r="N78" s="845"/>
      <c r="O78" s="48">
        <f>IF(t&lt;Tnet,'2021'!Resal+('2021'!Salim-'2021'!Resal)*(1-EXP(('2021'!Tnet-t)/('2021'!Tau_j))),Resal+(Salim-Resal)*(1-EXP((Tnet-t)/(Tau_j))))*Salcycl</f>
        <v>2.9987462268955829E-2</v>
      </c>
      <c r="P78" s="339">
        <f>(INDEX(Models!$BJ78:$BT78,,T78)*(1-R78)+INDEX(Models!$BJ78:$BT78,,T78+1)*R78-ERP_i)*Q78*Ramure*Pc/MaxiM</f>
        <v>1.3205232286215066E-4</v>
      </c>
      <c r="Q78" s="305">
        <f t="shared" si="4"/>
        <v>0.5</v>
      </c>
      <c r="R78" s="177">
        <f t="shared" si="5"/>
        <v>5.8233977678576951E-3</v>
      </c>
      <c r="S78" s="811">
        <f t="shared" si="6"/>
        <v>0</v>
      </c>
      <c r="T78" s="176">
        <f t="shared" si="7"/>
        <v>6</v>
      </c>
      <c r="U78" s="251">
        <f t="shared" si="20"/>
        <v>5.8233977678576951E-3</v>
      </c>
      <c r="V78" s="383">
        <f t="shared" si="8"/>
        <v>42.797530997433384</v>
      </c>
      <c r="W78" s="402">
        <f t="shared" si="9"/>
        <v>0</v>
      </c>
      <c r="X78" s="157">
        <f t="shared" si="10"/>
        <v>44625</v>
      </c>
      <c r="Y78" s="385">
        <f t="shared" si="11"/>
        <v>13.156374586085009</v>
      </c>
      <c r="Z78" s="385">
        <f t="shared" si="21"/>
        <v>13.55595093036426</v>
      </c>
      <c r="AA78" s="386">
        <f t="shared" si="12"/>
        <v>14.543981074005698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6.7933954163852311E-2</v>
      </c>
      <c r="AD78" s="231">
        <f>(INDEX(Models!$BJ78:$BT78,,AH78)*(1-AF78)+INDEX(Models!$BJ78:$BT78,,AH78+1)*AF78-ERP_i)*AE78*Ramure*Pc/MaxiM</f>
        <v>1.3205232286215066E-4</v>
      </c>
      <c r="AE78" s="305">
        <f t="shared" si="14"/>
        <v>0.5</v>
      </c>
      <c r="AF78" s="177">
        <f t="shared" si="22"/>
        <v>5.8233977678576951E-3</v>
      </c>
      <c r="AG78" s="811">
        <f t="shared" si="23"/>
        <v>0</v>
      </c>
      <c r="AH78" s="176">
        <f t="shared" si="15"/>
        <v>6</v>
      </c>
      <c r="AI78" s="225">
        <f t="shared" si="24"/>
        <v>5.8233977678576951E-3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40">
        <v>16.359000000000002</v>
      </c>
      <c r="C79" s="841"/>
      <c r="D79" s="393">
        <f t="shared" ref="D79:D142" si="25">Wh/(1-Ppv)</f>
        <v>16.8562134710997</v>
      </c>
      <c r="E79" s="385">
        <f t="shared" si="1"/>
        <v>17.37904070042541</v>
      </c>
      <c r="F79" s="385">
        <f t="shared" ref="F79:F142" si="26">Wh_sa/(1-Pvg*MEDIAN((-Sdif+Wh/Env_an)/Csdif,0,1))</f>
        <v>17.379284883179011</v>
      </c>
      <c r="G79" s="110">
        <f t="shared" si="19"/>
        <v>0.37919701638011044</v>
      </c>
      <c r="H79" s="414" t="b">
        <f>Wh_hp&gt;='2021'!Maxi_hp</f>
        <v>0</v>
      </c>
      <c r="I79" s="380">
        <f>IF(H79,Wh_hp,'2021'!Maxi_hp)</f>
        <v>23.382336400970807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2.9497340666228444E-2</v>
      </c>
      <c r="M79" s="845"/>
      <c r="N79" s="845"/>
      <c r="O79" s="48">
        <f>IF(t&lt;Tnet,'2021'!Resal+('2021'!Salim-'2021'!Resal)*(1-EXP(('2021'!Tnet-t)/('2021'!Tau_j))),Resal+(Salim-Resal)*(1-EXP((Tnet-t)/(Tau_j))))*Salcycl</f>
        <v>3.0083779555963253E-2</v>
      </c>
      <c r="P79" s="339">
        <f>(INDEX(Models!$BJ79:$BT79,,T79)*(1-R79)+INDEX(Models!$BJ79:$BT79,,T79+1)*R79-ERP_i)*Q79*Ramure*Pc/MaxiM</f>
        <v>1.241204823380808E-4</v>
      </c>
      <c r="Q79" s="305">
        <f t="shared" ref="Q79:Q142" si="28">IF(OR(t&lt;Ttai,Notai),Dd+PousD*Croivg,Dens+PousD*(Croivg-Croi_tai))</f>
        <v>0.5</v>
      </c>
      <c r="R79" s="177">
        <f t="shared" ref="R79:R142" si="29">(Hp_vg-S79)/(INDEX(Echel_vg,T79+1)-S79)</f>
        <v>6.1991743777558197E-3</v>
      </c>
      <c r="S79" s="81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6.1991743777558197E-3</v>
      </c>
      <c r="V79" s="383">
        <f t="shared" ref="V79:V142" si="33">MaxiM*(1-Ppv)*(1-Pvg)*(1-Psa)</f>
        <v>43.136413602107417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15.719846353473708</v>
      </c>
      <c r="Z79" s="385">
        <f t="shared" ref="Z79:Z142" si="37">Wh_sa_s*(1-Psa_s)</f>
        <v>16.197633465801147</v>
      </c>
      <c r="AA79" s="386">
        <f t="shared" ref="AA79:AA142" si="38">Wh_hp*(1-Pvg_s*MEDIAN((-Sdif+Wh/Env_an)/Csdif,0,1))</f>
        <v>17.37904070042541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6.7978851939471174E-2</v>
      </c>
      <c r="AD79" s="231">
        <f>(INDEX(Models!$BJ79:$BT79,,AH79)*(1-AF79)+INDEX(Models!$BJ79:$BT79,,AH79+1)*AF79-ERP_i)*AE79*Ramure*Pc/MaxiM</f>
        <v>1.241204823380808E-4</v>
      </c>
      <c r="AE79" s="305">
        <f t="shared" ref="AE79:AE142" si="40">IF(OR(t&lt;Ttai,Notai),Dd_s+PousD*Croivg,Dens_s+PousD*(Croivg-Croi_tai))</f>
        <v>0.5</v>
      </c>
      <c r="AF79" s="177">
        <f t="shared" ref="AF79:AF142" si="41">(Hp_vg_s-AG79)/(INDEX(Echel_vg,AH79+1)-AG79)</f>
        <v>6.1991743777558197E-3</v>
      </c>
      <c r="AG79" s="811">
        <f t="shared" si="23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6.1991743777558197E-3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40">
        <v>38.209000000000003</v>
      </c>
      <c r="C80" s="841"/>
      <c r="D80" s="393">
        <f t="shared" si="25"/>
        <v>39.3711820632425</v>
      </c>
      <c r="E80" s="385">
        <f t="shared" ref="E80:E143" si="47">Wh_pvt/(1-Psa)</f>
        <v>40.59638042319331</v>
      </c>
      <c r="F80" s="385">
        <f t="shared" si="26"/>
        <v>40.600254337370259</v>
      </c>
      <c r="G80" s="110">
        <f t="shared" ref="G80:G143" si="48">+Wh_hp/MaxiM</f>
        <v>0.87883516666850925</v>
      </c>
      <c r="H80" s="414" t="b">
        <f>Wh_hp&gt;='2021'!Maxi_hp</f>
        <v>0</v>
      </c>
      <c r="I80" s="380">
        <f>IF(H80,Wh_hp,'2021'!Maxi_hp)</f>
        <v>42.685529835046331</v>
      </c>
      <c r="J80" s="85">
        <f>IF(H80,An,'2021'!An_max)</f>
        <v>2019</v>
      </c>
      <c r="K80" s="197">
        <f t="shared" si="27"/>
        <v>44627</v>
      </c>
      <c r="L80" s="147">
        <f>IF(t&lt;Tvie,1-EXP((T0-t)*PertePVj)+'2021'!Pspv,1-EXP((T0-t)*PertePVj)+Pspv)</f>
        <v>2.9518597165197225E-2</v>
      </c>
      <c r="M80" s="845"/>
      <c r="N80" s="845"/>
      <c r="O80" s="48">
        <f>IF(t&lt;Tnet,'2021'!Resal+('2021'!Salim-'2021'!Resal)*(1-EXP(('2021'!Tnet-t)/('2021'!Tau_j))),Resal+(Salim-Resal)*(1-EXP((Tnet-t)/(Tau_j))))*Salcycl</f>
        <v>3.0179990116824141E-2</v>
      </c>
      <c r="P80" s="339">
        <f>(INDEX(Models!$BJ80:$BT80,,T80)*(1-R80)+INDEX(Models!$BJ80:$BT80,,T80+1)*R80-ERP_i)*Q80*Ramure*Pc/MaxiM</f>
        <v>1.1538549130975972E-4</v>
      </c>
      <c r="Q80" s="305">
        <f t="shared" si="28"/>
        <v>0.5</v>
      </c>
      <c r="R80" s="177">
        <f t="shared" si="29"/>
        <v>6.590105082191388E-3</v>
      </c>
      <c r="S80" s="811">
        <f t="shared" si="30"/>
        <v>0</v>
      </c>
      <c r="T80" s="176">
        <f t="shared" si="31"/>
        <v>6</v>
      </c>
      <c r="U80" s="251">
        <f t="shared" si="32"/>
        <v>6.590105082191388E-3</v>
      </c>
      <c r="V80" s="383">
        <f t="shared" si="33"/>
        <v>43.475999097790584</v>
      </c>
      <c r="W80" s="402">
        <f t="shared" si="34"/>
        <v>0</v>
      </c>
      <c r="X80" s="157">
        <f t="shared" si="35"/>
        <v>44627</v>
      </c>
      <c r="Y80" s="385">
        <f t="shared" si="36"/>
        <v>36.718030718351429</v>
      </c>
      <c r="Z80" s="385">
        <f t="shared" si="37"/>
        <v>37.834862791906218</v>
      </c>
      <c r="AA80" s="386">
        <f t="shared" si="38"/>
        <v>40.59638042319331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6.8023740109337261E-2</v>
      </c>
      <c r="AD80" s="231">
        <f>(INDEX(Models!$BJ80:$BT80,,AH80)*(1-AF80)+INDEX(Models!$BJ80:$BT80,,AH80+1)*AF80-ERP_i)*AE80*Ramure*Pc/MaxiM</f>
        <v>1.1538549130975972E-4</v>
      </c>
      <c r="AE80" s="305">
        <f t="shared" si="40"/>
        <v>0.5</v>
      </c>
      <c r="AF80" s="177">
        <f t="shared" si="41"/>
        <v>6.590105082191388E-3</v>
      </c>
      <c r="AG80" s="811">
        <f t="shared" ref="AG80:AG143" si="49">INDEX(Echel_vg,AH80)</f>
        <v>0</v>
      </c>
      <c r="AH80" s="176">
        <f t="shared" si="42"/>
        <v>6</v>
      </c>
      <c r="AI80" s="225">
        <f t="shared" si="43"/>
        <v>6.590105082191388E-3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40">
        <v>33.020000000000003</v>
      </c>
      <c r="C81" s="841"/>
      <c r="D81" s="393">
        <f t="shared" si="25"/>
        <v>34.025096351284986</v>
      </c>
      <c r="E81" s="385">
        <f t="shared" si="47"/>
        <v>35.08740619825253</v>
      </c>
      <c r="F81" s="385">
        <f t="shared" si="26"/>
        <v>35.089826516602166</v>
      </c>
      <c r="G81" s="110">
        <f t="shared" si="48"/>
        <v>0.75357672368723527</v>
      </c>
      <c r="H81" s="414" t="b">
        <f>Wh_hp&gt;='2021'!Maxi_hp</f>
        <v>1</v>
      </c>
      <c r="I81" s="380">
        <f>IF(H81,Wh_hp,'2021'!Maxi_hp)</f>
        <v>35.089826516602166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2.9539853198594201E-2</v>
      </c>
      <c r="M81" s="845"/>
      <c r="N81" s="845"/>
      <c r="O81" s="48">
        <f>IF(t&lt;Tnet,'2021'!Resal+('2021'!Salim-'2021'!Resal)*(1-EXP(('2021'!Tnet-t)/('2021'!Tau_j))),Resal+(Salim-Resal)*(1-EXP((Tnet-t)/(Tau_j))))*Salcycl</f>
        <v>3.0276100802813229E-2</v>
      </c>
      <c r="P81" s="339">
        <f>(INDEX(Models!$BJ81:$BT81,,T81)*(1-R81)+INDEX(Models!$BJ81:$BT81,,T81+1)*R81-ERP_i)*Q81*Ramure*Pc/MaxiM</f>
        <v>1.0644163009244516E-4</v>
      </c>
      <c r="Q81" s="305">
        <f t="shared" si="28"/>
        <v>0.5</v>
      </c>
      <c r="R81" s="177">
        <f t="shared" si="29"/>
        <v>6.9967749104014685E-3</v>
      </c>
      <c r="S81" s="811">
        <f t="shared" si="30"/>
        <v>0</v>
      </c>
      <c r="T81" s="176">
        <f t="shared" si="31"/>
        <v>6</v>
      </c>
      <c r="U81" s="251">
        <f t="shared" si="32"/>
        <v>6.9967749104014685E-3</v>
      </c>
      <c r="V81" s="383">
        <f t="shared" si="33"/>
        <v>43.816059767192954</v>
      </c>
      <c r="W81" s="402">
        <f t="shared" si="34"/>
        <v>0</v>
      </c>
      <c r="X81" s="157">
        <f t="shared" si="35"/>
        <v>44628</v>
      </c>
      <c r="Y81" s="385">
        <f t="shared" si="36"/>
        <v>31.733129142074162</v>
      </c>
      <c r="Z81" s="385">
        <f t="shared" si="37"/>
        <v>32.699054409050355</v>
      </c>
      <c r="AA81" s="386">
        <f t="shared" si="38"/>
        <v>35.08740619825253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6.8068633392488406E-2</v>
      </c>
      <c r="AD81" s="231">
        <f>(INDEX(Models!$BJ81:$BT81,,AH81)*(1-AF81)+INDEX(Models!$BJ81:$BT81,,AH81+1)*AF81-ERP_i)*AE81*Ramure*Pc/MaxiM</f>
        <v>1.0644163009244516E-4</v>
      </c>
      <c r="AE81" s="305">
        <f t="shared" si="40"/>
        <v>0.5</v>
      </c>
      <c r="AF81" s="177">
        <f t="shared" si="41"/>
        <v>6.9967749104014685E-3</v>
      </c>
      <c r="AG81" s="811">
        <f t="shared" si="49"/>
        <v>0</v>
      </c>
      <c r="AH81" s="176">
        <f t="shared" si="42"/>
        <v>6</v>
      </c>
      <c r="AI81" s="225">
        <f t="shared" si="43"/>
        <v>6.9967749104014685E-3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40">
        <v>29.463000000000001</v>
      </c>
      <c r="C82" s="841"/>
      <c r="D82" s="393">
        <f t="shared" si="25"/>
        <v>30.360489739388118</v>
      </c>
      <c r="E82" s="385">
        <f t="shared" si="47"/>
        <v>31.311485918803815</v>
      </c>
      <c r="F82" s="385">
        <f t="shared" si="26"/>
        <v>31.313084232357973</v>
      </c>
      <c r="G82" s="110">
        <f t="shared" si="48"/>
        <v>0.66721113591702008</v>
      </c>
      <c r="H82" s="414" t="b">
        <f>Wh_hp&gt;='2021'!Maxi_hp</f>
        <v>0</v>
      </c>
      <c r="I82" s="380">
        <f>IF(H82,Wh_hp,'2021'!Maxi_hp)</f>
        <v>44.010087492548095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2.9561108766429478E-2</v>
      </c>
      <c r="M82" s="845"/>
      <c r="N82" s="845"/>
      <c r="O82" s="48">
        <f>IF(t&lt;Tnet,'2021'!Resal+('2021'!Salim-'2021'!Resal)*(1-EXP(('2021'!Tnet-t)/('2021'!Tau_j))),Resal+(Salim-Resal)*(1-EXP((Tnet-t)/(Tau_j))))*Salcycl</f>
        <v>3.037211909654481E-2</v>
      </c>
      <c r="P82" s="339">
        <f>(INDEX(Models!$BJ82:$BT82,,T82)*(1-R82)+INDEX(Models!$BJ82:$BT82,,T82+1)*R82-ERP_i)*Q82*Ramure*Pc/MaxiM</f>
        <v>9.7293053839900032E-5</v>
      </c>
      <c r="Q82" s="305">
        <f t="shared" si="28"/>
        <v>0.5</v>
      </c>
      <c r="R82" s="177">
        <f t="shared" si="29"/>
        <v>7.4197892919883931E-3</v>
      </c>
      <c r="S82" s="811">
        <f t="shared" si="30"/>
        <v>0</v>
      </c>
      <c r="T82" s="176">
        <f t="shared" si="31"/>
        <v>6</v>
      </c>
      <c r="U82" s="251">
        <f t="shared" si="32"/>
        <v>7.4197892919883931E-3</v>
      </c>
      <c r="V82" s="383">
        <f t="shared" si="33"/>
        <v>44.156393199914291</v>
      </c>
      <c r="W82" s="402">
        <f t="shared" si="34"/>
        <v>0</v>
      </c>
      <c r="X82" s="157">
        <f t="shared" si="35"/>
        <v>44629</v>
      </c>
      <c r="Y82" s="385">
        <f t="shared" si="36"/>
        <v>28.31619333819776</v>
      </c>
      <c r="Z82" s="385">
        <f t="shared" si="37"/>
        <v>29.178749526622656</v>
      </c>
      <c r="AA82" s="386">
        <f t="shared" si="38"/>
        <v>31.311485918803815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6.8113547779614106E-2</v>
      </c>
      <c r="AD82" s="231">
        <f>(INDEX(Models!$BJ82:$BT82,,AH82)*(1-AF82)+INDEX(Models!$BJ82:$BT82,,AH82+1)*AF82-ERP_i)*AE82*Ramure*Pc/MaxiM</f>
        <v>9.7293053839900032E-5</v>
      </c>
      <c r="AE82" s="305">
        <f t="shared" si="40"/>
        <v>0.5</v>
      </c>
      <c r="AF82" s="177">
        <f t="shared" si="41"/>
        <v>7.4197892919883931E-3</v>
      </c>
      <c r="AG82" s="811">
        <f t="shared" si="49"/>
        <v>0</v>
      </c>
      <c r="AH82" s="176">
        <f t="shared" si="42"/>
        <v>6</v>
      </c>
      <c r="AI82" s="225">
        <f t="shared" si="43"/>
        <v>7.4197892919883931E-3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40">
        <v>25.594000000000001</v>
      </c>
      <c r="C83" s="841"/>
      <c r="D83" s="393">
        <f t="shared" si="25"/>
        <v>26.374211521994038</v>
      </c>
      <c r="E83" s="385">
        <f t="shared" si="47"/>
        <v>27.203035037997143</v>
      </c>
      <c r="F83" s="385">
        <f t="shared" si="26"/>
        <v>27.203975554486604</v>
      </c>
      <c r="G83" s="110">
        <f t="shared" si="48"/>
        <v>0.57515676809546035</v>
      </c>
      <c r="H83" s="414" t="b">
        <f>Wh_hp&gt;='2021'!Maxi_hp</f>
        <v>0</v>
      </c>
      <c r="I83" s="380">
        <f>IF(H83,Wh_hp,'2021'!Maxi_hp)</f>
        <v>43.468612982947825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2.9582363868713268E-2</v>
      </c>
      <c r="M83" s="845"/>
      <c r="N83" s="845"/>
      <c r="O83" s="48">
        <f>IF(t&lt;Tnet,'2021'!Resal+('2021'!Salim-'2021'!Resal)*(1-EXP(('2021'!Tnet-t)/('2021'!Tau_j))),Resal+(Salim-Resal)*(1-EXP((Tnet-t)/(Tau_j))))*Salcycl</f>
        <v>3.0468053099420921E-2</v>
      </c>
      <c r="P83" s="339">
        <f>(INDEX(Models!$BJ83:$BT83,,T83)*(1-R83)+INDEX(Models!$BJ83:$BT83,,T83+1)*R83-ERP_i)*Q83*Ramure*Pc/MaxiM</f>
        <v>8.7943435454424019E-5</v>
      </c>
      <c r="Q83" s="305">
        <f t="shared" si="28"/>
        <v>0.5</v>
      </c>
      <c r="R83" s="177">
        <f t="shared" si="29"/>
        <v>7.859774583325152E-3</v>
      </c>
      <c r="S83" s="811">
        <f t="shared" si="30"/>
        <v>0</v>
      </c>
      <c r="T83" s="176">
        <f t="shared" si="31"/>
        <v>6</v>
      </c>
      <c r="U83" s="251">
        <f t="shared" si="32"/>
        <v>7.859774583325152E-3</v>
      </c>
      <c r="V83" s="383">
        <f t="shared" si="33"/>
        <v>44.496797053131502</v>
      </c>
      <c r="W83" s="402">
        <f t="shared" si="34"/>
        <v>0</v>
      </c>
      <c r="X83" s="157">
        <f t="shared" si="35"/>
        <v>44630</v>
      </c>
      <c r="Y83" s="385">
        <f t="shared" si="36"/>
        <v>24.599036075808822</v>
      </c>
      <c r="Z83" s="385">
        <f t="shared" si="37"/>
        <v>25.348916961027744</v>
      </c>
      <c r="AA83" s="386">
        <f t="shared" si="38"/>
        <v>27.203035037997143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6.8158500490094961E-2</v>
      </c>
      <c r="AD83" s="231">
        <f>(INDEX(Models!$BJ83:$BT83,,AH83)*(1-AF83)+INDEX(Models!$BJ83:$BT83,,AH83+1)*AF83-ERP_i)*AE83*Ramure*Pc/MaxiM</f>
        <v>8.7943435454424019E-5</v>
      </c>
      <c r="AE83" s="305">
        <f t="shared" si="40"/>
        <v>0.5</v>
      </c>
      <c r="AF83" s="177">
        <f t="shared" si="41"/>
        <v>7.859774583325152E-3</v>
      </c>
      <c r="AG83" s="811">
        <f t="shared" si="49"/>
        <v>0</v>
      </c>
      <c r="AH83" s="176">
        <f t="shared" si="42"/>
        <v>6</v>
      </c>
      <c r="AI83" s="225">
        <f t="shared" si="43"/>
        <v>7.859774583325152E-3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40">
        <v>16.240000000000002</v>
      </c>
      <c r="C84" s="841"/>
      <c r="D84" s="393">
        <f t="shared" si="25"/>
        <v>16.735429263439915</v>
      </c>
      <c r="E84" s="385">
        <f t="shared" si="47"/>
        <v>17.26305577256241</v>
      </c>
      <c r="F84" s="385">
        <f t="shared" si="26"/>
        <v>17.263176029122125</v>
      </c>
      <c r="G84" s="110">
        <f t="shared" si="48"/>
        <v>0.36217443097738528</v>
      </c>
      <c r="H84" s="414" t="b">
        <f>Wh_hp&gt;='2021'!Maxi_hp</f>
        <v>0</v>
      </c>
      <c r="I84" s="380">
        <f>IF(H84,Wh_hp,'2021'!Maxi_hp)</f>
        <v>34.137173352401021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2.9603618505455676E-2</v>
      </c>
      <c r="M84" s="845"/>
      <c r="N84" s="845"/>
      <c r="O84" s="48">
        <f>IF(t&lt;Tnet,'2021'!Resal+('2021'!Salim-'2021'!Resal)*(1-EXP(('2021'!Tnet-t)/('2021'!Tau_j))),Resal+(Salim-Resal)*(1-EXP((Tnet-t)/(Tau_j))))*Salcycl</f>
        <v>3.0563911515659722E-2</v>
      </c>
      <c r="P84" s="339">
        <f>(INDEX(Models!$BJ84:$BT84,,T84)*(1-R84)+INDEX(Models!$BJ84:$BT84,,T84+1)*R84-ERP_i)*Q84*Ramure*Pc/MaxiM</f>
        <v>7.8395947902163267E-5</v>
      </c>
      <c r="Q84" s="305">
        <f t="shared" si="28"/>
        <v>0.5</v>
      </c>
      <c r="R84" s="177">
        <f t="shared" si="29"/>
        <v>8.3173785909900003E-3</v>
      </c>
      <c r="S84" s="811">
        <f t="shared" si="30"/>
        <v>0</v>
      </c>
      <c r="T84" s="176">
        <f t="shared" si="31"/>
        <v>6</v>
      </c>
      <c r="U84" s="251">
        <f t="shared" si="32"/>
        <v>8.3173785909900003E-3</v>
      </c>
      <c r="V84" s="383">
        <f t="shared" si="33"/>
        <v>44.837069052450843</v>
      </c>
      <c r="W84" s="402">
        <f t="shared" si="34"/>
        <v>0</v>
      </c>
      <c r="X84" s="157">
        <f t="shared" si="35"/>
        <v>44631</v>
      </c>
      <c r="Y84" s="385">
        <f t="shared" si="36"/>
        <v>15.609461189465955</v>
      </c>
      <c r="Z84" s="385">
        <f t="shared" si="37"/>
        <v>16.085654776891513</v>
      </c>
      <c r="AA84" s="386">
        <f t="shared" si="38"/>
        <v>17.26305577256241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6.8203509922167921E-2</v>
      </c>
      <c r="AD84" s="231">
        <f>(INDEX(Models!$BJ84:$BT84,,AH84)*(1-AF84)+INDEX(Models!$BJ84:$BT84,,AH84+1)*AF84-ERP_i)*AE84*Ramure*Pc/MaxiM</f>
        <v>7.8395947902163267E-5</v>
      </c>
      <c r="AE84" s="305">
        <f t="shared" si="40"/>
        <v>0.5</v>
      </c>
      <c r="AF84" s="177">
        <f t="shared" si="41"/>
        <v>8.3173785909900003E-3</v>
      </c>
      <c r="AG84" s="811">
        <f t="shared" si="49"/>
        <v>0</v>
      </c>
      <c r="AH84" s="176">
        <f t="shared" si="42"/>
        <v>6</v>
      </c>
      <c r="AI84" s="225">
        <f t="shared" si="43"/>
        <v>8.3173785909900003E-3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40">
        <v>15.089</v>
      </c>
      <c r="C85" s="841"/>
      <c r="D85" s="393">
        <f t="shared" si="25"/>
        <v>15.549656596847505</v>
      </c>
      <c r="E85" s="385">
        <f t="shared" si="47"/>
        <v>16.041483733966398</v>
      </c>
      <c r="F85" s="385">
        <f t="shared" si="26"/>
        <v>16.04153722166534</v>
      </c>
      <c r="G85" s="110">
        <f t="shared" si="48"/>
        <v>0.33397551993431163</v>
      </c>
      <c r="H85" s="414" t="b">
        <f>Wh_hp&gt;='2021'!Maxi_hp</f>
        <v>0</v>
      </c>
      <c r="I85" s="380">
        <f>IF(H85,Wh_hp,'2021'!Maxi_hp)</f>
        <v>42.294025676295831</v>
      </c>
      <c r="J85" s="85">
        <f>IF(H85,An,'2021'!An_max)</f>
        <v>2019</v>
      </c>
      <c r="K85" s="197">
        <f t="shared" si="27"/>
        <v>44632</v>
      </c>
      <c r="L85" s="147">
        <f>IF(t&lt;Tvie,1-EXP((T0-t)*PertePVj)+'2021'!Pspv,1-EXP((T0-t)*PertePVj)+Pspv)</f>
        <v>2.9624872676667136E-2</v>
      </c>
      <c r="M85" s="845"/>
      <c r="N85" s="845"/>
      <c r="O85" s="48">
        <f>IF(t&lt;Tnet,'2021'!Resal+('2021'!Salim-'2021'!Resal)*(1-EXP(('2021'!Tnet-t)/('2021'!Tau_j))),Resal+(Salim-Resal)*(1-EXP((Tnet-t)/(Tau_j))))*Salcycl</f>
        <v>3.0659703633118117E-2</v>
      </c>
      <c r="P85" s="339">
        <f>(INDEX(Models!$BJ85:$BT85,,T85)*(1-R85)+INDEX(Models!$BJ85:$BT85,,T85+1)*R85-ERP_i)*Q85*Ramure*Pc/MaxiM</f>
        <v>6.8653246561651773E-5</v>
      </c>
      <c r="Q85" s="305">
        <f t="shared" si="28"/>
        <v>0.5</v>
      </c>
      <c r="R85" s="177">
        <f t="shared" si="29"/>
        <v>8.7932710903452435E-3</v>
      </c>
      <c r="S85" s="811">
        <f t="shared" si="30"/>
        <v>0</v>
      </c>
      <c r="T85" s="176">
        <f t="shared" si="31"/>
        <v>6</v>
      </c>
      <c r="U85" s="251">
        <f t="shared" si="32"/>
        <v>8.7932710903452435E-3</v>
      </c>
      <c r="V85" s="383">
        <f t="shared" si="33"/>
        <v>45.177006992830407</v>
      </c>
      <c r="W85" s="402">
        <f t="shared" si="34"/>
        <v>0</v>
      </c>
      <c r="X85" s="157">
        <f t="shared" si="35"/>
        <v>44632</v>
      </c>
      <c r="Y85" s="385">
        <f t="shared" si="36"/>
        <v>14.503881654083825</v>
      </c>
      <c r="Z85" s="385">
        <f t="shared" si="37"/>
        <v>14.946674997834187</v>
      </c>
      <c r="AA85" s="386">
        <f t="shared" si="38"/>
        <v>16.041483733966398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6.8248595596805822E-2</v>
      </c>
      <c r="AD85" s="231">
        <f>(INDEX(Models!$BJ85:$BT85,,AH85)*(1-AF85)+INDEX(Models!$BJ85:$BT85,,AH85+1)*AF85-ERP_i)*AE85*Ramure*Pc/MaxiM</f>
        <v>6.8653246561651773E-5</v>
      </c>
      <c r="AE85" s="305">
        <f t="shared" si="40"/>
        <v>0.5</v>
      </c>
      <c r="AF85" s="177">
        <f t="shared" si="41"/>
        <v>8.7932710903452435E-3</v>
      </c>
      <c r="AG85" s="811">
        <f t="shared" si="49"/>
        <v>0</v>
      </c>
      <c r="AH85" s="176">
        <f t="shared" si="42"/>
        <v>6</v>
      </c>
      <c r="AI85" s="225">
        <f t="shared" si="43"/>
        <v>8.7932710903452435E-3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40">
        <v>10.242000000000001</v>
      </c>
      <c r="C86" s="841"/>
      <c r="D86" s="393">
        <f t="shared" si="25"/>
        <v>10.55491226290065</v>
      </c>
      <c r="E86" s="385">
        <f t="shared" si="47"/>
        <v>10.889833888043947</v>
      </c>
      <c r="F86" s="385">
        <f t="shared" si="26"/>
        <v>10.889833888043947</v>
      </c>
      <c r="G86" s="110">
        <f t="shared" si="48"/>
        <v>0.22500454010934717</v>
      </c>
      <c r="H86" s="414" t="b">
        <f>Wh_hp&gt;='2021'!Maxi_hp</f>
        <v>0</v>
      </c>
      <c r="I86" s="380">
        <f>IF(H86,Wh_hp,'2021'!Maxi_hp)</f>
        <v>41.647039184319176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2.964612638235764E-2</v>
      </c>
      <c r="M86" s="845"/>
      <c r="N86" s="845"/>
      <c r="O86" s="48">
        <f>IF(t&lt;Tnet,'2021'!Resal+('2021'!Salim-'2021'!Resal)*(1-EXP(('2021'!Tnet-t)/('2021'!Tau_j))),Resal+(Salim-Resal)*(1-EXP((Tnet-t)/(Tau_j))))*Salcycl</f>
        <v>3.0755439301145757E-2</v>
      </c>
      <c r="P86" s="339">
        <f>(INDEX(Models!$BJ86:$BT86,,T86)*(1-R86)+INDEX(Models!$BJ86:$BT86,,T86+1)*R86-ERP_i)*Q86*Ramure*Pc/MaxiM</f>
        <v>5.913753359140902E-5</v>
      </c>
      <c r="Q86" s="305">
        <f t="shared" si="28"/>
        <v>0.5</v>
      </c>
      <c r="R86" s="177">
        <f t="shared" si="29"/>
        <v>9.2881443371910268E-3</v>
      </c>
      <c r="S86" s="811">
        <f t="shared" si="30"/>
        <v>0</v>
      </c>
      <c r="T86" s="176">
        <f t="shared" si="31"/>
        <v>6</v>
      </c>
      <c r="U86" s="251">
        <f t="shared" si="32"/>
        <v>9.2881443371910268E-3</v>
      </c>
      <c r="V86" s="383">
        <f t="shared" si="33"/>
        <v>45.516389617755578</v>
      </c>
      <c r="W86" s="402">
        <f t="shared" si="34"/>
        <v>0</v>
      </c>
      <c r="X86" s="157">
        <f t="shared" si="35"/>
        <v>44633</v>
      </c>
      <c r="Y86" s="385">
        <f t="shared" si="36"/>
        <v>9.8453326556312604</v>
      </c>
      <c r="Z86" s="385">
        <f t="shared" si="37"/>
        <v>10.146125988992248</v>
      </c>
      <c r="AA86" s="386">
        <f t="shared" si="38"/>
        <v>10.889833888043947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6.8293778095938076E-2</v>
      </c>
      <c r="AD86" s="231">
        <f>(INDEX(Models!$BJ86:$BT86,,AH86)*(1-AF86)+INDEX(Models!$BJ86:$BT86,,AH86+1)*AF86-ERP_i)*AE86*Ramure*Pc/MaxiM</f>
        <v>5.913753359140902E-5</v>
      </c>
      <c r="AE86" s="305">
        <f t="shared" si="40"/>
        <v>0.5</v>
      </c>
      <c r="AF86" s="177">
        <f t="shared" si="41"/>
        <v>9.2881443371910268E-3</v>
      </c>
      <c r="AG86" s="811">
        <f t="shared" si="49"/>
        <v>0</v>
      </c>
      <c r="AH86" s="176">
        <f t="shared" si="42"/>
        <v>6</v>
      </c>
      <c r="AI86" s="225">
        <f t="shared" si="43"/>
        <v>9.2881443371910268E-3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40">
        <v>14.759</v>
      </c>
      <c r="C87" s="841"/>
      <c r="D87" s="393">
        <f t="shared" si="25"/>
        <v>15.210248207731798</v>
      </c>
      <c r="E87" s="385">
        <f t="shared" si="47"/>
        <v>15.694439380151975</v>
      </c>
      <c r="F87" s="385">
        <f t="shared" si="26"/>
        <v>15.694464124196726</v>
      </c>
      <c r="G87" s="110">
        <f t="shared" si="48"/>
        <v>0.32184675345171015</v>
      </c>
      <c r="H87" s="414" t="b">
        <f>Wh_hp&gt;='2021'!Maxi_hp</f>
        <v>0</v>
      </c>
      <c r="I87" s="380">
        <f>IF(H87,Wh_hp,'2021'!Maxi_hp)</f>
        <v>41.178376020580401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2.9667379622537404E-2</v>
      </c>
      <c r="M87" s="845"/>
      <c r="N87" s="845"/>
      <c r="O87" s="48">
        <f>IF(t&lt;Tnet,'2021'!Resal+('2021'!Salim-'2021'!Resal)*(1-EXP(('2021'!Tnet-t)/('2021'!Tau_j))),Resal+(Salim-Resal)*(1-EXP((Tnet-t)/(Tau_j))))*Salcycl</f>
        <v>3.0851128905726378E-2</v>
      </c>
      <c r="P87" s="339">
        <f>(INDEX(Models!$BJ87:$BT87,,T87)*(1-R87)+INDEX(Models!$BJ87:$BT87,,T87+1)*R87-ERP_i)*Q87*Ramure*Pc/MaxiM</f>
        <v>5.0480371485785531E-5</v>
      </c>
      <c r="Q87" s="305">
        <f t="shared" si="28"/>
        <v>0.5</v>
      </c>
      <c r="R87" s="177">
        <f t="shared" si="29"/>
        <v>9.8027135702286605E-3</v>
      </c>
      <c r="S87" s="811">
        <f t="shared" si="30"/>
        <v>0</v>
      </c>
      <c r="T87" s="176">
        <f t="shared" si="31"/>
        <v>6</v>
      </c>
      <c r="U87" s="251">
        <f t="shared" si="32"/>
        <v>9.8027135702286605E-3</v>
      </c>
      <c r="V87" s="383">
        <f t="shared" si="33"/>
        <v>45.854985548134593</v>
      </c>
      <c r="W87" s="402">
        <f t="shared" si="34"/>
        <v>0</v>
      </c>
      <c r="X87" s="157">
        <f t="shared" si="35"/>
        <v>44634</v>
      </c>
      <c r="Y87" s="385">
        <f t="shared" si="36"/>
        <v>14.188102512648321</v>
      </c>
      <c r="Z87" s="385">
        <f t="shared" si="37"/>
        <v>14.621895847559058</v>
      </c>
      <c r="AA87" s="386">
        <f t="shared" si="38"/>
        <v>15.694439380151975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6.8339078995667282E-2</v>
      </c>
      <c r="AD87" s="231">
        <f>(INDEX(Models!$BJ87:$BT87,,AH87)*(1-AF87)+INDEX(Models!$BJ87:$BT87,,AH87+1)*AF87-ERP_i)*AE87*Ramure*Pc/MaxiM</f>
        <v>5.0480371485785531E-5</v>
      </c>
      <c r="AE87" s="305">
        <f t="shared" si="40"/>
        <v>0.5</v>
      </c>
      <c r="AF87" s="177">
        <f t="shared" si="41"/>
        <v>9.8027135702286605E-3</v>
      </c>
      <c r="AG87" s="811">
        <f t="shared" si="49"/>
        <v>0</v>
      </c>
      <c r="AH87" s="176">
        <f t="shared" si="42"/>
        <v>6</v>
      </c>
      <c r="AI87" s="225">
        <f t="shared" si="43"/>
        <v>9.8027135702286605E-3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40">
        <v>14.782999999999999</v>
      </c>
      <c r="C88" s="841"/>
      <c r="D88" s="393">
        <f t="shared" si="25"/>
        <v>15.23531568688343</v>
      </c>
      <c r="E88" s="385">
        <f t="shared" si="47"/>
        <v>15.721856576080171</v>
      </c>
      <c r="F88" s="385">
        <f t="shared" si="26"/>
        <v>15.72187576845964</v>
      </c>
      <c r="G88" s="110">
        <f t="shared" si="48"/>
        <v>0.32001640331345538</v>
      </c>
      <c r="H88" s="414" t="b">
        <f>Wh_hp&gt;='2021'!Maxi_hp</f>
        <v>0</v>
      </c>
      <c r="I88" s="380">
        <f>IF(H88,Wh_hp,'2021'!Maxi_hp)</f>
        <v>31.428093358036886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2.9688632397216641E-2</v>
      </c>
      <c r="M88" s="845"/>
      <c r="N88" s="845"/>
      <c r="O88" s="48">
        <f>IF(t&lt;Tnet,'2021'!Resal+('2021'!Salim-'2021'!Resal)*(1-EXP(('2021'!Tnet-t)/('2021'!Tau_j))),Resal+(Salim-Resal)*(1-EXP((Tnet-t)/(Tau_j))))*Salcycl</f>
        <v>3.0946783342177493E-2</v>
      </c>
      <c r="P88" s="339">
        <f>(INDEX(Models!$BJ88:$BT88,,T88)*(1-R88)+INDEX(Models!$BJ88:$BT88,,T88+1)*R88-ERP_i)*Q88*Ramure*Pc/MaxiM</f>
        <v>4.2662744893979478E-5</v>
      </c>
      <c r="Q88" s="305">
        <f t="shared" si="28"/>
        <v>0.5</v>
      </c>
      <c r="R88" s="177">
        <f t="shared" si="29"/>
        <v>1.0337717501860261E-2</v>
      </c>
      <c r="S88" s="811">
        <f t="shared" si="30"/>
        <v>0</v>
      </c>
      <c r="T88" s="176">
        <f t="shared" si="31"/>
        <v>6</v>
      </c>
      <c r="U88" s="251">
        <f t="shared" si="32"/>
        <v>1.0337717501860261E-2</v>
      </c>
      <c r="V88" s="383">
        <f t="shared" si="33"/>
        <v>46.192592658032943</v>
      </c>
      <c r="W88" s="402">
        <f t="shared" si="34"/>
        <v>0</v>
      </c>
      <c r="X88" s="157">
        <f t="shared" si="35"/>
        <v>44635</v>
      </c>
      <c r="Y88" s="385">
        <f t="shared" si="36"/>
        <v>14.211883715307025</v>
      </c>
      <c r="Z88" s="385">
        <f t="shared" si="37"/>
        <v>14.646724948114745</v>
      </c>
      <c r="AA88" s="386">
        <f t="shared" si="38"/>
        <v>15.721856576080171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6.8384520795156736E-2</v>
      </c>
      <c r="AD88" s="231">
        <f>(INDEX(Models!$BJ88:$BT88,,AH88)*(1-AF88)+INDEX(Models!$BJ88:$BT88,,AH88+1)*AF88-ERP_i)*AE88*Ramure*Pc/MaxiM</f>
        <v>4.2662744893979478E-5</v>
      </c>
      <c r="AE88" s="305">
        <f t="shared" si="40"/>
        <v>0.5</v>
      </c>
      <c r="AF88" s="177">
        <f t="shared" si="41"/>
        <v>1.0337717501860261E-2</v>
      </c>
      <c r="AG88" s="811">
        <f t="shared" si="49"/>
        <v>0</v>
      </c>
      <c r="AH88" s="176">
        <f t="shared" si="42"/>
        <v>6</v>
      </c>
      <c r="AI88" s="225">
        <f t="shared" si="43"/>
        <v>1.0337717501860261E-2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40">
        <v>13.324</v>
      </c>
      <c r="C89" s="841"/>
      <c r="D89" s="393">
        <f t="shared" si="25"/>
        <v>13.731975406106626</v>
      </c>
      <c r="E89" s="385">
        <f t="shared" si="47"/>
        <v>14.171905565641378</v>
      </c>
      <c r="F89" s="385">
        <f t="shared" si="26"/>
        <v>14.171905565641378</v>
      </c>
      <c r="G89" s="110">
        <f t="shared" si="48"/>
        <v>0.28634877692100463</v>
      </c>
      <c r="H89" s="414" t="b">
        <f>Wh_hp&gt;='2021'!Maxi_hp</f>
        <v>0</v>
      </c>
      <c r="I89" s="380">
        <f>IF(H89,Wh_hp,'2021'!Maxi_hp)</f>
        <v>50.491533478793343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2.9709884706405676E-2</v>
      </c>
      <c r="M89" s="845"/>
      <c r="N89" s="845"/>
      <c r="O89" s="48">
        <f>IF(t&lt;Tnet,'2021'!Resal+('2021'!Salim-'2021'!Resal)*(1-EXP(('2021'!Tnet-t)/('2021'!Tau_j))),Resal+(Salim-Resal)*(1-EXP((Tnet-t)/(Tau_j))))*Salcycl</f>
        <v>3.1042413985690517E-2</v>
      </c>
      <c r="P89" s="339">
        <f>(INDEX(Models!$BJ89:$BT89,,T89)*(1-R89)+INDEX(Models!$BJ89:$BT89,,T89+1)*R89-ERP_i)*Q89*Ramure*Pc/MaxiM</f>
        <v>3.5666207579034494E-5</v>
      </c>
      <c r="Q89" s="305">
        <f t="shared" si="28"/>
        <v>0.5</v>
      </c>
      <c r="R89" s="177">
        <f t="shared" si="29"/>
        <v>1.0893918794632189E-2</v>
      </c>
      <c r="S89" s="811">
        <f t="shared" si="30"/>
        <v>0</v>
      </c>
      <c r="T89" s="176">
        <f t="shared" si="31"/>
        <v>6</v>
      </c>
      <c r="U89" s="251">
        <f t="shared" si="32"/>
        <v>1.0893918794632189E-2</v>
      </c>
      <c r="V89" s="383">
        <f t="shared" si="33"/>
        <v>46.529008877610096</v>
      </c>
      <c r="W89" s="402">
        <f t="shared" si="34"/>
        <v>0</v>
      </c>
      <c r="X89" s="157">
        <f t="shared" si="35"/>
        <v>44636</v>
      </c>
      <c r="Y89" s="385">
        <f t="shared" si="36"/>
        <v>12.809886799085925</v>
      </c>
      <c r="Z89" s="385">
        <f t="shared" si="37"/>
        <v>13.202120270193474</v>
      </c>
      <c r="AA89" s="386">
        <f t="shared" si="38"/>
        <v>14.171905565641378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6.8430126841874342E-2</v>
      </c>
      <c r="AD89" s="231">
        <f>(INDEX(Models!$BJ89:$BT89,,AH89)*(1-AF89)+INDEX(Models!$BJ89:$BT89,,AH89+1)*AF89-ERP_i)*AE89*Ramure*Pc/MaxiM</f>
        <v>3.5666207579034494E-5</v>
      </c>
      <c r="AE89" s="305">
        <f t="shared" si="40"/>
        <v>0.5</v>
      </c>
      <c r="AF89" s="177">
        <f t="shared" si="41"/>
        <v>1.0893918794632189E-2</v>
      </c>
      <c r="AG89" s="811">
        <f t="shared" si="49"/>
        <v>0</v>
      </c>
      <c r="AH89" s="176">
        <f t="shared" si="42"/>
        <v>6</v>
      </c>
      <c r="AI89" s="225">
        <f t="shared" si="43"/>
        <v>1.0893918794632189E-2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40">
        <v>11.115</v>
      </c>
      <c r="C90" s="841"/>
      <c r="D90" s="393">
        <f t="shared" si="25"/>
        <v>11.455587640398491</v>
      </c>
      <c r="E90" s="385">
        <f t="shared" si="47"/>
        <v>11.823756145418411</v>
      </c>
      <c r="F90" s="385">
        <f t="shared" si="26"/>
        <v>11.823756145418411</v>
      </c>
      <c r="G90" s="110">
        <f t="shared" si="48"/>
        <v>0.23716850404460391</v>
      </c>
      <c r="H90" s="414" t="b">
        <f>Wh_hp&gt;='2021'!Maxi_hp</f>
        <v>0</v>
      </c>
      <c r="I90" s="380">
        <f>IF(H90,Wh_hp,'2021'!Maxi_hp)</f>
        <v>27.136616542417517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2.9731136550114501E-2</v>
      </c>
      <c r="M90" s="845"/>
      <c r="N90" s="845"/>
      <c r="O90" s="48">
        <f>IF(t&lt;Tnet,'2021'!Resal+('2021'!Salim-'2021'!Resal)*(1-EXP(('2021'!Tnet-t)/('2021'!Tau_j))),Resal+(Salim-Resal)*(1-EXP((Tnet-t)/(Tau_j))))*Salcycl</f>
        <v>3.1138032660000512E-2</v>
      </c>
      <c r="P90" s="339">
        <f>(INDEX(Models!$BJ90:$BT90,,T90)*(1-R90)+INDEX(Models!$BJ90:$BT90,,T90+1)*R90-ERP_i)*Q90*Ramure*Pc/MaxiM</f>
        <v>2.9472918216633162E-5</v>
      </c>
      <c r="Q90" s="305">
        <f t="shared" si="28"/>
        <v>0.5</v>
      </c>
      <c r="R90" s="177">
        <f t="shared" si="29"/>
        <v>1.1472104520396438E-2</v>
      </c>
      <c r="S90" s="811">
        <f t="shared" si="30"/>
        <v>0</v>
      </c>
      <c r="T90" s="176">
        <f t="shared" si="31"/>
        <v>6</v>
      </c>
      <c r="U90" s="251">
        <f t="shared" si="32"/>
        <v>1.1472104520396438E-2</v>
      </c>
      <c r="V90" s="383">
        <f t="shared" si="33"/>
        <v>46.864032192165375</v>
      </c>
      <c r="W90" s="402">
        <f t="shared" si="34"/>
        <v>0</v>
      </c>
      <c r="X90" s="157">
        <f t="shared" si="35"/>
        <v>44637</v>
      </c>
      <c r="Y90" s="385">
        <f t="shared" si="36"/>
        <v>10.686651436725944</v>
      </c>
      <c r="Z90" s="385">
        <f t="shared" si="37"/>
        <v>11.014113550679667</v>
      </c>
      <c r="AA90" s="386">
        <f t="shared" si="38"/>
        <v>11.823756145418411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6.847592125387944E-2</v>
      </c>
      <c r="AD90" s="231">
        <f>(INDEX(Models!$BJ90:$BT90,,AH90)*(1-AF90)+INDEX(Models!$BJ90:$BT90,,AH90+1)*AF90-ERP_i)*AE90*Ramure*Pc/MaxiM</f>
        <v>2.9472918216633162E-5</v>
      </c>
      <c r="AE90" s="305">
        <f t="shared" si="40"/>
        <v>0.5</v>
      </c>
      <c r="AF90" s="177">
        <f t="shared" si="41"/>
        <v>1.1472104520396438E-2</v>
      </c>
      <c r="AG90" s="811">
        <f t="shared" si="49"/>
        <v>0</v>
      </c>
      <c r="AH90" s="176">
        <f t="shared" si="42"/>
        <v>6</v>
      </c>
      <c r="AI90" s="225">
        <f t="shared" si="43"/>
        <v>1.1472104520396438E-2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40">
        <v>14.819000000000001</v>
      </c>
      <c r="C91" s="841"/>
      <c r="D91" s="393">
        <f t="shared" si="25"/>
        <v>15.273420738814158</v>
      </c>
      <c r="E91" s="385">
        <f t="shared" si="47"/>
        <v>15.765845669711899</v>
      </c>
      <c r="F91" s="385">
        <f t="shared" si="26"/>
        <v>15.765853246515581</v>
      </c>
      <c r="G91" s="110">
        <f t="shared" si="48"/>
        <v>0.313971351222322</v>
      </c>
      <c r="H91" s="414" t="b">
        <f>Wh_hp&gt;='2021'!Maxi_hp</f>
        <v>0</v>
      </c>
      <c r="I91" s="380">
        <f>IF(H91,Wh_hp,'2021'!Maxi_hp)</f>
        <v>35.441978382349127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2.9752387928353441E-2</v>
      </c>
      <c r="M91" s="845"/>
      <c r="N91" s="845"/>
      <c r="O91" s="48">
        <f>IF(t&lt;Tnet,'2021'!Resal+('2021'!Salim-'2021'!Resal)*(1-EXP(('2021'!Tnet-t)/('2021'!Tau_j))),Resal+(Salim-Resal)*(1-EXP((Tnet-t)/(Tau_j))))*Salcycl</f>
        <v>3.1233651604477421E-2</v>
      </c>
      <c r="P91" s="339">
        <f>(INDEX(Models!$BJ91:$BT91,,T91)*(1-R91)+INDEX(Models!$BJ91:$BT91,,T91+1)*R91-ERP_i)*Q91*Ramure*Pc/MaxiM</f>
        <v>2.4065675524729617E-5</v>
      </c>
      <c r="Q91" s="305">
        <f t="shared" si="28"/>
        <v>0.5</v>
      </c>
      <c r="R91" s="177">
        <f t="shared" si="29"/>
        <v>1.2073086599021865E-2</v>
      </c>
      <c r="S91" s="811">
        <f t="shared" si="30"/>
        <v>0</v>
      </c>
      <c r="T91" s="176">
        <f t="shared" si="31"/>
        <v>6</v>
      </c>
      <c r="U91" s="251">
        <f t="shared" si="32"/>
        <v>1.2073086599021865E-2</v>
      </c>
      <c r="V91" s="383">
        <f t="shared" si="33"/>
        <v>47.197460643010544</v>
      </c>
      <c r="W91" s="402">
        <f t="shared" si="34"/>
        <v>0</v>
      </c>
      <c r="X91" s="157">
        <f t="shared" si="35"/>
        <v>44638</v>
      </c>
      <c r="Y91" s="385">
        <f t="shared" si="36"/>
        <v>14.248609646055622</v>
      </c>
      <c r="Z91" s="385">
        <f t="shared" si="37"/>
        <v>14.68553951463212</v>
      </c>
      <c r="AA91" s="386">
        <f t="shared" si="38"/>
        <v>15.765845669711899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6.8521928839832408E-2</v>
      </c>
      <c r="AD91" s="231">
        <f>(INDEX(Models!$BJ91:$BT91,,AH91)*(1-AF91)+INDEX(Models!$BJ91:$BT91,,AH91+1)*AF91-ERP_i)*AE91*Ramure*Pc/MaxiM</f>
        <v>2.4065675524729617E-5</v>
      </c>
      <c r="AE91" s="305">
        <f t="shared" si="40"/>
        <v>0.5</v>
      </c>
      <c r="AF91" s="177">
        <f t="shared" si="41"/>
        <v>1.2073086599021865E-2</v>
      </c>
      <c r="AG91" s="811">
        <f t="shared" si="49"/>
        <v>0</v>
      </c>
      <c r="AH91" s="176">
        <f t="shared" si="42"/>
        <v>6</v>
      </c>
      <c r="AI91" s="225">
        <f t="shared" si="43"/>
        <v>1.2073086599021865E-2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40">
        <v>30.073</v>
      </c>
      <c r="C92" s="841"/>
      <c r="D92" s="393">
        <f t="shared" si="25"/>
        <v>30.995859527131291</v>
      </c>
      <c r="E92" s="385">
        <f t="shared" si="47"/>
        <v>31.998344739070205</v>
      </c>
      <c r="F92" s="385">
        <f t="shared" si="26"/>
        <v>31.998640234121673</v>
      </c>
      <c r="G92" s="110">
        <f t="shared" si="48"/>
        <v>0.63272181271289218</v>
      </c>
      <c r="H92" s="414" t="b">
        <f>Wh_hp&gt;='2021'!Maxi_hp</f>
        <v>0</v>
      </c>
      <c r="I92" s="380">
        <f>IF(H92,Wh_hp,'2021'!Maxi_hp)</f>
        <v>46.110957889709681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2.977363884113271E-2</v>
      </c>
      <c r="M92" s="845"/>
      <c r="N92" s="845"/>
      <c r="O92" s="48">
        <f>IF(t&lt;Tnet,'2021'!Resal+('2021'!Salim-'2021'!Resal)*(1-EXP(('2021'!Tnet-t)/('2021'!Tau_j))),Resal+(Salim-Resal)*(1-EXP((Tnet-t)/(Tau_j))))*Salcycl</f>
        <v>3.1329283439929655E-2</v>
      </c>
      <c r="P92" s="339">
        <f>(INDEX(Models!$BJ92:$BT92,,T92)*(1-R92)+INDEX(Models!$BJ92:$BT92,,T92+1)*R92-ERP_i)*Q92*Ramure*Pc/MaxiM</f>
        <v>1.9427952668832048E-5</v>
      </c>
      <c r="Q92" s="305">
        <f t="shared" si="28"/>
        <v>0.5</v>
      </c>
      <c r="R92" s="177">
        <f t="shared" si="29"/>
        <v>1.2697702213228452E-2</v>
      </c>
      <c r="S92" s="811">
        <f t="shared" si="30"/>
        <v>0</v>
      </c>
      <c r="T92" s="176">
        <f t="shared" si="31"/>
        <v>6</v>
      </c>
      <c r="U92" s="251">
        <f t="shared" si="32"/>
        <v>1.2697702213228452E-2</v>
      </c>
      <c r="V92" s="383">
        <f t="shared" si="33"/>
        <v>47.529092325609632</v>
      </c>
      <c r="W92" s="402">
        <f t="shared" si="34"/>
        <v>0</v>
      </c>
      <c r="X92" s="157">
        <f t="shared" si="35"/>
        <v>44639</v>
      </c>
      <c r="Y92" s="385">
        <f t="shared" si="36"/>
        <v>28.916894868231498</v>
      </c>
      <c r="Z92" s="385">
        <f t="shared" si="37"/>
        <v>29.804276636734851</v>
      </c>
      <c r="AA92" s="386">
        <f t="shared" si="38"/>
        <v>31.998344739070205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6.8568175017390195E-2</v>
      </c>
      <c r="AD92" s="231">
        <f>(INDEX(Models!$BJ92:$BT92,,AH92)*(1-AF92)+INDEX(Models!$BJ92:$BT92,,AH92+1)*AF92-ERP_i)*AE92*Ramure*Pc/MaxiM</f>
        <v>1.9427952668832048E-5</v>
      </c>
      <c r="AE92" s="305">
        <f t="shared" si="40"/>
        <v>0.5</v>
      </c>
      <c r="AF92" s="177">
        <f t="shared" si="41"/>
        <v>1.2697702213228452E-2</v>
      </c>
      <c r="AG92" s="811">
        <f t="shared" si="49"/>
        <v>0</v>
      </c>
      <c r="AH92" s="176">
        <f t="shared" si="42"/>
        <v>6</v>
      </c>
      <c r="AI92" s="225">
        <f t="shared" si="43"/>
        <v>1.2697702213228452E-2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40">
        <v>31.060000000000002</v>
      </c>
      <c r="C93" s="841"/>
      <c r="D93" s="393">
        <f t="shared" si="25"/>
        <v>32.013849089313645</v>
      </c>
      <c r="E93" s="385">
        <f t="shared" si="47"/>
        <v>33.052522668481224</v>
      </c>
      <c r="F93" s="385">
        <f t="shared" si="26"/>
        <v>33.05277877361759</v>
      </c>
      <c r="G93" s="110">
        <f t="shared" si="48"/>
        <v>0.64895192487681164</v>
      </c>
      <c r="H93" s="414" t="b">
        <f>Wh_hp&gt;='2021'!Maxi_hp</f>
        <v>0</v>
      </c>
      <c r="I93" s="380">
        <f>IF(H93,Wh_hp,'2021'!Maxi_hp)</f>
        <v>51.145293953169229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2.9794889288462412E-2</v>
      </c>
      <c r="M93" s="845"/>
      <c r="N93" s="845"/>
      <c r="O93" s="48">
        <f>IF(t&lt;Tnet,'2021'!Resal+('2021'!Salim-'2021'!Resal)*(1-EXP(('2021'!Tnet-t)/('2021'!Tau_j))),Resal+(Salim-Resal)*(1-EXP((Tnet-t)/(Tau_j))))*Salcycl</f>
        <v>3.1424941133405729E-2</v>
      </c>
      <c r="P93" s="339">
        <f>(INDEX(Models!$BJ93:$BT93,,T93)*(1-R93)+INDEX(Models!$BJ93:$BT93,,T93+1)*R93-ERP_i)*Q93*Ramure*Pc/MaxiM</f>
        <v>1.5543057653995923E-5</v>
      </c>
      <c r="Q93" s="305">
        <f t="shared" si="28"/>
        <v>0.5</v>
      </c>
      <c r="R93" s="177">
        <f t="shared" si="29"/>
        <v>1.3346814195849929E-2</v>
      </c>
      <c r="S93" s="811">
        <f t="shared" si="30"/>
        <v>0</v>
      </c>
      <c r="T93" s="176">
        <f t="shared" si="31"/>
        <v>6</v>
      </c>
      <c r="U93" s="251">
        <f t="shared" si="32"/>
        <v>1.3346814195849929E-2</v>
      </c>
      <c r="V93" s="383">
        <f t="shared" si="33"/>
        <v>47.861415775906373</v>
      </c>
      <c r="W93" s="402">
        <f t="shared" si="34"/>
        <v>0</v>
      </c>
      <c r="X93" s="157">
        <f t="shared" si="35"/>
        <v>44640</v>
      </c>
      <c r="Y93" s="385">
        <f t="shared" si="36"/>
        <v>29.867409444817408</v>
      </c>
      <c r="Z93" s="385">
        <f t="shared" si="37"/>
        <v>30.784634212978929</v>
      </c>
      <c r="AA93" s="386">
        <f t="shared" si="38"/>
        <v>33.052522668481224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6.8614685730627914E-2</v>
      </c>
      <c r="AD93" s="231">
        <f>(INDEX(Models!$BJ93:$BT93,,AH93)*(1-AF93)+INDEX(Models!$BJ93:$BT93,,AH93+1)*AF93-ERP_i)*AE93*Ramure*Pc/MaxiM</f>
        <v>1.5543057653995923E-5</v>
      </c>
      <c r="AE93" s="305">
        <f t="shared" si="40"/>
        <v>0.5</v>
      </c>
      <c r="AF93" s="177">
        <f t="shared" si="41"/>
        <v>1.3346814195849929E-2</v>
      </c>
      <c r="AG93" s="811">
        <f t="shared" si="49"/>
        <v>0</v>
      </c>
      <c r="AH93" s="176">
        <f t="shared" si="42"/>
        <v>6</v>
      </c>
      <c r="AI93" s="225">
        <f t="shared" si="43"/>
        <v>1.3346814195849929E-2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40">
        <v>45.286000000000001</v>
      </c>
      <c r="C94" s="841"/>
      <c r="D94" s="393">
        <f t="shared" si="25"/>
        <v>46.677750303887464</v>
      </c>
      <c r="E94" s="385">
        <f t="shared" si="47"/>
        <v>48.196948880433688</v>
      </c>
      <c r="F94" s="385">
        <f t="shared" si="26"/>
        <v>48.197495947862762</v>
      </c>
      <c r="G94" s="110">
        <f t="shared" si="48"/>
        <v>0.939613149438426</v>
      </c>
      <c r="H94" s="414" t="b">
        <f>Wh_hp&gt;='2021'!Maxi_hp</f>
        <v>0</v>
      </c>
      <c r="I94" s="380">
        <f>IF(H94,Wh_hp,'2021'!Maxi_hp)</f>
        <v>51.378117175877115</v>
      </c>
      <c r="J94" s="85">
        <f>IF(H94,An,'2021'!An_max)</f>
        <v>2019</v>
      </c>
      <c r="K94" s="197">
        <f t="shared" si="27"/>
        <v>44641</v>
      </c>
      <c r="L94" s="147">
        <f>IF(t&lt;Tvie,1-EXP((T0-t)*PertePVj)+'2021'!Pspv,1-EXP((T0-t)*PertePVj)+Pspv)</f>
        <v>2.9816139270352759E-2</v>
      </c>
      <c r="M94" s="845"/>
      <c r="N94" s="845"/>
      <c r="O94" s="48">
        <f>IF(t&lt;Tnet,'2021'!Resal+('2021'!Salim-'2021'!Resal)*(1-EXP(('2021'!Tnet-t)/('2021'!Tau_j))),Resal+(Salim-Resal)*(1-EXP((Tnet-t)/(Tau_j))))*Salcycl</f>
        <v>3.1520637962270837E-2</v>
      </c>
      <c r="P94" s="339">
        <f>(INDEX(Models!$BJ94:$BT94,,T94)*(1-R94)+INDEX(Models!$BJ94:$BT94,,T94+1)*R94-ERP_i)*Q94*Ramure*Pc/MaxiM</f>
        <v>1.2422138185308937E-5</v>
      </c>
      <c r="Q94" s="305">
        <f t="shared" si="28"/>
        <v>0.5</v>
      </c>
      <c r="R94" s="177">
        <f t="shared" si="29"/>
        <v>1.4021311385550135E-2</v>
      </c>
      <c r="S94" s="811">
        <f t="shared" si="30"/>
        <v>0</v>
      </c>
      <c r="T94" s="176">
        <f t="shared" si="31"/>
        <v>6</v>
      </c>
      <c r="U94" s="251">
        <f t="shared" si="32"/>
        <v>1.4021311385550135E-2</v>
      </c>
      <c r="V94" s="383">
        <f t="shared" si="33"/>
        <v>48.196379007630611</v>
      </c>
      <c r="W94" s="402">
        <f t="shared" si="34"/>
        <v>0</v>
      </c>
      <c r="X94" s="157">
        <f t="shared" si="35"/>
        <v>44641</v>
      </c>
      <c r="Y94" s="385">
        <f t="shared" si="36"/>
        <v>43.549297523854406</v>
      </c>
      <c r="Z94" s="385">
        <f t="shared" si="37"/>
        <v>44.887674683747306</v>
      </c>
      <c r="AA94" s="386">
        <f t="shared" si="38"/>
        <v>48.196948880433688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6.8661487367094071E-2</v>
      </c>
      <c r="AD94" s="231">
        <f>(INDEX(Models!$BJ94:$BT94,,AH94)*(1-AF94)+INDEX(Models!$BJ94:$BT94,,AH94+1)*AF94-ERP_i)*AE94*Ramure*Pc/MaxiM</f>
        <v>1.2422138185308937E-5</v>
      </c>
      <c r="AE94" s="305">
        <f t="shared" si="40"/>
        <v>0.5</v>
      </c>
      <c r="AF94" s="177">
        <f t="shared" si="41"/>
        <v>1.4021311385550135E-2</v>
      </c>
      <c r="AG94" s="811">
        <f t="shared" si="49"/>
        <v>0</v>
      </c>
      <c r="AH94" s="176">
        <f t="shared" si="42"/>
        <v>6</v>
      </c>
      <c r="AI94" s="225">
        <f t="shared" si="43"/>
        <v>1.4021311385550135E-2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40">
        <v>42.612000000000002</v>
      </c>
      <c r="C95" s="841"/>
      <c r="D95" s="393">
        <f t="shared" si="25"/>
        <v>43.922533714955058</v>
      </c>
      <c r="E95" s="385">
        <f t="shared" si="47"/>
        <v>45.356543777685175</v>
      </c>
      <c r="F95" s="385">
        <f t="shared" si="26"/>
        <v>45.356909276256609</v>
      </c>
      <c r="G95" s="110">
        <f t="shared" si="48"/>
        <v>0.87799929962624923</v>
      </c>
      <c r="H95" s="414" t="b">
        <f>Wh_hp&gt;='2021'!Maxi_hp</f>
        <v>0</v>
      </c>
      <c r="I95" s="380">
        <f>IF(H95,Wh_hp,'2021'!Maxi_hp)</f>
        <v>50.23936086110939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2.9837388786813968E-2</v>
      </c>
      <c r="M95" s="845"/>
      <c r="N95" s="845"/>
      <c r="O95" s="48">
        <f>IF(t&lt;Tnet,'2021'!Resal+('2021'!Salim-'2021'!Resal)*(1-EXP(('2021'!Tnet-t)/('2021'!Tau_j))),Resal+(Salim-Resal)*(1-EXP((Tnet-t)/(Tau_j))))*Salcycl</f>
        <v>3.161638747782259E-2</v>
      </c>
      <c r="P95" s="339">
        <f>(INDEX(Models!$BJ95:$BT95,,T95)*(1-R95)+INDEX(Models!$BJ95:$BT95,,T95+1)*R95-ERP_i)*Q95*Ramure*Pc/MaxiM</f>
        <v>9.7591464782326983E-6</v>
      </c>
      <c r="Q95" s="305">
        <f t="shared" si="28"/>
        <v>0.5</v>
      </c>
      <c r="R95" s="177">
        <f t="shared" si="29"/>
        <v>1.4722108946724845E-2</v>
      </c>
      <c r="S95" s="811">
        <f t="shared" si="30"/>
        <v>0</v>
      </c>
      <c r="T95" s="176">
        <f t="shared" si="31"/>
        <v>6</v>
      </c>
      <c r="U95" s="251">
        <f t="shared" si="32"/>
        <v>1.4722108946724845E-2</v>
      </c>
      <c r="V95" s="383">
        <f t="shared" si="33"/>
        <v>48.532985778161368</v>
      </c>
      <c r="W95" s="402">
        <f t="shared" si="34"/>
        <v>0</v>
      </c>
      <c r="X95" s="157">
        <f t="shared" si="35"/>
        <v>44642</v>
      </c>
      <c r="Y95" s="385">
        <f t="shared" si="36"/>
        <v>40.979822809065894</v>
      </c>
      <c r="Z95" s="385">
        <f t="shared" si="37"/>
        <v>42.240158851123653</v>
      </c>
      <c r="AA95" s="386">
        <f t="shared" si="38"/>
        <v>45.356543777685175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6.8708606675069089E-2</v>
      </c>
      <c r="AD95" s="231">
        <f>(INDEX(Models!$BJ95:$BT95,,AH95)*(1-AF95)+INDEX(Models!$BJ95:$BT95,,AH95+1)*AF95-ERP_i)*AE95*Ramure*Pc/MaxiM</f>
        <v>9.7591464782326983E-6</v>
      </c>
      <c r="AE95" s="305">
        <f t="shared" si="40"/>
        <v>0.5</v>
      </c>
      <c r="AF95" s="177">
        <f t="shared" si="41"/>
        <v>1.4722108946724845E-2</v>
      </c>
      <c r="AG95" s="811">
        <f t="shared" si="49"/>
        <v>0</v>
      </c>
      <c r="AH95" s="176">
        <f t="shared" si="42"/>
        <v>6</v>
      </c>
      <c r="AI95" s="225">
        <f t="shared" si="43"/>
        <v>1.4722108946724845E-2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40">
        <v>48.892000000000003</v>
      </c>
      <c r="C96" s="841"/>
      <c r="D96" s="393">
        <f t="shared" si="25"/>
        <v>50.396779177660171</v>
      </c>
      <c r="E96" s="385">
        <f t="shared" si="47"/>
        <v>52.047314195424548</v>
      </c>
      <c r="F96" s="385">
        <f t="shared" si="26"/>
        <v>52.047706946675824</v>
      </c>
      <c r="G96" s="110">
        <f t="shared" si="48"/>
        <v>1.0004455446389742</v>
      </c>
      <c r="H96" s="414" t="b">
        <f>Wh_hp&gt;='2021'!Maxi_hp</f>
        <v>1</v>
      </c>
      <c r="I96" s="380">
        <f>IF(H96,Wh_hp,'2021'!Maxi_hp)</f>
        <v>52.047706946675824</v>
      </c>
      <c r="J96" s="85">
        <f>IF(H96,An,'2021'!An_max)</f>
        <v>2022</v>
      </c>
      <c r="K96" s="197">
        <f t="shared" si="27"/>
        <v>44643</v>
      </c>
      <c r="L96" s="147">
        <f>IF(t&lt;Tvie,1-EXP((T0-t)*PertePVj)+'2021'!Pspv,1-EXP((T0-t)*PertePVj)+Pspv)</f>
        <v>2.985863783785625E-2</v>
      </c>
      <c r="M96" s="845"/>
      <c r="N96" s="845"/>
      <c r="O96" s="48">
        <f>IF(t&lt;Tnet,'2021'!Resal+('2021'!Salim-'2021'!Resal)*(1-EXP(('2021'!Tnet-t)/('2021'!Tau_j))),Resal+(Salim-Resal)*(1-EXP((Tnet-t)/(Tau_j))))*Salcycl</f>
        <v>3.1712203468694515E-2</v>
      </c>
      <c r="P96" s="339">
        <f>(INDEX(Models!$BJ96:$BT96,,T96)*(1-R96)+INDEX(Models!$BJ96:$BT96,,T96+1)*R96-ERP_i)*Q96*Ramure*Pc/MaxiM</f>
        <v>7.5459856796348941E-6</v>
      </c>
      <c r="Q96" s="305">
        <f t="shared" si="28"/>
        <v>0.5</v>
      </c>
      <c r="R96" s="177">
        <f t="shared" si="29"/>
        <v>1.5450148649019488E-2</v>
      </c>
      <c r="S96" s="811">
        <f t="shared" si="30"/>
        <v>0</v>
      </c>
      <c r="T96" s="176">
        <f t="shared" si="31"/>
        <v>6</v>
      </c>
      <c r="U96" s="251">
        <f t="shared" si="32"/>
        <v>1.5450148649019488E-2</v>
      </c>
      <c r="V96" s="383">
        <f t="shared" si="33"/>
        <v>48.870226132741102</v>
      </c>
      <c r="W96" s="402">
        <f t="shared" si="34"/>
        <v>0</v>
      </c>
      <c r="X96" s="157">
        <f t="shared" si="35"/>
        <v>44643</v>
      </c>
      <c r="Y96" s="385">
        <f t="shared" si="36"/>
        <v>47.021534667008019</v>
      </c>
      <c r="Z96" s="385">
        <f t="shared" si="37"/>
        <v>48.468745381819019</v>
      </c>
      <c r="AA96" s="386">
        <f t="shared" si="38"/>
        <v>52.047314195424548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6.8756070681551443E-2</v>
      </c>
      <c r="AD96" s="231">
        <f>(INDEX(Models!$BJ96:$BT96,,AH96)*(1-AF96)+INDEX(Models!$BJ96:$BT96,,AH96+1)*AF96-ERP_i)*AE96*Ramure*Pc/MaxiM</f>
        <v>7.5459856796348941E-6</v>
      </c>
      <c r="AE96" s="305">
        <f t="shared" si="40"/>
        <v>0.5</v>
      </c>
      <c r="AF96" s="177">
        <f t="shared" si="41"/>
        <v>1.5450148649019488E-2</v>
      </c>
      <c r="AG96" s="811">
        <f t="shared" si="49"/>
        <v>0</v>
      </c>
      <c r="AH96" s="176">
        <f t="shared" si="42"/>
        <v>6</v>
      </c>
      <c r="AI96" s="225">
        <f t="shared" si="43"/>
        <v>1.5450148649019488E-2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40">
        <v>47.844000000000001</v>
      </c>
      <c r="C97" s="841"/>
      <c r="D97" s="393">
        <f t="shared" si="25"/>
        <v>49.317604418709642</v>
      </c>
      <c r="E97" s="385">
        <f t="shared" si="47"/>
        <v>50.937840333979736</v>
      </c>
      <c r="F97" s="385">
        <f t="shared" si="26"/>
        <v>50.938122848408874</v>
      </c>
      <c r="G97" s="110">
        <f t="shared" si="48"/>
        <v>0.97229867722025543</v>
      </c>
      <c r="H97" s="414" t="b">
        <f>Wh_hp&gt;='2021'!Maxi_hp</f>
        <v>0</v>
      </c>
      <c r="I97" s="380">
        <f>IF(H97,Wh_hp,'2021'!Maxi_hp)</f>
        <v>51.495753799818651</v>
      </c>
      <c r="J97" s="85">
        <f>IF(H97,An,'2021'!An_max)</f>
        <v>2019</v>
      </c>
      <c r="K97" s="197">
        <f t="shared" si="27"/>
        <v>44644</v>
      </c>
      <c r="L97" s="147">
        <f>IF(t&lt;Tvie,1-EXP((T0-t)*PertePVj)+'2021'!Pspv,1-EXP((T0-t)*PertePVj)+Pspv)</f>
        <v>2.9879886423489821E-2</v>
      </c>
      <c r="M97" s="845"/>
      <c r="N97" s="845"/>
      <c r="O97" s="48">
        <f>IF(t&lt;Tnet,'2021'!Resal+('2021'!Salim-'2021'!Resal)*(1-EXP(('2021'!Tnet-t)/('2021'!Tau_j))),Resal+(Salim-Resal)*(1-EXP((Tnet-t)/(Tau_j))))*Salcycl</f>
        <v>3.1808099924276946E-2</v>
      </c>
      <c r="P97" s="339">
        <f>(INDEX(Models!$BJ97:$BT97,,T97)*(1-R97)+INDEX(Models!$BJ97:$BT97,,T97+1)*R97-ERP_i)*Q97*Ramure*Pc/MaxiM</f>
        <v>5.7747519890548559E-6</v>
      </c>
      <c r="Q97" s="305">
        <f t="shared" si="28"/>
        <v>0.5</v>
      </c>
      <c r="R97" s="177">
        <f t="shared" si="29"/>
        <v>1.6206399101579304E-2</v>
      </c>
      <c r="S97" s="811">
        <f t="shared" si="30"/>
        <v>0</v>
      </c>
      <c r="T97" s="176">
        <f t="shared" si="31"/>
        <v>6</v>
      </c>
      <c r="U97" s="251">
        <f t="shared" si="32"/>
        <v>1.6206399101579304E-2</v>
      </c>
      <c r="V97" s="383">
        <f t="shared" si="33"/>
        <v>49.207090565223801</v>
      </c>
      <c r="W97" s="402">
        <f t="shared" si="34"/>
        <v>0</v>
      </c>
      <c r="X97" s="157">
        <f t="shared" si="35"/>
        <v>44644</v>
      </c>
      <c r="Y97" s="385">
        <f t="shared" si="36"/>
        <v>46.015821748351264</v>
      </c>
      <c r="Z97" s="385">
        <f t="shared" si="37"/>
        <v>47.43311792465186</v>
      </c>
      <c r="AA97" s="386">
        <f t="shared" si="38"/>
        <v>50.937840333979736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6.8803906611445712E-2</v>
      </c>
      <c r="AD97" s="231">
        <f>(INDEX(Models!$BJ97:$BT97,,AH97)*(1-AF97)+INDEX(Models!$BJ97:$BT97,,AH97+1)*AF97-ERP_i)*AE97*Ramure*Pc/MaxiM</f>
        <v>5.7747519890548559E-6</v>
      </c>
      <c r="AE97" s="305">
        <f t="shared" si="40"/>
        <v>0.5</v>
      </c>
      <c r="AF97" s="177">
        <f t="shared" si="41"/>
        <v>1.6206399101579304E-2</v>
      </c>
      <c r="AG97" s="811">
        <f t="shared" si="49"/>
        <v>0</v>
      </c>
      <c r="AH97" s="176">
        <f t="shared" si="42"/>
        <v>6</v>
      </c>
      <c r="AI97" s="225">
        <f t="shared" si="43"/>
        <v>1.6206399101579304E-2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40">
        <v>41.908000000000001</v>
      </c>
      <c r="C98" s="841"/>
      <c r="D98" s="393">
        <f t="shared" si="25"/>
        <v>43.199720659696929</v>
      </c>
      <c r="E98" s="385">
        <f t="shared" si="47"/>
        <v>44.623389333653193</v>
      </c>
      <c r="F98" s="385">
        <f t="shared" si="26"/>
        <v>44.623543770200989</v>
      </c>
      <c r="G98" s="110">
        <f t="shared" si="48"/>
        <v>0.84589796297018405</v>
      </c>
      <c r="H98" s="414" t="b">
        <f>Wh_hp&gt;='2021'!Maxi_hp</f>
        <v>0</v>
      </c>
      <c r="I98" s="380">
        <f>IF(H98,Wh_hp,'2021'!Maxi_hp)</f>
        <v>48.049790210842104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2.9901134543724783E-2</v>
      </c>
      <c r="M98" s="845"/>
      <c r="N98" s="845"/>
      <c r="O98" s="48">
        <f>IF(t&lt;Tnet,'2021'!Resal+('2021'!Salim-'2021'!Resal)*(1-EXP(('2021'!Tnet-t)/('2021'!Tau_j))),Resal+(Salim-Resal)*(1-EXP((Tnet-t)/(Tau_j))))*Salcycl</f>
        <v>3.1904090998363228E-2</v>
      </c>
      <c r="P98" s="339">
        <f>(INDEX(Models!$BJ98:$BT98,,T98)*(1-R98)+INDEX(Models!$BJ98:$BT98,,T98+1)*R98-ERP_i)*Q98*Ramure*Pc/MaxiM</f>
        <v>4.437843033048157E-6</v>
      </c>
      <c r="Q98" s="305">
        <f t="shared" si="28"/>
        <v>0.5</v>
      </c>
      <c r="R98" s="177">
        <f t="shared" si="29"/>
        <v>1.6991855936826544E-2</v>
      </c>
      <c r="S98" s="811">
        <f t="shared" si="30"/>
        <v>0</v>
      </c>
      <c r="T98" s="176">
        <f t="shared" si="31"/>
        <v>6</v>
      </c>
      <c r="U98" s="251">
        <f t="shared" si="32"/>
        <v>1.6991855936826544E-2</v>
      </c>
      <c r="V98" s="383">
        <f t="shared" si="33"/>
        <v>49.542570016328803</v>
      </c>
      <c r="W98" s="402">
        <f t="shared" si="34"/>
        <v>0</v>
      </c>
      <c r="X98" s="157">
        <f t="shared" si="35"/>
        <v>44645</v>
      </c>
      <c r="Y98" s="385">
        <f t="shared" si="36"/>
        <v>40.308552157128084</v>
      </c>
      <c r="Z98" s="385">
        <f t="shared" si="37"/>
        <v>41.550973403282356</v>
      </c>
      <c r="AA98" s="386">
        <f t="shared" si="38"/>
        <v>44.623389333653193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6.8852141808370959E-2</v>
      </c>
      <c r="AD98" s="231">
        <f>(INDEX(Models!$BJ98:$BT98,,AH98)*(1-AF98)+INDEX(Models!$BJ98:$BT98,,AH98+1)*AF98-ERP_i)*AE98*Ramure*Pc/MaxiM</f>
        <v>4.437843033048157E-6</v>
      </c>
      <c r="AE98" s="305">
        <f t="shared" si="40"/>
        <v>0.5</v>
      </c>
      <c r="AF98" s="177">
        <f t="shared" si="41"/>
        <v>1.6991855936826544E-2</v>
      </c>
      <c r="AG98" s="811">
        <f t="shared" si="49"/>
        <v>0</v>
      </c>
      <c r="AH98" s="176">
        <f t="shared" si="42"/>
        <v>6</v>
      </c>
      <c r="AI98" s="225">
        <f t="shared" si="43"/>
        <v>1.6991855936826544E-2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40">
        <v>47.164000000000001</v>
      </c>
      <c r="C99" s="841"/>
      <c r="D99" s="393">
        <f t="shared" si="25"/>
        <v>48.618790016918318</v>
      </c>
      <c r="E99" s="385">
        <f t="shared" si="47"/>
        <v>50.226032653661939</v>
      </c>
      <c r="F99" s="385">
        <f t="shared" si="26"/>
        <v>50.226196091627614</v>
      </c>
      <c r="G99" s="110">
        <f t="shared" si="48"/>
        <v>0.94563141569768061</v>
      </c>
      <c r="H99" s="414" t="b">
        <f>Wh_hp&gt;='2021'!Maxi_hp</f>
        <v>0</v>
      </c>
      <c r="I99" s="380">
        <f>IF(H99,Wh_hp,'2021'!Maxi_hp)</f>
        <v>54.932815887950575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2.9922382198571351E-2</v>
      </c>
      <c r="M99" s="845"/>
      <c r="N99" s="845"/>
      <c r="O99" s="48">
        <f>IF(t&lt;Tnet,'2021'!Resal+('2021'!Salim-'2021'!Resal)*(1-EXP(('2021'!Tnet-t)/('2021'!Tau_j))),Resal+(Salim-Resal)*(1-EXP((Tnet-t)/(Tau_j))))*Salcycl</f>
        <v>3.2000190973205125E-2</v>
      </c>
      <c r="P99" s="339">
        <f>(INDEX(Models!$BJ99:$BT99,,T99)*(1-R99)+INDEX(Models!$BJ99:$BT99,,T99+1)*R99-ERP_i)*Q99*Ramure*Pc/MaxiM</f>
        <v>3.528059260213361E-6</v>
      </c>
      <c r="Q99" s="305">
        <f t="shared" si="28"/>
        <v>0.5</v>
      </c>
      <c r="R99" s="177">
        <f t="shared" si="29"/>
        <v>1.780754193823016E-2</v>
      </c>
      <c r="S99" s="811">
        <f t="shared" si="30"/>
        <v>0</v>
      </c>
      <c r="T99" s="176">
        <f t="shared" si="31"/>
        <v>6</v>
      </c>
      <c r="U99" s="251">
        <f t="shared" si="32"/>
        <v>1.780754193823016E-2</v>
      </c>
      <c r="V99" s="383">
        <f t="shared" si="33"/>
        <v>49.87565587722785</v>
      </c>
      <c r="W99" s="402">
        <f t="shared" si="34"/>
        <v>0</v>
      </c>
      <c r="X99" s="157">
        <f t="shared" si="35"/>
        <v>44646</v>
      </c>
      <c r="Y99" s="385">
        <f t="shared" si="36"/>
        <v>45.366085909098025</v>
      </c>
      <c r="Z99" s="385">
        <f t="shared" si="37"/>
        <v>46.765418639299334</v>
      </c>
      <c r="AA99" s="386">
        <f t="shared" si="38"/>
        <v>50.226032653661939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6.8900803657449466E-2</v>
      </c>
      <c r="AD99" s="231">
        <f>(INDEX(Models!$BJ99:$BT99,,AH99)*(1-AF99)+INDEX(Models!$BJ99:$BT99,,AH99+1)*AF99-ERP_i)*AE99*Ramure*Pc/MaxiM</f>
        <v>3.528059260213361E-6</v>
      </c>
      <c r="AE99" s="305">
        <f t="shared" si="40"/>
        <v>0.5</v>
      </c>
      <c r="AF99" s="177">
        <f t="shared" si="41"/>
        <v>1.780754193823016E-2</v>
      </c>
      <c r="AG99" s="811">
        <f t="shared" si="49"/>
        <v>0</v>
      </c>
      <c r="AH99" s="176">
        <f t="shared" si="42"/>
        <v>6</v>
      </c>
      <c r="AI99" s="225">
        <f t="shared" si="43"/>
        <v>1.780754193823016E-2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40">
        <v>45.939</v>
      </c>
      <c r="C100" s="841"/>
      <c r="D100" s="393">
        <f t="shared" si="25"/>
        <v>47.357041705750945</v>
      </c>
      <c r="E100" s="385">
        <f t="shared" si="47"/>
        <v>48.927436990317467</v>
      </c>
      <c r="F100" s="385">
        <f t="shared" si="26"/>
        <v>48.927568597353442</v>
      </c>
      <c r="G100" s="110">
        <f t="shared" si="48"/>
        <v>0.91502186782916228</v>
      </c>
      <c r="H100" s="414" t="b">
        <f>Wh_hp&gt;='2021'!Maxi_hp</f>
        <v>0</v>
      </c>
      <c r="I100" s="380">
        <f>IF(H100,Wh_hp,'2021'!Maxi_hp)</f>
        <v>54.175577399192605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2.9943629388039739E-2</v>
      </c>
      <c r="M100" s="845"/>
      <c r="N100" s="845"/>
      <c r="O100" s="48">
        <f>IF(t&lt;Tnet,'2021'!Resal+('2021'!Salim-'2021'!Resal)*(1-EXP(('2021'!Tnet-t)/('2021'!Tau_j))),Resal+(Salim-Resal)*(1-EXP((Tnet-t)/(Tau_j))))*Salcycl</f>
        <v>3.2096414224135617E-2</v>
      </c>
      <c r="P100" s="339">
        <f>(INDEX(Models!$BJ100:$BT100,,T100)*(1-R100)+INDEX(Models!$BJ100:$BT100,,T100+1)*R100-ERP_i)*Q100*Ramure*Pc/MaxiM</f>
        <v>3.0614890864436143E-6</v>
      </c>
      <c r="Q100" s="305">
        <f t="shared" si="28"/>
        <v>0.5</v>
      </c>
      <c r="R100" s="177">
        <f t="shared" si="29"/>
        <v>1.8654507106194738E-2</v>
      </c>
      <c r="S100" s="811">
        <f t="shared" si="30"/>
        <v>0</v>
      </c>
      <c r="T100" s="176">
        <f t="shared" si="31"/>
        <v>6</v>
      </c>
      <c r="U100" s="251">
        <f t="shared" si="32"/>
        <v>1.8654507106194738E-2</v>
      </c>
      <c r="V100" s="383">
        <f t="shared" si="33"/>
        <v>50.205338846684853</v>
      </c>
      <c r="W100" s="402">
        <f t="shared" si="34"/>
        <v>0</v>
      </c>
      <c r="X100" s="157">
        <f t="shared" si="35"/>
        <v>44647</v>
      </c>
      <c r="Y100" s="385">
        <f t="shared" si="36"/>
        <v>44.189845224436922</v>
      </c>
      <c r="Z100" s="385">
        <f t="shared" si="37"/>
        <v>45.553894147986213</v>
      </c>
      <c r="AA100" s="386">
        <f t="shared" si="38"/>
        <v>48.927436990317467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6.8949919510373325E-2</v>
      </c>
      <c r="AD100" s="231">
        <f>(INDEX(Models!$BJ100:$BT100,,AH100)*(1-AF100)+INDEX(Models!$BJ100:$BT100,,AH100+1)*AF100-ERP_i)*AE100*Ramure*Pc/MaxiM</f>
        <v>3.0614890864436143E-6</v>
      </c>
      <c r="AE100" s="305">
        <f t="shared" si="40"/>
        <v>0.5</v>
      </c>
      <c r="AF100" s="177">
        <f t="shared" si="41"/>
        <v>1.8654507106194738E-2</v>
      </c>
      <c r="AG100" s="811">
        <f t="shared" si="49"/>
        <v>0</v>
      </c>
      <c r="AH100" s="176">
        <f t="shared" si="42"/>
        <v>6</v>
      </c>
      <c r="AI100" s="225">
        <f t="shared" si="43"/>
        <v>1.8654507106194738E-2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40">
        <v>35.966999999999999</v>
      </c>
      <c r="C101" s="841"/>
      <c r="D101" s="393">
        <f t="shared" si="25"/>
        <v>37.078038840331665</v>
      </c>
      <c r="E101" s="385">
        <f t="shared" si="47"/>
        <v>38.31138876589295</v>
      </c>
      <c r="F101" s="385">
        <f t="shared" si="26"/>
        <v>38.311448400921023</v>
      </c>
      <c r="G101" s="110">
        <f t="shared" si="48"/>
        <v>0.7117853135075648</v>
      </c>
      <c r="H101" s="414" t="b">
        <f>Wh_hp&gt;='2021'!Maxi_hp</f>
        <v>0</v>
      </c>
      <c r="I101" s="380">
        <f>IF(H101,Wh_hp,'2021'!Maxi_hp)</f>
        <v>52.923988977147388</v>
      </c>
      <c r="J101" s="85">
        <f>IF(H101,An,'2021'!An_max)</f>
        <v>2019</v>
      </c>
      <c r="K101" s="197">
        <f t="shared" si="27"/>
        <v>44648</v>
      </c>
      <c r="L101" s="147">
        <f>IF(t&lt;Tvie,1-EXP((T0-t)*PertePVj)+'2021'!Pspv,1-EXP((T0-t)*PertePVj)+Pspv)</f>
        <v>2.9964876112140271E-2</v>
      </c>
      <c r="M101" s="845"/>
      <c r="N101" s="845"/>
      <c r="O101" s="48">
        <f>IF(t&lt;Tnet,'2021'!Resal+('2021'!Salim-'2021'!Resal)*(1-EXP(('2021'!Tnet-t)/('2021'!Tau_j))),Resal+(Salim-Resal)*(1-EXP((Tnet-t)/(Tau_j))))*Salcycl</f>
        <v>3.2192775184889277E-2</v>
      </c>
      <c r="P101" s="339">
        <f>(INDEX(Models!$BJ101:$BT101,,T101)*(1-R101)+INDEX(Models!$BJ101:$BT101,,T101+1)*R101-ERP_i)*Q101*Ramure*Pc/MaxiM</f>
        <v>2.6460571851902791E-6</v>
      </c>
      <c r="Q101" s="305">
        <f t="shared" si="28"/>
        <v>0.5</v>
      </c>
      <c r="R101" s="177">
        <f t="shared" si="29"/>
        <v>1.9533828655858978E-2</v>
      </c>
      <c r="S101" s="811">
        <f t="shared" si="30"/>
        <v>0</v>
      </c>
      <c r="T101" s="176">
        <f t="shared" si="31"/>
        <v>6</v>
      </c>
      <c r="U101" s="251">
        <f t="shared" si="32"/>
        <v>1.9533828655858978E-2</v>
      </c>
      <c r="V101" s="383">
        <f t="shared" si="33"/>
        <v>50.530630700506443</v>
      </c>
      <c r="W101" s="402">
        <f t="shared" si="34"/>
        <v>0</v>
      </c>
      <c r="X101" s="157">
        <f t="shared" si="35"/>
        <v>44648</v>
      </c>
      <c r="Y101" s="385">
        <f t="shared" si="36"/>
        <v>34.599136612539624</v>
      </c>
      <c r="Z101" s="385">
        <f t="shared" si="37"/>
        <v>35.667921460274293</v>
      </c>
      <c r="AA101" s="386">
        <f t="shared" si="38"/>
        <v>38.31138876589295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6.8999516612982467E-2</v>
      </c>
      <c r="AD101" s="231">
        <f>(INDEX(Models!$BJ101:$BT101,,AH101)*(1-AF101)+INDEX(Models!$BJ101:$BT101,,AH101+1)*AF101-ERP_i)*AE101*Ramure*Pc/MaxiM</f>
        <v>2.6460571851902791E-6</v>
      </c>
      <c r="AE101" s="305">
        <f t="shared" si="40"/>
        <v>0.5</v>
      </c>
      <c r="AF101" s="177">
        <f t="shared" si="41"/>
        <v>1.9533828655858978E-2</v>
      </c>
      <c r="AG101" s="811">
        <f t="shared" si="49"/>
        <v>0</v>
      </c>
      <c r="AH101" s="176">
        <f t="shared" si="42"/>
        <v>6</v>
      </c>
      <c r="AI101" s="225">
        <f t="shared" si="43"/>
        <v>1.9533828655858978E-2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40">
        <v>28.327000000000002</v>
      </c>
      <c r="C102" s="841"/>
      <c r="D102" s="393">
        <f t="shared" si="25"/>
        <v>29.202674985677653</v>
      </c>
      <c r="E102" s="385">
        <f t="shared" si="47"/>
        <v>30.177071136053385</v>
      </c>
      <c r="F102" s="385">
        <f t="shared" si="26"/>
        <v>30.177096414309283</v>
      </c>
      <c r="G102" s="110">
        <f t="shared" si="48"/>
        <v>0.55706326540625684</v>
      </c>
      <c r="H102" s="414" t="b">
        <f>Wh_hp&gt;='2021'!Maxi_hp</f>
        <v>0</v>
      </c>
      <c r="I102" s="380">
        <f>IF(H102,Wh_hp,'2021'!Maxi_hp)</f>
        <v>54.418783965233558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2.9986122370882939E-2</v>
      </c>
      <c r="M102" s="845"/>
      <c r="N102" s="845"/>
      <c r="O102" s="48">
        <f>IF(t&lt;Tnet,'2021'!Resal+('2021'!Salim-'2021'!Resal)*(1-EXP(('2021'!Tnet-t)/('2021'!Tau_j))),Resal+(Salim-Resal)*(1-EXP((Tnet-t)/(Tau_j))))*Salcycl</f>
        <v>3.2289288313722193E-2</v>
      </c>
      <c r="P102" s="339">
        <f>(INDEX(Models!$BJ102:$BT102,,T102)*(1-R102)+INDEX(Models!$BJ102:$BT102,,T102+1)*R102-ERP_i)*Q102*Ramure*Pc/MaxiM</f>
        <v>2.2810054200911734E-6</v>
      </c>
      <c r="Q102" s="305">
        <f t="shared" si="28"/>
        <v>0.5</v>
      </c>
      <c r="R102" s="177">
        <f t="shared" si="29"/>
        <v>2.0446610940245361E-2</v>
      </c>
      <c r="S102" s="811">
        <f t="shared" si="30"/>
        <v>0</v>
      </c>
      <c r="T102" s="176">
        <f t="shared" si="31"/>
        <v>6</v>
      </c>
      <c r="U102" s="251">
        <f t="shared" si="32"/>
        <v>2.0446610940245361E-2</v>
      </c>
      <c r="V102" s="383">
        <f t="shared" si="33"/>
        <v>50.850524300438792</v>
      </c>
      <c r="W102" s="402">
        <f t="shared" si="34"/>
        <v>0</v>
      </c>
      <c r="X102" s="157">
        <f t="shared" si="35"/>
        <v>44649</v>
      </c>
      <c r="Y102" s="385">
        <f t="shared" si="36"/>
        <v>27.25094497574289</v>
      </c>
      <c r="Z102" s="385">
        <f t="shared" si="37"/>
        <v>28.093355779969816</v>
      </c>
      <c r="AA102" s="386">
        <f t="shared" si="38"/>
        <v>30.177071136053385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6.9049622035522784E-2</v>
      </c>
      <c r="AD102" s="231">
        <f>(INDEX(Models!$BJ102:$BT102,,AH102)*(1-AF102)+INDEX(Models!$BJ102:$BT102,,AH102+1)*AF102-ERP_i)*AE102*Ramure*Pc/MaxiM</f>
        <v>2.2810054200911734E-6</v>
      </c>
      <c r="AE102" s="305">
        <f t="shared" si="40"/>
        <v>0.5</v>
      </c>
      <c r="AF102" s="177">
        <f t="shared" si="41"/>
        <v>2.0446610940245361E-2</v>
      </c>
      <c r="AG102" s="811">
        <f t="shared" si="49"/>
        <v>0</v>
      </c>
      <c r="AH102" s="176">
        <f t="shared" si="42"/>
        <v>6</v>
      </c>
      <c r="AI102" s="225">
        <f t="shared" si="43"/>
        <v>2.0446610940245361E-2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40">
        <v>7.9660000000000002</v>
      </c>
      <c r="C103" s="841"/>
      <c r="D103" s="393">
        <f t="shared" si="25"/>
        <v>8.2124335160404822</v>
      </c>
      <c r="E103" s="385">
        <f t="shared" si="47"/>
        <v>8.4873030412534849</v>
      </c>
      <c r="F103" s="385">
        <f t="shared" si="26"/>
        <v>8.4873030412534849</v>
      </c>
      <c r="G103" s="110">
        <f t="shared" si="48"/>
        <v>0.15569506528539431</v>
      </c>
      <c r="H103" s="414" t="b">
        <f>Wh_hp&gt;='2021'!Maxi_hp</f>
        <v>0</v>
      </c>
      <c r="I103" s="380">
        <f>IF(H103,Wh_hp,'2021'!Maxi_hp)</f>
        <v>55.483183570295765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3.0007368164277959E-2</v>
      </c>
      <c r="M103" s="845"/>
      <c r="N103" s="845"/>
      <c r="O103" s="48">
        <f>IF(t&lt;Tnet,'2021'!Resal+('2021'!Salim-'2021'!Resal)*(1-EXP(('2021'!Tnet-t)/('2021'!Tau_j))),Resal+(Salim-Resal)*(1-EXP((Tnet-t)/(Tau_j))))*Salcycl</f>
        <v>3.2385968060403607E-2</v>
      </c>
      <c r="P103" s="339">
        <f>(INDEX(Models!$BJ103:$BT103,,T103)*(1-R103)+INDEX(Models!$BJ103:$BT103,,T103+1)*R103-ERP_i)*Q103*Ramure*Pc/MaxiM</f>
        <v>1.9656408478728191E-6</v>
      </c>
      <c r="Q103" s="305">
        <f t="shared" si="28"/>
        <v>0.5</v>
      </c>
      <c r="R103" s="177">
        <f t="shared" si="29"/>
        <v>2.1393985291863701E-2</v>
      </c>
      <c r="S103" s="811">
        <f t="shared" si="30"/>
        <v>0</v>
      </c>
      <c r="T103" s="176">
        <f t="shared" si="31"/>
        <v>6</v>
      </c>
      <c r="U103" s="251">
        <f t="shared" si="32"/>
        <v>2.1393985291863701E-2</v>
      </c>
      <c r="V103" s="383">
        <f t="shared" si="33"/>
        <v>51.164012983347206</v>
      </c>
      <c r="W103" s="402">
        <f t="shared" si="34"/>
        <v>0</v>
      </c>
      <c r="X103" s="157">
        <f t="shared" si="35"/>
        <v>44650</v>
      </c>
      <c r="Y103" s="385">
        <f t="shared" si="36"/>
        <v>7.6637451125202487</v>
      </c>
      <c r="Z103" s="385">
        <f t="shared" si="37"/>
        <v>7.9008281722888185</v>
      </c>
      <c r="AA103" s="386">
        <f t="shared" si="38"/>
        <v>8.4873030412534849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6.9100262605687565E-2</v>
      </c>
      <c r="AD103" s="231">
        <f>(INDEX(Models!$BJ103:$BT103,,AH103)*(1-AF103)+INDEX(Models!$BJ103:$BT103,,AH103+1)*AF103-ERP_i)*AE103*Ramure*Pc/MaxiM</f>
        <v>1.9656408478728191E-6</v>
      </c>
      <c r="AE103" s="305">
        <f t="shared" si="40"/>
        <v>0.5</v>
      </c>
      <c r="AF103" s="177">
        <f t="shared" si="41"/>
        <v>2.1393985291863701E-2</v>
      </c>
      <c r="AG103" s="811">
        <f t="shared" si="49"/>
        <v>0</v>
      </c>
      <c r="AH103" s="176">
        <f t="shared" si="42"/>
        <v>6</v>
      </c>
      <c r="AI103" s="225">
        <f t="shared" si="43"/>
        <v>2.1393985291863701E-2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40">
        <v>29.029</v>
      </c>
      <c r="C104" s="841"/>
      <c r="D104" s="393">
        <f t="shared" si="25"/>
        <v>29.927686943959788</v>
      </c>
      <c r="E104" s="385">
        <f t="shared" si="47"/>
        <v>30.932460772656182</v>
      </c>
      <c r="F104" s="385">
        <f t="shared" si="26"/>
        <v>30.932480596982369</v>
      </c>
      <c r="G104" s="110">
        <f t="shared" si="48"/>
        <v>0.5639968563850537</v>
      </c>
      <c r="H104" s="414" t="b">
        <f>Wh_hp&gt;='2021'!Maxi_hp</f>
        <v>0</v>
      </c>
      <c r="I104" s="380">
        <f>IF(H104,Wh_hp,'2021'!Maxi_hp)</f>
        <v>49.250450204262727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3.0028613492335654E-2</v>
      </c>
      <c r="M104" s="845"/>
      <c r="N104" s="845"/>
      <c r="O104" s="48">
        <f>IF(t&lt;Tnet,'2021'!Resal+('2021'!Salim-'2021'!Resal)*(1-EXP(('2021'!Tnet-t)/('2021'!Tau_j))),Resal+(Salim-Resal)*(1-EXP((Tnet-t)/(Tau_j))))*Salcycl</f>
        <v>3.2482828834122318E-2</v>
      </c>
      <c r="P104" s="339">
        <f>(INDEX(Models!$BJ104:$BT104,,T104)*(1-R104)+INDEX(Models!$BJ104:$BT104,,T104+1)*R104-ERP_i)*Q104*Ramure*Pc/MaxiM</f>
        <v>1.6993466836466785E-6</v>
      </c>
      <c r="Q104" s="305">
        <f t="shared" si="28"/>
        <v>0.5</v>
      </c>
      <c r="R104" s="177">
        <f t="shared" si="29"/>
        <v>2.2377109775527957E-2</v>
      </c>
      <c r="S104" s="811">
        <f t="shared" si="30"/>
        <v>0</v>
      </c>
      <c r="T104" s="176">
        <f t="shared" si="31"/>
        <v>6</v>
      </c>
      <c r="U104" s="251">
        <f t="shared" si="32"/>
        <v>2.2377109775527957E-2</v>
      </c>
      <c r="V104" s="383">
        <f t="shared" si="33"/>
        <v>51.470090560630105</v>
      </c>
      <c r="W104" s="402">
        <f t="shared" si="34"/>
        <v>0</v>
      </c>
      <c r="X104" s="157">
        <f t="shared" si="35"/>
        <v>44651</v>
      </c>
      <c r="Y104" s="385">
        <f t="shared" si="36"/>
        <v>27.928808844258519</v>
      </c>
      <c r="Z104" s="385">
        <f t="shared" si="37"/>
        <v>28.793435798982546</v>
      </c>
      <c r="AA104" s="386">
        <f t="shared" si="38"/>
        <v>30.932460772656182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6.9151464844481425E-2</v>
      </c>
      <c r="AD104" s="231">
        <f>(INDEX(Models!$BJ104:$BT104,,AH104)*(1-AF104)+INDEX(Models!$BJ104:$BT104,,AH104+1)*AF104-ERP_i)*AE104*Ramure*Pc/MaxiM</f>
        <v>1.6993466836466785E-6</v>
      </c>
      <c r="AE104" s="305">
        <f t="shared" si="40"/>
        <v>0.5</v>
      </c>
      <c r="AF104" s="177">
        <f t="shared" si="41"/>
        <v>2.2377109775527957E-2</v>
      </c>
      <c r="AG104" s="811">
        <f t="shared" si="49"/>
        <v>0</v>
      </c>
      <c r="AH104" s="176">
        <f t="shared" si="42"/>
        <v>6</v>
      </c>
      <c r="AI104" s="225">
        <f t="shared" si="43"/>
        <v>2.2377109775527957E-2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40">
        <v>31.766999999999999</v>
      </c>
      <c r="C105" s="841"/>
      <c r="D105" s="393">
        <f t="shared" si="25"/>
        <v>32.751167958104006</v>
      </c>
      <c r="E105" s="385">
        <f t="shared" si="47"/>
        <v>33.854131673876722</v>
      </c>
      <c r="F105" s="385">
        <f t="shared" si="26"/>
        <v>33.854154147887662</v>
      </c>
      <c r="G105" s="110">
        <f t="shared" si="48"/>
        <v>0.61364407781217178</v>
      </c>
      <c r="H105" s="414" t="b">
        <f>Wh_hp&gt;='2021'!Maxi_hp</f>
        <v>0</v>
      </c>
      <c r="I105" s="380">
        <f>IF(H105,Wh_hp,'2021'!Maxi_hp)</f>
        <v>50.405835504746996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3.0049858355066128E-2</v>
      </c>
      <c r="M105" s="845"/>
      <c r="N105" s="845"/>
      <c r="O105" s="48">
        <f>IF(t&lt;Tnet,'2021'!Resal+('2021'!Salim-'2021'!Resal)*(1-EXP(('2021'!Tnet-t)/('2021'!Tau_j))),Resal+(Salim-Resal)*(1-EXP((Tnet-t)/(Tau_j))))*Salcycl</f>
        <v>3.257988497232113E-2</v>
      </c>
      <c r="P105" s="339">
        <f>(INDEX(Models!$BJ105:$BT105,,T105)*(1-R105)+INDEX(Models!$BJ105:$BT105,,T105+1)*R105-ERP_i)*Q105*Ramure*Pc/MaxiM</f>
        <v>1.4815928520854866E-6</v>
      </c>
      <c r="Q105" s="305">
        <f t="shared" si="28"/>
        <v>0.5</v>
      </c>
      <c r="R105" s="177">
        <f t="shared" si="29"/>
        <v>2.3397168844813195E-2</v>
      </c>
      <c r="S105" s="811">
        <f t="shared" si="30"/>
        <v>0</v>
      </c>
      <c r="T105" s="176">
        <f t="shared" si="31"/>
        <v>6</v>
      </c>
      <c r="U105" s="251">
        <f t="shared" si="32"/>
        <v>2.3397168844813195E-2</v>
      </c>
      <c r="V105" s="383">
        <f t="shared" si="33"/>
        <v>51.767751325718812</v>
      </c>
      <c r="W105" s="402">
        <f t="shared" si="34"/>
        <v>0</v>
      </c>
      <c r="X105" s="157">
        <f t="shared" si="35"/>
        <v>44652</v>
      </c>
      <c r="Y105" s="385">
        <f t="shared" si="36"/>
        <v>30.564405000603678</v>
      </c>
      <c r="Z105" s="385">
        <f t="shared" si="37"/>
        <v>31.51131557006595</v>
      </c>
      <c r="AA105" s="386">
        <f t="shared" si="38"/>
        <v>33.854131673876722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6.9203254904883243E-2</v>
      </c>
      <c r="AD105" s="231">
        <f>(INDEX(Models!$BJ105:$BT105,,AH105)*(1-AF105)+INDEX(Models!$BJ105:$BT105,,AH105+1)*AF105-ERP_i)*AE105*Ramure*Pc/MaxiM</f>
        <v>1.4815928520854866E-6</v>
      </c>
      <c r="AE105" s="305">
        <f t="shared" si="40"/>
        <v>0.5</v>
      </c>
      <c r="AF105" s="177">
        <f t="shared" si="41"/>
        <v>2.3397168844813195E-2</v>
      </c>
      <c r="AG105" s="811">
        <f t="shared" si="49"/>
        <v>0</v>
      </c>
      <c r="AH105" s="176">
        <f t="shared" si="42"/>
        <v>6</v>
      </c>
      <c r="AI105" s="225">
        <f t="shared" si="43"/>
        <v>2.3397168844813195E-2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40">
        <v>21.655999999999999</v>
      </c>
      <c r="C106" s="841"/>
      <c r="D106" s="393">
        <f t="shared" si="25"/>
        <v>22.327409835355702</v>
      </c>
      <c r="E106" s="385">
        <f t="shared" si="47"/>
        <v>23.081652471823588</v>
      </c>
      <c r="F106" s="385">
        <f t="shared" si="26"/>
        <v>23.081657490554388</v>
      </c>
      <c r="G106" s="110">
        <f t="shared" si="48"/>
        <v>0.41601314798585004</v>
      </c>
      <c r="H106" s="414" t="b">
        <f>Wh_hp&gt;='2021'!Maxi_hp</f>
        <v>0</v>
      </c>
      <c r="I106" s="380">
        <f>IF(H106,Wh_hp,'2021'!Maxi_hp)</f>
        <v>45.758995612636852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3.0071102752479484E-2</v>
      </c>
      <c r="M106" s="845"/>
      <c r="N106" s="845"/>
      <c r="O106" s="48">
        <f>IF(t&lt;Tnet,'2021'!Resal+('2021'!Salim-'2021'!Resal)*(1-EXP(('2021'!Tnet-t)/('2021'!Tau_j))),Resal+(Salim-Resal)*(1-EXP((Tnet-t)/(Tau_j))))*Salcycl</f>
        <v>3.2677150710444615E-2</v>
      </c>
      <c r="P106" s="339">
        <f>(INDEX(Models!$BJ106:$BT106,,T106)*(1-R106)+INDEX(Models!$BJ106:$BT106,,T106+1)*R106-ERP_i)*Q106*Ramure*Pc/MaxiM</f>
        <v>1.3119462214494056E-6</v>
      </c>
      <c r="Q106" s="305">
        <f t="shared" si="28"/>
        <v>0.5</v>
      </c>
      <c r="R106" s="177">
        <f t="shared" si="29"/>
        <v>2.4455372894252557E-2</v>
      </c>
      <c r="S106" s="811">
        <f t="shared" si="30"/>
        <v>0</v>
      </c>
      <c r="T106" s="176">
        <f t="shared" si="31"/>
        <v>6</v>
      </c>
      <c r="U106" s="251">
        <f t="shared" si="32"/>
        <v>2.4455372894252557E-2</v>
      </c>
      <c r="V106" s="383">
        <f t="shared" si="33"/>
        <v>52.055990062046902</v>
      </c>
      <c r="W106" s="402">
        <f t="shared" si="34"/>
        <v>0</v>
      </c>
      <c r="X106" s="157">
        <f t="shared" si="35"/>
        <v>44653</v>
      </c>
      <c r="Y106" s="385">
        <f t="shared" si="36"/>
        <v>20.837096398623476</v>
      </c>
      <c r="Z106" s="385">
        <f t="shared" si="37"/>
        <v>21.483117430314032</v>
      </c>
      <c r="AA106" s="386">
        <f t="shared" si="38"/>
        <v>23.081652471823588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6.9255658513225293E-2</v>
      </c>
      <c r="AD106" s="231">
        <f>(INDEX(Models!$BJ106:$BT106,,AH106)*(1-AF106)+INDEX(Models!$BJ106:$BT106,,AH106+1)*AF106-ERP_i)*AE106*Ramure*Pc/MaxiM</f>
        <v>1.3119462214494056E-6</v>
      </c>
      <c r="AE106" s="305">
        <f t="shared" si="40"/>
        <v>0.5</v>
      </c>
      <c r="AF106" s="177">
        <f t="shared" si="41"/>
        <v>2.4455372894252557E-2</v>
      </c>
      <c r="AG106" s="811">
        <f t="shared" si="49"/>
        <v>0</v>
      </c>
      <c r="AH106" s="176">
        <f t="shared" si="42"/>
        <v>6</v>
      </c>
      <c r="AI106" s="225">
        <f t="shared" si="43"/>
        <v>2.4455372894252557E-2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40">
        <v>23.461000000000002</v>
      </c>
      <c r="C107" s="841"/>
      <c r="D107" s="393">
        <f t="shared" si="25"/>
        <v>24.188900788444947</v>
      </c>
      <c r="E107" s="385">
        <f t="shared" si="47"/>
        <v>25.008546914299458</v>
      </c>
      <c r="F107" s="385">
        <f t="shared" si="26"/>
        <v>25.008553218109117</v>
      </c>
      <c r="G107" s="110">
        <f t="shared" si="48"/>
        <v>0.44827149056883564</v>
      </c>
      <c r="H107" s="414" t="b">
        <f>Wh_hp&gt;='2021'!Maxi_hp</f>
        <v>0</v>
      </c>
      <c r="I107" s="380">
        <f>IF(H107,Wh_hp,'2021'!Maxi_hp)</f>
        <v>53.35954700357199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3.0092346684586158E-2</v>
      </c>
      <c r="M107" s="845"/>
      <c r="N107" s="845"/>
      <c r="O107" s="48">
        <f>IF(t&lt;Tnet,'2021'!Resal+('2021'!Salim-'2021'!Resal)*(1-EXP(('2021'!Tnet-t)/('2021'!Tau_j))),Resal+(Salim-Resal)*(1-EXP((Tnet-t)/(Tau_j))))*Salcycl</f>
        <v>3.2774640152557218E-2</v>
      </c>
      <c r="P107" s="339">
        <f>(INDEX(Models!$BJ107:$BT107,,T107)*(1-R107)+INDEX(Models!$BJ107:$BT107,,T107+1)*R107-ERP_i)*Q107*Ramure*Pc/MaxiM</f>
        <v>1.1900184053303928E-6</v>
      </c>
      <c r="Q107" s="305">
        <f t="shared" si="28"/>
        <v>0.5</v>
      </c>
      <c r="R107" s="177">
        <f t="shared" si="29"/>
        <v>2.5552957699066126E-2</v>
      </c>
      <c r="S107" s="811">
        <f t="shared" si="30"/>
        <v>0</v>
      </c>
      <c r="T107" s="176">
        <f t="shared" si="31"/>
        <v>6</v>
      </c>
      <c r="U107" s="251">
        <f t="shared" si="32"/>
        <v>2.5552957699066126E-2</v>
      </c>
      <c r="V107" s="383">
        <f t="shared" si="33"/>
        <v>52.336538210194092</v>
      </c>
      <c r="W107" s="402">
        <f t="shared" si="34"/>
        <v>0</v>
      </c>
      <c r="X107" s="157">
        <f t="shared" si="35"/>
        <v>44654</v>
      </c>
      <c r="Y107" s="385">
        <f t="shared" si="36"/>
        <v>22.574830514494117</v>
      </c>
      <c r="Z107" s="385">
        <f t="shared" si="37"/>
        <v>23.275237015943812</v>
      </c>
      <c r="AA107" s="386">
        <f t="shared" si="38"/>
        <v>25.008546914299458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6.9308700913149404E-2</v>
      </c>
      <c r="AD107" s="231">
        <f>(INDEX(Models!$BJ107:$BT107,,AH107)*(1-AF107)+INDEX(Models!$BJ107:$BT107,,AH107+1)*AF107-ERP_i)*AE107*Ramure*Pc/MaxiM</f>
        <v>1.1900184053303928E-6</v>
      </c>
      <c r="AE107" s="305">
        <f t="shared" si="40"/>
        <v>0.5</v>
      </c>
      <c r="AF107" s="177">
        <f t="shared" si="41"/>
        <v>2.5552957699066126E-2</v>
      </c>
      <c r="AG107" s="811">
        <f t="shared" si="49"/>
        <v>0</v>
      </c>
      <c r="AH107" s="176">
        <f t="shared" si="42"/>
        <v>6</v>
      </c>
      <c r="AI107" s="225">
        <f t="shared" si="43"/>
        <v>2.5552957699066126E-2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40">
        <v>49.338000000000001</v>
      </c>
      <c r="C108" s="841"/>
      <c r="D108" s="393">
        <f t="shared" si="25"/>
        <v>50.869874553352595</v>
      </c>
      <c r="E108" s="385">
        <f t="shared" si="47"/>
        <v>52.598925757425548</v>
      </c>
      <c r="F108" s="385">
        <f t="shared" si="26"/>
        <v>52.598980496562895</v>
      </c>
      <c r="G108" s="110">
        <f t="shared" si="48"/>
        <v>0.93777558250238513</v>
      </c>
      <c r="H108" s="414" t="b">
        <f>Wh_hp&gt;='2021'!Maxi_hp</f>
        <v>0</v>
      </c>
      <c r="I108" s="380">
        <f>IF(H108,Wh_hp,'2021'!Maxi_hp)</f>
        <v>56.536713073450201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3.0113590151396141E-2</v>
      </c>
      <c r="M108" s="845"/>
      <c r="N108" s="845"/>
      <c r="O108" s="48">
        <f>IF(t&lt;Tnet,'2021'!Resal+('2021'!Salim-'2021'!Resal)*(1-EXP(('2021'!Tnet-t)/('2021'!Tau_j))),Resal+(Salim-Resal)*(1-EXP((Tnet-t)/(Tau_j))))*Salcycl</f>
        <v>3.2872367242763614E-2</v>
      </c>
      <c r="P108" s="339">
        <f>(INDEX(Models!$BJ108:$BT108,,T108)*(1-R108)+INDEX(Models!$BJ108:$BT108,,T108+1)*R108-ERP_i)*Q108*Ramure*Pc/MaxiM</f>
        <v>1.1422224964796455E-6</v>
      </c>
      <c r="Q108" s="305">
        <f t="shared" si="28"/>
        <v>0.5</v>
      </c>
      <c r="R108" s="177">
        <f t="shared" si="29"/>
        <v>2.6691183733918798E-2</v>
      </c>
      <c r="S108" s="811">
        <f t="shared" si="30"/>
        <v>0</v>
      </c>
      <c r="T108" s="176">
        <f t="shared" si="31"/>
        <v>6</v>
      </c>
      <c r="U108" s="251">
        <f t="shared" si="32"/>
        <v>2.6691183733918798E-2</v>
      </c>
      <c r="V108" s="383">
        <f t="shared" si="33"/>
        <v>52.611729193076165</v>
      </c>
      <c r="W108" s="402">
        <f t="shared" si="34"/>
        <v>0</v>
      </c>
      <c r="X108" s="157">
        <f t="shared" si="35"/>
        <v>44655</v>
      </c>
      <c r="Y108" s="385">
        <f t="shared" si="36"/>
        <v>47.476461242047463</v>
      </c>
      <c r="Z108" s="385">
        <f t="shared" si="37"/>
        <v>48.950537671167481</v>
      </c>
      <c r="AA108" s="386">
        <f t="shared" si="38"/>
        <v>52.598925757425548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6.9362406811949259E-2</v>
      </c>
      <c r="AD108" s="231">
        <f>(INDEX(Models!$BJ108:$BT108,,AH108)*(1-AF108)+INDEX(Models!$BJ108:$BT108,,AH108+1)*AF108-ERP_i)*AE108*Ramure*Pc/MaxiM</f>
        <v>1.1422224964796455E-6</v>
      </c>
      <c r="AE108" s="305">
        <f t="shared" si="40"/>
        <v>0.5</v>
      </c>
      <c r="AF108" s="177">
        <f t="shared" si="41"/>
        <v>2.6691183733918798E-2</v>
      </c>
      <c r="AG108" s="811">
        <f t="shared" si="49"/>
        <v>0</v>
      </c>
      <c r="AH108" s="176">
        <f t="shared" si="42"/>
        <v>6</v>
      </c>
      <c r="AI108" s="225">
        <f t="shared" si="43"/>
        <v>2.6691183733918798E-2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40">
        <v>52.441000000000003</v>
      </c>
      <c r="C109" s="841"/>
      <c r="D109" s="393">
        <f t="shared" si="25"/>
        <v>54.070402559646141</v>
      </c>
      <c r="E109" s="385">
        <f t="shared" si="47"/>
        <v>55.913903282390706</v>
      </c>
      <c r="F109" s="385">
        <f t="shared" si="26"/>
        <v>55.913966434184211</v>
      </c>
      <c r="G109" s="110">
        <f t="shared" si="48"/>
        <v>0.99167070519992739</v>
      </c>
      <c r="H109" s="414" t="b">
        <f>Wh_hp&gt;='2021'!Maxi_hp</f>
        <v>0</v>
      </c>
      <c r="I109" s="380">
        <f>IF(H109,Wh_hp,'2021'!Maxi_hp)</f>
        <v>58.623693621493487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3.0134833152919649E-2</v>
      </c>
      <c r="M109" s="845"/>
      <c r="N109" s="845"/>
      <c r="O109" s="48">
        <f>IF(t&lt;Tnet,'2021'!Resal+('2021'!Salim-'2021'!Resal)*(1-EXP(('2021'!Tnet-t)/('2021'!Tau_j))),Resal+(Salim-Resal)*(1-EXP((Tnet-t)/(Tau_j))))*Salcycl</f>
        <v>3.297034573733916E-2</v>
      </c>
      <c r="P109" s="339">
        <f>(INDEX(Models!$BJ109:$BT109,,T109)*(1-R109)+INDEX(Models!$BJ109:$BT109,,T109+1)*R109-ERP_i)*Q109*Ramure*Pc/MaxiM</f>
        <v>1.1430468655226983E-6</v>
      </c>
      <c r="Q109" s="305">
        <f t="shared" si="28"/>
        <v>0.5</v>
      </c>
      <c r="R109" s="177">
        <f t="shared" si="29"/>
        <v>2.7871335361937526E-2</v>
      </c>
      <c r="S109" s="811">
        <f t="shared" si="30"/>
        <v>0</v>
      </c>
      <c r="T109" s="176">
        <f t="shared" si="31"/>
        <v>6</v>
      </c>
      <c r="U109" s="251">
        <f t="shared" si="32"/>
        <v>2.7871335361937526E-2</v>
      </c>
      <c r="V109" s="383">
        <f t="shared" si="33"/>
        <v>52.88146459481456</v>
      </c>
      <c r="W109" s="402">
        <f t="shared" si="34"/>
        <v>0</v>
      </c>
      <c r="X109" s="157">
        <f t="shared" si="35"/>
        <v>44656</v>
      </c>
      <c r="Y109" s="385">
        <f t="shared" si="36"/>
        <v>50.464547140649103</v>
      </c>
      <c r="Z109" s="385">
        <f t="shared" si="37"/>
        <v>52.032539022618494</v>
      </c>
      <c r="AA109" s="386">
        <f t="shared" si="38"/>
        <v>55.913903282390706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6.941680032906225E-2</v>
      </c>
      <c r="AD109" s="231">
        <f>(INDEX(Models!$BJ109:$BT109,,AH109)*(1-AF109)+INDEX(Models!$BJ109:$BT109,,AH109+1)*AF109-ERP_i)*AE109*Ramure*Pc/MaxiM</f>
        <v>1.1430468655226983E-6</v>
      </c>
      <c r="AE109" s="305">
        <f t="shared" si="40"/>
        <v>0.5</v>
      </c>
      <c r="AF109" s="177">
        <f t="shared" si="41"/>
        <v>2.7871335361937526E-2</v>
      </c>
      <c r="AG109" s="811">
        <f t="shared" si="49"/>
        <v>0</v>
      </c>
      <c r="AH109" s="176">
        <f t="shared" si="42"/>
        <v>6</v>
      </c>
      <c r="AI109" s="225">
        <f t="shared" si="43"/>
        <v>2.7871335361937526E-2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40">
        <v>11.488</v>
      </c>
      <c r="C110" s="841"/>
      <c r="D110" s="393">
        <f t="shared" si="25"/>
        <v>11.84520489537873</v>
      </c>
      <c r="E110" s="385">
        <f t="shared" si="47"/>
        <v>12.250305205518478</v>
      </c>
      <c r="F110" s="385">
        <f t="shared" si="26"/>
        <v>12.250305205518478</v>
      </c>
      <c r="G110" s="110">
        <f t="shared" si="48"/>
        <v>0.21616044663334272</v>
      </c>
      <c r="H110" s="414" t="b">
        <f>Wh_hp&gt;='2021'!Maxi_hp</f>
        <v>0</v>
      </c>
      <c r="I110" s="380">
        <f>IF(H110,Wh_hp,'2021'!Maxi_hp)</f>
        <v>59.354429100482541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3.0156075689166895E-2</v>
      </c>
      <c r="M110" s="845"/>
      <c r="N110" s="845"/>
      <c r="O110" s="48">
        <f>IF(t&lt;Tnet,'2021'!Resal+('2021'!Salim-'2021'!Resal)*(1-EXP(('2021'!Tnet-t)/('2021'!Tau_j))),Resal+(Salim-Resal)*(1-EXP((Tnet-t)/(Tau_j))))*Salcycl</f>
        <v>3.306858917745642E-2</v>
      </c>
      <c r="P110" s="339">
        <f>(INDEX(Models!$BJ110:$BT110,,T110)*(1-R110)+INDEX(Models!$BJ110:$BT110,,T110+1)*R110-ERP_i)*Q110*Ramure*Pc/MaxiM</f>
        <v>1.1924119263760243E-6</v>
      </c>
      <c r="Q110" s="305">
        <f t="shared" si="28"/>
        <v>0.5</v>
      </c>
      <c r="R110" s="177">
        <f t="shared" si="29"/>
        <v>2.9094719884977728E-2</v>
      </c>
      <c r="S110" s="811">
        <f t="shared" si="30"/>
        <v>0</v>
      </c>
      <c r="T110" s="176">
        <f t="shared" si="31"/>
        <v>6</v>
      </c>
      <c r="U110" s="251">
        <f t="shared" si="32"/>
        <v>2.9094719884977728E-2</v>
      </c>
      <c r="V110" s="383">
        <f t="shared" si="33"/>
        <v>53.145644730546039</v>
      </c>
      <c r="W110" s="402">
        <f t="shared" si="34"/>
        <v>0</v>
      </c>
      <c r="X110" s="157">
        <f t="shared" si="35"/>
        <v>44657</v>
      </c>
      <c r="Y110" s="385">
        <f t="shared" si="36"/>
        <v>11.055496425420447</v>
      </c>
      <c r="Z110" s="385">
        <f t="shared" si="37"/>
        <v>11.399253166715907</v>
      </c>
      <c r="AA110" s="386">
        <f t="shared" si="38"/>
        <v>12.250305205518478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6.9471904946432836E-2</v>
      </c>
      <c r="AD110" s="231">
        <f>(INDEX(Models!$BJ110:$BT110,,AH110)*(1-AF110)+INDEX(Models!$BJ110:$BT110,,AH110+1)*AF110-ERP_i)*AE110*Ramure*Pc/MaxiM</f>
        <v>1.1924119263760243E-6</v>
      </c>
      <c r="AE110" s="305">
        <f t="shared" si="40"/>
        <v>0.5</v>
      </c>
      <c r="AF110" s="177">
        <f t="shared" si="41"/>
        <v>2.9094719884977728E-2</v>
      </c>
      <c r="AG110" s="811">
        <f t="shared" si="49"/>
        <v>0</v>
      </c>
      <c r="AH110" s="176">
        <f t="shared" si="42"/>
        <v>6</v>
      </c>
      <c r="AI110" s="225">
        <f t="shared" si="43"/>
        <v>2.9094719884977728E-2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40">
        <v>39.268999999999998</v>
      </c>
      <c r="C111" s="841"/>
      <c r="D111" s="393">
        <f t="shared" si="25"/>
        <v>40.490906965906767</v>
      </c>
      <c r="E111" s="385">
        <f t="shared" si="47"/>
        <v>41.879943701566688</v>
      </c>
      <c r="F111" s="385">
        <f t="shared" si="26"/>
        <v>41.879977307684335</v>
      </c>
      <c r="G111" s="110">
        <f t="shared" si="48"/>
        <v>0.73531675270788088</v>
      </c>
      <c r="H111" s="414" t="b">
        <f>Wh_hp&gt;='2021'!Maxi_hp</f>
        <v>0</v>
      </c>
      <c r="I111" s="380">
        <f>IF(H111,Wh_hp,'2021'!Maxi_hp)</f>
        <v>56.351753523847592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3.0177317760148203E-2</v>
      </c>
      <c r="M111" s="845"/>
      <c r="N111" s="845"/>
      <c r="O111" s="48">
        <f>IF(t&lt;Tnet,'2021'!Resal+('2021'!Salim-'2021'!Resal)*(1-EXP(('2021'!Tnet-t)/('2021'!Tau_j))),Resal+(Salim-Resal)*(1-EXP((Tnet-t)/(Tau_j))))*Salcycl</f>
        <v>3.3167110862375886E-2</v>
      </c>
      <c r="P111" s="339">
        <f>(INDEX(Models!$BJ111:$BT111,,T111)*(1-R111)+INDEX(Models!$BJ111:$BT111,,T111+1)*R111-ERP_i)*Q111*Ramure*Pc/MaxiM</f>
        <v>1.290340138403465E-6</v>
      </c>
      <c r="Q111" s="305">
        <f t="shared" si="28"/>
        <v>0.5</v>
      </c>
      <c r="R111" s="177">
        <f t="shared" si="29"/>
        <v>3.0362666445926736E-2</v>
      </c>
      <c r="S111" s="811">
        <f t="shared" si="30"/>
        <v>0</v>
      </c>
      <c r="T111" s="176">
        <f t="shared" si="31"/>
        <v>6</v>
      </c>
      <c r="U111" s="251">
        <f t="shared" si="32"/>
        <v>3.0362666445926736E-2</v>
      </c>
      <c r="V111" s="383">
        <f t="shared" si="33"/>
        <v>53.40416996617283</v>
      </c>
      <c r="W111" s="402">
        <f t="shared" si="34"/>
        <v>0</v>
      </c>
      <c r="X111" s="157">
        <f t="shared" si="35"/>
        <v>44658</v>
      </c>
      <c r="Y111" s="385">
        <f t="shared" si="36"/>
        <v>37.792172207384432</v>
      </c>
      <c r="Z111" s="385">
        <f t="shared" si="37"/>
        <v>38.968125719746631</v>
      </c>
      <c r="AA111" s="386">
        <f t="shared" si="38"/>
        <v>41.879943701566688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6.9527743460436553E-2</v>
      </c>
      <c r="AD111" s="231">
        <f>(INDEX(Models!$BJ111:$BT111,,AH111)*(1-AF111)+INDEX(Models!$BJ111:$BT111,,AH111+1)*AF111-ERP_i)*AE111*Ramure*Pc/MaxiM</f>
        <v>1.290340138403465E-6</v>
      </c>
      <c r="AE111" s="305">
        <f t="shared" si="40"/>
        <v>0.5</v>
      </c>
      <c r="AF111" s="177">
        <f t="shared" si="41"/>
        <v>3.0362666445926736E-2</v>
      </c>
      <c r="AG111" s="811">
        <f t="shared" si="49"/>
        <v>0</v>
      </c>
      <c r="AH111" s="176">
        <f t="shared" si="42"/>
        <v>6</v>
      </c>
      <c r="AI111" s="225">
        <f t="shared" si="43"/>
        <v>3.0362666445926736E-2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40">
        <v>32.346000000000004</v>
      </c>
      <c r="C112" s="841"/>
      <c r="D112" s="393">
        <f t="shared" si="25"/>
        <v>33.353219169121715</v>
      </c>
      <c r="E112" s="385">
        <f t="shared" si="47"/>
        <v>34.500924288318366</v>
      </c>
      <c r="F112" s="385">
        <f t="shared" si="26"/>
        <v>34.500945735769321</v>
      </c>
      <c r="G112" s="110">
        <f t="shared" si="48"/>
        <v>0.60282925544436949</v>
      </c>
      <c r="H112" s="414" t="b">
        <f>Wh_hp&gt;='2021'!Maxi_hp</f>
        <v>0</v>
      </c>
      <c r="I112" s="380">
        <f>IF(H112,Wh_hp,'2021'!Maxi_hp)</f>
        <v>55.793489046232402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3.0198559365873567E-2</v>
      </c>
      <c r="M112" s="845"/>
      <c r="N112" s="845"/>
      <c r="O112" s="48">
        <f>IF(t&lt;Tnet,'2021'!Resal+('2021'!Salim-'2021'!Resal)*(1-EXP(('2021'!Tnet-t)/('2021'!Tau_j))),Resal+(Salim-Resal)*(1-EXP((Tnet-t)/(Tau_j))))*Salcycl</f>
        <v>3.3265923822952417E-2</v>
      </c>
      <c r="P112" s="339">
        <f>(INDEX(Models!$BJ112:$BT112,,T112)*(1-R112)+INDEX(Models!$BJ112:$BT112,,T112+1)*R112-ERP_i)*Q112*Ramure*Pc/MaxiM</f>
        <v>1.43695838111755E-6</v>
      </c>
      <c r="Q112" s="305">
        <f t="shared" si="28"/>
        <v>0.5</v>
      </c>
      <c r="R112" s="177">
        <f t="shared" si="29"/>
        <v>3.167652477367032E-2</v>
      </c>
      <c r="S112" s="811">
        <f t="shared" si="30"/>
        <v>0</v>
      </c>
      <c r="T112" s="176">
        <f t="shared" si="31"/>
        <v>6</v>
      </c>
      <c r="U112" s="251">
        <f t="shared" si="32"/>
        <v>3.167652477367032E-2</v>
      </c>
      <c r="V112" s="383">
        <f t="shared" si="33"/>
        <v>53.656940727133616</v>
      </c>
      <c r="W112" s="402">
        <f t="shared" si="34"/>
        <v>0</v>
      </c>
      <c r="X112" s="157">
        <f t="shared" si="35"/>
        <v>44659</v>
      </c>
      <c r="Y112" s="385">
        <f t="shared" si="36"/>
        <v>31.13082050874354</v>
      </c>
      <c r="Z112" s="385">
        <f t="shared" si="37"/>
        <v>32.100200313569296</v>
      </c>
      <c r="AA112" s="386">
        <f t="shared" si="38"/>
        <v>34.500924288318366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6.9584337935025345E-2</v>
      </c>
      <c r="AD112" s="231">
        <f>(INDEX(Models!$BJ112:$BT112,,AH112)*(1-AF112)+INDEX(Models!$BJ112:$BT112,,AH112+1)*AF112-ERP_i)*AE112*Ramure*Pc/MaxiM</f>
        <v>1.43695838111755E-6</v>
      </c>
      <c r="AE112" s="305">
        <f t="shared" si="40"/>
        <v>0.5</v>
      </c>
      <c r="AF112" s="177">
        <f t="shared" si="41"/>
        <v>3.167652477367032E-2</v>
      </c>
      <c r="AG112" s="811">
        <f t="shared" si="49"/>
        <v>0</v>
      </c>
      <c r="AH112" s="176">
        <f t="shared" si="42"/>
        <v>6</v>
      </c>
      <c r="AI112" s="225">
        <f t="shared" si="43"/>
        <v>3.167652477367032E-2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40">
        <v>36.015000000000001</v>
      </c>
      <c r="C113" s="841"/>
      <c r="D113" s="393">
        <f t="shared" si="25"/>
        <v>37.137281230122639</v>
      </c>
      <c r="E113" s="385">
        <f t="shared" si="47"/>
        <v>38.41913731392178</v>
      </c>
      <c r="F113" s="385">
        <f t="shared" si="26"/>
        <v>38.419170298367028</v>
      </c>
      <c r="G113" s="110">
        <f t="shared" si="48"/>
        <v>0.66813348433962716</v>
      </c>
      <c r="H113" s="414" t="b">
        <f>Wh_hp&gt;='2021'!Maxi_hp</f>
        <v>0</v>
      </c>
      <c r="I113" s="380">
        <f>IF(H113,Wh_hp,'2021'!Maxi_hp)</f>
        <v>41.648731192226585</v>
      </c>
      <c r="J113" s="85">
        <f>IF(H113,An,'2021'!An_max)</f>
        <v>2019</v>
      </c>
      <c r="K113" s="197">
        <f t="shared" si="27"/>
        <v>44660</v>
      </c>
      <c r="L113" s="147">
        <f>IF(t&lt;Tvie,1-EXP((T0-t)*PertePVj)+'2021'!Pspv,1-EXP((T0-t)*PertePVj)+Pspv)</f>
        <v>3.02198005063532E-2</v>
      </c>
      <c r="M113" s="845"/>
      <c r="N113" s="845"/>
      <c r="O113" s="48">
        <f>IF(t&lt;Tnet,'2021'!Resal+('2021'!Salim-'2021'!Resal)*(1-EXP(('2021'!Tnet-t)/('2021'!Tau_j))),Resal+(Salim-Resal)*(1-EXP((Tnet-t)/(Tau_j))))*Salcycl</f>
        <v>3.3365040795297646E-2</v>
      </c>
      <c r="P113" s="339">
        <f>(INDEX(Models!$BJ113:$BT113,,T113)*(1-R113)+INDEX(Models!$BJ113:$BT113,,T113+1)*R113-ERP_i)*Q113*Ramure*Pc/MaxiM</f>
        <v>1.6325004561440989E-6</v>
      </c>
      <c r="Q113" s="305">
        <f t="shared" si="28"/>
        <v>0.5</v>
      </c>
      <c r="R113" s="177">
        <f t="shared" si="29"/>
        <v>3.3037663761236354E-2</v>
      </c>
      <c r="S113" s="811">
        <f t="shared" si="30"/>
        <v>0</v>
      </c>
      <c r="T113" s="176">
        <f t="shared" si="31"/>
        <v>6</v>
      </c>
      <c r="U113" s="251">
        <f t="shared" si="32"/>
        <v>3.3037663761236354E-2</v>
      </c>
      <c r="V113" s="383">
        <f t="shared" si="33"/>
        <v>53.903857492540553</v>
      </c>
      <c r="W113" s="402">
        <f t="shared" si="34"/>
        <v>0</v>
      </c>
      <c r="X113" s="157">
        <f t="shared" si="35"/>
        <v>44660</v>
      </c>
      <c r="Y113" s="385">
        <f t="shared" si="36"/>
        <v>34.663399567419276</v>
      </c>
      <c r="Z113" s="385">
        <f t="shared" si="37"/>
        <v>35.743562907881746</v>
      </c>
      <c r="AA113" s="386">
        <f t="shared" si="38"/>
        <v>38.41913731392178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6.9641709655737183E-2</v>
      </c>
      <c r="AD113" s="231">
        <f>(INDEX(Models!$BJ113:$BT113,,AH113)*(1-AF113)+INDEX(Models!$BJ113:$BT113,,AH113+1)*AF113-ERP_i)*AE113*Ramure*Pc/MaxiM</f>
        <v>1.6325004561440989E-6</v>
      </c>
      <c r="AE113" s="305">
        <f t="shared" si="40"/>
        <v>0.5</v>
      </c>
      <c r="AF113" s="177">
        <f t="shared" si="41"/>
        <v>3.3037663761236354E-2</v>
      </c>
      <c r="AG113" s="811">
        <f t="shared" si="49"/>
        <v>0</v>
      </c>
      <c r="AH113" s="176">
        <f t="shared" si="42"/>
        <v>6</v>
      </c>
      <c r="AI113" s="225">
        <f t="shared" si="43"/>
        <v>3.3037663761236354E-2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40">
        <v>54.231000000000002</v>
      </c>
      <c r="C114" s="841"/>
      <c r="D114" s="393">
        <f t="shared" si="25"/>
        <v>55.922143855291075</v>
      </c>
      <c r="E114" s="385">
        <f t="shared" si="47"/>
        <v>57.858342877445786</v>
      </c>
      <c r="F114" s="385">
        <f t="shared" si="26"/>
        <v>57.858455433856136</v>
      </c>
      <c r="G114" s="110">
        <f t="shared" si="48"/>
        <v>1.0015917105821721</v>
      </c>
      <c r="H114" s="414" t="b">
        <f>Wh_hp&gt;='2021'!Maxi_hp</f>
        <v>0</v>
      </c>
      <c r="I114" s="380">
        <f>IF(H114,Wh_hp,'2021'!Maxi_hp)</f>
        <v>58.06042842516851</v>
      </c>
      <c r="J114" s="85">
        <f>IF(H114,An,'2021'!An_max)</f>
        <v>2020</v>
      </c>
      <c r="K114" s="197">
        <f t="shared" si="27"/>
        <v>44661</v>
      </c>
      <c r="L114" s="147">
        <f>IF(t&lt;Tvie,1-EXP((T0-t)*PertePVj)+'2021'!Pspv,1-EXP((T0-t)*PertePVj)+Pspv)</f>
        <v>3.0241041181597428E-2</v>
      </c>
      <c r="M114" s="845"/>
      <c r="N114" s="845"/>
      <c r="O114" s="48">
        <f>IF(t&lt;Tnet,'2021'!Resal+('2021'!Salim-'2021'!Resal)*(1-EXP(('2021'!Tnet-t)/('2021'!Tau_j))),Resal+(Salim-Resal)*(1-EXP((Tnet-t)/(Tau_j))))*Salcycl</f>
        <v>3.3464474194429029E-2</v>
      </c>
      <c r="P114" s="339">
        <f>(INDEX(Models!$BJ114:$BT114,,T114)*(1-R114)+INDEX(Models!$BJ114:$BT114,,T114+1)*R114-ERP_i)*Q114*Ramure*Pc/MaxiM</f>
        <v>1.9453753044281275E-6</v>
      </c>
      <c r="Q114" s="305">
        <f t="shared" si="28"/>
        <v>0.5</v>
      </c>
      <c r="R114" s="177">
        <f t="shared" si="29"/>
        <v>3.4447469867578878E-2</v>
      </c>
      <c r="S114" s="811">
        <f t="shared" si="30"/>
        <v>0</v>
      </c>
      <c r="T114" s="176">
        <f t="shared" si="31"/>
        <v>6</v>
      </c>
      <c r="U114" s="251">
        <f t="shared" si="32"/>
        <v>3.4447469867578878E-2</v>
      </c>
      <c r="V114" s="383">
        <f t="shared" si="33"/>
        <v>54.144817121617749</v>
      </c>
      <c r="W114" s="402">
        <f t="shared" si="34"/>
        <v>0</v>
      </c>
      <c r="X114" s="157">
        <f t="shared" si="35"/>
        <v>44661</v>
      </c>
      <c r="Y114" s="385">
        <f t="shared" si="36"/>
        <v>52.197880481770881</v>
      </c>
      <c r="Z114" s="385">
        <f t="shared" si="37"/>
        <v>53.825623374875647</v>
      </c>
      <c r="AA114" s="386">
        <f t="shared" si="38"/>
        <v>57.858342877445786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6.9699879084199709E-2</v>
      </c>
      <c r="AD114" s="231">
        <f>(INDEX(Models!$BJ114:$BT114,,AH114)*(1-AF114)+INDEX(Models!$BJ114:$BT114,,AH114+1)*AF114-ERP_i)*AE114*Ramure*Pc/MaxiM</f>
        <v>1.9453753044281275E-6</v>
      </c>
      <c r="AE114" s="305">
        <f t="shared" si="40"/>
        <v>0.5</v>
      </c>
      <c r="AF114" s="177">
        <f t="shared" si="41"/>
        <v>3.4447469867578878E-2</v>
      </c>
      <c r="AG114" s="811">
        <f t="shared" si="49"/>
        <v>0</v>
      </c>
      <c r="AH114" s="176">
        <f t="shared" si="42"/>
        <v>6</v>
      </c>
      <c r="AI114" s="225">
        <f t="shared" si="43"/>
        <v>3.4447469867578878E-2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40">
        <v>45.539000000000001</v>
      </c>
      <c r="C115" s="841"/>
      <c r="D115" s="393">
        <f t="shared" si="25"/>
        <v>46.960120377033974</v>
      </c>
      <c r="E115" s="385">
        <f t="shared" si="47"/>
        <v>48.591041567970116</v>
      </c>
      <c r="F115" s="385">
        <f t="shared" si="26"/>
        <v>48.591129348303987</v>
      </c>
      <c r="G115" s="110">
        <f t="shared" si="48"/>
        <v>0.8374256785539087</v>
      </c>
      <c r="H115" s="414" t="b">
        <f>Wh_hp&gt;='2021'!Maxi_hp</f>
        <v>0</v>
      </c>
      <c r="I115" s="380">
        <f>IF(H115,Wh_hp,'2021'!Maxi_hp)</f>
        <v>59.123099904366789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3.0262281391616241E-2</v>
      </c>
      <c r="M115" s="845"/>
      <c r="N115" s="845"/>
      <c r="O115" s="48">
        <f>IF(t&lt;Tnet,'2021'!Resal+('2021'!Salim-'2021'!Resal)*(1-EXP(('2021'!Tnet-t)/('2021'!Tau_j))),Resal+(Salim-Resal)*(1-EXP((Tnet-t)/(Tau_j))))*Salcycl</f>
        <v>3.3564236087731875E-2</v>
      </c>
      <c r="P115" s="339">
        <f>(INDEX(Models!$BJ115:$BT115,,T115)*(1-R115)+INDEX(Models!$BJ115:$BT115,,T115+1)*R115-ERP_i)*Q115*Ramure*Pc/MaxiM</f>
        <v>2.3529868066550127E-6</v>
      </c>
      <c r="Q115" s="305">
        <f t="shared" si="28"/>
        <v>0.5</v>
      </c>
      <c r="R115" s="177">
        <f t="shared" si="29"/>
        <v>3.5907345333475983E-2</v>
      </c>
      <c r="S115" s="811">
        <f t="shared" si="30"/>
        <v>0</v>
      </c>
      <c r="T115" s="176">
        <f t="shared" si="31"/>
        <v>6</v>
      </c>
      <c r="U115" s="251">
        <f t="shared" si="32"/>
        <v>3.5907345333475983E-2</v>
      </c>
      <c r="V115" s="383">
        <f t="shared" si="33"/>
        <v>54.379721425022808</v>
      </c>
      <c r="W115" s="402">
        <f t="shared" si="34"/>
        <v>0</v>
      </c>
      <c r="X115" s="157">
        <f t="shared" si="35"/>
        <v>44662</v>
      </c>
      <c r="Y115" s="385">
        <f t="shared" si="36"/>
        <v>43.833488568618996</v>
      </c>
      <c r="Z115" s="385">
        <f t="shared" si="37"/>
        <v>45.201385619528111</v>
      </c>
      <c r="AA115" s="386">
        <f t="shared" si="38"/>
        <v>48.591041567970116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6.9758865812754534E-2</v>
      </c>
      <c r="AD115" s="231">
        <f>(INDEX(Models!$BJ115:$BT115,,AH115)*(1-AF115)+INDEX(Models!$BJ115:$BT115,,AH115+1)*AF115-ERP_i)*AE115*Ramure*Pc/MaxiM</f>
        <v>2.3529868066550127E-6</v>
      </c>
      <c r="AE115" s="305">
        <f t="shared" si="40"/>
        <v>0.5</v>
      </c>
      <c r="AF115" s="177">
        <f t="shared" si="41"/>
        <v>3.5907345333475983E-2</v>
      </c>
      <c r="AG115" s="811">
        <f t="shared" si="49"/>
        <v>0</v>
      </c>
      <c r="AH115" s="176">
        <f t="shared" si="42"/>
        <v>6</v>
      </c>
      <c r="AI115" s="225">
        <f t="shared" si="43"/>
        <v>3.5907345333475983E-2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40">
        <v>36.93</v>
      </c>
      <c r="C116" s="841"/>
      <c r="D116" s="393">
        <f t="shared" si="25"/>
        <v>38.08329630870935</v>
      </c>
      <c r="E116" s="385">
        <f t="shared" si="47"/>
        <v>39.410008150286579</v>
      </c>
      <c r="F116" s="385">
        <f t="shared" si="26"/>
        <v>39.410068643997093</v>
      </c>
      <c r="G116" s="110">
        <f t="shared" si="48"/>
        <v>0.67626781176251249</v>
      </c>
      <c r="H116" s="414" t="b">
        <f>Wh_hp&gt;='2021'!Maxi_hp</f>
        <v>0</v>
      </c>
      <c r="I116" s="380">
        <f>IF(H116,Wh_hp,'2021'!Maxi_hp)</f>
        <v>58.323508945597986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3.0283521136420077E-2</v>
      </c>
      <c r="M116" s="845"/>
      <c r="N116" s="845"/>
      <c r="O116" s="48">
        <f>IF(t&lt;Tnet,'2021'!Resal+('2021'!Salim-'2021'!Resal)*(1-EXP(('2021'!Tnet-t)/('2021'!Tau_j))),Resal+(Salim-Resal)*(1-EXP((Tnet-t)/(Tau_j))))*Salcycl</f>
        <v>3.366433816805952E-2</v>
      </c>
      <c r="P116" s="339">
        <f>(INDEX(Models!$BJ116:$BT116,,T116)*(1-R116)+INDEX(Models!$BJ116:$BT116,,T116+1)*R116-ERP_i)*Q116*Ramure*Pc/MaxiM</f>
        <v>2.8556368254349492E-6</v>
      </c>
      <c r="Q116" s="305">
        <f t="shared" si="28"/>
        <v>0.5</v>
      </c>
      <c r="R116" s="177">
        <f t="shared" si="29"/>
        <v>3.7418706202104308E-2</v>
      </c>
      <c r="S116" s="811">
        <f t="shared" si="30"/>
        <v>0</v>
      </c>
      <c r="T116" s="176">
        <f t="shared" si="31"/>
        <v>6</v>
      </c>
      <c r="U116" s="251">
        <f t="shared" si="32"/>
        <v>3.7418706202104308E-2</v>
      </c>
      <c r="V116" s="383">
        <f t="shared" si="33"/>
        <v>54.608471060985565</v>
      </c>
      <c r="W116" s="402">
        <f t="shared" si="34"/>
        <v>0</v>
      </c>
      <c r="X116" s="157">
        <f t="shared" si="35"/>
        <v>44663</v>
      </c>
      <c r="Y116" s="385">
        <f t="shared" si="36"/>
        <v>35.548306028442639</v>
      </c>
      <c r="Z116" s="385">
        <f t="shared" si="37"/>
        <v>36.65845306671703</v>
      </c>
      <c r="AA116" s="386">
        <f t="shared" si="38"/>
        <v>39.410008150286579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6.9818688518833508E-2</v>
      </c>
      <c r="AD116" s="231">
        <f>(INDEX(Models!$BJ116:$BT116,,AH116)*(1-AF116)+INDEX(Models!$BJ116:$BT116,,AH116+1)*AF116-ERP_i)*AE116*Ramure*Pc/MaxiM</f>
        <v>2.8556368254349492E-6</v>
      </c>
      <c r="AE116" s="305">
        <f t="shared" si="40"/>
        <v>0.5</v>
      </c>
      <c r="AF116" s="177">
        <f t="shared" si="41"/>
        <v>3.7418706202104308E-2</v>
      </c>
      <c r="AG116" s="811">
        <f t="shared" si="49"/>
        <v>0</v>
      </c>
      <c r="AH116" s="176">
        <f t="shared" si="42"/>
        <v>6</v>
      </c>
      <c r="AI116" s="225">
        <f t="shared" si="43"/>
        <v>3.7418706202104308E-2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40">
        <v>7.4050000000000002</v>
      </c>
      <c r="C117" s="841"/>
      <c r="D117" s="393">
        <f t="shared" si="25"/>
        <v>7.6364198747401248</v>
      </c>
      <c r="E117" s="385">
        <f t="shared" si="47"/>
        <v>7.9032722150371049</v>
      </c>
      <c r="F117" s="385">
        <f t="shared" si="26"/>
        <v>7.9032722150371049</v>
      </c>
      <c r="G117" s="110">
        <f t="shared" si="48"/>
        <v>0.13505095501331216</v>
      </c>
      <c r="H117" s="414" t="b">
        <f>Wh_hp&gt;='2021'!Maxi_hp</f>
        <v>0</v>
      </c>
      <c r="I117" s="380">
        <f>IF(H117,Wh_hp,'2021'!Maxi_hp)</f>
        <v>59.034851740298983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3.0304760416018928E-2</v>
      </c>
      <c r="M117" s="845"/>
      <c r="N117" s="845"/>
      <c r="O117" s="48">
        <f>IF(t&lt;Tnet,'2021'!Resal+('2021'!Salim-'2021'!Resal)*(1-EXP(('2021'!Tnet-t)/('2021'!Tau_j))),Resal+(Salim-Resal)*(1-EXP((Tnet-t)/(Tau_j))))*Salcycl</f>
        <v>3.3764791726299717E-2</v>
      </c>
      <c r="P117" s="339">
        <f>(INDEX(Models!$BJ117:$BT117,,T117)*(1-R117)+INDEX(Models!$BJ117:$BT117,,T117+1)*R117-ERP_i)*Q117*Ramure*Pc/MaxiM</f>
        <v>3.4538091864637475E-6</v>
      </c>
      <c r="Q117" s="305">
        <f t="shared" si="28"/>
        <v>0.5</v>
      </c>
      <c r="R117" s="177">
        <f t="shared" si="29"/>
        <v>3.8982980135025859E-2</v>
      </c>
      <c r="S117" s="811">
        <f t="shared" si="30"/>
        <v>0</v>
      </c>
      <c r="T117" s="176">
        <f t="shared" si="31"/>
        <v>6</v>
      </c>
      <c r="U117" s="251">
        <f t="shared" si="32"/>
        <v>3.8982980135025859E-2</v>
      </c>
      <c r="V117" s="383">
        <f t="shared" si="33"/>
        <v>54.830966754830101</v>
      </c>
      <c r="W117" s="402">
        <f t="shared" si="34"/>
        <v>0</v>
      </c>
      <c r="X117" s="157">
        <f t="shared" si="35"/>
        <v>44664</v>
      </c>
      <c r="Y117" s="385">
        <f t="shared" si="36"/>
        <v>7.1282263819409577</v>
      </c>
      <c r="Z117" s="385">
        <f t="shared" si="37"/>
        <v>7.3509965718704686</v>
      </c>
      <c r="AA117" s="386">
        <f t="shared" si="38"/>
        <v>7.9032722150371049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6.9879364918729814E-2</v>
      </c>
      <c r="AD117" s="231">
        <f>(INDEX(Models!$BJ117:$BT117,,AH117)*(1-AF117)+INDEX(Models!$BJ117:$BT117,,AH117+1)*AF117-ERP_i)*AE117*Ramure*Pc/MaxiM</f>
        <v>3.4538091864637475E-6</v>
      </c>
      <c r="AE117" s="305">
        <f t="shared" si="40"/>
        <v>0.5</v>
      </c>
      <c r="AF117" s="177">
        <f t="shared" si="41"/>
        <v>3.8982980135025859E-2</v>
      </c>
      <c r="AG117" s="811">
        <f t="shared" si="49"/>
        <v>0</v>
      </c>
      <c r="AH117" s="176">
        <f t="shared" si="42"/>
        <v>6</v>
      </c>
      <c r="AI117" s="225">
        <f t="shared" si="43"/>
        <v>3.8982980135025859E-2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40">
        <v>40.027000000000001</v>
      </c>
      <c r="C118" s="841"/>
      <c r="D118" s="393">
        <f t="shared" si="25"/>
        <v>41.278821509324544</v>
      </c>
      <c r="E118" s="385">
        <f t="shared" si="47"/>
        <v>42.725755169294594</v>
      </c>
      <c r="F118" s="385">
        <f t="shared" si="26"/>
        <v>42.725863317829322</v>
      </c>
      <c r="G118" s="110">
        <f t="shared" si="48"/>
        <v>0.72713964067178261</v>
      </c>
      <c r="H118" s="414" t="b">
        <f>Wh_hp&gt;='2021'!Maxi_hp</f>
        <v>0</v>
      </c>
      <c r="I118" s="380">
        <f>IF(H118,Wh_hp,'2021'!Maxi_hp)</f>
        <v>57.514245582008527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3.0325999230423006E-2</v>
      </c>
      <c r="M118" s="845"/>
      <c r="N118" s="845"/>
      <c r="O118" s="48">
        <f>IF(t&lt;Tnet,'2021'!Resal+('2021'!Salim-'2021'!Resal)*(1-EXP(('2021'!Tnet-t)/('2021'!Tau_j))),Resal+(Salim-Resal)*(1-EXP((Tnet-t)/(Tau_j))))*Salcycl</f>
        <v>3.3865607623242325E-2</v>
      </c>
      <c r="P118" s="339">
        <f>(INDEX(Models!$BJ118:$BT118,,T118)*(1-R118)+INDEX(Models!$BJ118:$BT118,,T118+1)*R118-ERP_i)*Q118*Ramure*Pc/MaxiM</f>
        <v>4.1481720359632601E-6</v>
      </c>
      <c r="Q118" s="305">
        <f t="shared" si="28"/>
        <v>0.5</v>
      </c>
      <c r="R118" s="177">
        <f t="shared" si="29"/>
        <v>4.0601604014589433E-2</v>
      </c>
      <c r="S118" s="811">
        <f t="shared" si="30"/>
        <v>0</v>
      </c>
      <c r="T118" s="176">
        <f t="shared" si="31"/>
        <v>6</v>
      </c>
      <c r="U118" s="251">
        <f t="shared" si="32"/>
        <v>4.0601604014589433E-2</v>
      </c>
      <c r="V118" s="383">
        <f t="shared" si="33"/>
        <v>55.047109302270883</v>
      </c>
      <c r="W118" s="402">
        <f t="shared" si="34"/>
        <v>0</v>
      </c>
      <c r="X118" s="157">
        <f t="shared" si="35"/>
        <v>44665</v>
      </c>
      <c r="Y118" s="385">
        <f t="shared" si="36"/>
        <v>38.532398204958064</v>
      </c>
      <c r="Z118" s="385">
        <f t="shared" si="37"/>
        <v>39.737476898810336</v>
      </c>
      <c r="AA118" s="386">
        <f t="shared" si="38"/>
        <v>42.725755169294594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6.9940911720428212E-2</v>
      </c>
      <c r="AD118" s="231">
        <f>(INDEX(Models!$BJ118:$BT118,,AH118)*(1-AF118)+INDEX(Models!$BJ118:$BT118,,AH118+1)*AF118-ERP_i)*AE118*Ramure*Pc/MaxiM</f>
        <v>4.1481720359632601E-6</v>
      </c>
      <c r="AE118" s="305">
        <f t="shared" si="40"/>
        <v>0.5</v>
      </c>
      <c r="AF118" s="177">
        <f t="shared" si="41"/>
        <v>4.0601604014589433E-2</v>
      </c>
      <c r="AG118" s="811">
        <f t="shared" si="49"/>
        <v>0</v>
      </c>
      <c r="AH118" s="176">
        <f t="shared" si="42"/>
        <v>6</v>
      </c>
      <c r="AI118" s="225">
        <f t="shared" si="43"/>
        <v>4.0601604014589433E-2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40">
        <v>45.87</v>
      </c>
      <c r="C119" s="841"/>
      <c r="D119" s="393">
        <f t="shared" si="25"/>
        <v>47.305594103092695</v>
      </c>
      <c r="E119" s="385">
        <f t="shared" si="47"/>
        <v>48.968911130567854</v>
      </c>
      <c r="F119" s="385">
        <f t="shared" si="26"/>
        <v>48.969094316285933</v>
      </c>
      <c r="G119" s="110">
        <f t="shared" si="48"/>
        <v>0.83012308652895361</v>
      </c>
      <c r="H119" s="414" t="b">
        <f>Wh_hp&gt;='2021'!Maxi_hp</f>
        <v>0</v>
      </c>
      <c r="I119" s="380">
        <f>IF(H119,Wh_hp,'2021'!Maxi_hp)</f>
        <v>58.00017289991299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3.0347237579642639E-2</v>
      </c>
      <c r="M119" s="845"/>
      <c r="N119" s="845"/>
      <c r="O119" s="48">
        <f>IF(t&lt;Tnet,'2021'!Resal+('2021'!Salim-'2021'!Resal)*(1-EXP(('2021'!Tnet-t)/('2021'!Tau_j))),Resal+(Salim-Resal)*(1-EXP((Tnet-t)/(Tau_j))))*Salcycl</f>
        <v>3.3966796260594526E-2</v>
      </c>
      <c r="P119" s="339">
        <f>(INDEX(Models!$BJ119:$BT119,,T119)*(1-R119)+INDEX(Models!$BJ119:$BT119,,T119+1)*R119-ERP_i)*Q119*Ramure*Pc/MaxiM</f>
        <v>4.9395802593220417E-6</v>
      </c>
      <c r="Q119" s="305">
        <f t="shared" si="28"/>
        <v>0.5</v>
      </c>
      <c r="R119" s="177">
        <f t="shared" si="29"/>
        <v>4.2276021324120935E-2</v>
      </c>
      <c r="S119" s="811">
        <f t="shared" si="30"/>
        <v>0</v>
      </c>
      <c r="T119" s="176">
        <f t="shared" si="31"/>
        <v>6</v>
      </c>
      <c r="U119" s="251">
        <f t="shared" si="32"/>
        <v>4.2276021324120935E-2</v>
      </c>
      <c r="V119" s="383">
        <f t="shared" si="33"/>
        <v>55.256799573588516</v>
      </c>
      <c r="W119" s="402">
        <f t="shared" si="34"/>
        <v>0</v>
      </c>
      <c r="X119" s="157">
        <f t="shared" si="35"/>
        <v>44666</v>
      </c>
      <c r="Y119" s="385">
        <f t="shared" si="36"/>
        <v>44.158882344010792</v>
      </c>
      <c r="Z119" s="385">
        <f t="shared" si="37"/>
        <v>45.540923571223047</v>
      </c>
      <c r="AA119" s="386">
        <f t="shared" si="38"/>
        <v>48.968911130567854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7.0003344575186047E-2</v>
      </c>
      <c r="AD119" s="231">
        <f>(INDEX(Models!$BJ119:$BT119,,AH119)*(1-AF119)+INDEX(Models!$BJ119:$BT119,,AH119+1)*AF119-ERP_i)*AE119*Ramure*Pc/MaxiM</f>
        <v>4.9395802593220417E-6</v>
      </c>
      <c r="AE119" s="305">
        <f t="shared" si="40"/>
        <v>0.5</v>
      </c>
      <c r="AF119" s="177">
        <f t="shared" si="41"/>
        <v>4.2276021324120935E-2</v>
      </c>
      <c r="AG119" s="811">
        <f t="shared" si="49"/>
        <v>0</v>
      </c>
      <c r="AH119" s="176">
        <f t="shared" si="42"/>
        <v>6</v>
      </c>
      <c r="AI119" s="225">
        <f t="shared" si="43"/>
        <v>4.2276021324120935E-2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40">
        <v>44.261000000000003</v>
      </c>
      <c r="C120" s="841"/>
      <c r="D120" s="393">
        <f t="shared" si="25"/>
        <v>45.647236996720039</v>
      </c>
      <c r="E120" s="385">
        <f t="shared" si="47"/>
        <v>47.257213102119181</v>
      </c>
      <c r="F120" s="385">
        <f t="shared" si="26"/>
        <v>47.257409105463125</v>
      </c>
      <c r="G120" s="110">
        <f t="shared" si="48"/>
        <v>0.79807022435047426</v>
      </c>
      <c r="H120" s="414" t="b">
        <f>Wh_hp&gt;='2021'!Maxi_hp</f>
        <v>0</v>
      </c>
      <c r="I120" s="380">
        <f>IF(H120,Wh_hp,'2021'!Maxi_hp)</f>
        <v>52.848516926149152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3.0368475463687816E-2</v>
      </c>
      <c r="M120" s="845"/>
      <c r="N120" s="845"/>
      <c r="O120" s="48">
        <f>IF(t&lt;Tnet,'2021'!Resal+('2021'!Salim-'2021'!Resal)*(1-EXP(('2021'!Tnet-t)/('2021'!Tau_j))),Resal+(Salim-Resal)*(1-EXP((Tnet-t)/(Tau_j))))*Salcycl</f>
        <v>3.406836755100446E-2</v>
      </c>
      <c r="P120" s="339">
        <f>(INDEX(Models!$BJ120:$BT120,,T120)*(1-R120)+INDEX(Models!$BJ120:$BT120,,T120+1)*R120-ERP_i)*Q120*Ramure*Pc/MaxiM</f>
        <v>5.8290779559670757E-6</v>
      </c>
      <c r="Q120" s="305">
        <f t="shared" si="28"/>
        <v>0.5</v>
      </c>
      <c r="R120" s="177">
        <f t="shared" si="29"/>
        <v>4.4007679297763329E-2</v>
      </c>
      <c r="S120" s="811">
        <f t="shared" si="30"/>
        <v>0</v>
      </c>
      <c r="T120" s="176">
        <f t="shared" si="31"/>
        <v>6</v>
      </c>
      <c r="U120" s="251">
        <f t="shared" si="32"/>
        <v>4.4007679297763329E-2</v>
      </c>
      <c r="V120" s="383">
        <f t="shared" si="33"/>
        <v>55.459938516596495</v>
      </c>
      <c r="W120" s="402">
        <f t="shared" si="34"/>
        <v>0</v>
      </c>
      <c r="X120" s="157">
        <f t="shared" si="35"/>
        <v>44667</v>
      </c>
      <c r="Y120" s="385">
        <f t="shared" si="36"/>
        <v>42.611482408403354</v>
      </c>
      <c r="Z120" s="385">
        <f t="shared" si="37"/>
        <v>43.946057167211642</v>
      </c>
      <c r="AA120" s="386">
        <f t="shared" si="38"/>
        <v>47.257213102119181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7.0066678027593129E-2</v>
      </c>
      <c r="AD120" s="231">
        <f>(INDEX(Models!$BJ120:$BT120,,AH120)*(1-AF120)+INDEX(Models!$BJ120:$BT120,,AH120+1)*AF120-ERP_i)*AE120*Ramure*Pc/MaxiM</f>
        <v>5.8290779559670757E-6</v>
      </c>
      <c r="AE120" s="305">
        <f t="shared" si="40"/>
        <v>0.5</v>
      </c>
      <c r="AF120" s="177">
        <f t="shared" si="41"/>
        <v>4.4007679297763329E-2</v>
      </c>
      <c r="AG120" s="811">
        <f t="shared" si="49"/>
        <v>0</v>
      </c>
      <c r="AH120" s="176">
        <f t="shared" si="42"/>
        <v>6</v>
      </c>
      <c r="AI120" s="225">
        <f t="shared" si="43"/>
        <v>4.4007679297763329E-2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40">
        <v>54.061</v>
      </c>
      <c r="C121" s="841"/>
      <c r="D121" s="393">
        <f t="shared" si="25"/>
        <v>55.755390302962596</v>
      </c>
      <c r="E121" s="385">
        <f t="shared" si="47"/>
        <v>57.727974285741034</v>
      </c>
      <c r="F121" s="385">
        <f t="shared" si="26"/>
        <v>57.728351760885495</v>
      </c>
      <c r="G121" s="110">
        <f t="shared" si="48"/>
        <v>0.97134110668875551</v>
      </c>
      <c r="H121" s="414" t="b">
        <f>Wh_hp&gt;='2021'!Maxi_hp</f>
        <v>1</v>
      </c>
      <c r="I121" s="380">
        <f>IF(H121,Wh_hp,'2021'!Maxi_hp)</f>
        <v>57.728351760885495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3.0389712882568864E-2</v>
      </c>
      <c r="M121" s="845"/>
      <c r="N121" s="845"/>
      <c r="O121" s="48">
        <f>IF(t&lt;Tnet,'2021'!Resal+('2021'!Salim-'2021'!Resal)*(1-EXP(('2021'!Tnet-t)/('2021'!Tau_j))),Resal+(Salim-Resal)*(1-EXP((Tnet-t)/(Tau_j))))*Salcycl</f>
        <v>3.4170330886972959E-2</v>
      </c>
      <c r="P121" s="339">
        <f>(INDEX(Models!$BJ121:$BT121,,T121)*(1-R121)+INDEX(Models!$BJ121:$BT121,,T121+1)*R121-ERP_i)*Q121*Ramure*Pc/MaxiM</f>
        <v>6.8179502296900841E-6</v>
      </c>
      <c r="Q121" s="305">
        <f t="shared" si="28"/>
        <v>0.5</v>
      </c>
      <c r="R121" s="177">
        <f t="shared" si="29"/>
        <v>4.5798025832440116E-2</v>
      </c>
      <c r="S121" s="811">
        <f t="shared" si="30"/>
        <v>0</v>
      </c>
      <c r="T121" s="176">
        <f t="shared" si="31"/>
        <v>6</v>
      </c>
      <c r="U121" s="251">
        <f t="shared" si="32"/>
        <v>4.5798025832440116E-2</v>
      </c>
      <c r="V121" s="383">
        <f t="shared" si="33"/>
        <v>55.656024992071053</v>
      </c>
      <c r="W121" s="402">
        <f t="shared" si="34"/>
        <v>0</v>
      </c>
      <c r="X121" s="157">
        <f t="shared" si="35"/>
        <v>44668</v>
      </c>
      <c r="Y121" s="385">
        <f t="shared" si="36"/>
        <v>52.048154706887871</v>
      </c>
      <c r="Z121" s="385">
        <f t="shared" si="37"/>
        <v>53.679458023926919</v>
      </c>
      <c r="AA121" s="386">
        <f t="shared" si="38"/>
        <v>57.727974285741034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7.0130925463880431E-2</v>
      </c>
      <c r="AD121" s="231">
        <f>(INDEX(Models!$BJ121:$BT121,,AH121)*(1-AF121)+INDEX(Models!$BJ121:$BT121,,AH121+1)*AF121-ERP_i)*AE121*Ramure*Pc/MaxiM</f>
        <v>6.8179502296900841E-6</v>
      </c>
      <c r="AE121" s="305">
        <f t="shared" si="40"/>
        <v>0.5</v>
      </c>
      <c r="AF121" s="177">
        <f t="shared" si="41"/>
        <v>4.5798025832440116E-2</v>
      </c>
      <c r="AG121" s="811">
        <f t="shared" si="49"/>
        <v>0</v>
      </c>
      <c r="AH121" s="176">
        <f t="shared" si="42"/>
        <v>6</v>
      </c>
      <c r="AI121" s="225">
        <f t="shared" si="43"/>
        <v>4.5798025832440116E-2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40">
        <v>37.393999999999998</v>
      </c>
      <c r="C122" s="841"/>
      <c r="D122" s="393">
        <f t="shared" si="25"/>
        <v>38.566854683111828</v>
      </c>
      <c r="E122" s="385">
        <f t="shared" si="47"/>
        <v>39.935553740449585</v>
      </c>
      <c r="F122" s="385">
        <f t="shared" si="26"/>
        <v>39.935722939988011</v>
      </c>
      <c r="G122" s="110">
        <f t="shared" si="48"/>
        <v>0.66960299204234008</v>
      </c>
      <c r="H122" s="414" t="b">
        <f>Wh_hp&gt;='2021'!Maxi_hp</f>
        <v>0</v>
      </c>
      <c r="I122" s="380">
        <f>IF(H122,Wh_hp,'2021'!Maxi_hp)</f>
        <v>42.565319321773202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3.0410949836295886E-2</v>
      </c>
      <c r="M122" s="845"/>
      <c r="N122" s="845"/>
      <c r="O122" s="48">
        <f>IF(t&lt;Tnet,'2021'!Resal+('2021'!Salim-'2021'!Resal)*(1-EXP(('2021'!Tnet-t)/('2021'!Tau_j))),Resal+(Salim-Resal)*(1-EXP((Tnet-t)/(Tau_j))))*Salcycl</f>
        <v>3.4272695108555358E-2</v>
      </c>
      <c r="P122" s="339">
        <f>(INDEX(Models!$BJ122:$BT122,,T122)*(1-R122)+INDEX(Models!$BJ122:$BT122,,T122+1)*R122-ERP_i)*Q122*Ramure*Pc/MaxiM</f>
        <v>8.0241161235100317E-6</v>
      </c>
      <c r="Q122" s="305">
        <f t="shared" si="28"/>
        <v>0.5</v>
      </c>
      <c r="R122" s="177">
        <f t="shared" si="29"/>
        <v>4.7648506155163028E-2</v>
      </c>
      <c r="S122" s="811">
        <f t="shared" si="30"/>
        <v>0</v>
      </c>
      <c r="T122" s="176">
        <f t="shared" si="31"/>
        <v>6</v>
      </c>
      <c r="U122" s="251">
        <f t="shared" si="32"/>
        <v>4.7648506155163028E-2</v>
      </c>
      <c r="V122" s="383">
        <f t="shared" si="33"/>
        <v>55.844819722687681</v>
      </c>
      <c r="W122" s="402">
        <f t="shared" si="34"/>
        <v>0</v>
      </c>
      <c r="X122" s="157">
        <f t="shared" si="35"/>
        <v>44669</v>
      </c>
      <c r="Y122" s="385">
        <f t="shared" si="36"/>
        <v>36.003007159171446</v>
      </c>
      <c r="Z122" s="385">
        <f t="shared" si="37"/>
        <v>37.132233654137025</v>
      </c>
      <c r="AA122" s="386">
        <f t="shared" si="38"/>
        <v>39.935553740449585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7.0196099058297365E-2</v>
      </c>
      <c r="AD122" s="231">
        <f>(INDEX(Models!$BJ122:$BT122,,AH122)*(1-AF122)+INDEX(Models!$BJ122:$BT122,,AH122+1)*AF122-ERP_i)*AE122*Ramure*Pc/MaxiM</f>
        <v>8.0241161235100317E-6</v>
      </c>
      <c r="AE122" s="305">
        <f t="shared" si="40"/>
        <v>0.5</v>
      </c>
      <c r="AF122" s="177">
        <f t="shared" si="41"/>
        <v>4.7648506155163028E-2</v>
      </c>
      <c r="AG122" s="811">
        <f t="shared" si="49"/>
        <v>0</v>
      </c>
      <c r="AH122" s="176">
        <f t="shared" si="42"/>
        <v>6</v>
      </c>
      <c r="AI122" s="225">
        <f t="shared" si="43"/>
        <v>4.7648506155163028E-2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40">
        <v>8.9390000000000001</v>
      </c>
      <c r="C123" s="841"/>
      <c r="D123" s="393">
        <f t="shared" si="25"/>
        <v>9.2195717245573157</v>
      </c>
      <c r="E123" s="385">
        <f t="shared" si="47"/>
        <v>9.5477811753053903</v>
      </c>
      <c r="F123" s="385">
        <f t="shared" si="26"/>
        <v>9.5477811753053903</v>
      </c>
      <c r="G123" s="110">
        <f t="shared" si="48"/>
        <v>0.15954763215172296</v>
      </c>
      <c r="H123" s="414" t="b">
        <f>Wh_hp&gt;='2021'!Maxi_hp</f>
        <v>0</v>
      </c>
      <c r="I123" s="380">
        <f>IF(H123,Wh_hp,'2021'!Maxi_hp)</f>
        <v>57.730407119667383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3.0432186324879207E-2</v>
      </c>
      <c r="M123" s="845"/>
      <c r="N123" s="845"/>
      <c r="O123" s="48">
        <f>IF(t&lt;Tnet,'2021'!Resal+('2021'!Salim-'2021'!Resal)*(1-EXP(('2021'!Tnet-t)/('2021'!Tau_j))),Resal+(Salim-Resal)*(1-EXP((Tnet-t)/(Tau_j))))*Salcycl</f>
        <v>3.4375468469780575E-2</v>
      </c>
      <c r="P123" s="339">
        <f>(INDEX(Models!$BJ123:$BT123,,T123)*(1-R123)+INDEX(Models!$BJ123:$BT123,,T123+1)*R123-ERP_i)*Q123*Ramure*Pc/MaxiM</f>
        <v>9.4225141199939399E-6</v>
      </c>
      <c r="Q123" s="305">
        <f t="shared" si="28"/>
        <v>0.5</v>
      </c>
      <c r="R123" s="177">
        <f t="shared" si="29"/>
        <v>4.9560559239799885E-2</v>
      </c>
      <c r="S123" s="811">
        <f t="shared" si="30"/>
        <v>0</v>
      </c>
      <c r="T123" s="176">
        <f t="shared" si="31"/>
        <v>6</v>
      </c>
      <c r="U123" s="251">
        <f t="shared" si="32"/>
        <v>4.9560559239799885E-2</v>
      </c>
      <c r="V123" s="383">
        <f t="shared" si="33"/>
        <v>56.0266276070193</v>
      </c>
      <c r="W123" s="402">
        <f t="shared" si="34"/>
        <v>0</v>
      </c>
      <c r="X123" s="157">
        <f t="shared" si="35"/>
        <v>44670</v>
      </c>
      <c r="Y123" s="385">
        <f t="shared" si="36"/>
        <v>8.6067884938316546</v>
      </c>
      <c r="Z123" s="385">
        <f t="shared" si="37"/>
        <v>8.8769329720299339</v>
      </c>
      <c r="AA123" s="386">
        <f t="shared" si="38"/>
        <v>9.5477811753053903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7.0262209717431981E-2</v>
      </c>
      <c r="AD123" s="231">
        <f>(INDEX(Models!$BJ123:$BT123,,AH123)*(1-AF123)+INDEX(Models!$BJ123:$BT123,,AH123+1)*AF123-ERP_i)*AE123*Ramure*Pc/MaxiM</f>
        <v>9.4225141199939399E-6</v>
      </c>
      <c r="AE123" s="305">
        <f t="shared" si="40"/>
        <v>0.5</v>
      </c>
      <c r="AF123" s="177">
        <f t="shared" si="41"/>
        <v>4.9560559239799885E-2</v>
      </c>
      <c r="AG123" s="811">
        <f t="shared" si="49"/>
        <v>0</v>
      </c>
      <c r="AH123" s="176">
        <f t="shared" si="42"/>
        <v>6</v>
      </c>
      <c r="AI123" s="225">
        <f t="shared" si="43"/>
        <v>4.9560559239799885E-2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40">
        <v>10.229000000000001</v>
      </c>
      <c r="C124" s="841"/>
      <c r="D124" s="393">
        <f t="shared" si="25"/>
        <v>10.55029251382183</v>
      </c>
      <c r="E124" s="385">
        <f t="shared" si="47"/>
        <v>10.927042273933461</v>
      </c>
      <c r="F124" s="385">
        <f t="shared" si="26"/>
        <v>10.927042273933461</v>
      </c>
      <c r="G124" s="110">
        <f t="shared" si="48"/>
        <v>0.18200299764891223</v>
      </c>
      <c r="H124" s="414" t="b">
        <f>Wh_hp&gt;='2021'!Maxi_hp</f>
        <v>0</v>
      </c>
      <c r="I124" s="380">
        <f>IF(H124,Wh_hp,'2021'!Maxi_hp)</f>
        <v>54.953153725787914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3.0453422348328929E-2</v>
      </c>
      <c r="M124" s="845"/>
      <c r="N124" s="845"/>
      <c r="O124" s="48">
        <f>IF(t&lt;Tnet,'2021'!Resal+('2021'!Salim-'2021'!Resal)*(1-EXP(('2021'!Tnet-t)/('2021'!Tau_j))),Resal+(Salim-Resal)*(1-EXP((Tnet-t)/(Tau_j))))*Salcycl</f>
        <v>3.4478658603743967E-2</v>
      </c>
      <c r="P124" s="339">
        <f>(INDEX(Models!$BJ124:$BT124,,T124)*(1-R124)+INDEX(Models!$BJ124:$BT124,,T124+1)*R124-ERP_i)*Q124*Ramure*Pc/MaxiM</f>
        <v>1.1015342453798868E-5</v>
      </c>
      <c r="Q124" s="305">
        <f t="shared" si="28"/>
        <v>0.5</v>
      </c>
      <c r="R124" s="177">
        <f t="shared" si="29"/>
        <v>5.1535613968469098E-2</v>
      </c>
      <c r="S124" s="811">
        <f t="shared" si="30"/>
        <v>0</v>
      </c>
      <c r="T124" s="176">
        <f t="shared" si="31"/>
        <v>6</v>
      </c>
      <c r="U124" s="251">
        <f t="shared" si="32"/>
        <v>5.1535613968469098E-2</v>
      </c>
      <c r="V124" s="383">
        <f t="shared" si="33"/>
        <v>56.201751928250047</v>
      </c>
      <c r="W124" s="402">
        <f t="shared" si="34"/>
        <v>0</v>
      </c>
      <c r="X124" s="157">
        <f t="shared" si="35"/>
        <v>44671</v>
      </c>
      <c r="Y124" s="385">
        <f t="shared" si="36"/>
        <v>9.8491887438508527</v>
      </c>
      <c r="Z124" s="385">
        <f t="shared" si="37"/>
        <v>10.158551400084844</v>
      </c>
      <c r="AA124" s="386">
        <f t="shared" si="38"/>
        <v>10.927042273933461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7.0329267022408853E-2</v>
      </c>
      <c r="AD124" s="231">
        <f>(INDEX(Models!$BJ124:$BT124,,AH124)*(1-AF124)+INDEX(Models!$BJ124:$BT124,,AH124+1)*AF124-ERP_i)*AE124*Ramure*Pc/MaxiM</f>
        <v>1.1015342453798868E-5</v>
      </c>
      <c r="AE124" s="305">
        <f t="shared" si="40"/>
        <v>0.5</v>
      </c>
      <c r="AF124" s="177">
        <f t="shared" si="41"/>
        <v>5.1535613968469098E-2</v>
      </c>
      <c r="AG124" s="811">
        <f t="shared" si="49"/>
        <v>0</v>
      </c>
      <c r="AH124" s="176">
        <f t="shared" si="42"/>
        <v>6</v>
      </c>
      <c r="AI124" s="225">
        <f t="shared" si="43"/>
        <v>5.1535613968469098E-2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40">
        <v>9.4550000000000001</v>
      </c>
      <c r="C125" s="841"/>
      <c r="D125" s="393">
        <f t="shared" si="25"/>
        <v>9.7521948003806624</v>
      </c>
      <c r="E125" s="385">
        <f t="shared" si="47"/>
        <v>10.101528615490318</v>
      </c>
      <c r="F125" s="385">
        <f t="shared" si="26"/>
        <v>10.101528615490318</v>
      </c>
      <c r="G125" s="110">
        <f t="shared" si="48"/>
        <v>0.16772743941446205</v>
      </c>
      <c r="H125" s="414" t="b">
        <f>Wh_hp&gt;='2021'!Maxi_hp</f>
        <v>0</v>
      </c>
      <c r="I125" s="380">
        <f>IF(H125,Wh_hp,'2021'!Maxi_hp)</f>
        <v>55.659407422413302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3.0474657906655156E-2</v>
      </c>
      <c r="M125" s="845"/>
      <c r="N125" s="845"/>
      <c r="O125" s="48">
        <f>IF(t&lt;Tnet,'2021'!Resal+('2021'!Salim-'2021'!Resal)*(1-EXP(('2021'!Tnet-t)/('2021'!Tau_j))),Resal+(Salim-Resal)*(1-EXP((Tnet-t)/(Tau_j))))*Salcycl</f>
        <v>3.4582272486360713E-2</v>
      </c>
      <c r="P125" s="339">
        <f>(INDEX(Models!$BJ125:$BT125,,T125)*(1-R125)+INDEX(Models!$BJ125:$BT125,,T125+1)*R125-ERP_i)*Q125*Ramure*Pc/MaxiM</f>
        <v>1.2805143539752076E-5</v>
      </c>
      <c r="Q125" s="305">
        <f t="shared" si="28"/>
        <v>0.5</v>
      </c>
      <c r="R125" s="177">
        <f t="shared" si="29"/>
        <v>5.3575085033942163E-2</v>
      </c>
      <c r="S125" s="811">
        <f t="shared" si="30"/>
        <v>0</v>
      </c>
      <c r="T125" s="176">
        <f t="shared" si="31"/>
        <v>6</v>
      </c>
      <c r="U125" s="251">
        <f t="shared" si="32"/>
        <v>5.3575085033942163E-2</v>
      </c>
      <c r="V125" s="383">
        <f t="shared" si="33"/>
        <v>56.37049584954552</v>
      </c>
      <c r="W125" s="402">
        <f t="shared" si="34"/>
        <v>0</v>
      </c>
      <c r="X125" s="157">
        <f t="shared" si="35"/>
        <v>44672</v>
      </c>
      <c r="Y125" s="385">
        <f t="shared" si="36"/>
        <v>9.1042389993126296</v>
      </c>
      <c r="Z125" s="385">
        <f t="shared" si="37"/>
        <v>9.3904084855123706</v>
      </c>
      <c r="AA125" s="386">
        <f t="shared" si="38"/>
        <v>10.101528615490318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7.0397279168963628E-2</v>
      </c>
      <c r="AD125" s="231">
        <f>(INDEX(Models!$BJ125:$BT125,,AH125)*(1-AF125)+INDEX(Models!$BJ125:$BT125,,AH125+1)*AF125-ERP_i)*AE125*Ramure*Pc/MaxiM</f>
        <v>1.2805143539752076E-5</v>
      </c>
      <c r="AE125" s="305">
        <f t="shared" si="40"/>
        <v>0.5</v>
      </c>
      <c r="AF125" s="177">
        <f t="shared" si="41"/>
        <v>5.3575085033942163E-2</v>
      </c>
      <c r="AG125" s="811">
        <f t="shared" si="49"/>
        <v>0</v>
      </c>
      <c r="AH125" s="176">
        <f t="shared" si="42"/>
        <v>6</v>
      </c>
      <c r="AI125" s="225">
        <f t="shared" si="43"/>
        <v>5.3575085033942163E-2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40">
        <v>27.67</v>
      </c>
      <c r="C126" s="841"/>
      <c r="D126" s="393">
        <f t="shared" si="25"/>
        <v>28.540363883158093</v>
      </c>
      <c r="E126" s="385">
        <f t="shared" si="47"/>
        <v>29.565895903065858</v>
      </c>
      <c r="F126" s="385">
        <f t="shared" si="26"/>
        <v>29.566014286665627</v>
      </c>
      <c r="G126" s="110">
        <f t="shared" si="48"/>
        <v>0.48944195293194681</v>
      </c>
      <c r="H126" s="414" t="b">
        <f>Wh_hp&gt;='2021'!Maxi_hp</f>
        <v>0</v>
      </c>
      <c r="I126" s="380">
        <f>IF(H126,Wh_hp,'2021'!Maxi_hp)</f>
        <v>61.619887493232405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3.0495892999868213E-2</v>
      </c>
      <c r="M126" s="845"/>
      <c r="N126" s="845"/>
      <c r="O126" s="48">
        <f>IF(t&lt;Tnet,'2021'!Resal+('2021'!Salim-'2021'!Resal)*(1-EXP(('2021'!Tnet-t)/('2021'!Tau_j))),Resal+(Salim-Resal)*(1-EXP((Tnet-t)/(Tau_j))))*Salcycl</f>
        <v>3.4686316398801265E-2</v>
      </c>
      <c r="P126" s="339">
        <f>(INDEX(Models!$BJ126:$BT126,,T126)*(1-R126)+INDEX(Models!$BJ126:$BT126,,T126+1)*R126-ERP_i)*Q126*Ramure*Pc/MaxiM</f>
        <v>1.4794780611388615E-5</v>
      </c>
      <c r="Q126" s="305">
        <f t="shared" si="28"/>
        <v>0.5</v>
      </c>
      <c r="R126" s="177">
        <f t="shared" si="29"/>
        <v>5.5680368580824618E-2</v>
      </c>
      <c r="S126" s="811">
        <f t="shared" si="30"/>
        <v>0</v>
      </c>
      <c r="T126" s="176">
        <f t="shared" si="31"/>
        <v>6</v>
      </c>
      <c r="U126" s="251">
        <f t="shared" si="32"/>
        <v>5.5680368580824618E-2</v>
      </c>
      <c r="V126" s="383">
        <f t="shared" si="33"/>
        <v>56.533162417625427</v>
      </c>
      <c r="W126" s="402">
        <f t="shared" si="34"/>
        <v>0</v>
      </c>
      <c r="X126" s="157">
        <f t="shared" si="35"/>
        <v>44673</v>
      </c>
      <c r="Y126" s="385">
        <f t="shared" si="36"/>
        <v>26.644394686454792</v>
      </c>
      <c r="Z126" s="385">
        <f t="shared" si="37"/>
        <v>27.482498004983871</v>
      </c>
      <c r="AA126" s="386">
        <f t="shared" si="38"/>
        <v>29.565895903065858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7.0466252905461532E-2</v>
      </c>
      <c r="AD126" s="231">
        <f>(INDEX(Models!$BJ126:$BT126,,AH126)*(1-AF126)+INDEX(Models!$BJ126:$BT126,,AH126+1)*AF126-ERP_i)*AE126*Ramure*Pc/MaxiM</f>
        <v>1.4794780611388615E-5</v>
      </c>
      <c r="AE126" s="305">
        <f t="shared" si="40"/>
        <v>0.5</v>
      </c>
      <c r="AF126" s="177">
        <f t="shared" si="41"/>
        <v>5.5680368580824618E-2</v>
      </c>
      <c r="AG126" s="811">
        <f t="shared" si="49"/>
        <v>0</v>
      </c>
      <c r="AH126" s="176">
        <f t="shared" si="42"/>
        <v>6</v>
      </c>
      <c r="AI126" s="225">
        <f t="shared" si="43"/>
        <v>5.5680368580824618E-2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40">
        <v>9.5739999999999998</v>
      </c>
      <c r="C127" s="841"/>
      <c r="D127" s="393">
        <f t="shared" si="25"/>
        <v>9.8753678613995639</v>
      </c>
      <c r="E127" s="385">
        <f t="shared" si="47"/>
        <v>10.231323757932646</v>
      </c>
      <c r="F127" s="385">
        <f t="shared" si="26"/>
        <v>10.231323757932646</v>
      </c>
      <c r="G127" s="110">
        <f t="shared" si="48"/>
        <v>0.16888036952500349</v>
      </c>
      <c r="H127" s="414" t="b">
        <f>Wh_hp&gt;='2021'!Maxi_hp</f>
        <v>0</v>
      </c>
      <c r="I127" s="380">
        <f>IF(H127,Wh_hp,'2021'!Maxi_hp)</f>
        <v>61.960154457717145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3.0517127627978202E-2</v>
      </c>
      <c r="M127" s="845"/>
      <c r="N127" s="845"/>
      <c r="O127" s="48">
        <f>IF(t&lt;Tnet,'2021'!Resal+('2021'!Salim-'2021'!Resal)*(1-EXP(('2021'!Tnet-t)/('2021'!Tau_j))),Resal+(Salim-Resal)*(1-EXP((Tnet-t)/(Tau_j))))*Salcycl</f>
        <v>3.4790795888664891E-2</v>
      </c>
      <c r="P127" s="339">
        <f>(INDEX(Models!$BJ127:$BT127,,T127)*(1-R127)+INDEX(Models!$BJ127:$BT127,,T127+1)*R127-ERP_i)*Q127*Ramure*Pc/MaxiM</f>
        <v>1.6987384304353702E-5</v>
      </c>
      <c r="Q127" s="305">
        <f t="shared" si="28"/>
        <v>0.5</v>
      </c>
      <c r="R127" s="177">
        <f t="shared" si="29"/>
        <v>5.7852837584858006E-2</v>
      </c>
      <c r="S127" s="811">
        <f t="shared" si="30"/>
        <v>0</v>
      </c>
      <c r="T127" s="176">
        <f t="shared" si="31"/>
        <v>6</v>
      </c>
      <c r="U127" s="251">
        <f t="shared" si="32"/>
        <v>5.7852837584858006E-2</v>
      </c>
      <c r="V127" s="383">
        <f t="shared" si="33"/>
        <v>56.690054561760185</v>
      </c>
      <c r="W127" s="402">
        <f t="shared" si="34"/>
        <v>0</v>
      </c>
      <c r="X127" s="157">
        <f t="shared" si="35"/>
        <v>44674</v>
      </c>
      <c r="Y127" s="385">
        <f t="shared" si="36"/>
        <v>9.2194380718953113</v>
      </c>
      <c r="Z127" s="385">
        <f t="shared" si="37"/>
        <v>9.5096451258991568</v>
      </c>
      <c r="AA127" s="386">
        <f t="shared" si="38"/>
        <v>10.231323757932646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7.0536193468997685E-2</v>
      </c>
      <c r="AD127" s="231">
        <f>(INDEX(Models!$BJ127:$BT127,,AH127)*(1-AF127)+INDEX(Models!$BJ127:$BT127,,AH127+1)*AF127-ERP_i)*AE127*Ramure*Pc/MaxiM</f>
        <v>1.6987384304353702E-5</v>
      </c>
      <c r="AE127" s="305">
        <f t="shared" si="40"/>
        <v>0.5</v>
      </c>
      <c r="AF127" s="177">
        <f t="shared" si="41"/>
        <v>5.7852837584858006E-2</v>
      </c>
      <c r="AG127" s="811">
        <f t="shared" si="49"/>
        <v>0</v>
      </c>
      <c r="AH127" s="176">
        <f t="shared" si="42"/>
        <v>6</v>
      </c>
      <c r="AI127" s="225">
        <f t="shared" si="43"/>
        <v>5.7852837584858006E-2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40">
        <v>30.378</v>
      </c>
      <c r="C128" s="841"/>
      <c r="D128" s="393">
        <f t="shared" si="25"/>
        <v>31.334917033045979</v>
      </c>
      <c r="E128" s="385">
        <f t="shared" si="47"/>
        <v>32.467907918103442</v>
      </c>
      <c r="F128" s="385">
        <f t="shared" si="26"/>
        <v>32.468120662835162</v>
      </c>
      <c r="G128" s="110">
        <f t="shared" si="48"/>
        <v>0.53442684365375115</v>
      </c>
      <c r="H128" s="414" t="b">
        <f>Wh_hp&gt;='2021'!Maxi_hp</f>
        <v>0</v>
      </c>
      <c r="I128" s="380">
        <f>IF(H128,Wh_hp,'2021'!Maxi_hp)</f>
        <v>59.446721075347604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3.0538361790995339E-2</v>
      </c>
      <c r="M128" s="845"/>
      <c r="N128" s="845"/>
      <c r="O128" s="48">
        <f>IF(t&lt;Tnet,'2021'!Resal+('2021'!Salim-'2021'!Resal)*(1-EXP(('2021'!Tnet-t)/('2021'!Tau_j))),Resal+(Salim-Resal)*(1-EXP((Tnet-t)/(Tau_j))))*Salcycl</f>
        <v>3.4895715729984907E-2</v>
      </c>
      <c r="P128" s="339">
        <f>(INDEX(Models!$BJ128:$BT128,,T128)*(1-R128)+INDEX(Models!$BJ128:$BT128,,T128+1)*R128-ERP_i)*Q128*Ramure*Pc/MaxiM</f>
        <v>1.9564983204044962E-5</v>
      </c>
      <c r="Q128" s="305">
        <f t="shared" si="28"/>
        <v>0.5</v>
      </c>
      <c r="R128" s="177">
        <f t="shared" si="29"/>
        <v>6.009383697143951E-2</v>
      </c>
      <c r="S128" s="811">
        <f t="shared" si="30"/>
        <v>0</v>
      </c>
      <c r="T128" s="176">
        <f t="shared" si="31"/>
        <v>6</v>
      </c>
      <c r="U128" s="251">
        <f t="shared" si="32"/>
        <v>6.009383697143951E-2</v>
      </c>
      <c r="V128" s="383">
        <f t="shared" si="33"/>
        <v>56.841464949722223</v>
      </c>
      <c r="W128" s="402">
        <f t="shared" si="34"/>
        <v>0</v>
      </c>
      <c r="X128" s="157">
        <f t="shared" si="35"/>
        <v>44675</v>
      </c>
      <c r="Y128" s="385">
        <f t="shared" si="36"/>
        <v>29.253934356174547</v>
      </c>
      <c r="Z128" s="385">
        <f t="shared" si="37"/>
        <v>30.17544295019102</v>
      </c>
      <c r="AA128" s="386">
        <f t="shared" si="38"/>
        <v>32.467907918103442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7.0607104519789285E-2</v>
      </c>
      <c r="AD128" s="231">
        <f>(INDEX(Models!$BJ128:$BT128,,AH128)*(1-AF128)+INDEX(Models!$BJ128:$BT128,,AH128+1)*AF128-ERP_i)*AE128*Ramure*Pc/MaxiM</f>
        <v>1.9564983204044962E-5</v>
      </c>
      <c r="AE128" s="305">
        <f t="shared" si="40"/>
        <v>0.5</v>
      </c>
      <c r="AF128" s="177">
        <f t="shared" si="41"/>
        <v>6.009383697143951E-2</v>
      </c>
      <c r="AG128" s="811">
        <f t="shared" si="49"/>
        <v>0</v>
      </c>
      <c r="AH128" s="176">
        <f t="shared" si="42"/>
        <v>6</v>
      </c>
      <c r="AI128" s="225">
        <f t="shared" si="43"/>
        <v>6.009383697143951E-2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40">
        <v>46.747</v>
      </c>
      <c r="C129" s="841"/>
      <c r="D129" s="393">
        <f t="shared" si="25"/>
        <v>48.220602094232383</v>
      </c>
      <c r="E129" s="385">
        <f t="shared" si="47"/>
        <v>49.969591767362608</v>
      </c>
      <c r="F129" s="385">
        <f t="shared" si="26"/>
        <v>49.970426109458721</v>
      </c>
      <c r="G129" s="110">
        <f t="shared" si="48"/>
        <v>0.82029508751589231</v>
      </c>
      <c r="H129" s="414" t="b">
        <f>Wh_hp&gt;='2021'!Maxi_hp</f>
        <v>0</v>
      </c>
      <c r="I129" s="380">
        <f>IF(H129,Wh_hp,'2021'!Maxi_hp)</f>
        <v>54.184367462537033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3.0559595488929836E-2</v>
      </c>
      <c r="M129" s="845"/>
      <c r="N129" s="845"/>
      <c r="O129" s="48">
        <f>IF(t&lt;Tnet,'2021'!Resal+('2021'!Salim-'2021'!Resal)*(1-EXP(('2021'!Tnet-t)/('2021'!Tau_j))),Resal+(Salim-Resal)*(1-EXP((Tnet-t)/(Tau_j))))*Salcycl</f>
        <v>3.5001079882196862E-2</v>
      </c>
      <c r="P129" s="339">
        <f>(INDEX(Models!$BJ129:$BT129,,T129)*(1-R129)+INDEX(Models!$BJ129:$BT129,,T129+1)*R129-ERP_i)*Q129*Ramure*Pc/MaxiM</f>
        <v>2.2463398905405861E-5</v>
      </c>
      <c r="Q129" s="305">
        <f t="shared" si="28"/>
        <v>0.5</v>
      </c>
      <c r="R129" s="177">
        <f t="shared" si="29"/>
        <v>6.2404678476405351E-2</v>
      </c>
      <c r="S129" s="811">
        <f t="shared" si="30"/>
        <v>0</v>
      </c>
      <c r="T129" s="176">
        <f t="shared" si="31"/>
        <v>6</v>
      </c>
      <c r="U129" s="251">
        <f t="shared" si="32"/>
        <v>6.2404678476405351E-2</v>
      </c>
      <c r="V129" s="383">
        <f t="shared" si="33"/>
        <v>56.987700075120912</v>
      </c>
      <c r="W129" s="402">
        <f t="shared" si="34"/>
        <v>0</v>
      </c>
      <c r="X129" s="157">
        <f t="shared" si="35"/>
        <v>44676</v>
      </c>
      <c r="Y129" s="385">
        <f t="shared" si="36"/>
        <v>45.018671460476575</v>
      </c>
      <c r="Z129" s="385">
        <f t="shared" si="37"/>
        <v>46.437791586767418</v>
      </c>
      <c r="AA129" s="386">
        <f t="shared" si="38"/>
        <v>49.969591767362608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7.0678988074142579E-2</v>
      </c>
      <c r="AD129" s="231">
        <f>(INDEX(Models!$BJ129:$BT129,,AH129)*(1-AF129)+INDEX(Models!$BJ129:$BT129,,AH129+1)*AF129-ERP_i)*AE129*Ramure*Pc/MaxiM</f>
        <v>2.2463398905405861E-5</v>
      </c>
      <c r="AE129" s="305">
        <f t="shared" si="40"/>
        <v>0.5</v>
      </c>
      <c r="AF129" s="177">
        <f t="shared" si="41"/>
        <v>6.2404678476405351E-2</v>
      </c>
      <c r="AG129" s="811">
        <f t="shared" si="49"/>
        <v>0</v>
      </c>
      <c r="AH129" s="176">
        <f t="shared" si="42"/>
        <v>6</v>
      </c>
      <c r="AI129" s="225">
        <f t="shared" si="43"/>
        <v>6.2404678476405351E-2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40">
        <v>54.419000000000004</v>
      </c>
      <c r="C130" s="841"/>
      <c r="D130" s="393">
        <f t="shared" si="25"/>
        <v>56.135675476942474</v>
      </c>
      <c r="E130" s="385">
        <f t="shared" si="47"/>
        <v>58.17812872681651</v>
      </c>
      <c r="F130" s="385">
        <f t="shared" si="26"/>
        <v>58.179521946902589</v>
      </c>
      <c r="G130" s="110">
        <f t="shared" si="48"/>
        <v>0.95256079748331024</v>
      </c>
      <c r="H130" s="414" t="b">
        <f>Wh_hp&gt;='2021'!Maxi_hp</f>
        <v>1</v>
      </c>
      <c r="I130" s="380">
        <f>IF(H130,Wh_hp,'2021'!Maxi_hp)</f>
        <v>58.179521946902589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3.0580828721791908E-2</v>
      </c>
      <c r="M130" s="845"/>
      <c r="N130" s="845"/>
      <c r="O130" s="48">
        <f>IF(t&lt;Tnet,'2021'!Resal+('2021'!Salim-'2021'!Resal)*(1-EXP(('2021'!Tnet-t)/('2021'!Tau_j))),Resal+(Salim-Resal)*(1-EXP((Tnet-t)/(Tau_j))))*Salcycl</f>
        <v>3.5106891448239155E-2</v>
      </c>
      <c r="P130" s="339">
        <f>(INDEX(Models!$BJ130:$BT130,,T130)*(1-R130)+INDEX(Models!$BJ130:$BT130,,T130+1)*R130-ERP_i)*Q130*Ramure*Pc/MaxiM</f>
        <v>2.5687718599709681E-5</v>
      </c>
      <c r="Q130" s="305">
        <f t="shared" si="28"/>
        <v>0.5</v>
      </c>
      <c r="R130" s="177">
        <f t="shared" si="29"/>
        <v>6.4786635254264313E-2</v>
      </c>
      <c r="S130" s="811">
        <f t="shared" si="30"/>
        <v>0</v>
      </c>
      <c r="T130" s="176">
        <f t="shared" si="31"/>
        <v>6</v>
      </c>
      <c r="U130" s="251">
        <f t="shared" si="32"/>
        <v>6.4786635254264313E-2</v>
      </c>
      <c r="V130" s="383">
        <f t="shared" si="33"/>
        <v>57.129062427022461</v>
      </c>
      <c r="W130" s="402">
        <f t="shared" si="34"/>
        <v>0</v>
      </c>
      <c r="X130" s="157">
        <f t="shared" si="35"/>
        <v>44677</v>
      </c>
      <c r="Y130" s="385">
        <f t="shared" si="36"/>
        <v>52.408660533930565</v>
      </c>
      <c r="Z130" s="385">
        <f t="shared" si="37"/>
        <v>54.061918813538817</v>
      </c>
      <c r="AA130" s="386">
        <f t="shared" si="38"/>
        <v>58.17812872681651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7.0751844436350464E-2</v>
      </c>
      <c r="AD130" s="231">
        <f>(INDEX(Models!$BJ130:$BT130,,AH130)*(1-AF130)+INDEX(Models!$BJ130:$BT130,,AH130+1)*AF130-ERP_i)*AE130*Ramure*Pc/MaxiM</f>
        <v>2.5687718599709681E-5</v>
      </c>
      <c r="AE130" s="305">
        <f t="shared" si="40"/>
        <v>0.5</v>
      </c>
      <c r="AF130" s="177">
        <f t="shared" si="41"/>
        <v>6.4786635254264313E-2</v>
      </c>
      <c r="AG130" s="811">
        <f t="shared" si="49"/>
        <v>0</v>
      </c>
      <c r="AH130" s="176">
        <f t="shared" si="42"/>
        <v>6</v>
      </c>
      <c r="AI130" s="225">
        <f t="shared" si="43"/>
        <v>6.4786635254264313E-2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40">
        <v>40.991</v>
      </c>
      <c r="C131" s="841"/>
      <c r="D131" s="393">
        <f t="shared" si="25"/>
        <v>42.285008428001603</v>
      </c>
      <c r="E131" s="385">
        <f t="shared" si="47"/>
        <v>43.828342543596598</v>
      </c>
      <c r="F131" s="385">
        <f t="shared" si="26"/>
        <v>43.829103884586168</v>
      </c>
      <c r="G131" s="110">
        <f t="shared" si="48"/>
        <v>0.71579327261429859</v>
      </c>
      <c r="H131" s="414" t="b">
        <f>Wh_hp&gt;='2021'!Maxi_hp</f>
        <v>1</v>
      </c>
      <c r="I131" s="380">
        <f>IF(H131,Wh_hp,'2021'!Maxi_hp)</f>
        <v>43.829103884586168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3.0602061489591548E-2</v>
      </c>
      <c r="M131" s="845"/>
      <c r="N131" s="845"/>
      <c r="O131" s="48">
        <f>IF(t&lt;Tnet,'2021'!Resal+('2021'!Salim-'2021'!Resal)*(1-EXP(('2021'!Tnet-t)/('2021'!Tau_j))),Resal+(Salim-Resal)*(1-EXP((Tnet-t)/(Tau_j))))*Salcycl</f>
        <v>3.5213152631994198E-2</v>
      </c>
      <c r="P131" s="339">
        <f>(INDEX(Models!$BJ131:$BT131,,T131)*(1-R131)+INDEX(Models!$BJ131:$BT131,,T131+1)*R131-ERP_i)*Q131*Ramure*Pc/MaxiM</f>
        <v>2.9243431053201445E-5</v>
      </c>
      <c r="Q131" s="305">
        <f t="shared" si="28"/>
        <v>0.5</v>
      </c>
      <c r="R131" s="177">
        <f t="shared" si="29"/>
        <v>6.7240936241399263E-2</v>
      </c>
      <c r="S131" s="811">
        <f t="shared" si="30"/>
        <v>0</v>
      </c>
      <c r="T131" s="176">
        <f t="shared" si="31"/>
        <v>6</v>
      </c>
      <c r="U131" s="251">
        <f t="shared" si="32"/>
        <v>6.7240936241399263E-2</v>
      </c>
      <c r="V131" s="383">
        <f t="shared" si="33"/>
        <v>57.265854379395577</v>
      </c>
      <c r="W131" s="402">
        <f t="shared" si="34"/>
        <v>0</v>
      </c>
      <c r="X131" s="157">
        <f t="shared" si="35"/>
        <v>44678</v>
      </c>
      <c r="Y131" s="385">
        <f t="shared" si="36"/>
        <v>39.477927147977823</v>
      </c>
      <c r="Z131" s="385">
        <f t="shared" si="37"/>
        <v>40.724170724604804</v>
      </c>
      <c r="AA131" s="386">
        <f t="shared" si="38"/>
        <v>43.828342543596598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7.0825672129947351E-2</v>
      </c>
      <c r="AD131" s="231">
        <f>(INDEX(Models!$BJ131:$BT131,,AH131)*(1-AF131)+INDEX(Models!$BJ131:$BT131,,AH131+1)*AF131-ERP_i)*AE131*Ramure*Pc/MaxiM</f>
        <v>2.9243431053201445E-5</v>
      </c>
      <c r="AE131" s="305">
        <f t="shared" si="40"/>
        <v>0.5</v>
      </c>
      <c r="AF131" s="177">
        <f t="shared" si="41"/>
        <v>6.7240936241399263E-2</v>
      </c>
      <c r="AG131" s="811">
        <f t="shared" si="49"/>
        <v>0</v>
      </c>
      <c r="AH131" s="176">
        <f t="shared" si="42"/>
        <v>6</v>
      </c>
      <c r="AI131" s="225">
        <f t="shared" si="43"/>
        <v>6.7240936241399263E-2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40">
        <v>20.402999999999999</v>
      </c>
      <c r="C132" s="841"/>
      <c r="D132" s="393">
        <f t="shared" si="25"/>
        <v>21.04754515901195</v>
      </c>
      <c r="E132" s="385">
        <f t="shared" si="47"/>
        <v>21.818159604130635</v>
      </c>
      <c r="F132" s="385">
        <f t="shared" si="26"/>
        <v>21.818216887689953</v>
      </c>
      <c r="G132" s="110">
        <f t="shared" si="48"/>
        <v>0.35545215955112708</v>
      </c>
      <c r="H132" s="414" t="b">
        <f>Wh_hp&gt;='2021'!Maxi_hp</f>
        <v>0</v>
      </c>
      <c r="I132" s="380">
        <f>IF(H132,Wh_hp,'2021'!Maxi_hp)</f>
        <v>46.870510731346037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3.062329379233919E-2</v>
      </c>
      <c r="M132" s="845"/>
      <c r="N132" s="845"/>
      <c r="O132" s="48">
        <f>IF(t&lt;Tnet,'2021'!Resal+('2021'!Salim-'2021'!Resal)*(1-EXP(('2021'!Tnet-t)/('2021'!Tau_j))),Resal+(Salim-Resal)*(1-EXP((Tnet-t)/(Tau_j))))*Salcycl</f>
        <v>3.5319864695315263E-2</v>
      </c>
      <c r="P132" s="339">
        <f>(INDEX(Models!$BJ132:$BT132,,T132)*(1-R132)+INDEX(Models!$BJ132:$BT132,,T132+1)*R132-ERP_i)*Q132*Ramure*Pc/MaxiM</f>
        <v>3.3136404554440372E-5</v>
      </c>
      <c r="Q132" s="305">
        <f t="shared" si="28"/>
        <v>0.5</v>
      </c>
      <c r="R132" s="177">
        <f t="shared" si="29"/>
        <v>6.9768760284276574E-2</v>
      </c>
      <c r="S132" s="811">
        <f t="shared" si="30"/>
        <v>0</v>
      </c>
      <c r="T132" s="176">
        <f t="shared" si="31"/>
        <v>6</v>
      </c>
      <c r="U132" s="251">
        <f t="shared" si="32"/>
        <v>6.9768760284276574E-2</v>
      </c>
      <c r="V132" s="383">
        <f t="shared" si="33"/>
        <v>57.398378195215891</v>
      </c>
      <c r="W132" s="402">
        <f t="shared" si="34"/>
        <v>0</v>
      </c>
      <c r="X132" s="157">
        <f t="shared" si="35"/>
        <v>44679</v>
      </c>
      <c r="Y132" s="385">
        <f t="shared" si="36"/>
        <v>19.650469685375509</v>
      </c>
      <c r="Z132" s="385">
        <f t="shared" si="37"/>
        <v>20.271241881033983</v>
      </c>
      <c r="AA132" s="386">
        <f t="shared" si="38"/>
        <v>21.818159604130635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7.0900467828816677E-2</v>
      </c>
      <c r="AD132" s="231">
        <f>(INDEX(Models!$BJ132:$BT132,,AH132)*(1-AF132)+INDEX(Models!$BJ132:$BT132,,AH132+1)*AF132-ERP_i)*AE132*Ramure*Pc/MaxiM</f>
        <v>3.3136404554440372E-5</v>
      </c>
      <c r="AE132" s="305">
        <f t="shared" si="40"/>
        <v>0.5</v>
      </c>
      <c r="AF132" s="177">
        <f t="shared" si="41"/>
        <v>6.9768760284276574E-2</v>
      </c>
      <c r="AG132" s="811">
        <f t="shared" si="49"/>
        <v>0</v>
      </c>
      <c r="AH132" s="176">
        <f t="shared" si="42"/>
        <v>6</v>
      </c>
      <c r="AI132" s="225">
        <f t="shared" si="43"/>
        <v>6.9768760284276574E-2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40">
        <v>41.057000000000002</v>
      </c>
      <c r="C133" s="841"/>
      <c r="D133" s="393">
        <f t="shared" si="25"/>
        <v>42.3549472670854</v>
      </c>
      <c r="E133" s="385">
        <f t="shared" si="47"/>
        <v>43.910568192190176</v>
      </c>
      <c r="F133" s="385">
        <f t="shared" si="26"/>
        <v>43.911538083288107</v>
      </c>
      <c r="G133" s="110">
        <f t="shared" si="48"/>
        <v>0.71368953823398562</v>
      </c>
      <c r="H133" s="414" t="b">
        <f>Wh_hp&gt;='2021'!Maxi_hp</f>
        <v>0</v>
      </c>
      <c r="I133" s="380">
        <f>IF(H133,Wh_hp,'2021'!Maxi_hp)</f>
        <v>52.731591737433121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3.0644525630044828E-2</v>
      </c>
      <c r="M133" s="845"/>
      <c r="N133" s="845"/>
      <c r="O133" s="48">
        <f>IF(t&lt;Tnet,'2021'!Resal+('2021'!Salim-'2021'!Resal)*(1-EXP(('2021'!Tnet-t)/('2021'!Tau_j))),Resal+(Salim-Resal)*(1-EXP((Tnet-t)/(Tau_j))))*Salcycl</f>
        <v>3.5427027914921319E-2</v>
      </c>
      <c r="P133" s="339">
        <f>(INDEX(Models!$BJ133:$BT133,,T133)*(1-R133)+INDEX(Models!$BJ133:$BT133,,T133+1)*R133-ERP_i)*Q133*Ramure*Pc/MaxiM</f>
        <v>3.7372863354361378E-5</v>
      </c>
      <c r="Q133" s="305">
        <f t="shared" si="28"/>
        <v>0.5</v>
      </c>
      <c r="R133" s="177">
        <f t="shared" si="29"/>
        <v>7.2371230045408658E-2</v>
      </c>
      <c r="S133" s="811">
        <f t="shared" si="30"/>
        <v>0</v>
      </c>
      <c r="T133" s="176">
        <f t="shared" si="31"/>
        <v>6</v>
      </c>
      <c r="U133" s="251">
        <f t="shared" si="32"/>
        <v>7.2371230045408658E-2</v>
      </c>
      <c r="V133" s="383">
        <f t="shared" si="33"/>
        <v>57.526936028646098</v>
      </c>
      <c r="W133" s="402">
        <f t="shared" si="34"/>
        <v>0</v>
      </c>
      <c r="X133" s="157">
        <f t="shared" si="35"/>
        <v>44680</v>
      </c>
      <c r="Y133" s="385">
        <f t="shared" si="36"/>
        <v>39.543850160773545</v>
      </c>
      <c r="Z133" s="385">
        <f t="shared" si="37"/>
        <v>40.793961767715366</v>
      </c>
      <c r="AA133" s="386">
        <f t="shared" si="38"/>
        <v>43.910568192190176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7.0976226288712016E-2</v>
      </c>
      <c r="AD133" s="231">
        <f>(INDEX(Models!$BJ133:$BT133,,AH133)*(1-AF133)+INDEX(Models!$BJ133:$BT133,,AH133+1)*AF133-ERP_i)*AE133*Ramure*Pc/MaxiM</f>
        <v>3.7372863354361378E-5</v>
      </c>
      <c r="AE133" s="305">
        <f t="shared" si="40"/>
        <v>0.5</v>
      </c>
      <c r="AF133" s="177">
        <f t="shared" si="41"/>
        <v>7.2371230045408658E-2</v>
      </c>
      <c r="AG133" s="811">
        <f t="shared" si="49"/>
        <v>0</v>
      </c>
      <c r="AH133" s="176">
        <f t="shared" si="42"/>
        <v>6</v>
      </c>
      <c r="AI133" s="225">
        <f t="shared" si="43"/>
        <v>7.2371230045408658E-2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40">
        <v>43.640999999999998</v>
      </c>
      <c r="C134" s="841"/>
      <c r="D134" s="393">
        <f t="shared" si="25"/>
        <v>45.021622123920366</v>
      </c>
      <c r="E134" s="385">
        <f t="shared" si="47"/>
        <v>46.680393161848485</v>
      </c>
      <c r="F134" s="385">
        <f t="shared" si="26"/>
        <v>46.681671865139975</v>
      </c>
      <c r="G134" s="110">
        <f t="shared" si="48"/>
        <v>0.75696407734767257</v>
      </c>
      <c r="H134" s="414" t="b">
        <f>Wh_hp&gt;='2021'!Maxi_hp</f>
        <v>0</v>
      </c>
      <c r="I134" s="380">
        <f>IF(H134,Wh_hp,'2021'!Maxi_hp)</f>
        <v>62.081683557920357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3.0665757002718785E-2</v>
      </c>
      <c r="M134" s="845"/>
      <c r="N134" s="845"/>
      <c r="O134" s="48">
        <f>IF(t&lt;Tnet,'2021'!Resal+('2021'!Salim-'2021'!Resal)*(1-EXP(('2021'!Tnet-t)/('2021'!Tau_j))),Resal+(Salim-Resal)*(1-EXP((Tnet-t)/(Tau_j))))*Salcycl</f>
        <v>3.5534641539476469E-2</v>
      </c>
      <c r="P134" s="339">
        <f>(INDEX(Models!$BJ134:$BT134,,T134)*(1-R134)+INDEX(Models!$BJ134:$BT134,,T134+1)*R134-ERP_i)*Q134*Ramure*Pc/MaxiM</f>
        <v>4.1959362425326921E-5</v>
      </c>
      <c r="Q134" s="305">
        <f t="shared" si="28"/>
        <v>0.5</v>
      </c>
      <c r="R134" s="177">
        <f t="shared" si="29"/>
        <v>7.5049405702687783E-2</v>
      </c>
      <c r="S134" s="811">
        <f t="shared" si="30"/>
        <v>0</v>
      </c>
      <c r="T134" s="176">
        <f t="shared" si="31"/>
        <v>6</v>
      </c>
      <c r="U134" s="251">
        <f t="shared" si="32"/>
        <v>7.5049405702687783E-2</v>
      </c>
      <c r="V134" s="383">
        <f t="shared" si="33"/>
        <v>57.651829925983385</v>
      </c>
      <c r="W134" s="402">
        <f t="shared" si="34"/>
        <v>0</v>
      </c>
      <c r="X134" s="157">
        <f t="shared" si="35"/>
        <v>44681</v>
      </c>
      <c r="Y134" s="385">
        <f t="shared" si="36"/>
        <v>42.033835925386434</v>
      </c>
      <c r="Z134" s="385">
        <f t="shared" si="37"/>
        <v>43.363613974281449</v>
      </c>
      <c r="AA134" s="386">
        <f t="shared" si="38"/>
        <v>46.680393161848485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7.1052940279813515E-2</v>
      </c>
      <c r="AD134" s="231">
        <f>(INDEX(Models!$BJ134:$BT134,,AH134)*(1-AF134)+INDEX(Models!$BJ134:$BT134,,AH134+1)*AF134-ERP_i)*AE134*Ramure*Pc/MaxiM</f>
        <v>4.1959362425326921E-5</v>
      </c>
      <c r="AE134" s="305">
        <f t="shared" si="40"/>
        <v>0.5</v>
      </c>
      <c r="AF134" s="177">
        <f t="shared" si="41"/>
        <v>7.5049405702687783E-2</v>
      </c>
      <c r="AG134" s="811">
        <f t="shared" si="49"/>
        <v>0</v>
      </c>
      <c r="AH134" s="176">
        <f t="shared" si="42"/>
        <v>6</v>
      </c>
      <c r="AI134" s="225">
        <f t="shared" si="43"/>
        <v>7.5049405702687783E-2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40">
        <v>47.298000000000002</v>
      </c>
      <c r="C135" s="841"/>
      <c r="D135" s="393">
        <f t="shared" si="25"/>
        <v>48.795383338593339</v>
      </c>
      <c r="E135" s="385">
        <f t="shared" si="47"/>
        <v>50.59886364545337</v>
      </c>
      <c r="F135" s="385">
        <f t="shared" si="26"/>
        <v>50.600622281761837</v>
      </c>
      <c r="G135" s="110">
        <f t="shared" si="48"/>
        <v>0.8186856038858964</v>
      </c>
      <c r="H135" s="414" t="b">
        <f>Wh_hp&gt;='2021'!Maxi_hp</f>
        <v>0</v>
      </c>
      <c r="I135" s="380">
        <f>IF(H135,Wh_hp,'2021'!Maxi_hp)</f>
        <v>57.93362071879104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3.0686987910371166E-2</v>
      </c>
      <c r="M135" s="845"/>
      <c r="N135" s="845"/>
      <c r="O135" s="48">
        <f>IF(t&lt;Tnet,'2021'!Resal+('2021'!Salim-'2021'!Resal)*(1-EXP(('2021'!Tnet-t)/('2021'!Tau_j))),Resal+(Salim-Resal)*(1-EXP((Tnet-t)/(Tau_j))))*Salcycl</f>
        <v>3.5642703747203359E-2</v>
      </c>
      <c r="P135" s="339">
        <f>(INDEX(Models!$BJ135:$BT135,,T135)*(1-R135)+INDEX(Models!$BJ135:$BT135,,T135+1)*R135-ERP_i)*Q135*Ramure*Pc/MaxiM</f>
        <v>4.6903547935828994E-5</v>
      </c>
      <c r="Q135" s="305">
        <f t="shared" si="28"/>
        <v>0.5</v>
      </c>
      <c r="R135" s="177">
        <f t="shared" si="29"/>
        <v>7.7804278460747778E-2</v>
      </c>
      <c r="S135" s="811">
        <f t="shared" si="30"/>
        <v>0</v>
      </c>
      <c r="T135" s="176">
        <f t="shared" si="31"/>
        <v>6</v>
      </c>
      <c r="U135" s="251">
        <f t="shared" si="32"/>
        <v>7.7804278460747778E-2</v>
      </c>
      <c r="V135" s="383">
        <f t="shared" si="33"/>
        <v>57.772391702541384</v>
      </c>
      <c r="W135" s="402">
        <f t="shared" si="34"/>
        <v>0</v>
      </c>
      <c r="X135" s="157">
        <f t="shared" si="35"/>
        <v>44682</v>
      </c>
      <c r="Y135" s="385">
        <f t="shared" si="36"/>
        <v>45.55745575552853</v>
      </c>
      <c r="Z135" s="385">
        <f t="shared" si="37"/>
        <v>46.99973608867225</v>
      </c>
      <c r="AA135" s="386">
        <f t="shared" si="38"/>
        <v>50.59886364545337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7.1130600520996512E-2</v>
      </c>
      <c r="AD135" s="231">
        <f>(INDEX(Models!$BJ135:$BT135,,AH135)*(1-AF135)+INDEX(Models!$BJ135:$BT135,,AH135+1)*AF135-ERP_i)*AE135*Ramure*Pc/MaxiM</f>
        <v>4.6903547935828994E-5</v>
      </c>
      <c r="AE135" s="305">
        <f t="shared" si="40"/>
        <v>0.5</v>
      </c>
      <c r="AF135" s="177">
        <f t="shared" si="41"/>
        <v>7.7804278460747778E-2</v>
      </c>
      <c r="AG135" s="811">
        <f t="shared" si="49"/>
        <v>0</v>
      </c>
      <c r="AH135" s="176">
        <f t="shared" si="42"/>
        <v>6</v>
      </c>
      <c r="AI135" s="225">
        <f t="shared" si="43"/>
        <v>7.7804278460747778E-2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40">
        <v>30.405000000000001</v>
      </c>
      <c r="C136" s="841"/>
      <c r="D136" s="393">
        <f t="shared" si="25"/>
        <v>31.368263484434845</v>
      </c>
      <c r="E136" s="385">
        <f t="shared" si="47"/>
        <v>32.531296758618048</v>
      </c>
      <c r="F136" s="385">
        <f t="shared" si="26"/>
        <v>32.531845922811144</v>
      </c>
      <c r="G136" s="110">
        <f t="shared" si="48"/>
        <v>0.5252214677431789</v>
      </c>
      <c r="H136" s="414" t="b">
        <f>Wh_hp&gt;='2021'!Maxi_hp</f>
        <v>0</v>
      </c>
      <c r="I136" s="380">
        <f>IF(H136,Wh_hp,'2021'!Maxi_hp)</f>
        <v>50.847443819946974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3.0708218353012184E-2</v>
      </c>
      <c r="M136" s="845"/>
      <c r="N136" s="845"/>
      <c r="O136" s="48">
        <f>IF(t&lt;Tnet,'2021'!Resal+('2021'!Salim-'2021'!Resal)*(1-EXP(('2021'!Tnet-t)/('2021'!Tau_j))),Resal+(Salim-Resal)*(1-EXP((Tnet-t)/(Tau_j))))*Salcycl</f>
        <v>3.5751211604409701E-2</v>
      </c>
      <c r="P136" s="339">
        <f>(INDEX(Models!$BJ136:$BT136,,T136)*(1-R136)+INDEX(Models!$BJ136:$BT136,,T136+1)*R136-ERP_i)*Q136*Ramure*Pc/MaxiM</f>
        <v>5.2462106495598534E-5</v>
      </c>
      <c r="Q136" s="305">
        <f t="shared" si="28"/>
        <v>0.5</v>
      </c>
      <c r="R136" s="177">
        <f t="shared" si="29"/>
        <v>8.0636763896182864E-2</v>
      </c>
      <c r="S136" s="811">
        <f t="shared" si="30"/>
        <v>0</v>
      </c>
      <c r="T136" s="176">
        <f t="shared" si="31"/>
        <v>6</v>
      </c>
      <c r="U136" s="251">
        <f t="shared" si="32"/>
        <v>8.0636763896182864E-2</v>
      </c>
      <c r="V136" s="383">
        <f t="shared" si="33"/>
        <v>57.887805430582034</v>
      </c>
      <c r="W136" s="402">
        <f t="shared" si="34"/>
        <v>0</v>
      </c>
      <c r="X136" s="157">
        <f t="shared" si="35"/>
        <v>44683</v>
      </c>
      <c r="Y136" s="385">
        <f t="shared" si="36"/>
        <v>29.286927551412713</v>
      </c>
      <c r="Z136" s="385">
        <f t="shared" si="37"/>
        <v>30.214769284073942</v>
      </c>
      <c r="AA136" s="386">
        <f t="shared" si="38"/>
        <v>32.531296758618048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7.1209195616538754E-2</v>
      </c>
      <c r="AD136" s="231">
        <f>(INDEX(Models!$BJ136:$BT136,,AH136)*(1-AF136)+INDEX(Models!$BJ136:$BT136,,AH136+1)*AF136-ERP_i)*AE136*Ramure*Pc/MaxiM</f>
        <v>5.2462106495598534E-5</v>
      </c>
      <c r="AE136" s="305">
        <f t="shared" si="40"/>
        <v>0.5</v>
      </c>
      <c r="AF136" s="177">
        <f t="shared" si="41"/>
        <v>8.0636763896182864E-2</v>
      </c>
      <c r="AG136" s="811">
        <f t="shared" si="49"/>
        <v>0</v>
      </c>
      <c r="AH136" s="176">
        <f t="shared" si="42"/>
        <v>6</v>
      </c>
      <c r="AI136" s="225">
        <f t="shared" si="43"/>
        <v>8.0636763896182864E-2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40">
        <v>36.227000000000004</v>
      </c>
      <c r="C137" s="841"/>
      <c r="D137" s="393">
        <f t="shared" si="25"/>
        <v>37.375529399513105</v>
      </c>
      <c r="E137" s="385">
        <f t="shared" si="47"/>
        <v>38.76567266348092</v>
      </c>
      <c r="F137" s="385">
        <f t="shared" si="26"/>
        <v>38.766724831527732</v>
      </c>
      <c r="G137" s="110">
        <f t="shared" si="48"/>
        <v>0.62460344692958991</v>
      </c>
      <c r="H137" s="414" t="b">
        <f>Wh_hp&gt;='2021'!Maxi_hp</f>
        <v>0</v>
      </c>
      <c r="I137" s="380">
        <f>IF(H137,Wh_hp,'2021'!Maxi_hp)</f>
        <v>60.514631083164147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3.0729448330652054E-2</v>
      </c>
      <c r="M137" s="845"/>
      <c r="N137" s="845"/>
      <c r="O137" s="48">
        <f>IF(t&lt;Tnet,'2021'!Resal+('2021'!Salim-'2021'!Resal)*(1-EXP(('2021'!Tnet-t)/('2021'!Tau_j))),Resal+(Salim-Resal)*(1-EXP((Tnet-t)/(Tau_j))))*Salcycl</f>
        <v>3.5860161025333903E-2</v>
      </c>
      <c r="P137" s="339">
        <f>(INDEX(Models!$BJ137:$BT137,,T137)*(1-R137)+INDEX(Models!$BJ137:$BT137,,T137+1)*R137-ERP_i)*Q137*Ramure*Pc/MaxiM</f>
        <v>5.8525439259696108E-5</v>
      </c>
      <c r="Q137" s="305">
        <f t="shared" si="28"/>
        <v>0.5</v>
      </c>
      <c r="R137" s="177">
        <f t="shared" si="29"/>
        <v>8.3547695161746635E-2</v>
      </c>
      <c r="S137" s="811">
        <f t="shared" si="30"/>
        <v>0</v>
      </c>
      <c r="T137" s="176">
        <f t="shared" si="31"/>
        <v>6</v>
      </c>
      <c r="U137" s="251">
        <f t="shared" si="32"/>
        <v>8.3547695161746635E-2</v>
      </c>
      <c r="V137" s="383">
        <f t="shared" si="33"/>
        <v>57.998179778677176</v>
      </c>
      <c r="W137" s="402">
        <f t="shared" si="34"/>
        <v>0</v>
      </c>
      <c r="X137" s="157">
        <f t="shared" si="35"/>
        <v>44684</v>
      </c>
      <c r="Y137" s="385">
        <f t="shared" si="36"/>
        <v>34.895792571230643</v>
      </c>
      <c r="Z137" s="385">
        <f t="shared" si="37"/>
        <v>36.002117789641481</v>
      </c>
      <c r="AA137" s="386">
        <f t="shared" si="38"/>
        <v>38.76567266348092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7.1288711996034565E-2</v>
      </c>
      <c r="AD137" s="231">
        <f>(INDEX(Models!$BJ137:$BT137,,AH137)*(1-AF137)+INDEX(Models!$BJ137:$BT137,,AH137+1)*AF137-ERP_i)*AE137*Ramure*Pc/MaxiM</f>
        <v>5.8525439259696108E-5</v>
      </c>
      <c r="AE137" s="305">
        <f t="shared" si="40"/>
        <v>0.5</v>
      </c>
      <c r="AF137" s="177">
        <f t="shared" si="41"/>
        <v>8.3547695161746635E-2</v>
      </c>
      <c r="AG137" s="811">
        <f t="shared" si="49"/>
        <v>0</v>
      </c>
      <c r="AH137" s="176">
        <f t="shared" si="42"/>
        <v>6</v>
      </c>
      <c r="AI137" s="225">
        <f t="shared" si="43"/>
        <v>8.3547695161746635E-2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40">
        <v>20.094999999999999</v>
      </c>
      <c r="C138" s="841"/>
      <c r="D138" s="393">
        <f t="shared" si="25"/>
        <v>20.732539647576075</v>
      </c>
      <c r="E138" s="385">
        <f t="shared" si="47"/>
        <v>21.506104477645401</v>
      </c>
      <c r="F138" s="385">
        <f t="shared" si="26"/>
        <v>21.506196184235417</v>
      </c>
      <c r="G138" s="110">
        <f t="shared" si="48"/>
        <v>0.34582662176761714</v>
      </c>
      <c r="H138" s="414" t="b">
        <f>Wh_hp&gt;='2021'!Maxi_hp</f>
        <v>0</v>
      </c>
      <c r="I138" s="380">
        <f>IF(H138,Wh_hp,'2021'!Maxi_hp)</f>
        <v>57.253924122877009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3.0750677843300989E-2</v>
      </c>
      <c r="M138" s="845"/>
      <c r="N138" s="845"/>
      <c r="O138" s="48">
        <f>IF(t&lt;Tnet,'2021'!Resal+('2021'!Salim-'2021'!Resal)*(1-EXP(('2021'!Tnet-t)/('2021'!Tau_j))),Resal+(Salim-Resal)*(1-EXP((Tnet-t)/(Tau_j))))*Salcycl</f>
        <v>3.5969546733738346E-2</v>
      </c>
      <c r="P138" s="339">
        <f>(INDEX(Models!$BJ138:$BT138,,T138)*(1-R138)+INDEX(Models!$BJ138:$BT138,,T138+1)*R138-ERP_i)*Q138*Ramure*Pc/MaxiM</f>
        <v>6.510551403502999E-5</v>
      </c>
      <c r="Q138" s="305">
        <f t="shared" si="28"/>
        <v>0.5</v>
      </c>
      <c r="R138" s="177">
        <f t="shared" si="29"/>
        <v>8.6537816078037039E-2</v>
      </c>
      <c r="S138" s="811">
        <f t="shared" si="30"/>
        <v>0</v>
      </c>
      <c r="T138" s="176">
        <f t="shared" si="31"/>
        <v>6</v>
      </c>
      <c r="U138" s="251">
        <f t="shared" si="32"/>
        <v>8.6537816078037039E-2</v>
      </c>
      <c r="V138" s="383">
        <f t="shared" si="33"/>
        <v>58.103616447319631</v>
      </c>
      <c r="W138" s="402">
        <f t="shared" si="34"/>
        <v>0</v>
      </c>
      <c r="X138" s="157">
        <f t="shared" si="35"/>
        <v>44685</v>
      </c>
      <c r="Y138" s="385">
        <f t="shared" si="36"/>
        <v>19.357103493869644</v>
      </c>
      <c r="Z138" s="385">
        <f t="shared" si="37"/>
        <v>19.971232428409344</v>
      </c>
      <c r="AA138" s="386">
        <f t="shared" si="38"/>
        <v>21.506104477645401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7.1369133858318515E-2</v>
      </c>
      <c r="AD138" s="231">
        <f>(INDEX(Models!$BJ138:$BT138,,AH138)*(1-AF138)+INDEX(Models!$BJ138:$BT138,,AH138+1)*AF138-ERP_i)*AE138*Ramure*Pc/MaxiM</f>
        <v>6.510551403502999E-5</v>
      </c>
      <c r="AE138" s="305">
        <f t="shared" si="40"/>
        <v>0.5</v>
      </c>
      <c r="AF138" s="177">
        <f t="shared" si="41"/>
        <v>8.6537816078037039E-2</v>
      </c>
      <c r="AG138" s="811">
        <f t="shared" si="49"/>
        <v>0</v>
      </c>
      <c r="AH138" s="176">
        <f t="shared" si="42"/>
        <v>6</v>
      </c>
      <c r="AI138" s="225">
        <f t="shared" si="43"/>
        <v>8.6537816078037039E-2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40">
        <v>42.119</v>
      </c>
      <c r="C139" s="841"/>
      <c r="D139" s="393">
        <f t="shared" si="25"/>
        <v>43.456231097154053</v>
      </c>
      <c r="E139" s="385">
        <f t="shared" si="47"/>
        <v>45.082789385586572</v>
      </c>
      <c r="F139" s="385">
        <f t="shared" si="26"/>
        <v>45.084759798888683</v>
      </c>
      <c r="G139" s="110">
        <f t="shared" si="48"/>
        <v>0.72362109122376206</v>
      </c>
      <c r="H139" s="414" t="b">
        <f>Wh_hp&gt;='2021'!Maxi_hp</f>
        <v>0</v>
      </c>
      <c r="I139" s="380">
        <f>IF(H139,Wh_hp,'2021'!Maxi_hp)</f>
        <v>60.369568048217943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3.0771906890968981E-2</v>
      </c>
      <c r="M139" s="845"/>
      <c r="N139" s="845"/>
      <c r="O139" s="48">
        <f>IF(t&lt;Tnet,'2021'!Resal+('2021'!Salim-'2021'!Resal)*(1-EXP(('2021'!Tnet-t)/('2021'!Tau_j))),Resal+(Salim-Resal)*(1-EXP((Tnet-t)/(Tau_j))))*Salcycl</f>
        <v>3.6079362226698143E-2</v>
      </c>
      <c r="P139" s="339">
        <f>(INDEX(Models!$BJ139:$BT139,,T139)*(1-R139)+INDEX(Models!$BJ139:$BT139,,T139+1)*R139-ERP_i)*Q139*Ramure*Pc/MaxiM</f>
        <v>7.221491169023269E-5</v>
      </c>
      <c r="Q139" s="305">
        <f t="shared" si="28"/>
        <v>0.5</v>
      </c>
      <c r="R139" s="177">
        <f t="shared" si="29"/>
        <v>8.9607774144613433E-2</v>
      </c>
      <c r="S139" s="811">
        <f t="shared" si="30"/>
        <v>0</v>
      </c>
      <c r="T139" s="176">
        <f t="shared" si="31"/>
        <v>6</v>
      </c>
      <c r="U139" s="251">
        <f t="shared" si="32"/>
        <v>8.9607774144613433E-2</v>
      </c>
      <c r="V139" s="383">
        <f t="shared" si="33"/>
        <v>58.204217143883071</v>
      </c>
      <c r="W139" s="402">
        <f t="shared" si="34"/>
        <v>0</v>
      </c>
      <c r="X139" s="157">
        <f t="shared" si="35"/>
        <v>44686</v>
      </c>
      <c r="Y139" s="385">
        <f t="shared" si="36"/>
        <v>40.573442723006742</v>
      </c>
      <c r="Z139" s="385">
        <f t="shared" si="37"/>
        <v>41.861604106890582</v>
      </c>
      <c r="AA139" s="386">
        <f t="shared" si="38"/>
        <v>45.082789385586572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7.1450443120226234E-2</v>
      </c>
      <c r="AD139" s="231">
        <f>(INDEX(Models!$BJ139:$BT139,,AH139)*(1-AF139)+INDEX(Models!$BJ139:$BT139,,AH139+1)*AF139-ERP_i)*AE139*Ramure*Pc/MaxiM</f>
        <v>7.221491169023269E-5</v>
      </c>
      <c r="AE139" s="305">
        <f t="shared" si="40"/>
        <v>0.5</v>
      </c>
      <c r="AF139" s="177">
        <f t="shared" si="41"/>
        <v>8.9607774144613433E-2</v>
      </c>
      <c r="AG139" s="811">
        <f t="shared" si="49"/>
        <v>0</v>
      </c>
      <c r="AH139" s="176">
        <f t="shared" si="42"/>
        <v>6</v>
      </c>
      <c r="AI139" s="225">
        <f t="shared" si="43"/>
        <v>8.9607774144613433E-2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40">
        <v>38.53</v>
      </c>
      <c r="C140" s="841"/>
      <c r="D140" s="393">
        <f t="shared" si="25"/>
        <v>39.754155083115521</v>
      </c>
      <c r="E140" s="385">
        <f t="shared" si="47"/>
        <v>41.246862528599529</v>
      </c>
      <c r="F140" s="385">
        <f t="shared" si="26"/>
        <v>41.24856097989116</v>
      </c>
      <c r="G140" s="110">
        <f t="shared" si="48"/>
        <v>0.6608654192527873</v>
      </c>
      <c r="H140" s="414" t="b">
        <f>Wh_hp&gt;='2021'!Maxi_hp</f>
        <v>0</v>
      </c>
      <c r="I140" s="380">
        <f>IF(H140,Wh_hp,'2021'!Maxi_hp)</f>
        <v>64.189889106761925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3.0793135473666355E-2</v>
      </c>
      <c r="M140" s="845"/>
      <c r="N140" s="845"/>
      <c r="O140" s="48">
        <f>IF(t&lt;Tnet,'2021'!Resal+('2021'!Salim-'2021'!Resal)*(1-EXP(('2021'!Tnet-t)/('2021'!Tau_j))),Resal+(Salim-Resal)*(1-EXP((Tnet-t)/(Tau_j))))*Salcycl</f>
        <v>3.6189599741047102E-2</v>
      </c>
      <c r="P140" s="339">
        <f>(INDEX(Models!$BJ140:$BT140,,T140)*(1-R140)+INDEX(Models!$BJ140:$BT140,,T140+1)*R140-ERP_i)*Q140*Ramure*Pc/MaxiM</f>
        <v>7.9866801851303818E-5</v>
      </c>
      <c r="Q140" s="305">
        <f t="shared" si="28"/>
        <v>0.5</v>
      </c>
      <c r="R140" s="177">
        <f t="shared" si="29"/>
        <v>9.2758113505954809E-2</v>
      </c>
      <c r="S140" s="811">
        <f t="shared" si="30"/>
        <v>0</v>
      </c>
      <c r="T140" s="176">
        <f t="shared" si="31"/>
        <v>6</v>
      </c>
      <c r="U140" s="251">
        <f t="shared" si="32"/>
        <v>9.2758113505954809E-2</v>
      </c>
      <c r="V140" s="383">
        <f t="shared" si="33"/>
        <v>58.300083587502776</v>
      </c>
      <c r="W140" s="402">
        <f t="shared" si="34"/>
        <v>0</v>
      </c>
      <c r="X140" s="157">
        <f t="shared" si="35"/>
        <v>44687</v>
      </c>
      <c r="Y140" s="385">
        <f t="shared" si="36"/>
        <v>37.11710121204581</v>
      </c>
      <c r="Z140" s="385">
        <f t="shared" si="37"/>
        <v>38.296366411091725</v>
      </c>
      <c r="AA140" s="386">
        <f t="shared" si="38"/>
        <v>41.246862528599529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7.1532619371037068E-2</v>
      </c>
      <c r="AD140" s="231">
        <f>(INDEX(Models!$BJ140:$BT140,,AH140)*(1-AF140)+INDEX(Models!$BJ140:$BT140,,AH140+1)*AF140-ERP_i)*AE140*Ramure*Pc/MaxiM</f>
        <v>7.9866801851303818E-5</v>
      </c>
      <c r="AE140" s="305">
        <f t="shared" si="40"/>
        <v>0.5</v>
      </c>
      <c r="AF140" s="177">
        <f t="shared" si="41"/>
        <v>9.2758113505954809E-2</v>
      </c>
      <c r="AG140" s="811">
        <f t="shared" si="49"/>
        <v>0</v>
      </c>
      <c r="AH140" s="176">
        <f t="shared" si="42"/>
        <v>6</v>
      </c>
      <c r="AI140" s="225">
        <f t="shared" si="43"/>
        <v>9.2758113505954809E-2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40">
        <v>52.39</v>
      </c>
      <c r="C141" s="841"/>
      <c r="D141" s="393">
        <f t="shared" si="25"/>
        <v>54.055691739444043</v>
      </c>
      <c r="E141" s="385">
        <f t="shared" si="47"/>
        <v>56.091839550596397</v>
      </c>
      <c r="F141" s="385">
        <f t="shared" si="26"/>
        <v>56.096054793719546</v>
      </c>
      <c r="G141" s="110">
        <f t="shared" si="48"/>
        <v>0.89721083027279658</v>
      </c>
      <c r="H141" s="414" t="b">
        <f>Wh_hp&gt;='2021'!Maxi_hp</f>
        <v>0</v>
      </c>
      <c r="I141" s="380">
        <f>IF(H141,Wh_hp,'2021'!Maxi_hp)</f>
        <v>60.114108347336412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3.0814363591403326E-2</v>
      </c>
      <c r="M141" s="845"/>
      <c r="N141" s="845"/>
      <c r="O141" s="48">
        <f>IF(t&lt;Tnet,'2021'!Resal+('2021'!Salim-'2021'!Resal)*(1-EXP(('2021'!Tnet-t)/('2021'!Tau_j))),Resal+(Salim-Resal)*(1-EXP((Tnet-t)/(Tau_j))))*Salcycl</f>
        <v>3.6300250222952621E-2</v>
      </c>
      <c r="P141" s="339">
        <f>(INDEX(Models!$BJ141:$BT141,,T141)*(1-R141)+INDEX(Models!$BJ141:$BT141,,T141+1)*R141-ERP_i)*Q141*Ramure*Pc/MaxiM</f>
        <v>8.8074915871697598E-5</v>
      </c>
      <c r="Q141" s="305">
        <f t="shared" si="28"/>
        <v>0.5</v>
      </c>
      <c r="R141" s="177">
        <f t="shared" si="29"/>
        <v>9.5989267911107137E-2</v>
      </c>
      <c r="S141" s="811">
        <f t="shared" si="30"/>
        <v>0</v>
      </c>
      <c r="T141" s="176">
        <f t="shared" si="31"/>
        <v>6</v>
      </c>
      <c r="U141" s="251">
        <f t="shared" si="32"/>
        <v>9.5989267911107137E-2</v>
      </c>
      <c r="V141" s="383">
        <f t="shared" si="33"/>
        <v>58.39131750808491</v>
      </c>
      <c r="W141" s="402">
        <f t="shared" si="34"/>
        <v>0</v>
      </c>
      <c r="X141" s="157">
        <f t="shared" si="35"/>
        <v>44688</v>
      </c>
      <c r="Y141" s="385">
        <f t="shared" si="36"/>
        <v>50.47013516437876</v>
      </c>
      <c r="Z141" s="385">
        <f t="shared" si="37"/>
        <v>52.074786571745243</v>
      </c>
      <c r="AA141" s="386">
        <f t="shared" si="38"/>
        <v>56.091839550596397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7.1615639833449513E-2</v>
      </c>
      <c r="AD141" s="231">
        <f>(INDEX(Models!$BJ141:$BT141,,AH141)*(1-AF141)+INDEX(Models!$BJ141:$BT141,,AH141+1)*AF141-ERP_i)*AE141*Ramure*Pc/MaxiM</f>
        <v>8.8074915871697598E-5</v>
      </c>
      <c r="AE141" s="305">
        <f t="shared" si="40"/>
        <v>0.5</v>
      </c>
      <c r="AF141" s="177">
        <f t="shared" si="41"/>
        <v>9.5989267911107137E-2</v>
      </c>
      <c r="AG141" s="811">
        <f t="shared" si="49"/>
        <v>0</v>
      </c>
      <c r="AH141" s="176">
        <f t="shared" si="42"/>
        <v>6</v>
      </c>
      <c r="AI141" s="225">
        <f t="shared" si="43"/>
        <v>9.5989267911107137E-2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40">
        <v>49.856999999999999</v>
      </c>
      <c r="C142" s="841"/>
      <c r="D142" s="393">
        <f t="shared" si="25"/>
        <v>51.443284080154392</v>
      </c>
      <c r="E142" s="385">
        <f t="shared" si="47"/>
        <v>53.387180916910452</v>
      </c>
      <c r="F142" s="385">
        <f t="shared" si="26"/>
        <v>53.391242377385325</v>
      </c>
      <c r="G142" s="110">
        <f t="shared" si="48"/>
        <v>0.85255901534443668</v>
      </c>
      <c r="H142" s="414" t="b">
        <f>Wh_hp&gt;='2021'!Maxi_hp</f>
        <v>0</v>
      </c>
      <c r="I142" s="380">
        <f>IF(H142,Wh_hp,'2021'!Maxi_hp)</f>
        <v>60.745186891784464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3.0835591244190108E-2</v>
      </c>
      <c r="M142" s="845"/>
      <c r="N142" s="845"/>
      <c r="O142" s="48">
        <f>IF(t&lt;Tnet,'2021'!Resal+('2021'!Salim-'2021'!Resal)*(1-EXP(('2021'!Tnet-t)/('2021'!Tau_j))),Resal+(Salim-Resal)*(1-EXP((Tnet-t)/(Tau_j))))*Salcycl</f>
        <v>3.6411303301095148E-2</v>
      </c>
      <c r="P142" s="339">
        <f>(INDEX(Models!$BJ142:$BT142,,T142)*(1-R142)+INDEX(Models!$BJ142:$BT142,,T142+1)*R142-ERP_i)*Q142*Ramure*Pc/MaxiM</f>
        <v>9.6364700273486606E-5</v>
      </c>
      <c r="Q142" s="305">
        <f t="shared" si="28"/>
        <v>0.5</v>
      </c>
      <c r="R142" s="177">
        <f t="shared" si="29"/>
        <v>9.9301553709240084E-2</v>
      </c>
      <c r="S142" s="811">
        <f t="shared" si="30"/>
        <v>0</v>
      </c>
      <c r="T142" s="176">
        <f t="shared" si="31"/>
        <v>6</v>
      </c>
      <c r="U142" s="251">
        <f t="shared" si="32"/>
        <v>9.9301553709240084E-2</v>
      </c>
      <c r="V142" s="383">
        <f t="shared" si="33"/>
        <v>58.478049240294887</v>
      </c>
      <c r="W142" s="402">
        <f t="shared" si="34"/>
        <v>0</v>
      </c>
      <c r="X142" s="157">
        <f t="shared" si="35"/>
        <v>44689</v>
      </c>
      <c r="Y142" s="385">
        <f t="shared" si="36"/>
        <v>48.031156049778318</v>
      </c>
      <c r="Z142" s="385">
        <f t="shared" si="37"/>
        <v>49.559347842168044</v>
      </c>
      <c r="AA142" s="386">
        <f t="shared" si="38"/>
        <v>53.387180916910452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7.1699479331937058E-2</v>
      </c>
      <c r="AD142" s="231">
        <f>(INDEX(Models!$BJ142:$BT142,,AH142)*(1-AF142)+INDEX(Models!$BJ142:$BT142,,AH142+1)*AF142-ERP_i)*AE142*Ramure*Pc/MaxiM</f>
        <v>9.6364700273486606E-5</v>
      </c>
      <c r="AE142" s="305">
        <f t="shared" si="40"/>
        <v>0.5</v>
      </c>
      <c r="AF142" s="177">
        <f t="shared" si="41"/>
        <v>9.9301553709240084E-2</v>
      </c>
      <c r="AG142" s="811">
        <f t="shared" si="49"/>
        <v>0</v>
      </c>
      <c r="AH142" s="176">
        <f t="shared" si="42"/>
        <v>6</v>
      </c>
      <c r="AI142" s="225">
        <f t="shared" si="43"/>
        <v>9.9301553709240084E-2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40">
        <v>52.170999999999999</v>
      </c>
      <c r="C143" s="841"/>
      <c r="D143" s="393">
        <f t="shared" ref="D143:D206" si="50">Wh/(1-Ppv)</f>
        <v>53.832086932287197</v>
      </c>
      <c r="E143" s="385">
        <f t="shared" si="47"/>
        <v>55.872711866746599</v>
      </c>
      <c r="F143" s="385">
        <f t="shared" ref="F143:F206" si="51">Wh_sa/(1-Pvg*MEDIAN((-Sdif+Wh/Env_an)/Csdif,0,1))</f>
        <v>55.877643331762144</v>
      </c>
      <c r="G143" s="110">
        <f t="shared" si="48"/>
        <v>0.89087773508812751</v>
      </c>
      <c r="H143" s="414" t="b">
        <f>Wh_hp&gt;='2021'!Maxi_hp</f>
        <v>1</v>
      </c>
      <c r="I143" s="380">
        <f>IF(H143,Wh_hp,'2021'!Maxi_hp)</f>
        <v>55.877643331762144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3.0856818432036692E-2</v>
      </c>
      <c r="M143" s="845"/>
      <c r="N143" s="845"/>
      <c r="O143" s="48">
        <f>IF(t&lt;Tnet,'2021'!Resal+('2021'!Salim-'2021'!Resal)*(1-EXP(('2021'!Tnet-t)/('2021'!Tau_j))),Resal+(Salim-Resal)*(1-EXP((Tnet-t)/(Tau_j))))*Salcycl</f>
        <v>3.6522747263927062E-2</v>
      </c>
      <c r="P143" s="339">
        <f>(INDEX(Models!$BJ143:$BT143,,T143)*(1-R143)+INDEX(Models!$BJ143:$BT143,,T143+1)*R143-ERP_i)*Q143*Ramure*Pc/MaxiM</f>
        <v>1.0455086206199107E-4</v>
      </c>
      <c r="Q143" s="305">
        <f t="shared" ref="Q143:Q206" si="53">IF(OR(t&lt;Ttai,Notai),Dd+PousD*Croivg,Dens+PousD*(Croivg-Croi_tai))</f>
        <v>0.5</v>
      </c>
      <c r="R143" s="177">
        <f t="shared" ref="R143:R206" si="54">(Hp_vg-S143)/(INDEX(Echel_vg,T143+1)-S143)</f>
        <v>0.10269516292658548</v>
      </c>
      <c r="S143" s="81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0.10269516292658548</v>
      </c>
      <c r="V143" s="383">
        <f t="shared" ref="V143:V206" si="58">MaxiM*(1-Ppv)*(1-Pvg)*(1-Psa)</f>
        <v>58.56039238995119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50.261644523126911</v>
      </c>
      <c r="Z143" s="385">
        <f t="shared" ref="Z143:Z206" si="62">Wh_sa_s*(1-Psa_s)</f>
        <v>51.861938957058229</v>
      </c>
      <c r="AA143" s="386">
        <f t="shared" ref="AA143:AA206" si="63">Wh_hp*(1-Pvg_s*MEDIAN((-Sdif+Wh/Env_an)/Csdif,0,1))</f>
        <v>55.872711866746599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7.1784110269317983E-2</v>
      </c>
      <c r="AD143" s="231">
        <f>(INDEX(Models!$BJ143:$BT143,,AH143)*(1-AF143)+INDEX(Models!$BJ143:$BT143,,AH143+1)*AF143-ERP_i)*AE143*Ramure*Pc/MaxiM</f>
        <v>1.0455086206199107E-4</v>
      </c>
      <c r="AE143" s="305">
        <f t="shared" ref="AE143:AE206" si="65">IF(OR(t&lt;Ttai,Notai),Dd_s+PousD*Croivg,Dens_s+PousD*(Croivg-Croi_tai))</f>
        <v>0.5</v>
      </c>
      <c r="AF143" s="177">
        <f t="shared" ref="AF143:AF206" si="66">(Hp_vg_s-AG143)/(INDEX(Echel_vg,AH143+1)-AG143)</f>
        <v>0.10269516292658548</v>
      </c>
      <c r="AG143" s="81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0.10269516292658548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40">
        <v>51.835999999999999</v>
      </c>
      <c r="C144" s="841"/>
      <c r="D144" s="393">
        <f t="shared" si="50"/>
        <v>53.487592289959096</v>
      </c>
      <c r="E144" s="385">
        <f t="shared" ref="E144:E169" si="72">Wh_pvt/(1-Psa)</f>
        <v>55.521602261294049</v>
      </c>
      <c r="F144" s="385">
        <f t="shared" si="51"/>
        <v>55.526820084927458</v>
      </c>
      <c r="G144" s="110">
        <f t="shared" ref="G144:G169" si="73">+Wh_hp/MaxiM</f>
        <v>0.88397685517532865</v>
      </c>
      <c r="H144" s="414" t="b">
        <f>Wh_hp&gt;='2021'!Maxi_hp</f>
        <v>1</v>
      </c>
      <c r="I144" s="380">
        <f>IF(H144,Wh_hp,'2021'!Maxi_hp)</f>
        <v>55.526820084927458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3.0878045154953515E-2</v>
      </c>
      <c r="M144" s="845"/>
      <c r="N144" s="845"/>
      <c r="O144" s="48">
        <f>IF(t&lt;Tnet,'2021'!Resal+('2021'!Salim-'2021'!Resal)*(1-EXP(('2021'!Tnet-t)/('2021'!Tau_j))),Resal+(Salim-Resal)*(1-EXP((Tnet-t)/(Tau_j))))*Salcycl</f>
        <v>3.6634569041479631E-2</v>
      </c>
      <c r="P144" s="339">
        <f>(INDEX(Models!$BJ144:$BT144,,T144)*(1-R144)+INDEX(Models!$BJ144:$BT144,,T144+1)*R144-ERP_i)*Q144*Ramure*Pc/MaxiM</f>
        <v>1.1263587185128502E-4</v>
      </c>
      <c r="Q144" s="305">
        <f t="shared" si="53"/>
        <v>0.5</v>
      </c>
      <c r="R144" s="177">
        <f t="shared" si="54"/>
        <v>0.10617015647330372</v>
      </c>
      <c r="S144" s="811">
        <f t="shared" si="55"/>
        <v>0</v>
      </c>
      <c r="T144" s="176">
        <f t="shared" si="56"/>
        <v>6</v>
      </c>
      <c r="U144" s="251">
        <f t="shared" si="57"/>
        <v>0.10617015647330372</v>
      </c>
      <c r="V144" s="383">
        <f t="shared" si="58"/>
        <v>58.638449651610756</v>
      </c>
      <c r="W144" s="402">
        <f t="shared" si="59"/>
        <v>0</v>
      </c>
      <c r="X144" s="157">
        <f t="shared" si="60"/>
        <v>44691</v>
      </c>
      <c r="Y144" s="385">
        <f t="shared" si="61"/>
        <v>49.940106751305834</v>
      </c>
      <c r="Z144" s="385">
        <f t="shared" si="62"/>
        <v>51.531292322534149</v>
      </c>
      <c r="AA144" s="386">
        <f t="shared" si="63"/>
        <v>55.521602261294049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7.1869502612349478E-2</v>
      </c>
      <c r="AD144" s="231">
        <f>(INDEX(Models!$BJ144:$BT144,,AH144)*(1-AF144)+INDEX(Models!$BJ144:$BT144,,AH144+1)*AF144-ERP_i)*AE144*Ramure*Pc/MaxiM</f>
        <v>1.1263587185128502E-4</v>
      </c>
      <c r="AE144" s="305">
        <f t="shared" si="65"/>
        <v>0.5</v>
      </c>
      <c r="AF144" s="177">
        <f t="shared" si="66"/>
        <v>0.10617015647330372</v>
      </c>
      <c r="AG144" s="811">
        <f t="shared" ref="AG144:AG207" si="74">INDEX(Echel_vg,AH144)</f>
        <v>0</v>
      </c>
      <c r="AH144" s="176">
        <f t="shared" si="67"/>
        <v>6</v>
      </c>
      <c r="AI144" s="225">
        <f t="shared" si="68"/>
        <v>0.10617015647330372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40">
        <v>55.953000000000003</v>
      </c>
      <c r="C145" s="841"/>
      <c r="D145" s="393">
        <f t="shared" si="50"/>
        <v>57.737032229435599</v>
      </c>
      <c r="E145" s="385">
        <f t="shared" si="72"/>
        <v>59.939618662810524</v>
      </c>
      <c r="F145" s="385">
        <f t="shared" si="51"/>
        <v>59.946364032556687</v>
      </c>
      <c r="G145" s="110">
        <f t="shared" si="73"/>
        <v>0.95299492888457404</v>
      </c>
      <c r="H145" s="414" t="b">
        <f>Wh_hp&gt;='2021'!Maxi_hp</f>
        <v>1</v>
      </c>
      <c r="I145" s="380">
        <f>IF(H145,Wh_hp,'2021'!Maxi_hp)</f>
        <v>59.946364032556687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3.0899271412950458E-2</v>
      </c>
      <c r="M145" s="845"/>
      <c r="N145" s="845"/>
      <c r="O145" s="48">
        <f>IF(t&lt;Tnet,'2021'!Resal+('2021'!Salim-'2021'!Resal)*(1-EXP(('2021'!Tnet-t)/('2021'!Tau_j))),Resal+(Salim-Resal)*(1-EXP((Tnet-t)/(Tau_j))))*Salcycl</f>
        <v>3.6746754192173652E-2</v>
      </c>
      <c r="P145" s="339">
        <f>(INDEX(Models!$BJ145:$BT145,,T145)*(1-R145)+INDEX(Models!$BJ145:$BT145,,T145+1)*R145-ERP_i)*Q145*Ramure*Pc/MaxiM</f>
        <v>1.2062185739018113E-4</v>
      </c>
      <c r="Q145" s="305">
        <f t="shared" si="53"/>
        <v>0.5</v>
      </c>
      <c r="R145" s="177">
        <f t="shared" si="54"/>
        <v>0.10972645753166797</v>
      </c>
      <c r="S145" s="811">
        <f t="shared" si="55"/>
        <v>0</v>
      </c>
      <c r="T145" s="176">
        <f t="shared" si="56"/>
        <v>6</v>
      </c>
      <c r="U145" s="251">
        <f t="shared" si="57"/>
        <v>0.10972645753166797</v>
      </c>
      <c r="V145" s="383">
        <f t="shared" si="58"/>
        <v>58.712323771215651</v>
      </c>
      <c r="W145" s="402">
        <f t="shared" si="59"/>
        <v>0</v>
      </c>
      <c r="X145" s="157">
        <f t="shared" si="60"/>
        <v>44692</v>
      </c>
      <c r="Y145" s="385">
        <f t="shared" si="61"/>
        <v>53.90780379161437</v>
      </c>
      <c r="Z145" s="385">
        <f t="shared" si="62"/>
        <v>55.626626006371943</v>
      </c>
      <c r="AA145" s="386">
        <f t="shared" si="63"/>
        <v>59.939618662810524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7.1955623887119846E-2</v>
      </c>
      <c r="AD145" s="231">
        <f>(INDEX(Models!$BJ145:$BT145,,AH145)*(1-AF145)+INDEX(Models!$BJ145:$BT145,,AH145+1)*AF145-ERP_i)*AE145*Ramure*Pc/MaxiM</f>
        <v>1.2062185739018113E-4</v>
      </c>
      <c r="AE145" s="305">
        <f t="shared" si="65"/>
        <v>0.5</v>
      </c>
      <c r="AF145" s="177">
        <f t="shared" si="66"/>
        <v>0.10972645753166797</v>
      </c>
      <c r="AG145" s="811">
        <f t="shared" si="74"/>
        <v>0</v>
      </c>
      <c r="AH145" s="176">
        <f t="shared" si="67"/>
        <v>6</v>
      </c>
      <c r="AI145" s="225">
        <f t="shared" si="68"/>
        <v>0.10972645753166797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40">
        <v>40.797000000000004</v>
      </c>
      <c r="C146" s="841"/>
      <c r="D146" s="393">
        <f t="shared" si="50"/>
        <v>42.098713142087725</v>
      </c>
      <c r="E146" s="385">
        <f t="shared" si="72"/>
        <v>43.709826164830979</v>
      </c>
      <c r="F146" s="385">
        <f t="shared" si="51"/>
        <v>43.712988363129853</v>
      </c>
      <c r="G146" s="110">
        <f t="shared" si="73"/>
        <v>0.69399861620934289</v>
      </c>
      <c r="H146" s="414" t="b">
        <f>Wh_hp&gt;='2021'!Maxi_hp</f>
        <v>0</v>
      </c>
      <c r="I146" s="380">
        <f>IF(H146,Wh_hp,'2021'!Maxi_hp)</f>
        <v>59.238727729135654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3.0920497206038067E-2</v>
      </c>
      <c r="M146" s="845"/>
      <c r="N146" s="845"/>
      <c r="O146" s="48">
        <f>IF(t&lt;Tnet,'2021'!Resal+('2021'!Salim-'2021'!Resal)*(1-EXP(('2021'!Tnet-t)/('2021'!Tau_j))),Resal+(Salim-Resal)*(1-EXP((Tnet-t)/(Tau_j))))*Salcycl</f>
        <v>3.6859286895072597E-2</v>
      </c>
      <c r="P146" s="339">
        <f>(INDEX(Models!$BJ146:$BT146,,T146)*(1-R146)+INDEX(Models!$BJ146:$BT146,,T146+1)*R146-ERP_i)*Q146*Ramure*Pc/MaxiM</f>
        <v>1.2851060682237807E-4</v>
      </c>
      <c r="Q146" s="305">
        <f t="shared" si="53"/>
        <v>0.5</v>
      </c>
      <c r="R146" s="177">
        <f t="shared" si="54"/>
        <v>0.11336384517949671</v>
      </c>
      <c r="S146" s="811">
        <f t="shared" si="55"/>
        <v>0</v>
      </c>
      <c r="T146" s="176">
        <f t="shared" si="56"/>
        <v>6</v>
      </c>
      <c r="U146" s="251">
        <f t="shared" si="57"/>
        <v>0.11336384517949671</v>
      </c>
      <c r="V146" s="383">
        <f t="shared" si="58"/>
        <v>58.782117557327666</v>
      </c>
      <c r="W146" s="402">
        <f t="shared" si="59"/>
        <v>0</v>
      </c>
      <c r="X146" s="157">
        <f t="shared" si="60"/>
        <v>44693</v>
      </c>
      <c r="Y146" s="385">
        <f t="shared" si="61"/>
        <v>39.306701599734424</v>
      </c>
      <c r="Z146" s="385">
        <f t="shared" si="62"/>
        <v>40.560863671565556</v>
      </c>
      <c r="AA146" s="386">
        <f t="shared" si="63"/>
        <v>43.709826164830979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7.2042439184969401E-2</v>
      </c>
      <c r="AD146" s="231">
        <f>(INDEX(Models!$BJ146:$BT146,,AH146)*(1-AF146)+INDEX(Models!$BJ146:$BT146,,AH146+1)*AF146-ERP_i)*AE146*Ramure*Pc/MaxiM</f>
        <v>1.2851060682237807E-4</v>
      </c>
      <c r="AE146" s="305">
        <f t="shared" si="65"/>
        <v>0.5</v>
      </c>
      <c r="AF146" s="177">
        <f t="shared" si="66"/>
        <v>0.11336384517949671</v>
      </c>
      <c r="AG146" s="811">
        <f t="shared" si="74"/>
        <v>0</v>
      </c>
      <c r="AH146" s="176">
        <f t="shared" si="67"/>
        <v>6</v>
      </c>
      <c r="AI146" s="225">
        <f t="shared" si="68"/>
        <v>0.11336384517949671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40">
        <v>41.497</v>
      </c>
      <c r="C147" s="841"/>
      <c r="D147" s="393">
        <f t="shared" si="50"/>
        <v>42.821986009469526</v>
      </c>
      <c r="E147" s="385">
        <f t="shared" si="72"/>
        <v>44.465989230900185</v>
      </c>
      <c r="F147" s="385">
        <f t="shared" si="51"/>
        <v>44.469497510310156</v>
      </c>
      <c r="G147" s="110">
        <f t="shared" si="73"/>
        <v>0.70511596019147138</v>
      </c>
      <c r="H147" s="414" t="b">
        <f>Wh_hp&gt;='2021'!Maxi_hp</f>
        <v>0</v>
      </c>
      <c r="I147" s="380">
        <f>IF(H147,Wh_hp,'2021'!Maxi_hp)</f>
        <v>65.408960512497771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3.0941722534226224E-2</v>
      </c>
      <c r="M147" s="845"/>
      <c r="N147" s="845"/>
      <c r="O147" s="48">
        <f>IF(t&lt;Tnet,'2021'!Resal+('2021'!Salim-'2021'!Resal)*(1-EXP(('2021'!Tnet-t)/('2021'!Tau_j))),Resal+(Salim-Resal)*(1-EXP((Tnet-t)/(Tau_j))))*Salcycl</f>
        <v>3.6972149947992493E-2</v>
      </c>
      <c r="P147" s="339">
        <f>(INDEX(Models!$BJ147:$BT147,,T147)*(1-R147)+INDEX(Models!$BJ147:$BT147,,T147+1)*R147-ERP_i)*Q147*Ramure*Pc/MaxiM</f>
        <v>1.3630357220584919E-4</v>
      </c>
      <c r="Q147" s="305">
        <f t="shared" si="53"/>
        <v>0.5</v>
      </c>
      <c r="R147" s="177">
        <f t="shared" si="54"/>
        <v>0.11708194830494882</v>
      </c>
      <c r="S147" s="811">
        <f t="shared" si="55"/>
        <v>0</v>
      </c>
      <c r="T147" s="176">
        <f t="shared" si="56"/>
        <v>6</v>
      </c>
      <c r="U147" s="251">
        <f t="shared" si="57"/>
        <v>0.11708194830494882</v>
      </c>
      <c r="V147" s="383">
        <f t="shared" si="58"/>
        <v>58.847933870497307</v>
      </c>
      <c r="W147" s="402">
        <f t="shared" si="59"/>
        <v>0</v>
      </c>
      <c r="X147" s="157">
        <f t="shared" si="60"/>
        <v>44694</v>
      </c>
      <c r="Y147" s="385">
        <f t="shared" si="61"/>
        <v>39.982047324695991</v>
      </c>
      <c r="Z147" s="385">
        <f t="shared" si="62"/>
        <v>41.258661377161722</v>
      </c>
      <c r="AA147" s="386">
        <f t="shared" si="63"/>
        <v>44.465989230900185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7.2129911179613093E-2</v>
      </c>
      <c r="AD147" s="231">
        <f>(INDEX(Models!$BJ147:$BT147,,AH147)*(1-AF147)+INDEX(Models!$BJ147:$BT147,,AH147+1)*AF147-ERP_i)*AE147*Ramure*Pc/MaxiM</f>
        <v>1.3630357220584919E-4</v>
      </c>
      <c r="AE147" s="305">
        <f t="shared" si="65"/>
        <v>0.5</v>
      </c>
      <c r="AF147" s="177">
        <f t="shared" si="66"/>
        <v>0.11708194830494882</v>
      </c>
      <c r="AG147" s="811">
        <f t="shared" si="74"/>
        <v>0</v>
      </c>
      <c r="AH147" s="176">
        <f t="shared" si="67"/>
        <v>6</v>
      </c>
      <c r="AI147" s="225">
        <f t="shared" si="68"/>
        <v>0.11708194830494882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40">
        <v>50.204999999999998</v>
      </c>
      <c r="C148" s="841"/>
      <c r="D148" s="393">
        <f t="shared" si="50"/>
        <v>51.80916443305027</v>
      </c>
      <c r="E148" s="385">
        <f t="shared" si="72"/>
        <v>53.804522628939047</v>
      </c>
      <c r="F148" s="385">
        <f t="shared" si="51"/>
        <v>53.810635727253604</v>
      </c>
      <c r="G148" s="110">
        <f t="shared" si="73"/>
        <v>0.85220810873641462</v>
      </c>
      <c r="H148" s="414" t="b">
        <f>Wh_hp&gt;='2021'!Maxi_hp</f>
        <v>0</v>
      </c>
      <c r="I148" s="380">
        <f>IF(H148,Wh_hp,'2021'!Maxi_hp)</f>
        <v>63.832836981428784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3.0962947397525253E-2</v>
      </c>
      <c r="M148" s="845"/>
      <c r="N148" s="845"/>
      <c r="O148" s="48">
        <f>IF(t&lt;Tnet,'2021'!Resal+('2021'!Salim-'2021'!Resal)*(1-EXP(('2021'!Tnet-t)/('2021'!Tau_j))),Resal+(Salim-Resal)*(1-EXP((Tnet-t)/(Tau_j))))*Salcycl</f>
        <v>3.708532477185416E-2</v>
      </c>
      <c r="P148" s="339">
        <f>(INDEX(Models!$BJ148:$BT148,,T148)*(1-R148)+INDEX(Models!$BJ148:$BT148,,T148+1)*R148-ERP_i)*Q148*Ramure*Pc/MaxiM</f>
        <v>1.4400187325981745E-4</v>
      </c>
      <c r="Q148" s="305">
        <f t="shared" si="53"/>
        <v>0.5</v>
      </c>
      <c r="R148" s="177">
        <f t="shared" si="54"/>
        <v>0.12088023987055119</v>
      </c>
      <c r="S148" s="811">
        <f t="shared" si="55"/>
        <v>0</v>
      </c>
      <c r="T148" s="176">
        <f t="shared" si="56"/>
        <v>6</v>
      </c>
      <c r="U148" s="251">
        <f t="shared" si="57"/>
        <v>0.12088023987055119</v>
      </c>
      <c r="V148" s="383">
        <f t="shared" si="58"/>
        <v>58.90987563004402</v>
      </c>
      <c r="W148" s="402">
        <f t="shared" si="59"/>
        <v>0</v>
      </c>
      <c r="X148" s="157">
        <f t="shared" si="60"/>
        <v>44695</v>
      </c>
      <c r="Y148" s="385">
        <f t="shared" si="61"/>
        <v>48.373232333517137</v>
      </c>
      <c r="Z148" s="385">
        <f t="shared" si="62"/>
        <v>49.918867605324834</v>
      </c>
      <c r="AA148" s="386">
        <f t="shared" si="63"/>
        <v>53.804522628939047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7.2218000156074186E-2</v>
      </c>
      <c r="AD148" s="231">
        <f>(INDEX(Models!$BJ148:$BT148,,AH148)*(1-AF148)+INDEX(Models!$BJ148:$BT148,,AH148+1)*AF148-ERP_i)*AE148*Ramure*Pc/MaxiM</f>
        <v>1.4400187325981745E-4</v>
      </c>
      <c r="AE148" s="305">
        <f t="shared" si="65"/>
        <v>0.5</v>
      </c>
      <c r="AF148" s="177">
        <f t="shared" si="66"/>
        <v>0.12088023987055119</v>
      </c>
      <c r="AG148" s="811">
        <f t="shared" si="74"/>
        <v>0</v>
      </c>
      <c r="AH148" s="176">
        <f t="shared" si="67"/>
        <v>6</v>
      </c>
      <c r="AI148" s="225">
        <f t="shared" si="68"/>
        <v>0.12088023987055119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40">
        <v>53.114000000000004</v>
      </c>
      <c r="C149" s="841"/>
      <c r="D149" s="393">
        <f t="shared" si="50"/>
        <v>54.812314158417742</v>
      </c>
      <c r="E149" s="385">
        <f t="shared" si="72"/>
        <v>56.930042951806335</v>
      </c>
      <c r="F149" s="385">
        <f t="shared" si="51"/>
        <v>56.937451031124006</v>
      </c>
      <c r="G149" s="110">
        <f t="shared" si="73"/>
        <v>0.90071620544025999</v>
      </c>
      <c r="H149" s="414" t="b">
        <f>Wh_hp&gt;='2021'!Maxi_hp</f>
        <v>0</v>
      </c>
      <c r="I149" s="380">
        <f>IF(H149,Wh_hp,'2021'!Maxi_hp)</f>
        <v>64.337487236928794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3.0984171795945259E-2</v>
      </c>
      <c r="M149" s="845"/>
      <c r="N149" s="845"/>
      <c r="O149" s="48">
        <f>IF(t&lt;Tnet,'2021'!Resal+('2021'!Salim-'2021'!Resal)*(1-EXP(('2021'!Tnet-t)/('2021'!Tau_j))),Resal+(Salim-Resal)*(1-EXP((Tnet-t)/(Tau_j))))*Salcycl</f>
        <v>3.7198791421628546E-2</v>
      </c>
      <c r="P149" s="339">
        <f>(INDEX(Models!$BJ149:$BT149,,T149)*(1-R149)+INDEX(Models!$BJ149:$BT149,,T149+1)*R149-ERP_i)*Q149*Ramure*Pc/MaxiM</f>
        <v>1.5160806094519693E-4</v>
      </c>
      <c r="Q149" s="305">
        <f t="shared" si="53"/>
        <v>0.5</v>
      </c>
      <c r="R149" s="177">
        <f t="shared" si="54"/>
        <v>0.12475803158559082</v>
      </c>
      <c r="S149" s="811">
        <f t="shared" si="55"/>
        <v>0</v>
      </c>
      <c r="T149" s="176">
        <f t="shared" si="56"/>
        <v>6</v>
      </c>
      <c r="U149" s="251">
        <f t="shared" si="57"/>
        <v>0.12475803158559082</v>
      </c>
      <c r="V149" s="383">
        <f t="shared" si="58"/>
        <v>58.967361343881528</v>
      </c>
      <c r="W149" s="402">
        <f t="shared" si="59"/>
        <v>0</v>
      </c>
      <c r="X149" s="157">
        <f t="shared" si="60"/>
        <v>44696</v>
      </c>
      <c r="Y149" s="385">
        <f t="shared" si="61"/>
        <v>51.177235141093249</v>
      </c>
      <c r="Z149" s="385">
        <f t="shared" si="62"/>
        <v>52.813621461626298</v>
      </c>
      <c r="AA149" s="386">
        <f t="shared" si="63"/>
        <v>56.930042951806335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7.230666405196215E-2</v>
      </c>
      <c r="AD149" s="231">
        <f>(INDEX(Models!$BJ149:$BT149,,AH149)*(1-AF149)+INDEX(Models!$BJ149:$BT149,,AH149+1)*AF149-ERP_i)*AE149*Ramure*Pc/MaxiM</f>
        <v>1.5160806094519693E-4</v>
      </c>
      <c r="AE149" s="305">
        <f t="shared" si="65"/>
        <v>0.5</v>
      </c>
      <c r="AF149" s="177">
        <f t="shared" si="66"/>
        <v>0.12475803158559082</v>
      </c>
      <c r="AG149" s="811">
        <f t="shared" si="74"/>
        <v>0</v>
      </c>
      <c r="AH149" s="176">
        <f t="shared" si="67"/>
        <v>6</v>
      </c>
      <c r="AI149" s="225">
        <f t="shared" si="68"/>
        <v>0.12475803158559082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40">
        <v>50.628</v>
      </c>
      <c r="C150" s="841"/>
      <c r="D150" s="393">
        <f t="shared" si="50"/>
        <v>52.247968953464614</v>
      </c>
      <c r="E150" s="385">
        <f t="shared" si="72"/>
        <v>54.27303305163985</v>
      </c>
      <c r="F150" s="385">
        <f t="shared" si="51"/>
        <v>54.279875254286232</v>
      </c>
      <c r="G150" s="110">
        <f t="shared" si="73"/>
        <v>0.85778433142074684</v>
      </c>
      <c r="H150" s="414" t="b">
        <f>Wh_hp&gt;='2021'!Maxi_hp</f>
        <v>0</v>
      </c>
      <c r="I150" s="380">
        <f>IF(H150,Wh_hp,'2021'!Maxi_hp)</f>
        <v>55.759884023555387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3.1005395729496454E-2</v>
      </c>
      <c r="M150" s="845"/>
      <c r="N150" s="845"/>
      <c r="O150" s="48">
        <f>IF(t&lt;Tnet,'2021'!Resal+('2021'!Salim-'2021'!Resal)*(1-EXP(('2021'!Tnet-t)/('2021'!Tau_j))),Resal+(Salim-Resal)*(1-EXP((Tnet-t)/(Tau_j))))*Salcycl</f>
        <v>3.7312528604185886E-2</v>
      </c>
      <c r="P150" s="339">
        <f>(INDEX(Models!$BJ150:$BT150,,T150)*(1-R150)+INDEX(Models!$BJ150:$BT150,,T150+1)*R150-ERP_i)*Q150*Ramure*Pc/MaxiM</f>
        <v>1.5818575018245633E-4</v>
      </c>
      <c r="Q150" s="305">
        <f t="shared" si="53"/>
        <v>0.5</v>
      </c>
      <c r="R150" s="177">
        <f t="shared" si="54"/>
        <v>0.12871446904671693</v>
      </c>
      <c r="S150" s="811">
        <f t="shared" si="55"/>
        <v>0</v>
      </c>
      <c r="T150" s="176">
        <f t="shared" si="56"/>
        <v>6</v>
      </c>
      <c r="U150" s="251">
        <f t="shared" si="57"/>
        <v>0.12871446904671693</v>
      </c>
      <c r="V150" s="383">
        <f t="shared" si="58"/>
        <v>59.019932144921562</v>
      </c>
      <c r="W150" s="402">
        <f t="shared" si="59"/>
        <v>0</v>
      </c>
      <c r="X150" s="157">
        <f t="shared" si="60"/>
        <v>44697</v>
      </c>
      <c r="Y150" s="385">
        <f t="shared" si="61"/>
        <v>48.782957990702386</v>
      </c>
      <c r="Z150" s="385">
        <f t="shared" si="62"/>
        <v>50.343890229840937</v>
      </c>
      <c r="AA150" s="386">
        <f t="shared" si="63"/>
        <v>54.27303305163985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7.2395858511544717E-2</v>
      </c>
      <c r="AD150" s="231">
        <f>(INDEX(Models!$BJ150:$BT150,,AH150)*(1-AF150)+INDEX(Models!$BJ150:$BT150,,AH150+1)*AF150-ERP_i)*AE150*Ramure*Pc/MaxiM</f>
        <v>1.5818575018245633E-4</v>
      </c>
      <c r="AE150" s="305">
        <f t="shared" si="65"/>
        <v>0.5</v>
      </c>
      <c r="AF150" s="177">
        <f t="shared" si="66"/>
        <v>0.12871446904671693</v>
      </c>
      <c r="AG150" s="811">
        <f t="shared" si="74"/>
        <v>0</v>
      </c>
      <c r="AH150" s="176">
        <f t="shared" si="67"/>
        <v>6</v>
      </c>
      <c r="AI150" s="225">
        <f t="shared" si="68"/>
        <v>0.12871446904671693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40">
        <v>53.911999999999999</v>
      </c>
      <c r="C151" s="841"/>
      <c r="D151" s="393">
        <f t="shared" si="50"/>
        <v>55.638267333400456</v>
      </c>
      <c r="E151" s="385">
        <f t="shared" si="72"/>
        <v>57.801578918881177</v>
      </c>
      <c r="F151" s="385">
        <f t="shared" si="51"/>
        <v>57.809848684074474</v>
      </c>
      <c r="G151" s="110">
        <f t="shared" si="73"/>
        <v>0.9126951077251102</v>
      </c>
      <c r="H151" s="414" t="b">
        <f>Wh_hp&gt;='2021'!Maxi_hp</f>
        <v>0</v>
      </c>
      <c r="I151" s="380">
        <f>IF(H151,Wh_hp,'2021'!Maxi_hp)</f>
        <v>59.143869986274652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3.1026619198189054E-2</v>
      </c>
      <c r="M151" s="845"/>
      <c r="N151" s="845"/>
      <c r="O151" s="48">
        <f>IF(t&lt;Tnet,'2021'!Resal+('2021'!Salim-'2021'!Resal)*(1-EXP(('2021'!Tnet-t)/('2021'!Tau_j))),Resal+(Salim-Resal)*(1-EXP((Tnet-t)/(Tau_j))))*Salcycl</f>
        <v>3.7426513703314464E-2</v>
      </c>
      <c r="P151" s="339">
        <f>(INDEX(Models!$BJ151:$BT151,,T151)*(1-R151)+INDEX(Models!$BJ151:$BT151,,T151+1)*R151-ERP_i)*Q151*Ramure*Pc/MaxiM</f>
        <v>1.6343000257675622E-4</v>
      </c>
      <c r="Q151" s="305">
        <f t="shared" si="53"/>
        <v>0.5</v>
      </c>
      <c r="R151" s="177">
        <f t="shared" si="54"/>
        <v>0.13274852740669074</v>
      </c>
      <c r="S151" s="811">
        <f t="shared" si="55"/>
        <v>0</v>
      </c>
      <c r="T151" s="176">
        <f t="shared" si="56"/>
        <v>6</v>
      </c>
      <c r="U151" s="251">
        <f t="shared" si="57"/>
        <v>0.13274852740669074</v>
      </c>
      <c r="V151" s="383">
        <f t="shared" si="58"/>
        <v>59.067809963780995</v>
      </c>
      <c r="W151" s="402">
        <f t="shared" si="59"/>
        <v>0</v>
      </c>
      <c r="X151" s="157">
        <f t="shared" si="60"/>
        <v>44698</v>
      </c>
      <c r="Y151" s="385">
        <f t="shared" si="61"/>
        <v>51.948407517614747</v>
      </c>
      <c r="Z151" s="385">
        <f t="shared" si="62"/>
        <v>53.611800434216491</v>
      </c>
      <c r="AA151" s="386">
        <f t="shared" si="63"/>
        <v>57.801578918881177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7.2485536952972024E-2</v>
      </c>
      <c r="AD151" s="231">
        <f>(INDEX(Models!$BJ151:$BT151,,AH151)*(1-AF151)+INDEX(Models!$BJ151:$BT151,,AH151+1)*AF151-ERP_i)*AE151*Ramure*Pc/MaxiM</f>
        <v>1.6343000257675622E-4</v>
      </c>
      <c r="AE151" s="305">
        <f t="shared" si="65"/>
        <v>0.5</v>
      </c>
      <c r="AF151" s="177">
        <f t="shared" si="66"/>
        <v>0.13274852740669074</v>
      </c>
      <c r="AG151" s="811">
        <f t="shared" si="74"/>
        <v>0</v>
      </c>
      <c r="AH151" s="176">
        <f t="shared" si="67"/>
        <v>6</v>
      </c>
      <c r="AI151" s="225">
        <f t="shared" si="68"/>
        <v>0.13274852740669074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40">
        <v>51.861000000000004</v>
      </c>
      <c r="C152" s="841"/>
      <c r="D152" s="393">
        <f t="shared" si="50"/>
        <v>53.522766405576633</v>
      </c>
      <c r="E152" s="385">
        <f t="shared" si="72"/>
        <v>55.610421837233581</v>
      </c>
      <c r="F152" s="385">
        <f t="shared" si="51"/>
        <v>55.618096662138946</v>
      </c>
      <c r="G152" s="110">
        <f t="shared" si="73"/>
        <v>0.87732069126080514</v>
      </c>
      <c r="H152" s="414" t="b">
        <f>Wh_hp&gt;='2021'!Maxi_hp</f>
        <v>0</v>
      </c>
      <c r="I152" s="380">
        <f>IF(H152,Wh_hp,'2021'!Maxi_hp)</f>
        <v>63.972000087795209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3.1047842202033271E-2</v>
      </c>
      <c r="M152" s="845"/>
      <c r="N152" s="845"/>
      <c r="O152" s="48">
        <f>IF(t&lt;Tnet,'2021'!Resal+('2021'!Salim-'2021'!Resal)*(1-EXP(('2021'!Tnet-t)/('2021'!Tau_j))),Resal+(Salim-Resal)*(1-EXP((Tnet-t)/(Tau_j))))*Salcycl</f>
        <v>3.7540722812125345E-2</v>
      </c>
      <c r="P152" s="339">
        <f>(INDEX(Models!$BJ152:$BT152,,T152)*(1-R152)+INDEX(Models!$BJ152:$BT152,,T152+1)*R152-ERP_i)*Q152*Ramure*Pc/MaxiM</f>
        <v>1.6730692628228356E-4</v>
      </c>
      <c r="Q152" s="305">
        <f t="shared" si="53"/>
        <v>0.5</v>
      </c>
      <c r="R152" s="177">
        <f t="shared" si="54"/>
        <v>0.13685900763064784</v>
      </c>
      <c r="S152" s="811">
        <f t="shared" si="55"/>
        <v>0</v>
      </c>
      <c r="T152" s="176">
        <f t="shared" si="56"/>
        <v>6</v>
      </c>
      <c r="U152" s="251">
        <f t="shared" si="57"/>
        <v>0.13685900763064784</v>
      </c>
      <c r="V152" s="383">
        <f t="shared" si="58"/>
        <v>59.111200704302213</v>
      </c>
      <c r="W152" s="402">
        <f t="shared" si="59"/>
        <v>0</v>
      </c>
      <c r="X152" s="157">
        <f t="shared" si="60"/>
        <v>44699</v>
      </c>
      <c r="Y152" s="385">
        <f t="shared" si="61"/>
        <v>49.973183615859242</v>
      </c>
      <c r="Z152" s="385">
        <f t="shared" si="62"/>
        <v>51.574459289535945</v>
      </c>
      <c r="AA152" s="386">
        <f t="shared" si="63"/>
        <v>55.610421837233581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7.2575650648911014E-2</v>
      </c>
      <c r="AD152" s="231">
        <f>(INDEX(Models!$BJ152:$BT152,,AH152)*(1-AF152)+INDEX(Models!$BJ152:$BT152,,AH152+1)*AF152-ERP_i)*AE152*Ramure*Pc/MaxiM</f>
        <v>1.6730692628228356E-4</v>
      </c>
      <c r="AE152" s="305">
        <f t="shared" si="65"/>
        <v>0.5</v>
      </c>
      <c r="AF152" s="177">
        <f t="shared" si="66"/>
        <v>0.13685900763064784</v>
      </c>
      <c r="AG152" s="811">
        <f t="shared" si="74"/>
        <v>0</v>
      </c>
      <c r="AH152" s="176">
        <f t="shared" si="67"/>
        <v>6</v>
      </c>
      <c r="AI152" s="225">
        <f t="shared" si="68"/>
        <v>0.13685900763064784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40">
        <v>54.736000000000004</v>
      </c>
      <c r="C153" s="841"/>
      <c r="D153" s="393">
        <f t="shared" si="50"/>
        <v>56.491126465449284</v>
      </c>
      <c r="E153" s="385">
        <f t="shared" si="72"/>
        <v>58.701540655405474</v>
      </c>
      <c r="F153" s="385">
        <f t="shared" si="51"/>
        <v>58.710445861444065</v>
      </c>
      <c r="G153" s="110">
        <f t="shared" si="73"/>
        <v>0.9253545550401937</v>
      </c>
      <c r="H153" s="414" t="b">
        <f>Wh_hp&gt;='2021'!Maxi_hp</f>
        <v>0</v>
      </c>
      <c r="I153" s="380">
        <f>IF(H153,Wh_hp,'2021'!Maxi_hp)</f>
        <v>63.050548226982031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3.106906474103921E-2</v>
      </c>
      <c r="M153" s="845"/>
      <c r="N153" s="845"/>
      <c r="O153" s="48">
        <f>IF(t&lt;Tnet,'2021'!Resal+('2021'!Salim-'2021'!Resal)*(1-EXP(('2021'!Tnet-t)/('2021'!Tau_j))),Resal+(Salim-Resal)*(1-EXP((Tnet-t)/(Tau_j))))*Salcycl</f>
        <v>3.7655130773005425E-2</v>
      </c>
      <c r="P153" s="339">
        <f>(INDEX(Models!$BJ153:$BT153,,T153)*(1-R153)+INDEX(Models!$BJ153:$BT153,,T153+1)*R153-ERP_i)*Q153*Ramure*Pc/MaxiM</f>
        <v>1.6978084158884285E-4</v>
      </c>
      <c r="Q153" s="305">
        <f t="shared" si="53"/>
        <v>0.5</v>
      </c>
      <c r="R153" s="177">
        <f t="shared" si="54"/>
        <v>0.14104453339794432</v>
      </c>
      <c r="S153" s="811">
        <f t="shared" si="55"/>
        <v>0</v>
      </c>
      <c r="T153" s="176">
        <f t="shared" si="56"/>
        <v>6</v>
      </c>
      <c r="U153" s="251">
        <f t="shared" si="57"/>
        <v>0.14104453339794432</v>
      </c>
      <c r="V153" s="383">
        <f t="shared" si="58"/>
        <v>59.150310320659884</v>
      </c>
      <c r="W153" s="402">
        <f t="shared" si="59"/>
        <v>0</v>
      </c>
      <c r="X153" s="157">
        <f t="shared" si="60"/>
        <v>44700</v>
      </c>
      <c r="Y153" s="385">
        <f t="shared" si="61"/>
        <v>52.744652464266537</v>
      </c>
      <c r="Z153" s="385">
        <f t="shared" si="62"/>
        <v>54.435925766132925</v>
      </c>
      <c r="AA153" s="386">
        <f t="shared" si="63"/>
        <v>58.701540655405474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7.2666148820742266E-2</v>
      </c>
      <c r="AD153" s="231">
        <f>(INDEX(Models!$BJ153:$BT153,,AH153)*(1-AF153)+INDEX(Models!$BJ153:$BT153,,AH153+1)*AF153-ERP_i)*AE153*Ramure*Pc/MaxiM</f>
        <v>1.6978084158884285E-4</v>
      </c>
      <c r="AE153" s="305">
        <f t="shared" si="65"/>
        <v>0.5</v>
      </c>
      <c r="AF153" s="177">
        <f t="shared" si="66"/>
        <v>0.14104453339794432</v>
      </c>
      <c r="AG153" s="811">
        <f t="shared" si="74"/>
        <v>0</v>
      </c>
      <c r="AH153" s="176">
        <f t="shared" si="67"/>
        <v>6</v>
      </c>
      <c r="AI153" s="225">
        <f t="shared" si="68"/>
        <v>0.14104453339794432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40">
        <v>49.588000000000001</v>
      </c>
      <c r="C154" s="841"/>
      <c r="D154" s="393">
        <f t="shared" si="50"/>
        <v>51.1791752370873</v>
      </c>
      <c r="E154" s="385">
        <f t="shared" si="72"/>
        <v>53.188073410425041</v>
      </c>
      <c r="F154" s="385">
        <f t="shared" si="51"/>
        <v>53.195054977079231</v>
      </c>
      <c r="G154" s="110">
        <f t="shared" si="73"/>
        <v>0.83780938887969847</v>
      </c>
      <c r="H154" s="414" t="b">
        <f>Wh_hp&gt;='2021'!Maxi_hp</f>
        <v>0</v>
      </c>
      <c r="I154" s="380">
        <f>IF(H154,Wh_hp,'2021'!Maxi_hp)</f>
        <v>62.803447200223168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3.1090286815217083E-2</v>
      </c>
      <c r="M154" s="845"/>
      <c r="N154" s="845"/>
      <c r="O154" s="48">
        <f>IF(t&lt;Tnet,'2021'!Resal+('2021'!Salim-'2021'!Resal)*(1-EXP(('2021'!Tnet-t)/('2021'!Tau_j))),Resal+(Salim-Resal)*(1-EXP((Tnet-t)/(Tau_j))))*Salcycl</f>
        <v>3.7769711225223386E-2</v>
      </c>
      <c r="P154" s="339">
        <f>(INDEX(Models!$BJ154:$BT154,,T154)*(1-R154)+INDEX(Models!$BJ154:$BT154,,T154+1)*R154-ERP_i)*Q154*Ramure*Pc/MaxiM</f>
        <v>1.7081441272323423E-4</v>
      </c>
      <c r="Q154" s="305">
        <f t="shared" si="53"/>
        <v>0.5</v>
      </c>
      <c r="R154" s="177">
        <f t="shared" si="54"/>
        <v>0.145303548705605</v>
      </c>
      <c r="S154" s="811">
        <f t="shared" si="55"/>
        <v>0</v>
      </c>
      <c r="T154" s="176">
        <f t="shared" si="56"/>
        <v>6</v>
      </c>
      <c r="U154" s="251">
        <f t="shared" si="57"/>
        <v>0.145303548705605</v>
      </c>
      <c r="V154" s="383">
        <f t="shared" si="58"/>
        <v>59.185344799745288</v>
      </c>
      <c r="W154" s="402">
        <f t="shared" si="59"/>
        <v>0</v>
      </c>
      <c r="X154" s="157">
        <f t="shared" si="60"/>
        <v>44701</v>
      </c>
      <c r="Y154" s="385">
        <f t="shared" si="61"/>
        <v>47.784950727827052</v>
      </c>
      <c r="Z154" s="385">
        <f t="shared" si="62"/>
        <v>49.3182698837429</v>
      </c>
      <c r="AA154" s="386">
        <f t="shared" si="63"/>
        <v>53.188073410425041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7.2756978746360251E-2</v>
      </c>
      <c r="AD154" s="231">
        <f>(INDEX(Models!$BJ154:$BT154,,AH154)*(1-AF154)+INDEX(Models!$BJ154:$BT154,,AH154+1)*AF154-ERP_i)*AE154*Ramure*Pc/MaxiM</f>
        <v>1.7081441272323423E-4</v>
      </c>
      <c r="AE154" s="305">
        <f t="shared" si="65"/>
        <v>0.5</v>
      </c>
      <c r="AF154" s="177">
        <f t="shared" si="66"/>
        <v>0.145303548705605</v>
      </c>
      <c r="AG154" s="811">
        <f t="shared" si="74"/>
        <v>0</v>
      </c>
      <c r="AH154" s="176">
        <f t="shared" si="67"/>
        <v>6</v>
      </c>
      <c r="AI154" s="225">
        <f t="shared" si="68"/>
        <v>0.145303548705605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40">
        <v>49.503999999999998</v>
      </c>
      <c r="C155" s="841"/>
      <c r="D155" s="393">
        <f t="shared" si="50"/>
        <v>51.093598933666726</v>
      </c>
      <c r="E155" s="385">
        <f t="shared" si="72"/>
        <v>53.105469738278444</v>
      </c>
      <c r="F155" s="385">
        <f t="shared" si="51"/>
        <v>53.112398234472273</v>
      </c>
      <c r="G155" s="110">
        <f t="shared" si="73"/>
        <v>0.83594969472842862</v>
      </c>
      <c r="H155" s="414" t="b">
        <f>Wh_hp&gt;='2021'!Maxi_hp</f>
        <v>0</v>
      </c>
      <c r="I155" s="380">
        <f>IF(H155,Wh_hp,'2021'!Maxi_hp)</f>
        <v>61.178268574854386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3.1111508424576995E-2</v>
      </c>
      <c r="M155" s="845"/>
      <c r="N155" s="845"/>
      <c r="O155" s="48">
        <f>IF(t&lt;Tnet,'2021'!Resal+('2021'!Salim-'2021'!Resal)*(1-EXP(('2021'!Tnet-t)/('2021'!Tau_j))),Resal+(Salim-Resal)*(1-EXP((Tnet-t)/(Tau_j))))*Salcycl</f>
        <v>3.7884436660232758E-2</v>
      </c>
      <c r="P155" s="339">
        <f>(INDEX(Models!$BJ155:$BT155,,T155)*(1-R155)+INDEX(Models!$BJ155:$BT155,,T155+1)*R155-ERP_i)*Q155*Ramure*Pc/MaxiM</f>
        <v>1.703687897105562E-4</v>
      </c>
      <c r="Q155" s="305">
        <f t="shared" si="53"/>
        <v>0.5</v>
      </c>
      <c r="R155" s="177">
        <f t="shared" si="54"/>
        <v>0.14963431622654785</v>
      </c>
      <c r="S155" s="811">
        <f t="shared" si="55"/>
        <v>0</v>
      </c>
      <c r="T155" s="176">
        <f t="shared" si="56"/>
        <v>6</v>
      </c>
      <c r="U155" s="251">
        <f t="shared" si="57"/>
        <v>0.14963431622654785</v>
      </c>
      <c r="V155" s="383">
        <f t="shared" si="58"/>
        <v>59.21651015547652</v>
      </c>
      <c r="W155" s="402">
        <f t="shared" si="59"/>
        <v>0</v>
      </c>
      <c r="X155" s="157">
        <f t="shared" si="60"/>
        <v>44702</v>
      </c>
      <c r="Y155" s="385">
        <f t="shared" si="61"/>
        <v>47.705005620321252</v>
      </c>
      <c r="Z155" s="385">
        <f t="shared" si="62"/>
        <v>49.236837918006856</v>
      </c>
      <c r="AA155" s="386">
        <f t="shared" si="63"/>
        <v>53.105469738278444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7.2848085881501518E-2</v>
      </c>
      <c r="AD155" s="231">
        <f>(INDEX(Models!$BJ155:$BT155,,AH155)*(1-AF155)+INDEX(Models!$BJ155:$BT155,,AH155+1)*AF155-ERP_i)*AE155*Ramure*Pc/MaxiM</f>
        <v>1.703687897105562E-4</v>
      </c>
      <c r="AE155" s="305">
        <f t="shared" si="65"/>
        <v>0.5</v>
      </c>
      <c r="AF155" s="177">
        <f t="shared" si="66"/>
        <v>0.14963431622654785</v>
      </c>
      <c r="AG155" s="811">
        <f t="shared" si="74"/>
        <v>0</v>
      </c>
      <c r="AH155" s="176">
        <f t="shared" si="67"/>
        <v>6</v>
      </c>
      <c r="AI155" s="225">
        <f t="shared" si="68"/>
        <v>0.14963431622654785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40">
        <v>37.466000000000001</v>
      </c>
      <c r="C156" s="841"/>
      <c r="D156" s="393">
        <f t="shared" si="50"/>
        <v>38.669899524357213</v>
      </c>
      <c r="E156" s="385">
        <f t="shared" si="72"/>
        <v>40.197370604300801</v>
      </c>
      <c r="F156" s="385">
        <f t="shared" si="51"/>
        <v>40.200588497551657</v>
      </c>
      <c r="G156" s="110">
        <f t="shared" si="73"/>
        <v>0.63234557880414599</v>
      </c>
      <c r="H156" s="414" t="b">
        <f>Wh_hp&gt;='2021'!Maxi_hp</f>
        <v>0</v>
      </c>
      <c r="I156" s="380">
        <f>IF(H156,Wh_hp,'2021'!Maxi_hp)</f>
        <v>62.875998222350205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3.1132729569129269E-2</v>
      </c>
      <c r="M156" s="845"/>
      <c r="N156" s="845"/>
      <c r="O156" s="48">
        <f>IF(t&lt;Tnet,'2021'!Resal+('2021'!Salim-'2021'!Resal)*(1-EXP(('2021'!Tnet-t)/('2021'!Tau_j))),Resal+(Salim-Resal)*(1-EXP((Tnet-t)/(Tau_j))))*Salcycl</f>
        <v>3.7999278484651962E-2</v>
      </c>
      <c r="P156" s="339">
        <f>(INDEX(Models!$BJ156:$BT156,,T156)*(1-R156)+INDEX(Models!$BJ156:$BT156,,T156+1)*R156-ERP_i)*Q156*Ramure*Pc/MaxiM</f>
        <v>1.6856763854669257E-4</v>
      </c>
      <c r="Q156" s="305">
        <f t="shared" si="53"/>
        <v>0.5</v>
      </c>
      <c r="R156" s="177">
        <f t="shared" si="54"/>
        <v>0.15403491647210343</v>
      </c>
      <c r="S156" s="811">
        <f t="shared" si="55"/>
        <v>0</v>
      </c>
      <c r="T156" s="176">
        <f t="shared" si="56"/>
        <v>6</v>
      </c>
      <c r="U156" s="251">
        <f t="shared" si="57"/>
        <v>0.15403491647210343</v>
      </c>
      <c r="V156" s="383">
        <f t="shared" si="58"/>
        <v>59.244002703065185</v>
      </c>
      <c r="W156" s="402">
        <f t="shared" si="59"/>
        <v>0</v>
      </c>
      <c r="X156" s="157">
        <f t="shared" si="60"/>
        <v>44703</v>
      </c>
      <c r="Y156" s="385">
        <f t="shared" si="61"/>
        <v>36.105224391696524</v>
      </c>
      <c r="Z156" s="385">
        <f t="shared" si="62"/>
        <v>37.265397948307154</v>
      </c>
      <c r="AA156" s="386">
        <f t="shared" si="63"/>
        <v>40.197370604300801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7.2939413994405664E-2</v>
      </c>
      <c r="AD156" s="231">
        <f>(INDEX(Models!$BJ156:$BT156,,AH156)*(1-AF156)+INDEX(Models!$BJ156:$BT156,,AH156+1)*AF156-ERP_i)*AE156*Ramure*Pc/MaxiM</f>
        <v>1.6856763854669257E-4</v>
      </c>
      <c r="AE156" s="305">
        <f t="shared" si="65"/>
        <v>0.5</v>
      </c>
      <c r="AF156" s="177">
        <f t="shared" si="66"/>
        <v>0.15403491647210343</v>
      </c>
      <c r="AG156" s="811">
        <f t="shared" si="74"/>
        <v>0</v>
      </c>
      <c r="AH156" s="176">
        <f t="shared" si="67"/>
        <v>6</v>
      </c>
      <c r="AI156" s="225">
        <f t="shared" si="68"/>
        <v>0.15403491647210343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40">
        <v>19.533000000000001</v>
      </c>
      <c r="C157" s="841"/>
      <c r="D157" s="393">
        <f t="shared" si="50"/>
        <v>20.161097839040348</v>
      </c>
      <c r="E157" s="385">
        <f t="shared" si="72"/>
        <v>20.959970495108735</v>
      </c>
      <c r="F157" s="385">
        <f t="shared" si="51"/>
        <v>20.960117399576191</v>
      </c>
      <c r="G157" s="110">
        <f t="shared" si="73"/>
        <v>0.32951841365649159</v>
      </c>
      <c r="H157" s="414" t="b">
        <f>Wh_hp&gt;='2021'!Maxi_hp</f>
        <v>0</v>
      </c>
      <c r="I157" s="380">
        <f>IF(H157,Wh_hp,'2021'!Maxi_hp)</f>
        <v>58.76828057791041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3.115395024888401E-2</v>
      </c>
      <c r="M157" s="845"/>
      <c r="N157" s="845"/>
      <c r="O157" s="48">
        <f>IF(t&lt;Tnet,'2021'!Resal+('2021'!Salim-'2021'!Resal)*(1-EXP(('2021'!Tnet-t)/('2021'!Tau_j))),Resal+(Salim-Resal)*(1-EXP((Tnet-t)/(Tau_j))))*Salcycl</f>
        <v>3.8114207090836044E-2</v>
      </c>
      <c r="P157" s="339">
        <f>(INDEX(Models!$BJ157:$BT157,,T157)*(1-R157)+INDEX(Models!$BJ157:$BT157,,T157+1)*R157-ERP_i)*Q157*Ramure*Pc/MaxiM</f>
        <v>1.6591150291043203E-4</v>
      </c>
      <c r="Q157" s="305">
        <f t="shared" si="53"/>
        <v>0.5</v>
      </c>
      <c r="R157" s="177">
        <f t="shared" si="54"/>
        <v>0.15850324780387579</v>
      </c>
      <c r="S157" s="811">
        <f t="shared" si="55"/>
        <v>0</v>
      </c>
      <c r="T157" s="176">
        <f t="shared" si="56"/>
        <v>6</v>
      </c>
      <c r="U157" s="251">
        <f t="shared" si="57"/>
        <v>0.15850324780387579</v>
      </c>
      <c r="V157" s="383">
        <f t="shared" si="58"/>
        <v>59.267996329213197</v>
      </c>
      <c r="W157" s="402">
        <f t="shared" si="59"/>
        <v>0</v>
      </c>
      <c r="X157" s="157">
        <f t="shared" si="60"/>
        <v>44704</v>
      </c>
      <c r="Y157" s="385">
        <f t="shared" si="61"/>
        <v>18.823947146313071</v>
      </c>
      <c r="Z157" s="385">
        <f t="shared" si="62"/>
        <v>19.429244874506843</v>
      </c>
      <c r="AA157" s="386">
        <f t="shared" si="63"/>
        <v>20.959970495108735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7.3030905313492947E-2</v>
      </c>
      <c r="AD157" s="231">
        <f>(INDEX(Models!$BJ157:$BT157,,AH157)*(1-AF157)+INDEX(Models!$BJ157:$BT157,,AH157+1)*AF157-ERP_i)*AE157*Ramure*Pc/MaxiM</f>
        <v>1.6591150291043203E-4</v>
      </c>
      <c r="AE157" s="305">
        <f t="shared" si="65"/>
        <v>0.5</v>
      </c>
      <c r="AF157" s="177">
        <f t="shared" si="66"/>
        <v>0.15850324780387579</v>
      </c>
      <c r="AG157" s="811">
        <f t="shared" si="74"/>
        <v>0</v>
      </c>
      <c r="AH157" s="176">
        <f t="shared" si="67"/>
        <v>6</v>
      </c>
      <c r="AI157" s="225">
        <f t="shared" si="68"/>
        <v>0.15850324780387579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40">
        <v>16.936</v>
      </c>
      <c r="C158" s="841"/>
      <c r="D158" s="393">
        <f t="shared" si="50"/>
        <v>17.480972291047262</v>
      </c>
      <c r="E158" s="385">
        <f t="shared" si="72"/>
        <v>18.175819170697661</v>
      </c>
      <c r="F158" s="385">
        <f t="shared" si="51"/>
        <v>18.175819170697661</v>
      </c>
      <c r="G158" s="110">
        <f t="shared" si="73"/>
        <v>0.28560672037228363</v>
      </c>
      <c r="H158" s="414" t="b">
        <f>Wh_hp&gt;='2021'!Maxi_hp</f>
        <v>0</v>
      </c>
      <c r="I158" s="380">
        <f>IF(H158,Wh_hp,'2021'!Maxi_hp)</f>
        <v>30.554357090064354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3.1175170463851432E-2</v>
      </c>
      <c r="M158" s="845"/>
      <c r="N158" s="845"/>
      <c r="O158" s="48">
        <f>IF(t&lt;Tnet,'2021'!Resal+('2021'!Salim-'2021'!Resal)*(1-EXP(('2021'!Tnet-t)/('2021'!Tau_j))),Resal+(Salim-Resal)*(1-EXP((Tnet-t)/(Tau_j))))*Salcycl</f>
        <v>3.8229191934887004E-2</v>
      </c>
      <c r="P158" s="339">
        <f>(INDEX(Models!$BJ158:$BT158,,T158)*(1-R158)+INDEX(Models!$BJ158:$BT158,,T158+1)*R158-ERP_i)*Q158*Ramure*Pc/MaxiM</f>
        <v>1.6237147043852778E-4</v>
      </c>
      <c r="Q158" s="305">
        <f t="shared" si="53"/>
        <v>0.5</v>
      </c>
      <c r="R158" s="177">
        <f t="shared" si="54"/>
        <v>0.16303702733470529</v>
      </c>
      <c r="S158" s="811">
        <f t="shared" si="55"/>
        <v>0</v>
      </c>
      <c r="T158" s="176">
        <f t="shared" si="56"/>
        <v>6</v>
      </c>
      <c r="U158" s="251">
        <f t="shared" si="57"/>
        <v>0.16303702733470529</v>
      </c>
      <c r="V158" s="383">
        <f t="shared" si="58"/>
        <v>59.28869619981085</v>
      </c>
      <c r="W158" s="402">
        <f t="shared" si="59"/>
        <v>0</v>
      </c>
      <c r="X158" s="157">
        <f t="shared" si="60"/>
        <v>44705</v>
      </c>
      <c r="Y158" s="385">
        <f t="shared" si="61"/>
        <v>16.321557274060808</v>
      </c>
      <c r="Z158" s="385">
        <f t="shared" si="62"/>
        <v>16.846757820890286</v>
      </c>
      <c r="AA158" s="386">
        <f t="shared" si="63"/>
        <v>18.175819170697661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7.3122500687618858E-2</v>
      </c>
      <c r="AD158" s="231">
        <f>(INDEX(Models!$BJ158:$BT158,,AH158)*(1-AF158)+INDEX(Models!$BJ158:$BT158,,AH158+1)*AF158-ERP_i)*AE158*Ramure*Pc/MaxiM</f>
        <v>1.6237147043852778E-4</v>
      </c>
      <c r="AE158" s="305">
        <f t="shared" si="65"/>
        <v>0.5</v>
      </c>
      <c r="AF158" s="177">
        <f t="shared" si="66"/>
        <v>0.16303702733470529</v>
      </c>
      <c r="AG158" s="811">
        <f t="shared" si="74"/>
        <v>0</v>
      </c>
      <c r="AH158" s="176">
        <f t="shared" si="67"/>
        <v>6</v>
      </c>
      <c r="AI158" s="225">
        <f t="shared" si="68"/>
        <v>0.16303702733470529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40">
        <v>39.722000000000001</v>
      </c>
      <c r="C159" s="841"/>
      <c r="D159" s="393">
        <f t="shared" si="50"/>
        <v>41.001085874128755</v>
      </c>
      <c r="E159" s="385">
        <f t="shared" si="72"/>
        <v>42.635926433635824</v>
      </c>
      <c r="F159" s="385">
        <f t="shared" si="51"/>
        <v>42.639483469853708</v>
      </c>
      <c r="G159" s="110">
        <f t="shared" si="73"/>
        <v>0.66972708805684045</v>
      </c>
      <c r="H159" s="414" t="b">
        <f>Wh_hp&gt;='2021'!Maxi_hp</f>
        <v>0</v>
      </c>
      <c r="I159" s="380">
        <f>IF(H159,Wh_hp,'2021'!Maxi_hp)</f>
        <v>59.691953884707942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3.1196390214041636E-2</v>
      </c>
      <c r="M159" s="845"/>
      <c r="N159" s="845"/>
      <c r="O159" s="48">
        <f>IF(t&lt;Tnet,'2021'!Resal+('2021'!Salim-'2021'!Resal)*(1-EXP(('2021'!Tnet-t)/('2021'!Tau_j))),Resal+(Salim-Resal)*(1-EXP((Tnet-t)/(Tau_j))))*Salcycl</f>
        <v>3.8344201621882269E-2</v>
      </c>
      <c r="P159" s="339">
        <f>(INDEX(Models!$BJ159:$BT159,,T159)*(1-R159)+INDEX(Models!$BJ159:$BT159,,T159+1)*R159-ERP_i)*Q159*Ramure*Pc/MaxiM</f>
        <v>1.5791904544050074E-4</v>
      </c>
      <c r="Q159" s="305">
        <f t="shared" si="53"/>
        <v>0.5</v>
      </c>
      <c r="R159" s="177">
        <f t="shared" si="54"/>
        <v>0.16763379275242238</v>
      </c>
      <c r="S159" s="811">
        <f t="shared" si="55"/>
        <v>0</v>
      </c>
      <c r="T159" s="176">
        <f t="shared" si="56"/>
        <v>6</v>
      </c>
      <c r="U159" s="251">
        <f t="shared" si="57"/>
        <v>0.16763379275242238</v>
      </c>
      <c r="V159" s="383">
        <f t="shared" si="58"/>
        <v>59.306307386085841</v>
      </c>
      <c r="W159" s="402">
        <f t="shared" si="59"/>
        <v>0</v>
      </c>
      <c r="X159" s="157">
        <f t="shared" si="60"/>
        <v>44706</v>
      </c>
      <c r="Y159" s="385">
        <f t="shared" si="61"/>
        <v>38.281667934210354</v>
      </c>
      <c r="Z159" s="385">
        <f t="shared" si="62"/>
        <v>39.514373756997124</v>
      </c>
      <c r="AA159" s="386">
        <f t="shared" si="63"/>
        <v>42.635926433635824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7.3214139758344302E-2</v>
      </c>
      <c r="AD159" s="231">
        <f>(INDEX(Models!$BJ159:$BT159,,AH159)*(1-AF159)+INDEX(Models!$BJ159:$BT159,,AH159+1)*AF159-ERP_i)*AE159*Ramure*Pc/MaxiM</f>
        <v>1.5791904544050074E-4</v>
      </c>
      <c r="AE159" s="305">
        <f t="shared" si="65"/>
        <v>0.5</v>
      </c>
      <c r="AF159" s="177">
        <f t="shared" si="66"/>
        <v>0.16763379275242238</v>
      </c>
      <c r="AG159" s="811">
        <f t="shared" si="74"/>
        <v>0</v>
      </c>
      <c r="AH159" s="176">
        <f t="shared" si="67"/>
        <v>6</v>
      </c>
      <c r="AI159" s="225">
        <f t="shared" si="68"/>
        <v>0.16763379275242238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40">
        <v>24.085000000000001</v>
      </c>
      <c r="C160" s="841"/>
      <c r="D160" s="393">
        <f t="shared" si="50"/>
        <v>24.861104244015156</v>
      </c>
      <c r="E160" s="385">
        <f t="shared" si="72"/>
        <v>25.855485640740579</v>
      </c>
      <c r="F160" s="385">
        <f t="shared" si="51"/>
        <v>25.856082892985892</v>
      </c>
      <c r="G160" s="110">
        <f t="shared" si="73"/>
        <v>0.40595857327383739</v>
      </c>
      <c r="H160" s="414" t="b">
        <f>Wh_hp&gt;='2021'!Maxi_hp</f>
        <v>0</v>
      </c>
      <c r="I160" s="380">
        <f>IF(H160,Wh_hp,'2021'!Maxi_hp)</f>
        <v>61.991403277896538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3.1217609499464949E-2</v>
      </c>
      <c r="M160" s="845"/>
      <c r="N160" s="845"/>
      <c r="O160" s="48">
        <f>IF(t&lt;Tnet,'2021'!Resal+('2021'!Salim-'2021'!Resal)*(1-EXP(('2021'!Tnet-t)/('2021'!Tau_j))),Resal+(Salim-Resal)*(1-EXP((Tnet-t)/(Tau_j))))*Salcycl</f>
        <v>3.845920399803171E-2</v>
      </c>
      <c r="P160" s="339">
        <f>(INDEX(Models!$BJ160:$BT160,,T160)*(1-R160)+INDEX(Models!$BJ160:$BT160,,T160+1)*R160-ERP_i)*Q160*Ramure*Pc/MaxiM</f>
        <v>1.5252522168129087E-4</v>
      </c>
      <c r="Q160" s="305">
        <f t="shared" si="53"/>
        <v>0.5</v>
      </c>
      <c r="R160" s="177">
        <f t="shared" si="54"/>
        <v>0.1722909050932547</v>
      </c>
      <c r="S160" s="811">
        <f t="shared" si="55"/>
        <v>0</v>
      </c>
      <c r="T160" s="176">
        <f t="shared" si="56"/>
        <v>6</v>
      </c>
      <c r="U160" s="251">
        <f t="shared" si="57"/>
        <v>0.1722909050932547</v>
      </c>
      <c r="V160" s="383">
        <f t="shared" si="58"/>
        <v>59.321034916557991</v>
      </c>
      <c r="W160" s="402">
        <f t="shared" si="59"/>
        <v>0</v>
      </c>
      <c r="X160" s="157">
        <f t="shared" si="60"/>
        <v>44707</v>
      </c>
      <c r="Y160" s="385">
        <f t="shared" si="61"/>
        <v>23.212151617134481</v>
      </c>
      <c r="Z160" s="385">
        <f t="shared" si="62"/>
        <v>23.960129586110249</v>
      </c>
      <c r="AA160" s="386">
        <f t="shared" si="63"/>
        <v>25.855485640740579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7.33057611435389E-2</v>
      </c>
      <c r="AD160" s="231">
        <f>(INDEX(Models!$BJ160:$BT160,,AH160)*(1-AF160)+INDEX(Models!$BJ160:$BT160,,AH160+1)*AF160-ERP_i)*AE160*Ramure*Pc/MaxiM</f>
        <v>1.5252522168129087E-4</v>
      </c>
      <c r="AE160" s="305">
        <f t="shared" si="65"/>
        <v>0.5</v>
      </c>
      <c r="AF160" s="177">
        <f t="shared" si="66"/>
        <v>0.1722909050932547</v>
      </c>
      <c r="AG160" s="811">
        <f t="shared" si="74"/>
        <v>0</v>
      </c>
      <c r="AH160" s="176">
        <f t="shared" si="67"/>
        <v>6</v>
      </c>
      <c r="AI160" s="225">
        <f t="shared" si="68"/>
        <v>0.1722909050932547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40">
        <v>44.800000000000004</v>
      </c>
      <c r="C161" s="841"/>
      <c r="D161" s="393">
        <f t="shared" si="50"/>
        <v>46.244627994653321</v>
      </c>
      <c r="E161" s="385">
        <f t="shared" si="72"/>
        <v>48.100047212429899</v>
      </c>
      <c r="F161" s="385">
        <f t="shared" si="51"/>
        <v>48.104617958098387</v>
      </c>
      <c r="G161" s="110">
        <f t="shared" si="73"/>
        <v>0.75502073545350379</v>
      </c>
      <c r="H161" s="414" t="b">
        <f>Wh_hp&gt;='2021'!Maxi_hp</f>
        <v>0</v>
      </c>
      <c r="I161" s="380">
        <f>IF(H161,Wh_hp,'2021'!Maxi_hp)</f>
        <v>62.096546618278133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3.1238828320131362E-2</v>
      </c>
      <c r="M161" s="845"/>
      <c r="N161" s="845"/>
      <c r="O161" s="48">
        <f>IF(t&lt;Tnet,'2021'!Resal+('2021'!Salim-'2021'!Resal)*(1-EXP(('2021'!Tnet-t)/('2021'!Tau_j))),Resal+(Salim-Resal)*(1-EXP((Tnet-t)/(Tau_j))))*Salcycl</f>
        <v>3.8574166249406724E-2</v>
      </c>
      <c r="P161" s="339">
        <f>(INDEX(Models!$BJ161:$BT161,,T161)*(1-R161)+INDEX(Models!$BJ161:$BT161,,T161+1)*R161-ERP_i)*Q161*Ramure*Pc/MaxiM</f>
        <v>1.4616058712057966E-4</v>
      </c>
      <c r="Q161" s="305">
        <f t="shared" si="53"/>
        <v>0.5</v>
      </c>
      <c r="R161" s="177">
        <f t="shared" si="54"/>
        <v>0.17700555248423055</v>
      </c>
      <c r="S161" s="811">
        <f t="shared" si="55"/>
        <v>0</v>
      </c>
      <c r="T161" s="176">
        <f t="shared" si="56"/>
        <v>6</v>
      </c>
      <c r="U161" s="251">
        <f t="shared" si="57"/>
        <v>0.17700555248423055</v>
      </c>
      <c r="V161" s="383">
        <f t="shared" si="58"/>
        <v>59.333083763042644</v>
      </c>
      <c r="W161" s="402">
        <f t="shared" si="59"/>
        <v>0</v>
      </c>
      <c r="X161" s="157">
        <f t="shared" si="60"/>
        <v>44708</v>
      </c>
      <c r="Y161" s="385">
        <f t="shared" si="61"/>
        <v>43.17733036168525</v>
      </c>
      <c r="Z161" s="385">
        <f t="shared" si="62"/>
        <v>44.569633490588934</v>
      </c>
      <c r="AA161" s="386">
        <f t="shared" si="63"/>
        <v>48.100047212429899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7.3397302631516781E-2</v>
      </c>
      <c r="AD161" s="231">
        <f>(INDEX(Models!$BJ161:$BT161,,AH161)*(1-AF161)+INDEX(Models!$BJ161:$BT161,,AH161+1)*AF161-ERP_i)*AE161*Ramure*Pc/MaxiM</f>
        <v>1.4616058712057966E-4</v>
      </c>
      <c r="AE161" s="305">
        <f t="shared" si="65"/>
        <v>0.5</v>
      </c>
      <c r="AF161" s="177">
        <f t="shared" si="66"/>
        <v>0.17700555248423055</v>
      </c>
      <c r="AG161" s="811">
        <f t="shared" si="74"/>
        <v>0</v>
      </c>
      <c r="AH161" s="176">
        <f t="shared" si="67"/>
        <v>6</v>
      </c>
      <c r="AI161" s="225">
        <f t="shared" si="68"/>
        <v>0.17700555248423055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40">
        <v>53.978999999999999</v>
      </c>
      <c r="C162" s="841"/>
      <c r="D162" s="393">
        <f t="shared" si="50"/>
        <v>55.720835932064936</v>
      </c>
      <c r="E162" s="385">
        <f t="shared" si="72"/>
        <v>57.963384503502297</v>
      </c>
      <c r="F162" s="385">
        <f t="shared" si="51"/>
        <v>57.970391620165543</v>
      </c>
      <c r="G162" s="110">
        <f t="shared" si="73"/>
        <v>0.90959915803677682</v>
      </c>
      <c r="H162" s="414" t="b">
        <f>Wh_hp&gt;='2021'!Maxi_hp</f>
        <v>0</v>
      </c>
      <c r="I162" s="380">
        <f>IF(H162,Wh_hp,'2021'!Maxi_hp)</f>
        <v>61.293375317013549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3.126004667605109E-2</v>
      </c>
      <c r="M162" s="845"/>
      <c r="N162" s="845"/>
      <c r="O162" s="48">
        <f>IF(t&lt;Tnet,'2021'!Resal+('2021'!Salim-'2021'!Resal)*(1-EXP(('2021'!Tnet-t)/('2021'!Tau_j))),Resal+(Salim-Resal)*(1-EXP((Tnet-t)/(Tau_j))))*Salcycl</f>
        <v>3.8689055006818254E-2</v>
      </c>
      <c r="P162" s="339">
        <f>(INDEX(Models!$BJ162:$BT162,,T162)*(1-R162)+INDEX(Models!$BJ162:$BT162,,T162+1)*R162-ERP_i)*Q162*Ramure*Pc/MaxiM</f>
        <v>1.387954344329188E-4</v>
      </c>
      <c r="Q162" s="305">
        <f t="shared" si="53"/>
        <v>0.5</v>
      </c>
      <c r="R162" s="177">
        <f t="shared" si="54"/>
        <v>0.18177475486577294</v>
      </c>
      <c r="S162" s="811">
        <f t="shared" si="55"/>
        <v>0</v>
      </c>
      <c r="T162" s="176">
        <f t="shared" si="56"/>
        <v>6</v>
      </c>
      <c r="U162" s="251">
        <f t="shared" si="57"/>
        <v>0.18177475486577294</v>
      </c>
      <c r="V162" s="383">
        <f t="shared" si="58"/>
        <v>59.342658827599372</v>
      </c>
      <c r="W162" s="402">
        <f t="shared" si="59"/>
        <v>0</v>
      </c>
      <c r="X162" s="157">
        <f t="shared" si="60"/>
        <v>44709</v>
      </c>
      <c r="Y162" s="385">
        <f t="shared" si="61"/>
        <v>52.024949521723272</v>
      </c>
      <c r="Z162" s="385">
        <f t="shared" si="62"/>
        <v>53.7037306484726</v>
      </c>
      <c r="AA162" s="386">
        <f t="shared" si="63"/>
        <v>57.963384503502297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7.3488701384790855E-2</v>
      </c>
      <c r="AD162" s="231">
        <f>(INDEX(Models!$BJ162:$BT162,,AH162)*(1-AF162)+INDEX(Models!$BJ162:$BT162,,AH162+1)*AF162-ERP_i)*AE162*Ramure*Pc/MaxiM</f>
        <v>1.387954344329188E-4</v>
      </c>
      <c r="AE162" s="305">
        <f t="shared" si="65"/>
        <v>0.5</v>
      </c>
      <c r="AF162" s="177">
        <f t="shared" si="66"/>
        <v>0.18177475486577294</v>
      </c>
      <c r="AG162" s="811">
        <f t="shared" si="74"/>
        <v>0</v>
      </c>
      <c r="AH162" s="176">
        <f t="shared" si="67"/>
        <v>6</v>
      </c>
      <c r="AI162" s="225">
        <f t="shared" si="68"/>
        <v>0.18177475486577294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40">
        <v>58.178000000000004</v>
      </c>
      <c r="C163" s="841"/>
      <c r="D163" s="393">
        <f t="shared" si="50"/>
        <v>60.056647891722207</v>
      </c>
      <c r="E163" s="385">
        <f t="shared" si="72"/>
        <v>62.481156468947212</v>
      </c>
      <c r="F163" s="385">
        <f t="shared" si="51"/>
        <v>62.489075261508759</v>
      </c>
      <c r="G163" s="110">
        <f t="shared" si="73"/>
        <v>0.9802543898524898</v>
      </c>
      <c r="H163" s="414" t="b">
        <f>Wh_hp&gt;='2021'!Maxi_hp</f>
        <v>1</v>
      </c>
      <c r="I163" s="380">
        <f>IF(H163,Wh_hp,'2021'!Maxi_hp)</f>
        <v>62.489075261508759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3.1281264567234457E-2</v>
      </c>
      <c r="M163" s="845"/>
      <c r="N163" s="845"/>
      <c r="O163" s="48">
        <f>IF(t&lt;Tnet,'2021'!Resal+('2021'!Salim-'2021'!Resal)*(1-EXP(('2021'!Tnet-t)/('2021'!Tau_j))),Resal+(Salim-Resal)*(1-EXP((Tnet-t)/(Tau_j))))*Salcycl</f>
        <v>3.8803836456355802E-2</v>
      </c>
      <c r="P163" s="339">
        <f>(INDEX(Models!$BJ163:$BT163,,T163)*(1-R163)+INDEX(Models!$BJ163:$BT163,,T163+1)*R163-ERP_i)*Q163*Ramure*Pc/MaxiM</f>
        <v>1.3040049911554392E-4</v>
      </c>
      <c r="Q163" s="305">
        <f t="shared" si="53"/>
        <v>0.5</v>
      </c>
      <c r="R163" s="177">
        <f t="shared" si="54"/>
        <v>0.18659536969699492</v>
      </c>
      <c r="S163" s="811">
        <f t="shared" si="55"/>
        <v>0</v>
      </c>
      <c r="T163" s="176">
        <f t="shared" si="56"/>
        <v>6</v>
      </c>
      <c r="U163" s="251">
        <f t="shared" si="57"/>
        <v>0.18659536969699492</v>
      </c>
      <c r="V163" s="383">
        <f t="shared" si="58"/>
        <v>59.349681690583722</v>
      </c>
      <c r="W163" s="402">
        <f t="shared" si="59"/>
        <v>0</v>
      </c>
      <c r="X163" s="157">
        <f t="shared" si="60"/>
        <v>44710</v>
      </c>
      <c r="Y163" s="385">
        <f t="shared" si="61"/>
        <v>56.073121140327032</v>
      </c>
      <c r="Z163" s="385">
        <f t="shared" si="62"/>
        <v>57.883799589441118</v>
      </c>
      <c r="AA163" s="386">
        <f t="shared" si="63"/>
        <v>62.481156468947212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7.3579894152422665E-2</v>
      </c>
      <c r="AD163" s="231">
        <f>(INDEX(Models!$BJ163:$BT163,,AH163)*(1-AF163)+INDEX(Models!$BJ163:$BT163,,AH163+1)*AF163-ERP_i)*AE163*Ramure*Pc/MaxiM</f>
        <v>1.3040049911554392E-4</v>
      </c>
      <c r="AE163" s="305">
        <f t="shared" si="65"/>
        <v>0.5</v>
      </c>
      <c r="AF163" s="177">
        <f t="shared" si="66"/>
        <v>0.18659536969699492</v>
      </c>
      <c r="AG163" s="811">
        <f t="shared" si="74"/>
        <v>0</v>
      </c>
      <c r="AH163" s="176">
        <f t="shared" si="67"/>
        <v>6</v>
      </c>
      <c r="AI163" s="225">
        <f t="shared" si="68"/>
        <v>0.18659536969699492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40">
        <v>49.542000000000002</v>
      </c>
      <c r="C164" s="841"/>
      <c r="D164" s="393">
        <f t="shared" si="50"/>
        <v>51.142899696866337</v>
      </c>
      <c r="E164" s="385">
        <f t="shared" si="72"/>
        <v>53.213903757326541</v>
      </c>
      <c r="F164" s="385">
        <f t="shared" si="51"/>
        <v>53.218842781125197</v>
      </c>
      <c r="G164" s="110">
        <f t="shared" si="73"/>
        <v>0.83466507420995073</v>
      </c>
      <c r="H164" s="414" t="b">
        <f>Wh_hp&gt;='2021'!Maxi_hp</f>
        <v>0</v>
      </c>
      <c r="I164" s="380">
        <f>IF(H164,Wh_hp,'2021'!Maxi_hp)</f>
        <v>57.223999787813696</v>
      </c>
      <c r="J164" s="85">
        <f>IF(H164,An,'2021'!An_max)</f>
        <v>2019</v>
      </c>
      <c r="K164" s="197">
        <f t="shared" si="52"/>
        <v>44711</v>
      </c>
      <c r="L164" s="147">
        <f>IF(t&lt;Tvie,1-EXP((T0-t)*PertePVj)+'2021'!Pspv,1-EXP((T0-t)*PertePVj)+Pspv)</f>
        <v>3.1302481993691567E-2</v>
      </c>
      <c r="M164" s="845"/>
      <c r="N164" s="845"/>
      <c r="O164" s="48">
        <f>IF(t&lt;Tnet,'2021'!Resal+('2021'!Salim-'2021'!Resal)*(1-EXP(('2021'!Tnet-t)/('2021'!Tau_j))),Resal+(Salim-Resal)*(1-EXP((Tnet-t)/(Tau_j))))*Salcycl</f>
        <v>3.8918476455038646E-2</v>
      </c>
      <c r="P164" s="339">
        <f>(INDEX(Models!$BJ164:$BT164,,T164)*(1-R164)+INDEX(Models!$BJ164:$BT164,,T164+1)*R164-ERP_i)*Q164*Ramure*Pc/MaxiM</f>
        <v>1.2149893221977004E-4</v>
      </c>
      <c r="Q164" s="305">
        <f t="shared" si="53"/>
        <v>0.5</v>
      </c>
      <c r="R164" s="177">
        <f t="shared" si="54"/>
        <v>0.19146409863708247</v>
      </c>
      <c r="S164" s="811">
        <f t="shared" si="55"/>
        <v>0</v>
      </c>
      <c r="T164" s="176">
        <f t="shared" si="56"/>
        <v>6</v>
      </c>
      <c r="U164" s="251">
        <f t="shared" si="57"/>
        <v>0.19146409863708247</v>
      </c>
      <c r="V164" s="383">
        <f t="shared" si="58"/>
        <v>59.353841306787857</v>
      </c>
      <c r="W164" s="402">
        <f t="shared" si="59"/>
        <v>0</v>
      </c>
      <c r="X164" s="157">
        <f t="shared" si="60"/>
        <v>44711</v>
      </c>
      <c r="Y164" s="385">
        <f t="shared" si="61"/>
        <v>47.750580190787787</v>
      </c>
      <c r="Z164" s="385">
        <f t="shared" si="62"/>
        <v>49.29359196569844</v>
      </c>
      <c r="AA164" s="386">
        <f t="shared" si="63"/>
        <v>53.213903757326541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7.3670817489843471E-2</v>
      </c>
      <c r="AD164" s="231">
        <f>(INDEX(Models!$BJ164:$BT164,,AH164)*(1-AF164)+INDEX(Models!$BJ164:$BT164,,AH164+1)*AF164-ERP_i)*AE164*Ramure*Pc/MaxiM</f>
        <v>1.2149893221977004E-4</v>
      </c>
      <c r="AE164" s="305">
        <f t="shared" si="65"/>
        <v>0.5</v>
      </c>
      <c r="AF164" s="177">
        <f t="shared" si="66"/>
        <v>0.19146409863708247</v>
      </c>
      <c r="AG164" s="811">
        <f t="shared" si="74"/>
        <v>0</v>
      </c>
      <c r="AH164" s="176">
        <f t="shared" si="67"/>
        <v>6</v>
      </c>
      <c r="AI164" s="225">
        <f t="shared" si="68"/>
        <v>0.19146409863708247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40">
        <v>52.612000000000002</v>
      </c>
      <c r="C165" s="841"/>
      <c r="D165" s="393">
        <f t="shared" si="50"/>
        <v>54.313293246945449</v>
      </c>
      <c r="E165" s="385">
        <f t="shared" si="72"/>
        <v>56.519412105278562</v>
      </c>
      <c r="F165" s="385">
        <f t="shared" si="51"/>
        <v>56.524770035153352</v>
      </c>
      <c r="G165" s="110">
        <f t="shared" si="73"/>
        <v>0.88637946709299797</v>
      </c>
      <c r="H165" s="414" t="b">
        <f>Wh_hp&gt;='2021'!Maxi_hp</f>
        <v>0</v>
      </c>
      <c r="I165" s="380">
        <f>IF(H165,Wh_hp,'2021'!Maxi_hp)</f>
        <v>63.126585406149495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3.1323698955432522E-2</v>
      </c>
      <c r="M165" s="845"/>
      <c r="N165" s="845"/>
      <c r="O165" s="48">
        <f>IF(t&lt;Tnet,'2021'!Resal+('2021'!Salim-'2021'!Resal)*(1-EXP(('2021'!Tnet-t)/('2021'!Tau_j))),Resal+(Salim-Resal)*(1-EXP((Tnet-t)/(Tau_j))))*Salcycl</f>
        <v>3.9032940650971015E-2</v>
      </c>
      <c r="P165" s="339">
        <f>(INDEX(Models!$BJ165:$BT165,,T165)*(1-R165)+INDEX(Models!$BJ165:$BT165,,T165+1)*R165-ERP_i)*Q165*Ramure*Pc/MaxiM</f>
        <v>1.1315283770025795E-4</v>
      </c>
      <c r="Q165" s="305">
        <f t="shared" si="53"/>
        <v>0.5</v>
      </c>
      <c r="R165" s="177">
        <f t="shared" si="54"/>
        <v>0.19637749518670913</v>
      </c>
      <c r="S165" s="811">
        <f t="shared" si="55"/>
        <v>0</v>
      </c>
      <c r="T165" s="176">
        <f t="shared" si="56"/>
        <v>6</v>
      </c>
      <c r="U165" s="251">
        <f t="shared" si="57"/>
        <v>0.19637749518670913</v>
      </c>
      <c r="V165" s="383">
        <f t="shared" si="58"/>
        <v>59.354977982438605</v>
      </c>
      <c r="W165" s="402">
        <f t="shared" si="59"/>
        <v>0</v>
      </c>
      <c r="X165" s="157">
        <f t="shared" si="60"/>
        <v>44712</v>
      </c>
      <c r="Y165" s="385">
        <f t="shared" si="61"/>
        <v>50.710650619083822</v>
      </c>
      <c r="Z165" s="385">
        <f t="shared" si="62"/>
        <v>52.350460689912858</v>
      </c>
      <c r="AA165" s="386">
        <f t="shared" si="63"/>
        <v>56.519412105278562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7.3761407984927613E-2</v>
      </c>
      <c r="AD165" s="231">
        <f>(INDEX(Models!$BJ165:$BT165,,AH165)*(1-AF165)+INDEX(Models!$BJ165:$BT165,,AH165+1)*AF165-ERP_i)*AE165*Ramure*Pc/MaxiM</f>
        <v>1.1315283770025795E-4</v>
      </c>
      <c r="AE165" s="305">
        <f t="shared" si="65"/>
        <v>0.5</v>
      </c>
      <c r="AF165" s="177">
        <f t="shared" si="66"/>
        <v>0.19637749518670913</v>
      </c>
      <c r="AG165" s="811">
        <f t="shared" si="74"/>
        <v>0</v>
      </c>
      <c r="AH165" s="176">
        <f t="shared" si="67"/>
        <v>6</v>
      </c>
      <c r="AI165" s="225">
        <f t="shared" si="68"/>
        <v>0.19637749518670913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40">
        <v>54.963999999999999</v>
      </c>
      <c r="C166" s="841"/>
      <c r="D166" s="393">
        <f t="shared" si="50"/>
        <v>56.742591740665027</v>
      </c>
      <c r="E166" s="385">
        <f t="shared" si="72"/>
        <v>59.05440606740666</v>
      </c>
      <c r="F166" s="385">
        <f t="shared" si="51"/>
        <v>59.059972187934818</v>
      </c>
      <c r="G166" s="110">
        <f t="shared" si="73"/>
        <v>0.92604238069072975</v>
      </c>
      <c r="H166" s="414" t="b">
        <f>Wh_hp&gt;='2021'!Maxi_hp</f>
        <v>0</v>
      </c>
      <c r="I166" s="380">
        <f>IF(H166,Wh_hp,'2021'!Maxi_hp)</f>
        <v>64.729267905613341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3.1344915452467537E-2</v>
      </c>
      <c r="M166" s="845"/>
      <c r="N166" s="845"/>
      <c r="O166" s="48">
        <f>IF(t&lt;Tnet,'2021'!Resal+('2021'!Salim-'2021'!Resal)*(1-EXP(('2021'!Tnet-t)/('2021'!Tau_j))),Resal+(Salim-Resal)*(1-EXP((Tnet-t)/(Tau_j))))*Salcycl</f>
        <v>3.9147194607339689E-2</v>
      </c>
      <c r="P166" s="339">
        <f>(INDEX(Models!$BJ166:$BT166,,T166)*(1-R166)+INDEX(Models!$BJ166:$BT166,,T166+1)*R166-ERP_i)*Q166*Ramure*Pc/MaxiM</f>
        <v>1.0537716779262461E-4</v>
      </c>
      <c r="Q166" s="305">
        <f t="shared" si="53"/>
        <v>0.5</v>
      </c>
      <c r="R166" s="177">
        <f t="shared" si="54"/>
        <v>0.20133197326379149</v>
      </c>
      <c r="S166" s="811">
        <f t="shared" si="55"/>
        <v>0</v>
      </c>
      <c r="T166" s="176">
        <f t="shared" si="56"/>
        <v>6</v>
      </c>
      <c r="U166" s="251">
        <f t="shared" si="57"/>
        <v>0.20133197326379149</v>
      </c>
      <c r="V166" s="383">
        <f t="shared" si="58"/>
        <v>59.352994239182863</v>
      </c>
      <c r="W166" s="402">
        <f t="shared" si="59"/>
        <v>0</v>
      </c>
      <c r="X166" s="157">
        <f t="shared" si="60"/>
        <v>44713</v>
      </c>
      <c r="Y166" s="385">
        <f t="shared" si="61"/>
        <v>52.978791585034848</v>
      </c>
      <c r="Z166" s="385">
        <f t="shared" si="62"/>
        <v>54.69314354529169</v>
      </c>
      <c r="AA166" s="386">
        <f t="shared" si="63"/>
        <v>59.05440606740666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7.3851602489014637E-2</v>
      </c>
      <c r="AD166" s="231">
        <f>(INDEX(Models!$BJ166:$BT166,,AH166)*(1-AF166)+INDEX(Models!$BJ166:$BT166,,AH166+1)*AF166-ERP_i)*AE166*Ramure*Pc/MaxiM</f>
        <v>1.0537716779262461E-4</v>
      </c>
      <c r="AE166" s="305">
        <f t="shared" si="65"/>
        <v>0.5</v>
      </c>
      <c r="AF166" s="177">
        <f t="shared" si="66"/>
        <v>0.20133197326379149</v>
      </c>
      <c r="AG166" s="811">
        <f t="shared" si="74"/>
        <v>0</v>
      </c>
      <c r="AH166" s="176">
        <f t="shared" si="67"/>
        <v>6</v>
      </c>
      <c r="AI166" s="225">
        <f t="shared" si="68"/>
        <v>0.20133197326379149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40">
        <v>44.152999999999999</v>
      </c>
      <c r="C167" s="841"/>
      <c r="D167" s="393">
        <f t="shared" si="50"/>
        <v>45.58275467662677</v>
      </c>
      <c r="E167" s="385">
        <f t="shared" si="72"/>
        <v>47.445523031927046</v>
      </c>
      <c r="F167" s="385">
        <f t="shared" si="51"/>
        <v>47.448477865655967</v>
      </c>
      <c r="G167" s="110">
        <f t="shared" si="73"/>
        <v>0.74394366308750337</v>
      </c>
      <c r="H167" s="414" t="b">
        <f>Wh_hp&gt;='2021'!Maxi_hp</f>
        <v>0</v>
      </c>
      <c r="I167" s="380">
        <f>IF(H167,Wh_hp,'2021'!Maxi_hp)</f>
        <v>63.739845271535835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3.1366131484806936E-2</v>
      </c>
      <c r="M167" s="845"/>
      <c r="N167" s="845"/>
      <c r="O167" s="48">
        <f>IF(t&lt;Tnet,'2021'!Resal+('2021'!Salim-'2021'!Resal)*(1-EXP(('2021'!Tnet-t)/('2021'!Tau_j))),Resal+(Salim-Resal)*(1-EXP((Tnet-t)/(Tau_j))))*Salcycl</f>
        <v>3.9261203929542104E-2</v>
      </c>
      <c r="P167" s="339">
        <f>(INDEX(Models!$BJ167:$BT167,,T167)*(1-R167)+INDEX(Models!$BJ167:$BT167,,T167+1)*R167-ERP_i)*Q167*Ramure*Pc/MaxiM</f>
        <v>9.8187183760857619E-5</v>
      </c>
      <c r="Q167" s="305">
        <f t="shared" si="53"/>
        <v>0.5</v>
      </c>
      <c r="R167" s="177">
        <f t="shared" si="54"/>
        <v>0.20632381667820404</v>
      </c>
      <c r="S167" s="811">
        <f t="shared" si="55"/>
        <v>0</v>
      </c>
      <c r="T167" s="176">
        <f t="shared" si="56"/>
        <v>6</v>
      </c>
      <c r="U167" s="251">
        <f t="shared" si="57"/>
        <v>0.20632381667820404</v>
      </c>
      <c r="V167" s="383">
        <f t="shared" si="58"/>
        <v>59.347792638675081</v>
      </c>
      <c r="W167" s="402">
        <f t="shared" si="59"/>
        <v>0</v>
      </c>
      <c r="X167" s="157">
        <f t="shared" si="60"/>
        <v>44714</v>
      </c>
      <c r="Y167" s="385">
        <f t="shared" si="61"/>
        <v>42.559193253155108</v>
      </c>
      <c r="Z167" s="385">
        <f t="shared" si="62"/>
        <v>43.937337560159413</v>
      </c>
      <c r="AA167" s="386">
        <f t="shared" si="63"/>
        <v>47.445523031927046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7.3941338351500671E-2</v>
      </c>
      <c r="AD167" s="231">
        <f>(INDEX(Models!$BJ167:$BT167,,AH167)*(1-AF167)+INDEX(Models!$BJ167:$BT167,,AH167+1)*AF167-ERP_i)*AE167*Ramure*Pc/MaxiM</f>
        <v>9.8187183760857619E-5</v>
      </c>
      <c r="AE167" s="305">
        <f t="shared" si="65"/>
        <v>0.5</v>
      </c>
      <c r="AF167" s="177">
        <f t="shared" si="66"/>
        <v>0.20632381667820404</v>
      </c>
      <c r="AG167" s="811">
        <f t="shared" si="74"/>
        <v>0</v>
      </c>
      <c r="AH167" s="176">
        <f t="shared" si="67"/>
        <v>6</v>
      </c>
      <c r="AI167" s="225">
        <f t="shared" si="68"/>
        <v>0.20632381667820404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40">
        <v>53.808</v>
      </c>
      <c r="C168" s="841"/>
      <c r="D168" s="393">
        <f t="shared" si="50"/>
        <v>55.551617910688471</v>
      </c>
      <c r="E168" s="385">
        <f t="shared" si="72"/>
        <v>57.828615866570338</v>
      </c>
      <c r="F168" s="385">
        <f t="shared" si="51"/>
        <v>57.833207872898761</v>
      </c>
      <c r="G168" s="110">
        <f t="shared" si="73"/>
        <v>0.90677452528122449</v>
      </c>
      <c r="H168" s="414" t="b">
        <f>Wh_hp&gt;='2021'!Maxi_hp</f>
        <v>1</v>
      </c>
      <c r="I168" s="380">
        <f>IF(H168,Wh_hp,'2021'!Maxi_hp)</f>
        <v>57.833207872898761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3.1387347052460712E-2</v>
      </c>
      <c r="M168" s="845"/>
      <c r="N168" s="845"/>
      <c r="O168" s="48">
        <f>IF(t&lt;Tnet,'2021'!Resal+('2021'!Salim-'2021'!Resal)*(1-EXP(('2021'!Tnet-t)/('2021'!Tau_j))),Resal+(Salim-Resal)*(1-EXP((Tnet-t)/(Tau_j))))*Salcycl</f>
        <v>3.9374934394688865E-2</v>
      </c>
      <c r="P168" s="339">
        <f>(INDEX(Models!$BJ168:$BT168,,T168)*(1-R168)+INDEX(Models!$BJ168:$BT168,,T168+1)*R168-ERP_i)*Q168*Ramure*Pc/MaxiM</f>
        <v>9.1598419350554525E-5</v>
      </c>
      <c r="Q168" s="305">
        <f t="shared" si="53"/>
        <v>0.5</v>
      </c>
      <c r="R168" s="177">
        <f t="shared" si="54"/>
        <v>0.21134918946047596</v>
      </c>
      <c r="S168" s="811">
        <f t="shared" si="55"/>
        <v>0</v>
      </c>
      <c r="T168" s="176">
        <f t="shared" si="56"/>
        <v>6</v>
      </c>
      <c r="U168" s="251">
        <f t="shared" si="57"/>
        <v>0.21134918946047596</v>
      </c>
      <c r="V168" s="383">
        <f t="shared" si="58"/>
        <v>59.339275775106742</v>
      </c>
      <c r="W168" s="402">
        <f t="shared" si="59"/>
        <v>0</v>
      </c>
      <c r="X168" s="157">
        <f t="shared" si="60"/>
        <v>44715</v>
      </c>
      <c r="Y168" s="385">
        <f t="shared" si="61"/>
        <v>51.866816464394965</v>
      </c>
      <c r="Z168" s="385">
        <f t="shared" si="62"/>
        <v>53.547531416775854</v>
      </c>
      <c r="AA168" s="386">
        <f t="shared" si="63"/>
        <v>57.828615866570338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7.4030553656555698E-2</v>
      </c>
      <c r="AD168" s="231">
        <f>(INDEX(Models!$BJ168:$BT168,,AH168)*(1-AF168)+INDEX(Models!$BJ168:$BT168,,AH168+1)*AF168-ERP_i)*AE168*Ramure*Pc/MaxiM</f>
        <v>9.1598419350554525E-5</v>
      </c>
      <c r="AE168" s="305">
        <f t="shared" si="65"/>
        <v>0.5</v>
      </c>
      <c r="AF168" s="177">
        <f t="shared" si="66"/>
        <v>0.21134918946047596</v>
      </c>
      <c r="AG168" s="811">
        <f t="shared" si="74"/>
        <v>0</v>
      </c>
      <c r="AH168" s="176">
        <f t="shared" si="67"/>
        <v>6</v>
      </c>
      <c r="AI168" s="225">
        <f t="shared" si="68"/>
        <v>0.21134918946047596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40">
        <v>24.298000000000002</v>
      </c>
      <c r="C169" s="841"/>
      <c r="D169" s="393">
        <f t="shared" si="50"/>
        <v>25.08591244010081</v>
      </c>
      <c r="E169" s="385">
        <f t="shared" si="72"/>
        <v>26.117239176114964</v>
      </c>
      <c r="F169" s="385">
        <f t="shared" si="51"/>
        <v>26.117589192825367</v>
      </c>
      <c r="G169" s="110">
        <f t="shared" si="73"/>
        <v>0.40952859985391671</v>
      </c>
      <c r="H169" s="414" t="b">
        <f>Wh_hp&gt;='2021'!Maxi_hp</f>
        <v>0</v>
      </c>
      <c r="I169" s="380">
        <f>IF(H169,Wh_hp,'2021'!Maxi_hp)</f>
        <v>59.953702782585943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3.1408562155439079E-2</v>
      </c>
      <c r="M169" s="845"/>
      <c r="N169" s="845"/>
      <c r="O169" s="48">
        <f>IF(t&lt;Tnet,'2021'!Resal+('2021'!Salim-'2021'!Resal)*(1-EXP(('2021'!Tnet-t)/('2021'!Tau_j))),Resal+(Salim-Resal)*(1-EXP((Tnet-t)/(Tau_j))))*Salcycl</f>
        <v>3.9488352082686293E-2</v>
      </c>
      <c r="P169" s="339">
        <f>(INDEX(Models!$BJ169:$BT169,,T169)*(1-R169)+INDEX(Models!$BJ169:$BT169,,T169+1)*R169-ERP_i)*Q169*Ramure*Pc/MaxiM</f>
        <v>8.5626643588653951E-5</v>
      </c>
      <c r="Q169" s="305">
        <f t="shared" si="53"/>
        <v>0.5</v>
      </c>
      <c r="R169" s="177">
        <f t="shared" si="54"/>
        <v>0.21640414699013574</v>
      </c>
      <c r="S169" s="811">
        <f t="shared" si="55"/>
        <v>0</v>
      </c>
      <c r="T169" s="176">
        <f t="shared" si="56"/>
        <v>6</v>
      </c>
      <c r="U169" s="251">
        <f t="shared" si="57"/>
        <v>0.21640414699013574</v>
      </c>
      <c r="V169" s="383">
        <f t="shared" si="58"/>
        <v>59.32734627159001</v>
      </c>
      <c r="W169" s="402">
        <f t="shared" si="59"/>
        <v>0</v>
      </c>
      <c r="X169" s="157">
        <f t="shared" si="60"/>
        <v>44716</v>
      </c>
      <c r="Y169" s="385">
        <f t="shared" si="61"/>
        <v>23.421946034559873</v>
      </c>
      <c r="Z169" s="385">
        <f t="shared" si="62"/>
        <v>24.181450629670564</v>
      </c>
      <c r="AA169" s="386">
        <f t="shared" si="63"/>
        <v>26.117239176114964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7.4119187460470179E-2</v>
      </c>
      <c r="AD169" s="231">
        <f>(INDEX(Models!$BJ169:$BT169,,AH169)*(1-AF169)+INDEX(Models!$BJ169:$BT169,,AH169+1)*AF169-ERP_i)*AE169*Ramure*Pc/MaxiM</f>
        <v>8.5626643588653951E-5</v>
      </c>
      <c r="AE169" s="305">
        <f t="shared" si="65"/>
        <v>0.5</v>
      </c>
      <c r="AF169" s="177">
        <f t="shared" si="66"/>
        <v>0.21640414699013574</v>
      </c>
      <c r="AG169" s="811">
        <f t="shared" si="74"/>
        <v>0</v>
      </c>
      <c r="AH169" s="176">
        <f t="shared" si="67"/>
        <v>6</v>
      </c>
      <c r="AI169" s="225">
        <f t="shared" si="68"/>
        <v>0.21640414699013574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40">
        <v>33.518000000000001</v>
      </c>
      <c r="C170" s="841"/>
      <c r="D170" s="393">
        <f t="shared" si="50"/>
        <v>34.605647785708008</v>
      </c>
      <c r="E170" s="385">
        <f t="shared" ref="E170:E232" si="75">Wh_pvt/(1-Psa)</f>
        <v>36.032589627644924</v>
      </c>
      <c r="F170" s="385">
        <f t="shared" si="51"/>
        <v>36.033686666641962</v>
      </c>
      <c r="G170" s="110">
        <f t="shared" ref="G170:G232" si="76">+Wh_hp/MaxiM</f>
        <v>0.56508601959400784</v>
      </c>
      <c r="H170" s="414" t="b">
        <f>Wh_hp&gt;='2021'!Maxi_hp</f>
        <v>0</v>
      </c>
      <c r="I170" s="380">
        <f>IF(H170,Wh_hp,'2021'!Maxi_hp)</f>
        <v>43.180770881481472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3.1429776793752251E-2</v>
      </c>
      <c r="M170" s="845"/>
      <c r="N170" s="845"/>
      <c r="O170" s="48">
        <f>IF(t&lt;Tnet,'2021'!Resal+('2021'!Salim-'2021'!Resal)*(1-EXP(('2021'!Tnet-t)/('2021'!Tau_j))),Resal+(Salim-Resal)*(1-EXP((Tnet-t)/(Tau_j))))*Salcycl</f>
        <v>3.9601423508071706E-2</v>
      </c>
      <c r="P170" s="339">
        <f>(INDEX(Models!$BJ170:$BT170,,T170)*(1-R170)+INDEX(Models!$BJ170:$BT170,,T170+1)*R170-ERP_i)*Q170*Ramure*Pc/MaxiM</f>
        <v>8.0385616760900175E-5</v>
      </c>
      <c r="Q170" s="305">
        <f t="shared" si="53"/>
        <v>0.5</v>
      </c>
      <c r="R170" s="177">
        <f t="shared" si="54"/>
        <v>0.2214846478604077</v>
      </c>
      <c r="S170" s="811">
        <f t="shared" si="55"/>
        <v>0</v>
      </c>
      <c r="T170" s="176">
        <f t="shared" si="56"/>
        <v>6</v>
      </c>
      <c r="U170" s="251">
        <f t="shared" si="57"/>
        <v>0.2214846478604077</v>
      </c>
      <c r="V170" s="383">
        <f t="shared" si="58"/>
        <v>59.311900969326331</v>
      </c>
      <c r="W170" s="402">
        <f t="shared" si="59"/>
        <v>0</v>
      </c>
      <c r="X170" s="157">
        <f t="shared" si="60"/>
        <v>44717</v>
      </c>
      <c r="Y170" s="385">
        <f t="shared" si="61"/>
        <v>32.310255866022871</v>
      </c>
      <c r="Z170" s="385">
        <f t="shared" si="62"/>
        <v>33.358712762267842</v>
      </c>
      <c r="AA170" s="386">
        <f t="shared" si="63"/>
        <v>36.032589627644924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7.4207180028093969E-2</v>
      </c>
      <c r="AD170" s="231">
        <f>(INDEX(Models!$BJ170:$BT170,,AH170)*(1-AF170)+INDEX(Models!$BJ170:$BT170,,AH170+1)*AF170-ERP_i)*AE170*Ramure*Pc/MaxiM</f>
        <v>8.0385616760900175E-5</v>
      </c>
      <c r="AE170" s="305">
        <f t="shared" si="65"/>
        <v>0.5</v>
      </c>
      <c r="AF170" s="177">
        <f t="shared" si="66"/>
        <v>0.2214846478604077</v>
      </c>
      <c r="AG170" s="811">
        <f t="shared" si="74"/>
        <v>0</v>
      </c>
      <c r="AH170" s="176">
        <f t="shared" si="67"/>
        <v>6</v>
      </c>
      <c r="AI170" s="225">
        <f t="shared" si="68"/>
        <v>0.2214846478604077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40">
        <v>47.204999999999998</v>
      </c>
      <c r="C171" s="841"/>
      <c r="D171" s="393">
        <f t="shared" si="50"/>
        <v>48.737853799622911</v>
      </c>
      <c r="E171" s="385">
        <f t="shared" si="75"/>
        <v>50.753483518896893</v>
      </c>
      <c r="F171" s="385">
        <f t="shared" si="51"/>
        <v>50.756207470854669</v>
      </c>
      <c r="G171" s="110">
        <f t="shared" si="76"/>
        <v>0.79611549792549585</v>
      </c>
      <c r="H171" s="414" t="b">
        <f>Wh_hp&gt;='2021'!Maxi_hp</f>
        <v>0</v>
      </c>
      <c r="I171" s="380">
        <f>IF(H171,Wh_hp,'2021'!Maxi_hp)</f>
        <v>62.343880742671914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3.1450990967410442E-2</v>
      </c>
      <c r="M171" s="845"/>
      <c r="N171" s="845"/>
      <c r="O171" s="48">
        <f>IF(t&lt;Tnet,'2021'!Resal+('2021'!Salim-'2021'!Resal)*(1-EXP(('2021'!Tnet-t)/('2021'!Tau_j))),Resal+(Salim-Resal)*(1-EXP((Tnet-t)/(Tau_j))))*Salcycl</f>
        <v>3.9714115751749449E-2</v>
      </c>
      <c r="P171" s="339">
        <f>(INDEX(Models!$BJ171:$BT171,,T171)*(1-R171)+INDEX(Models!$BJ171:$BT171,,T171+1)*R171-ERP_i)*Q171*Ramure*Pc/MaxiM</f>
        <v>7.5719921701792605E-5</v>
      </c>
      <c r="Q171" s="305">
        <f t="shared" si="53"/>
        <v>0.5</v>
      </c>
      <c r="R171" s="177">
        <f t="shared" si="54"/>
        <v>0.22658656640754765</v>
      </c>
      <c r="S171" s="811">
        <f t="shared" si="55"/>
        <v>0</v>
      </c>
      <c r="T171" s="176">
        <f t="shared" si="56"/>
        <v>6</v>
      </c>
      <c r="U171" s="251">
        <f t="shared" si="57"/>
        <v>0.22658656640754765</v>
      </c>
      <c r="V171" s="383">
        <f t="shared" si="58"/>
        <v>59.2928527032022</v>
      </c>
      <c r="W171" s="402">
        <f t="shared" si="59"/>
        <v>0</v>
      </c>
      <c r="X171" s="157">
        <f t="shared" si="60"/>
        <v>44718</v>
      </c>
      <c r="Y171" s="385">
        <f t="shared" si="61"/>
        <v>45.505125208718425</v>
      </c>
      <c r="Z171" s="385">
        <f t="shared" si="62"/>
        <v>46.982780204555738</v>
      </c>
      <c r="AA171" s="386">
        <f t="shared" si="63"/>
        <v>50.753483518896893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7.4294473066803868E-2</v>
      </c>
      <c r="AD171" s="231">
        <f>(INDEX(Models!$BJ171:$BT171,,AH171)*(1-AF171)+INDEX(Models!$BJ171:$BT171,,AH171+1)*AF171-ERP_i)*AE171*Ramure*Pc/MaxiM</f>
        <v>7.5719921701792605E-5</v>
      </c>
      <c r="AE171" s="305">
        <f t="shared" si="65"/>
        <v>0.5</v>
      </c>
      <c r="AF171" s="177">
        <f t="shared" si="66"/>
        <v>0.22658656640754765</v>
      </c>
      <c r="AG171" s="811">
        <f t="shared" si="74"/>
        <v>0</v>
      </c>
      <c r="AH171" s="176">
        <f t="shared" si="67"/>
        <v>6</v>
      </c>
      <c r="AI171" s="225">
        <f t="shared" si="68"/>
        <v>0.22658656640754765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40">
        <v>24.609000000000002</v>
      </c>
      <c r="C172" s="841"/>
      <c r="D172" s="393">
        <f t="shared" si="50"/>
        <v>25.408666760852601</v>
      </c>
      <c r="E172" s="385">
        <f t="shared" si="75"/>
        <v>26.462575799482192</v>
      </c>
      <c r="F172" s="385">
        <f t="shared" si="51"/>
        <v>26.462887826542612</v>
      </c>
      <c r="G172" s="110">
        <f t="shared" si="76"/>
        <v>0.41517603819638577</v>
      </c>
      <c r="H172" s="414" t="b">
        <f>Wh_hp&gt;='2021'!Maxi_hp</f>
        <v>0</v>
      </c>
      <c r="I172" s="380">
        <f>IF(H172,Wh_hp,'2021'!Maxi_hp)</f>
        <v>54.813719171232592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3.1472204676423754E-2</v>
      </c>
      <c r="M172" s="845"/>
      <c r="N172" s="845"/>
      <c r="O172" s="48">
        <f>IF(t&lt;Tnet,'2021'!Resal+('2021'!Salim-'2021'!Resal)*(1-EXP(('2021'!Tnet-t)/('2021'!Tau_j))),Resal+(Salim-Resal)*(1-EXP((Tnet-t)/(Tau_j))))*Salcycl</f>
        <v>3.9826396591756387E-2</v>
      </c>
      <c r="P172" s="339">
        <f>(INDEX(Models!$BJ172:$BT172,,T172)*(1-R172)+INDEX(Models!$BJ172:$BT172,,T172+1)*R172-ERP_i)*Q172*Ramure*Pc/MaxiM</f>
        <v>7.1646870776428555E-5</v>
      </c>
      <c r="Q172" s="305">
        <f t="shared" si="53"/>
        <v>0.5</v>
      </c>
      <c r="R172" s="177">
        <f t="shared" si="54"/>
        <v>0.23170570582537364</v>
      </c>
      <c r="S172" s="811">
        <f t="shared" si="55"/>
        <v>0</v>
      </c>
      <c r="T172" s="176">
        <f t="shared" si="56"/>
        <v>6</v>
      </c>
      <c r="U172" s="251">
        <f t="shared" si="57"/>
        <v>0.23170570582537364</v>
      </c>
      <c r="V172" s="383">
        <f t="shared" si="58"/>
        <v>59.270104072810746</v>
      </c>
      <c r="W172" s="402">
        <f t="shared" si="59"/>
        <v>0</v>
      </c>
      <c r="X172" s="157">
        <f t="shared" si="60"/>
        <v>44719</v>
      </c>
      <c r="Y172" s="385">
        <f t="shared" si="61"/>
        <v>23.723374236833216</v>
      </c>
      <c r="Z172" s="385">
        <f t="shared" si="62"/>
        <v>24.494262685468364</v>
      </c>
      <c r="AA172" s="386">
        <f t="shared" si="63"/>
        <v>26.462575799482192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7.4381009956420982E-2</v>
      </c>
      <c r="AD172" s="231">
        <f>(INDEX(Models!$BJ172:$BT172,,AH172)*(1-AF172)+INDEX(Models!$BJ172:$BT172,,AH172+1)*AF172-ERP_i)*AE172*Ramure*Pc/MaxiM</f>
        <v>7.1646870776428555E-5</v>
      </c>
      <c r="AE172" s="305">
        <f t="shared" si="65"/>
        <v>0.5</v>
      </c>
      <c r="AF172" s="177">
        <f t="shared" si="66"/>
        <v>0.23170570582537364</v>
      </c>
      <c r="AG172" s="811">
        <f t="shared" si="74"/>
        <v>0</v>
      </c>
      <c r="AH172" s="176">
        <f t="shared" si="67"/>
        <v>6</v>
      </c>
      <c r="AI172" s="225">
        <f t="shared" si="68"/>
        <v>0.23170570582537364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40">
        <v>20.119</v>
      </c>
      <c r="C173" s="841"/>
      <c r="D173" s="393">
        <f t="shared" si="50"/>
        <v>20.773219689233677</v>
      </c>
      <c r="E173" s="385">
        <f t="shared" si="75"/>
        <v>21.637378383957326</v>
      </c>
      <c r="F173" s="385">
        <f t="shared" si="51"/>
        <v>21.63746184134849</v>
      </c>
      <c r="G173" s="110">
        <f t="shared" si="76"/>
        <v>0.33957626099614924</v>
      </c>
      <c r="H173" s="414" t="b">
        <f>Wh_hp&gt;='2021'!Maxi_hp</f>
        <v>0</v>
      </c>
      <c r="I173" s="380">
        <f>IF(H173,Wh_hp,'2021'!Maxi_hp)</f>
        <v>64.469263284236831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3.1493417920802402E-2</v>
      </c>
      <c r="M173" s="845"/>
      <c r="N173" s="845"/>
      <c r="O173" s="48">
        <f>IF(t&lt;Tnet,'2021'!Resal+('2021'!Salim-'2021'!Resal)*(1-EXP(('2021'!Tnet-t)/('2021'!Tau_j))),Resal+(Salim-Resal)*(1-EXP((Tnet-t)/(Tau_j))))*Salcycl</f>
        <v>3.9938234632175544E-2</v>
      </c>
      <c r="P173" s="339">
        <f>(INDEX(Models!$BJ173:$BT173,,T173)*(1-R173)+INDEX(Models!$BJ173:$BT173,,T173+1)*R173-ERP_i)*Q173*Ramure*Pc/MaxiM</f>
        <v>6.8183942932954463E-5</v>
      </c>
      <c r="Q173" s="305">
        <f t="shared" si="53"/>
        <v>0.5</v>
      </c>
      <c r="R173" s="177">
        <f t="shared" si="54"/>
        <v>0.23683781177864013</v>
      </c>
      <c r="S173" s="811">
        <f t="shared" si="55"/>
        <v>0</v>
      </c>
      <c r="T173" s="176">
        <f t="shared" si="56"/>
        <v>6</v>
      </c>
      <c r="U173" s="251">
        <f t="shared" si="57"/>
        <v>0.23683781177864013</v>
      </c>
      <c r="V173" s="383">
        <f t="shared" si="58"/>
        <v>59.243557673346672</v>
      </c>
      <c r="W173" s="402">
        <f t="shared" si="59"/>
        <v>0</v>
      </c>
      <c r="X173" s="157">
        <f t="shared" si="60"/>
        <v>44720</v>
      </c>
      <c r="Y173" s="385">
        <f t="shared" si="61"/>
        <v>19.395422680763701</v>
      </c>
      <c r="Z173" s="385">
        <f t="shared" si="62"/>
        <v>20.026113440680447</v>
      </c>
      <c r="AA173" s="386">
        <f t="shared" si="63"/>
        <v>21.637378383957326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7.4466735973500633E-2</v>
      </c>
      <c r="AD173" s="231">
        <f>(INDEX(Models!$BJ173:$BT173,,AH173)*(1-AF173)+INDEX(Models!$BJ173:$BT173,,AH173+1)*AF173-ERP_i)*AE173*Ramure*Pc/MaxiM</f>
        <v>6.8183942932954463E-5</v>
      </c>
      <c r="AE173" s="305">
        <f t="shared" si="65"/>
        <v>0.5</v>
      </c>
      <c r="AF173" s="177">
        <f t="shared" si="66"/>
        <v>0.23683781177864013</v>
      </c>
      <c r="AG173" s="811">
        <f t="shared" si="74"/>
        <v>0</v>
      </c>
      <c r="AH173" s="176">
        <f t="shared" si="67"/>
        <v>6</v>
      </c>
      <c r="AI173" s="225">
        <f t="shared" si="68"/>
        <v>0.23683781177864013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40">
        <v>45.975000000000001</v>
      </c>
      <c r="C174" s="841"/>
      <c r="D174" s="393">
        <f t="shared" si="50"/>
        <v>47.471032043835777</v>
      </c>
      <c r="E174" s="385">
        <f t="shared" si="75"/>
        <v>49.451546679510109</v>
      </c>
      <c r="F174" s="385">
        <f t="shared" si="51"/>
        <v>49.453746260567634</v>
      </c>
      <c r="G174" s="110">
        <f t="shared" si="76"/>
        <v>0.77641650094034143</v>
      </c>
      <c r="H174" s="414" t="b">
        <f>Wh_hp&gt;='2021'!Maxi_hp</f>
        <v>0</v>
      </c>
      <c r="I174" s="380">
        <f>IF(H174,Wh_hp,'2021'!Maxi_hp)</f>
        <v>60.601331416290115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3.1514630700556601E-2</v>
      </c>
      <c r="M174" s="845"/>
      <c r="N174" s="845"/>
      <c r="O174" s="48">
        <f>IF(t&lt;Tnet,'2021'!Resal+('2021'!Salim-'2021'!Resal)*(1-EXP(('2021'!Tnet-t)/('2021'!Tau_j))),Resal+(Salim-Resal)*(1-EXP((Tnet-t)/(Tau_j))))*Salcycl</f>
        <v>4.0049599429312556E-2</v>
      </c>
      <c r="P174" s="339">
        <f>(INDEX(Models!$BJ174:$BT174,,T174)*(1-R174)+INDEX(Models!$BJ174:$BT174,,T174+1)*R174-ERP_i)*Q174*Ramure*Pc/MaxiM</f>
        <v>6.5348744308632318E-5</v>
      </c>
      <c r="Q174" s="305">
        <f t="shared" si="53"/>
        <v>0.5</v>
      </c>
      <c r="R174" s="177">
        <f t="shared" si="54"/>
        <v>0.24197858642294601</v>
      </c>
      <c r="S174" s="811">
        <f t="shared" si="55"/>
        <v>0</v>
      </c>
      <c r="T174" s="176">
        <f t="shared" si="56"/>
        <v>6</v>
      </c>
      <c r="U174" s="251">
        <f t="shared" si="57"/>
        <v>0.24197858642294601</v>
      </c>
      <c r="V174" s="383">
        <f t="shared" si="58"/>
        <v>59.213116089232173</v>
      </c>
      <c r="W174" s="402">
        <f t="shared" si="59"/>
        <v>0</v>
      </c>
      <c r="X174" s="157">
        <f t="shared" si="60"/>
        <v>44721</v>
      </c>
      <c r="Y174" s="385">
        <f t="shared" si="61"/>
        <v>44.322592326937496</v>
      </c>
      <c r="Z174" s="385">
        <f t="shared" si="62"/>
        <v>45.764854825838377</v>
      </c>
      <c r="AA174" s="386">
        <f t="shared" si="63"/>
        <v>49.451546679510109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7.4551598508430142E-2</v>
      </c>
      <c r="AD174" s="231">
        <f>(INDEX(Models!$BJ174:$BT174,,AH174)*(1-AF174)+INDEX(Models!$BJ174:$BT174,,AH174+1)*AF174-ERP_i)*AE174*Ramure*Pc/MaxiM</f>
        <v>6.5348744308632318E-5</v>
      </c>
      <c r="AE174" s="305">
        <f t="shared" si="65"/>
        <v>0.5</v>
      </c>
      <c r="AF174" s="177">
        <f t="shared" si="66"/>
        <v>0.24197858642294601</v>
      </c>
      <c r="AG174" s="811">
        <f t="shared" si="74"/>
        <v>0</v>
      </c>
      <c r="AH174" s="176">
        <f t="shared" si="67"/>
        <v>6</v>
      </c>
      <c r="AI174" s="225">
        <f t="shared" si="68"/>
        <v>0.24197858642294601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40">
        <v>56.106000000000002</v>
      </c>
      <c r="C175" s="841"/>
      <c r="D175" s="393">
        <f t="shared" si="50"/>
        <v>57.932964886081315</v>
      </c>
      <c r="E175" s="385">
        <f t="shared" si="75"/>
        <v>60.35692693334218</v>
      </c>
      <c r="F175" s="385">
        <f t="shared" si="51"/>
        <v>60.360456462076193</v>
      </c>
      <c r="G175" s="110">
        <f t="shared" si="76"/>
        <v>0.9480734506015821</v>
      </c>
      <c r="H175" s="414" t="b">
        <f>Wh_hp&gt;='2021'!Maxi_hp</f>
        <v>0</v>
      </c>
      <c r="I175" s="380">
        <f>IF(H175,Wh_hp,'2021'!Maxi_hp)</f>
        <v>61.199848181326935</v>
      </c>
      <c r="J175" s="85">
        <f>IF(H175,An,'2021'!An_max)</f>
        <v>2021</v>
      </c>
      <c r="K175" s="197">
        <f t="shared" si="52"/>
        <v>44722</v>
      </c>
      <c r="L175" s="147">
        <f>IF(t&lt;Tvie,1-EXP((T0-t)*PertePVj)+'2021'!Pspv,1-EXP((T0-t)*PertePVj)+Pspv)</f>
        <v>3.1535843015696452E-2</v>
      </c>
      <c r="M175" s="845"/>
      <c r="N175" s="845"/>
      <c r="O175" s="48">
        <f>IF(t&lt;Tnet,'2021'!Resal+('2021'!Salim-'2021'!Resal)*(1-EXP(('2021'!Tnet-t)/('2021'!Tau_j))),Resal+(Salim-Resal)*(1-EXP((Tnet-t)/(Tau_j))))*Salcycl</f>
        <v>4.0160461614254725E-2</v>
      </c>
      <c r="P175" s="339">
        <f>(INDEX(Models!$BJ175:$BT175,,T175)*(1-R175)+INDEX(Models!$BJ175:$BT175,,T175+1)*R175-ERP_i)*Q175*Ramure*Pc/MaxiM</f>
        <v>6.3158970115982074E-5</v>
      </c>
      <c r="Q175" s="305">
        <f t="shared" si="53"/>
        <v>0.5</v>
      </c>
      <c r="R175" s="177">
        <f t="shared" si="54"/>
        <v>0.24712370273395753</v>
      </c>
      <c r="S175" s="811">
        <f t="shared" si="55"/>
        <v>0</v>
      </c>
      <c r="T175" s="176">
        <f t="shared" si="56"/>
        <v>6</v>
      </c>
      <c r="U175" s="251">
        <f t="shared" si="57"/>
        <v>0.24712370273395753</v>
      </c>
      <c r="V175" s="383">
        <f t="shared" si="58"/>
        <v>59.178681888723354</v>
      </c>
      <c r="W175" s="402">
        <f t="shared" si="59"/>
        <v>0</v>
      </c>
      <c r="X175" s="157">
        <f t="shared" si="60"/>
        <v>44722</v>
      </c>
      <c r="Y175" s="385">
        <f t="shared" si="61"/>
        <v>54.090809878464242</v>
      </c>
      <c r="Z175" s="385">
        <f t="shared" si="62"/>
        <v>55.852154659907484</v>
      </c>
      <c r="AA175" s="386">
        <f t="shared" si="63"/>
        <v>60.35692693334218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7.4635547273799036E-2</v>
      </c>
      <c r="AD175" s="231">
        <f>(INDEX(Models!$BJ175:$BT175,,AH175)*(1-AF175)+INDEX(Models!$BJ175:$BT175,,AH175+1)*AF175-ERP_i)*AE175*Ramure*Pc/MaxiM</f>
        <v>6.3158970115982074E-5</v>
      </c>
      <c r="AE175" s="305">
        <f t="shared" si="65"/>
        <v>0.5</v>
      </c>
      <c r="AF175" s="177">
        <f t="shared" si="66"/>
        <v>0.24712370273395753</v>
      </c>
      <c r="AG175" s="811">
        <f t="shared" si="74"/>
        <v>0</v>
      </c>
      <c r="AH175" s="176">
        <f t="shared" si="67"/>
        <v>6</v>
      </c>
      <c r="AI175" s="225">
        <f t="shared" si="68"/>
        <v>0.24712370273395753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40">
        <v>54.858000000000004</v>
      </c>
      <c r="C176" s="841"/>
      <c r="D176" s="393">
        <f t="shared" si="50"/>
        <v>56.645567274407313</v>
      </c>
      <c r="E176" s="385">
        <f t="shared" si="75"/>
        <v>59.022448063366376</v>
      </c>
      <c r="F176" s="385">
        <f t="shared" si="51"/>
        <v>59.025709659388554</v>
      </c>
      <c r="G176" s="110">
        <f t="shared" si="76"/>
        <v>0.92758714985664237</v>
      </c>
      <c r="H176" s="414" t="b">
        <f>Wh_hp&gt;='2021'!Maxi_hp</f>
        <v>1</v>
      </c>
      <c r="I176" s="380">
        <f>IF(H176,Wh_hp,'2021'!Maxi_hp)</f>
        <v>59.025709659388554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3.1557054866232059E-2</v>
      </c>
      <c r="M176" s="845"/>
      <c r="N176" s="845"/>
      <c r="O176" s="48">
        <f>IF(t&lt;Tnet,'2021'!Resal+('2021'!Salim-'2021'!Resal)*(1-EXP(('2021'!Tnet-t)/('2021'!Tau_j))),Resal+(Salim-Resal)*(1-EXP((Tnet-t)/(Tau_j))))*Salcycl</f>
        <v>4.0270793010944689E-2</v>
      </c>
      <c r="P176" s="339">
        <f>(INDEX(Models!$BJ176:$BT176,,T176)*(1-R176)+INDEX(Models!$BJ176:$BT176,,T176+1)*R176-ERP_i)*Q176*Ramure*Pc/MaxiM</f>
        <v>6.1632368320022074E-5</v>
      </c>
      <c r="Q176" s="305">
        <f t="shared" si="53"/>
        <v>0.5</v>
      </c>
      <c r="R176" s="177">
        <f t="shared" si="54"/>
        <v>0.25226881904496906</v>
      </c>
      <c r="S176" s="811">
        <f t="shared" si="55"/>
        <v>0</v>
      </c>
      <c r="T176" s="176">
        <f t="shared" si="56"/>
        <v>6</v>
      </c>
      <c r="U176" s="251">
        <f t="shared" si="57"/>
        <v>0.25226881904496906</v>
      </c>
      <c r="V176" s="383">
        <f t="shared" si="58"/>
        <v>59.140157623686306</v>
      </c>
      <c r="W176" s="402">
        <f t="shared" si="59"/>
        <v>0</v>
      </c>
      <c r="X176" s="157">
        <f t="shared" si="60"/>
        <v>44723</v>
      </c>
      <c r="Y176" s="385">
        <f t="shared" si="61"/>
        <v>52.888971456339213</v>
      </c>
      <c r="Z176" s="385">
        <f t="shared" si="62"/>
        <v>54.612377241318875</v>
      </c>
      <c r="AA176" s="386">
        <f t="shared" si="63"/>
        <v>59.022448063366376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7.4718534502548298E-2</v>
      </c>
      <c r="AD176" s="231">
        <f>(INDEX(Models!$BJ176:$BT176,,AH176)*(1-AF176)+INDEX(Models!$BJ176:$BT176,,AH176+1)*AF176-ERP_i)*AE176*Ramure*Pc/MaxiM</f>
        <v>6.1632368320022074E-5</v>
      </c>
      <c r="AE176" s="305">
        <f t="shared" si="65"/>
        <v>0.5</v>
      </c>
      <c r="AF176" s="177">
        <f t="shared" si="66"/>
        <v>0.25226881904496906</v>
      </c>
      <c r="AG176" s="811">
        <f t="shared" si="74"/>
        <v>0</v>
      </c>
      <c r="AH176" s="176">
        <f t="shared" si="67"/>
        <v>6</v>
      </c>
      <c r="AI176" s="225">
        <f t="shared" si="68"/>
        <v>0.25226881904496906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40">
        <v>41.975000000000001</v>
      </c>
      <c r="C177" s="841"/>
      <c r="D177" s="393">
        <f t="shared" si="50"/>
        <v>43.343719515210871</v>
      </c>
      <c r="E177" s="385">
        <f t="shared" si="75"/>
        <v>45.167613340600454</v>
      </c>
      <c r="F177" s="385">
        <f t="shared" si="51"/>
        <v>45.169222624755768</v>
      </c>
      <c r="G177" s="110">
        <f t="shared" si="76"/>
        <v>0.71025710692772503</v>
      </c>
      <c r="H177" s="414" t="b">
        <f>Wh_hp&gt;='2021'!Maxi_hp</f>
        <v>0</v>
      </c>
      <c r="I177" s="380">
        <f>IF(H177,Wh_hp,'2021'!Maxi_hp)</f>
        <v>58.244062693126686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3.1578266252173859E-2</v>
      </c>
      <c r="M177" s="845"/>
      <c r="N177" s="845"/>
      <c r="O177" s="48">
        <f>IF(t&lt;Tnet,'2021'!Resal+('2021'!Salim-'2021'!Resal)*(1-EXP(('2021'!Tnet-t)/('2021'!Tau_j))),Resal+(Salim-Resal)*(1-EXP((Tnet-t)/(Tau_j))))*Salcycl</f>
        <v>4.0380566748921189E-2</v>
      </c>
      <c r="P177" s="339">
        <f>(INDEX(Models!$BJ177:$BT177,,T177)*(1-R177)+INDEX(Models!$BJ177:$BT177,,T177+1)*R177-ERP_i)*Q177*Ramure*Pc/MaxiM</f>
        <v>6.0787338468004471E-5</v>
      </c>
      <c r="Q177" s="305">
        <f t="shared" si="53"/>
        <v>0.5</v>
      </c>
      <c r="R177" s="177">
        <f t="shared" si="54"/>
        <v>0.25740959368927496</v>
      </c>
      <c r="S177" s="811">
        <f t="shared" si="55"/>
        <v>0</v>
      </c>
      <c r="T177" s="176">
        <f t="shared" si="56"/>
        <v>6</v>
      </c>
      <c r="U177" s="251">
        <f t="shared" si="57"/>
        <v>0.25740959368927496</v>
      </c>
      <c r="V177" s="383">
        <f t="shared" si="58"/>
        <v>59.096830549350578</v>
      </c>
      <c r="W177" s="402">
        <f t="shared" si="59"/>
        <v>0</v>
      </c>
      <c r="X177" s="157">
        <f t="shared" si="60"/>
        <v>44724</v>
      </c>
      <c r="Y177" s="385">
        <f t="shared" si="61"/>
        <v>40.469426766047988</v>
      </c>
      <c r="Z177" s="385">
        <f t="shared" si="62"/>
        <v>41.789052595329395</v>
      </c>
      <c r="AA177" s="386">
        <f t="shared" si="63"/>
        <v>45.167613340600454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7.4800515134460899E-2</v>
      </c>
      <c r="AD177" s="231">
        <f>(INDEX(Models!$BJ177:$BT177,,AH177)*(1-AF177)+INDEX(Models!$BJ177:$BT177,,AH177+1)*AF177-ERP_i)*AE177*Ramure*Pc/MaxiM</f>
        <v>6.0787338468004471E-5</v>
      </c>
      <c r="AE177" s="305">
        <f t="shared" si="65"/>
        <v>0.5</v>
      </c>
      <c r="AF177" s="177">
        <f t="shared" si="66"/>
        <v>0.25740959368927496</v>
      </c>
      <c r="AG177" s="811">
        <f t="shared" si="74"/>
        <v>0</v>
      </c>
      <c r="AH177" s="176">
        <f t="shared" si="67"/>
        <v>6</v>
      </c>
      <c r="AI177" s="225">
        <f t="shared" si="68"/>
        <v>0.25740959368927496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40">
        <v>53.146999999999998</v>
      </c>
      <c r="C178" s="841"/>
      <c r="D178" s="393">
        <f t="shared" si="50"/>
        <v>54.88121778877192</v>
      </c>
      <c r="E178" s="385">
        <f t="shared" si="75"/>
        <v>57.197115101489942</v>
      </c>
      <c r="F178" s="385">
        <f t="shared" si="51"/>
        <v>57.200088678812186</v>
      </c>
      <c r="G178" s="110">
        <f t="shared" si="76"/>
        <v>0.90005167352005366</v>
      </c>
      <c r="H178" s="414" t="b">
        <f>Wh_hp&gt;='2021'!Maxi_hp</f>
        <v>0</v>
      </c>
      <c r="I178" s="380">
        <f>IF(H178,Wh_hp,'2021'!Maxi_hp)</f>
        <v>66.115436428019962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3.1599477173531731E-2</v>
      </c>
      <c r="M178" s="845"/>
      <c r="N178" s="845"/>
      <c r="O178" s="48">
        <f>IF(t&lt;Tnet,'2021'!Resal+('2021'!Salim-'2021'!Resal)*(1-EXP(('2021'!Tnet-t)/('2021'!Tau_j))),Resal+(Salim-Resal)*(1-EXP((Tnet-t)/(Tau_j))))*Salcycl</f>
        <v>4.0489757369907904E-2</v>
      </c>
      <c r="P178" s="339">
        <f>(INDEX(Models!$BJ178:$BT178,,T178)*(1-R178)+INDEX(Models!$BJ178:$BT178,,T178+1)*R178-ERP_i)*Q178*Ramure*Pc/MaxiM</f>
        <v>6.0643782589312664E-5</v>
      </c>
      <c r="Q178" s="305">
        <f t="shared" si="53"/>
        <v>0.5</v>
      </c>
      <c r="R178" s="177">
        <f t="shared" si="54"/>
        <v>0.26254169964254148</v>
      </c>
      <c r="S178" s="811">
        <f t="shared" si="55"/>
        <v>0</v>
      </c>
      <c r="T178" s="176">
        <f t="shared" si="56"/>
        <v>6</v>
      </c>
      <c r="U178" s="251">
        <f t="shared" si="57"/>
        <v>0.26254169964254148</v>
      </c>
      <c r="V178" s="383">
        <f t="shared" si="58"/>
        <v>59.048320646348706</v>
      </c>
      <c r="W178" s="402">
        <f t="shared" si="59"/>
        <v>0</v>
      </c>
      <c r="X178" s="157">
        <f t="shared" si="60"/>
        <v>44725</v>
      </c>
      <c r="Y178" s="385">
        <f t="shared" si="61"/>
        <v>51.242054073410415</v>
      </c>
      <c r="Z178" s="385">
        <f t="shared" si="62"/>
        <v>52.914112359058166</v>
      </c>
      <c r="AA178" s="386">
        <f t="shared" si="63"/>
        <v>57.197115101489942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7.4881446989626455E-2</v>
      </c>
      <c r="AD178" s="231">
        <f>(INDEX(Models!$BJ178:$BT178,,AH178)*(1-AF178)+INDEX(Models!$BJ178:$BT178,,AH178+1)*AF178-ERP_i)*AE178*Ramure*Pc/MaxiM</f>
        <v>6.0643782589312664E-5</v>
      </c>
      <c r="AE178" s="305">
        <f t="shared" si="65"/>
        <v>0.5</v>
      </c>
      <c r="AF178" s="177">
        <f t="shared" si="66"/>
        <v>0.26254169964254148</v>
      </c>
      <c r="AG178" s="811">
        <f t="shared" si="74"/>
        <v>0</v>
      </c>
      <c r="AH178" s="176">
        <f t="shared" si="67"/>
        <v>6</v>
      </c>
      <c r="AI178" s="225">
        <f t="shared" si="68"/>
        <v>0.26254169964254148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40">
        <v>48.472000000000001</v>
      </c>
      <c r="C179" s="841"/>
      <c r="D179" s="393">
        <f t="shared" si="50"/>
        <v>50.054766124016041</v>
      </c>
      <c r="E179" s="385">
        <f t="shared" si="75"/>
        <v>52.172899275997388</v>
      </c>
      <c r="F179" s="385">
        <f t="shared" si="51"/>
        <v>52.175255092671314</v>
      </c>
      <c r="G179" s="110">
        <f t="shared" si="76"/>
        <v>0.82161533957996424</v>
      </c>
      <c r="H179" s="414" t="b">
        <f>Wh_hp&gt;='2021'!Maxi_hp</f>
        <v>0</v>
      </c>
      <c r="I179" s="380">
        <f>IF(H179,Wh_hp,'2021'!Maxi_hp)</f>
        <v>57.514759839675243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3.1620687630316113E-2</v>
      </c>
      <c r="M179" s="845"/>
      <c r="N179" s="845"/>
      <c r="O179" s="48">
        <f>IF(t&lt;Tnet,'2021'!Resal+('2021'!Salim-'2021'!Resal)*(1-EXP(('2021'!Tnet-t)/('2021'!Tau_j))),Resal+(Salim-Resal)*(1-EXP((Tnet-t)/(Tau_j))))*Salcycl</f>
        <v>4.0598340927467121E-2</v>
      </c>
      <c r="P179" s="339">
        <f>(INDEX(Models!$BJ179:$BT179,,T179)*(1-R179)+INDEX(Models!$BJ179:$BT179,,T179+1)*R179-ERP_i)*Q179*Ramure*Pc/MaxiM</f>
        <v>6.059182496036127E-5</v>
      </c>
      <c r="Q179" s="305">
        <f t="shared" si="53"/>
        <v>0.5</v>
      </c>
      <c r="R179" s="177">
        <f t="shared" si="54"/>
        <v>0.26766083906036742</v>
      </c>
      <c r="S179" s="811">
        <f t="shared" si="55"/>
        <v>0</v>
      </c>
      <c r="T179" s="176">
        <f t="shared" si="56"/>
        <v>6</v>
      </c>
      <c r="U179" s="251">
        <f t="shared" si="57"/>
        <v>0.26766083906036742</v>
      </c>
      <c r="V179" s="383">
        <f t="shared" si="58"/>
        <v>58.995066464288257</v>
      </c>
      <c r="W179" s="402">
        <f t="shared" si="59"/>
        <v>0</v>
      </c>
      <c r="X179" s="157">
        <f t="shared" si="60"/>
        <v>44726</v>
      </c>
      <c r="Y179" s="385">
        <f t="shared" si="61"/>
        <v>46.735875305347733</v>
      </c>
      <c r="Z179" s="385">
        <f t="shared" si="62"/>
        <v>48.261951394833254</v>
      </c>
      <c r="AA179" s="386">
        <f t="shared" si="63"/>
        <v>52.172899275997388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7.4961290927594681E-2</v>
      </c>
      <c r="AD179" s="231">
        <f>(INDEX(Models!$BJ179:$BT179,,AH179)*(1-AF179)+INDEX(Models!$BJ179:$BT179,,AH179+1)*AF179-ERP_i)*AE179*Ramure*Pc/MaxiM</f>
        <v>6.059182496036127E-5</v>
      </c>
      <c r="AE179" s="305">
        <f t="shared" si="65"/>
        <v>0.5</v>
      </c>
      <c r="AF179" s="177">
        <f t="shared" si="66"/>
        <v>0.26766083906036742</v>
      </c>
      <c r="AG179" s="811">
        <f t="shared" si="74"/>
        <v>0</v>
      </c>
      <c r="AH179" s="176">
        <f t="shared" si="67"/>
        <v>6</v>
      </c>
      <c r="AI179" s="225">
        <f t="shared" si="68"/>
        <v>0.26766083906036742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40">
        <v>52.874000000000002</v>
      </c>
      <c r="C180" s="841"/>
      <c r="D180" s="393">
        <f t="shared" si="50"/>
        <v>54.601701447208917</v>
      </c>
      <c r="E180" s="385">
        <f t="shared" si="75"/>
        <v>56.918648759093294</v>
      </c>
      <c r="F180" s="385">
        <f t="shared" si="51"/>
        <v>56.92159289770462</v>
      </c>
      <c r="G180" s="110">
        <f t="shared" si="76"/>
        <v>0.89711229212166099</v>
      </c>
      <c r="H180" s="414" t="b">
        <f>Wh_hp&gt;='2021'!Maxi_hp</f>
        <v>1</v>
      </c>
      <c r="I180" s="380">
        <f>IF(H180,Wh_hp,'2021'!Maxi_hp)</f>
        <v>56.92159289770462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3.1641897622536996E-2</v>
      </c>
      <c r="M180" s="845"/>
      <c r="N180" s="845"/>
      <c r="O180" s="48">
        <f>IF(t&lt;Tnet,'2021'!Resal+('2021'!Salim-'2021'!Resal)*(1-EXP(('2021'!Tnet-t)/('2021'!Tau_j))),Resal+(Salim-Resal)*(1-EXP((Tnet-t)/(Tau_j))))*Salcycl</f>
        <v>4.0706295078978397E-2</v>
      </c>
      <c r="P180" s="339">
        <f>(INDEX(Models!$BJ180:$BT180,,T180)*(1-R180)+INDEX(Models!$BJ180:$BT180,,T180+1)*R180-ERP_i)*Q180*Ramure*Pc/MaxiM</f>
        <v>6.0634167818528648E-5</v>
      </c>
      <c r="Q180" s="305">
        <f t="shared" si="53"/>
        <v>0.5</v>
      </c>
      <c r="R180" s="177">
        <f t="shared" si="54"/>
        <v>0.27276275760750746</v>
      </c>
      <c r="S180" s="811">
        <f t="shared" si="55"/>
        <v>0</v>
      </c>
      <c r="T180" s="176">
        <f t="shared" si="56"/>
        <v>6</v>
      </c>
      <c r="U180" s="251">
        <f t="shared" si="57"/>
        <v>0.27276275760750746</v>
      </c>
      <c r="V180" s="383">
        <f t="shared" si="58"/>
        <v>58.93746998579357</v>
      </c>
      <c r="W180" s="402">
        <f t="shared" si="59"/>
        <v>0</v>
      </c>
      <c r="X180" s="157">
        <f t="shared" si="60"/>
        <v>44727</v>
      </c>
      <c r="Y180" s="385">
        <f t="shared" si="61"/>
        <v>50.981606788389001</v>
      </c>
      <c r="Z180" s="385">
        <f t="shared" si="62"/>
        <v>52.647472730616478</v>
      </c>
      <c r="AA180" s="386">
        <f t="shared" si="63"/>
        <v>56.918648759093294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7.5040010991027847E-2</v>
      </c>
      <c r="AD180" s="231">
        <f>(INDEX(Models!$BJ180:$BT180,,AH180)*(1-AF180)+INDEX(Models!$BJ180:$BT180,,AH180+1)*AF180-ERP_i)*AE180*Ramure*Pc/MaxiM</f>
        <v>6.0634167818528648E-5</v>
      </c>
      <c r="AE180" s="305">
        <f t="shared" si="65"/>
        <v>0.5</v>
      </c>
      <c r="AF180" s="177">
        <f t="shared" si="66"/>
        <v>0.27276275760750746</v>
      </c>
      <c r="AG180" s="811">
        <f t="shared" si="74"/>
        <v>0</v>
      </c>
      <c r="AH180" s="176">
        <f t="shared" si="67"/>
        <v>6</v>
      </c>
      <c r="AI180" s="225">
        <f t="shared" si="68"/>
        <v>0.27276275760750746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40">
        <v>50.814</v>
      </c>
      <c r="C181" s="841"/>
      <c r="D181" s="393">
        <f t="shared" si="50"/>
        <v>52.47553860150412</v>
      </c>
      <c r="E181" s="385">
        <f t="shared" si="75"/>
        <v>54.708384685245036</v>
      </c>
      <c r="F181" s="385">
        <f t="shared" si="51"/>
        <v>54.711059251554971</v>
      </c>
      <c r="G181" s="110">
        <f t="shared" si="76"/>
        <v>0.86305886661929687</v>
      </c>
      <c r="H181" s="414" t="b">
        <f>Wh_hp&gt;='2021'!Maxi_hp</f>
        <v>0</v>
      </c>
      <c r="I181" s="380">
        <f>IF(H181,Wh_hp,'2021'!Maxi_hp)</f>
        <v>64.761857489550721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3.1663107150204595E-2</v>
      </c>
      <c r="M181" s="845"/>
      <c r="N181" s="845"/>
      <c r="O181" s="48">
        <f>IF(t&lt;Tnet,'2021'!Resal+('2021'!Salim-'2021'!Resal)*(1-EXP(('2021'!Tnet-t)/('2021'!Tau_j))),Resal+(Salim-Resal)*(1-EXP((Tnet-t)/(Tau_j))))*Salcycl</f>
        <v>4.0813599169253471E-2</v>
      </c>
      <c r="P181" s="339">
        <f>(INDEX(Models!$BJ181:$BT181,,T181)*(1-R181)+INDEX(Models!$BJ181:$BT181,,T181+1)*R181-ERP_i)*Q181*Ramure*Pc/MaxiM</f>
        <v>6.0773545064313063E-5</v>
      </c>
      <c r="Q181" s="305">
        <f t="shared" si="53"/>
        <v>0.5</v>
      </c>
      <c r="R181" s="177">
        <f t="shared" si="54"/>
        <v>0.27784325847777935</v>
      </c>
      <c r="S181" s="811">
        <f t="shared" si="55"/>
        <v>0</v>
      </c>
      <c r="T181" s="176">
        <f t="shared" si="56"/>
        <v>6</v>
      </c>
      <c r="U181" s="251">
        <f t="shared" si="57"/>
        <v>0.27784325847777935</v>
      </c>
      <c r="V181" s="383">
        <f t="shared" si="58"/>
        <v>58.875932854970429</v>
      </c>
      <c r="W181" s="402">
        <f t="shared" si="59"/>
        <v>0</v>
      </c>
      <c r="X181" s="157">
        <f t="shared" si="60"/>
        <v>44728</v>
      </c>
      <c r="Y181" s="385">
        <f t="shared" si="61"/>
        <v>48.996707550261377</v>
      </c>
      <c r="Z181" s="385">
        <f t="shared" si="62"/>
        <v>50.598823521083744</v>
      </c>
      <c r="AA181" s="386">
        <f t="shared" si="63"/>
        <v>54.708384685245036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7.5117574532769057E-2</v>
      </c>
      <c r="AD181" s="231">
        <f>(INDEX(Models!$BJ181:$BT181,,AH181)*(1-AF181)+INDEX(Models!$BJ181:$BT181,,AH181+1)*AF181-ERP_i)*AE181*Ramure*Pc/MaxiM</f>
        <v>6.0773545064313063E-5</v>
      </c>
      <c r="AE181" s="305">
        <f t="shared" si="65"/>
        <v>0.5</v>
      </c>
      <c r="AF181" s="177">
        <f t="shared" si="66"/>
        <v>0.27784325847777935</v>
      </c>
      <c r="AG181" s="811">
        <f t="shared" si="74"/>
        <v>0</v>
      </c>
      <c r="AH181" s="176">
        <f t="shared" si="67"/>
        <v>6</v>
      </c>
      <c r="AI181" s="225">
        <f t="shared" si="68"/>
        <v>0.27784325847777935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40">
        <v>50.883000000000003</v>
      </c>
      <c r="C182" s="841"/>
      <c r="D182" s="393">
        <f t="shared" si="50"/>
        <v>52.547945728833213</v>
      </c>
      <c r="E182" s="385">
        <f t="shared" si="75"/>
        <v>54.78996388873108</v>
      </c>
      <c r="F182" s="385">
        <f t="shared" si="51"/>
        <v>54.792663149437587</v>
      </c>
      <c r="G182" s="110">
        <f t="shared" si="76"/>
        <v>0.86518723337221837</v>
      </c>
      <c r="H182" s="414" t="b">
        <f>Wh_hp&gt;='2021'!Maxi_hp</f>
        <v>0</v>
      </c>
      <c r="I182" s="380">
        <f>IF(H182,Wh_hp,'2021'!Maxi_hp)</f>
        <v>62.682408537874828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3.1684316213329122E-2</v>
      </c>
      <c r="M182" s="845"/>
      <c r="N182" s="845"/>
      <c r="O182" s="48">
        <f>IF(t&lt;Tnet,'2021'!Resal+('2021'!Salim-'2021'!Resal)*(1-EXP(('2021'!Tnet-t)/('2021'!Tau_j))),Resal+(Salim-Resal)*(1-EXP((Tnet-t)/(Tau_j))))*Salcycl</f>
        <v>4.0920234305155144E-2</v>
      </c>
      <c r="P182" s="339">
        <f>(INDEX(Models!$BJ182:$BT182,,T182)*(1-R182)+INDEX(Models!$BJ182:$BT182,,T182+1)*R182-ERP_i)*Q182*Ramure*Pc/MaxiM</f>
        <v>6.1012708982074307E-5</v>
      </c>
      <c r="Q182" s="305">
        <f t="shared" si="53"/>
        <v>0.5</v>
      </c>
      <c r="R182" s="177">
        <f t="shared" si="54"/>
        <v>0.28289821600743914</v>
      </c>
      <c r="S182" s="811">
        <f t="shared" si="55"/>
        <v>0</v>
      </c>
      <c r="T182" s="176">
        <f t="shared" si="56"/>
        <v>6</v>
      </c>
      <c r="U182" s="251">
        <f t="shared" si="57"/>
        <v>0.28289821600743914</v>
      </c>
      <c r="V182" s="383">
        <f t="shared" si="58"/>
        <v>58.810856374784883</v>
      </c>
      <c r="W182" s="402">
        <f t="shared" si="59"/>
        <v>0</v>
      </c>
      <c r="X182" s="157">
        <f t="shared" si="60"/>
        <v>44729</v>
      </c>
      <c r="Y182" s="385">
        <f t="shared" si="61"/>
        <v>49.064642803444386</v>
      </c>
      <c r="Z182" s="385">
        <f t="shared" si="62"/>
        <v>50.670089956173626</v>
      </c>
      <c r="AA182" s="386">
        <f t="shared" si="63"/>
        <v>54.78996388873108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7.5193952325360178E-2</v>
      </c>
      <c r="AD182" s="231">
        <f>(INDEX(Models!$BJ182:$BT182,,AH182)*(1-AF182)+INDEX(Models!$BJ182:$BT182,,AH182+1)*AF182-ERP_i)*AE182*Ramure*Pc/MaxiM</f>
        <v>6.1012708982074307E-5</v>
      </c>
      <c r="AE182" s="305">
        <f t="shared" si="65"/>
        <v>0.5</v>
      </c>
      <c r="AF182" s="177">
        <f t="shared" si="66"/>
        <v>0.28289821600743914</v>
      </c>
      <c r="AG182" s="811">
        <f t="shared" si="74"/>
        <v>0</v>
      </c>
      <c r="AH182" s="176">
        <f t="shared" si="67"/>
        <v>6</v>
      </c>
      <c r="AI182" s="225">
        <f t="shared" si="68"/>
        <v>0.28289821600743914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40">
        <v>54.216000000000001</v>
      </c>
      <c r="C183" s="841"/>
      <c r="D183" s="393">
        <f t="shared" si="50"/>
        <v>55.991231375630036</v>
      </c>
      <c r="E183" s="385">
        <f t="shared" si="75"/>
        <v>58.386611195861775</v>
      </c>
      <c r="F183" s="385">
        <f t="shared" si="51"/>
        <v>58.389799294743653</v>
      </c>
      <c r="G183" s="110">
        <f t="shared" si="76"/>
        <v>0.92293489713946542</v>
      </c>
      <c r="H183" s="414" t="b">
        <f>Wh_hp&gt;='2021'!Maxi_hp</f>
        <v>0</v>
      </c>
      <c r="I183" s="380">
        <f>IF(H183,Wh_hp,'2021'!Maxi_hp)</f>
        <v>60.904385564297691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3.1705524811920793E-2</v>
      </c>
      <c r="M183" s="845"/>
      <c r="N183" s="845"/>
      <c r="O183" s="48">
        <f>IF(t&lt;Tnet,'2021'!Resal+('2021'!Salim-'2021'!Resal)*(1-EXP(('2021'!Tnet-t)/('2021'!Tau_j))),Resal+(Salim-Resal)*(1-EXP((Tnet-t)/(Tau_j))))*Salcycl</f>
        <v>4.1026183420652333E-2</v>
      </c>
      <c r="P183" s="339">
        <f>(INDEX(Models!$BJ183:$BT183,,T183)*(1-R183)+INDEX(Models!$BJ183:$BT183,,T183+1)*R183-ERP_i)*Q183*Ramure*Pc/MaxiM</f>
        <v>6.135441695707322E-5</v>
      </c>
      <c r="Q183" s="305">
        <f t="shared" si="53"/>
        <v>0.5</v>
      </c>
      <c r="R183" s="177">
        <f t="shared" si="54"/>
        <v>0.28792358878971108</v>
      </c>
      <c r="S183" s="811">
        <f t="shared" si="55"/>
        <v>0</v>
      </c>
      <c r="T183" s="176">
        <f t="shared" si="56"/>
        <v>6</v>
      </c>
      <c r="U183" s="251">
        <f t="shared" si="57"/>
        <v>0.28792358878971108</v>
      </c>
      <c r="V183" s="383">
        <f t="shared" si="58"/>
        <v>58.742641507303418</v>
      </c>
      <c r="W183" s="402">
        <f t="shared" si="59"/>
        <v>0</v>
      </c>
      <c r="X183" s="157">
        <f t="shared" si="60"/>
        <v>44730</v>
      </c>
      <c r="Y183" s="385">
        <f t="shared" si="61"/>
        <v>52.280060827923144</v>
      </c>
      <c r="Z183" s="385">
        <f t="shared" si="62"/>
        <v>53.991902430062289</v>
      </c>
      <c r="AA183" s="386">
        <f t="shared" si="63"/>
        <v>58.386611195861775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7.5269118652170786E-2</v>
      </c>
      <c r="AD183" s="231">
        <f>(INDEX(Models!$BJ183:$BT183,,AH183)*(1-AF183)+INDEX(Models!$BJ183:$BT183,,AH183+1)*AF183-ERP_i)*AE183*Ramure*Pc/MaxiM</f>
        <v>6.135441695707322E-5</v>
      </c>
      <c r="AE183" s="305">
        <f t="shared" si="65"/>
        <v>0.5</v>
      </c>
      <c r="AF183" s="177">
        <f t="shared" si="66"/>
        <v>0.28792358878971108</v>
      </c>
      <c r="AG183" s="811">
        <f t="shared" si="74"/>
        <v>0</v>
      </c>
      <c r="AH183" s="176">
        <f t="shared" si="67"/>
        <v>6</v>
      </c>
      <c r="AI183" s="225">
        <f t="shared" si="68"/>
        <v>0.28792358878971108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40">
        <v>55.322000000000003</v>
      </c>
      <c r="C184" s="841"/>
      <c r="D184" s="393">
        <f t="shared" si="50"/>
        <v>57.134697282636161</v>
      </c>
      <c r="E184" s="385">
        <f t="shared" si="75"/>
        <v>59.585535650618844</v>
      </c>
      <c r="F184" s="385">
        <f t="shared" si="51"/>
        <v>59.588918123363584</v>
      </c>
      <c r="G184" s="110">
        <f t="shared" si="76"/>
        <v>0.94290316741422531</v>
      </c>
      <c r="H184" s="414" t="b">
        <f>Wh_hp&gt;='2021'!Maxi_hp</f>
        <v>1</v>
      </c>
      <c r="I184" s="380">
        <f>IF(H184,Wh_hp,'2021'!Maxi_hp)</f>
        <v>59.588918123363584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3.17267329459896E-2</v>
      </c>
      <c r="M184" s="845"/>
      <c r="N184" s="845"/>
      <c r="O184" s="48">
        <f>IF(t&lt;Tnet,'2021'!Resal+('2021'!Salim-'2021'!Resal)*(1-EXP(('2021'!Tnet-t)/('2021'!Tau_j))),Resal+(Salim-Resal)*(1-EXP((Tnet-t)/(Tau_j))))*Salcycl</f>
        <v>4.1131431331812351E-2</v>
      </c>
      <c r="P184" s="339">
        <f>(INDEX(Models!$BJ184:$BT184,,T184)*(1-R184)+INDEX(Models!$BJ184:$BT184,,T184+1)*R184-ERP_i)*Q184*Ramure*Pc/MaxiM</f>
        <v>6.1804211340165372E-5</v>
      </c>
      <c r="Q184" s="305">
        <f t="shared" si="53"/>
        <v>0.5</v>
      </c>
      <c r="R184" s="177">
        <f t="shared" si="54"/>
        <v>0.29291543220412358</v>
      </c>
      <c r="S184" s="811">
        <f t="shared" si="55"/>
        <v>0</v>
      </c>
      <c r="T184" s="176">
        <f t="shared" si="56"/>
        <v>6</v>
      </c>
      <c r="U184" s="251">
        <f t="shared" si="57"/>
        <v>0.29291543220412358</v>
      </c>
      <c r="V184" s="383">
        <f t="shared" si="58"/>
        <v>58.67168870695469</v>
      </c>
      <c r="W184" s="402">
        <f t="shared" si="59"/>
        <v>0</v>
      </c>
      <c r="X184" s="157">
        <f t="shared" si="60"/>
        <v>44731</v>
      </c>
      <c r="Y184" s="385">
        <f t="shared" si="61"/>
        <v>53.348157800851297</v>
      </c>
      <c r="Z184" s="385">
        <f t="shared" si="62"/>
        <v>55.096179576623108</v>
      </c>
      <c r="AA184" s="386">
        <f t="shared" si="63"/>
        <v>59.585535650618844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7.5343051379435116E-2</v>
      </c>
      <c r="AD184" s="231">
        <f>(INDEX(Models!$BJ184:$BT184,,AH184)*(1-AF184)+INDEX(Models!$BJ184:$BT184,,AH184+1)*AF184-ERP_i)*AE184*Ramure*Pc/MaxiM</f>
        <v>6.1804211340165372E-5</v>
      </c>
      <c r="AE184" s="305">
        <f t="shared" si="65"/>
        <v>0.5</v>
      </c>
      <c r="AF184" s="177">
        <f t="shared" si="66"/>
        <v>0.29291543220412358</v>
      </c>
      <c r="AG184" s="811">
        <f t="shared" si="74"/>
        <v>0</v>
      </c>
      <c r="AH184" s="176">
        <f t="shared" si="67"/>
        <v>6</v>
      </c>
      <c r="AI184" s="225">
        <f t="shared" si="68"/>
        <v>0.29291543220412358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40">
        <v>30.809000000000001</v>
      </c>
      <c r="C185" s="841"/>
      <c r="D185" s="393">
        <f t="shared" si="50"/>
        <v>31.819193877662578</v>
      </c>
      <c r="E185" s="385">
        <f t="shared" si="75"/>
        <v>33.187721596591409</v>
      </c>
      <c r="F185" s="385">
        <f t="shared" si="51"/>
        <v>33.188387949413098</v>
      </c>
      <c r="G185" s="110">
        <f t="shared" si="76"/>
        <v>0.52574299086030241</v>
      </c>
      <c r="H185" s="414" t="b">
        <f>Wh_hp&gt;='2021'!Maxi_hp</f>
        <v>0</v>
      </c>
      <c r="I185" s="380">
        <f>IF(H185,Wh_hp,'2021'!Maxi_hp)</f>
        <v>58.208712843769881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3.1747940615545978E-2</v>
      </c>
      <c r="M185" s="845"/>
      <c r="N185" s="845"/>
      <c r="O185" s="48">
        <f>IF(t&lt;Tnet,'2021'!Resal+('2021'!Salim-'2021'!Resal)*(1-EXP(('2021'!Tnet-t)/('2021'!Tau_j))),Resal+(Salim-Resal)*(1-EXP((Tnet-t)/(Tau_j))))*Salcycl</f>
        <v>4.1235964781305944E-2</v>
      </c>
      <c r="P185" s="339">
        <f>(INDEX(Models!$BJ185:$BT185,,T185)*(1-R185)+INDEX(Models!$BJ185:$BT185,,T185+1)*R185-ERP_i)*Q185*Ramure*Pc/MaxiM</f>
        <v>6.2252843026658721E-5</v>
      </c>
      <c r="Q185" s="305">
        <f t="shared" si="53"/>
        <v>0.5</v>
      </c>
      <c r="R185" s="177">
        <f t="shared" si="54"/>
        <v>0.29786991028120591</v>
      </c>
      <c r="S185" s="811">
        <f t="shared" si="55"/>
        <v>0</v>
      </c>
      <c r="T185" s="176">
        <f t="shared" si="56"/>
        <v>6</v>
      </c>
      <c r="U185" s="251">
        <f t="shared" si="57"/>
        <v>0.29786991028120591</v>
      </c>
      <c r="V185" s="383">
        <f t="shared" si="58"/>
        <v>58.598404812565448</v>
      </c>
      <c r="W185" s="402">
        <f t="shared" si="59"/>
        <v>0</v>
      </c>
      <c r="X185" s="157">
        <f t="shared" si="60"/>
        <v>44732</v>
      </c>
      <c r="Y185" s="385">
        <f t="shared" si="61"/>
        <v>29.710664632980709</v>
      </c>
      <c r="Z185" s="385">
        <f t="shared" si="62"/>
        <v>30.684845278685636</v>
      </c>
      <c r="AA185" s="386">
        <f t="shared" si="63"/>
        <v>33.187721596591409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7.5415732008636438E-2</v>
      </c>
      <c r="AD185" s="231">
        <f>(INDEX(Models!$BJ185:$BT185,,AH185)*(1-AF185)+INDEX(Models!$BJ185:$BT185,,AH185+1)*AF185-ERP_i)*AE185*Ramure*Pc/MaxiM</f>
        <v>6.2252843026658721E-5</v>
      </c>
      <c r="AE185" s="305">
        <f t="shared" si="65"/>
        <v>0.5</v>
      </c>
      <c r="AF185" s="177">
        <f t="shared" si="66"/>
        <v>0.29786991028120591</v>
      </c>
      <c r="AG185" s="811">
        <f t="shared" si="74"/>
        <v>0</v>
      </c>
      <c r="AH185" s="176">
        <f t="shared" si="67"/>
        <v>6</v>
      </c>
      <c r="AI185" s="225">
        <f t="shared" si="68"/>
        <v>0.29786991028120591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40">
        <v>23.007999999999999</v>
      </c>
      <c r="C186" s="841"/>
      <c r="D186" s="393">
        <f t="shared" si="50"/>
        <v>23.762927971372811</v>
      </c>
      <c r="E186" s="385">
        <f t="shared" si="75"/>
        <v>24.787643514376146</v>
      </c>
      <c r="F186" s="385">
        <f t="shared" si="51"/>
        <v>24.787850321024511</v>
      </c>
      <c r="G186" s="110">
        <f t="shared" si="76"/>
        <v>0.39312192960003561</v>
      </c>
      <c r="H186" s="414" t="b">
        <f>Wh_hp&gt;='2021'!Maxi_hp</f>
        <v>0</v>
      </c>
      <c r="I186" s="380">
        <f>IF(H186,Wh_hp,'2021'!Maxi_hp)</f>
        <v>54.428674381419142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3.1769147820599919E-2</v>
      </c>
      <c r="M186" s="845"/>
      <c r="N186" s="845"/>
      <c r="O186" s="48">
        <f>IF(t&lt;Tnet,'2021'!Resal+('2021'!Salim-'2021'!Resal)*(1-EXP(('2021'!Tnet-t)/('2021'!Tau_j))),Resal+(Salim-Resal)*(1-EXP((Tnet-t)/(Tau_j))))*Salcycl</f>
        <v>4.1339772472079886E-2</v>
      </c>
      <c r="P186" s="339">
        <f>(INDEX(Models!$BJ186:$BT186,,T186)*(1-R186)+INDEX(Models!$BJ186:$BT186,,T186+1)*R186-ERP_i)*Q186*Ramure*Pc/MaxiM</f>
        <v>6.2700651020392508E-5</v>
      </c>
      <c r="Q186" s="305">
        <f t="shared" si="53"/>
        <v>0.5</v>
      </c>
      <c r="R186" s="177">
        <f t="shared" si="54"/>
        <v>0.3027833068308326</v>
      </c>
      <c r="S186" s="811">
        <f t="shared" si="55"/>
        <v>0</v>
      </c>
      <c r="T186" s="176">
        <f t="shared" si="56"/>
        <v>6</v>
      </c>
      <c r="U186" s="251">
        <f t="shared" si="57"/>
        <v>0.3027833068308326</v>
      </c>
      <c r="V186" s="383">
        <f t="shared" si="58"/>
        <v>58.52318987555693</v>
      </c>
      <c r="W186" s="402">
        <f t="shared" si="59"/>
        <v>0</v>
      </c>
      <c r="X186" s="157">
        <f t="shared" si="60"/>
        <v>44733</v>
      </c>
      <c r="Y186" s="385">
        <f t="shared" si="61"/>
        <v>22.188457537643881</v>
      </c>
      <c r="Z186" s="385">
        <f t="shared" si="62"/>
        <v>22.916495056627941</v>
      </c>
      <c r="AA186" s="386">
        <f t="shared" si="63"/>
        <v>24.787643514376146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7.5487145708828307E-2</v>
      </c>
      <c r="AD186" s="231">
        <f>(INDEX(Models!$BJ186:$BT186,,AH186)*(1-AF186)+INDEX(Models!$BJ186:$BT186,,AH186+1)*AF186-ERP_i)*AE186*Ramure*Pc/MaxiM</f>
        <v>6.2700651020392508E-5</v>
      </c>
      <c r="AE186" s="305">
        <f t="shared" si="65"/>
        <v>0.5</v>
      </c>
      <c r="AF186" s="177">
        <f t="shared" si="66"/>
        <v>0.3027833068308326</v>
      </c>
      <c r="AG186" s="811">
        <f t="shared" si="74"/>
        <v>0</v>
      </c>
      <c r="AH186" s="176">
        <f t="shared" si="67"/>
        <v>6</v>
      </c>
      <c r="AI186" s="225">
        <f t="shared" si="68"/>
        <v>0.3027833068308326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40">
        <v>38.484000000000002</v>
      </c>
      <c r="C187" s="841"/>
      <c r="D187" s="393">
        <f t="shared" si="50"/>
        <v>39.747589978363862</v>
      </c>
      <c r="E187" s="385">
        <f t="shared" si="75"/>
        <v>41.466061543396528</v>
      </c>
      <c r="F187" s="385">
        <f t="shared" si="51"/>
        <v>41.467402441116505</v>
      </c>
      <c r="G187" s="110">
        <f t="shared" si="76"/>
        <v>0.65842867123002813</v>
      </c>
      <c r="H187" s="414" t="b">
        <f>Wh_hp&gt;='2021'!Maxi_hp</f>
        <v>0</v>
      </c>
      <c r="I187" s="380">
        <f>IF(H187,Wh_hp,'2021'!Maxi_hp)</f>
        <v>63.004166310746122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3.1790354561161638E-2</v>
      </c>
      <c r="M187" s="845"/>
      <c r="N187" s="845"/>
      <c r="O187" s="48">
        <f>IF(t&lt;Tnet,'2021'!Resal+('2021'!Salim-'2021'!Resal)*(1-EXP(('2021'!Tnet-t)/('2021'!Tau_j))),Resal+(Salim-Resal)*(1-EXP((Tnet-t)/(Tau_j))))*Salcycl</f>
        <v>4.1442845089934351E-2</v>
      </c>
      <c r="P187" s="339">
        <f>(INDEX(Models!$BJ187:$BT187,,T187)*(1-R187)+INDEX(Models!$BJ187:$BT187,,T187+1)*R187-ERP_i)*Q187*Ramure*Pc/MaxiM</f>
        <v>6.3147990682976108E-5</v>
      </c>
      <c r="Q187" s="305">
        <f t="shared" si="53"/>
        <v>0.5</v>
      </c>
      <c r="R187" s="177">
        <f t="shared" si="54"/>
        <v>0.30765203577092021</v>
      </c>
      <c r="S187" s="811">
        <f t="shared" si="55"/>
        <v>0</v>
      </c>
      <c r="T187" s="176">
        <f t="shared" si="56"/>
        <v>6</v>
      </c>
      <c r="U187" s="251">
        <f t="shared" si="57"/>
        <v>0.30765203577092021</v>
      </c>
      <c r="V187" s="383">
        <f t="shared" si="58"/>
        <v>58.44644360390533</v>
      </c>
      <c r="W187" s="402">
        <f t="shared" si="59"/>
        <v>0</v>
      </c>
      <c r="X187" s="157">
        <f t="shared" si="60"/>
        <v>44734</v>
      </c>
      <c r="Y187" s="385">
        <f t="shared" si="61"/>
        <v>37.114379046794205</v>
      </c>
      <c r="Z187" s="385">
        <f t="shared" si="62"/>
        <v>38.332998665771619</v>
      </c>
      <c r="AA187" s="386">
        <f t="shared" si="63"/>
        <v>41.466061543396528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7.5557281328635179E-2</v>
      </c>
      <c r="AD187" s="231">
        <f>(INDEX(Models!$BJ187:$BT187,,AH187)*(1-AF187)+INDEX(Models!$BJ187:$BT187,,AH187+1)*AF187-ERP_i)*AE187*Ramure*Pc/MaxiM</f>
        <v>6.3147990682976108E-5</v>
      </c>
      <c r="AE187" s="305">
        <f t="shared" si="65"/>
        <v>0.5</v>
      </c>
      <c r="AF187" s="177">
        <f t="shared" si="66"/>
        <v>0.30765203577092021</v>
      </c>
      <c r="AG187" s="811">
        <f t="shared" si="74"/>
        <v>0</v>
      </c>
      <c r="AH187" s="176">
        <f t="shared" si="67"/>
        <v>6</v>
      </c>
      <c r="AI187" s="225">
        <f t="shared" si="68"/>
        <v>0.30765203577092021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40">
        <v>41.103000000000002</v>
      </c>
      <c r="C188" s="841"/>
      <c r="D188" s="393">
        <f t="shared" si="50"/>
        <v>42.45351249550535</v>
      </c>
      <c r="E188" s="385">
        <f t="shared" si="75"/>
        <v>44.293702115225152</v>
      </c>
      <c r="F188" s="385">
        <f t="shared" si="51"/>
        <v>44.29532868860575</v>
      </c>
      <c r="G188" s="110">
        <f t="shared" si="76"/>
        <v>0.70417861217017463</v>
      </c>
      <c r="H188" s="414" t="b">
        <f>Wh_hp&gt;='2021'!Maxi_hp</f>
        <v>0</v>
      </c>
      <c r="I188" s="380">
        <f>IF(H188,Wh_hp,'2021'!Maxi_hp)</f>
        <v>55.386626209177535</v>
      </c>
      <c r="J188" s="85">
        <f>IF(H188,An,'2021'!An_max)</f>
        <v>2019</v>
      </c>
      <c r="K188" s="197">
        <f t="shared" si="52"/>
        <v>44735</v>
      </c>
      <c r="L188" s="147">
        <f>IF(t&lt;Tvie,1-EXP((T0-t)*PertePVj)+'2021'!Pspv,1-EXP((T0-t)*PertePVj)+Pspv)</f>
        <v>3.1811560837241237E-2</v>
      </c>
      <c r="M188" s="845"/>
      <c r="N188" s="845"/>
      <c r="O188" s="48">
        <f>IF(t&lt;Tnet,'2021'!Resal+('2021'!Salim-'2021'!Resal)*(1-EXP(('2021'!Tnet-t)/('2021'!Tau_j))),Resal+(Salim-Resal)*(1-EXP((Tnet-t)/(Tau_j))))*Salcycl</f>
        <v>4.1545175314828077E-2</v>
      </c>
      <c r="P188" s="339">
        <f>(INDEX(Models!$BJ188:$BT188,,T188)*(1-R188)+INDEX(Models!$BJ188:$BT188,,T188+1)*R188-ERP_i)*Q188*Ramure*Pc/MaxiM</f>
        <v>6.3594580828779036E-5</v>
      </c>
      <c r="Q188" s="305">
        <f t="shared" si="53"/>
        <v>0.5</v>
      </c>
      <c r="R188" s="177">
        <f t="shared" si="54"/>
        <v>0.31247265060214213</v>
      </c>
      <c r="S188" s="811">
        <f t="shared" si="55"/>
        <v>0</v>
      </c>
      <c r="T188" s="176">
        <f t="shared" si="56"/>
        <v>6</v>
      </c>
      <c r="U188" s="251">
        <f t="shared" si="57"/>
        <v>0.31247265060214213</v>
      </c>
      <c r="V188" s="383">
        <f t="shared" si="58"/>
        <v>58.368565401691868</v>
      </c>
      <c r="W188" s="402">
        <f t="shared" si="59"/>
        <v>0</v>
      </c>
      <c r="X188" s="157">
        <f t="shared" si="60"/>
        <v>44735</v>
      </c>
      <c r="Y188" s="385">
        <f t="shared" si="61"/>
        <v>39.641450116385158</v>
      </c>
      <c r="Z188" s="385">
        <f t="shared" si="62"/>
        <v>40.943940779405622</v>
      </c>
      <c r="AA188" s="386">
        <f t="shared" si="63"/>
        <v>44.293702115225152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7.5626131387832501E-2</v>
      </c>
      <c r="AD188" s="231">
        <f>(INDEX(Models!$BJ188:$BT188,,AH188)*(1-AF188)+INDEX(Models!$BJ188:$BT188,,AH188+1)*AF188-ERP_i)*AE188*Ramure*Pc/MaxiM</f>
        <v>6.3594580828779036E-5</v>
      </c>
      <c r="AE188" s="305">
        <f t="shared" si="65"/>
        <v>0.5</v>
      </c>
      <c r="AF188" s="177">
        <f t="shared" si="66"/>
        <v>0.31247265060214213</v>
      </c>
      <c r="AG188" s="811">
        <f t="shared" si="74"/>
        <v>0</v>
      </c>
      <c r="AH188" s="176">
        <f t="shared" si="67"/>
        <v>6</v>
      </c>
      <c r="AI188" s="225">
        <f t="shared" si="68"/>
        <v>0.31247265060214213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40">
        <v>39.283000000000001</v>
      </c>
      <c r="C189" s="841"/>
      <c r="D189" s="393">
        <f t="shared" si="50"/>
        <v>40.574601831987628</v>
      </c>
      <c r="E189" s="385">
        <f t="shared" si="75"/>
        <v>42.337835409964256</v>
      </c>
      <c r="F189" s="385">
        <f t="shared" si="51"/>
        <v>42.33928378427985</v>
      </c>
      <c r="G189" s="110">
        <f t="shared" si="76"/>
        <v>0.67390390915077503</v>
      </c>
      <c r="H189" s="414" t="b">
        <f>Wh_hp&gt;='2021'!Maxi_hp</f>
        <v>0</v>
      </c>
      <c r="I189" s="380">
        <f>IF(H189,Wh_hp,'2021'!Maxi_hp)</f>
        <v>62.031075143124923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3.1832766648849042E-2</v>
      </c>
      <c r="M189" s="845"/>
      <c r="N189" s="845"/>
      <c r="O189" s="48">
        <f>IF(t&lt;Tnet,'2021'!Resal+('2021'!Salim-'2021'!Resal)*(1-EXP(('2021'!Tnet-t)/('2021'!Tau_j))),Resal+(Salim-Resal)*(1-EXP((Tnet-t)/(Tau_j))))*Salcycl</f>
        <v>4.1646757820822451E-2</v>
      </c>
      <c r="P189" s="339">
        <f>(INDEX(Models!$BJ189:$BT189,,T189)*(1-R189)+INDEX(Models!$BJ189:$BT189,,T189+1)*R189-ERP_i)*Q189*Ramure*Pc/MaxiM</f>
        <v>6.4040098402790423E-5</v>
      </c>
      <c r="Q189" s="305">
        <f t="shared" si="53"/>
        <v>0.5</v>
      </c>
      <c r="R189" s="177">
        <f t="shared" si="54"/>
        <v>0.31724185298368451</v>
      </c>
      <c r="S189" s="811">
        <f t="shared" si="55"/>
        <v>0</v>
      </c>
      <c r="T189" s="176">
        <f t="shared" si="56"/>
        <v>6</v>
      </c>
      <c r="U189" s="251">
        <f t="shared" si="57"/>
        <v>0.31724185298368451</v>
      </c>
      <c r="V189" s="383">
        <f t="shared" si="58"/>
        <v>58.289954342109951</v>
      </c>
      <c r="W189" s="402">
        <f t="shared" si="59"/>
        <v>0</v>
      </c>
      <c r="X189" s="157">
        <f t="shared" si="60"/>
        <v>44736</v>
      </c>
      <c r="Y189" s="385">
        <f t="shared" si="61"/>
        <v>37.887412591929902</v>
      </c>
      <c r="Z189" s="385">
        <f t="shared" si="62"/>
        <v>39.133128334439583</v>
      </c>
      <c r="AA189" s="386">
        <f t="shared" si="63"/>
        <v>42.337835409964256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7.5693692048565173E-2</v>
      </c>
      <c r="AD189" s="231">
        <f>(INDEX(Models!$BJ189:$BT189,,AH189)*(1-AF189)+INDEX(Models!$BJ189:$BT189,,AH189+1)*AF189-ERP_i)*AE189*Ramure*Pc/MaxiM</f>
        <v>6.4040098402790423E-5</v>
      </c>
      <c r="AE189" s="305">
        <f t="shared" si="65"/>
        <v>0.5</v>
      </c>
      <c r="AF189" s="177">
        <f t="shared" si="66"/>
        <v>0.31724185298368451</v>
      </c>
      <c r="AG189" s="811">
        <f t="shared" si="74"/>
        <v>0</v>
      </c>
      <c r="AH189" s="176">
        <f t="shared" si="67"/>
        <v>6</v>
      </c>
      <c r="AI189" s="225">
        <f t="shared" si="68"/>
        <v>0.31724185298368451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40">
        <v>34.57</v>
      </c>
      <c r="C190" s="841"/>
      <c r="D190" s="393">
        <f t="shared" si="50"/>
        <v>35.707423260592044</v>
      </c>
      <c r="E190" s="385">
        <f t="shared" si="75"/>
        <v>37.263066453640533</v>
      </c>
      <c r="F190" s="385">
        <f t="shared" si="51"/>
        <v>37.264075267531233</v>
      </c>
      <c r="G190" s="110">
        <f t="shared" si="76"/>
        <v>0.59385169781850988</v>
      </c>
      <c r="H190" s="414" t="b">
        <f>Wh_hp&gt;='2021'!Maxi_hp</f>
        <v>0</v>
      </c>
      <c r="I190" s="380">
        <f>IF(H190,Wh_hp,'2021'!Maxi_hp)</f>
        <v>59.517932616441065</v>
      </c>
      <c r="J190" s="85">
        <f>IF(H190,An,'2021'!An_max)</f>
        <v>2021</v>
      </c>
      <c r="K190" s="197">
        <f t="shared" si="52"/>
        <v>44737</v>
      </c>
      <c r="L190" s="147">
        <f>IF(t&lt;Tvie,1-EXP((T0-t)*PertePVj)+'2021'!Pspv,1-EXP((T0-t)*PertePVj)+Pspv)</f>
        <v>3.1853971995995156E-2</v>
      </c>
      <c r="M190" s="845"/>
      <c r="N190" s="845"/>
      <c r="O190" s="48">
        <f>IF(t&lt;Tnet,'2021'!Resal+('2021'!Salim-'2021'!Resal)*(1-EXP(('2021'!Tnet-t)/('2021'!Tau_j))),Resal+(Salim-Resal)*(1-EXP((Tnet-t)/(Tau_j))))*Salcycl</f>
        <v>4.1747589264664708E-2</v>
      </c>
      <c r="P190" s="339">
        <f>(INDEX(Models!$BJ190:$BT190,,T190)*(1-R190)+INDEX(Models!$BJ190:$BT190,,T190+1)*R190-ERP_i)*Q190*Ramure*Pc/MaxiM</f>
        <v>6.448485143798983E-5</v>
      </c>
      <c r="Q190" s="305">
        <f t="shared" si="53"/>
        <v>0.5</v>
      </c>
      <c r="R190" s="177">
        <f t="shared" si="54"/>
        <v>0.32195650037466039</v>
      </c>
      <c r="S190" s="811">
        <f t="shared" si="55"/>
        <v>0</v>
      </c>
      <c r="T190" s="176">
        <f t="shared" si="56"/>
        <v>6</v>
      </c>
      <c r="U190" s="251">
        <f t="shared" si="57"/>
        <v>0.32195650037466039</v>
      </c>
      <c r="V190" s="383">
        <f t="shared" si="58"/>
        <v>58.211009129857892</v>
      </c>
      <c r="W190" s="402">
        <f t="shared" si="59"/>
        <v>0</v>
      </c>
      <c r="X190" s="157">
        <f t="shared" si="60"/>
        <v>44737</v>
      </c>
      <c r="Y190" s="385">
        <f t="shared" si="61"/>
        <v>33.342966549153289</v>
      </c>
      <c r="Z190" s="385">
        <f t="shared" si="62"/>
        <v>34.440017915371094</v>
      </c>
      <c r="AA190" s="386">
        <f t="shared" si="63"/>
        <v>37.263066453640533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7.5759963066422145E-2</v>
      </c>
      <c r="AD190" s="231">
        <f>(INDEX(Models!$BJ190:$BT190,,AH190)*(1-AF190)+INDEX(Models!$BJ190:$BT190,,AH190+1)*AF190-ERP_i)*AE190*Ramure*Pc/MaxiM</f>
        <v>6.448485143798983E-5</v>
      </c>
      <c r="AE190" s="305">
        <f t="shared" si="65"/>
        <v>0.5</v>
      </c>
      <c r="AF190" s="177">
        <f t="shared" si="66"/>
        <v>0.32195650037466039</v>
      </c>
      <c r="AG190" s="811">
        <f t="shared" si="74"/>
        <v>0</v>
      </c>
      <c r="AH190" s="176">
        <f t="shared" si="67"/>
        <v>6</v>
      </c>
      <c r="AI190" s="225">
        <f t="shared" si="68"/>
        <v>0.32195650037466039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40">
        <v>11.599</v>
      </c>
      <c r="C191" s="841"/>
      <c r="D191" s="393">
        <f t="shared" si="50"/>
        <v>11.98089308629017</v>
      </c>
      <c r="E191" s="385">
        <f t="shared" si="75"/>
        <v>12.504163158035313</v>
      </c>
      <c r="F191" s="385">
        <f t="shared" si="51"/>
        <v>12.504163158035313</v>
      </c>
      <c r="G191" s="110">
        <f t="shared" si="76"/>
        <v>0.19951868173797174</v>
      </c>
      <c r="H191" s="414" t="b">
        <f>Wh_hp&gt;='2021'!Maxi_hp</f>
        <v>0</v>
      </c>
      <c r="I191" s="380">
        <f>IF(H191,Wh_hp,'2021'!Maxi_hp)</f>
        <v>61.557220620707511</v>
      </c>
      <c r="J191" s="85">
        <f>IF(H191,An,'2021'!An_max)</f>
        <v>2019</v>
      </c>
      <c r="K191" s="197">
        <f t="shared" si="52"/>
        <v>44738</v>
      </c>
      <c r="L191" s="147">
        <f>IF(t&lt;Tvie,1-EXP((T0-t)*PertePVj)+'2021'!Pspv,1-EXP((T0-t)*PertePVj)+Pspv)</f>
        <v>3.1875176878689682E-2</v>
      </c>
      <c r="M191" s="845"/>
      <c r="N191" s="845"/>
      <c r="O191" s="48">
        <f>IF(t&lt;Tnet,'2021'!Resal+('2021'!Salim-'2021'!Resal)*(1-EXP(('2021'!Tnet-t)/('2021'!Tau_j))),Resal+(Salim-Resal)*(1-EXP((Tnet-t)/(Tau_j))))*Salcycl</f>
        <v>4.1847668263100421E-2</v>
      </c>
      <c r="P191" s="339">
        <f>(INDEX(Models!$BJ191:$BT191,,T191)*(1-R191)+INDEX(Models!$BJ191:$BT191,,T191+1)*R191-ERP_i)*Q191*Ramure*Pc/MaxiM</f>
        <v>6.4930264273944881E-5</v>
      </c>
      <c r="Q191" s="305">
        <f t="shared" si="53"/>
        <v>0.5</v>
      </c>
      <c r="R191" s="177">
        <f t="shared" si="54"/>
        <v>0.32661361271549266</v>
      </c>
      <c r="S191" s="811">
        <f t="shared" si="55"/>
        <v>0</v>
      </c>
      <c r="T191" s="176">
        <f t="shared" si="56"/>
        <v>6</v>
      </c>
      <c r="U191" s="251">
        <f t="shared" si="57"/>
        <v>0.32661361271549266</v>
      </c>
      <c r="V191" s="383">
        <f t="shared" si="58"/>
        <v>58.131132247037833</v>
      </c>
      <c r="W191" s="402">
        <f t="shared" si="59"/>
        <v>0</v>
      </c>
      <c r="X191" s="157">
        <f t="shared" si="60"/>
        <v>44738</v>
      </c>
      <c r="Y191" s="385">
        <f t="shared" si="61"/>
        <v>11.187684960222983</v>
      </c>
      <c r="Z191" s="385">
        <f t="shared" si="62"/>
        <v>11.55603564027313</v>
      </c>
      <c r="AA191" s="386">
        <f t="shared" si="63"/>
        <v>12.504163158035313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7.5824947721743877E-2</v>
      </c>
      <c r="AD191" s="231">
        <f>(INDEX(Models!$BJ191:$BT191,,AH191)*(1-AF191)+INDEX(Models!$BJ191:$BT191,,AH191+1)*AF191-ERP_i)*AE191*Ramure*Pc/MaxiM</f>
        <v>6.4930264273944881E-5</v>
      </c>
      <c r="AE191" s="305">
        <f t="shared" si="65"/>
        <v>0.5</v>
      </c>
      <c r="AF191" s="177">
        <f t="shared" si="66"/>
        <v>0.32661361271549266</v>
      </c>
      <c r="AG191" s="811">
        <f t="shared" si="74"/>
        <v>0</v>
      </c>
      <c r="AH191" s="176">
        <f t="shared" si="67"/>
        <v>6</v>
      </c>
      <c r="AI191" s="225">
        <f t="shared" si="68"/>
        <v>0.32661361271549266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40">
        <v>12.661</v>
      </c>
      <c r="C192" s="841"/>
      <c r="D192" s="393">
        <f t="shared" si="50"/>
        <v>13.0781455160364</v>
      </c>
      <c r="E192" s="385">
        <f t="shared" si="75"/>
        <v>13.65075361455426</v>
      </c>
      <c r="F192" s="385">
        <f t="shared" si="51"/>
        <v>13.65075361455426</v>
      </c>
      <c r="G192" s="110">
        <f t="shared" si="76"/>
        <v>0.21809284823983469</v>
      </c>
      <c r="H192" s="414" t="b">
        <f>Wh_hp&gt;='2021'!Maxi_hp</f>
        <v>0</v>
      </c>
      <c r="I192" s="380">
        <f>IF(H192,Wh_hp,'2021'!Maxi_hp)</f>
        <v>61.321800192772599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3.1896381296942944E-2</v>
      </c>
      <c r="M192" s="845"/>
      <c r="N192" s="845"/>
      <c r="O192" s="48">
        <f>IF(t&lt;Tnet,'2021'!Resal+('2021'!Salim-'2021'!Resal)*(1-EXP(('2021'!Tnet-t)/('2021'!Tau_j))),Resal+(Salim-Resal)*(1-EXP((Tnet-t)/(Tau_j))))*Salcycl</f>
        <v>4.1946995359095192E-2</v>
      </c>
      <c r="P192" s="339">
        <f>(INDEX(Models!$BJ192:$BT192,,T192)*(1-R192)+INDEX(Models!$BJ192:$BT192,,T192+1)*R192-ERP_i)*Q192*Ramure*Pc/MaxiM</f>
        <v>6.5496836300509798E-5</v>
      </c>
      <c r="Q192" s="305">
        <f t="shared" si="53"/>
        <v>0.5</v>
      </c>
      <c r="R192" s="177">
        <f t="shared" si="54"/>
        <v>0.3312103781332098</v>
      </c>
      <c r="S192" s="811">
        <f t="shared" si="55"/>
        <v>0</v>
      </c>
      <c r="T192" s="176">
        <f t="shared" si="56"/>
        <v>6</v>
      </c>
      <c r="U192" s="251">
        <f t="shared" si="57"/>
        <v>0.3312103781332098</v>
      </c>
      <c r="V192" s="383">
        <f t="shared" si="58"/>
        <v>58.049453921722943</v>
      </c>
      <c r="W192" s="402">
        <f t="shared" si="59"/>
        <v>0</v>
      </c>
      <c r="X192" s="157">
        <f t="shared" si="60"/>
        <v>44739</v>
      </c>
      <c r="Y192" s="385">
        <f t="shared" si="61"/>
        <v>12.212449322832047</v>
      </c>
      <c r="Z192" s="385">
        <f t="shared" si="62"/>
        <v>12.61481631397344</v>
      </c>
      <c r="AA192" s="386">
        <f t="shared" si="63"/>
        <v>13.65075361455426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7.5888652731693637E-2</v>
      </c>
      <c r="AD192" s="231">
        <f>(INDEX(Models!$BJ192:$BT192,,AH192)*(1-AF192)+INDEX(Models!$BJ192:$BT192,,AH192+1)*AF192-ERP_i)*AE192*Ramure*Pc/MaxiM</f>
        <v>6.5496836300509798E-5</v>
      </c>
      <c r="AE192" s="305">
        <f t="shared" si="65"/>
        <v>0.5</v>
      </c>
      <c r="AF192" s="177">
        <f t="shared" si="66"/>
        <v>0.3312103781332098</v>
      </c>
      <c r="AG192" s="811">
        <f t="shared" si="74"/>
        <v>0</v>
      </c>
      <c r="AH192" s="176">
        <f t="shared" si="67"/>
        <v>6</v>
      </c>
      <c r="AI192" s="225">
        <f t="shared" si="68"/>
        <v>0.3312103781332098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40">
        <v>57.475999999999999</v>
      </c>
      <c r="C193" s="841"/>
      <c r="D193" s="393">
        <f t="shared" si="50"/>
        <v>59.370978260036011</v>
      </c>
      <c r="E193" s="385">
        <f t="shared" si="75"/>
        <v>61.976829570646167</v>
      </c>
      <c r="F193" s="385">
        <f t="shared" si="51"/>
        <v>61.980882161709836</v>
      </c>
      <c r="G193" s="110">
        <f t="shared" si="76"/>
        <v>0.99154641059377235</v>
      </c>
      <c r="H193" s="414" t="b">
        <f>Wh_hp&gt;='2021'!Maxi_hp</f>
        <v>1</v>
      </c>
      <c r="I193" s="380">
        <f>IF(H193,Wh_hp,'2021'!Maxi_hp)</f>
        <v>61.980882161709836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3.1917585250764935E-2</v>
      </c>
      <c r="M193" s="845"/>
      <c r="N193" s="845"/>
      <c r="O193" s="48">
        <f>IF(t&lt;Tnet,'2021'!Resal+('2021'!Salim-'2021'!Resal)*(1-EXP(('2021'!Tnet-t)/('2021'!Tau_j))),Resal+(Salim-Resal)*(1-EXP((Tnet-t)/(Tau_j))))*Salcycl</f>
        <v>4.2045572977233291E-2</v>
      </c>
      <c r="P193" s="339">
        <f>(INDEX(Models!$BJ193:$BT193,,T193)*(1-R193)+INDEX(Models!$BJ193:$BT193,,T193+1)*R193-ERP_i)*Q193*Ramure*Pc/MaxiM</f>
        <v>6.6183730074618802E-5</v>
      </c>
      <c r="Q193" s="305">
        <f t="shared" si="53"/>
        <v>0.5</v>
      </c>
      <c r="R193" s="177">
        <f t="shared" si="54"/>
        <v>0.33574415766403931</v>
      </c>
      <c r="S193" s="811">
        <f t="shared" si="55"/>
        <v>0</v>
      </c>
      <c r="T193" s="176">
        <f t="shared" si="56"/>
        <v>6</v>
      </c>
      <c r="U193" s="251">
        <f t="shared" si="57"/>
        <v>0.33574415766403931</v>
      </c>
      <c r="V193" s="383">
        <f t="shared" si="58"/>
        <v>57.96597461126732</v>
      </c>
      <c r="W193" s="402">
        <f t="shared" si="59"/>
        <v>0</v>
      </c>
      <c r="X193" s="157">
        <f t="shared" si="60"/>
        <v>44740</v>
      </c>
      <c r="Y193" s="385">
        <f t="shared" si="61"/>
        <v>55.441713884982263</v>
      </c>
      <c r="Z193" s="385">
        <f t="shared" si="62"/>
        <v>57.26962192505426</v>
      </c>
      <c r="AA193" s="386">
        <f t="shared" si="63"/>
        <v>61.976829570646167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7.5951088143775644E-2</v>
      </c>
      <c r="AD193" s="231">
        <f>(INDEX(Models!$BJ193:$BT193,,AH193)*(1-AF193)+INDEX(Models!$BJ193:$BT193,,AH193+1)*AF193-ERP_i)*AE193*Ramure*Pc/MaxiM</f>
        <v>6.6183730074618802E-5</v>
      </c>
      <c r="AE193" s="305">
        <f t="shared" si="65"/>
        <v>0.5</v>
      </c>
      <c r="AF193" s="177">
        <f t="shared" si="66"/>
        <v>0.33574415766403931</v>
      </c>
      <c r="AG193" s="811">
        <f t="shared" si="74"/>
        <v>0</v>
      </c>
      <c r="AH193" s="176">
        <f t="shared" si="67"/>
        <v>6</v>
      </c>
      <c r="AI193" s="225">
        <f t="shared" si="68"/>
        <v>0.33574415766403931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40">
        <v>54.567</v>
      </c>
      <c r="C194" s="841"/>
      <c r="D194" s="393">
        <f t="shared" si="50"/>
        <v>56.367303394985278</v>
      </c>
      <c r="E194" s="385">
        <f t="shared" si="75"/>
        <v>58.847330290270882</v>
      </c>
      <c r="F194" s="385">
        <f t="shared" si="51"/>
        <v>58.85095048223954</v>
      </c>
      <c r="G194" s="110">
        <f t="shared" si="76"/>
        <v>0.94274440772347978</v>
      </c>
      <c r="H194" s="414" t="b">
        <f>Wh_hp&gt;='2021'!Maxi_hp</f>
        <v>1</v>
      </c>
      <c r="I194" s="380">
        <f>IF(H194,Wh_hp,'2021'!Maxi_hp)</f>
        <v>58.85095048223954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3.193878874016598E-2</v>
      </c>
      <c r="M194" s="845"/>
      <c r="N194" s="845"/>
      <c r="O194" s="48">
        <f>IF(t&lt;Tnet,'2021'!Resal+('2021'!Salim-'2021'!Resal)*(1-EXP(('2021'!Tnet-t)/('2021'!Tau_j))),Resal+(Salim-Resal)*(1-EXP((Tnet-t)/(Tau_j))))*Salcycl</f>
        <v>4.2143405368648051E-2</v>
      </c>
      <c r="P194" s="339">
        <f>(INDEX(Models!$BJ194:$BT194,,T194)*(1-R194)+INDEX(Models!$BJ194:$BT194,,T194+1)*R194-ERP_i)*Q194*Ramure*Pc/MaxiM</f>
        <v>6.6993761380392423E-5</v>
      </c>
      <c r="Q194" s="305">
        <f t="shared" si="53"/>
        <v>0.5</v>
      </c>
      <c r="R194" s="177">
        <f t="shared" si="54"/>
        <v>0.34021248899581163</v>
      </c>
      <c r="S194" s="811">
        <f t="shared" si="55"/>
        <v>0</v>
      </c>
      <c r="T194" s="176">
        <f t="shared" si="56"/>
        <v>6</v>
      </c>
      <c r="U194" s="251">
        <f t="shared" si="57"/>
        <v>0.34021248899581163</v>
      </c>
      <c r="V194" s="383">
        <f t="shared" si="58"/>
        <v>57.880694441154454</v>
      </c>
      <c r="W194" s="402">
        <f t="shared" si="59"/>
        <v>0</v>
      </c>
      <c r="X194" s="157">
        <f t="shared" si="60"/>
        <v>44741</v>
      </c>
      <c r="Y194" s="385">
        <f t="shared" si="61"/>
        <v>52.637564848073978</v>
      </c>
      <c r="Z194" s="385">
        <f t="shared" si="62"/>
        <v>54.374211295555881</v>
      </c>
      <c r="AA194" s="386">
        <f t="shared" si="63"/>
        <v>58.847330290270882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7.6012267211627974E-2</v>
      </c>
      <c r="AD194" s="231">
        <f>(INDEX(Models!$BJ194:$BT194,,AH194)*(1-AF194)+INDEX(Models!$BJ194:$BT194,,AH194+1)*AF194-ERP_i)*AE194*Ramure*Pc/MaxiM</f>
        <v>6.6993761380392423E-5</v>
      </c>
      <c r="AE194" s="305">
        <f t="shared" si="65"/>
        <v>0.5</v>
      </c>
      <c r="AF194" s="177">
        <f t="shared" si="66"/>
        <v>0.34021248899581163</v>
      </c>
      <c r="AG194" s="811">
        <f t="shared" si="74"/>
        <v>0</v>
      </c>
      <c r="AH194" s="176">
        <f t="shared" si="67"/>
        <v>6</v>
      </c>
      <c r="AI194" s="225">
        <f t="shared" si="68"/>
        <v>0.34021248899581163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40">
        <v>13.567</v>
      </c>
      <c r="C195" s="841"/>
      <c r="D195" s="393">
        <f t="shared" si="50"/>
        <v>14.014916619756777</v>
      </c>
      <c r="E195" s="385">
        <f t="shared" si="75"/>
        <v>14.633022797977169</v>
      </c>
      <c r="F195" s="385">
        <f t="shared" si="51"/>
        <v>14.633022797977169</v>
      </c>
      <c r="G195" s="110">
        <f t="shared" si="76"/>
        <v>0.23473317539382593</v>
      </c>
      <c r="H195" s="414" t="b">
        <f>Wh_hp&gt;='2021'!Maxi_hp</f>
        <v>0</v>
      </c>
      <c r="I195" s="380">
        <f>IF(H195,Wh_hp,'2021'!Maxi_hp)</f>
        <v>52.467807817786799</v>
      </c>
      <c r="J195" s="85">
        <f>IF(H195,An,'2021'!An_max)</f>
        <v>2019</v>
      </c>
      <c r="K195" s="197">
        <f t="shared" si="52"/>
        <v>44742</v>
      </c>
      <c r="L195" s="147">
        <f>IF(t&lt;Tvie,1-EXP((T0-t)*PertePVj)+'2021'!Pspv,1-EXP((T0-t)*PertePVj)+Pspv)</f>
        <v>3.1959991765156182E-2</v>
      </c>
      <c r="M195" s="845"/>
      <c r="N195" s="845"/>
      <c r="O195" s="48">
        <f>IF(t&lt;Tnet,'2021'!Resal+('2021'!Salim-'2021'!Resal)*(1-EXP(('2021'!Tnet-t)/('2021'!Tau_j))),Resal+(Salim-Resal)*(1-EXP((Tnet-t)/(Tau_j))))*Salcycl</f>
        <v>4.224049854592158E-2</v>
      </c>
      <c r="P195" s="339">
        <f>(INDEX(Models!$BJ195:$BT195,,T195)*(1-R195)+INDEX(Models!$BJ195:$BT195,,T195+1)*R195-ERP_i)*Q195*Ramure*Pc/MaxiM</f>
        <v>6.7929673098909027E-5</v>
      </c>
      <c r="Q195" s="305">
        <f t="shared" si="53"/>
        <v>0.5</v>
      </c>
      <c r="R195" s="177">
        <f t="shared" si="54"/>
        <v>0.34461308924136724</v>
      </c>
      <c r="S195" s="811">
        <f t="shared" si="55"/>
        <v>0</v>
      </c>
      <c r="T195" s="176">
        <f t="shared" si="56"/>
        <v>6</v>
      </c>
      <c r="U195" s="251">
        <f t="shared" si="57"/>
        <v>0.34461308924136724</v>
      </c>
      <c r="V195" s="383">
        <f t="shared" si="58"/>
        <v>57.793613430928303</v>
      </c>
      <c r="W195" s="402">
        <f t="shared" si="59"/>
        <v>0</v>
      </c>
      <c r="X195" s="157">
        <f t="shared" si="60"/>
        <v>44742</v>
      </c>
      <c r="Y195" s="385">
        <f t="shared" si="61"/>
        <v>13.087761968135606</v>
      </c>
      <c r="Z195" s="385">
        <f t="shared" si="62"/>
        <v>13.519856469569129</v>
      </c>
      <c r="AA195" s="386">
        <f t="shared" si="63"/>
        <v>14.633022797977169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7.6072206254057154E-2</v>
      </c>
      <c r="AD195" s="231">
        <f>(INDEX(Models!$BJ195:$BT195,,AH195)*(1-AF195)+INDEX(Models!$BJ195:$BT195,,AH195+1)*AF195-ERP_i)*AE195*Ramure*Pc/MaxiM</f>
        <v>6.7929673098909027E-5</v>
      </c>
      <c r="AE195" s="305">
        <f t="shared" si="65"/>
        <v>0.5</v>
      </c>
      <c r="AF195" s="177">
        <f t="shared" si="66"/>
        <v>0.34461308924136724</v>
      </c>
      <c r="AG195" s="811">
        <f t="shared" si="74"/>
        <v>0</v>
      </c>
      <c r="AH195" s="176">
        <f t="shared" si="67"/>
        <v>6</v>
      </c>
      <c r="AI195" s="225">
        <f t="shared" si="68"/>
        <v>0.34461308924136724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40">
        <v>48.838999999999999</v>
      </c>
      <c r="C196" s="841"/>
      <c r="D196" s="393">
        <f t="shared" si="50"/>
        <v>50.45253223772049</v>
      </c>
      <c r="E196" s="385">
        <f t="shared" si="75"/>
        <v>52.682963498734416</v>
      </c>
      <c r="F196" s="385">
        <f t="shared" si="51"/>
        <v>52.685800679015856</v>
      </c>
      <c r="G196" s="110">
        <f t="shared" si="76"/>
        <v>0.84634758905745378</v>
      </c>
      <c r="H196" s="414" t="b">
        <f>Wh_hp&gt;='2021'!Maxi_hp</f>
        <v>0</v>
      </c>
      <c r="I196" s="380">
        <f>IF(H196,Wh_hp,'2021'!Maxi_hp)</f>
        <v>60.470455322225597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3.1981194325745754E-2</v>
      </c>
      <c r="M196" s="845"/>
      <c r="N196" s="845"/>
      <c r="O196" s="48">
        <f>IF(t&lt;Tnet,'2021'!Resal+('2021'!Salim-'2021'!Resal)*(1-EXP(('2021'!Tnet-t)/('2021'!Tau_j))),Resal+(Salim-Resal)*(1-EXP((Tnet-t)/(Tau_j))))*Salcycl</f>
        <v>4.2336860208471473E-2</v>
      </c>
      <c r="P196" s="339">
        <f>(INDEX(Models!$BJ196:$BT196,,T196)*(1-R196)+INDEX(Models!$BJ196:$BT196,,T196+1)*R196-ERP_i)*Q196*Ramure*Pc/MaxiM</f>
        <v>6.8994134177952031E-5</v>
      </c>
      <c r="Q196" s="305">
        <f t="shared" si="53"/>
        <v>0.5</v>
      </c>
      <c r="R196" s="177">
        <f t="shared" si="54"/>
        <v>0.3489438567623101</v>
      </c>
      <c r="S196" s="811">
        <f t="shared" si="55"/>
        <v>0</v>
      </c>
      <c r="T196" s="176">
        <f t="shared" si="56"/>
        <v>6</v>
      </c>
      <c r="U196" s="251">
        <f t="shared" si="57"/>
        <v>0.3489438567623101</v>
      </c>
      <c r="V196" s="383">
        <f t="shared" si="58"/>
        <v>57.704731499810286</v>
      </c>
      <c r="W196" s="402">
        <f t="shared" si="59"/>
        <v>0</v>
      </c>
      <c r="X196" s="157">
        <f t="shared" si="60"/>
        <v>44743</v>
      </c>
      <c r="Y196" s="385">
        <f t="shared" si="61"/>
        <v>47.115566950028352</v>
      </c>
      <c r="Z196" s="385">
        <f t="shared" si="62"/>
        <v>48.672160782259745</v>
      </c>
      <c r="AA196" s="386">
        <f t="shared" si="63"/>
        <v>52.682963498734416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7.6130924498410649E-2</v>
      </c>
      <c r="AD196" s="231">
        <f>(INDEX(Models!$BJ196:$BT196,,AH196)*(1-AF196)+INDEX(Models!$BJ196:$BT196,,AH196+1)*AF196-ERP_i)*AE196*Ramure*Pc/MaxiM</f>
        <v>6.8994134177952031E-5</v>
      </c>
      <c r="AE196" s="305">
        <f t="shared" si="65"/>
        <v>0.5</v>
      </c>
      <c r="AF196" s="177">
        <f t="shared" si="66"/>
        <v>0.3489438567623101</v>
      </c>
      <c r="AG196" s="811">
        <f t="shared" si="74"/>
        <v>0</v>
      </c>
      <c r="AH196" s="176">
        <f t="shared" si="67"/>
        <v>6</v>
      </c>
      <c r="AI196" s="225">
        <f t="shared" si="68"/>
        <v>0.3489438567623101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40">
        <v>54.405000000000001</v>
      </c>
      <c r="C197" s="841"/>
      <c r="D197" s="393">
        <f t="shared" si="50"/>
        <v>56.203651536842898</v>
      </c>
      <c r="E197" s="385">
        <f t="shared" si="75"/>
        <v>58.694192855155592</v>
      </c>
      <c r="F197" s="385">
        <f t="shared" si="51"/>
        <v>58.697985022962222</v>
      </c>
      <c r="G197" s="110">
        <f t="shared" si="76"/>
        <v>0.94429566353774785</v>
      </c>
      <c r="H197" s="414" t="b">
        <f>Wh_hp&gt;='2021'!Maxi_hp</f>
        <v>1</v>
      </c>
      <c r="I197" s="380">
        <f>IF(H197,Wh_hp,'2021'!Maxi_hp)</f>
        <v>58.697985022962222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3.2002396421944801E-2</v>
      </c>
      <c r="M197" s="845"/>
      <c r="N197" s="845"/>
      <c r="O197" s="48">
        <f>IF(t&lt;Tnet,'2021'!Resal+('2021'!Salim-'2021'!Resal)*(1-EXP(('2021'!Tnet-t)/('2021'!Tau_j))),Resal+(Salim-Resal)*(1-EXP((Tnet-t)/(Tau_j))))*Salcycl</f>
        <v>4.2432499659017422E-2</v>
      </c>
      <c r="P197" s="339">
        <f>(INDEX(Models!$BJ197:$BT197,,T197)*(1-R197)+INDEX(Models!$BJ197:$BT197,,T197+1)*R197-ERP_i)*Q197*Ramure*Pc/MaxiM</f>
        <v>7.0189739474083883E-5</v>
      </c>
      <c r="Q197" s="305">
        <f t="shared" si="53"/>
        <v>0.5</v>
      </c>
      <c r="R197" s="177">
        <f t="shared" si="54"/>
        <v>0.35320287206997075</v>
      </c>
      <c r="S197" s="811">
        <f t="shared" si="55"/>
        <v>0</v>
      </c>
      <c r="T197" s="176">
        <f t="shared" si="56"/>
        <v>6</v>
      </c>
      <c r="U197" s="251">
        <f t="shared" si="57"/>
        <v>0.35320287206997075</v>
      </c>
      <c r="V197" s="383">
        <f t="shared" si="58"/>
        <v>57.614048469112291</v>
      </c>
      <c r="W197" s="402">
        <f t="shared" si="59"/>
        <v>0</v>
      </c>
      <c r="X197" s="157">
        <f t="shared" si="60"/>
        <v>44744</v>
      </c>
      <c r="Y197" s="385">
        <f t="shared" si="61"/>
        <v>52.487127738990942</v>
      </c>
      <c r="Z197" s="385">
        <f t="shared" si="62"/>
        <v>54.22237363499692</v>
      </c>
      <c r="AA197" s="386">
        <f t="shared" si="63"/>
        <v>58.694192855155592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7.6188443909504577E-2</v>
      </c>
      <c r="AD197" s="231">
        <f>(INDEX(Models!$BJ197:$BT197,,AH197)*(1-AF197)+INDEX(Models!$BJ197:$BT197,,AH197+1)*AF197-ERP_i)*AE197*Ramure*Pc/MaxiM</f>
        <v>7.0189739474083883E-5</v>
      </c>
      <c r="AE197" s="305">
        <f t="shared" si="65"/>
        <v>0.5</v>
      </c>
      <c r="AF197" s="177">
        <f t="shared" si="66"/>
        <v>0.35320287206997075</v>
      </c>
      <c r="AG197" s="811">
        <f t="shared" si="74"/>
        <v>0</v>
      </c>
      <c r="AH197" s="176">
        <f t="shared" si="67"/>
        <v>6</v>
      </c>
      <c r="AI197" s="225">
        <f t="shared" si="68"/>
        <v>0.35320287206997075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40">
        <v>45.334000000000003</v>
      </c>
      <c r="C198" s="841"/>
      <c r="D198" s="393">
        <f t="shared" si="50"/>
        <v>46.83378634938866</v>
      </c>
      <c r="E198" s="385">
        <f t="shared" si="75"/>
        <v>48.913971746953798</v>
      </c>
      <c r="F198" s="385">
        <f t="shared" si="51"/>
        <v>48.916435577060987</v>
      </c>
      <c r="G198" s="110">
        <f t="shared" si="76"/>
        <v>0.78810515377921686</v>
      </c>
      <c r="H198" s="414" t="b">
        <f>Wh_hp&gt;='2021'!Maxi_hp</f>
        <v>0</v>
      </c>
      <c r="I198" s="380">
        <f>IF(H198,Wh_hp,'2021'!Maxi_hp)</f>
        <v>53.763656051916264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3.2023598053763536E-2</v>
      </c>
      <c r="M198" s="845"/>
      <c r="N198" s="845"/>
      <c r="O198" s="48">
        <f>IF(t&lt;Tnet,'2021'!Resal+('2021'!Salim-'2021'!Resal)*(1-EXP(('2021'!Tnet-t)/('2021'!Tau_j))),Resal+(Salim-Resal)*(1-EXP((Tnet-t)/(Tau_j))))*Salcycl</f>
        <v>4.2527427711790522E-2</v>
      </c>
      <c r="P198" s="339">
        <f>(INDEX(Models!$BJ198:$BT198,,T198)*(1-R198)+INDEX(Models!$BJ198:$BT198,,T198+1)*R198-ERP_i)*Q198*Ramure*Pc/MaxiM</f>
        <v>7.2231273070000687E-5</v>
      </c>
      <c r="Q198" s="305">
        <f t="shared" si="53"/>
        <v>0.5</v>
      </c>
      <c r="R198" s="177">
        <f t="shared" si="54"/>
        <v>0.35738839783726722</v>
      </c>
      <c r="S198" s="811">
        <f t="shared" si="55"/>
        <v>0</v>
      </c>
      <c r="T198" s="176">
        <f t="shared" si="56"/>
        <v>6</v>
      </c>
      <c r="U198" s="251">
        <f t="shared" si="57"/>
        <v>0.35738839783726722</v>
      </c>
      <c r="V198" s="383">
        <f t="shared" si="58"/>
        <v>57.521523098319193</v>
      </c>
      <c r="W198" s="402">
        <f t="shared" si="59"/>
        <v>0</v>
      </c>
      <c r="X198" s="157">
        <f t="shared" si="60"/>
        <v>44745</v>
      </c>
      <c r="Y198" s="385">
        <f t="shared" si="61"/>
        <v>43.737564863238838</v>
      </c>
      <c r="Z198" s="385">
        <f t="shared" si="62"/>
        <v>45.184536291689597</v>
      </c>
      <c r="AA198" s="386">
        <f t="shared" si="63"/>
        <v>48.913971746953798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7.6244789005433009E-2</v>
      </c>
      <c r="AD198" s="231">
        <f>(INDEX(Models!$BJ198:$BT198,,AH198)*(1-AF198)+INDEX(Models!$BJ198:$BT198,,AH198+1)*AF198-ERP_i)*AE198*Ramure*Pc/MaxiM</f>
        <v>7.2231273070000687E-5</v>
      </c>
      <c r="AE198" s="305">
        <f t="shared" si="65"/>
        <v>0.5</v>
      </c>
      <c r="AF198" s="177">
        <f t="shared" si="66"/>
        <v>0.35738839783726722</v>
      </c>
      <c r="AG198" s="811">
        <f t="shared" si="74"/>
        <v>0</v>
      </c>
      <c r="AH198" s="176">
        <f t="shared" si="67"/>
        <v>6</v>
      </c>
      <c r="AI198" s="225">
        <f t="shared" si="68"/>
        <v>0.35738839783726722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40">
        <v>43.021000000000001</v>
      </c>
      <c r="C199" s="841"/>
      <c r="D199" s="393">
        <f t="shared" si="50"/>
        <v>44.445238752151532</v>
      </c>
      <c r="E199" s="385">
        <f t="shared" si="75"/>
        <v>46.423902376979981</v>
      </c>
      <c r="F199" s="385">
        <f t="shared" si="51"/>
        <v>46.426140292823284</v>
      </c>
      <c r="G199" s="110">
        <f t="shared" si="76"/>
        <v>0.74912019848232037</v>
      </c>
      <c r="H199" s="414" t="b">
        <f>Wh_hp&gt;='2021'!Maxi_hp</f>
        <v>0</v>
      </c>
      <c r="I199" s="380">
        <f>IF(H199,Wh_hp,'2021'!Maxi_hp)</f>
        <v>58.995697367701958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3.2044799221212061E-2</v>
      </c>
      <c r="M199" s="845"/>
      <c r="N199" s="845"/>
      <c r="O199" s="48">
        <f>IF(t&lt;Tnet,'2021'!Resal+('2021'!Salim-'2021'!Resal)*(1-EXP(('2021'!Tnet-t)/('2021'!Tau_j))),Resal+(Salim-Resal)*(1-EXP((Tnet-t)/(Tau_j))))*Salcycl</f>
        <v>4.2621656593212286E-2</v>
      </c>
      <c r="P199" s="339">
        <f>(INDEX(Models!$BJ199:$BT199,,T199)*(1-R199)+INDEX(Models!$BJ199:$BT199,,T199+1)*R199-ERP_i)*Q199*Ramure*Pc/MaxiM</f>
        <v>7.5127185676471866E-5</v>
      </c>
      <c r="Q199" s="305">
        <f t="shared" si="53"/>
        <v>0.5</v>
      </c>
      <c r="R199" s="177">
        <f t="shared" si="54"/>
        <v>0.36149887806122433</v>
      </c>
      <c r="S199" s="811">
        <f t="shared" si="55"/>
        <v>0</v>
      </c>
      <c r="T199" s="176">
        <f t="shared" si="56"/>
        <v>6</v>
      </c>
      <c r="U199" s="251">
        <f t="shared" si="57"/>
        <v>0.36149887806122433</v>
      </c>
      <c r="V199" s="383">
        <f t="shared" si="58"/>
        <v>57.427154894296535</v>
      </c>
      <c r="W199" s="402">
        <f t="shared" si="59"/>
        <v>0</v>
      </c>
      <c r="X199" s="157">
        <f t="shared" si="60"/>
        <v>44746</v>
      </c>
      <c r="Y199" s="385">
        <f t="shared" si="61"/>
        <v>41.507621879580107</v>
      </c>
      <c r="Z199" s="385">
        <f t="shared" si="62"/>
        <v>42.881759244833141</v>
      </c>
      <c r="AA199" s="386">
        <f t="shared" si="63"/>
        <v>46.423902376979981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7.6299986661682945E-2</v>
      </c>
      <c r="AD199" s="231">
        <f>(INDEX(Models!$BJ199:$BT199,,AH199)*(1-AF199)+INDEX(Models!$BJ199:$BT199,,AH199+1)*AF199-ERP_i)*AE199*Ramure*Pc/MaxiM</f>
        <v>7.5127185676471866E-5</v>
      </c>
      <c r="AE199" s="305">
        <f t="shared" si="65"/>
        <v>0.5</v>
      </c>
      <c r="AF199" s="177">
        <f t="shared" si="66"/>
        <v>0.36149887806122433</v>
      </c>
      <c r="AG199" s="811">
        <f t="shared" si="74"/>
        <v>0</v>
      </c>
      <c r="AH199" s="176">
        <f t="shared" si="67"/>
        <v>6</v>
      </c>
      <c r="AI199" s="225">
        <f t="shared" si="68"/>
        <v>0.36149887806122433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40">
        <v>53.902000000000001</v>
      </c>
      <c r="C200" s="841"/>
      <c r="D200" s="393">
        <f t="shared" si="50"/>
        <v>55.687681180519007</v>
      </c>
      <c r="E200" s="385">
        <f t="shared" si="75"/>
        <v>58.17253253260543</v>
      </c>
      <c r="F200" s="385">
        <f t="shared" si="51"/>
        <v>58.17672995374317</v>
      </c>
      <c r="G200" s="110">
        <f t="shared" si="76"/>
        <v>0.94018402225459585</v>
      </c>
      <c r="H200" s="414" t="b">
        <f>Wh_hp&gt;='2021'!Maxi_hp</f>
        <v>0</v>
      </c>
      <c r="I200" s="380">
        <f>IF(H200,Wh_hp,'2021'!Maxi_hp)</f>
        <v>61.322232788721351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3.2065999924300703E-2</v>
      </c>
      <c r="M200" s="845"/>
      <c r="N200" s="845"/>
      <c r="O200" s="48">
        <f>IF(t&lt;Tnet,'2021'!Resal+('2021'!Salim-'2021'!Resal)*(1-EXP(('2021'!Tnet-t)/('2021'!Tau_j))),Resal+(Salim-Resal)*(1-EXP((Tnet-t)/(Tau_j))))*Salcycl</f>
        <v>4.2715199835827618E-2</v>
      </c>
      <c r="P200" s="339">
        <f>(INDEX(Models!$BJ200:$BT200,,T200)*(1-R200)+INDEX(Models!$BJ200:$BT200,,T200+1)*R200-ERP_i)*Q200*Ramure*Pc/MaxiM</f>
        <v>7.8890034962939267E-5</v>
      </c>
      <c r="Q200" s="305">
        <f t="shared" si="53"/>
        <v>0.5</v>
      </c>
      <c r="R200" s="177">
        <f t="shared" si="54"/>
        <v>0.36553293642119816</v>
      </c>
      <c r="S200" s="811">
        <f t="shared" si="55"/>
        <v>0</v>
      </c>
      <c r="T200" s="176">
        <f t="shared" si="56"/>
        <v>6</v>
      </c>
      <c r="U200" s="251">
        <f t="shared" si="57"/>
        <v>0.36553293642119816</v>
      </c>
      <c r="V200" s="383">
        <f t="shared" si="58"/>
        <v>57.330943058819585</v>
      </c>
      <c r="W200" s="402">
        <f t="shared" si="59"/>
        <v>0</v>
      </c>
      <c r="X200" s="157">
        <f t="shared" si="60"/>
        <v>44747</v>
      </c>
      <c r="Y200" s="385">
        <f t="shared" si="61"/>
        <v>52.007890578694031</v>
      </c>
      <c r="Z200" s="385">
        <f t="shared" si="62"/>
        <v>53.730823149746413</v>
      </c>
      <c r="AA200" s="386">
        <f t="shared" si="63"/>
        <v>58.17253253260543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7.6354065905063689E-2</v>
      </c>
      <c r="AD200" s="231">
        <f>(INDEX(Models!$BJ200:$BT200,,AH200)*(1-AF200)+INDEX(Models!$BJ200:$BT200,,AH200+1)*AF200-ERP_i)*AE200*Ramure*Pc/MaxiM</f>
        <v>7.8890034962939267E-5</v>
      </c>
      <c r="AE200" s="305">
        <f t="shared" si="65"/>
        <v>0.5</v>
      </c>
      <c r="AF200" s="177">
        <f t="shared" si="66"/>
        <v>0.36553293642119816</v>
      </c>
      <c r="AG200" s="811">
        <f t="shared" si="74"/>
        <v>0</v>
      </c>
      <c r="AH200" s="176">
        <f t="shared" si="67"/>
        <v>6</v>
      </c>
      <c r="AI200" s="225">
        <f t="shared" si="68"/>
        <v>0.36553293642119816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40">
        <v>46.289000000000001</v>
      </c>
      <c r="C201" s="841"/>
      <c r="D201" s="393">
        <f t="shared" si="50"/>
        <v>47.823522953511024</v>
      </c>
      <c r="E201" s="385">
        <f t="shared" si="75"/>
        <v>49.962313265371677</v>
      </c>
      <c r="F201" s="385">
        <f t="shared" si="51"/>
        <v>49.965346849119364</v>
      </c>
      <c r="G201" s="110">
        <f t="shared" si="76"/>
        <v>0.80876479112133359</v>
      </c>
      <c r="H201" s="414" t="b">
        <f>Wh_hp&gt;='2021'!Maxi_hp</f>
        <v>0</v>
      </c>
      <c r="I201" s="380">
        <f>IF(H201,Wh_hp,'2021'!Maxi_hp)</f>
        <v>60.73746121896113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3.2087200163039453E-2</v>
      </c>
      <c r="M201" s="845"/>
      <c r="N201" s="845"/>
      <c r="O201" s="48">
        <f>IF(t&lt;Tnet,'2021'!Resal+('2021'!Salim-'2021'!Resal)*(1-EXP(('2021'!Tnet-t)/('2021'!Tau_j))),Resal+(Salim-Resal)*(1-EXP((Tnet-t)/(Tau_j))))*Salcycl</f>
        <v>4.2808072166326774E-2</v>
      </c>
      <c r="P201" s="339">
        <f>(INDEX(Models!$BJ201:$BT201,,T201)*(1-R201)+INDEX(Models!$BJ201:$BT201,,T201+1)*R201-ERP_i)*Q201*Ramure*Pc/MaxiM</f>
        <v>8.3531892262499085E-5</v>
      </c>
      <c r="Q201" s="305">
        <f t="shared" si="53"/>
        <v>0.5</v>
      </c>
      <c r="R201" s="177">
        <f t="shared" si="54"/>
        <v>0.36948937388232428</v>
      </c>
      <c r="S201" s="811">
        <f t="shared" si="55"/>
        <v>0</v>
      </c>
      <c r="T201" s="176">
        <f t="shared" si="56"/>
        <v>6</v>
      </c>
      <c r="U201" s="251">
        <f t="shared" si="57"/>
        <v>0.36948937388232428</v>
      </c>
      <c r="V201" s="383">
        <f t="shared" si="58"/>
        <v>57.232886761628222</v>
      </c>
      <c r="W201" s="402">
        <f t="shared" si="59"/>
        <v>0</v>
      </c>
      <c r="X201" s="157">
        <f t="shared" si="60"/>
        <v>44748</v>
      </c>
      <c r="Y201" s="385">
        <f t="shared" si="61"/>
        <v>44.664181198149883</v>
      </c>
      <c r="Z201" s="385">
        <f t="shared" si="62"/>
        <v>46.144839912927395</v>
      </c>
      <c r="AA201" s="386">
        <f t="shared" si="63"/>
        <v>49.962313265371677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7.6407057699030348E-2</v>
      </c>
      <c r="AD201" s="231">
        <f>(INDEX(Models!$BJ201:$BT201,,AH201)*(1-AF201)+INDEX(Models!$BJ201:$BT201,,AH201+1)*AF201-ERP_i)*AE201*Ramure*Pc/MaxiM</f>
        <v>8.3531892262499085E-5</v>
      </c>
      <c r="AE201" s="305">
        <f t="shared" si="65"/>
        <v>0.5</v>
      </c>
      <c r="AF201" s="177">
        <f t="shared" si="66"/>
        <v>0.36948937388232428</v>
      </c>
      <c r="AG201" s="811">
        <f t="shared" si="74"/>
        <v>0</v>
      </c>
      <c r="AH201" s="176">
        <f t="shared" si="67"/>
        <v>6</v>
      </c>
      <c r="AI201" s="225">
        <f t="shared" si="68"/>
        <v>0.36948937388232428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40">
        <v>53.164000000000001</v>
      </c>
      <c r="C202" s="841"/>
      <c r="D202" s="393">
        <f t="shared" si="50"/>
        <v>54.927638587382766</v>
      </c>
      <c r="E202" s="385">
        <f t="shared" si="75"/>
        <v>57.389672129658159</v>
      </c>
      <c r="F202" s="385">
        <f t="shared" si="51"/>
        <v>57.394276612159018</v>
      </c>
      <c r="G202" s="110">
        <f t="shared" si="76"/>
        <v>0.93052253293071885</v>
      </c>
      <c r="H202" s="414" t="b">
        <f>Wh_hp&gt;='2021'!Maxi_hp</f>
        <v>1</v>
      </c>
      <c r="I202" s="380">
        <f>IF(H202,Wh_hp,'2021'!Maxi_hp)</f>
        <v>57.394276612159018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3.2108399937438525E-2</v>
      </c>
      <c r="M202" s="845"/>
      <c r="N202" s="845"/>
      <c r="O202" s="48">
        <f>IF(t&lt;Tnet,'2021'!Resal+('2021'!Salim-'2021'!Resal)*(1-EXP(('2021'!Tnet-t)/('2021'!Tau_j))),Resal+(Salim-Resal)*(1-EXP((Tnet-t)/(Tau_j))))*Salcycl</f>
        <v>4.2900289388533554E-2</v>
      </c>
      <c r="P202" s="339">
        <f>(INDEX(Models!$BJ202:$BT202,,T202)*(1-R202)+INDEX(Models!$BJ202:$BT202,,T202+1)*R202-ERP_i)*Q202*Ramure*Pc/MaxiM</f>
        <v>8.906437060555895E-5</v>
      </c>
      <c r="Q202" s="305">
        <f t="shared" si="53"/>
        <v>0.5</v>
      </c>
      <c r="R202" s="177">
        <f t="shared" si="54"/>
        <v>0.37336716559736388</v>
      </c>
      <c r="S202" s="811">
        <f t="shared" si="55"/>
        <v>0</v>
      </c>
      <c r="T202" s="176">
        <f t="shared" si="56"/>
        <v>6</v>
      </c>
      <c r="U202" s="251">
        <f t="shared" si="57"/>
        <v>0.37336716559736388</v>
      </c>
      <c r="V202" s="383">
        <f t="shared" si="58"/>
        <v>57.132985144651144</v>
      </c>
      <c r="W202" s="402">
        <f t="shared" si="59"/>
        <v>0</v>
      </c>
      <c r="X202" s="157">
        <f t="shared" si="60"/>
        <v>44749</v>
      </c>
      <c r="Y202" s="385">
        <f t="shared" si="61"/>
        <v>51.299915212835444</v>
      </c>
      <c r="Z202" s="385">
        <f t="shared" si="62"/>
        <v>53.001715491197132</v>
      </c>
      <c r="AA202" s="386">
        <f t="shared" si="63"/>
        <v>57.389672129658159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7.6458994722037987E-2</v>
      </c>
      <c r="AD202" s="231">
        <f>(INDEX(Models!$BJ202:$BT202,,AH202)*(1-AF202)+INDEX(Models!$BJ202:$BT202,,AH202+1)*AF202-ERP_i)*AE202*Ramure*Pc/MaxiM</f>
        <v>8.906437060555895E-5</v>
      </c>
      <c r="AE202" s="305">
        <f t="shared" si="65"/>
        <v>0.5</v>
      </c>
      <c r="AF202" s="177">
        <f t="shared" si="66"/>
        <v>0.37336716559736388</v>
      </c>
      <c r="AG202" s="811">
        <f t="shared" si="74"/>
        <v>0</v>
      </c>
      <c r="AH202" s="176">
        <f t="shared" si="67"/>
        <v>6</v>
      </c>
      <c r="AI202" s="225">
        <f t="shared" si="68"/>
        <v>0.37336716559736388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40">
        <v>55.911000000000001</v>
      </c>
      <c r="C203" s="841"/>
      <c r="D203" s="393">
        <f t="shared" si="50"/>
        <v>57.767031574197112</v>
      </c>
      <c r="E203" s="385">
        <f t="shared" si="75"/>
        <v>60.362111520728845</v>
      </c>
      <c r="F203" s="385">
        <f t="shared" si="51"/>
        <v>60.367714785185662</v>
      </c>
      <c r="G203" s="110">
        <f t="shared" si="76"/>
        <v>0.98035485065533123</v>
      </c>
      <c r="H203" s="414" t="b">
        <f>Wh_hp&gt;='2021'!Maxi_hp</f>
        <v>0</v>
      </c>
      <c r="I203" s="380">
        <f>IF(H203,Wh_hp,'2021'!Maxi_hp)</f>
        <v>63.132463716134929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3.2129599247508245E-2</v>
      </c>
      <c r="M203" s="845"/>
      <c r="N203" s="845"/>
      <c r="O203" s="48">
        <f>IF(t&lt;Tnet,'2021'!Resal+('2021'!Salim-'2021'!Resal)*(1-EXP(('2021'!Tnet-t)/('2021'!Tau_j))),Resal+(Salim-Resal)*(1-EXP((Tnet-t)/(Tau_j))))*Salcycl</f>
        <v>4.2991868262271721E-2</v>
      </c>
      <c r="P203" s="339">
        <f>(INDEX(Models!$BJ203:$BT203,,T203)*(1-R203)+INDEX(Models!$BJ203:$BT203,,T203+1)*R203-ERP_i)*Q203*Ramure*Pc/MaxiM</f>
        <v>9.5498656470728038E-5</v>
      </c>
      <c r="Q203" s="305">
        <f t="shared" si="53"/>
        <v>0.5</v>
      </c>
      <c r="R203" s="177">
        <f t="shared" si="54"/>
        <v>0.37716545716296629</v>
      </c>
      <c r="S203" s="811">
        <f t="shared" si="55"/>
        <v>0</v>
      </c>
      <c r="T203" s="176">
        <f t="shared" si="56"/>
        <v>6</v>
      </c>
      <c r="U203" s="251">
        <f t="shared" si="57"/>
        <v>0.37716545716296629</v>
      </c>
      <c r="V203" s="383">
        <f t="shared" si="58"/>
        <v>57.031237332543164</v>
      </c>
      <c r="W203" s="402">
        <f t="shared" si="59"/>
        <v>0</v>
      </c>
      <c r="X203" s="157">
        <f t="shared" si="60"/>
        <v>44750</v>
      </c>
      <c r="Y203" s="385">
        <f t="shared" si="61"/>
        <v>53.952785400540343</v>
      </c>
      <c r="Z203" s="385">
        <f t="shared" si="62"/>
        <v>55.743811732018649</v>
      </c>
      <c r="AA203" s="386">
        <f t="shared" si="63"/>
        <v>60.362111520728845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7.650991114060407E-2</v>
      </c>
      <c r="AD203" s="231">
        <f>(INDEX(Models!$BJ203:$BT203,,AH203)*(1-AF203)+INDEX(Models!$BJ203:$BT203,,AH203+1)*AF203-ERP_i)*AE203*Ramure*Pc/MaxiM</f>
        <v>9.5498656470728038E-5</v>
      </c>
      <c r="AE203" s="305">
        <f t="shared" si="65"/>
        <v>0.5</v>
      </c>
      <c r="AF203" s="177">
        <f t="shared" si="66"/>
        <v>0.37716545716296629</v>
      </c>
      <c r="AG203" s="811">
        <f t="shared" si="74"/>
        <v>0</v>
      </c>
      <c r="AH203" s="176">
        <f t="shared" si="67"/>
        <v>6</v>
      </c>
      <c r="AI203" s="225">
        <f t="shared" si="68"/>
        <v>0.37716545716296629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40">
        <v>55.19</v>
      </c>
      <c r="C204" s="841"/>
      <c r="D204" s="393">
        <f t="shared" si="50"/>
        <v>57.023346086633353</v>
      </c>
      <c r="E204" s="385">
        <f t="shared" si="75"/>
        <v>59.59068105221516</v>
      </c>
      <c r="F204" s="385">
        <f t="shared" si="51"/>
        <v>59.596543023912986</v>
      </c>
      <c r="G204" s="110">
        <f t="shared" si="76"/>
        <v>0.96947194914530266</v>
      </c>
      <c r="H204" s="414" t="b">
        <f>Wh_hp&gt;='2021'!Maxi_hp</f>
        <v>0</v>
      </c>
      <c r="I204" s="380">
        <f>IF(H204,Wh_hp,'2021'!Maxi_hp)</f>
        <v>60.536567302517156</v>
      </c>
      <c r="J204" s="85">
        <f>IF(H204,An,'2021'!An_max)</f>
        <v>2020</v>
      </c>
      <c r="K204" s="197">
        <f t="shared" si="52"/>
        <v>44751</v>
      </c>
      <c r="L204" s="147">
        <f>IF(t&lt;Tvie,1-EXP((T0-t)*PertePVj)+'2021'!Pspv,1-EXP((T0-t)*PertePVj)+Pspv)</f>
        <v>3.2150798093258603E-2</v>
      </c>
      <c r="M204" s="845"/>
      <c r="N204" s="845"/>
      <c r="O204" s="48">
        <f>IF(t&lt;Tnet,'2021'!Resal+('2021'!Salim-'2021'!Resal)*(1-EXP(('2021'!Tnet-t)/('2021'!Tau_j))),Resal+(Salim-Resal)*(1-EXP((Tnet-t)/(Tau_j))))*Salcycl</f>
        <v>4.3082826379047964E-2</v>
      </c>
      <c r="P204" s="339">
        <f>(INDEX(Models!$BJ204:$BT204,,T204)*(1-R204)+INDEX(Models!$BJ204:$BT204,,T204+1)*R204-ERP_i)*Q204*Ramure*Pc/MaxiM</f>
        <v>1.0284554481764892E-4</v>
      </c>
      <c r="Q204" s="305">
        <f t="shared" si="53"/>
        <v>0.5</v>
      </c>
      <c r="R204" s="177">
        <f t="shared" si="54"/>
        <v>0.38088356028841835</v>
      </c>
      <c r="S204" s="811">
        <f t="shared" si="55"/>
        <v>0</v>
      </c>
      <c r="T204" s="176">
        <f t="shared" si="56"/>
        <v>6</v>
      </c>
      <c r="U204" s="251">
        <f t="shared" si="57"/>
        <v>0.38088356028841835</v>
      </c>
      <c r="V204" s="383">
        <f t="shared" si="58"/>
        <v>56.9276424332811</v>
      </c>
      <c r="W204" s="402">
        <f t="shared" si="59"/>
        <v>0</v>
      </c>
      <c r="X204" s="157">
        <f t="shared" si="60"/>
        <v>44751</v>
      </c>
      <c r="Y204" s="385">
        <f t="shared" si="61"/>
        <v>53.259220028694692</v>
      </c>
      <c r="Z204" s="385">
        <f t="shared" si="62"/>
        <v>55.028427903613199</v>
      </c>
      <c r="AA204" s="386">
        <f t="shared" si="63"/>
        <v>59.59068105221516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7.6559842378783646E-2</v>
      </c>
      <c r="AD204" s="231">
        <f>(INDEX(Models!$BJ204:$BT204,,AH204)*(1-AF204)+INDEX(Models!$BJ204:$BT204,,AH204+1)*AF204-ERP_i)*AE204*Ramure*Pc/MaxiM</f>
        <v>1.0284554481764892E-4</v>
      </c>
      <c r="AE204" s="305">
        <f t="shared" si="65"/>
        <v>0.5</v>
      </c>
      <c r="AF204" s="177">
        <f t="shared" si="66"/>
        <v>0.38088356028841835</v>
      </c>
      <c r="AG204" s="811">
        <f t="shared" si="74"/>
        <v>0</v>
      </c>
      <c r="AH204" s="176">
        <f t="shared" si="67"/>
        <v>6</v>
      </c>
      <c r="AI204" s="225">
        <f t="shared" si="68"/>
        <v>0.38088356028841835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40">
        <v>54.487000000000002</v>
      </c>
      <c r="C205" s="841"/>
      <c r="D205" s="393">
        <f t="shared" si="50"/>
        <v>56.298226339320479</v>
      </c>
      <c r="E205" s="385">
        <f t="shared" si="75"/>
        <v>58.838470329548841</v>
      </c>
      <c r="F205" s="385">
        <f t="shared" si="51"/>
        <v>58.844625060904086</v>
      </c>
      <c r="G205" s="110">
        <f t="shared" si="76"/>
        <v>0.95890077358848702</v>
      </c>
      <c r="H205" s="414" t="b">
        <f>Wh_hp&gt;='2021'!Maxi_hp</f>
        <v>0</v>
      </c>
      <c r="I205" s="380">
        <f>IF(H205,Wh_hp,'2021'!Maxi_hp)</f>
        <v>59.982897259607313</v>
      </c>
      <c r="J205" s="85">
        <f>IF(H205,An,'2021'!An_max)</f>
        <v>2019</v>
      </c>
      <c r="K205" s="197">
        <f t="shared" si="52"/>
        <v>44752</v>
      </c>
      <c r="L205" s="147">
        <f>IF(t&lt;Tvie,1-EXP((T0-t)*PertePVj)+'2021'!Pspv,1-EXP((T0-t)*PertePVj)+Pspv)</f>
        <v>3.2171996474699927E-2</v>
      </c>
      <c r="M205" s="845"/>
      <c r="N205" s="845"/>
      <c r="O205" s="48">
        <f>IF(t&lt;Tnet,'2021'!Resal+('2021'!Salim-'2021'!Resal)*(1-EXP(('2021'!Tnet-t)/('2021'!Tau_j))),Resal+(Salim-Resal)*(1-EXP((Tnet-t)/(Tau_j))))*Salcycl</f>
        <v>4.3173182035506533E-2</v>
      </c>
      <c r="P205" s="339">
        <f>(INDEX(Models!$BJ205:$BT205,,T205)*(1-R205)+INDEX(Models!$BJ205:$BT205,,T205+1)*R205-ERP_i)*Q205*Ramure*Pc/MaxiM</f>
        <v>1.1111589809259638E-4</v>
      </c>
      <c r="Q205" s="305">
        <f t="shared" si="53"/>
        <v>0.5</v>
      </c>
      <c r="R205" s="177">
        <f t="shared" si="54"/>
        <v>0.38452094793624708</v>
      </c>
      <c r="S205" s="811">
        <f t="shared" si="55"/>
        <v>0</v>
      </c>
      <c r="T205" s="176">
        <f t="shared" si="56"/>
        <v>6</v>
      </c>
      <c r="U205" s="251">
        <f t="shared" si="57"/>
        <v>0.38452094793624708</v>
      </c>
      <c r="V205" s="383">
        <f t="shared" si="58"/>
        <v>56.821984136678864</v>
      </c>
      <c r="W205" s="402">
        <f t="shared" si="59"/>
        <v>0</v>
      </c>
      <c r="X205" s="157">
        <f t="shared" si="60"/>
        <v>44752</v>
      </c>
      <c r="Y205" s="385">
        <f t="shared" si="61"/>
        <v>52.582989955781095</v>
      </c>
      <c r="Z205" s="385">
        <f t="shared" si="62"/>
        <v>54.330924259525744</v>
      </c>
      <c r="AA205" s="386">
        <f t="shared" si="63"/>
        <v>58.838470329548841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7.6608824885771976E-2</v>
      </c>
      <c r="AD205" s="231">
        <f>(INDEX(Models!$BJ205:$BT205,,AH205)*(1-AF205)+INDEX(Models!$BJ205:$BT205,,AH205+1)*AF205-ERP_i)*AE205*Ramure*Pc/MaxiM</f>
        <v>1.1111589809259638E-4</v>
      </c>
      <c r="AE205" s="305">
        <f t="shared" si="65"/>
        <v>0.5</v>
      </c>
      <c r="AF205" s="177">
        <f t="shared" si="66"/>
        <v>0.38452094793624708</v>
      </c>
      <c r="AG205" s="811">
        <f t="shared" si="74"/>
        <v>0</v>
      </c>
      <c r="AH205" s="176">
        <f t="shared" si="67"/>
        <v>6</v>
      </c>
      <c r="AI205" s="225">
        <f t="shared" si="68"/>
        <v>0.38452094793624708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40">
        <v>53.045000000000002</v>
      </c>
      <c r="C206" s="841"/>
      <c r="D206" s="393">
        <f t="shared" si="50"/>
        <v>54.809492651446256</v>
      </c>
      <c r="E206" s="385">
        <f t="shared" si="75"/>
        <v>57.287938087741828</v>
      </c>
      <c r="F206" s="385">
        <f t="shared" si="51"/>
        <v>57.294204421658385</v>
      </c>
      <c r="G206" s="110">
        <f t="shared" si="76"/>
        <v>0.93529488166971353</v>
      </c>
      <c r="H206" s="414" t="b">
        <f>Wh_hp&gt;='2021'!Maxi_hp</f>
        <v>0</v>
      </c>
      <c r="I206" s="380">
        <f>IF(H206,Wh_hp,'2021'!Maxi_hp)</f>
        <v>61.452728703103304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3.2193194391842206E-2</v>
      </c>
      <c r="M206" s="845"/>
      <c r="N206" s="845"/>
      <c r="O206" s="48">
        <f>IF(t&lt;Tnet,'2021'!Resal+('2021'!Salim-'2021'!Resal)*(1-EXP(('2021'!Tnet-t)/('2021'!Tau_j))),Resal+(Salim-Resal)*(1-EXP((Tnet-t)/(Tau_j))))*Salcycl</f>
        <v>4.3262954105619922E-2</v>
      </c>
      <c r="P206" s="339">
        <f>(INDEX(Models!$BJ206:$BT206,,T206)*(1-R206)+INDEX(Models!$BJ206:$BT206,,T206+1)*R206-ERP_i)*Q206*Ramure*Pc/MaxiM</f>
        <v>1.2050870015553226E-4</v>
      </c>
      <c r="Q206" s="305">
        <f t="shared" si="53"/>
        <v>0.5</v>
      </c>
      <c r="R206" s="177">
        <f t="shared" si="54"/>
        <v>0.38807724899461138</v>
      </c>
      <c r="S206" s="811">
        <f t="shared" si="55"/>
        <v>0</v>
      </c>
      <c r="T206" s="176">
        <f t="shared" si="56"/>
        <v>6</v>
      </c>
      <c r="U206" s="251">
        <f t="shared" si="57"/>
        <v>0.38807724899461138</v>
      </c>
      <c r="V206" s="383">
        <f t="shared" si="58"/>
        <v>56.714101813705796</v>
      </c>
      <c r="W206" s="402">
        <f t="shared" si="59"/>
        <v>0</v>
      </c>
      <c r="X206" s="157">
        <f t="shared" si="60"/>
        <v>44753</v>
      </c>
      <c r="Y206" s="385">
        <f t="shared" si="61"/>
        <v>51.193517766441914</v>
      </c>
      <c r="Z206" s="385">
        <f t="shared" si="62"/>
        <v>52.896422581232564</v>
      </c>
      <c r="AA206" s="386">
        <f t="shared" si="63"/>
        <v>57.287938087741828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7.6656895903344471E-2</v>
      </c>
      <c r="AD206" s="231">
        <f>(INDEX(Models!$BJ206:$BT206,,AH206)*(1-AF206)+INDEX(Models!$BJ206:$BT206,,AH206+1)*AF206-ERP_i)*AE206*Ramure*Pc/MaxiM</f>
        <v>1.2050870015553226E-4</v>
      </c>
      <c r="AE206" s="305">
        <f t="shared" si="65"/>
        <v>0.5</v>
      </c>
      <c r="AF206" s="177">
        <f t="shared" si="66"/>
        <v>0.38807724899461138</v>
      </c>
      <c r="AG206" s="811">
        <f t="shared" si="74"/>
        <v>0</v>
      </c>
      <c r="AH206" s="176">
        <f t="shared" si="67"/>
        <v>6</v>
      </c>
      <c r="AI206" s="225">
        <f t="shared" si="68"/>
        <v>0.38807724899461138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40">
        <v>53.140999999999998</v>
      </c>
      <c r="C207" s="841"/>
      <c r="D207" s="393">
        <f t="shared" ref="D207:D270" si="77">Wh/(1-Ppv)</f>
        <v>54.909888669756135</v>
      </c>
      <c r="E207" s="385">
        <f t="shared" si="75"/>
        <v>57.398225850313693</v>
      </c>
      <c r="F207" s="385">
        <f t="shared" ref="F207:F270" si="78">Wh_sa/(1-Pvg*MEDIAN((-Sdif+Wh/Env_an)/Csdif,0,1))</f>
        <v>57.405083651331203</v>
      </c>
      <c r="G207" s="110">
        <f t="shared" si="76"/>
        <v>0.93880815252220984</v>
      </c>
      <c r="H207" s="414" t="b">
        <f>Wh_hp&gt;='2021'!Maxi_hp</f>
        <v>0</v>
      </c>
      <c r="I207" s="380">
        <f>IF(H207,Wh_hp,'2021'!Maxi_hp)</f>
        <v>61.87528776158792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3.2214391844695656E-2</v>
      </c>
      <c r="M207" s="845"/>
      <c r="N207" s="845"/>
      <c r="O207" s="48">
        <f>IF(t&lt;Tnet,'2021'!Resal+('2021'!Salim-'2021'!Resal)*(1-EXP(('2021'!Tnet-t)/('2021'!Tau_j))),Resal+(Salim-Resal)*(1-EXP((Tnet-t)/(Tau_j))))*Salcycl</f>
        <v>4.3352161912578624E-2</v>
      </c>
      <c r="P207" s="339">
        <f>(INDEX(Models!$BJ207:$BT207,,T207)*(1-R207)+INDEX(Models!$BJ207:$BT207,,T207+1)*R207-ERP_i)*Q207*Ramure*Pc/MaxiM</f>
        <v>1.3090457115867333E-4</v>
      </c>
      <c r="Q207" s="305">
        <f t="shared" ref="Q207:Q270" si="80">IF(OR(t&lt;Ttai,Notai),Dd+PousD*Croivg,Dens+PousD*(Croivg-Croi_tai))</f>
        <v>0.5</v>
      </c>
      <c r="R207" s="177">
        <f t="shared" ref="R207:R270" si="81">(Hp_vg-S207)/(INDEX(Echel_vg,T207+1)-S207)</f>
        <v>0.39155224254132959</v>
      </c>
      <c r="S207" s="81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0.39155224254132959</v>
      </c>
      <c r="V207" s="383">
        <f t="shared" ref="V207:V270" si="85">MaxiM*(1-Ppv)*(1-Pvg)*(1-Psa)</f>
        <v>56.604101470855248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51.288327666637741</v>
      </c>
      <c r="Z207" s="385">
        <f t="shared" ref="Z207:Z270" si="89">Wh_sa_s*(1-Psa_s)</f>
        <v>52.99554698317781</v>
      </c>
      <c r="AA207" s="386">
        <f t="shared" ref="AA207:AA270" si="90">Wh_hp*(1-Pvg_s*MEDIAN((-Sdif+Wh/Env_an)/Csdif,0,1))</f>
        <v>57.398225850313693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7.6704093234822857E-2</v>
      </c>
      <c r="AD207" s="231">
        <f>(INDEX(Models!$BJ207:$BT207,,AH207)*(1-AF207)+INDEX(Models!$BJ207:$BT207,,AH207+1)*AF207-ERP_i)*AE207*Ramure*Pc/MaxiM</f>
        <v>1.3090457115867333E-4</v>
      </c>
      <c r="AE207" s="305">
        <f t="shared" ref="AE207:AE270" si="92">IF(OR(t&lt;Ttai,Notai),Dd_s+PousD*Croivg,Dens_s+PousD*(Croivg-Croi_tai))</f>
        <v>0.5</v>
      </c>
      <c r="AF207" s="177">
        <f t="shared" ref="AF207:AF270" si="93">(Hp_vg_s-AG207)/(INDEX(Echel_vg,AH207+1)-AG207)</f>
        <v>0.39155224254132959</v>
      </c>
      <c r="AG207" s="81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0.39155224254132959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40">
        <v>52.514000000000003</v>
      </c>
      <c r="C208" s="841"/>
      <c r="D208" s="393">
        <f t="shared" si="77"/>
        <v>54.263206410627895</v>
      </c>
      <c r="E208" s="385">
        <f t="shared" si="75"/>
        <v>56.727495626578808</v>
      </c>
      <c r="F208" s="385">
        <f t="shared" si="78"/>
        <v>56.734757420394608</v>
      </c>
      <c r="G208" s="110">
        <f t="shared" si="76"/>
        <v>0.92956829402129948</v>
      </c>
      <c r="H208" s="414" t="b">
        <f>Wh_hp&gt;='2021'!Maxi_hp</f>
        <v>1</v>
      </c>
      <c r="I208" s="380">
        <f>IF(H208,Wh_hp,'2021'!Maxi_hp)</f>
        <v>56.734757420394608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3.2235588833270601E-2</v>
      </c>
      <c r="M208" s="845"/>
      <c r="N208" s="845"/>
      <c r="O208" s="48">
        <f>IF(t&lt;Tnet,'2021'!Resal+('2021'!Salim-'2021'!Resal)*(1-EXP(('2021'!Tnet-t)/('2021'!Tau_j))),Resal+(Salim-Resal)*(1-EXP((Tnet-t)/(Tau_j))))*Salcycl</f>
        <v>4.3440825101334284E-2</v>
      </c>
      <c r="P208" s="339">
        <f>(INDEX(Models!$BJ208:$BT208,,T208)*(1-R208)+INDEX(Models!$BJ208:$BT208,,T208+1)*R208-ERP_i)*Q208*Ramure*Pc/MaxiM</f>
        <v>1.4231173779781376E-4</v>
      </c>
      <c r="Q208" s="305">
        <f t="shared" si="80"/>
        <v>0.5</v>
      </c>
      <c r="R208" s="177">
        <f t="shared" si="81"/>
        <v>0.39494585175867503</v>
      </c>
      <c r="S208" s="811">
        <f t="shared" si="82"/>
        <v>0</v>
      </c>
      <c r="T208" s="176">
        <f t="shared" si="83"/>
        <v>6</v>
      </c>
      <c r="U208" s="251">
        <f t="shared" si="84"/>
        <v>0.39494585175867503</v>
      </c>
      <c r="V208" s="383">
        <f t="shared" si="85"/>
        <v>56.492081796203045</v>
      </c>
      <c r="W208" s="402">
        <f t="shared" si="86"/>
        <v>0</v>
      </c>
      <c r="X208" s="157">
        <f t="shared" si="87"/>
        <v>44755</v>
      </c>
      <c r="Y208" s="385">
        <f t="shared" si="88"/>
        <v>50.685339576991481</v>
      </c>
      <c r="Z208" s="385">
        <f t="shared" si="89"/>
        <v>52.373634525251475</v>
      </c>
      <c r="AA208" s="386">
        <f t="shared" si="90"/>
        <v>56.727495626578808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7.6750455017220831E-2</v>
      </c>
      <c r="AD208" s="231">
        <f>(INDEX(Models!$BJ208:$BT208,,AH208)*(1-AF208)+INDEX(Models!$BJ208:$BT208,,AH208+1)*AF208-ERP_i)*AE208*Ramure*Pc/MaxiM</f>
        <v>1.4231173779781376E-4</v>
      </c>
      <c r="AE208" s="305">
        <f t="shared" si="92"/>
        <v>0.5</v>
      </c>
      <c r="AF208" s="177">
        <f t="shared" si="93"/>
        <v>0.39494585175867503</v>
      </c>
      <c r="AG208" s="811">
        <f t="shared" ref="AG208:AG271" si="99">INDEX(Echel_vg,AH208)</f>
        <v>0</v>
      </c>
      <c r="AH208" s="176">
        <f t="shared" si="94"/>
        <v>6</v>
      </c>
      <c r="AI208" s="225">
        <f t="shared" si="95"/>
        <v>0.39494585175867503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40">
        <v>51.951999999999998</v>
      </c>
      <c r="C209" s="841"/>
      <c r="D209" s="393">
        <f t="shared" si="77"/>
        <v>53.683662374420308</v>
      </c>
      <c r="E209" s="385">
        <f t="shared" si="75"/>
        <v>56.126803976813235</v>
      </c>
      <c r="F209" s="385">
        <f t="shared" si="78"/>
        <v>56.134515942229029</v>
      </c>
      <c r="G209" s="110">
        <f t="shared" si="76"/>
        <v>0.92147589368533267</v>
      </c>
      <c r="H209" s="414" t="b">
        <f>Wh_hp&gt;='2021'!Maxi_hp</f>
        <v>0</v>
      </c>
      <c r="I209" s="380">
        <f>IF(H209,Wh_hp,'2021'!Maxi_hp)</f>
        <v>61.910407700916835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3.2256785357577034E-2</v>
      </c>
      <c r="M209" s="845"/>
      <c r="N209" s="845"/>
      <c r="O209" s="48">
        <f>IF(t&lt;Tnet,'2021'!Resal+('2021'!Salim-'2021'!Resal)*(1-EXP(('2021'!Tnet-t)/('2021'!Tau_j))),Resal+(Salim-Resal)*(1-EXP((Tnet-t)/(Tau_j))))*Salcycl</f>
        <v>4.352896351273141E-2</v>
      </c>
      <c r="P209" s="339">
        <f>(INDEX(Models!$BJ209:$BT209,,T209)*(1-R209)+INDEX(Models!$BJ209:$BT209,,T209+1)*R209-ERP_i)*Q209*Ramure*Pc/MaxiM</f>
        <v>1.5473824501195207E-4</v>
      </c>
      <c r="Q209" s="305">
        <f t="shared" si="80"/>
        <v>0.5</v>
      </c>
      <c r="R209" s="177">
        <f t="shared" si="81"/>
        <v>0.39825813755680795</v>
      </c>
      <c r="S209" s="811">
        <f t="shared" si="82"/>
        <v>0</v>
      </c>
      <c r="T209" s="176">
        <f t="shared" si="83"/>
        <v>6</v>
      </c>
      <c r="U209" s="251">
        <f t="shared" si="84"/>
        <v>0.39825813755680795</v>
      </c>
      <c r="V209" s="383">
        <f t="shared" si="85"/>
        <v>56.378141443392018</v>
      </c>
      <c r="W209" s="402">
        <f t="shared" si="86"/>
        <v>0</v>
      </c>
      <c r="X209" s="157">
        <f t="shared" si="87"/>
        <v>44756</v>
      </c>
      <c r="Y209" s="385">
        <f t="shared" si="88"/>
        <v>50.145055485607955</v>
      </c>
      <c r="Z209" s="385">
        <f t="shared" si="89"/>
        <v>51.816488844239885</v>
      </c>
      <c r="AA209" s="386">
        <f t="shared" si="90"/>
        <v>56.126803976813235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7.6796019498170609E-2</v>
      </c>
      <c r="AD209" s="231">
        <f>(INDEX(Models!$BJ209:$BT209,,AH209)*(1-AF209)+INDEX(Models!$BJ209:$BT209,,AH209+1)*AF209-ERP_i)*AE209*Ramure*Pc/MaxiM</f>
        <v>1.5473824501195207E-4</v>
      </c>
      <c r="AE209" s="305">
        <f t="shared" si="92"/>
        <v>0.5</v>
      </c>
      <c r="AF209" s="177">
        <f t="shared" si="93"/>
        <v>0.39825813755680795</v>
      </c>
      <c r="AG209" s="811">
        <f t="shared" si="99"/>
        <v>0</v>
      </c>
      <c r="AH209" s="176">
        <f t="shared" si="94"/>
        <v>6</v>
      </c>
      <c r="AI209" s="225">
        <f t="shared" si="95"/>
        <v>0.39825813755680795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40">
        <v>50.213999999999999</v>
      </c>
      <c r="C210" s="841"/>
      <c r="D210" s="393">
        <f t="shared" si="77"/>
        <v>51.888867914320031</v>
      </c>
      <c r="E210" s="385">
        <f t="shared" si="75"/>
        <v>54.255299448753341</v>
      </c>
      <c r="F210" s="385">
        <f t="shared" si="78"/>
        <v>54.26302442854179</v>
      </c>
      <c r="G210" s="110">
        <f t="shared" si="76"/>
        <v>0.89247386324250966</v>
      </c>
      <c r="H210" s="414" t="b">
        <f>Wh_hp&gt;='2021'!Maxi_hp</f>
        <v>0</v>
      </c>
      <c r="I210" s="380">
        <f>IF(H210,Wh_hp,'2021'!Maxi_hp)</f>
        <v>63.341573131215071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3.2277981417625168E-2</v>
      </c>
      <c r="M210" s="845"/>
      <c r="N210" s="845"/>
      <c r="O210" s="48">
        <f>IF(t&lt;Tnet,'2021'!Resal+('2021'!Salim-'2021'!Resal)*(1-EXP(('2021'!Tnet-t)/('2021'!Tau_j))),Resal+(Salim-Resal)*(1-EXP((Tnet-t)/(Tau_j))))*Salcycl</f>
        <v>4.3616597060136271E-2</v>
      </c>
      <c r="P210" s="339">
        <f>(INDEX(Models!$BJ210:$BT210,,T210)*(1-R210)+INDEX(Models!$BJ210:$BT210,,T210+1)*R210-ERP_i)*Q210*Ramure*Pc/MaxiM</f>
        <v>1.6819198598215515E-4</v>
      </c>
      <c r="Q210" s="305">
        <f t="shared" si="80"/>
        <v>0.5</v>
      </c>
      <c r="R210" s="177">
        <f t="shared" si="81"/>
        <v>0.40148929196196032</v>
      </c>
      <c r="S210" s="811">
        <f t="shared" si="82"/>
        <v>0</v>
      </c>
      <c r="T210" s="176">
        <f t="shared" si="83"/>
        <v>6</v>
      </c>
      <c r="U210" s="251">
        <f t="shared" si="84"/>
        <v>0.40148929196196032</v>
      </c>
      <c r="V210" s="383">
        <f t="shared" si="85"/>
        <v>56.262379039364284</v>
      </c>
      <c r="W210" s="402">
        <f t="shared" si="86"/>
        <v>0</v>
      </c>
      <c r="X210" s="157">
        <f t="shared" si="87"/>
        <v>44757</v>
      </c>
      <c r="Y210" s="385">
        <f t="shared" si="88"/>
        <v>48.469593554254864</v>
      </c>
      <c r="Z210" s="385">
        <f t="shared" si="89"/>
        <v>50.086277488300233</v>
      </c>
      <c r="AA210" s="386">
        <f t="shared" si="90"/>
        <v>54.255299448753341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7.6840824819167125E-2</v>
      </c>
      <c r="AD210" s="231">
        <f>(INDEX(Models!$BJ210:$BT210,,AH210)*(1-AF210)+INDEX(Models!$BJ210:$BT210,,AH210+1)*AF210-ERP_i)*AE210*Ramure*Pc/MaxiM</f>
        <v>1.6819198598215515E-4</v>
      </c>
      <c r="AE210" s="305">
        <f t="shared" si="92"/>
        <v>0.5</v>
      </c>
      <c r="AF210" s="177">
        <f t="shared" si="93"/>
        <v>0.40148929196196032</v>
      </c>
      <c r="AG210" s="811">
        <f t="shared" si="99"/>
        <v>0</v>
      </c>
      <c r="AH210" s="176">
        <f t="shared" si="94"/>
        <v>6</v>
      </c>
      <c r="AI210" s="225">
        <f t="shared" si="95"/>
        <v>0.40148929196196032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40">
        <v>51.599000000000004</v>
      </c>
      <c r="C211" s="841"/>
      <c r="D211" s="393">
        <f t="shared" si="77"/>
        <v>53.321231907969405</v>
      </c>
      <c r="E211" s="385">
        <f t="shared" si="75"/>
        <v>55.758068342482801</v>
      </c>
      <c r="F211" s="385">
        <f t="shared" si="78"/>
        <v>55.767077543305746</v>
      </c>
      <c r="G211" s="110">
        <f t="shared" si="76"/>
        <v>0.91901340616588356</v>
      </c>
      <c r="H211" s="414" t="b">
        <f>Wh_hp&gt;='2021'!Maxi_hp</f>
        <v>0</v>
      </c>
      <c r="I211" s="380">
        <f>IF(H211,Wh_hp,'2021'!Maxi_hp)</f>
        <v>61.340662594559738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3.2299177013425218E-2</v>
      </c>
      <c r="M211" s="845"/>
      <c r="N211" s="845"/>
      <c r="O211" s="48">
        <f>IF(t&lt;Tnet,'2021'!Resal+('2021'!Salim-'2021'!Resal)*(1-EXP(('2021'!Tnet-t)/('2021'!Tau_j))),Resal+(Salim-Resal)*(1-EXP((Tnet-t)/(Tau_j))))*Salcycl</f>
        <v>4.3703745609435636E-2</v>
      </c>
      <c r="P211" s="339">
        <f>(INDEX(Models!$BJ211:$BT211,,T211)*(1-R211)+INDEX(Models!$BJ211:$BT211,,T211+1)*R211-ERP_i)*Q211*Ramure*Pc/MaxiM</f>
        <v>1.82680730933205E-4</v>
      </c>
      <c r="Q211" s="305">
        <f t="shared" si="80"/>
        <v>0.5</v>
      </c>
      <c r="R211" s="177">
        <f t="shared" si="81"/>
        <v>0.40463963132330172</v>
      </c>
      <c r="S211" s="811">
        <f t="shared" si="82"/>
        <v>0</v>
      </c>
      <c r="T211" s="176">
        <f t="shared" si="83"/>
        <v>6</v>
      </c>
      <c r="U211" s="251">
        <f t="shared" si="84"/>
        <v>0.40463963132330172</v>
      </c>
      <c r="V211" s="383">
        <f t="shared" si="85"/>
        <v>56.144893186878612</v>
      </c>
      <c r="W211" s="402">
        <f t="shared" si="86"/>
        <v>0</v>
      </c>
      <c r="X211" s="157">
        <f t="shared" si="87"/>
        <v>44758</v>
      </c>
      <c r="Y211" s="385">
        <f t="shared" si="88"/>
        <v>49.808639709505229</v>
      </c>
      <c r="Z211" s="385">
        <f t="shared" si="89"/>
        <v>51.471114342739625</v>
      </c>
      <c r="AA211" s="386">
        <f t="shared" si="90"/>
        <v>55.758068342482801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7.6884908806585939E-2</v>
      </c>
      <c r="AD211" s="231">
        <f>(INDEX(Models!$BJ211:$BT211,,AH211)*(1-AF211)+INDEX(Models!$BJ211:$BT211,,AH211+1)*AF211-ERP_i)*AE211*Ramure*Pc/MaxiM</f>
        <v>1.82680730933205E-4</v>
      </c>
      <c r="AE211" s="305">
        <f t="shared" si="92"/>
        <v>0.5</v>
      </c>
      <c r="AF211" s="177">
        <f t="shared" si="93"/>
        <v>0.40463963132330172</v>
      </c>
      <c r="AG211" s="811">
        <f t="shared" si="99"/>
        <v>0</v>
      </c>
      <c r="AH211" s="176">
        <f t="shared" si="94"/>
        <v>6</v>
      </c>
      <c r="AI211" s="225">
        <f t="shared" si="95"/>
        <v>0.40463963132330172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40">
        <v>51.189</v>
      </c>
      <c r="C212" s="841"/>
      <c r="D212" s="393">
        <f t="shared" si="77"/>
        <v>52.898705859362828</v>
      </c>
      <c r="E212" s="385">
        <f t="shared" si="75"/>
        <v>55.321246990317775</v>
      </c>
      <c r="F212" s="385">
        <f t="shared" si="78"/>
        <v>55.330789787847067</v>
      </c>
      <c r="G212" s="110">
        <f t="shared" si="76"/>
        <v>0.91364510593682569</v>
      </c>
      <c r="H212" s="414" t="b">
        <f>Wh_hp&gt;='2021'!Maxi_hp</f>
        <v>0</v>
      </c>
      <c r="I212" s="380">
        <f>IF(H212,Wh_hp,'2021'!Maxi_hp)</f>
        <v>60.188178256844751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3.2320372144987286E-2</v>
      </c>
      <c r="M212" s="845"/>
      <c r="N212" s="845"/>
      <c r="O212" s="48">
        <f>IF(t&lt;Tnet,'2021'!Resal+('2021'!Salim-'2021'!Resal)*(1-EXP(('2021'!Tnet-t)/('2021'!Tau_j))),Resal+(Salim-Resal)*(1-EXP((Tnet-t)/(Tau_j))))*Salcycl</f>
        <v>4.3790428863234747E-2</v>
      </c>
      <c r="P212" s="339">
        <f>(INDEX(Models!$BJ212:$BT212,,T212)*(1-R212)+INDEX(Models!$BJ212:$BT212,,T212+1)*R212-ERP_i)*Q212*Ramure*Pc/MaxiM</f>
        <v>1.9673150457517641E-4</v>
      </c>
      <c r="Q212" s="305">
        <f t="shared" si="80"/>
        <v>0.5</v>
      </c>
      <c r="R212" s="177">
        <f t="shared" si="81"/>
        <v>0.40770958938987806</v>
      </c>
      <c r="S212" s="811">
        <f t="shared" si="82"/>
        <v>0</v>
      </c>
      <c r="T212" s="176">
        <f t="shared" si="83"/>
        <v>6</v>
      </c>
      <c r="U212" s="251">
        <f t="shared" si="84"/>
        <v>0.40770958938987806</v>
      </c>
      <c r="V212" s="383">
        <f t="shared" si="85"/>
        <v>56.02586544268059</v>
      </c>
      <c r="W212" s="402">
        <f t="shared" si="86"/>
        <v>0</v>
      </c>
      <c r="X212" s="157">
        <f t="shared" si="87"/>
        <v>44759</v>
      </c>
      <c r="Y212" s="385">
        <f t="shared" si="88"/>
        <v>49.415021799149116</v>
      </c>
      <c r="Z212" s="385">
        <f t="shared" si="89"/>
        <v>51.065477020203389</v>
      </c>
      <c r="AA212" s="386">
        <f t="shared" si="90"/>
        <v>55.321246990317775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7.692830877183994E-2</v>
      </c>
      <c r="AD212" s="231">
        <f>(INDEX(Models!$BJ212:$BT212,,AH212)*(1-AF212)+INDEX(Models!$BJ212:$BT212,,AH212+1)*AF212-ERP_i)*AE212*Ramure*Pc/MaxiM</f>
        <v>1.9673150457517641E-4</v>
      </c>
      <c r="AE212" s="305">
        <f t="shared" si="92"/>
        <v>0.5</v>
      </c>
      <c r="AF212" s="177">
        <f t="shared" si="93"/>
        <v>0.40770958938987806</v>
      </c>
      <c r="AG212" s="811">
        <f t="shared" si="99"/>
        <v>0</v>
      </c>
      <c r="AH212" s="176">
        <f t="shared" si="94"/>
        <v>6</v>
      </c>
      <c r="AI212" s="225">
        <f t="shared" si="95"/>
        <v>0.40770958938987806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40">
        <v>53.048999999999999</v>
      </c>
      <c r="C213" s="841"/>
      <c r="D213" s="393">
        <f t="shared" si="77"/>
        <v>54.822030357597363</v>
      </c>
      <c r="E213" s="385">
        <f t="shared" si="75"/>
        <v>57.337822875404974</v>
      </c>
      <c r="F213" s="385">
        <f t="shared" si="78"/>
        <v>57.34896442939926</v>
      </c>
      <c r="G213" s="110">
        <f t="shared" si="76"/>
        <v>0.94889139306872206</v>
      </c>
      <c r="H213" s="414" t="b">
        <f>Wh_hp&gt;='2021'!Maxi_hp</f>
        <v>1</v>
      </c>
      <c r="I213" s="380">
        <f>IF(H213,Wh_hp,'2021'!Maxi_hp)</f>
        <v>57.34896442939926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3.2341566812321698E-2</v>
      </c>
      <c r="M213" s="845"/>
      <c r="N213" s="845"/>
      <c r="O213" s="48">
        <f>IF(t&lt;Tnet,'2021'!Resal+('2021'!Salim-'2021'!Resal)*(1-EXP(('2021'!Tnet-t)/('2021'!Tau_j))),Resal+(Salim-Resal)*(1-EXP((Tnet-t)/(Tau_j))))*Salcycl</f>
        <v>4.3876666250032281E-2</v>
      </c>
      <c r="P213" s="339">
        <f>(INDEX(Models!$BJ213:$BT213,,T213)*(1-R213)+INDEX(Models!$BJ213:$BT213,,T213+1)*R213-ERP_i)*Q213*Ramure*Pc/MaxiM</f>
        <v>2.0957356383384762E-4</v>
      </c>
      <c r="Q213" s="305">
        <f t="shared" si="80"/>
        <v>0.5</v>
      </c>
      <c r="R213" s="177">
        <f t="shared" si="81"/>
        <v>0.41069971030616848</v>
      </c>
      <c r="S213" s="811">
        <f t="shared" si="82"/>
        <v>0</v>
      </c>
      <c r="T213" s="176">
        <f t="shared" si="83"/>
        <v>6</v>
      </c>
      <c r="U213" s="251">
        <f t="shared" si="84"/>
        <v>0.41069971030616848</v>
      </c>
      <c r="V213" s="383">
        <f t="shared" si="85"/>
        <v>55.905437370319639</v>
      </c>
      <c r="W213" s="402">
        <f t="shared" si="86"/>
        <v>0</v>
      </c>
      <c r="X213" s="157">
        <f t="shared" si="87"/>
        <v>44760</v>
      </c>
      <c r="Y213" s="385">
        <f t="shared" si="88"/>
        <v>51.212809518920878</v>
      </c>
      <c r="Z213" s="385">
        <f t="shared" si="89"/>
        <v>52.924469794795975</v>
      </c>
      <c r="AA213" s="386">
        <f t="shared" si="90"/>
        <v>57.337822875404974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7.6971061321934223E-2</v>
      </c>
      <c r="AD213" s="231">
        <f>(INDEX(Models!$BJ213:$BT213,,AH213)*(1-AF213)+INDEX(Models!$BJ213:$BT213,,AH213+1)*AF213-ERP_i)*AE213*Ramure*Pc/MaxiM</f>
        <v>2.0957356383384762E-4</v>
      </c>
      <c r="AE213" s="305">
        <f t="shared" si="92"/>
        <v>0.5</v>
      </c>
      <c r="AF213" s="177">
        <f t="shared" si="93"/>
        <v>0.41069971030616848</v>
      </c>
      <c r="AG213" s="811">
        <f t="shared" si="99"/>
        <v>0</v>
      </c>
      <c r="AH213" s="176">
        <f t="shared" si="94"/>
        <v>6</v>
      </c>
      <c r="AI213" s="225">
        <f t="shared" si="95"/>
        <v>0.41069971030616848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40">
        <v>42.558999999999997</v>
      </c>
      <c r="C214" s="841"/>
      <c r="D214" s="393">
        <f t="shared" si="77"/>
        <v>43.982391629182651</v>
      </c>
      <c r="E214" s="385">
        <f t="shared" si="75"/>
        <v>46.004880104334568</v>
      </c>
      <c r="F214" s="385">
        <f t="shared" si="78"/>
        <v>46.011610598462092</v>
      </c>
      <c r="G214" s="110">
        <f t="shared" si="76"/>
        <v>0.76287168478745193</v>
      </c>
      <c r="H214" s="414" t="b">
        <f>Wh_hp&gt;='2021'!Maxi_hp</f>
        <v>0</v>
      </c>
      <c r="I214" s="380">
        <f>IF(H214,Wh_hp,'2021'!Maxi_hp)</f>
        <v>60.582660665176114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3.2362761015438335E-2</v>
      </c>
      <c r="M214" s="845"/>
      <c r="N214" s="845"/>
      <c r="O214" s="48">
        <f>IF(t&lt;Tnet,'2021'!Resal+('2021'!Salim-'2021'!Resal)*(1-EXP(('2021'!Tnet-t)/('2021'!Tau_j))),Resal+(Salim-Resal)*(1-EXP((Tnet-t)/(Tau_j))))*Salcycl</f>
        <v>4.3962476819092003E-2</v>
      </c>
      <c r="P214" s="339">
        <f>(INDEX(Models!$BJ214:$BT214,,T214)*(1-R214)+INDEX(Models!$BJ214:$BT214,,T214+1)*R214-ERP_i)*Q214*Ramure*Pc/MaxiM</f>
        <v>2.2118889136806696E-4</v>
      </c>
      <c r="Q214" s="305">
        <f t="shared" si="80"/>
        <v>0.5</v>
      </c>
      <c r="R214" s="177">
        <f t="shared" si="81"/>
        <v>0.41361064157173222</v>
      </c>
      <c r="S214" s="811">
        <f t="shared" si="82"/>
        <v>0</v>
      </c>
      <c r="T214" s="176">
        <f t="shared" si="83"/>
        <v>6</v>
      </c>
      <c r="U214" s="251">
        <f t="shared" si="84"/>
        <v>0.41361064157173222</v>
      </c>
      <c r="V214" s="383">
        <f t="shared" si="85"/>
        <v>55.783708134324428</v>
      </c>
      <c r="W214" s="402">
        <f t="shared" si="86"/>
        <v>0</v>
      </c>
      <c r="X214" s="157">
        <f t="shared" si="87"/>
        <v>44761</v>
      </c>
      <c r="Y214" s="385">
        <f t="shared" si="88"/>
        <v>41.087712747569348</v>
      </c>
      <c r="Z214" s="385">
        <f t="shared" si="89"/>
        <v>42.461896971520844</v>
      </c>
      <c r="AA214" s="386">
        <f t="shared" si="90"/>
        <v>46.004880104334568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7.7013202181563836E-2</v>
      </c>
      <c r="AD214" s="231">
        <f>(INDEX(Models!$BJ214:$BT214,,AH214)*(1-AF214)+INDEX(Models!$BJ214:$BT214,,AH214+1)*AF214-ERP_i)*AE214*Ramure*Pc/MaxiM</f>
        <v>2.2118889136806696E-4</v>
      </c>
      <c r="AE214" s="305">
        <f t="shared" si="92"/>
        <v>0.5</v>
      </c>
      <c r="AF214" s="177">
        <f t="shared" si="93"/>
        <v>0.41361064157173222</v>
      </c>
      <c r="AG214" s="811">
        <f t="shared" si="99"/>
        <v>0</v>
      </c>
      <c r="AH214" s="176">
        <f t="shared" si="94"/>
        <v>6</v>
      </c>
      <c r="AI214" s="225">
        <f t="shared" si="95"/>
        <v>0.41361064157173222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40">
        <v>42.986000000000004</v>
      </c>
      <c r="C215" s="841"/>
      <c r="D215" s="393">
        <f t="shared" si="77"/>
        <v>44.424645716873151</v>
      </c>
      <c r="E215" s="385">
        <f t="shared" si="75"/>
        <v>46.471622111141905</v>
      </c>
      <c r="F215" s="385">
        <f t="shared" si="78"/>
        <v>46.478883601507107</v>
      </c>
      <c r="G215" s="110">
        <f t="shared" si="76"/>
        <v>0.77222712096592139</v>
      </c>
      <c r="H215" s="414" t="b">
        <f>Wh_hp&gt;='2021'!Maxi_hp</f>
        <v>0</v>
      </c>
      <c r="I215" s="380">
        <f>IF(H215,Wh_hp,'2021'!Maxi_hp)</f>
        <v>59.347072848746947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3.2383954754347632E-2</v>
      </c>
      <c r="M215" s="845"/>
      <c r="N215" s="845"/>
      <c r="O215" s="48">
        <f>IF(t&lt;Tnet,'2021'!Resal+('2021'!Salim-'2021'!Resal)*(1-EXP(('2021'!Tnet-t)/('2021'!Tau_j))),Resal+(Salim-Resal)*(1-EXP((Tnet-t)/(Tau_j))))*Salcycl</f>
        <v>4.4047879141665996E-2</v>
      </c>
      <c r="P215" s="339">
        <f>(INDEX(Models!$BJ215:$BT215,,T215)*(1-R215)+INDEX(Models!$BJ215:$BT215,,T215+1)*R215-ERP_i)*Q215*Ramure*Pc/MaxiM</f>
        <v>2.3156007673861388E-4</v>
      </c>
      <c r="Q215" s="305">
        <f t="shared" si="80"/>
        <v>0.5</v>
      </c>
      <c r="R215" s="177">
        <f t="shared" si="81"/>
        <v>0.41644312700716735</v>
      </c>
      <c r="S215" s="811">
        <f t="shared" si="82"/>
        <v>0</v>
      </c>
      <c r="T215" s="176">
        <f t="shared" si="83"/>
        <v>6</v>
      </c>
      <c r="U215" s="251">
        <f t="shared" si="84"/>
        <v>0.41644312700716735</v>
      </c>
      <c r="V215" s="383">
        <f t="shared" si="85"/>
        <v>55.660776830627853</v>
      </c>
      <c r="W215" s="402">
        <f t="shared" si="86"/>
        <v>0</v>
      </c>
      <c r="X215" s="157">
        <f t="shared" si="87"/>
        <v>44762</v>
      </c>
      <c r="Y215" s="385">
        <f t="shared" si="88"/>
        <v>41.501789641836581</v>
      </c>
      <c r="Z215" s="385">
        <f t="shared" si="89"/>
        <v>42.890762142436742</v>
      </c>
      <c r="AA215" s="386">
        <f t="shared" si="90"/>
        <v>46.471622111141905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7.7054766027773905E-2</v>
      </c>
      <c r="AD215" s="231">
        <f>(INDEX(Models!$BJ215:$BT215,,AH215)*(1-AF215)+INDEX(Models!$BJ215:$BT215,,AH215+1)*AF215-ERP_i)*AE215*Ramure*Pc/MaxiM</f>
        <v>2.3156007673861388E-4</v>
      </c>
      <c r="AE215" s="305">
        <f t="shared" si="92"/>
        <v>0.5</v>
      </c>
      <c r="AF215" s="177">
        <f t="shared" si="93"/>
        <v>0.41644312700716735</v>
      </c>
      <c r="AG215" s="811">
        <f t="shared" si="99"/>
        <v>0</v>
      </c>
      <c r="AH215" s="176">
        <f t="shared" si="94"/>
        <v>6</v>
      </c>
      <c r="AI215" s="225">
        <f t="shared" si="95"/>
        <v>0.41644312700716735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40">
        <v>50.554000000000002</v>
      </c>
      <c r="C216" s="841"/>
      <c r="D216" s="393">
        <f t="shared" si="77"/>
        <v>52.247074172649988</v>
      </c>
      <c r="E216" s="385">
        <f t="shared" si="75"/>
        <v>54.659349288927963</v>
      </c>
      <c r="F216" s="385">
        <f t="shared" si="78"/>
        <v>54.670820501129811</v>
      </c>
      <c r="G216" s="110">
        <f t="shared" si="76"/>
        <v>0.91025216754535254</v>
      </c>
      <c r="H216" s="414" t="b">
        <f>Wh_hp&gt;='2021'!Maxi_hp</f>
        <v>1</v>
      </c>
      <c r="I216" s="380">
        <f>IF(H216,Wh_hp,'2021'!Maxi_hp)</f>
        <v>54.670820501129811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3.2405148029059694E-2</v>
      </c>
      <c r="M216" s="845"/>
      <c r="N216" s="845"/>
      <c r="O216" s="48">
        <f>IF(t&lt;Tnet,'2021'!Resal+('2021'!Salim-'2021'!Resal)*(1-EXP(('2021'!Tnet-t)/('2021'!Tau_j))),Resal+(Salim-Resal)*(1-EXP((Tnet-t)/(Tau_j))))*Salcycl</f>
        <v>4.4132891219153543E-2</v>
      </c>
      <c r="P216" s="339">
        <f>(INDEX(Models!$BJ216:$BT216,,T216)*(1-R216)+INDEX(Models!$BJ216:$BT216,,T216+1)*R216-ERP_i)*Q216*Ramure*Pc/MaxiM</f>
        <v>2.4067026955791975E-4</v>
      </c>
      <c r="Q216" s="305">
        <f t="shared" si="80"/>
        <v>0.5</v>
      </c>
      <c r="R216" s="177">
        <f t="shared" si="81"/>
        <v>0.41919799976522731</v>
      </c>
      <c r="S216" s="811">
        <f t="shared" si="82"/>
        <v>0</v>
      </c>
      <c r="T216" s="176">
        <f t="shared" si="83"/>
        <v>6</v>
      </c>
      <c r="U216" s="251">
        <f t="shared" si="84"/>
        <v>0.41919799976522731</v>
      </c>
      <c r="V216" s="383">
        <f t="shared" si="85"/>
        <v>55.536742495832044</v>
      </c>
      <c r="W216" s="402">
        <f t="shared" si="86"/>
        <v>0</v>
      </c>
      <c r="X216" s="157">
        <f t="shared" si="87"/>
        <v>44763</v>
      </c>
      <c r="Y216" s="385">
        <f t="shared" si="88"/>
        <v>48.810654942372693</v>
      </c>
      <c r="Z216" s="385">
        <f t="shared" si="89"/>
        <v>50.445343774770954</v>
      </c>
      <c r="AA216" s="386">
        <f t="shared" si="90"/>
        <v>54.659349288927963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7.7095786338067768E-2</v>
      </c>
      <c r="AD216" s="231">
        <f>(INDEX(Models!$BJ216:$BT216,,AH216)*(1-AF216)+INDEX(Models!$BJ216:$BT216,,AH216+1)*AF216-ERP_i)*AE216*Ramure*Pc/MaxiM</f>
        <v>2.4067026955791975E-4</v>
      </c>
      <c r="AE216" s="305">
        <f t="shared" si="92"/>
        <v>0.5</v>
      </c>
      <c r="AF216" s="177">
        <f t="shared" si="93"/>
        <v>0.41919799976522731</v>
      </c>
      <c r="AG216" s="811">
        <f t="shared" si="99"/>
        <v>0</v>
      </c>
      <c r="AH216" s="176">
        <f t="shared" si="94"/>
        <v>6</v>
      </c>
      <c r="AI216" s="225">
        <f t="shared" si="95"/>
        <v>0.41919799976522731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40">
        <v>40.298999999999999</v>
      </c>
      <c r="C217" s="841"/>
      <c r="D217" s="393">
        <f t="shared" si="77"/>
        <v>41.649542252905384</v>
      </c>
      <c r="E217" s="385">
        <f t="shared" si="75"/>
        <v>43.576382260159548</v>
      </c>
      <c r="F217" s="385">
        <f t="shared" si="78"/>
        <v>43.582992973508119</v>
      </c>
      <c r="G217" s="110">
        <f t="shared" si="76"/>
        <v>0.727194700407369</v>
      </c>
      <c r="H217" s="414" t="b">
        <f>Wh_hp&gt;='2021'!Maxi_hp</f>
        <v>0</v>
      </c>
      <c r="I217" s="380">
        <f>IF(H217,Wh_hp,'2021'!Maxi_hp)</f>
        <v>55.563972127949256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3.2426340839584511E-2</v>
      </c>
      <c r="M217" s="845"/>
      <c r="N217" s="845"/>
      <c r="O217" s="48">
        <f>IF(t&lt;Tnet,'2021'!Resal+('2021'!Salim-'2021'!Resal)*(1-EXP(('2021'!Tnet-t)/('2021'!Tau_j))),Resal+(Salim-Resal)*(1-EXP((Tnet-t)/(Tau_j))))*Salcycl</f>
        <v>4.4217530398704241E-2</v>
      </c>
      <c r="P217" s="339">
        <f>(INDEX(Models!$BJ217:$BT217,,T217)*(1-R217)+INDEX(Models!$BJ217:$BT217,,T217+1)*R217-ERP_i)*Q217*Ramure*Pc/MaxiM</f>
        <v>2.4850313255124316E-4</v>
      </c>
      <c r="Q217" s="305">
        <f t="shared" si="80"/>
        <v>0.5</v>
      </c>
      <c r="R217" s="177">
        <f t="shared" si="81"/>
        <v>0.42187617542250644</v>
      </c>
      <c r="S217" s="811">
        <f t="shared" si="82"/>
        <v>0</v>
      </c>
      <c r="T217" s="176">
        <f t="shared" si="83"/>
        <v>6</v>
      </c>
      <c r="U217" s="251">
        <f t="shared" si="84"/>
        <v>0.42187617542250644</v>
      </c>
      <c r="V217" s="383">
        <f t="shared" si="85"/>
        <v>55.411704116751487</v>
      </c>
      <c r="W217" s="402">
        <f t="shared" si="86"/>
        <v>0</v>
      </c>
      <c r="X217" s="157">
        <f t="shared" si="87"/>
        <v>44764</v>
      </c>
      <c r="Y217" s="385">
        <f t="shared" si="88"/>
        <v>38.911034278673355</v>
      </c>
      <c r="Z217" s="385">
        <f t="shared" si="89"/>
        <v>40.215061572094982</v>
      </c>
      <c r="AA217" s="386">
        <f t="shared" si="90"/>
        <v>43.576382260159548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7.7136295252708681E-2</v>
      </c>
      <c r="AD217" s="231">
        <f>(INDEX(Models!$BJ217:$BT217,,AH217)*(1-AF217)+INDEX(Models!$BJ217:$BT217,,AH217+1)*AF217-ERP_i)*AE217*Ramure*Pc/MaxiM</f>
        <v>2.4850313255124316E-4</v>
      </c>
      <c r="AE217" s="305">
        <f t="shared" si="92"/>
        <v>0.5</v>
      </c>
      <c r="AF217" s="177">
        <f t="shared" si="93"/>
        <v>0.42187617542250644</v>
      </c>
      <c r="AG217" s="811">
        <f t="shared" si="99"/>
        <v>0</v>
      </c>
      <c r="AH217" s="176">
        <f t="shared" si="94"/>
        <v>6</v>
      </c>
      <c r="AI217" s="225">
        <f t="shared" si="95"/>
        <v>0.42187617542250644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40">
        <v>45.035000000000004</v>
      </c>
      <c r="C218" s="841"/>
      <c r="D218" s="393">
        <f t="shared" si="77"/>
        <v>46.545279501265831</v>
      </c>
      <c r="E218" s="385">
        <f t="shared" si="75"/>
        <v>48.702906575374392</v>
      </c>
      <c r="F218" s="385">
        <f t="shared" si="78"/>
        <v>48.712039485799522</v>
      </c>
      <c r="G218" s="110">
        <f t="shared" si="76"/>
        <v>0.81453084061379122</v>
      </c>
      <c r="H218" s="414" t="b">
        <f>Wh_hp&gt;='2021'!Maxi_hp</f>
        <v>0</v>
      </c>
      <c r="I218" s="380">
        <f>IF(H218,Wh_hp,'2021'!Maxi_hp)</f>
        <v>57.937152506467669</v>
      </c>
      <c r="J218" s="85">
        <f>IF(H218,An,'2021'!An_max)</f>
        <v>2019</v>
      </c>
      <c r="K218" s="197">
        <f t="shared" si="79"/>
        <v>44765</v>
      </c>
      <c r="L218" s="147">
        <f>IF(t&lt;Tvie,1-EXP((T0-t)*PertePVj)+'2021'!Pspv,1-EXP((T0-t)*PertePVj)+Pspv)</f>
        <v>3.244753318593252E-2</v>
      </c>
      <c r="M218" s="845"/>
      <c r="N218" s="845"/>
      <c r="O218" s="48">
        <f>IF(t&lt;Tnet,'2021'!Resal+('2021'!Salim-'2021'!Resal)*(1-EXP(('2021'!Tnet-t)/('2021'!Tau_j))),Resal+(Salim-Resal)*(1-EXP((Tnet-t)/(Tau_j))))*Salcycl</f>
        <v>4.4301813296693915E-2</v>
      </c>
      <c r="P218" s="339">
        <f>(INDEX(Models!$BJ218:$BT218,,T218)*(1-R218)+INDEX(Models!$BJ218:$BT218,,T218+1)*R218-ERP_i)*Q218*Ramure*Pc/MaxiM</f>
        <v>2.5504279526511453E-4</v>
      </c>
      <c r="Q218" s="305">
        <f t="shared" si="80"/>
        <v>0.5</v>
      </c>
      <c r="R218" s="177">
        <f t="shared" si="81"/>
        <v>0.42447864518363854</v>
      </c>
      <c r="S218" s="811">
        <f t="shared" si="82"/>
        <v>0</v>
      </c>
      <c r="T218" s="176">
        <f t="shared" si="83"/>
        <v>6</v>
      </c>
      <c r="U218" s="251">
        <f t="shared" si="84"/>
        <v>0.42447864518363854</v>
      </c>
      <c r="V218" s="383">
        <f t="shared" si="85"/>
        <v>55.285760639655052</v>
      </c>
      <c r="W218" s="402">
        <f t="shared" si="86"/>
        <v>0</v>
      </c>
      <c r="X218" s="157">
        <f t="shared" si="87"/>
        <v>44765</v>
      </c>
      <c r="Y218" s="385">
        <f t="shared" si="88"/>
        <v>43.485867035813015</v>
      </c>
      <c r="Z218" s="385">
        <f t="shared" si="89"/>
        <v>44.944195304469829</v>
      </c>
      <c r="AA218" s="386">
        <f t="shared" si="90"/>
        <v>48.702906575374392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7.7176323451813814E-2</v>
      </c>
      <c r="AD218" s="231">
        <f>(INDEX(Models!$BJ218:$BT218,,AH218)*(1-AF218)+INDEX(Models!$BJ218:$BT218,,AH218+1)*AF218-ERP_i)*AE218*Ramure*Pc/MaxiM</f>
        <v>2.5504279526511453E-4</v>
      </c>
      <c r="AE218" s="305">
        <f t="shared" si="92"/>
        <v>0.5</v>
      </c>
      <c r="AF218" s="177">
        <f t="shared" si="93"/>
        <v>0.42447864518363854</v>
      </c>
      <c r="AG218" s="811">
        <f t="shared" si="99"/>
        <v>0</v>
      </c>
      <c r="AH218" s="176">
        <f t="shared" si="94"/>
        <v>6</v>
      </c>
      <c r="AI218" s="225">
        <f t="shared" si="95"/>
        <v>0.42447864518363854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40">
        <v>50.509</v>
      </c>
      <c r="C219" s="841"/>
      <c r="D219" s="393">
        <f t="shared" si="77"/>
        <v>52.203997233635477</v>
      </c>
      <c r="E219" s="385">
        <f t="shared" si="75"/>
        <v>54.628734917547526</v>
      </c>
      <c r="F219" s="385">
        <f t="shared" si="78"/>
        <v>54.641243985665433</v>
      </c>
      <c r="G219" s="110">
        <f t="shared" si="76"/>
        <v>0.91567348325460618</v>
      </c>
      <c r="H219" s="414" t="b">
        <f>Wh_hp&gt;='2021'!Maxi_hp</f>
        <v>0</v>
      </c>
      <c r="I219" s="380">
        <f>IF(H219,Wh_hp,'2021'!Maxi_hp)</f>
        <v>57.924820130429069</v>
      </c>
      <c r="J219" s="85">
        <f>IF(H219,An,'2021'!An_max)</f>
        <v>2019</v>
      </c>
      <c r="K219" s="197">
        <f t="shared" si="79"/>
        <v>44766</v>
      </c>
      <c r="L219" s="147">
        <f>IF(t&lt;Tvie,1-EXP((T0-t)*PertePVj)+'2021'!Pspv,1-EXP((T0-t)*PertePVj)+Pspv)</f>
        <v>3.2468725068113713E-2</v>
      </c>
      <c r="M219" s="845"/>
      <c r="N219" s="845"/>
      <c r="O219" s="48">
        <f>IF(t&lt;Tnet,'2021'!Resal+('2021'!Salim-'2021'!Resal)*(1-EXP(('2021'!Tnet-t)/('2021'!Tau_j))),Resal+(Salim-Resal)*(1-EXP((Tnet-t)/(Tau_j))))*Salcycl</f>
        <v>4.4385755730418454E-2</v>
      </c>
      <c r="P219" s="339">
        <f>(INDEX(Models!$BJ219:$BT219,,T219)*(1-R219)+INDEX(Models!$BJ219:$BT219,,T219+1)*R219-ERP_i)*Q219*Ramure*Pc/MaxiM</f>
        <v>2.6027455948412771E-4</v>
      </c>
      <c r="Q219" s="305">
        <f t="shared" si="80"/>
        <v>0.5</v>
      </c>
      <c r="R219" s="177">
        <f t="shared" si="81"/>
        <v>0.42700646922651581</v>
      </c>
      <c r="S219" s="811">
        <f t="shared" si="82"/>
        <v>0</v>
      </c>
      <c r="T219" s="176">
        <f t="shared" si="83"/>
        <v>6</v>
      </c>
      <c r="U219" s="251">
        <f t="shared" si="84"/>
        <v>0.42700646922651581</v>
      </c>
      <c r="V219" s="383">
        <f t="shared" si="85"/>
        <v>55.158762837714924</v>
      </c>
      <c r="W219" s="402">
        <f t="shared" si="86"/>
        <v>0</v>
      </c>
      <c r="X219" s="157">
        <f t="shared" si="87"/>
        <v>44766</v>
      </c>
      <c r="Y219" s="385">
        <f t="shared" si="88"/>
        <v>48.773762408822734</v>
      </c>
      <c r="Z219" s="385">
        <f t="shared" si="89"/>
        <v>50.410527982422458</v>
      </c>
      <c r="AA219" s="386">
        <f t="shared" si="90"/>
        <v>54.628734917547526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7.7215900047689315E-2</v>
      </c>
      <c r="AD219" s="231">
        <f>(INDEX(Models!$BJ219:$BT219,,AH219)*(1-AF219)+INDEX(Models!$BJ219:$BT219,,AH219+1)*AF219-ERP_i)*AE219*Ramure*Pc/MaxiM</f>
        <v>2.6027455948412771E-4</v>
      </c>
      <c r="AE219" s="305">
        <f t="shared" si="92"/>
        <v>0.5</v>
      </c>
      <c r="AF219" s="177">
        <f t="shared" si="93"/>
        <v>0.42700646922651581</v>
      </c>
      <c r="AG219" s="811">
        <f t="shared" si="99"/>
        <v>0</v>
      </c>
      <c r="AH219" s="176">
        <f t="shared" si="94"/>
        <v>6</v>
      </c>
      <c r="AI219" s="225">
        <f t="shared" si="95"/>
        <v>0.42700646922651581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40">
        <v>25.812000000000001</v>
      </c>
      <c r="C220" s="841"/>
      <c r="D220" s="393">
        <f t="shared" si="77"/>
        <v>26.678791714763751</v>
      </c>
      <c r="E220" s="385">
        <f t="shared" si="75"/>
        <v>27.92039412591468</v>
      </c>
      <c r="F220" s="385">
        <f t="shared" si="78"/>
        <v>27.922170550043699</v>
      </c>
      <c r="G220" s="110">
        <f t="shared" si="76"/>
        <v>0.46895494085490896</v>
      </c>
      <c r="H220" s="414" t="b">
        <f>Wh_hp&gt;='2021'!Maxi_hp</f>
        <v>0</v>
      </c>
      <c r="I220" s="380">
        <f>IF(H220,Wh_hp,'2021'!Maxi_hp)</f>
        <v>58.619065963281635</v>
      </c>
      <c r="J220" s="85">
        <f>IF(H220,An,'2021'!An_max)</f>
        <v>2019</v>
      </c>
      <c r="K220" s="197">
        <f t="shared" si="79"/>
        <v>44767</v>
      </c>
      <c r="L220" s="147">
        <f>IF(t&lt;Tvie,1-EXP((T0-t)*PertePVj)+'2021'!Pspv,1-EXP((T0-t)*PertePVj)+Pspv)</f>
        <v>3.2489916486138193E-2</v>
      </c>
      <c r="M220" s="845"/>
      <c r="N220" s="845"/>
      <c r="O220" s="48">
        <f>IF(t&lt;Tnet,'2021'!Resal+('2021'!Salim-'2021'!Resal)*(1-EXP(('2021'!Tnet-t)/('2021'!Tau_j))),Resal+(Salim-Resal)*(1-EXP((Tnet-t)/(Tau_j))))*Salcycl</f>
        <v>4.4469372658264922E-2</v>
      </c>
      <c r="P220" s="339">
        <f>(INDEX(Models!$BJ220:$BT220,,T220)*(1-R220)+INDEX(Models!$BJ220:$BT220,,T220+1)*R220-ERP_i)*Q220*Ramure*Pc/MaxiM</f>
        <v>2.6344124098527628E-4</v>
      </c>
      <c r="Q220" s="305">
        <f t="shared" si="80"/>
        <v>0.5</v>
      </c>
      <c r="R220" s="177">
        <f t="shared" si="81"/>
        <v>0.42946077021365081</v>
      </c>
      <c r="S220" s="811">
        <f t="shared" si="82"/>
        <v>0</v>
      </c>
      <c r="T220" s="176">
        <f t="shared" si="83"/>
        <v>6</v>
      </c>
      <c r="U220" s="251">
        <f t="shared" si="84"/>
        <v>0.42946077021365081</v>
      </c>
      <c r="V220" s="383">
        <f t="shared" si="85"/>
        <v>55.030536309900405</v>
      </c>
      <c r="W220" s="402">
        <f t="shared" si="86"/>
        <v>0</v>
      </c>
      <c r="X220" s="157">
        <f t="shared" si="87"/>
        <v>44767</v>
      </c>
      <c r="Y220" s="385">
        <f t="shared" si="88"/>
        <v>24.926351812834309</v>
      </c>
      <c r="Z220" s="385">
        <f t="shared" si="89"/>
        <v>25.763402612100197</v>
      </c>
      <c r="AA220" s="386">
        <f t="shared" si="90"/>
        <v>27.92039412591468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7.7255052492702578E-2</v>
      </c>
      <c r="AD220" s="231">
        <f>(INDEX(Models!$BJ220:$BT220,,AH220)*(1-AF220)+INDEX(Models!$BJ220:$BT220,,AH220+1)*AF220-ERP_i)*AE220*Ramure*Pc/MaxiM</f>
        <v>2.6344124098527628E-4</v>
      </c>
      <c r="AE220" s="305">
        <f t="shared" si="92"/>
        <v>0.5</v>
      </c>
      <c r="AF220" s="177">
        <f t="shared" si="93"/>
        <v>0.42946077021365081</v>
      </c>
      <c r="AG220" s="811">
        <f t="shared" si="99"/>
        <v>0</v>
      </c>
      <c r="AH220" s="176">
        <f t="shared" si="94"/>
        <v>6</v>
      </c>
      <c r="AI220" s="225">
        <f t="shared" si="95"/>
        <v>0.42946077021365081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40">
        <v>54.258000000000003</v>
      </c>
      <c r="C221" s="841"/>
      <c r="D221" s="393">
        <f t="shared" si="77"/>
        <v>56.081263999251597</v>
      </c>
      <c r="E221" s="385">
        <f t="shared" si="75"/>
        <v>58.696343289134177</v>
      </c>
      <c r="F221" s="385">
        <f t="shared" si="78"/>
        <v>58.711602889143748</v>
      </c>
      <c r="G221" s="110">
        <f t="shared" si="76"/>
        <v>0.98828199088774071</v>
      </c>
      <c r="H221" s="414" t="b">
        <f>Wh_hp&gt;='2021'!Maxi_hp</f>
        <v>1</v>
      </c>
      <c r="I221" s="380">
        <f>IF(H221,Wh_hp,'2021'!Maxi_hp)</f>
        <v>58.711602889143748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3.2511107440016396E-2</v>
      </c>
      <c r="M221" s="845"/>
      <c r="N221" s="845"/>
      <c r="O221" s="48">
        <f>IF(t&lt;Tnet,'2021'!Resal+('2021'!Salim-'2021'!Resal)*(1-EXP(('2021'!Tnet-t)/('2021'!Tau_j))),Resal+(Salim-Resal)*(1-EXP((Tnet-t)/(Tau_j))))*Salcycl</f>
        <v>4.4552678128531371E-2</v>
      </c>
      <c r="P221" s="339">
        <f>(INDEX(Models!$BJ221:$BT221,,T221)*(1-R221)+INDEX(Models!$BJ221:$BT221,,T221+1)*R221-ERP_i)*Q221*Ramure*Pc/MaxiM</f>
        <v>2.6433099295374636E-4</v>
      </c>
      <c r="Q221" s="305">
        <f t="shared" si="80"/>
        <v>0.5</v>
      </c>
      <c r="R221" s="177">
        <f t="shared" si="81"/>
        <v>0.43184272699150972</v>
      </c>
      <c r="S221" s="811">
        <f t="shared" si="82"/>
        <v>0</v>
      </c>
      <c r="T221" s="176">
        <f t="shared" si="83"/>
        <v>6</v>
      </c>
      <c r="U221" s="251">
        <f t="shared" si="84"/>
        <v>0.43184272699150972</v>
      </c>
      <c r="V221" s="383">
        <f t="shared" si="85"/>
        <v>54.90109143039389</v>
      </c>
      <c r="W221" s="402">
        <f t="shared" si="86"/>
        <v>0</v>
      </c>
      <c r="X221" s="157">
        <f t="shared" si="87"/>
        <v>44768</v>
      </c>
      <c r="Y221" s="385">
        <f t="shared" si="88"/>
        <v>52.398694831973309</v>
      </c>
      <c r="Z221" s="385">
        <f t="shared" si="89"/>
        <v>54.159479488519942</v>
      </c>
      <c r="AA221" s="386">
        <f t="shared" si="90"/>
        <v>58.696343289134177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7.7293806502833629E-2</v>
      </c>
      <c r="AD221" s="231">
        <f>(INDEX(Models!$BJ221:$BT221,,AH221)*(1-AF221)+INDEX(Models!$BJ221:$BT221,,AH221+1)*AF221-ERP_i)*AE221*Ramure*Pc/MaxiM</f>
        <v>2.6433099295374636E-4</v>
      </c>
      <c r="AE221" s="305">
        <f t="shared" si="92"/>
        <v>0.5</v>
      </c>
      <c r="AF221" s="177">
        <f t="shared" si="93"/>
        <v>0.43184272699150972</v>
      </c>
      <c r="AG221" s="811">
        <f t="shared" si="99"/>
        <v>0</v>
      </c>
      <c r="AH221" s="176">
        <f t="shared" si="94"/>
        <v>6</v>
      </c>
      <c r="AI221" s="225">
        <f t="shared" si="95"/>
        <v>0.43184272699150972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40">
        <v>54.265999999999998</v>
      </c>
      <c r="C222" s="841"/>
      <c r="D222" s="393">
        <f t="shared" si="77"/>
        <v>56.09076135965941</v>
      </c>
      <c r="E222" s="385">
        <f t="shared" si="75"/>
        <v>58.711384225789061</v>
      </c>
      <c r="F222" s="385">
        <f t="shared" si="78"/>
        <v>58.726621651171868</v>
      </c>
      <c r="G222" s="110">
        <f t="shared" si="76"/>
        <v>0.99078671045843703</v>
      </c>
      <c r="H222" s="414" t="b">
        <f>Wh_hp&gt;='2021'!Maxi_hp</f>
        <v>1</v>
      </c>
      <c r="I222" s="380">
        <f>IF(H222,Wh_hp,'2021'!Maxi_hp)</f>
        <v>58.726621651171868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3.2532297929758203E-2</v>
      </c>
      <c r="M222" s="845"/>
      <c r="N222" s="845"/>
      <c r="O222" s="48">
        <f>IF(t&lt;Tnet,'2021'!Resal+('2021'!Salim-'2021'!Resal)*(1-EXP(('2021'!Tnet-t)/('2021'!Tau_j))),Resal+(Salim-Resal)*(1-EXP((Tnet-t)/(Tau_j))))*Salcycl</f>
        <v>4.4635685236978875E-2</v>
      </c>
      <c r="P222" s="339">
        <f>(INDEX(Models!$BJ222:$BT222,,T222)*(1-R222)+INDEX(Models!$BJ222:$BT222,,T222+1)*R222-ERP_i)*Q222*Ramure*Pc/MaxiM</f>
        <v>2.6292294286342971E-4</v>
      </c>
      <c r="Q222" s="305">
        <f t="shared" si="80"/>
        <v>0.5</v>
      </c>
      <c r="R222" s="177">
        <f t="shared" si="81"/>
        <v>0.43415356849647557</v>
      </c>
      <c r="S222" s="811">
        <f t="shared" si="82"/>
        <v>0</v>
      </c>
      <c r="T222" s="176">
        <f t="shared" si="83"/>
        <v>6</v>
      </c>
      <c r="U222" s="251">
        <f t="shared" si="84"/>
        <v>0.43415356849647557</v>
      </c>
      <c r="V222" s="383">
        <f t="shared" si="85"/>
        <v>54.770428042810018</v>
      </c>
      <c r="W222" s="402">
        <f t="shared" si="86"/>
        <v>0</v>
      </c>
      <c r="X222" s="157">
        <f t="shared" si="87"/>
        <v>44769</v>
      </c>
      <c r="Y222" s="385">
        <f t="shared" si="88"/>
        <v>52.408794028602905</v>
      </c>
      <c r="Z222" s="385">
        <f t="shared" si="89"/>
        <v>54.171104540705201</v>
      </c>
      <c r="AA222" s="386">
        <f t="shared" si="90"/>
        <v>58.711384225789061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7.7332185996894565E-2</v>
      </c>
      <c r="AD222" s="231">
        <f>(INDEX(Models!$BJ222:$BT222,,AH222)*(1-AF222)+INDEX(Models!$BJ222:$BT222,,AH222+1)*AF222-ERP_i)*AE222*Ramure*Pc/MaxiM</f>
        <v>2.6292294286342971E-4</v>
      </c>
      <c r="AE222" s="305">
        <f t="shared" si="92"/>
        <v>0.5</v>
      </c>
      <c r="AF222" s="177">
        <f t="shared" si="93"/>
        <v>0.43415356849647557</v>
      </c>
      <c r="AG222" s="811">
        <f t="shared" si="99"/>
        <v>0</v>
      </c>
      <c r="AH222" s="176">
        <f t="shared" si="94"/>
        <v>6</v>
      </c>
      <c r="AI222" s="225">
        <f t="shared" si="95"/>
        <v>0.43415356849647557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40">
        <v>43.548999999999999</v>
      </c>
      <c r="C223" s="841"/>
      <c r="D223" s="393">
        <f t="shared" si="77"/>
        <v>45.014374911500205</v>
      </c>
      <c r="E223" s="385">
        <f t="shared" si="75"/>
        <v>47.121576714779394</v>
      </c>
      <c r="F223" s="385">
        <f t="shared" si="78"/>
        <v>47.130250731581562</v>
      </c>
      <c r="G223" s="110">
        <f t="shared" si="76"/>
        <v>0.79697813619114954</v>
      </c>
      <c r="H223" s="414" t="b">
        <f>Wh_hp&gt;='2021'!Maxi_hp</f>
        <v>0</v>
      </c>
      <c r="I223" s="380">
        <f>IF(H223,Wh_hp,'2021'!Maxi_hp)</f>
        <v>56.44038029737262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3.2553487955373939E-2</v>
      </c>
      <c r="M223" s="845"/>
      <c r="N223" s="845"/>
      <c r="O223" s="48">
        <f>IF(t&lt;Tnet,'2021'!Resal+('2021'!Salim-'2021'!Resal)*(1-EXP(('2021'!Tnet-t)/('2021'!Tau_j))),Resal+(Salim-Resal)*(1-EXP((Tnet-t)/(Tau_j))))*Salcycl</f>
        <v>4.4718406093110896E-2</v>
      </c>
      <c r="P223" s="339">
        <f>(INDEX(Models!$BJ223:$BT223,,T223)*(1-R223)+INDEX(Models!$BJ223:$BT223,,T223+1)*R223-ERP_i)*Q223*Ramure*Pc/MaxiM</f>
        <v>2.5919636988131151E-4</v>
      </c>
      <c r="Q223" s="305">
        <f t="shared" si="80"/>
        <v>0.5</v>
      </c>
      <c r="R223" s="177">
        <f t="shared" si="81"/>
        <v>0.43639456788305708</v>
      </c>
      <c r="S223" s="811">
        <f t="shared" si="82"/>
        <v>0</v>
      </c>
      <c r="T223" s="176">
        <f t="shared" si="83"/>
        <v>6</v>
      </c>
      <c r="U223" s="251">
        <f t="shared" si="84"/>
        <v>0.43639456788305708</v>
      </c>
      <c r="V223" s="383">
        <f t="shared" si="85"/>
        <v>54.638546013054729</v>
      </c>
      <c r="W223" s="402">
        <f t="shared" si="86"/>
        <v>0</v>
      </c>
      <c r="X223" s="157">
        <f t="shared" si="87"/>
        <v>44770</v>
      </c>
      <c r="Y223" s="385">
        <f t="shared" si="88"/>
        <v>42.060482320720986</v>
      </c>
      <c r="Z223" s="385">
        <f t="shared" si="89"/>
        <v>43.475770285045833</v>
      </c>
      <c r="AA223" s="386">
        <f t="shared" si="90"/>
        <v>47.121576714779394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7.7370213051255493E-2</v>
      </c>
      <c r="AD223" s="231">
        <f>(INDEX(Models!$BJ223:$BT223,,AH223)*(1-AF223)+INDEX(Models!$BJ223:$BT223,,AH223+1)*AF223-ERP_i)*AE223*Ramure*Pc/MaxiM</f>
        <v>2.5919636988131151E-4</v>
      </c>
      <c r="AE223" s="305">
        <f t="shared" si="92"/>
        <v>0.5</v>
      </c>
      <c r="AF223" s="177">
        <f t="shared" si="93"/>
        <v>0.43639456788305708</v>
      </c>
      <c r="AG223" s="811">
        <f t="shared" si="99"/>
        <v>0</v>
      </c>
      <c r="AH223" s="176">
        <f t="shared" si="94"/>
        <v>6</v>
      </c>
      <c r="AI223" s="225">
        <f t="shared" si="95"/>
        <v>0.43639456788305708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40">
        <v>29.459</v>
      </c>
      <c r="C224" s="841"/>
      <c r="D224" s="393">
        <f t="shared" si="77"/>
        <v>30.450929198738045</v>
      </c>
      <c r="E224" s="385">
        <f t="shared" si="75"/>
        <v>31.879141910840179</v>
      </c>
      <c r="F224" s="385">
        <f t="shared" si="78"/>
        <v>31.88191437930762</v>
      </c>
      <c r="G224" s="110">
        <f t="shared" si="76"/>
        <v>0.54038829042370817</v>
      </c>
      <c r="H224" s="414" t="b">
        <f>Wh_hp&gt;='2021'!Maxi_hp</f>
        <v>0</v>
      </c>
      <c r="I224" s="380">
        <f>IF(H224,Wh_hp,'2021'!Maxi_hp)</f>
        <v>59.643858292588483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3.2574677516873707E-2</v>
      </c>
      <c r="M224" s="845"/>
      <c r="N224" s="845"/>
      <c r="O224" s="48">
        <f>IF(t&lt;Tnet,'2021'!Resal+('2021'!Salim-'2021'!Resal)*(1-EXP(('2021'!Tnet-t)/('2021'!Tau_j))),Resal+(Salim-Resal)*(1-EXP((Tnet-t)/(Tau_j))))*Salcycl</f>
        <v>4.4800851795088172E-2</v>
      </c>
      <c r="P224" s="339">
        <f>(INDEX(Models!$BJ224:$BT224,,T224)*(1-R224)+INDEX(Models!$BJ224:$BT224,,T224+1)*R224-ERP_i)*Q224*Ramure*Pc/MaxiM</f>
        <v>2.5313063882528202E-4</v>
      </c>
      <c r="Q224" s="305">
        <f t="shared" si="80"/>
        <v>0.5</v>
      </c>
      <c r="R224" s="177">
        <f t="shared" si="81"/>
        <v>0.43856703688709048</v>
      </c>
      <c r="S224" s="811">
        <f t="shared" si="82"/>
        <v>0</v>
      </c>
      <c r="T224" s="176">
        <f t="shared" si="83"/>
        <v>6</v>
      </c>
      <c r="U224" s="251">
        <f t="shared" si="84"/>
        <v>0.43856703688709048</v>
      </c>
      <c r="V224" s="383">
        <f t="shared" si="85"/>
        <v>54.505445234973855</v>
      </c>
      <c r="W224" s="402">
        <f t="shared" si="86"/>
        <v>0</v>
      </c>
      <c r="X224" s="157">
        <f t="shared" si="87"/>
        <v>44771</v>
      </c>
      <c r="Y224" s="385">
        <f t="shared" si="88"/>
        <v>28.453375919713526</v>
      </c>
      <c r="Z224" s="385">
        <f t="shared" si="89"/>
        <v>29.411444230838608</v>
      </c>
      <c r="AA224" s="386">
        <f t="shared" si="90"/>
        <v>31.879141910840179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7.740790786976777E-2</v>
      </c>
      <c r="AD224" s="231">
        <f>(INDEX(Models!$BJ224:$BT224,,AH224)*(1-AF224)+INDEX(Models!$BJ224:$BT224,,AH224+1)*AF224-ERP_i)*AE224*Ramure*Pc/MaxiM</f>
        <v>2.5313063882528202E-4</v>
      </c>
      <c r="AE224" s="305">
        <f t="shared" si="92"/>
        <v>0.5</v>
      </c>
      <c r="AF224" s="177">
        <f t="shared" si="93"/>
        <v>0.43856703688709048</v>
      </c>
      <c r="AG224" s="811">
        <f t="shared" si="99"/>
        <v>0</v>
      </c>
      <c r="AH224" s="176">
        <f t="shared" si="94"/>
        <v>6</v>
      </c>
      <c r="AI224" s="225">
        <f t="shared" si="95"/>
        <v>0.43856703688709048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40">
        <v>49.578000000000003</v>
      </c>
      <c r="C225" s="841"/>
      <c r="D225" s="393">
        <f t="shared" si="77"/>
        <v>51.248488908649108</v>
      </c>
      <c r="E225" s="385">
        <f t="shared" si="75"/>
        <v>53.656767336181233</v>
      </c>
      <c r="F225" s="385">
        <f t="shared" si="78"/>
        <v>53.668246317841763</v>
      </c>
      <c r="G225" s="110">
        <f t="shared" si="76"/>
        <v>0.91181617508120139</v>
      </c>
      <c r="H225" s="414" t="b">
        <f>Wh_hp&gt;='2021'!Maxi_hp</f>
        <v>0</v>
      </c>
      <c r="I225" s="380">
        <f>IF(H225,Wh_hp,'2021'!Maxi_hp)</f>
        <v>55.994393253662331</v>
      </c>
      <c r="J225" s="85">
        <f>IF(H225,An,'2021'!An_max)</f>
        <v>2018</v>
      </c>
      <c r="K225" s="197">
        <f t="shared" si="79"/>
        <v>44772</v>
      </c>
      <c r="L225" s="147">
        <f>IF(t&lt;Tvie,1-EXP((T0-t)*PertePVj)+'2021'!Pspv,1-EXP((T0-t)*PertePVj)+Pspv)</f>
        <v>3.2595866614267721E-2</v>
      </c>
      <c r="M225" s="845"/>
      <c r="N225" s="845"/>
      <c r="O225" s="48">
        <f>IF(t&lt;Tnet,'2021'!Resal+('2021'!Salim-'2021'!Resal)*(1-EXP(('2021'!Tnet-t)/('2021'!Tau_j))),Resal+(Salim-Resal)*(1-EXP((Tnet-t)/(Tau_j))))*Salcycl</f>
        <v>4.488303241310259E-2</v>
      </c>
      <c r="P225" s="339">
        <f>(INDEX(Models!$BJ225:$BT225,,T225)*(1-R225)+INDEX(Models!$BJ225:$BT225,,T225+1)*R225-ERP_i)*Q225*Ramure*Pc/MaxiM</f>
        <v>2.4470514024748242E-4</v>
      </c>
      <c r="Q225" s="305">
        <f t="shared" si="80"/>
        <v>0.5</v>
      </c>
      <c r="R225" s="177">
        <f t="shared" si="81"/>
        <v>0.44067232043397292</v>
      </c>
      <c r="S225" s="811">
        <f t="shared" si="82"/>
        <v>0</v>
      </c>
      <c r="T225" s="176">
        <f t="shared" si="83"/>
        <v>6</v>
      </c>
      <c r="U225" s="251">
        <f t="shared" si="84"/>
        <v>0.44067232043397292</v>
      </c>
      <c r="V225" s="383">
        <f t="shared" si="85"/>
        <v>54.371125633154172</v>
      </c>
      <c r="W225" s="402">
        <f t="shared" si="86"/>
        <v>0</v>
      </c>
      <c r="X225" s="157">
        <f t="shared" si="87"/>
        <v>44772</v>
      </c>
      <c r="Y225" s="385">
        <f t="shared" si="88"/>
        <v>47.887765609479921</v>
      </c>
      <c r="Z225" s="385">
        <f t="shared" si="89"/>
        <v>49.501303495449996</v>
      </c>
      <c r="AA225" s="386">
        <f t="shared" si="90"/>
        <v>53.656767336181233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7.7445288768434081E-2</v>
      </c>
      <c r="AD225" s="231">
        <f>(INDEX(Models!$BJ225:$BT225,,AH225)*(1-AF225)+INDEX(Models!$BJ225:$BT225,,AH225+1)*AF225-ERP_i)*AE225*Ramure*Pc/MaxiM</f>
        <v>2.4470514024748242E-4</v>
      </c>
      <c r="AE225" s="305">
        <f t="shared" si="92"/>
        <v>0.5</v>
      </c>
      <c r="AF225" s="177">
        <f t="shared" si="93"/>
        <v>0.44067232043397292</v>
      </c>
      <c r="AG225" s="811">
        <f t="shared" si="99"/>
        <v>0</v>
      </c>
      <c r="AH225" s="176">
        <f t="shared" si="94"/>
        <v>6</v>
      </c>
      <c r="AI225" s="225">
        <f t="shared" si="95"/>
        <v>0.44067232043397292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40">
        <v>52.250999999999998</v>
      </c>
      <c r="C226" s="841"/>
      <c r="D226" s="393">
        <f t="shared" si="77"/>
        <v>54.012736407474833</v>
      </c>
      <c r="E226" s="385">
        <f t="shared" si="75"/>
        <v>56.555763898181404</v>
      </c>
      <c r="F226" s="385">
        <f t="shared" si="78"/>
        <v>56.568329418981065</v>
      </c>
      <c r="G226" s="110">
        <f t="shared" si="76"/>
        <v>0.96339668541823997</v>
      </c>
      <c r="H226" s="414" t="b">
        <f>Wh_hp&gt;='2021'!Maxi_hp</f>
        <v>0</v>
      </c>
      <c r="I226" s="380">
        <f>IF(H226,Wh_hp,'2021'!Maxi_hp)</f>
        <v>58.250484133448317</v>
      </c>
      <c r="J226" s="85">
        <f>IF(H226,An,'2021'!An_max)</f>
        <v>2019</v>
      </c>
      <c r="K226" s="197">
        <f t="shared" si="79"/>
        <v>44773</v>
      </c>
      <c r="L226" s="147">
        <f>IF(t&lt;Tvie,1-EXP((T0-t)*PertePVj)+'2021'!Pspv,1-EXP((T0-t)*PertePVj)+Pspv)</f>
        <v>3.2617055247566196E-2</v>
      </c>
      <c r="M226" s="845"/>
      <c r="N226" s="845"/>
      <c r="O226" s="48">
        <f>IF(t&lt;Tnet,'2021'!Resal+('2021'!Salim-'2021'!Resal)*(1-EXP(('2021'!Tnet-t)/('2021'!Tau_j))),Resal+(Salim-Resal)*(1-EXP((Tnet-t)/(Tau_j))))*Salcycl</f>
        <v>4.4964956980951334E-2</v>
      </c>
      <c r="P226" s="339">
        <f>(INDEX(Models!$BJ226:$BT226,,T226)*(1-R226)+INDEX(Models!$BJ226:$BT226,,T226+1)*R226-ERP_i)*Q226*Ramure*Pc/MaxiM</f>
        <v>2.3438194497764199E-4</v>
      </c>
      <c r="Q226" s="305">
        <f t="shared" si="80"/>
        <v>0.5</v>
      </c>
      <c r="R226" s="177">
        <f t="shared" si="81"/>
        <v>0.44271179149944601</v>
      </c>
      <c r="S226" s="811">
        <f t="shared" si="82"/>
        <v>0</v>
      </c>
      <c r="T226" s="176">
        <f t="shared" si="83"/>
        <v>6</v>
      </c>
      <c r="U226" s="251">
        <f t="shared" si="84"/>
        <v>0.44271179149944601</v>
      </c>
      <c r="V226" s="383">
        <f t="shared" si="85"/>
        <v>54.235560979390229</v>
      </c>
      <c r="W226" s="402">
        <f t="shared" si="86"/>
        <v>0</v>
      </c>
      <c r="X226" s="157">
        <f t="shared" si="87"/>
        <v>44773</v>
      </c>
      <c r="Y226" s="385">
        <f t="shared" si="88"/>
        <v>50.47193704970929</v>
      </c>
      <c r="Z226" s="385">
        <f t="shared" si="89"/>
        <v>52.17368915122411</v>
      </c>
      <c r="AA226" s="386">
        <f t="shared" si="90"/>
        <v>56.555763898181404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7.7482372174239283E-2</v>
      </c>
      <c r="AD226" s="231">
        <f>(INDEX(Models!$BJ226:$BT226,,AH226)*(1-AF226)+INDEX(Models!$BJ226:$BT226,,AH226+1)*AF226-ERP_i)*AE226*Ramure*Pc/MaxiM</f>
        <v>2.3438194497764199E-4</v>
      </c>
      <c r="AE226" s="305">
        <f t="shared" si="92"/>
        <v>0.5</v>
      </c>
      <c r="AF226" s="177">
        <f t="shared" si="93"/>
        <v>0.44271179149944601</v>
      </c>
      <c r="AG226" s="811">
        <f t="shared" si="99"/>
        <v>0</v>
      </c>
      <c r="AH226" s="176">
        <f t="shared" si="94"/>
        <v>6</v>
      </c>
      <c r="AI226" s="225">
        <f t="shared" si="95"/>
        <v>0.44271179149944601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40">
        <v>51.338999999999999</v>
      </c>
      <c r="C227" s="841"/>
      <c r="D227" s="393">
        <f t="shared" si="77"/>
        <v>53.071149082151429</v>
      </c>
      <c r="E227" s="385">
        <f t="shared" si="75"/>
        <v>55.574597612458319</v>
      </c>
      <c r="F227" s="385">
        <f t="shared" si="78"/>
        <v>55.586126471663725</v>
      </c>
      <c r="G227" s="110">
        <f t="shared" si="76"/>
        <v>0.94897279460536021</v>
      </c>
      <c r="H227" s="414" t="b">
        <f>Wh_hp&gt;='2021'!Maxi_hp</f>
        <v>1</v>
      </c>
      <c r="I227" s="380">
        <f>IF(H227,Wh_hp,'2021'!Maxi_hp)</f>
        <v>55.586126471663725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3.2638243416779122E-2</v>
      </c>
      <c r="M227" s="845"/>
      <c r="N227" s="845"/>
      <c r="O227" s="48">
        <f>IF(t&lt;Tnet,'2021'!Resal+('2021'!Salim-'2021'!Resal)*(1-EXP(('2021'!Tnet-t)/('2021'!Tau_j))),Resal+(Salim-Resal)*(1-EXP((Tnet-t)/(Tau_j))))*Salcycl</f>
        <v>4.5046633495474699E-2</v>
      </c>
      <c r="P227" s="339">
        <f>(INDEX(Models!$BJ227:$BT227,,T227)*(1-R227)+INDEX(Models!$BJ227:$BT227,,T227+1)*R227-ERP_i)*Q227*Ramure*Pc/MaxiM</f>
        <v>2.2370779535397302E-4</v>
      </c>
      <c r="Q227" s="305">
        <f t="shared" si="80"/>
        <v>0.5</v>
      </c>
      <c r="R227" s="177">
        <f t="shared" si="81"/>
        <v>0.44468684622811522</v>
      </c>
      <c r="S227" s="811">
        <f t="shared" si="82"/>
        <v>0</v>
      </c>
      <c r="T227" s="176">
        <f t="shared" si="83"/>
        <v>6</v>
      </c>
      <c r="U227" s="251">
        <f t="shared" si="84"/>
        <v>0.44468684622811522</v>
      </c>
      <c r="V227" s="383">
        <f t="shared" si="85"/>
        <v>54.098666649062864</v>
      </c>
      <c r="W227" s="402">
        <f t="shared" si="86"/>
        <v>0</v>
      </c>
      <c r="X227" s="157">
        <f t="shared" si="87"/>
        <v>44774</v>
      </c>
      <c r="Y227" s="385">
        <f t="shared" si="88"/>
        <v>49.593252254106311</v>
      </c>
      <c r="Z227" s="385">
        <f t="shared" si="89"/>
        <v>51.266500785882442</v>
      </c>
      <c r="AA227" s="386">
        <f t="shared" si="90"/>
        <v>55.574597612458319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7.7519172637430259E-2</v>
      </c>
      <c r="AD227" s="231">
        <f>(INDEX(Models!$BJ227:$BT227,,AH227)*(1-AF227)+INDEX(Models!$BJ227:$BT227,,AH227+1)*AF227-ERP_i)*AE227*Ramure*Pc/MaxiM</f>
        <v>2.2370779535397302E-4</v>
      </c>
      <c r="AE227" s="305">
        <f t="shared" si="92"/>
        <v>0.5</v>
      </c>
      <c r="AF227" s="177">
        <f t="shared" si="93"/>
        <v>0.44468684622811522</v>
      </c>
      <c r="AG227" s="811">
        <f t="shared" si="99"/>
        <v>0</v>
      </c>
      <c r="AH227" s="176">
        <f t="shared" si="94"/>
        <v>6</v>
      </c>
      <c r="AI227" s="225">
        <f t="shared" si="95"/>
        <v>0.44468684622811522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40">
        <v>51.542999999999999</v>
      </c>
      <c r="C228" s="841"/>
      <c r="D228" s="393">
        <f t="shared" si="77"/>
        <v>53.283198966605234</v>
      </c>
      <c r="E228" s="385">
        <f t="shared" si="75"/>
        <v>55.801408788435204</v>
      </c>
      <c r="F228" s="385">
        <f t="shared" si="78"/>
        <v>55.812519433119654</v>
      </c>
      <c r="G228" s="110">
        <f t="shared" si="76"/>
        <v>0.95518672510386515</v>
      </c>
      <c r="H228" s="414" t="b">
        <f>Wh_hp&gt;='2021'!Maxi_hp</f>
        <v>0</v>
      </c>
      <c r="I228" s="380">
        <f>IF(H228,Wh_hp,'2021'!Maxi_hp)</f>
        <v>56.845203333586923</v>
      </c>
      <c r="J228" s="85">
        <f>IF(H228,An,'2021'!An_max)</f>
        <v>2019</v>
      </c>
      <c r="K228" s="197">
        <f t="shared" si="79"/>
        <v>44775</v>
      </c>
      <c r="L228" s="147">
        <f>IF(t&lt;Tvie,1-EXP((T0-t)*PertePVj)+'2021'!Pspv,1-EXP((T0-t)*PertePVj)+Pspv)</f>
        <v>3.2659431121916827E-2</v>
      </c>
      <c r="M228" s="845"/>
      <c r="N228" s="845"/>
      <c r="O228" s="48">
        <f>IF(t&lt;Tnet,'2021'!Resal+('2021'!Salim-'2021'!Resal)*(1-EXP(('2021'!Tnet-t)/('2021'!Tau_j))),Resal+(Salim-Resal)*(1-EXP((Tnet-t)/(Tau_j))))*Salcycl</f>
        <v>4.5128068923447451E-2</v>
      </c>
      <c r="P228" s="339">
        <f>(INDEX(Models!$BJ228:$BT228,,T228)*(1-R228)+INDEX(Models!$BJ228:$BT228,,T228+1)*R228-ERP_i)*Q228*Ramure*Pc/MaxiM</f>
        <v>2.1268260067144795E-4</v>
      </c>
      <c r="Q228" s="305">
        <f t="shared" si="80"/>
        <v>0.5</v>
      </c>
      <c r="R228" s="177">
        <f t="shared" si="81"/>
        <v>0.44659889931275204</v>
      </c>
      <c r="S228" s="811">
        <f t="shared" si="82"/>
        <v>0</v>
      </c>
      <c r="T228" s="176">
        <f t="shared" si="83"/>
        <v>6</v>
      </c>
      <c r="U228" s="251">
        <f t="shared" si="84"/>
        <v>0.44659889931275204</v>
      </c>
      <c r="V228" s="383">
        <f t="shared" si="85"/>
        <v>53.960442408067472</v>
      </c>
      <c r="W228" s="402">
        <f t="shared" si="86"/>
        <v>0</v>
      </c>
      <c r="X228" s="157">
        <f t="shared" si="87"/>
        <v>44775</v>
      </c>
      <c r="Y228" s="385">
        <f t="shared" si="88"/>
        <v>49.792589833557578</v>
      </c>
      <c r="Z228" s="385">
        <f t="shared" si="89"/>
        <v>51.47369130947002</v>
      </c>
      <c r="AA228" s="386">
        <f t="shared" si="90"/>
        <v>55.801408788435204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7.7555702856414208E-2</v>
      </c>
      <c r="AD228" s="231">
        <f>(INDEX(Models!$BJ228:$BT228,,AH228)*(1-AF228)+INDEX(Models!$BJ228:$BT228,,AH228+1)*AF228-ERP_i)*AE228*Ramure*Pc/MaxiM</f>
        <v>2.1268260067144795E-4</v>
      </c>
      <c r="AE228" s="305">
        <f t="shared" si="92"/>
        <v>0.5</v>
      </c>
      <c r="AF228" s="177">
        <f t="shared" si="93"/>
        <v>0.44659889931275204</v>
      </c>
      <c r="AG228" s="811">
        <f t="shared" si="99"/>
        <v>0</v>
      </c>
      <c r="AH228" s="176">
        <f t="shared" si="94"/>
        <v>6</v>
      </c>
      <c r="AI228" s="225">
        <f t="shared" si="95"/>
        <v>0.44659889931275204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40">
        <v>49.386000000000003</v>
      </c>
      <c r="C229" s="841"/>
      <c r="D229" s="393">
        <f t="shared" si="77"/>
        <v>51.054492381227035</v>
      </c>
      <c r="E229" s="385">
        <f t="shared" si="75"/>
        <v>53.471918751531462</v>
      </c>
      <c r="F229" s="385">
        <f t="shared" si="78"/>
        <v>53.48141754325264</v>
      </c>
      <c r="G229" s="110">
        <f t="shared" si="76"/>
        <v>0.91757738031034886</v>
      </c>
      <c r="H229" s="414" t="b">
        <f>Wh_hp&gt;='2021'!Maxi_hp</f>
        <v>0</v>
      </c>
      <c r="I229" s="380">
        <f>IF(H229,Wh_hp,'2021'!Maxi_hp)</f>
        <v>57.532187418566849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3.2680618362989411E-2</v>
      </c>
      <c r="M229" s="845"/>
      <c r="N229" s="845"/>
      <c r="O229" s="48">
        <f>IF(t&lt;Tnet,'2021'!Resal+('2021'!Salim-'2021'!Resal)*(1-EXP(('2021'!Tnet-t)/('2021'!Tau_j))),Resal+(Salim-Resal)*(1-EXP((Tnet-t)/(Tau_j))))*Salcycl</f>
        <v>4.5209269215445727E-2</v>
      </c>
      <c r="P229" s="339">
        <f>(INDEX(Models!$BJ229:$BT229,,T229)*(1-R229)+INDEX(Models!$BJ229:$BT229,,T229+1)*R229-ERP_i)*Q229*Ramure*Pc/MaxiM</f>
        <v>2.0130604700549913E-4</v>
      </c>
      <c r="Q229" s="305">
        <f t="shared" si="80"/>
        <v>0.5</v>
      </c>
      <c r="R229" s="177">
        <f t="shared" si="81"/>
        <v>0.44844937963547499</v>
      </c>
      <c r="S229" s="811">
        <f t="shared" si="82"/>
        <v>0</v>
      </c>
      <c r="T229" s="176">
        <f t="shared" si="83"/>
        <v>6</v>
      </c>
      <c r="U229" s="251">
        <f t="shared" si="84"/>
        <v>0.44844937963547499</v>
      </c>
      <c r="V229" s="383">
        <f t="shared" si="85"/>
        <v>53.820888089961649</v>
      </c>
      <c r="W229" s="402">
        <f t="shared" si="86"/>
        <v>0</v>
      </c>
      <c r="X229" s="157">
        <f t="shared" si="87"/>
        <v>44776</v>
      </c>
      <c r="Y229" s="385">
        <f t="shared" si="88"/>
        <v>47.71102328225551</v>
      </c>
      <c r="Z229" s="385">
        <f t="shared" si="89"/>
        <v>49.322927037307323</v>
      </c>
      <c r="AA229" s="386">
        <f t="shared" si="90"/>
        <v>53.471918751531462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7.7591973714339679E-2</v>
      </c>
      <c r="AD229" s="231">
        <f>(INDEX(Models!$BJ229:$BT229,,AH229)*(1-AF229)+INDEX(Models!$BJ229:$BT229,,AH229+1)*AF229-ERP_i)*AE229*Ramure*Pc/MaxiM</f>
        <v>2.0130604700549913E-4</v>
      </c>
      <c r="AE229" s="305">
        <f t="shared" si="92"/>
        <v>0.5</v>
      </c>
      <c r="AF229" s="177">
        <f t="shared" si="93"/>
        <v>0.44844937963547499</v>
      </c>
      <c r="AG229" s="811">
        <f t="shared" si="99"/>
        <v>0</v>
      </c>
      <c r="AH229" s="176">
        <f t="shared" si="94"/>
        <v>6</v>
      </c>
      <c r="AI229" s="225">
        <f t="shared" si="95"/>
        <v>0.44844937963547499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40">
        <v>46.343000000000004</v>
      </c>
      <c r="C230" s="841"/>
      <c r="D230" s="393">
        <f t="shared" si="77"/>
        <v>47.909734812135881</v>
      </c>
      <c r="E230" s="385">
        <f t="shared" si="75"/>
        <v>50.182512828108486</v>
      </c>
      <c r="F230" s="385">
        <f t="shared" si="78"/>
        <v>50.190169896617874</v>
      </c>
      <c r="G230" s="110">
        <f t="shared" si="76"/>
        <v>0.86328765238726368</v>
      </c>
      <c r="H230" s="414" t="b">
        <f>Wh_hp&gt;='2021'!Maxi_hp</f>
        <v>0</v>
      </c>
      <c r="I230" s="380">
        <f>IF(H230,Wh_hp,'2021'!Maxi_hp)</f>
        <v>54.820289563876685</v>
      </c>
      <c r="J230" s="85">
        <f>IF(H230,An,'2021'!An_max)</f>
        <v>2019</v>
      </c>
      <c r="K230" s="197">
        <f t="shared" si="79"/>
        <v>44777</v>
      </c>
      <c r="L230" s="147">
        <f>IF(t&lt;Tvie,1-EXP((T0-t)*PertePVj)+'2021'!Pspv,1-EXP((T0-t)*PertePVj)+Pspv)</f>
        <v>3.2701805140006979E-2</v>
      </c>
      <c r="M230" s="845"/>
      <c r="N230" s="845"/>
      <c r="O230" s="48">
        <f>IF(t&lt;Tnet,'2021'!Resal+('2021'!Salim-'2021'!Resal)*(1-EXP(('2021'!Tnet-t)/('2021'!Tau_j))),Resal+(Salim-Resal)*(1-EXP((Tnet-t)/(Tau_j))))*Salcycl</f>
        <v>4.5290239326149603E-2</v>
      </c>
      <c r="P230" s="339">
        <f>(INDEX(Models!$BJ230:$BT230,,T230)*(1-R230)+INDEX(Models!$BJ230:$BT230,,T230+1)*R230-ERP_i)*Q230*Ramure*Pc/MaxiM</f>
        <v>1.8957760561435442E-4</v>
      </c>
      <c r="Q230" s="305">
        <f t="shared" si="80"/>
        <v>0.5</v>
      </c>
      <c r="R230" s="177">
        <f t="shared" si="81"/>
        <v>0.45023972617015179</v>
      </c>
      <c r="S230" s="811">
        <f t="shared" si="82"/>
        <v>0</v>
      </c>
      <c r="T230" s="176">
        <f t="shared" si="83"/>
        <v>6</v>
      </c>
      <c r="U230" s="251">
        <f t="shared" si="84"/>
        <v>0.45023972617015179</v>
      </c>
      <c r="V230" s="383">
        <f t="shared" si="85"/>
        <v>53.680003594498217</v>
      </c>
      <c r="W230" s="402">
        <f t="shared" si="86"/>
        <v>0</v>
      </c>
      <c r="X230" s="157">
        <f t="shared" si="87"/>
        <v>44777</v>
      </c>
      <c r="Y230" s="385">
        <f t="shared" si="88"/>
        <v>44.773278350861794</v>
      </c>
      <c r="Z230" s="385">
        <f t="shared" si="89"/>
        <v>46.286945007007162</v>
      </c>
      <c r="AA230" s="386">
        <f t="shared" si="90"/>
        <v>50.182512828108486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7.7627994326328678E-2</v>
      </c>
      <c r="AD230" s="231">
        <f>(INDEX(Models!$BJ230:$BT230,,AH230)*(1-AF230)+INDEX(Models!$BJ230:$BT230,,AH230+1)*AF230-ERP_i)*AE230*Ramure*Pc/MaxiM</f>
        <v>1.8957760561435442E-4</v>
      </c>
      <c r="AE230" s="305">
        <f t="shared" si="92"/>
        <v>0.5</v>
      </c>
      <c r="AF230" s="177">
        <f t="shared" si="93"/>
        <v>0.45023972617015179</v>
      </c>
      <c r="AG230" s="811">
        <f t="shared" si="99"/>
        <v>0</v>
      </c>
      <c r="AH230" s="176">
        <f t="shared" si="94"/>
        <v>6</v>
      </c>
      <c r="AI230" s="225">
        <f t="shared" si="95"/>
        <v>0.45023972617015179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40">
        <v>43.117000000000004</v>
      </c>
      <c r="C231" s="841"/>
      <c r="D231" s="393">
        <f t="shared" si="77"/>
        <v>44.575648567071305</v>
      </c>
      <c r="E231" s="385">
        <f t="shared" si="75"/>
        <v>46.694210823785006</v>
      </c>
      <c r="F231" s="385">
        <f t="shared" si="78"/>
        <v>46.700195054199938</v>
      </c>
      <c r="G231" s="110">
        <f t="shared" si="76"/>
        <v>0.80531662928420122</v>
      </c>
      <c r="H231" s="414" t="b">
        <f>Wh_hp&gt;='2021'!Maxi_hp</f>
        <v>0</v>
      </c>
      <c r="I231" s="380">
        <f>IF(H231,Wh_hp,'2021'!Maxi_hp)</f>
        <v>56.442491959447445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3.2722991452979744E-2</v>
      </c>
      <c r="M231" s="845"/>
      <c r="N231" s="845"/>
      <c r="O231" s="48">
        <f>IF(t&lt;Tnet,'2021'!Resal+('2021'!Salim-'2021'!Resal)*(1-EXP(('2021'!Tnet-t)/('2021'!Tau_j))),Resal+(Salim-Resal)*(1-EXP((Tnet-t)/(Tau_j))))*Salcycl</f>
        <v>4.5370983240486717E-2</v>
      </c>
      <c r="P231" s="339">
        <f>(INDEX(Models!$BJ231:$BT231,,T231)*(1-R231)+INDEX(Models!$BJ231:$BT231,,T231+1)*R231-ERP_i)*Q231*Ramure*Pc/MaxiM</f>
        <v>1.7749654230814787E-4</v>
      </c>
      <c r="Q231" s="305">
        <f t="shared" si="80"/>
        <v>0.5</v>
      </c>
      <c r="R231" s="177">
        <f t="shared" si="81"/>
        <v>0.45197138414379412</v>
      </c>
      <c r="S231" s="811">
        <f t="shared" si="82"/>
        <v>0</v>
      </c>
      <c r="T231" s="176">
        <f t="shared" si="83"/>
        <v>6</v>
      </c>
      <c r="U231" s="251">
        <f t="shared" si="84"/>
        <v>0.45197138414379412</v>
      </c>
      <c r="V231" s="383">
        <f t="shared" si="85"/>
        <v>53.537788884118392</v>
      </c>
      <c r="W231" s="402">
        <f t="shared" si="86"/>
        <v>0</v>
      </c>
      <c r="X231" s="157">
        <f t="shared" si="87"/>
        <v>44778</v>
      </c>
      <c r="Y231" s="385">
        <f t="shared" si="88"/>
        <v>41.658456259290979</v>
      </c>
      <c r="Z231" s="385">
        <f t="shared" si="89"/>
        <v>43.067762276152479</v>
      </c>
      <c r="AA231" s="386">
        <f t="shared" si="90"/>
        <v>46.694210823785006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7.7663772096246489E-2</v>
      </c>
      <c r="AD231" s="231">
        <f>(INDEX(Models!$BJ231:$BT231,,AH231)*(1-AF231)+INDEX(Models!$BJ231:$BT231,,AH231+1)*AF231-ERP_i)*AE231*Ramure*Pc/MaxiM</f>
        <v>1.7749654230814787E-4</v>
      </c>
      <c r="AE231" s="305">
        <f t="shared" si="92"/>
        <v>0.5</v>
      </c>
      <c r="AF231" s="177">
        <f t="shared" si="93"/>
        <v>0.45197138414379412</v>
      </c>
      <c r="AG231" s="811">
        <f t="shared" si="99"/>
        <v>0</v>
      </c>
      <c r="AH231" s="176">
        <f t="shared" si="94"/>
        <v>6</v>
      </c>
      <c r="AI231" s="225">
        <f t="shared" si="95"/>
        <v>0.45197138414379412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40">
        <v>47.247</v>
      </c>
      <c r="C232" s="841"/>
      <c r="D232" s="393">
        <f t="shared" si="77"/>
        <v>48.846436373169929</v>
      </c>
      <c r="E232" s="385">
        <f t="shared" si="75"/>
        <v>51.172294103561711</v>
      </c>
      <c r="F232" s="385">
        <f t="shared" si="78"/>
        <v>51.179352458538879</v>
      </c>
      <c r="G232" s="110">
        <f t="shared" si="76"/>
        <v>0.88484663602804503</v>
      </c>
      <c r="H232" s="414" t="b">
        <f>Wh_hp&gt;='2021'!Maxi_hp</f>
        <v>0</v>
      </c>
      <c r="I232" s="380">
        <f>IF(H232,Wh_hp,'2021'!Maxi_hp)</f>
        <v>57.46185272567628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3.2744177301917921E-2</v>
      </c>
      <c r="M232" s="845"/>
      <c r="N232" s="845"/>
      <c r="O232" s="48">
        <f>IF(t&lt;Tnet,'2021'!Resal+('2021'!Salim-'2021'!Resal)*(1-EXP(('2021'!Tnet-t)/('2021'!Tau_j))),Resal+(Salim-Resal)*(1-EXP((Tnet-t)/(Tau_j))))*Salcycl</f>
        <v>4.5451504004974747E-2</v>
      </c>
      <c r="P232" s="339">
        <f>(INDEX(Models!$BJ232:$BT232,,T232)*(1-R232)+INDEX(Models!$BJ232:$BT232,,T232+1)*R232-ERP_i)*Q232*Ramure*Pc/MaxiM</f>
        <v>1.6506192760648125E-4</v>
      </c>
      <c r="Q232" s="305">
        <f t="shared" si="80"/>
        <v>0.5</v>
      </c>
      <c r="R232" s="177">
        <f t="shared" si="81"/>
        <v>0.45364580145332567</v>
      </c>
      <c r="S232" s="811">
        <f t="shared" si="82"/>
        <v>0</v>
      </c>
      <c r="T232" s="176">
        <f t="shared" si="83"/>
        <v>6</v>
      </c>
      <c r="U232" s="251">
        <f t="shared" si="84"/>
        <v>0.45364580145332567</v>
      </c>
      <c r="V232" s="383">
        <f t="shared" si="85"/>
        <v>53.394243981468982</v>
      </c>
      <c r="W232" s="402">
        <f t="shared" si="86"/>
        <v>0</v>
      </c>
      <c r="X232" s="157">
        <f t="shared" si="87"/>
        <v>44779</v>
      </c>
      <c r="Y232" s="385">
        <f t="shared" si="88"/>
        <v>45.650839901615747</v>
      </c>
      <c r="Z232" s="385">
        <f t="shared" si="89"/>
        <v>47.1962420182454</v>
      </c>
      <c r="AA232" s="386">
        <f t="shared" si="90"/>
        <v>51.172294103561711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7.7699312781827568E-2</v>
      </c>
      <c r="AD232" s="231">
        <f>(INDEX(Models!$BJ232:$BT232,,AH232)*(1-AF232)+INDEX(Models!$BJ232:$BT232,,AH232+1)*AF232-ERP_i)*AE232*Ramure*Pc/MaxiM</f>
        <v>1.6506192760648125E-4</v>
      </c>
      <c r="AE232" s="305">
        <f t="shared" si="92"/>
        <v>0.5</v>
      </c>
      <c r="AF232" s="177">
        <f t="shared" si="93"/>
        <v>0.45364580145332567</v>
      </c>
      <c r="AG232" s="811">
        <f t="shared" si="99"/>
        <v>0</v>
      </c>
      <c r="AH232" s="176">
        <f t="shared" si="94"/>
        <v>6</v>
      </c>
      <c r="AI232" s="225">
        <f t="shared" si="95"/>
        <v>0.45364580145332567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40">
        <v>50.218000000000004</v>
      </c>
      <c r="C233" s="841"/>
      <c r="D233" s="393">
        <f t="shared" si="77"/>
        <v>51.919149772694269</v>
      </c>
      <c r="E233" s="385">
        <f t="shared" ref="E233:E296" si="100">Wh_pvt/(1-Psa)</f>
        <v>54.395892893464243</v>
      </c>
      <c r="F233" s="385">
        <f t="shared" si="78"/>
        <v>54.403503270038868</v>
      </c>
      <c r="G233" s="110">
        <f t="shared" ref="G233:G296" si="101">+Wh_hp/MaxiM</f>
        <v>0.94305672435856625</v>
      </c>
      <c r="H233" s="414" t="b">
        <f>Wh_hp&gt;='2021'!Maxi_hp</f>
        <v>0</v>
      </c>
      <c r="I233" s="380">
        <f>IF(H233,Wh_hp,'2021'!Maxi_hp)</f>
        <v>55.820902062700583</v>
      </c>
      <c r="J233" s="85">
        <f>IF(H233,An,'2021'!An_max)</f>
        <v>2020</v>
      </c>
      <c r="K233" s="197">
        <f t="shared" si="79"/>
        <v>44780</v>
      </c>
      <c r="L233" s="147">
        <f>IF(t&lt;Tvie,1-EXP((T0-t)*PertePVj)+'2021'!Pspv,1-EXP((T0-t)*PertePVj)+Pspv)</f>
        <v>3.2765362686831723E-2</v>
      </c>
      <c r="M233" s="845"/>
      <c r="N233" s="845"/>
      <c r="O233" s="48">
        <f>IF(t&lt;Tnet,'2021'!Resal+('2021'!Salim-'2021'!Resal)*(1-EXP(('2021'!Tnet-t)/('2021'!Tau_j))),Resal+(Salim-Resal)*(1-EXP((Tnet-t)/(Tau_j))))*Salcycl</f>
        <v>4.5531803763580764E-2</v>
      </c>
      <c r="P233" s="339">
        <f>(INDEX(Models!$BJ233:$BT233,,T233)*(1-R233)+INDEX(Models!$BJ233:$BT233,,T233+1)*R233-ERP_i)*Q233*Ramure*Pc/MaxiM</f>
        <v>1.5227203352179578E-4</v>
      </c>
      <c r="Q233" s="305">
        <f t="shared" si="80"/>
        <v>0.5</v>
      </c>
      <c r="R233" s="177">
        <f t="shared" si="81"/>
        <v>0.45526442533288924</v>
      </c>
      <c r="S233" s="811">
        <f t="shared" si="82"/>
        <v>0</v>
      </c>
      <c r="T233" s="176">
        <f t="shared" si="83"/>
        <v>6</v>
      </c>
      <c r="U233" s="251">
        <f t="shared" si="84"/>
        <v>0.45526442533288924</v>
      </c>
      <c r="V233" s="383">
        <f t="shared" si="85"/>
        <v>53.249583715815788</v>
      </c>
      <c r="W233" s="402">
        <f t="shared" si="86"/>
        <v>0</v>
      </c>
      <c r="X233" s="157">
        <f t="shared" si="87"/>
        <v>44780</v>
      </c>
      <c r="Y233" s="385">
        <f t="shared" si="88"/>
        <v>48.523694144019899</v>
      </c>
      <c r="Z233" s="385">
        <f t="shared" si="89"/>
        <v>50.167448798991927</v>
      </c>
      <c r="AA233" s="386">
        <f t="shared" si="90"/>
        <v>54.395892893464243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7.7734620566920931E-2</v>
      </c>
      <c r="AD233" s="231">
        <f>(INDEX(Models!$BJ233:$BT233,,AH233)*(1-AF233)+INDEX(Models!$BJ233:$BT233,,AH233+1)*AF233-ERP_i)*AE233*Ramure*Pc/MaxiM</f>
        <v>1.5227203352179578E-4</v>
      </c>
      <c r="AE233" s="305">
        <f t="shared" si="92"/>
        <v>0.5</v>
      </c>
      <c r="AF233" s="177">
        <f t="shared" si="93"/>
        <v>0.45526442533288924</v>
      </c>
      <c r="AG233" s="811">
        <f t="shared" si="99"/>
        <v>0</v>
      </c>
      <c r="AH233" s="176">
        <f t="shared" si="94"/>
        <v>6</v>
      </c>
      <c r="AI233" s="225">
        <f t="shared" si="95"/>
        <v>0.45526442533288924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40">
        <v>51.024000000000001</v>
      </c>
      <c r="C234" s="841"/>
      <c r="D234" s="393">
        <f t="shared" si="77"/>
        <v>52.753608703228004</v>
      </c>
      <c r="E234" s="385">
        <f t="shared" si="100"/>
        <v>55.274796288461438</v>
      </c>
      <c r="F234" s="385">
        <f t="shared" si="78"/>
        <v>55.282073058296042</v>
      </c>
      <c r="G234" s="110">
        <f t="shared" si="101"/>
        <v>0.96082515437299099</v>
      </c>
      <c r="H234" s="414" t="b">
        <f>Wh_hp&gt;='2021'!Maxi_hp</f>
        <v>1</v>
      </c>
      <c r="I234" s="380">
        <f>IF(H234,Wh_hp,'2021'!Maxi_hp)</f>
        <v>55.282073058296042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3.2786547607731142E-2</v>
      </c>
      <c r="M234" s="845"/>
      <c r="N234" s="845"/>
      <c r="O234" s="48">
        <f>IF(t&lt;Tnet,'2021'!Resal+('2021'!Salim-'2021'!Resal)*(1-EXP(('2021'!Tnet-t)/('2021'!Tau_j))),Resal+(Salim-Resal)*(1-EXP((Tnet-t)/(Tau_j))))*Salcycl</f>
        <v>4.5611883797385087E-2</v>
      </c>
      <c r="P234" s="339">
        <f>(INDEX(Models!$BJ234:$BT234,,T234)*(1-R234)+INDEX(Models!$BJ234:$BT234,,T234+1)*R234-ERP_i)*Q234*Ramure*Pc/MaxiM</f>
        <v>1.394314888034667E-4</v>
      </c>
      <c r="Q234" s="305">
        <f t="shared" si="80"/>
        <v>0.5</v>
      </c>
      <c r="R234" s="177">
        <f t="shared" si="81"/>
        <v>0.45682869926581077</v>
      </c>
      <c r="S234" s="811">
        <f t="shared" si="82"/>
        <v>0</v>
      </c>
      <c r="T234" s="176">
        <f t="shared" si="83"/>
        <v>6</v>
      </c>
      <c r="U234" s="251">
        <f t="shared" si="84"/>
        <v>0.45682869926581077</v>
      </c>
      <c r="V234" s="383">
        <f t="shared" si="85"/>
        <v>53.103940548904674</v>
      </c>
      <c r="W234" s="402">
        <f t="shared" si="86"/>
        <v>0</v>
      </c>
      <c r="X234" s="157">
        <f t="shared" si="87"/>
        <v>44781</v>
      </c>
      <c r="Y234" s="385">
        <f t="shared" si="88"/>
        <v>49.304761996990571</v>
      </c>
      <c r="Z234" s="385">
        <f t="shared" si="89"/>
        <v>50.976092066381057</v>
      </c>
      <c r="AA234" s="386">
        <f t="shared" si="90"/>
        <v>55.274796288461438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7.7769698139579291E-2</v>
      </c>
      <c r="AD234" s="231">
        <f>(INDEX(Models!$BJ234:$BT234,,AH234)*(1-AF234)+INDEX(Models!$BJ234:$BT234,,AH234+1)*AF234-ERP_i)*AE234*Ramure*Pc/MaxiM</f>
        <v>1.394314888034667E-4</v>
      </c>
      <c r="AE234" s="305">
        <f t="shared" si="92"/>
        <v>0.5</v>
      </c>
      <c r="AF234" s="177">
        <f t="shared" si="93"/>
        <v>0.45682869926581077</v>
      </c>
      <c r="AG234" s="811">
        <f t="shared" si="99"/>
        <v>0</v>
      </c>
      <c r="AH234" s="176">
        <f t="shared" si="94"/>
        <v>6</v>
      </c>
      <c r="AI234" s="225">
        <f t="shared" si="95"/>
        <v>0.45682869926581077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40">
        <v>49.317</v>
      </c>
      <c r="C235" s="841"/>
      <c r="D235" s="393">
        <f t="shared" si="77"/>
        <v>50.989861721366957</v>
      </c>
      <c r="E235" s="385">
        <f t="shared" si="100"/>
        <v>53.431227730758735</v>
      </c>
      <c r="F235" s="385">
        <f t="shared" si="78"/>
        <v>53.437363064574441</v>
      </c>
      <c r="G235" s="110">
        <f t="shared" si="101"/>
        <v>0.93125027637283553</v>
      </c>
      <c r="H235" s="414" t="b">
        <f>Wh_hp&gt;='2021'!Maxi_hp</f>
        <v>0</v>
      </c>
      <c r="I235" s="380">
        <f>IF(H235,Wh_hp,'2021'!Maxi_hp)</f>
        <v>55.939165383860541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3.2807732064626394E-2</v>
      </c>
      <c r="M235" s="845"/>
      <c r="N235" s="845"/>
      <c r="O235" s="48">
        <f>IF(t&lt;Tnet,'2021'!Resal+('2021'!Salim-'2021'!Resal)*(1-EXP(('2021'!Tnet-t)/('2021'!Tau_j))),Resal+(Salim-Resal)*(1-EXP((Tnet-t)/(Tau_j))))*Salcycl</f>
        <v>4.5691744567313439E-2</v>
      </c>
      <c r="P235" s="339">
        <f>(INDEX(Models!$BJ235:$BT235,,T235)*(1-R235)+INDEX(Models!$BJ235:$BT235,,T235+1)*R235-ERP_i)*Q235*Ramure*Pc/MaxiM</f>
        <v>1.2731560137782915E-4</v>
      </c>
      <c r="Q235" s="305">
        <f t="shared" si="80"/>
        <v>0.5</v>
      </c>
      <c r="R235" s="177">
        <f t="shared" si="81"/>
        <v>0.45834006013443906</v>
      </c>
      <c r="S235" s="811">
        <f t="shared" si="82"/>
        <v>0</v>
      </c>
      <c r="T235" s="176">
        <f t="shared" si="83"/>
        <v>6</v>
      </c>
      <c r="U235" s="251">
        <f t="shared" si="84"/>
        <v>0.45834006013443906</v>
      </c>
      <c r="V235" s="383">
        <f t="shared" si="85"/>
        <v>52.957174475204255</v>
      </c>
      <c r="W235" s="402">
        <f t="shared" si="86"/>
        <v>0</v>
      </c>
      <c r="X235" s="157">
        <f t="shared" si="87"/>
        <v>44782</v>
      </c>
      <c r="Y235" s="385">
        <f t="shared" si="88"/>
        <v>47.657465926554082</v>
      </c>
      <c r="Z235" s="385">
        <f t="shared" si="89"/>
        <v>49.274035273551718</v>
      </c>
      <c r="AA235" s="386">
        <f t="shared" si="90"/>
        <v>53.431227730758735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7.7804546774691605E-2</v>
      </c>
      <c r="AD235" s="231">
        <f>(INDEX(Models!$BJ235:$BT235,,AH235)*(1-AF235)+INDEX(Models!$BJ235:$BT235,,AH235+1)*AF235-ERP_i)*AE235*Ramure*Pc/MaxiM</f>
        <v>1.2731560137782915E-4</v>
      </c>
      <c r="AE235" s="305">
        <f t="shared" si="92"/>
        <v>0.5</v>
      </c>
      <c r="AF235" s="177">
        <f t="shared" si="93"/>
        <v>0.45834006013443906</v>
      </c>
      <c r="AG235" s="811">
        <f t="shared" si="99"/>
        <v>0</v>
      </c>
      <c r="AH235" s="176">
        <f t="shared" si="94"/>
        <v>6</v>
      </c>
      <c r="AI235" s="225">
        <f t="shared" si="95"/>
        <v>0.45834006013443906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40">
        <v>47.286000000000001</v>
      </c>
      <c r="C236" s="841"/>
      <c r="D236" s="393">
        <f t="shared" si="77"/>
        <v>48.891039842970109</v>
      </c>
      <c r="E236" s="385">
        <f t="shared" si="100"/>
        <v>51.236191320743487</v>
      </c>
      <c r="F236" s="385">
        <f t="shared" si="78"/>
        <v>51.241244251807352</v>
      </c>
      <c r="G236" s="110">
        <f t="shared" si="101"/>
        <v>0.89539687939914614</v>
      </c>
      <c r="H236" s="414" t="b">
        <f>Wh_hp&gt;='2021'!Maxi_hp</f>
        <v>0</v>
      </c>
      <c r="I236" s="380">
        <f>IF(H236,Wh_hp,'2021'!Maxi_hp)</f>
        <v>53.022413412282127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3.2828916057527691E-2</v>
      </c>
      <c r="M236" s="845"/>
      <c r="N236" s="845"/>
      <c r="O236" s="48">
        <f>IF(t&lt;Tnet,'2021'!Resal+('2021'!Salim-'2021'!Resal)*(1-EXP(('2021'!Tnet-t)/('2021'!Tau_j))),Resal+(Salim-Resal)*(1-EXP((Tnet-t)/(Tau_j))))*Salcycl</f>
        <v>4.5771385759189417E-2</v>
      </c>
      <c r="P236" s="339">
        <f>(INDEX(Models!$BJ236:$BT236,,T236)*(1-R236)+INDEX(Models!$BJ236:$BT236,,T236+1)*R236-ERP_i)*Q236*Ramure*Pc/MaxiM</f>
        <v>1.1593214682111462E-4</v>
      </c>
      <c r="Q236" s="305">
        <f t="shared" si="80"/>
        <v>0.5</v>
      </c>
      <c r="R236" s="177">
        <f t="shared" si="81"/>
        <v>0.45979993560033622</v>
      </c>
      <c r="S236" s="811">
        <f t="shared" si="82"/>
        <v>0</v>
      </c>
      <c r="T236" s="176">
        <f t="shared" si="83"/>
        <v>6</v>
      </c>
      <c r="U236" s="251">
        <f t="shared" si="84"/>
        <v>0.45979993560033622</v>
      </c>
      <c r="V236" s="383">
        <f t="shared" si="85"/>
        <v>52.809186564755613</v>
      </c>
      <c r="W236" s="402">
        <f t="shared" si="86"/>
        <v>0</v>
      </c>
      <c r="X236" s="157">
        <f t="shared" si="87"/>
        <v>44783</v>
      </c>
      <c r="Y236" s="385">
        <f t="shared" si="88"/>
        <v>45.696907979817375</v>
      </c>
      <c r="Z236" s="385">
        <f t="shared" si="89"/>
        <v>47.248008897808866</v>
      </c>
      <c r="AA236" s="386">
        <f t="shared" si="90"/>
        <v>51.236191320743487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7.7839166419849892E-2</v>
      </c>
      <c r="AD236" s="231">
        <f>(INDEX(Models!$BJ236:$BT236,,AH236)*(1-AF236)+INDEX(Models!$BJ236:$BT236,,AH236+1)*AF236-ERP_i)*AE236*Ramure*Pc/MaxiM</f>
        <v>1.1593214682111462E-4</v>
      </c>
      <c r="AE236" s="305">
        <f t="shared" si="92"/>
        <v>0.5</v>
      </c>
      <c r="AF236" s="177">
        <f t="shared" si="93"/>
        <v>0.45979993560033622</v>
      </c>
      <c r="AG236" s="811">
        <f t="shared" si="99"/>
        <v>0</v>
      </c>
      <c r="AH236" s="176">
        <f t="shared" si="94"/>
        <v>6</v>
      </c>
      <c r="AI236" s="225">
        <f t="shared" si="95"/>
        <v>0.45979993560033622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40">
        <v>43.514000000000003</v>
      </c>
      <c r="C237" s="841"/>
      <c r="D237" s="393">
        <f t="shared" si="77"/>
        <v>44.991991398017355</v>
      </c>
      <c r="E237" s="385">
        <f t="shared" si="100"/>
        <v>47.154042257247696</v>
      </c>
      <c r="F237" s="385">
        <f t="shared" si="78"/>
        <v>47.157775520885849</v>
      </c>
      <c r="G237" s="110">
        <f t="shared" si="101"/>
        <v>0.82630011396883463</v>
      </c>
      <c r="H237" s="414" t="b">
        <f>Wh_hp&gt;='2021'!Maxi_hp</f>
        <v>0</v>
      </c>
      <c r="I237" s="380">
        <f>IF(H237,Wh_hp,'2021'!Maxi_hp)</f>
        <v>54.934751797677123</v>
      </c>
      <c r="J237" s="85">
        <f>IF(H237,An,'2021'!An_max)</f>
        <v>2018</v>
      </c>
      <c r="K237" s="197">
        <f t="shared" si="79"/>
        <v>44784</v>
      </c>
      <c r="L237" s="147">
        <f>IF(t&lt;Tvie,1-EXP((T0-t)*PertePVj)+'2021'!Pspv,1-EXP((T0-t)*PertePVj)+Pspv)</f>
        <v>3.2850099586445136E-2</v>
      </c>
      <c r="M237" s="845"/>
      <c r="N237" s="845"/>
      <c r="O237" s="48">
        <f>IF(t&lt;Tnet,'2021'!Resal+('2021'!Salim-'2021'!Resal)*(1-EXP(('2021'!Tnet-t)/('2021'!Tau_j))),Resal+(Salim-Resal)*(1-EXP((Tnet-t)/(Tau_j))))*Salcycl</f>
        <v>4.5850806330352926E-2</v>
      </c>
      <c r="P237" s="339">
        <f>(INDEX(Models!$BJ237:$BT237,,T237)*(1-R237)+INDEX(Models!$BJ237:$BT237,,T237+1)*R237-ERP_i)*Q237*Ramure*Pc/MaxiM</f>
        <v>1.0528878442507565E-4</v>
      </c>
      <c r="Q237" s="305">
        <f t="shared" si="80"/>
        <v>0.5</v>
      </c>
      <c r="R237" s="177">
        <f t="shared" si="81"/>
        <v>0.46120974170667872</v>
      </c>
      <c r="S237" s="811">
        <f t="shared" si="82"/>
        <v>0</v>
      </c>
      <c r="T237" s="176">
        <f t="shared" si="83"/>
        <v>6</v>
      </c>
      <c r="U237" s="251">
        <f t="shared" si="84"/>
        <v>0.46120974170667872</v>
      </c>
      <c r="V237" s="383">
        <f t="shared" si="85"/>
        <v>52.659877980133807</v>
      </c>
      <c r="W237" s="402">
        <f t="shared" si="86"/>
        <v>0</v>
      </c>
      <c r="X237" s="157">
        <f t="shared" si="87"/>
        <v>44784</v>
      </c>
      <c r="Y237" s="385">
        <f t="shared" si="88"/>
        <v>42.053601637842696</v>
      </c>
      <c r="Z237" s="385">
        <f t="shared" si="89"/>
        <v>43.481989317127066</v>
      </c>
      <c r="AA237" s="386">
        <f t="shared" si="90"/>
        <v>47.154042257247696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7.7873555783146614E-2</v>
      </c>
      <c r="AD237" s="231">
        <f>(INDEX(Models!$BJ237:$BT237,,AH237)*(1-AF237)+INDEX(Models!$BJ237:$BT237,,AH237+1)*AF237-ERP_i)*AE237*Ramure*Pc/MaxiM</f>
        <v>1.0528878442507565E-4</v>
      </c>
      <c r="AE237" s="305">
        <f t="shared" si="92"/>
        <v>0.5</v>
      </c>
      <c r="AF237" s="177">
        <f t="shared" si="93"/>
        <v>0.46120974170667872</v>
      </c>
      <c r="AG237" s="811">
        <f t="shared" si="99"/>
        <v>0</v>
      </c>
      <c r="AH237" s="176">
        <f t="shared" si="94"/>
        <v>6</v>
      </c>
      <c r="AI237" s="225">
        <f t="shared" si="95"/>
        <v>0.46120974170667872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40">
        <v>45.667000000000002</v>
      </c>
      <c r="C238" s="841"/>
      <c r="D238" s="393">
        <f t="shared" si="77"/>
        <v>47.21915416305324</v>
      </c>
      <c r="E238" s="385">
        <f t="shared" si="100"/>
        <v>49.492337447561077</v>
      </c>
      <c r="F238" s="385">
        <f t="shared" si="78"/>
        <v>49.496180123248266</v>
      </c>
      <c r="G238" s="110">
        <f t="shared" si="101"/>
        <v>0.86968059930507613</v>
      </c>
      <c r="H238" s="414" t="b">
        <f>Wh_hp&gt;='2021'!Maxi_hp</f>
        <v>0</v>
      </c>
      <c r="I238" s="380">
        <f>IF(H238,Wh_hp,'2021'!Maxi_hp)</f>
        <v>52.198759439863373</v>
      </c>
      <c r="J238" s="85">
        <f>IF(H238,An,'2021'!An_max)</f>
        <v>2018</v>
      </c>
      <c r="K238" s="197">
        <f t="shared" si="79"/>
        <v>44785</v>
      </c>
      <c r="L238" s="147">
        <f>IF(t&lt;Tvie,1-EXP((T0-t)*PertePVj)+'2021'!Pspv,1-EXP((T0-t)*PertePVj)+Pspv)</f>
        <v>3.2871282651389055E-2</v>
      </c>
      <c r="M238" s="845"/>
      <c r="N238" s="845"/>
      <c r="O238" s="48">
        <f>IF(t&lt;Tnet,'2021'!Resal+('2021'!Salim-'2021'!Resal)*(1-EXP(('2021'!Tnet-t)/('2021'!Tau_j))),Resal+(Salim-Resal)*(1-EXP((Tnet-t)/(Tau_j))))*Salcycl</f>
        <v>4.593000455709656E-2</v>
      </c>
      <c r="P238" s="339">
        <f>(INDEX(Models!$BJ238:$BT238,,T238)*(1-R238)+INDEX(Models!$BJ238:$BT238,,T238+1)*R238-ERP_i)*Q238*Ramure*Pc/MaxiM</f>
        <v>9.5393083115364878E-5</v>
      </c>
      <c r="Q238" s="305">
        <f t="shared" si="80"/>
        <v>0.5</v>
      </c>
      <c r="R238" s="177">
        <f t="shared" si="81"/>
        <v>0.46257088069424479</v>
      </c>
      <c r="S238" s="811">
        <f t="shared" si="82"/>
        <v>0</v>
      </c>
      <c r="T238" s="176">
        <f t="shared" si="83"/>
        <v>6</v>
      </c>
      <c r="U238" s="251">
        <f t="shared" si="84"/>
        <v>0.46257088069424479</v>
      </c>
      <c r="V238" s="383">
        <f t="shared" si="85"/>
        <v>52.50914997047817</v>
      </c>
      <c r="W238" s="402">
        <f t="shared" si="86"/>
        <v>0</v>
      </c>
      <c r="X238" s="157">
        <f t="shared" si="87"/>
        <v>44785</v>
      </c>
      <c r="Y238" s="385">
        <f t="shared" si="88"/>
        <v>44.136372276641659</v>
      </c>
      <c r="Z238" s="385">
        <f t="shared" si="89"/>
        <v>45.636502654622625</v>
      </c>
      <c r="AA238" s="386">
        <f t="shared" si="90"/>
        <v>49.492337447561077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7.7907712421621741E-2</v>
      </c>
      <c r="AD238" s="231">
        <f>(INDEX(Models!$BJ238:$BT238,,AH238)*(1-AF238)+INDEX(Models!$BJ238:$BT238,,AH238+1)*AF238-ERP_i)*AE238*Ramure*Pc/MaxiM</f>
        <v>9.5393083115364878E-5</v>
      </c>
      <c r="AE238" s="305">
        <f t="shared" si="92"/>
        <v>0.5</v>
      </c>
      <c r="AF238" s="177">
        <f t="shared" si="93"/>
        <v>0.46257088069424479</v>
      </c>
      <c r="AG238" s="811">
        <f t="shared" si="99"/>
        <v>0</v>
      </c>
      <c r="AH238" s="176">
        <f t="shared" si="94"/>
        <v>6</v>
      </c>
      <c r="AI238" s="225">
        <f t="shared" si="95"/>
        <v>0.46257088069424479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40">
        <v>31.811</v>
      </c>
      <c r="C239" s="841"/>
      <c r="D239" s="393">
        <f t="shared" si="77"/>
        <v>32.892929542009171</v>
      </c>
      <c r="E239" s="385">
        <f t="shared" si="100"/>
        <v>34.479286268212725</v>
      </c>
      <c r="F239" s="385">
        <f t="shared" si="78"/>
        <v>34.480593060298951</v>
      </c>
      <c r="G239" s="110">
        <f t="shared" si="101"/>
        <v>0.60755047430417985</v>
      </c>
      <c r="H239" s="414" t="b">
        <f>Wh_hp&gt;='2021'!Maxi_hp</f>
        <v>0</v>
      </c>
      <c r="I239" s="380">
        <f>IF(H239,Wh_hp,'2021'!Maxi_hp)</f>
        <v>49.571963401626377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3.2892465252369329E-2</v>
      </c>
      <c r="M239" s="845"/>
      <c r="N239" s="845"/>
      <c r="O239" s="48">
        <f>IF(t&lt;Tnet,'2021'!Resal+('2021'!Salim-'2021'!Resal)*(1-EXP(('2021'!Tnet-t)/('2021'!Tau_j))),Resal+(Salim-Resal)*(1-EXP((Tnet-t)/(Tau_j))))*Salcycl</f>
        <v>4.6008978082184175E-2</v>
      </c>
      <c r="P239" s="339">
        <f>(INDEX(Models!$BJ239:$BT239,,T239)*(1-R239)+INDEX(Models!$BJ239:$BT239,,T239+1)*R239-ERP_i)*Q239*Ramure*Pc/MaxiM</f>
        <v>8.6252545826661105E-5</v>
      </c>
      <c r="Q239" s="305">
        <f t="shared" si="80"/>
        <v>0.5</v>
      </c>
      <c r="R239" s="177">
        <f t="shared" si="81"/>
        <v>0.4638847390219884</v>
      </c>
      <c r="S239" s="811">
        <f t="shared" si="82"/>
        <v>0</v>
      </c>
      <c r="T239" s="176">
        <f t="shared" si="83"/>
        <v>6</v>
      </c>
      <c r="U239" s="251">
        <f t="shared" si="84"/>
        <v>0.4638847390219884</v>
      </c>
      <c r="V239" s="383">
        <f t="shared" si="85"/>
        <v>52.356903868178023</v>
      </c>
      <c r="W239" s="402">
        <f t="shared" si="86"/>
        <v>0</v>
      </c>
      <c r="X239" s="157">
        <f t="shared" si="87"/>
        <v>44786</v>
      </c>
      <c r="Y239" s="385">
        <f t="shared" si="88"/>
        <v>30.746199958053612</v>
      </c>
      <c r="Z239" s="385">
        <f t="shared" si="89"/>
        <v>31.791914397685794</v>
      </c>
      <c r="AA239" s="386">
        <f t="shared" si="90"/>
        <v>34.479286268212725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7.7941632829113469E-2</v>
      </c>
      <c r="AD239" s="231">
        <f>(INDEX(Models!$BJ239:$BT239,,AH239)*(1-AF239)+INDEX(Models!$BJ239:$BT239,,AH239+1)*AF239-ERP_i)*AE239*Ramure*Pc/MaxiM</f>
        <v>8.6252545826661105E-5</v>
      </c>
      <c r="AE239" s="305">
        <f t="shared" si="92"/>
        <v>0.5</v>
      </c>
      <c r="AF239" s="177">
        <f t="shared" si="93"/>
        <v>0.4638847390219884</v>
      </c>
      <c r="AG239" s="811">
        <f t="shared" si="99"/>
        <v>0</v>
      </c>
      <c r="AH239" s="176">
        <f t="shared" si="94"/>
        <v>6</v>
      </c>
      <c r="AI239" s="225">
        <f t="shared" si="95"/>
        <v>0.4638847390219884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40">
        <v>33.073</v>
      </c>
      <c r="C240" s="841"/>
      <c r="D240" s="393">
        <f t="shared" si="77"/>
        <v>34.198600684128166</v>
      </c>
      <c r="E240" s="385">
        <f t="shared" si="100"/>
        <v>35.850886442262855</v>
      </c>
      <c r="F240" s="385">
        <f t="shared" si="78"/>
        <v>35.852220469361043</v>
      </c>
      <c r="G240" s="110">
        <f t="shared" si="101"/>
        <v>0.63351970170207961</v>
      </c>
      <c r="H240" s="414" t="b">
        <f>Wh_hp&gt;='2021'!Maxi_hp</f>
        <v>0</v>
      </c>
      <c r="I240" s="380">
        <f>IF(H240,Wh_hp,'2021'!Maxi_hp)</f>
        <v>57.385484130512104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3.2913647389396394E-2</v>
      </c>
      <c r="M240" s="845"/>
      <c r="N240" s="845"/>
      <c r="O240" s="48">
        <f>IF(t&lt;Tnet,'2021'!Resal+('2021'!Salim-'2021'!Resal)*(1-EXP(('2021'!Tnet-t)/('2021'!Tau_j))),Resal+(Salim-Resal)*(1-EXP((Tnet-t)/(Tau_j))))*Salcycl</f>
        <v>4.6087723961739602E-2</v>
      </c>
      <c r="P240" s="339">
        <f>(INDEX(Models!$BJ240:$BT240,,T240)*(1-R240)+INDEX(Models!$BJ240:$BT240,,T240+1)*R240-ERP_i)*Q240*Ramure*Pc/MaxiM</f>
        <v>7.8089279241602162E-5</v>
      </c>
      <c r="Q240" s="305">
        <f t="shared" si="80"/>
        <v>0.5</v>
      </c>
      <c r="R240" s="177">
        <f t="shared" si="81"/>
        <v>0.46515268558293732</v>
      </c>
      <c r="S240" s="811">
        <f t="shared" si="82"/>
        <v>0</v>
      </c>
      <c r="T240" s="176">
        <f t="shared" si="83"/>
        <v>6</v>
      </c>
      <c r="U240" s="251">
        <f t="shared" si="84"/>
        <v>0.46515268558293732</v>
      </c>
      <c r="V240" s="383">
        <f t="shared" si="85"/>
        <v>52.203029880596269</v>
      </c>
      <c r="W240" s="402">
        <f t="shared" si="86"/>
        <v>0</v>
      </c>
      <c r="X240" s="157">
        <f t="shared" si="87"/>
        <v>44787</v>
      </c>
      <c r="Y240" s="385">
        <f t="shared" si="88"/>
        <v>31.967428509879316</v>
      </c>
      <c r="Z240" s="385">
        <f t="shared" si="89"/>
        <v>33.055402367725243</v>
      </c>
      <c r="AA240" s="386">
        <f t="shared" si="90"/>
        <v>35.850886442262855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7.7975312522318804E-2</v>
      </c>
      <c r="AD240" s="231">
        <f>(INDEX(Models!$BJ240:$BT240,,AH240)*(1-AF240)+INDEX(Models!$BJ240:$BT240,,AH240+1)*AF240-ERP_i)*AE240*Ramure*Pc/MaxiM</f>
        <v>7.8089279241602162E-5</v>
      </c>
      <c r="AE240" s="305">
        <f t="shared" si="92"/>
        <v>0.5</v>
      </c>
      <c r="AF240" s="177">
        <f t="shared" si="93"/>
        <v>0.46515268558293732</v>
      </c>
      <c r="AG240" s="811">
        <f t="shared" si="99"/>
        <v>0</v>
      </c>
      <c r="AH240" s="176">
        <f t="shared" si="94"/>
        <v>6</v>
      </c>
      <c r="AI240" s="225">
        <f t="shared" si="95"/>
        <v>0.46515268558293732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40">
        <v>37.922000000000004</v>
      </c>
      <c r="C241" s="841"/>
      <c r="D241" s="393">
        <f t="shared" si="77"/>
        <v>39.213489576133306</v>
      </c>
      <c r="E241" s="385">
        <f t="shared" si="100"/>
        <v>41.111450619165957</v>
      </c>
      <c r="F241" s="385">
        <f t="shared" si="78"/>
        <v>41.113222930048728</v>
      </c>
      <c r="G241" s="110">
        <f t="shared" si="101"/>
        <v>0.72858440687305348</v>
      </c>
      <c r="H241" s="414" t="b">
        <f>Wh_hp&gt;='2021'!Maxi_hp</f>
        <v>0</v>
      </c>
      <c r="I241" s="380">
        <f>IF(H241,Wh_hp,'2021'!Maxi_hp)</f>
        <v>56.300151621417385</v>
      </c>
      <c r="J241" s="85">
        <f>IF(H241,An,'2021'!An_max)</f>
        <v>2018</v>
      </c>
      <c r="K241" s="197">
        <f t="shared" si="79"/>
        <v>44788</v>
      </c>
      <c r="L241" s="147">
        <f>IF(t&lt;Tvie,1-EXP((T0-t)*PertePVj)+'2021'!Pspv,1-EXP((T0-t)*PertePVj)+Pspv)</f>
        <v>3.2934829062480242E-2</v>
      </c>
      <c r="M241" s="845"/>
      <c r="N241" s="845"/>
      <c r="O241" s="48">
        <f>IF(t&lt;Tnet,'2021'!Resal+('2021'!Salim-'2021'!Resal)*(1-EXP(('2021'!Tnet-t)/('2021'!Tau_j))),Resal+(Salim-Resal)*(1-EXP((Tnet-t)/(Tau_j))))*Salcycl</f>
        <v>4.6166238710823641E-2</v>
      </c>
      <c r="P241" s="339">
        <f>(INDEX(Models!$BJ241:$BT241,,T241)*(1-R241)+INDEX(Models!$BJ241:$BT241,,T241+1)*R241-ERP_i)*Q241*Ramure*Pc/MaxiM</f>
        <v>7.0404416159857401E-5</v>
      </c>
      <c r="Q241" s="305">
        <f t="shared" si="80"/>
        <v>0.5</v>
      </c>
      <c r="R241" s="177">
        <f t="shared" si="81"/>
        <v>0.46637607010597754</v>
      </c>
      <c r="S241" s="811">
        <f t="shared" si="82"/>
        <v>0</v>
      </c>
      <c r="T241" s="176">
        <f t="shared" si="83"/>
        <v>6</v>
      </c>
      <c r="U241" s="251">
        <f t="shared" si="84"/>
        <v>0.46637607010597754</v>
      </c>
      <c r="V241" s="383">
        <f t="shared" si="85"/>
        <v>52.047455950010857</v>
      </c>
      <c r="W241" s="402">
        <f t="shared" si="86"/>
        <v>0</v>
      </c>
      <c r="X241" s="157">
        <f t="shared" si="87"/>
        <v>44788</v>
      </c>
      <c r="Y241" s="385">
        <f t="shared" si="88"/>
        <v>36.656023039310433</v>
      </c>
      <c r="Z241" s="385">
        <f t="shared" si="89"/>
        <v>37.904397905028787</v>
      </c>
      <c r="AA241" s="386">
        <f t="shared" si="90"/>
        <v>41.111450619165957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7.8008746123934034E-2</v>
      </c>
      <c r="AD241" s="231">
        <f>(INDEX(Models!$BJ241:$BT241,,AH241)*(1-AF241)+INDEX(Models!$BJ241:$BT241,,AH241+1)*AF241-ERP_i)*AE241*Ramure*Pc/MaxiM</f>
        <v>7.0404416159857401E-5</v>
      </c>
      <c r="AE241" s="305">
        <f t="shared" si="92"/>
        <v>0.5</v>
      </c>
      <c r="AF241" s="177">
        <f t="shared" si="93"/>
        <v>0.46637607010597754</v>
      </c>
      <c r="AG241" s="811">
        <f t="shared" si="99"/>
        <v>0</v>
      </c>
      <c r="AH241" s="176">
        <f t="shared" si="94"/>
        <v>6</v>
      </c>
      <c r="AI241" s="225">
        <f t="shared" si="95"/>
        <v>0.46637607010597754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40">
        <v>31.855</v>
      </c>
      <c r="C242" s="841"/>
      <c r="D242" s="393">
        <f t="shared" si="77"/>
        <v>32.940590436788398</v>
      </c>
      <c r="E242" s="385">
        <f t="shared" si="100"/>
        <v>34.537773119478651</v>
      </c>
      <c r="F242" s="385">
        <f t="shared" si="78"/>
        <v>34.53875198655772</v>
      </c>
      <c r="G242" s="110">
        <f t="shared" si="101"/>
        <v>0.61387238596924532</v>
      </c>
      <c r="H242" s="414" t="b">
        <f>Wh_hp&gt;='2021'!Maxi_hp</f>
        <v>0</v>
      </c>
      <c r="I242" s="380">
        <f>IF(H242,Wh_hp,'2021'!Maxi_hp)</f>
        <v>56.421516120211891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3.2956010271631198E-2</v>
      </c>
      <c r="M242" s="845"/>
      <c r="N242" s="845"/>
      <c r="O242" s="48">
        <f>IF(t&lt;Tnet,'2021'!Resal+('2021'!Salim-'2021'!Resal)*(1-EXP(('2021'!Tnet-t)/('2021'!Tau_j))),Resal+(Salim-Resal)*(1-EXP((Tnet-t)/(Tau_j))))*Salcycl</f>
        <v>4.6244518347057936E-2</v>
      </c>
      <c r="P242" s="339">
        <f>(INDEX(Models!$BJ242:$BT242,,T242)*(1-R242)+INDEX(Models!$BJ242:$BT242,,T242+1)*R242-ERP_i)*Q242*Ramure*Pc/MaxiM</f>
        <v>6.320222991172873E-5</v>
      </c>
      <c r="Q242" s="305">
        <f t="shared" si="80"/>
        <v>0.5</v>
      </c>
      <c r="R242" s="177">
        <f t="shared" si="81"/>
        <v>0.4675562217339963</v>
      </c>
      <c r="S242" s="811">
        <f t="shared" si="82"/>
        <v>0</v>
      </c>
      <c r="T242" s="176">
        <f t="shared" si="83"/>
        <v>6</v>
      </c>
      <c r="U242" s="251">
        <f t="shared" si="84"/>
        <v>0.4675562217339963</v>
      </c>
      <c r="V242" s="383">
        <f t="shared" si="85"/>
        <v>51.890083665723807</v>
      </c>
      <c r="W242" s="402">
        <f t="shared" si="86"/>
        <v>0</v>
      </c>
      <c r="X242" s="157">
        <f t="shared" si="87"/>
        <v>44789</v>
      </c>
      <c r="Y242" s="385">
        <f t="shared" si="88"/>
        <v>30.792980974999683</v>
      </c>
      <c r="Z242" s="385">
        <f t="shared" si="89"/>
        <v>31.842378735686125</v>
      </c>
      <c r="AA242" s="386">
        <f t="shared" si="90"/>
        <v>34.537773119478651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7.8041927441823783E-2</v>
      </c>
      <c r="AD242" s="231">
        <f>(INDEX(Models!$BJ242:$BT242,,AH242)*(1-AF242)+INDEX(Models!$BJ242:$BT242,,AH242+1)*AF242-ERP_i)*AE242*Ramure*Pc/MaxiM</f>
        <v>6.320222991172873E-5</v>
      </c>
      <c r="AE242" s="305">
        <f t="shared" si="92"/>
        <v>0.5</v>
      </c>
      <c r="AF242" s="177">
        <f t="shared" si="93"/>
        <v>0.4675562217339963</v>
      </c>
      <c r="AG242" s="811">
        <f t="shared" si="99"/>
        <v>0</v>
      </c>
      <c r="AH242" s="176">
        <f t="shared" si="94"/>
        <v>6</v>
      </c>
      <c r="AI242" s="225">
        <f t="shared" si="95"/>
        <v>0.4675562217339963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40">
        <v>21.897000000000002</v>
      </c>
      <c r="C243" s="841"/>
      <c r="D243" s="393">
        <f t="shared" si="77"/>
        <v>22.643726493923637</v>
      </c>
      <c r="E243" s="385">
        <f t="shared" si="100"/>
        <v>23.743590345061083</v>
      </c>
      <c r="F243" s="385">
        <f t="shared" si="78"/>
        <v>23.74382656675861</v>
      </c>
      <c r="G243" s="110">
        <f t="shared" si="101"/>
        <v>0.4232676611970469</v>
      </c>
      <c r="H243" s="414" t="b">
        <f>Wh_hp&gt;='2021'!Maxi_hp</f>
        <v>0</v>
      </c>
      <c r="I243" s="380">
        <f>IF(H243,Wh_hp,'2021'!Maxi_hp)</f>
        <v>55.293372982977111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3.2977191016859142E-2</v>
      </c>
      <c r="M243" s="845"/>
      <c r="N243" s="845"/>
      <c r="O243" s="48">
        <f>IF(t&lt;Tnet,'2021'!Resal+('2021'!Salim-'2021'!Resal)*(1-EXP(('2021'!Tnet-t)/('2021'!Tau_j))),Resal+(Salim-Resal)*(1-EXP((Tnet-t)/(Tau_j))))*Salcycl</f>
        <v>4.6322558431700307E-2</v>
      </c>
      <c r="P243" s="339">
        <f>(INDEX(Models!$BJ243:$BT243,,T243)*(1-R243)+INDEX(Models!$BJ243:$BT243,,T243+1)*R243-ERP_i)*Q243*Ramure*Pc/MaxiM</f>
        <v>5.6487006510243838E-5</v>
      </c>
      <c r="Q243" s="305">
        <f t="shared" si="80"/>
        <v>0.5</v>
      </c>
      <c r="R243" s="177">
        <f t="shared" si="81"/>
        <v>0.46869444776884894</v>
      </c>
      <c r="S243" s="811">
        <f t="shared" si="82"/>
        <v>0</v>
      </c>
      <c r="T243" s="176">
        <f t="shared" si="83"/>
        <v>6</v>
      </c>
      <c r="U243" s="251">
        <f t="shared" si="84"/>
        <v>0.46869444776884894</v>
      </c>
      <c r="V243" s="383">
        <f t="shared" si="85"/>
        <v>51.73081468122092</v>
      </c>
      <c r="W243" s="402">
        <f t="shared" si="86"/>
        <v>0</v>
      </c>
      <c r="X243" s="157">
        <f t="shared" si="87"/>
        <v>44790</v>
      </c>
      <c r="Y243" s="385">
        <f t="shared" si="88"/>
        <v>21.167948553290341</v>
      </c>
      <c r="Z243" s="385">
        <f t="shared" si="89"/>
        <v>21.889813101253729</v>
      </c>
      <c r="AA243" s="386">
        <f t="shared" si="90"/>
        <v>23.743590345061083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7.8074849543256136E-2</v>
      </c>
      <c r="AD243" s="231">
        <f>(INDEX(Models!$BJ243:$BT243,,AH243)*(1-AF243)+INDEX(Models!$BJ243:$BT243,,AH243+1)*AF243-ERP_i)*AE243*Ramure*Pc/MaxiM</f>
        <v>5.6487006510243838E-5</v>
      </c>
      <c r="AE243" s="305">
        <f t="shared" si="92"/>
        <v>0.5</v>
      </c>
      <c r="AF243" s="177">
        <f t="shared" si="93"/>
        <v>0.46869444776884894</v>
      </c>
      <c r="AG243" s="811">
        <f t="shared" si="99"/>
        <v>0</v>
      </c>
      <c r="AH243" s="176">
        <f t="shared" si="94"/>
        <v>6</v>
      </c>
      <c r="AI243" s="225">
        <f t="shared" si="95"/>
        <v>0.46869444776884894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40">
        <v>38.102000000000004</v>
      </c>
      <c r="C244" s="841"/>
      <c r="D244" s="393">
        <f t="shared" si="77"/>
        <v>39.402208713082466</v>
      </c>
      <c r="E244" s="385">
        <f t="shared" si="100"/>
        <v>41.319445621448743</v>
      </c>
      <c r="F244" s="385">
        <f t="shared" si="78"/>
        <v>41.320747684471556</v>
      </c>
      <c r="G244" s="110">
        <f t="shared" si="101"/>
        <v>0.7388329928146613</v>
      </c>
      <c r="H244" s="414" t="b">
        <f>Wh_hp&gt;='2021'!Maxi_hp</f>
        <v>0</v>
      </c>
      <c r="I244" s="380">
        <f>IF(H244,Wh_hp,'2021'!Maxi_hp)</f>
        <v>53.147705265054185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3.2998371298174511E-2</v>
      </c>
      <c r="M244" s="845"/>
      <c r="N244" s="845"/>
      <c r="O244" s="48">
        <f>IF(t&lt;Tnet,'2021'!Resal+('2021'!Salim-'2021'!Resal)*(1-EXP(('2021'!Tnet-t)/('2021'!Tau_j))),Resal+(Salim-Resal)*(1-EXP((Tnet-t)/(Tau_j))))*Salcycl</f>
        <v>4.64003541076322E-2</v>
      </c>
      <c r="P244" s="339">
        <f>(INDEX(Models!$BJ244:$BT244,,T244)*(1-R244)+INDEX(Models!$BJ244:$BT244,,T244+1)*R244-ERP_i)*Q244*Ramure*Pc/MaxiM</f>
        <v>5.02630560684688E-5</v>
      </c>
      <c r="Q244" s="305">
        <f t="shared" si="80"/>
        <v>0.5</v>
      </c>
      <c r="R244" s="177">
        <f t="shared" si="81"/>
        <v>0.46979203257366253</v>
      </c>
      <c r="S244" s="811">
        <f t="shared" si="82"/>
        <v>0</v>
      </c>
      <c r="T244" s="176">
        <f t="shared" si="83"/>
        <v>6</v>
      </c>
      <c r="U244" s="251">
        <f t="shared" si="84"/>
        <v>0.46979203257366253</v>
      </c>
      <c r="V244" s="383">
        <f t="shared" si="85"/>
        <v>51.569550712741474</v>
      </c>
      <c r="W244" s="402">
        <f t="shared" si="86"/>
        <v>0</v>
      </c>
      <c r="X244" s="157">
        <f t="shared" si="87"/>
        <v>44791</v>
      </c>
      <c r="Y244" s="385">
        <f t="shared" si="88"/>
        <v>36.835109998756856</v>
      </c>
      <c r="Z244" s="385">
        <f t="shared" si="89"/>
        <v>38.09208682327354</v>
      </c>
      <c r="AA244" s="386">
        <f t="shared" si="90"/>
        <v>41.319445621448743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7.8107504823343887E-2</v>
      </c>
      <c r="AD244" s="231">
        <f>(INDEX(Models!$BJ244:$BT244,,AH244)*(1-AF244)+INDEX(Models!$BJ244:$BT244,,AH244+1)*AF244-ERP_i)*AE244*Ramure*Pc/MaxiM</f>
        <v>5.02630560684688E-5</v>
      </c>
      <c r="AE244" s="305">
        <f t="shared" si="92"/>
        <v>0.5</v>
      </c>
      <c r="AF244" s="177">
        <f t="shared" si="93"/>
        <v>0.46979203257366253</v>
      </c>
      <c r="AG244" s="811">
        <f t="shared" si="99"/>
        <v>0</v>
      </c>
      <c r="AH244" s="176">
        <f t="shared" si="94"/>
        <v>6</v>
      </c>
      <c r="AI244" s="225">
        <f t="shared" si="95"/>
        <v>0.46979203257366253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40">
        <v>39.451000000000001</v>
      </c>
      <c r="C245" s="841"/>
      <c r="D245" s="393">
        <f t="shared" si="77"/>
        <v>40.798136141753311</v>
      </c>
      <c r="E245" s="385">
        <f t="shared" si="100"/>
        <v>42.786775626361738</v>
      </c>
      <c r="F245" s="385">
        <f t="shared" si="78"/>
        <v>42.788048091850989</v>
      </c>
      <c r="G245" s="110">
        <f t="shared" si="101"/>
        <v>0.76742535392301359</v>
      </c>
      <c r="H245" s="414" t="b">
        <f>Wh_hp&gt;='2021'!Maxi_hp</f>
        <v>0</v>
      </c>
      <c r="I245" s="380">
        <f>IF(H245,Wh_hp,'2021'!Maxi_hp)</f>
        <v>53.076716411968974</v>
      </c>
      <c r="J245" s="85">
        <f>IF(H245,An,'2021'!An_max)</f>
        <v>2018</v>
      </c>
      <c r="K245" s="197">
        <f t="shared" si="79"/>
        <v>44792</v>
      </c>
      <c r="L245" s="147">
        <f>IF(t&lt;Tvie,1-EXP((T0-t)*PertePVj)+'2021'!Pspv,1-EXP((T0-t)*PertePVj)+Pspv)</f>
        <v>3.3019551115587298E-2</v>
      </c>
      <c r="M245" s="845"/>
      <c r="N245" s="845"/>
      <c r="O245" s="48">
        <f>IF(t&lt;Tnet,'2021'!Resal+('2021'!Salim-'2021'!Resal)*(1-EXP(('2021'!Tnet-t)/('2021'!Tau_j))),Resal+(Salim-Resal)*(1-EXP((Tnet-t)/(Tau_j))))*Salcycl</f>
        <v>4.6477900133778512E-2</v>
      </c>
      <c r="P245" s="339">
        <f>(INDEX(Models!$BJ245:$BT245,,T245)*(1-R245)+INDEX(Models!$BJ245:$BT245,,T245+1)*R245-ERP_i)*Q245*Ramure*Pc/MaxiM</f>
        <v>4.4534723627151307E-5</v>
      </c>
      <c r="Q245" s="305">
        <f t="shared" si="80"/>
        <v>0.5</v>
      </c>
      <c r="R245" s="177">
        <f t="shared" si="81"/>
        <v>0.47085023662310188</v>
      </c>
      <c r="S245" s="811">
        <f t="shared" si="82"/>
        <v>0</v>
      </c>
      <c r="T245" s="176">
        <f t="shared" si="83"/>
        <v>6</v>
      </c>
      <c r="U245" s="251">
        <f t="shared" si="84"/>
        <v>0.47085023662310188</v>
      </c>
      <c r="V245" s="383">
        <f t="shared" si="85"/>
        <v>51.40619353693851</v>
      </c>
      <c r="W245" s="402">
        <f t="shared" si="86"/>
        <v>0</v>
      </c>
      <c r="X245" s="157">
        <f t="shared" si="87"/>
        <v>44792</v>
      </c>
      <c r="Y245" s="385">
        <f t="shared" si="88"/>
        <v>38.141017811046574</v>
      </c>
      <c r="Z245" s="385">
        <f t="shared" si="89"/>
        <v>39.443421896532811</v>
      </c>
      <c r="AA245" s="386">
        <f t="shared" si="90"/>
        <v>42.786775626361738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7.8139885066941694E-2</v>
      </c>
      <c r="AD245" s="231">
        <f>(INDEX(Models!$BJ245:$BT245,,AH245)*(1-AF245)+INDEX(Models!$BJ245:$BT245,,AH245+1)*AF245-ERP_i)*AE245*Ramure*Pc/MaxiM</f>
        <v>4.4534723627151307E-5</v>
      </c>
      <c r="AE245" s="305">
        <f t="shared" si="92"/>
        <v>0.5</v>
      </c>
      <c r="AF245" s="177">
        <f t="shared" si="93"/>
        <v>0.47085023662310188</v>
      </c>
      <c r="AG245" s="811">
        <f t="shared" si="99"/>
        <v>0</v>
      </c>
      <c r="AH245" s="176">
        <f t="shared" si="94"/>
        <v>6</v>
      </c>
      <c r="AI245" s="225">
        <f t="shared" si="95"/>
        <v>0.47085023662310188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40">
        <v>46.983000000000004</v>
      </c>
      <c r="C246" s="841"/>
      <c r="D246" s="393">
        <f t="shared" si="77"/>
        <v>48.588396099448119</v>
      </c>
      <c r="E246" s="385">
        <f t="shared" si="100"/>
        <v>50.960890065682221</v>
      </c>
      <c r="F246" s="385">
        <f t="shared" si="78"/>
        <v>50.962655445923772</v>
      </c>
      <c r="G246" s="110">
        <f t="shared" si="101"/>
        <v>0.91690455487961942</v>
      </c>
      <c r="H246" s="414" t="b">
        <f>Wh_hp&gt;='2021'!Maxi_hp</f>
        <v>0</v>
      </c>
      <c r="I246" s="380">
        <f>IF(H246,Wh_hp,'2021'!Maxi_hp)</f>
        <v>53.656818151544883</v>
      </c>
      <c r="J246" s="85">
        <f>IF(H246,An,'2021'!An_max)</f>
        <v>2018</v>
      </c>
      <c r="K246" s="197">
        <f t="shared" si="79"/>
        <v>44793</v>
      </c>
      <c r="L246" s="147">
        <f>IF(t&lt;Tvie,1-EXP((T0-t)*PertePVj)+'2021'!Pspv,1-EXP((T0-t)*PertePVj)+Pspv)</f>
        <v>3.3040730469107826E-2</v>
      </c>
      <c r="M246" s="845"/>
      <c r="N246" s="845"/>
      <c r="O246" s="48">
        <f>IF(t&lt;Tnet,'2021'!Resal+('2021'!Salim-'2021'!Resal)*(1-EXP(('2021'!Tnet-t)/('2021'!Tau_j))),Resal+(Salim-Resal)*(1-EXP((Tnet-t)/(Tau_j))))*Salcycl</f>
        <v>4.6555190915548265E-2</v>
      </c>
      <c r="P246" s="339">
        <f>(INDEX(Models!$BJ246:$BT246,,T246)*(1-R246)+INDEX(Models!$BJ246:$BT246,,T246+1)*R246-ERP_i)*Q246*Ramure*Pc/MaxiM</f>
        <v>3.9306399491774587E-5</v>
      </c>
      <c r="Q246" s="305">
        <f t="shared" si="80"/>
        <v>0.5</v>
      </c>
      <c r="R246" s="177">
        <f t="shared" si="81"/>
        <v>0.47187029569238714</v>
      </c>
      <c r="S246" s="811">
        <f t="shared" si="82"/>
        <v>0</v>
      </c>
      <c r="T246" s="176">
        <f t="shared" si="83"/>
        <v>6</v>
      </c>
      <c r="U246" s="251">
        <f t="shared" si="84"/>
        <v>0.47187029569238714</v>
      </c>
      <c r="V246" s="383">
        <f t="shared" si="85"/>
        <v>51.240644985497141</v>
      </c>
      <c r="W246" s="402">
        <f t="shared" si="86"/>
        <v>0</v>
      </c>
      <c r="X246" s="157">
        <f t="shared" si="87"/>
        <v>44793</v>
      </c>
      <c r="Y246" s="385">
        <f t="shared" si="88"/>
        <v>45.425016089411614</v>
      </c>
      <c r="Z246" s="385">
        <f t="shared" si="89"/>
        <v>46.977176310072473</v>
      </c>
      <c r="AA246" s="386">
        <f t="shared" si="90"/>
        <v>50.960890065682221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7.8171981503369348E-2</v>
      </c>
      <c r="AD246" s="231">
        <f>(INDEX(Models!$BJ246:$BT246,,AH246)*(1-AF246)+INDEX(Models!$BJ246:$BT246,,AH246+1)*AF246-ERP_i)*AE246*Ramure*Pc/MaxiM</f>
        <v>3.9306399491774587E-5</v>
      </c>
      <c r="AE246" s="305">
        <f t="shared" si="92"/>
        <v>0.5</v>
      </c>
      <c r="AF246" s="177">
        <f t="shared" si="93"/>
        <v>0.47187029569238714</v>
      </c>
      <c r="AG246" s="811">
        <f t="shared" si="99"/>
        <v>0</v>
      </c>
      <c r="AH246" s="176">
        <f t="shared" si="94"/>
        <v>6</v>
      </c>
      <c r="AI246" s="225">
        <f t="shared" si="95"/>
        <v>0.47187029569238714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40">
        <v>31.673000000000002</v>
      </c>
      <c r="C247" s="841"/>
      <c r="D247" s="393">
        <f t="shared" si="77"/>
        <v>32.755975079019905</v>
      </c>
      <c r="E247" s="385">
        <f t="shared" si="100"/>
        <v>34.358172978388879</v>
      </c>
      <c r="F247" s="385">
        <f t="shared" si="78"/>
        <v>34.358716360584914</v>
      </c>
      <c r="G247" s="110">
        <f t="shared" si="101"/>
        <v>0.62011842025303854</v>
      </c>
      <c r="H247" s="414" t="b">
        <f>Wh_hp&gt;='2021'!Maxi_hp</f>
        <v>0</v>
      </c>
      <c r="I247" s="380">
        <f>IF(H247,Wh_hp,'2021'!Maxi_hp)</f>
        <v>54.498162972904758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3.3061909358746089E-2</v>
      </c>
      <c r="M247" s="845"/>
      <c r="N247" s="845"/>
      <c r="O247" s="48">
        <f>IF(t&lt;Tnet,'2021'!Resal+('2021'!Salim-'2021'!Resal)*(1-EXP(('2021'!Tnet-t)/('2021'!Tau_j))),Resal+(Salim-Resal)*(1-EXP((Tnet-t)/(Tau_j))))*Salcycl</f>
        <v>4.663222053095642E-2</v>
      </c>
      <c r="P247" s="339">
        <f>(INDEX(Models!$BJ247:$BT247,,T247)*(1-R247)+INDEX(Models!$BJ247:$BT247,,T247+1)*R247-ERP_i)*Q247*Ramure*Pc/MaxiM</f>
        <v>3.4581200122137713E-5</v>
      </c>
      <c r="Q247" s="305">
        <f t="shared" si="80"/>
        <v>0.5</v>
      </c>
      <c r="R247" s="177">
        <f t="shared" si="81"/>
        <v>0.47285342017605136</v>
      </c>
      <c r="S247" s="811">
        <f t="shared" si="82"/>
        <v>0</v>
      </c>
      <c r="T247" s="176">
        <f t="shared" si="83"/>
        <v>6</v>
      </c>
      <c r="U247" s="251">
        <f t="shared" si="84"/>
        <v>0.47285342017605136</v>
      </c>
      <c r="V247" s="383">
        <f t="shared" si="85"/>
        <v>51.074769872158853</v>
      </c>
      <c r="W247" s="402">
        <f t="shared" si="86"/>
        <v>0</v>
      </c>
      <c r="X247" s="157">
        <f t="shared" si="87"/>
        <v>44794</v>
      </c>
      <c r="Y247" s="385">
        <f t="shared" si="88"/>
        <v>30.624122349295778</v>
      </c>
      <c r="Z247" s="385">
        <f t="shared" si="89"/>
        <v>31.671233810829062</v>
      </c>
      <c r="AA247" s="386">
        <f t="shared" si="90"/>
        <v>34.358172978388879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7.8203784853458067E-2</v>
      </c>
      <c r="AD247" s="231">
        <f>(INDEX(Models!$BJ247:$BT247,,AH247)*(1-AF247)+INDEX(Models!$BJ247:$BT247,,AH247+1)*AF247-ERP_i)*AE247*Ramure*Pc/MaxiM</f>
        <v>3.4581200122137713E-5</v>
      </c>
      <c r="AE247" s="305">
        <f t="shared" si="92"/>
        <v>0.5</v>
      </c>
      <c r="AF247" s="177">
        <f t="shared" si="93"/>
        <v>0.47285342017605136</v>
      </c>
      <c r="AG247" s="811">
        <f t="shared" si="99"/>
        <v>0</v>
      </c>
      <c r="AH247" s="176">
        <f t="shared" si="94"/>
        <v>6</v>
      </c>
      <c r="AI247" s="225">
        <f t="shared" si="95"/>
        <v>0.47285342017605136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40">
        <v>24.677</v>
      </c>
      <c r="C248" s="841"/>
      <c r="D248" s="393">
        <f t="shared" si="77"/>
        <v>25.521324209189618</v>
      </c>
      <c r="E248" s="385">
        <f t="shared" si="100"/>
        <v>26.771808133543537</v>
      </c>
      <c r="F248" s="385">
        <f t="shared" si="78"/>
        <v>26.772023567851964</v>
      </c>
      <c r="G248" s="110">
        <f t="shared" si="101"/>
        <v>0.4847075942976935</v>
      </c>
      <c r="H248" s="414" t="b">
        <f>Wh_hp&gt;='2021'!Maxi_hp</f>
        <v>0</v>
      </c>
      <c r="I248" s="380">
        <f>IF(H248,Wh_hp,'2021'!Maxi_hp)</f>
        <v>56.835581680919191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3.3083087784512299E-2</v>
      </c>
      <c r="M248" s="845"/>
      <c r="N248" s="845"/>
      <c r="O248" s="48">
        <f>IF(t&lt;Tnet,'2021'!Resal+('2021'!Salim-'2021'!Resal)*(1-EXP(('2021'!Tnet-t)/('2021'!Tau_j))),Resal+(Salim-Resal)*(1-EXP((Tnet-t)/(Tau_j))))*Salcycl</f>
        <v>4.6708982752163654E-2</v>
      </c>
      <c r="P248" s="339">
        <f>(INDEX(Models!$BJ248:$BT248,,T248)*(1-R248)+INDEX(Models!$BJ248:$BT248,,T248+1)*R248-ERP_i)*Q248*Ramure*Pc/MaxiM</f>
        <v>3.0494489935936015E-5</v>
      </c>
      <c r="Q248" s="305">
        <f t="shared" si="80"/>
        <v>0.5</v>
      </c>
      <c r="R248" s="177">
        <f t="shared" si="81"/>
        <v>0.47380079452766977</v>
      </c>
      <c r="S248" s="811">
        <f t="shared" si="82"/>
        <v>0</v>
      </c>
      <c r="T248" s="176">
        <f t="shared" si="83"/>
        <v>6</v>
      </c>
      <c r="U248" s="251">
        <f t="shared" si="84"/>
        <v>0.47380079452766977</v>
      </c>
      <c r="V248" s="383">
        <f t="shared" si="85"/>
        <v>50.909963757500826</v>
      </c>
      <c r="W248" s="402">
        <f t="shared" si="86"/>
        <v>0</v>
      </c>
      <c r="X248" s="157">
        <f t="shared" si="87"/>
        <v>44795</v>
      </c>
      <c r="Y248" s="385">
        <f t="shared" si="88"/>
        <v>23.860906534742593</v>
      </c>
      <c r="Z248" s="385">
        <f t="shared" si="89"/>
        <v>24.677308084383714</v>
      </c>
      <c r="AA248" s="386">
        <f t="shared" si="90"/>
        <v>26.771808133543537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7.8235285368549221E-2</v>
      </c>
      <c r="AD248" s="231">
        <f>(INDEX(Models!$BJ248:$BT248,,AH248)*(1-AF248)+INDEX(Models!$BJ248:$BT248,,AH248+1)*AF248-ERP_i)*AE248*Ramure*Pc/MaxiM</f>
        <v>3.0494489935936015E-5</v>
      </c>
      <c r="AE248" s="305">
        <f t="shared" si="92"/>
        <v>0.5</v>
      </c>
      <c r="AF248" s="177">
        <f t="shared" si="93"/>
        <v>0.47380079452766977</v>
      </c>
      <c r="AG248" s="811">
        <f t="shared" si="99"/>
        <v>0</v>
      </c>
      <c r="AH248" s="176">
        <f t="shared" si="94"/>
        <v>6</v>
      </c>
      <c r="AI248" s="225">
        <f t="shared" si="95"/>
        <v>0.47380079452766977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40">
        <v>44.140999999999998</v>
      </c>
      <c r="C249" s="841"/>
      <c r="D249" s="393">
        <f t="shared" si="77"/>
        <v>45.652285387395594</v>
      </c>
      <c r="E249" s="385">
        <f t="shared" si="100"/>
        <v>47.892981067200033</v>
      </c>
      <c r="F249" s="385">
        <f t="shared" si="78"/>
        <v>47.894023384511755</v>
      </c>
      <c r="G249" s="110">
        <f t="shared" si="101"/>
        <v>0.86984704237054256</v>
      </c>
      <c r="H249" s="414" t="b">
        <f>Wh_hp&gt;='2021'!Maxi_hp</f>
        <v>0</v>
      </c>
      <c r="I249" s="380">
        <f>IF(H249,Wh_hp,'2021'!Maxi_hp)</f>
        <v>54.138140935976416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3.3104265746416672E-2</v>
      </c>
      <c r="M249" s="845"/>
      <c r="N249" s="845"/>
      <c r="O249" s="48">
        <f>IF(t&lt;Tnet,'2021'!Resal+('2021'!Salim-'2021'!Resal)*(1-EXP(('2021'!Tnet-t)/('2021'!Tau_j))),Resal+(Salim-Resal)*(1-EXP((Tnet-t)/(Tau_j))))*Salcycl</f>
        <v>4.6785471062251255E-2</v>
      </c>
      <c r="P249" s="339">
        <f>(INDEX(Models!$BJ249:$BT249,,T249)*(1-R249)+INDEX(Models!$BJ249:$BT249,,T249+1)*R249-ERP_i)*Q249*Ramure*Pc/MaxiM</f>
        <v>2.6733454095340865E-5</v>
      </c>
      <c r="Q249" s="305">
        <f t="shared" si="80"/>
        <v>0.5</v>
      </c>
      <c r="R249" s="177">
        <f t="shared" si="81"/>
        <v>0.47471357681205606</v>
      </c>
      <c r="S249" s="811">
        <f t="shared" si="82"/>
        <v>0</v>
      </c>
      <c r="T249" s="176">
        <f t="shared" si="83"/>
        <v>6</v>
      </c>
      <c r="U249" s="251">
        <f t="shared" si="84"/>
        <v>0.47471357681205606</v>
      </c>
      <c r="V249" s="383">
        <f t="shared" si="85"/>
        <v>50.745451147160779</v>
      </c>
      <c r="W249" s="402">
        <f t="shared" si="86"/>
        <v>0</v>
      </c>
      <c r="X249" s="157">
        <f t="shared" si="87"/>
        <v>44796</v>
      </c>
      <c r="Y249" s="385">
        <f t="shared" si="88"/>
        <v>42.683192908078631</v>
      </c>
      <c r="Z249" s="385">
        <f t="shared" si="89"/>
        <v>44.144566364261472</v>
      </c>
      <c r="AA249" s="386">
        <f t="shared" si="90"/>
        <v>47.892981067200033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7.8266472861212147E-2</v>
      </c>
      <c r="AD249" s="231">
        <f>(INDEX(Models!$BJ249:$BT249,,AH249)*(1-AF249)+INDEX(Models!$BJ249:$BT249,,AH249+1)*AF249-ERP_i)*AE249*Ramure*Pc/MaxiM</f>
        <v>2.6733454095340865E-5</v>
      </c>
      <c r="AE249" s="305">
        <f t="shared" si="92"/>
        <v>0.5</v>
      </c>
      <c r="AF249" s="177">
        <f t="shared" si="93"/>
        <v>0.47471357681205606</v>
      </c>
      <c r="AG249" s="811">
        <f t="shared" si="99"/>
        <v>0</v>
      </c>
      <c r="AH249" s="176">
        <f t="shared" si="94"/>
        <v>6</v>
      </c>
      <c r="AI249" s="225">
        <f t="shared" si="95"/>
        <v>0.47471357681205606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40">
        <v>45.606000000000002</v>
      </c>
      <c r="C250" s="841"/>
      <c r="D250" s="393">
        <f t="shared" si="77"/>
        <v>47.168476697780399</v>
      </c>
      <c r="E250" s="385">
        <f t="shared" si="100"/>
        <v>49.487546185132871</v>
      </c>
      <c r="F250" s="385">
        <f t="shared" si="78"/>
        <v>49.488537344412329</v>
      </c>
      <c r="G250" s="110">
        <f t="shared" si="101"/>
        <v>0.90164992848137704</v>
      </c>
      <c r="H250" s="414" t="b">
        <f>Wh_hp&gt;='2021'!Maxi_hp</f>
        <v>0</v>
      </c>
      <c r="I250" s="380">
        <f>IF(H250,Wh_hp,'2021'!Maxi_hp)</f>
        <v>54.480093410292213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3.312544324446931E-2</v>
      </c>
      <c r="M250" s="845"/>
      <c r="N250" s="845"/>
      <c r="O250" s="48">
        <f>IF(t&lt;Tnet,'2021'!Resal+('2021'!Salim-'2021'!Resal)*(1-EXP(('2021'!Tnet-t)/('2021'!Tau_j))),Resal+(Salim-Resal)*(1-EXP((Tnet-t)/(Tau_j))))*Salcycl</f>
        <v>4.6861678667130403E-2</v>
      </c>
      <c r="P250" s="339">
        <f>(INDEX(Models!$BJ250:$BT250,,T250)*(1-R250)+INDEX(Models!$BJ250:$BT250,,T250+1)*R250-ERP_i)*Q250*Ramure*Pc/MaxiM</f>
        <v>2.3301875249436627E-5</v>
      </c>
      <c r="Q250" s="305">
        <f t="shared" si="80"/>
        <v>0.5</v>
      </c>
      <c r="R250" s="177">
        <f t="shared" si="81"/>
        <v>0.47559289836172031</v>
      </c>
      <c r="S250" s="811">
        <f t="shared" si="82"/>
        <v>0</v>
      </c>
      <c r="T250" s="176">
        <f t="shared" si="83"/>
        <v>6</v>
      </c>
      <c r="U250" s="251">
        <f t="shared" si="84"/>
        <v>0.47559289836172031</v>
      </c>
      <c r="V250" s="383">
        <f t="shared" si="85"/>
        <v>50.580440646290832</v>
      </c>
      <c r="W250" s="402">
        <f t="shared" si="86"/>
        <v>0</v>
      </c>
      <c r="X250" s="157">
        <f t="shared" si="87"/>
        <v>44797</v>
      </c>
      <c r="Y250" s="385">
        <f t="shared" si="88"/>
        <v>44.101858796758528</v>
      </c>
      <c r="Z250" s="385">
        <f t="shared" si="89"/>
        <v>45.612803117653513</v>
      </c>
      <c r="AA250" s="386">
        <f t="shared" si="90"/>
        <v>49.487546185132871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7.8297336727586944E-2</v>
      </c>
      <c r="AD250" s="231">
        <f>(INDEX(Models!$BJ250:$BT250,,AH250)*(1-AF250)+INDEX(Models!$BJ250:$BT250,,AH250+1)*AF250-ERP_i)*AE250*Ramure*Pc/MaxiM</f>
        <v>2.3301875249436627E-5</v>
      </c>
      <c r="AE250" s="305">
        <f t="shared" si="92"/>
        <v>0.5</v>
      </c>
      <c r="AF250" s="177">
        <f t="shared" si="93"/>
        <v>0.47559289836172031</v>
      </c>
      <c r="AG250" s="811">
        <f t="shared" si="99"/>
        <v>0</v>
      </c>
      <c r="AH250" s="176">
        <f t="shared" si="94"/>
        <v>6</v>
      </c>
      <c r="AI250" s="225">
        <f t="shared" si="95"/>
        <v>0.47559289836172031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40">
        <v>32.542000000000002</v>
      </c>
      <c r="C251" s="841"/>
      <c r="D251" s="393">
        <f t="shared" si="77"/>
        <v>33.657636910138045</v>
      </c>
      <c r="E251" s="385">
        <f t="shared" si="100"/>
        <v>35.315249932487028</v>
      </c>
      <c r="F251" s="385">
        <f t="shared" si="78"/>
        <v>35.315602085105738</v>
      </c>
      <c r="G251" s="110">
        <f t="shared" si="101"/>
        <v>0.64548688649099073</v>
      </c>
      <c r="H251" s="414" t="b">
        <f>Wh_hp&gt;='2021'!Maxi_hp</f>
        <v>0</v>
      </c>
      <c r="I251" s="380">
        <f>IF(H251,Wh_hp,'2021'!Maxi_hp)</f>
        <v>50.04617729749566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3.3146620278680428E-2</v>
      </c>
      <c r="M251" s="845"/>
      <c r="N251" s="845"/>
      <c r="O251" s="48">
        <f>IF(t&lt;Tnet,'2021'!Resal+('2021'!Salim-'2021'!Resal)*(1-EXP(('2021'!Tnet-t)/('2021'!Tau_j))),Resal+(Salim-Resal)*(1-EXP((Tnet-t)/(Tau_j))))*Salcycl</f>
        <v>4.6937598502569816E-2</v>
      </c>
      <c r="P251" s="339">
        <f>(INDEX(Models!$BJ251:$BT251,,T251)*(1-R251)+INDEX(Models!$BJ251:$BT251,,T251+1)*R251-ERP_i)*Q251*Ramure*Pc/MaxiM</f>
        <v>2.020330766901748E-5</v>
      </c>
      <c r="Q251" s="305">
        <f t="shared" si="80"/>
        <v>0.5</v>
      </c>
      <c r="R251" s="177">
        <f t="shared" si="81"/>
        <v>0.47643986352968493</v>
      </c>
      <c r="S251" s="811">
        <f t="shared" si="82"/>
        <v>0</v>
      </c>
      <c r="T251" s="176">
        <f t="shared" si="83"/>
        <v>6</v>
      </c>
      <c r="U251" s="251">
        <f t="shared" si="84"/>
        <v>0.47643986352968493</v>
      </c>
      <c r="V251" s="383">
        <f t="shared" si="85"/>
        <v>50.414141196497397</v>
      </c>
      <c r="W251" s="402">
        <f t="shared" si="86"/>
        <v>0</v>
      </c>
      <c r="X251" s="157">
        <f t="shared" si="87"/>
        <v>44798</v>
      </c>
      <c r="Y251" s="385">
        <f t="shared" si="88"/>
        <v>31.470189715552458</v>
      </c>
      <c r="Z251" s="385">
        <f t="shared" si="89"/>
        <v>32.549081769381878</v>
      </c>
      <c r="AA251" s="386">
        <f t="shared" si="90"/>
        <v>35.315249932487028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7.8327865961399026E-2</v>
      </c>
      <c r="AD251" s="231">
        <f>(INDEX(Models!$BJ251:$BT251,,AH251)*(1-AF251)+INDEX(Models!$BJ251:$BT251,,AH251+1)*AF251-ERP_i)*AE251*Ramure*Pc/MaxiM</f>
        <v>2.020330766901748E-5</v>
      </c>
      <c r="AE251" s="305">
        <f t="shared" si="92"/>
        <v>0.5</v>
      </c>
      <c r="AF251" s="177">
        <f t="shared" si="93"/>
        <v>0.47643986352968493</v>
      </c>
      <c r="AG251" s="811">
        <f t="shared" si="99"/>
        <v>0</v>
      </c>
      <c r="AH251" s="176">
        <f t="shared" si="94"/>
        <v>6</v>
      </c>
      <c r="AI251" s="225">
        <f t="shared" si="95"/>
        <v>0.47643986352968493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40">
        <v>40.881999999999998</v>
      </c>
      <c r="C252" s="841"/>
      <c r="D252" s="393">
        <f t="shared" si="77"/>
        <v>42.284483146883332</v>
      </c>
      <c r="E252" s="385">
        <f t="shared" si="100"/>
        <v>44.370482548020647</v>
      </c>
      <c r="F252" s="385">
        <f t="shared" si="78"/>
        <v>44.371050400003867</v>
      </c>
      <c r="G252" s="110">
        <f t="shared" si="101"/>
        <v>0.81363698119250027</v>
      </c>
      <c r="H252" s="414" t="b">
        <f>Wh_hp&gt;='2021'!Maxi_hp</f>
        <v>0</v>
      </c>
      <c r="I252" s="380">
        <f>IF(H252,Wh_hp,'2021'!Maxi_hp)</f>
        <v>54.589001673677714</v>
      </c>
      <c r="J252" s="85">
        <f>IF(H252,An,'2021'!An_max)</f>
        <v>2018</v>
      </c>
      <c r="K252" s="197">
        <f t="shared" si="79"/>
        <v>44799</v>
      </c>
      <c r="L252" s="147">
        <f>IF(t&lt;Tvie,1-EXP((T0-t)*PertePVj)+'2021'!Pspv,1-EXP((T0-t)*PertePVj)+Pspv)</f>
        <v>3.3167796849060127E-2</v>
      </c>
      <c r="M252" s="845"/>
      <c r="N252" s="845"/>
      <c r="O252" s="48">
        <f>IF(t&lt;Tnet,'2021'!Resal+('2021'!Salim-'2021'!Resal)*(1-EXP(('2021'!Tnet-t)/('2021'!Tau_j))),Resal+(Salim-Resal)*(1-EXP((Tnet-t)/(Tau_j))))*Salcycl</f>
        <v>4.7013223236409676E-2</v>
      </c>
      <c r="P252" s="339">
        <f>(INDEX(Models!$BJ252:$BT252,,T252)*(1-R252)+INDEX(Models!$BJ252:$BT252,,T252+1)*R252-ERP_i)*Q252*Ramure*Pc/MaxiM</f>
        <v>1.744110504321196E-5</v>
      </c>
      <c r="Q252" s="305">
        <f t="shared" si="80"/>
        <v>0.5</v>
      </c>
      <c r="R252" s="177">
        <f t="shared" si="81"/>
        <v>0.47725554953108856</v>
      </c>
      <c r="S252" s="811">
        <f t="shared" si="82"/>
        <v>0</v>
      </c>
      <c r="T252" s="176">
        <f t="shared" si="83"/>
        <v>6</v>
      </c>
      <c r="U252" s="251">
        <f t="shared" si="84"/>
        <v>0.47725554953108856</v>
      </c>
      <c r="V252" s="383">
        <f t="shared" si="85"/>
        <v>50.245762072168844</v>
      </c>
      <c r="W252" s="402">
        <f t="shared" si="86"/>
        <v>0</v>
      </c>
      <c r="X252" s="157">
        <f t="shared" si="87"/>
        <v>44799</v>
      </c>
      <c r="Y252" s="385">
        <f t="shared" si="88"/>
        <v>39.537344224446429</v>
      </c>
      <c r="Z252" s="385">
        <f t="shared" si="89"/>
        <v>40.893698095277387</v>
      </c>
      <c r="AA252" s="386">
        <f t="shared" si="90"/>
        <v>44.370482548020647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7.8358049159831814E-2</v>
      </c>
      <c r="AD252" s="231">
        <f>(INDEX(Models!$BJ252:$BT252,,AH252)*(1-AF252)+INDEX(Models!$BJ252:$BT252,,AH252+1)*AF252-ERP_i)*AE252*Ramure*Pc/MaxiM</f>
        <v>1.744110504321196E-5</v>
      </c>
      <c r="AE252" s="305">
        <f t="shared" si="92"/>
        <v>0.5</v>
      </c>
      <c r="AF252" s="177">
        <f t="shared" si="93"/>
        <v>0.47725554953108856</v>
      </c>
      <c r="AG252" s="811">
        <f t="shared" si="99"/>
        <v>0</v>
      </c>
      <c r="AH252" s="176">
        <f t="shared" si="94"/>
        <v>6</v>
      </c>
      <c r="AI252" s="225">
        <f t="shared" si="95"/>
        <v>0.47725554953108856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40">
        <v>48.167000000000002</v>
      </c>
      <c r="C253" s="841"/>
      <c r="D253" s="393">
        <f t="shared" si="77"/>
        <v>49.820490925977921</v>
      </c>
      <c r="E253" s="385">
        <f t="shared" si="100"/>
        <v>52.282392743291162</v>
      </c>
      <c r="F253" s="385">
        <f t="shared" si="78"/>
        <v>52.283135226272805</v>
      </c>
      <c r="G253" s="110">
        <f t="shared" si="101"/>
        <v>0.96190572537858987</v>
      </c>
      <c r="H253" s="414" t="b">
        <f>Wh_hp&gt;='2021'!Maxi_hp</f>
        <v>1</v>
      </c>
      <c r="I253" s="380">
        <f>IF(H253,Wh_hp,'2021'!Maxi_hp)</f>
        <v>52.283135226272805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3.3188972955618512E-2</v>
      </c>
      <c r="M253" s="845"/>
      <c r="N253" s="845"/>
      <c r="O253" s="48">
        <f>IF(t&lt;Tnet,'2021'!Resal+('2021'!Salim-'2021'!Resal)*(1-EXP(('2021'!Tnet-t)/('2021'!Tau_j))),Resal+(Salim-Resal)*(1-EXP((Tnet-t)/(Tau_j))))*Salcycl</f>
        <v>4.7088545266114494E-2</v>
      </c>
      <c r="P253" s="339">
        <f>(INDEX(Models!$BJ253:$BT253,,T253)*(1-R253)+INDEX(Models!$BJ253:$BT253,,T253+1)*R253-ERP_i)*Q253*Ramure*Pc/MaxiM</f>
        <v>1.5018489922709109E-5</v>
      </c>
      <c r="Q253" s="305">
        <f t="shared" si="80"/>
        <v>0.5</v>
      </c>
      <c r="R253" s="177">
        <f t="shared" si="81"/>
        <v>0.47804100636633579</v>
      </c>
      <c r="S253" s="811">
        <f t="shared" si="82"/>
        <v>0</v>
      </c>
      <c r="T253" s="176">
        <f t="shared" si="83"/>
        <v>6</v>
      </c>
      <c r="U253" s="251">
        <f t="shared" si="84"/>
        <v>0.47804100636633579</v>
      </c>
      <c r="V253" s="383">
        <f t="shared" si="85"/>
        <v>50.074512877884274</v>
      </c>
      <c r="W253" s="402">
        <f t="shared" si="86"/>
        <v>0</v>
      </c>
      <c r="X253" s="157">
        <f t="shared" si="87"/>
        <v>44800</v>
      </c>
      <c r="Y253" s="385">
        <f t="shared" si="88"/>
        <v>46.584906737547698</v>
      </c>
      <c r="Z253" s="385">
        <f t="shared" si="89"/>
        <v>48.184087101241985</v>
      </c>
      <c r="AA253" s="386">
        <f t="shared" si="90"/>
        <v>52.282392743291162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7.8387874521581968E-2</v>
      </c>
      <c r="AD253" s="231">
        <f>(INDEX(Models!$BJ253:$BT253,,AH253)*(1-AF253)+INDEX(Models!$BJ253:$BT253,,AH253+1)*AF253-ERP_i)*AE253*Ramure*Pc/MaxiM</f>
        <v>1.5018489922709109E-5</v>
      </c>
      <c r="AE253" s="305">
        <f t="shared" si="92"/>
        <v>0.5</v>
      </c>
      <c r="AF253" s="177">
        <f t="shared" si="93"/>
        <v>0.47804100636633579</v>
      </c>
      <c r="AG253" s="811">
        <f t="shared" si="99"/>
        <v>0</v>
      </c>
      <c r="AH253" s="176">
        <f t="shared" si="94"/>
        <v>6</v>
      </c>
      <c r="AI253" s="225">
        <f t="shared" si="95"/>
        <v>0.47804100636633579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40">
        <v>47.271000000000001</v>
      </c>
      <c r="C254" s="841"/>
      <c r="D254" s="393">
        <f t="shared" si="77"/>
        <v>48.894803696446935</v>
      </c>
      <c r="E254" s="385">
        <f t="shared" si="100"/>
        <v>51.315001688766294</v>
      </c>
      <c r="F254" s="385">
        <f t="shared" si="78"/>
        <v>51.315619204988778</v>
      </c>
      <c r="G254" s="110">
        <f t="shared" si="101"/>
        <v>0.9473212984549052</v>
      </c>
      <c r="H254" s="414" t="b">
        <f>Wh_hp&gt;='2021'!Maxi_hp</f>
        <v>0</v>
      </c>
      <c r="I254" s="380">
        <f>IF(H254,Wh_hp,'2021'!Maxi_hp)</f>
        <v>54.458266820267049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3.3210148598365907E-2</v>
      </c>
      <c r="M254" s="845"/>
      <c r="N254" s="845"/>
      <c r="O254" s="48">
        <f>IF(t&lt;Tnet,'2021'!Resal+('2021'!Salim-'2021'!Resal)*(1-EXP(('2021'!Tnet-t)/('2021'!Tau_j))),Resal+(Salim-Resal)*(1-EXP((Tnet-t)/(Tau_j))))*Salcycl</f>
        <v>4.7163556711899791E-2</v>
      </c>
      <c r="P254" s="339">
        <f>(INDEX(Models!$BJ254:$BT254,,T254)*(1-R254)+INDEX(Models!$BJ254:$BT254,,T254+1)*R254-ERP_i)*Q254*Ramure*Pc/MaxiM</f>
        <v>1.3012966702134491E-5</v>
      </c>
      <c r="Q254" s="305">
        <f t="shared" si="80"/>
        <v>0.5</v>
      </c>
      <c r="R254" s="177">
        <f t="shared" si="81"/>
        <v>0.47879725681889562</v>
      </c>
      <c r="S254" s="811">
        <f t="shared" si="82"/>
        <v>0</v>
      </c>
      <c r="T254" s="176">
        <f t="shared" si="83"/>
        <v>6</v>
      </c>
      <c r="U254" s="251">
        <f t="shared" si="84"/>
        <v>0.47879725681889562</v>
      </c>
      <c r="V254" s="383">
        <f t="shared" si="85"/>
        <v>49.89959983495023</v>
      </c>
      <c r="W254" s="402">
        <f t="shared" si="86"/>
        <v>0</v>
      </c>
      <c r="X254" s="157">
        <f t="shared" si="87"/>
        <v>44801</v>
      </c>
      <c r="Y254" s="385">
        <f t="shared" si="88"/>
        <v>45.720474597839107</v>
      </c>
      <c r="Z254" s="385">
        <f t="shared" si="89"/>
        <v>47.291016275723628</v>
      </c>
      <c r="AA254" s="386">
        <f t="shared" si="90"/>
        <v>51.315001688766294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7.8417329837554756E-2</v>
      </c>
      <c r="AD254" s="231">
        <f>(INDEX(Models!$BJ254:$BT254,,AH254)*(1-AF254)+INDEX(Models!$BJ254:$BT254,,AH254+1)*AF254-ERP_i)*AE254*Ramure*Pc/MaxiM</f>
        <v>1.3012966702134491E-5</v>
      </c>
      <c r="AE254" s="305">
        <f t="shared" si="92"/>
        <v>0.5</v>
      </c>
      <c r="AF254" s="177">
        <f t="shared" si="93"/>
        <v>0.47879725681889562</v>
      </c>
      <c r="AG254" s="811">
        <f t="shared" si="99"/>
        <v>0</v>
      </c>
      <c r="AH254" s="176">
        <f t="shared" si="94"/>
        <v>6</v>
      </c>
      <c r="AI254" s="225">
        <f t="shared" si="95"/>
        <v>0.47879725681889562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40">
        <v>31.871000000000002</v>
      </c>
      <c r="C255" s="841"/>
      <c r="D255" s="393">
        <f t="shared" si="77"/>
        <v>32.966521137739846</v>
      </c>
      <c r="E255" s="385">
        <f t="shared" si="100"/>
        <v>34.601012390745268</v>
      </c>
      <c r="F255" s="385">
        <f t="shared" si="78"/>
        <v>34.601201244620356</v>
      </c>
      <c r="G255" s="110">
        <f t="shared" si="101"/>
        <v>0.64100282045039714</v>
      </c>
      <c r="H255" s="414" t="b">
        <f>Wh_hp&gt;='2021'!Maxi_hp</f>
        <v>0</v>
      </c>
      <c r="I255" s="380">
        <f>IF(H255,Wh_hp,'2021'!Maxi_hp)</f>
        <v>53.843045701686705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3.3231323777312305E-2</v>
      </c>
      <c r="M255" s="845"/>
      <c r="N255" s="845"/>
      <c r="O255" s="48">
        <f>IF(t&lt;Tnet,'2021'!Resal+('2021'!Salim-'2021'!Resal)*(1-EXP(('2021'!Tnet-t)/('2021'!Tau_j))),Resal+(Salim-Resal)*(1-EXP((Tnet-t)/(Tau_j))))*Salcycl</f>
        <v>4.723824940574859E-2</v>
      </c>
      <c r="P255" s="339">
        <f>(INDEX(Models!$BJ255:$BT255,,T255)*(1-R255)+INDEX(Models!$BJ255:$BT255,,T255+1)*R255-ERP_i)*Q255*Ramure*Pc/MaxiM</f>
        <v>1.1203922660542169E-5</v>
      </c>
      <c r="Q255" s="305">
        <f t="shared" si="80"/>
        <v>0.5</v>
      </c>
      <c r="R255" s="177">
        <f t="shared" si="81"/>
        <v>0.47952529652119025</v>
      </c>
      <c r="S255" s="811">
        <f t="shared" si="82"/>
        <v>0</v>
      </c>
      <c r="T255" s="176">
        <f t="shared" si="83"/>
        <v>6</v>
      </c>
      <c r="U255" s="251">
        <f t="shared" si="84"/>
        <v>0.47952529652119025</v>
      </c>
      <c r="V255" s="383">
        <f t="shared" si="85"/>
        <v>49.720244364577489</v>
      </c>
      <c r="W255" s="402">
        <f t="shared" si="86"/>
        <v>0</v>
      </c>
      <c r="X255" s="157">
        <f t="shared" si="87"/>
        <v>44802</v>
      </c>
      <c r="Y255" s="385">
        <f t="shared" si="88"/>
        <v>30.827050611978354</v>
      </c>
      <c r="Z255" s="385">
        <f t="shared" si="89"/>
        <v>31.886687446705793</v>
      </c>
      <c r="AA255" s="386">
        <f t="shared" si="90"/>
        <v>34.601012390745268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7.8446402474786431E-2</v>
      </c>
      <c r="AD255" s="231">
        <f>(INDEX(Models!$BJ255:$BT255,,AH255)*(1-AF255)+INDEX(Models!$BJ255:$BT255,,AH255+1)*AF255-ERP_i)*AE255*Ramure*Pc/MaxiM</f>
        <v>1.1203922660542169E-5</v>
      </c>
      <c r="AE255" s="305">
        <f t="shared" si="92"/>
        <v>0.5</v>
      </c>
      <c r="AF255" s="177">
        <f t="shared" si="93"/>
        <v>0.47952529652119025</v>
      </c>
      <c r="AG255" s="811">
        <f t="shared" si="99"/>
        <v>0</v>
      </c>
      <c r="AH255" s="176">
        <f t="shared" si="94"/>
        <v>6</v>
      </c>
      <c r="AI255" s="225">
        <f t="shared" si="95"/>
        <v>0.47952529652119025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40">
        <v>46.277000000000001</v>
      </c>
      <c r="C256" s="841"/>
      <c r="D256" s="393">
        <f t="shared" si="77"/>
        <v>47.868755727670688</v>
      </c>
      <c r="E256" s="385">
        <f t="shared" si="100"/>
        <v>50.246026634934204</v>
      </c>
      <c r="F256" s="385">
        <f t="shared" si="78"/>
        <v>50.246463359152841</v>
      </c>
      <c r="G256" s="110">
        <f t="shared" si="101"/>
        <v>0.93421508977193513</v>
      </c>
      <c r="H256" s="414" t="b">
        <f>Wh_hp&gt;='2021'!Maxi_hp</f>
        <v>0</v>
      </c>
      <c r="I256" s="380">
        <f>IF(H256,Wh_hp,'2021'!Maxi_hp)</f>
        <v>52.67575781397985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3.325249849246803E-2</v>
      </c>
      <c r="M256" s="845"/>
      <c r="N256" s="845"/>
      <c r="O256" s="48">
        <f>IF(t&lt;Tnet,'2021'!Resal+('2021'!Salim-'2021'!Resal)*(1-EXP(('2021'!Tnet-t)/('2021'!Tau_j))),Resal+(Salim-Resal)*(1-EXP((Tnet-t)/(Tau_j))))*Salcycl</f>
        <v>4.7312614876709201E-2</v>
      </c>
      <c r="P256" s="339">
        <f>(INDEX(Models!$BJ256:$BT256,,T256)*(1-R256)+INDEX(Models!$BJ256:$BT256,,T256+1)*R256-ERP_i)*Q256*Ramure*Pc/MaxiM</f>
        <v>9.5931816901264817E-6</v>
      </c>
      <c r="Q256" s="305">
        <f t="shared" si="80"/>
        <v>0.5</v>
      </c>
      <c r="R256" s="177">
        <f t="shared" si="81"/>
        <v>0.48022609408236494</v>
      </c>
      <c r="S256" s="811">
        <f t="shared" si="82"/>
        <v>0</v>
      </c>
      <c r="T256" s="176">
        <f t="shared" si="83"/>
        <v>6</v>
      </c>
      <c r="U256" s="251">
        <f t="shared" si="84"/>
        <v>0.48022609408236494</v>
      </c>
      <c r="V256" s="383">
        <f t="shared" si="85"/>
        <v>49.535657029832379</v>
      </c>
      <c r="W256" s="402">
        <f t="shared" si="86"/>
        <v>0</v>
      </c>
      <c r="X256" s="157">
        <f t="shared" si="87"/>
        <v>44803</v>
      </c>
      <c r="Y256" s="385">
        <f t="shared" si="88"/>
        <v>44.763276410133379</v>
      </c>
      <c r="Z256" s="385">
        <f t="shared" si="89"/>
        <v>46.302965707519469</v>
      </c>
      <c r="AA256" s="386">
        <f t="shared" si="90"/>
        <v>50.246026634934204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7.8475079354299954E-2</v>
      </c>
      <c r="AD256" s="231">
        <f>(INDEX(Models!$BJ256:$BT256,,AH256)*(1-AF256)+INDEX(Models!$BJ256:$BT256,,AH256+1)*AF256-ERP_i)*AE256*Ramure*Pc/MaxiM</f>
        <v>9.5931816901264817E-6</v>
      </c>
      <c r="AE256" s="305">
        <f t="shared" si="92"/>
        <v>0.5</v>
      </c>
      <c r="AF256" s="177">
        <f t="shared" si="93"/>
        <v>0.48022609408236494</v>
      </c>
      <c r="AG256" s="811">
        <f t="shared" si="99"/>
        <v>0</v>
      </c>
      <c r="AH256" s="176">
        <f t="shared" si="94"/>
        <v>6</v>
      </c>
      <c r="AI256" s="225">
        <f t="shared" si="95"/>
        <v>0.48022609408236494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40">
        <v>21.78</v>
      </c>
      <c r="C257" s="841"/>
      <c r="D257" s="393">
        <f t="shared" si="77"/>
        <v>22.529644001542618</v>
      </c>
      <c r="E257" s="385">
        <f t="shared" si="100"/>
        <v>23.650354960398811</v>
      </c>
      <c r="F257" s="385">
        <f t="shared" si="78"/>
        <v>23.650394046513515</v>
      </c>
      <c r="G257" s="110">
        <f t="shared" si="101"/>
        <v>0.44137878766575611</v>
      </c>
      <c r="H257" s="414" t="b">
        <f>Wh_hp&gt;='2021'!Maxi_hp</f>
        <v>0</v>
      </c>
      <c r="I257" s="380">
        <f>IF(H257,Wh_hp,'2021'!Maxi_hp)</f>
        <v>52.060228799144411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3.3273672743843075E-2</v>
      </c>
      <c r="M257" s="845"/>
      <c r="N257" s="845"/>
      <c r="O257" s="48">
        <f>IF(t&lt;Tnet,'2021'!Resal+('2021'!Salim-'2021'!Resal)*(1-EXP(('2021'!Tnet-t)/('2021'!Tau_j))),Resal+(Salim-Resal)*(1-EXP((Tnet-t)/(Tau_j))))*Salcycl</f>
        <v>4.7386644332939661E-2</v>
      </c>
      <c r="P257" s="339">
        <f>(INDEX(Models!$BJ257:$BT257,,T257)*(1-R257)+INDEX(Models!$BJ257:$BT257,,T257+1)*R257-ERP_i)*Q257*Ramure*Pc/MaxiM</f>
        <v>8.182557284408628E-6</v>
      </c>
      <c r="Q257" s="305">
        <f t="shared" si="80"/>
        <v>0.5</v>
      </c>
      <c r="R257" s="177">
        <f t="shared" si="81"/>
        <v>0.48090059127206514</v>
      </c>
      <c r="S257" s="811">
        <f t="shared" si="82"/>
        <v>0</v>
      </c>
      <c r="T257" s="176">
        <f t="shared" si="83"/>
        <v>6</v>
      </c>
      <c r="U257" s="251">
        <f t="shared" si="84"/>
        <v>0.48090059127206514</v>
      </c>
      <c r="V257" s="383">
        <f t="shared" si="85"/>
        <v>49.34504871390773</v>
      </c>
      <c r="W257" s="402">
        <f t="shared" si="86"/>
        <v>0</v>
      </c>
      <c r="X257" s="157">
        <f t="shared" si="87"/>
        <v>44804</v>
      </c>
      <c r="Y257" s="385">
        <f t="shared" si="88"/>
        <v>21.068565735095614</v>
      </c>
      <c r="Z257" s="385">
        <f t="shared" si="89"/>
        <v>21.793722940073611</v>
      </c>
      <c r="AA257" s="386">
        <f t="shared" si="90"/>
        <v>23.650354960398811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7.8503346923715425E-2</v>
      </c>
      <c r="AD257" s="231">
        <f>(INDEX(Models!$BJ257:$BT257,,AH257)*(1-AF257)+INDEX(Models!$BJ257:$BT257,,AH257+1)*AF257-ERP_i)*AE257*Ramure*Pc/MaxiM</f>
        <v>8.182557284408628E-6</v>
      </c>
      <c r="AE257" s="305">
        <f t="shared" si="92"/>
        <v>0.5</v>
      </c>
      <c r="AF257" s="177">
        <f t="shared" si="93"/>
        <v>0.48090059127206514</v>
      </c>
      <c r="AG257" s="811">
        <f t="shared" si="99"/>
        <v>0</v>
      </c>
      <c r="AH257" s="176">
        <f t="shared" si="94"/>
        <v>6</v>
      </c>
      <c r="AI257" s="225">
        <f t="shared" si="95"/>
        <v>0.48090059127206514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40">
        <v>41.984999999999999</v>
      </c>
      <c r="C258" s="841"/>
      <c r="D258" s="393">
        <f t="shared" si="77"/>
        <v>43.431029460593237</v>
      </c>
      <c r="E258" s="385">
        <f t="shared" si="100"/>
        <v>45.594982305179002</v>
      </c>
      <c r="F258" s="385">
        <f t="shared" si="78"/>
        <v>45.59523407987146</v>
      </c>
      <c r="G258" s="110">
        <f t="shared" si="101"/>
        <v>0.85426171140330642</v>
      </c>
      <c r="H258" s="414" t="b">
        <f>Wh_hp&gt;='2021'!Maxi_hp</f>
        <v>0</v>
      </c>
      <c r="I258" s="380">
        <f>IF(H258,Wh_hp,'2021'!Maxi_hp)</f>
        <v>53.475031417285187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3.3294846531447764E-2</v>
      </c>
      <c r="M258" s="845"/>
      <c r="N258" s="845"/>
      <c r="O258" s="48">
        <f>IF(t&lt;Tnet,'2021'!Resal+('2021'!Salim-'2021'!Resal)*(1-EXP(('2021'!Tnet-t)/('2021'!Tau_j))),Resal+(Salim-Resal)*(1-EXP((Tnet-t)/(Tau_j))))*Salcycl</f>
        <v>4.7460328641030426E-2</v>
      </c>
      <c r="P258" s="339">
        <f>(INDEX(Models!$BJ258:$BT258,,T258)*(1-R258)+INDEX(Models!$BJ258:$BT258,,T258+1)*R258-ERP_i)*Q258*Ramure*Pc/MaxiM</f>
        <v>6.9738855247273462E-6</v>
      </c>
      <c r="Q258" s="305">
        <f t="shared" si="80"/>
        <v>0.5</v>
      </c>
      <c r="R258" s="177">
        <f t="shared" si="81"/>
        <v>0.4815497032546866</v>
      </c>
      <c r="S258" s="811">
        <f t="shared" si="82"/>
        <v>0</v>
      </c>
      <c r="T258" s="176">
        <f t="shared" si="83"/>
        <v>6</v>
      </c>
      <c r="U258" s="251">
        <f t="shared" si="84"/>
        <v>0.4815497032546866</v>
      </c>
      <c r="V258" s="383">
        <f t="shared" si="85"/>
        <v>49.147630614584997</v>
      </c>
      <c r="W258" s="402">
        <f t="shared" si="86"/>
        <v>0</v>
      </c>
      <c r="X258" s="157">
        <f t="shared" si="87"/>
        <v>44805</v>
      </c>
      <c r="Y258" s="385">
        <f t="shared" si="88"/>
        <v>40.615492565678771</v>
      </c>
      <c r="Z258" s="385">
        <f t="shared" si="89"/>
        <v>42.014354035405511</v>
      </c>
      <c r="AA258" s="386">
        <f t="shared" si="90"/>
        <v>45.594982305179002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7.8531191125537136E-2</v>
      </c>
      <c r="AD258" s="231">
        <f>(INDEX(Models!$BJ258:$BT258,,AH258)*(1-AF258)+INDEX(Models!$BJ258:$BT258,,AH258+1)*AF258-ERP_i)*AE258*Ramure*Pc/MaxiM</f>
        <v>6.9738855247273462E-6</v>
      </c>
      <c r="AE258" s="305">
        <f t="shared" si="92"/>
        <v>0.5</v>
      </c>
      <c r="AF258" s="177">
        <f t="shared" si="93"/>
        <v>0.4815497032546866</v>
      </c>
      <c r="AG258" s="811">
        <f t="shared" si="99"/>
        <v>0</v>
      </c>
      <c r="AH258" s="176">
        <f t="shared" si="94"/>
        <v>6</v>
      </c>
      <c r="AI258" s="225">
        <f t="shared" si="95"/>
        <v>0.4815497032546866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40">
        <v>38.511000000000003</v>
      </c>
      <c r="C259" s="841"/>
      <c r="D259" s="393">
        <f t="shared" si="77"/>
        <v>39.838251994447134</v>
      </c>
      <c r="E259" s="385">
        <f t="shared" si="100"/>
        <v>41.826414488805973</v>
      </c>
      <c r="F259" s="385">
        <f t="shared" si="78"/>
        <v>41.826588134752164</v>
      </c>
      <c r="G259" s="110">
        <f t="shared" si="101"/>
        <v>0.78685886726793719</v>
      </c>
      <c r="H259" s="414" t="b">
        <f>Wh_hp&gt;='2021'!Maxi_hp</f>
        <v>0</v>
      </c>
      <c r="I259" s="380">
        <f>IF(H259,Wh_hp,'2021'!Maxi_hp)</f>
        <v>51.427835350869806</v>
      </c>
      <c r="J259" s="85">
        <f>IF(H259,An,'2021'!An_max)</f>
        <v>2019</v>
      </c>
      <c r="K259" s="197">
        <f t="shared" si="79"/>
        <v>44806</v>
      </c>
      <c r="L259" s="147">
        <f>IF(t&lt;Tvie,1-EXP((T0-t)*PertePVj)+'2021'!Pspv,1-EXP((T0-t)*PertePVj)+Pspv)</f>
        <v>3.3316019855292089E-2</v>
      </c>
      <c r="M259" s="845"/>
      <c r="N259" s="845"/>
      <c r="O259" s="48">
        <f>IF(t&lt;Tnet,'2021'!Resal+('2021'!Salim-'2021'!Resal)*(1-EXP(('2021'!Tnet-t)/('2021'!Tau_j))),Resal+(Salim-Resal)*(1-EXP((Tnet-t)/(Tau_j))))*Salcycl</f>
        <v>4.7533658303198147E-2</v>
      </c>
      <c r="P259" s="339">
        <f>(INDEX(Models!$BJ259:$BT259,,T259)*(1-R259)+INDEX(Models!$BJ259:$BT259,,T259+1)*R259-ERP_i)*Q259*Ramure*Pc/MaxiM</f>
        <v>5.9690592410524745E-6</v>
      </c>
      <c r="Q259" s="305">
        <f t="shared" si="80"/>
        <v>0.5</v>
      </c>
      <c r="R259" s="177">
        <f t="shared" si="81"/>
        <v>0.48217431886889323</v>
      </c>
      <c r="S259" s="811">
        <f t="shared" si="82"/>
        <v>0</v>
      </c>
      <c r="T259" s="176">
        <f t="shared" si="83"/>
        <v>6</v>
      </c>
      <c r="U259" s="251">
        <f t="shared" si="84"/>
        <v>0.48217431886889323</v>
      </c>
      <c r="V259" s="383">
        <f t="shared" si="85"/>
        <v>48.942614245472228</v>
      </c>
      <c r="W259" s="402">
        <f t="shared" si="86"/>
        <v>0</v>
      </c>
      <c r="X259" s="157">
        <f t="shared" si="87"/>
        <v>44806</v>
      </c>
      <c r="Y259" s="385">
        <f t="shared" si="88"/>
        <v>37.256570971074851</v>
      </c>
      <c r="Z259" s="385">
        <f t="shared" si="89"/>
        <v>38.54059003387821</v>
      </c>
      <c r="AA259" s="386">
        <f t="shared" si="90"/>
        <v>41.826414488805973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7.8558597362132263E-2</v>
      </c>
      <c r="AD259" s="231">
        <f>(INDEX(Models!$BJ259:$BT259,,AH259)*(1-AF259)+INDEX(Models!$BJ259:$BT259,,AH259+1)*AF259-ERP_i)*AE259*Ramure*Pc/MaxiM</f>
        <v>5.9690592410524745E-6</v>
      </c>
      <c r="AE259" s="305">
        <f t="shared" si="92"/>
        <v>0.5</v>
      </c>
      <c r="AF259" s="177">
        <f t="shared" si="93"/>
        <v>0.48217431886889323</v>
      </c>
      <c r="AG259" s="811">
        <f t="shared" si="99"/>
        <v>0</v>
      </c>
      <c r="AH259" s="176">
        <f t="shared" si="94"/>
        <v>6</v>
      </c>
      <c r="AI259" s="225">
        <f t="shared" si="95"/>
        <v>0.48217431886889323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40">
        <v>32.155000000000001</v>
      </c>
      <c r="C260" s="841"/>
      <c r="D260" s="393">
        <f t="shared" si="77"/>
        <v>33.263925908481376</v>
      </c>
      <c r="E260" s="385">
        <f t="shared" si="100"/>
        <v>34.926666571731673</v>
      </c>
      <c r="F260" s="385">
        <f t="shared" si="78"/>
        <v>34.926759404893183</v>
      </c>
      <c r="G260" s="110">
        <f t="shared" si="101"/>
        <v>0.6598694762567402</v>
      </c>
      <c r="H260" s="414" t="b">
        <f>Wh_hp&gt;='2021'!Maxi_hp</f>
        <v>0</v>
      </c>
      <c r="I260" s="380">
        <f>IF(H260,Wh_hp,'2021'!Maxi_hp)</f>
        <v>54.150203084511908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3.3337192715386266E-2</v>
      </c>
      <c r="M260" s="845"/>
      <c r="N260" s="845"/>
      <c r="O260" s="48">
        <f>IF(t&lt;Tnet,'2021'!Resal+('2021'!Salim-'2021'!Resal)*(1-EXP(('2021'!Tnet-t)/('2021'!Tau_j))),Resal+(Salim-Resal)*(1-EXP((Tnet-t)/(Tau_j))))*Salcycl</f>
        <v>4.7606623432997708E-2</v>
      </c>
      <c r="P260" s="339">
        <f>(INDEX(Models!$BJ260:$BT260,,T260)*(1-R260)+INDEX(Models!$BJ260:$BT260,,T260+1)*R260-ERP_i)*Q260*Ramure*Pc/MaxiM</f>
        <v>5.1700634866554372E-6</v>
      </c>
      <c r="Q260" s="305">
        <f t="shared" si="80"/>
        <v>0.5</v>
      </c>
      <c r="R260" s="177">
        <f t="shared" si="81"/>
        <v>0.48277530094751869</v>
      </c>
      <c r="S260" s="811">
        <f t="shared" si="82"/>
        <v>0</v>
      </c>
      <c r="T260" s="176">
        <f t="shared" si="83"/>
        <v>6</v>
      </c>
      <c r="U260" s="251">
        <f t="shared" si="84"/>
        <v>0.48277530094751869</v>
      </c>
      <c r="V260" s="383">
        <f t="shared" si="85"/>
        <v>48.729211426473022</v>
      </c>
      <c r="W260" s="402">
        <f t="shared" si="86"/>
        <v>0</v>
      </c>
      <c r="X260" s="157">
        <f t="shared" si="87"/>
        <v>44807</v>
      </c>
      <c r="Y260" s="385">
        <f t="shared" si="88"/>
        <v>31.109079876011418</v>
      </c>
      <c r="Z260" s="385">
        <f t="shared" si="89"/>
        <v>32.181935253511824</v>
      </c>
      <c r="AA260" s="386">
        <f t="shared" si="90"/>
        <v>34.926666571731673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7.8585550458494954E-2</v>
      </c>
      <c r="AD260" s="231">
        <f>(INDEX(Models!$BJ260:$BT260,,AH260)*(1-AF260)+INDEX(Models!$BJ260:$BT260,,AH260+1)*AF260-ERP_i)*AE260*Ramure*Pc/MaxiM</f>
        <v>5.1700634866554372E-6</v>
      </c>
      <c r="AE260" s="305">
        <f t="shared" si="92"/>
        <v>0.5</v>
      </c>
      <c r="AF260" s="177">
        <f t="shared" si="93"/>
        <v>0.48277530094751869</v>
      </c>
      <c r="AG260" s="811">
        <f t="shared" si="99"/>
        <v>0</v>
      </c>
      <c r="AH260" s="176">
        <f t="shared" si="94"/>
        <v>6</v>
      </c>
      <c r="AI260" s="225">
        <f t="shared" si="95"/>
        <v>0.48277530094751869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40">
        <v>46.637</v>
      </c>
      <c r="C261" s="841"/>
      <c r="D261" s="393">
        <f t="shared" si="77"/>
        <v>48.246421752143007</v>
      </c>
      <c r="E261" s="385">
        <f t="shared" si="100"/>
        <v>50.66194337847493</v>
      </c>
      <c r="F261" s="385">
        <f t="shared" si="78"/>
        <v>50.662162575139547</v>
      </c>
      <c r="G261" s="110">
        <f t="shared" si="101"/>
        <v>0.96143366812451825</v>
      </c>
      <c r="H261" s="414" t="b">
        <f>Wh_hp&gt;='2021'!Maxi_hp</f>
        <v>0</v>
      </c>
      <c r="I261" s="380">
        <f>IF(H261,Wh_hp,'2021'!Maxi_hp)</f>
        <v>53.283178554064911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3.3358365111740507E-2</v>
      </c>
      <c r="M261" s="845"/>
      <c r="N261" s="845"/>
      <c r="O261" s="48">
        <f>IF(t&lt;Tnet,'2021'!Resal+('2021'!Salim-'2021'!Resal)*(1-EXP(('2021'!Tnet-t)/('2021'!Tau_j))),Resal+(Salim-Resal)*(1-EXP((Tnet-t)/(Tau_j))))*Salcycl</f>
        <v>4.7679213730245862E-2</v>
      </c>
      <c r="P261" s="339">
        <f>(INDEX(Models!$BJ261:$BT261,,T261)*(1-R261)+INDEX(Models!$BJ261:$BT261,,T261+1)*R261-ERP_i)*Q261*Ramure*Pc/MaxiM</f>
        <v>4.5789067642494443E-6</v>
      </c>
      <c r="Q261" s="305">
        <f t="shared" si="80"/>
        <v>0.5</v>
      </c>
      <c r="R261" s="177">
        <f t="shared" si="81"/>
        <v>0.48335348667328293</v>
      </c>
      <c r="S261" s="811">
        <f t="shared" si="82"/>
        <v>0</v>
      </c>
      <c r="T261" s="176">
        <f t="shared" si="83"/>
        <v>6</v>
      </c>
      <c r="U261" s="251">
        <f t="shared" si="84"/>
        <v>0.48335348667328293</v>
      </c>
      <c r="V261" s="383">
        <f t="shared" si="85"/>
        <v>48.507754389033174</v>
      </c>
      <c r="W261" s="402">
        <f t="shared" si="86"/>
        <v>0</v>
      </c>
      <c r="X261" s="157">
        <f t="shared" si="87"/>
        <v>44808</v>
      </c>
      <c r="Y261" s="385">
        <f t="shared" si="88"/>
        <v>45.122159634422481</v>
      </c>
      <c r="Z261" s="385">
        <f t="shared" si="89"/>
        <v>46.679304931489369</v>
      </c>
      <c r="AA261" s="386">
        <f t="shared" si="90"/>
        <v>50.66194337847493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7.8612034623955843E-2</v>
      </c>
      <c r="AD261" s="231">
        <f>(INDEX(Models!$BJ261:$BT261,,AH261)*(1-AF261)+INDEX(Models!$BJ261:$BT261,,AH261+1)*AF261-ERP_i)*AE261*Ramure*Pc/MaxiM</f>
        <v>4.5789067642494443E-6</v>
      </c>
      <c r="AE261" s="305">
        <f t="shared" si="92"/>
        <v>0.5</v>
      </c>
      <c r="AF261" s="177">
        <f t="shared" si="93"/>
        <v>0.48335348667328293</v>
      </c>
      <c r="AG261" s="811">
        <f t="shared" si="99"/>
        <v>0</v>
      </c>
      <c r="AH261" s="176">
        <f t="shared" si="94"/>
        <v>6</v>
      </c>
      <c r="AI261" s="225">
        <f t="shared" si="95"/>
        <v>0.48335348667328293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40">
        <v>39.426000000000002</v>
      </c>
      <c r="C262" s="841"/>
      <c r="D262" s="393">
        <f t="shared" si="77"/>
        <v>40.787466757580461</v>
      </c>
      <c r="E262" s="385">
        <f t="shared" si="100"/>
        <v>42.832793398801208</v>
      </c>
      <c r="F262" s="385">
        <f t="shared" si="78"/>
        <v>42.832928964921962</v>
      </c>
      <c r="G262" s="110">
        <f t="shared" si="101"/>
        <v>0.81662131697733531</v>
      </c>
      <c r="H262" s="414" t="b">
        <f>Wh_hp&gt;='2021'!Maxi_hp</f>
        <v>0</v>
      </c>
      <c r="I262" s="380">
        <f>IF(H262,Wh_hp,'2021'!Maxi_hp)</f>
        <v>52.787883333438941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3.3379537044364915E-2</v>
      </c>
      <c r="M262" s="845"/>
      <c r="N262" s="845"/>
      <c r="O262" s="48">
        <f>IF(t&lt;Tnet,'2021'!Resal+('2021'!Salim-'2021'!Resal)*(1-EXP(('2021'!Tnet-t)/('2021'!Tau_j))),Resal+(Salim-Resal)*(1-EXP((Tnet-t)/(Tau_j))))*Salcycl</f>
        <v>4.7751418455887859E-2</v>
      </c>
      <c r="P262" s="339">
        <f>(INDEX(Models!$BJ262:$BT262,,T262)*(1-R262)+INDEX(Models!$BJ262:$BT262,,T262+1)*R262-ERP_i)*Q262*Ramure*Pc/MaxiM</f>
        <v>4.2884301674976269E-6</v>
      </c>
      <c r="Q262" s="305">
        <f t="shared" si="80"/>
        <v>0.5</v>
      </c>
      <c r="R262" s="177">
        <f t="shared" si="81"/>
        <v>0.48390968796605482</v>
      </c>
      <c r="S262" s="811">
        <f t="shared" si="82"/>
        <v>0</v>
      </c>
      <c r="T262" s="176">
        <f t="shared" si="83"/>
        <v>6</v>
      </c>
      <c r="U262" s="251">
        <f t="shared" si="84"/>
        <v>0.48390968796605482</v>
      </c>
      <c r="V262" s="383">
        <f t="shared" si="85"/>
        <v>48.279361422186284</v>
      </c>
      <c r="W262" s="402">
        <f t="shared" si="86"/>
        <v>0</v>
      </c>
      <c r="X262" s="157">
        <f t="shared" si="87"/>
        <v>44809</v>
      </c>
      <c r="Y262" s="385">
        <f t="shared" si="88"/>
        <v>38.147199794946602</v>
      </c>
      <c r="Z262" s="385">
        <f t="shared" si="89"/>
        <v>39.464506760289268</v>
      </c>
      <c r="AA262" s="386">
        <f t="shared" si="90"/>
        <v>42.832793398801208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7.8638033414047973E-2</v>
      </c>
      <c r="AD262" s="231">
        <f>(INDEX(Models!$BJ262:$BT262,,AH262)*(1-AF262)+INDEX(Models!$BJ262:$BT262,,AH262+1)*AF262-ERP_i)*AE262*Ramure*Pc/MaxiM</f>
        <v>4.2884301674976269E-6</v>
      </c>
      <c r="AE262" s="305">
        <f t="shared" si="92"/>
        <v>0.5</v>
      </c>
      <c r="AF262" s="177">
        <f t="shared" si="93"/>
        <v>0.48390968796605482</v>
      </c>
      <c r="AG262" s="811">
        <f t="shared" si="99"/>
        <v>0</v>
      </c>
      <c r="AH262" s="176">
        <f t="shared" si="94"/>
        <v>6</v>
      </c>
      <c r="AI262" s="225">
        <f t="shared" si="95"/>
        <v>0.48390968796605482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40">
        <v>44.713000000000001</v>
      </c>
      <c r="C263" s="841"/>
      <c r="D263" s="393">
        <f t="shared" si="77"/>
        <v>46.258051701265735</v>
      </c>
      <c r="E263" s="385">
        <f t="shared" si="100"/>
        <v>48.581369535764331</v>
      </c>
      <c r="F263" s="385">
        <f t="shared" si="78"/>
        <v>48.581551802236554</v>
      </c>
      <c r="G263" s="110">
        <f t="shared" si="101"/>
        <v>0.93065887666084257</v>
      </c>
      <c r="H263" s="414" t="b">
        <f>Wh_hp&gt;='2021'!Maxi_hp</f>
        <v>0</v>
      </c>
      <c r="I263" s="380">
        <f>IF(H263,Wh_hp,'2021'!Maxi_hp)</f>
        <v>54.673871330579189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3.3400708513269706E-2</v>
      </c>
      <c r="M263" s="845"/>
      <c r="N263" s="845"/>
      <c r="O263" s="48">
        <f>IF(t&lt;Tnet,'2021'!Resal+('2021'!Salim-'2021'!Resal)*(1-EXP(('2021'!Tnet-t)/('2021'!Tau_j))),Resal+(Salim-Resal)*(1-EXP((Tnet-t)/(Tau_j))))*Salcycl</f>
        <v>4.7823226407568184E-2</v>
      </c>
      <c r="P263" s="339">
        <f>(INDEX(Models!$BJ263:$BT263,,T263)*(1-R263)+INDEX(Models!$BJ263:$BT263,,T263+1)*R263-ERP_i)*Q263*Ramure*Pc/MaxiM</f>
        <v>4.1642679612131518E-6</v>
      </c>
      <c r="Q263" s="305">
        <f t="shared" si="80"/>
        <v>0.5</v>
      </c>
      <c r="R263" s="177">
        <f t="shared" si="81"/>
        <v>0.48444469189768646</v>
      </c>
      <c r="S263" s="811">
        <f t="shared" si="82"/>
        <v>0</v>
      </c>
      <c r="T263" s="176">
        <f t="shared" si="83"/>
        <v>6</v>
      </c>
      <c r="U263" s="251">
        <f t="shared" si="84"/>
        <v>0.48444469189768646</v>
      </c>
      <c r="V263" s="383">
        <f t="shared" si="85"/>
        <v>48.044436771535239</v>
      </c>
      <c r="W263" s="402">
        <f t="shared" si="86"/>
        <v>0</v>
      </c>
      <c r="X263" s="157">
        <f t="shared" si="87"/>
        <v>44810</v>
      </c>
      <c r="Y263" s="385">
        <f t="shared" si="88"/>
        <v>43.264778914293771</v>
      </c>
      <c r="Z263" s="385">
        <f t="shared" si="89"/>
        <v>44.759787530723344</v>
      </c>
      <c r="AA263" s="386">
        <f t="shared" si="90"/>
        <v>48.581369535764331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7.8663529693777795E-2</v>
      </c>
      <c r="AD263" s="231">
        <f>(INDEX(Models!$BJ263:$BT263,,AH263)*(1-AF263)+INDEX(Models!$BJ263:$BT263,,AH263+1)*AF263-ERP_i)*AE263*Ramure*Pc/MaxiM</f>
        <v>4.1642679612131518E-6</v>
      </c>
      <c r="AE263" s="305">
        <f t="shared" si="92"/>
        <v>0.5</v>
      </c>
      <c r="AF263" s="177">
        <f t="shared" si="93"/>
        <v>0.48444469189768646</v>
      </c>
      <c r="AG263" s="811">
        <f t="shared" si="99"/>
        <v>0</v>
      </c>
      <c r="AH263" s="176">
        <f t="shared" si="94"/>
        <v>6</v>
      </c>
      <c r="AI263" s="225">
        <f t="shared" si="95"/>
        <v>0.48444469189768646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40">
        <v>34.789000000000001</v>
      </c>
      <c r="C264" s="841"/>
      <c r="D264" s="393">
        <f t="shared" si="77"/>
        <v>35.991917531372039</v>
      </c>
      <c r="E264" s="385">
        <f t="shared" si="100"/>
        <v>37.802451819231635</v>
      </c>
      <c r="F264" s="385">
        <f t="shared" si="78"/>
        <v>37.802549037597416</v>
      </c>
      <c r="G264" s="110">
        <f t="shared" si="101"/>
        <v>0.72775072813323394</v>
      </c>
      <c r="H264" s="414" t="b">
        <f>Wh_hp&gt;='2021'!Maxi_hp</f>
        <v>0</v>
      </c>
      <c r="I264" s="380">
        <f>IF(H264,Wh_hp,'2021'!Maxi_hp)</f>
        <v>50.140065797662274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3.342187951846487E-2</v>
      </c>
      <c r="M264" s="845"/>
      <c r="N264" s="845"/>
      <c r="O264" s="48">
        <f>IF(t&lt;Tnet,'2021'!Resal+('2021'!Salim-'2021'!Resal)*(1-EXP(('2021'!Tnet-t)/('2021'!Tau_j))),Resal+(Salim-Resal)*(1-EXP((Tnet-t)/(Tau_j))))*Salcycl</f>
        <v>4.7894625896685923E-2</v>
      </c>
      <c r="P264" s="339">
        <f>(INDEX(Models!$BJ264:$BT264,,T264)*(1-R264)+INDEX(Models!$BJ264:$BT264,,T264+1)*R264-ERP_i)*Q264*Ramure*Pc/MaxiM</f>
        <v>4.2085578772021345E-6</v>
      </c>
      <c r="Q264" s="305">
        <f t="shared" si="80"/>
        <v>0.5</v>
      </c>
      <c r="R264" s="177">
        <f t="shared" si="81"/>
        <v>0.48495926113072407</v>
      </c>
      <c r="S264" s="811">
        <f t="shared" si="82"/>
        <v>0</v>
      </c>
      <c r="T264" s="176">
        <f t="shared" si="83"/>
        <v>6</v>
      </c>
      <c r="U264" s="251">
        <f t="shared" si="84"/>
        <v>0.48495926113072407</v>
      </c>
      <c r="V264" s="383">
        <f t="shared" si="85"/>
        <v>47.803377876198653</v>
      </c>
      <c r="W264" s="402">
        <f t="shared" si="86"/>
        <v>0</v>
      </c>
      <c r="X264" s="157">
        <f t="shared" si="87"/>
        <v>44811</v>
      </c>
      <c r="Y264" s="385">
        <f t="shared" si="88"/>
        <v>33.663821726395859</v>
      </c>
      <c r="Z264" s="385">
        <f t="shared" si="89"/>
        <v>34.827833377425335</v>
      </c>
      <c r="AA264" s="386">
        <f t="shared" si="90"/>
        <v>37.802451819231635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7.8688505603570158E-2</v>
      </c>
      <c r="AD264" s="231">
        <f>(INDEX(Models!$BJ264:$BT264,,AH264)*(1-AF264)+INDEX(Models!$BJ264:$BT264,,AH264+1)*AF264-ERP_i)*AE264*Ramure*Pc/MaxiM</f>
        <v>4.2085578772021345E-6</v>
      </c>
      <c r="AE264" s="305">
        <f t="shared" si="92"/>
        <v>0.5</v>
      </c>
      <c r="AF264" s="177">
        <f t="shared" si="93"/>
        <v>0.48495926113072407</v>
      </c>
      <c r="AG264" s="811">
        <f t="shared" si="99"/>
        <v>0</v>
      </c>
      <c r="AH264" s="176">
        <f t="shared" si="94"/>
        <v>6</v>
      </c>
      <c r="AI264" s="225">
        <f t="shared" si="95"/>
        <v>0.48495926113072407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40">
        <v>38.096000000000004</v>
      </c>
      <c r="C265" s="841"/>
      <c r="D265" s="393">
        <f t="shared" si="77"/>
        <v>39.414128678463598</v>
      </c>
      <c r="E265" s="385">
        <f t="shared" si="100"/>
        <v>41.399899913481043</v>
      </c>
      <c r="F265" s="385">
        <f t="shared" si="78"/>
        <v>41.400031003255357</v>
      </c>
      <c r="G265" s="110">
        <f t="shared" si="101"/>
        <v>0.80106581432484503</v>
      </c>
      <c r="H265" s="414" t="b">
        <f>Wh_hp&gt;='2021'!Maxi_hp</f>
        <v>0</v>
      </c>
      <c r="I265" s="380">
        <f>IF(H265,Wh_hp,'2021'!Maxi_hp)</f>
        <v>49.195092920557293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3.3443050059960844E-2</v>
      </c>
      <c r="M265" s="845"/>
      <c r="N265" s="845"/>
      <c r="O265" s="48">
        <f>IF(t&lt;Tnet,'2021'!Resal+('2021'!Salim-'2021'!Resal)*(1-EXP(('2021'!Tnet-t)/('2021'!Tau_j))),Resal+(Salim-Resal)*(1-EXP((Tnet-t)/(Tau_j))))*Salcycl</f>
        <v>4.7965604727725937E-2</v>
      </c>
      <c r="P265" s="339">
        <f>(INDEX(Models!$BJ265:$BT265,,T265)*(1-R265)+INDEX(Models!$BJ265:$BT265,,T265+1)*R265-ERP_i)*Q265*Ramure*Pc/MaxiM</f>
        <v>4.4235459507478218E-6</v>
      </c>
      <c r="Q265" s="305">
        <f t="shared" si="80"/>
        <v>0.5</v>
      </c>
      <c r="R265" s="177">
        <f t="shared" si="81"/>
        <v>0.4854541343775699</v>
      </c>
      <c r="S265" s="811">
        <f t="shared" si="82"/>
        <v>0</v>
      </c>
      <c r="T265" s="176">
        <f t="shared" si="83"/>
        <v>6</v>
      </c>
      <c r="U265" s="251">
        <f t="shared" si="84"/>
        <v>0.4854541343775699</v>
      </c>
      <c r="V265" s="383">
        <f t="shared" si="85"/>
        <v>47.556582027387186</v>
      </c>
      <c r="W265" s="402">
        <f t="shared" si="86"/>
        <v>0</v>
      </c>
      <c r="X265" s="157">
        <f t="shared" si="87"/>
        <v>44812</v>
      </c>
      <c r="Y265" s="385">
        <f t="shared" si="88"/>
        <v>36.865634178449504</v>
      </c>
      <c r="Z265" s="385">
        <f t="shared" si="89"/>
        <v>38.141191970878161</v>
      </c>
      <c r="AA265" s="386">
        <f t="shared" si="90"/>
        <v>41.399899913481043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7.8712942529161861E-2</v>
      </c>
      <c r="AD265" s="231">
        <f>(INDEX(Models!$BJ265:$BT265,,AH265)*(1-AF265)+INDEX(Models!$BJ265:$BT265,,AH265+1)*AF265-ERP_i)*AE265*Ramure*Pc/MaxiM</f>
        <v>4.4235459507478218E-6</v>
      </c>
      <c r="AE265" s="305">
        <f t="shared" si="92"/>
        <v>0.5</v>
      </c>
      <c r="AF265" s="177">
        <f t="shared" si="93"/>
        <v>0.4854541343775699</v>
      </c>
      <c r="AG265" s="811">
        <f t="shared" si="99"/>
        <v>0</v>
      </c>
      <c r="AH265" s="176">
        <f t="shared" si="94"/>
        <v>6</v>
      </c>
      <c r="AI265" s="225">
        <f t="shared" si="95"/>
        <v>0.4854541343775699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40">
        <v>21.208000000000002</v>
      </c>
      <c r="C266" s="841"/>
      <c r="D266" s="393">
        <f t="shared" si="77"/>
        <v>21.942281332847227</v>
      </c>
      <c r="E266" s="385">
        <f t="shared" si="100"/>
        <v>23.049490100922718</v>
      </c>
      <c r="F266" s="385">
        <f t="shared" si="78"/>
        <v>23.049513601575782</v>
      </c>
      <c r="G266" s="110">
        <f t="shared" si="101"/>
        <v>0.44832824841270724</v>
      </c>
      <c r="H266" s="414" t="b">
        <f>Wh_hp&gt;='2021'!Maxi_hp</f>
        <v>0</v>
      </c>
      <c r="I266" s="380">
        <f>IF(H266,Wh_hp,'2021'!Maxi_hp)</f>
        <v>49.204296027158733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3.3464220137767509E-2</v>
      </c>
      <c r="M266" s="845"/>
      <c r="N266" s="845"/>
      <c r="O266" s="48">
        <f>IF(t&lt;Tnet,'2021'!Resal+('2021'!Salim-'2021'!Resal)*(1-EXP(('2021'!Tnet-t)/('2021'!Tau_j))),Resal+(Salim-Resal)*(1-EXP((Tnet-t)/(Tau_j))))*Salcycl</f>
        <v>4.80361501806571E-2</v>
      </c>
      <c r="P266" s="339">
        <f>(INDEX(Models!$BJ266:$BT266,,T266)*(1-R266)+INDEX(Models!$BJ266:$BT266,,T266+1)*R266-ERP_i)*Q266*Ramure*Pc/MaxiM</f>
        <v>4.8115761116450495E-6</v>
      </c>
      <c r="Q266" s="305">
        <f t="shared" si="80"/>
        <v>0.5</v>
      </c>
      <c r="R266" s="177">
        <f t="shared" si="81"/>
        <v>0.4859300268769251</v>
      </c>
      <c r="S266" s="811">
        <f t="shared" si="82"/>
        <v>0</v>
      </c>
      <c r="T266" s="176">
        <f t="shared" si="83"/>
        <v>6</v>
      </c>
      <c r="U266" s="251">
        <f t="shared" si="84"/>
        <v>0.4859300268769251</v>
      </c>
      <c r="V266" s="383">
        <f t="shared" si="85"/>
        <v>47.304446360884114</v>
      </c>
      <c r="W266" s="402">
        <f t="shared" si="86"/>
        <v>0</v>
      </c>
      <c r="X266" s="157">
        <f t="shared" si="87"/>
        <v>44813</v>
      </c>
      <c r="Y266" s="385">
        <f t="shared" si="88"/>
        <v>20.5240456371458</v>
      </c>
      <c r="Z266" s="385">
        <f t="shared" si="89"/>
        <v>21.234646522937044</v>
      </c>
      <c r="AA266" s="386">
        <f t="shared" si="90"/>
        <v>23.049490100922718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7.8736821076706681E-2</v>
      </c>
      <c r="AD266" s="231">
        <f>(INDEX(Models!$BJ266:$BT266,,AH266)*(1-AF266)+INDEX(Models!$BJ266:$BT266,,AH266+1)*AF266-ERP_i)*AE266*Ramure*Pc/MaxiM</f>
        <v>4.8115761116450495E-6</v>
      </c>
      <c r="AE266" s="305">
        <f t="shared" si="92"/>
        <v>0.5</v>
      </c>
      <c r="AF266" s="177">
        <f t="shared" si="93"/>
        <v>0.4859300268769251</v>
      </c>
      <c r="AG266" s="811">
        <f t="shared" si="99"/>
        <v>0</v>
      </c>
      <c r="AH266" s="176">
        <f t="shared" si="94"/>
        <v>6</v>
      </c>
      <c r="AI266" s="225">
        <f t="shared" si="95"/>
        <v>0.4859300268769251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40">
        <v>44.803000000000004</v>
      </c>
      <c r="C267" s="841"/>
      <c r="D267" s="393">
        <f t="shared" si="77"/>
        <v>46.355222699115792</v>
      </c>
      <c r="E267" s="385">
        <f t="shared" si="100"/>
        <v>48.697895800114807</v>
      </c>
      <c r="F267" s="385">
        <f t="shared" si="78"/>
        <v>48.698139717979124</v>
      </c>
      <c r="G267" s="110">
        <f t="shared" si="101"/>
        <v>0.95229522117226995</v>
      </c>
      <c r="H267" s="414" t="b">
        <f>Wh_hp&gt;='2021'!Maxi_hp</f>
        <v>1</v>
      </c>
      <c r="I267" s="380">
        <f>IF(H267,Wh_hp,'2021'!Maxi_hp)</f>
        <v>48.698139717979124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3.3485389751895189E-2</v>
      </c>
      <c r="M267" s="845"/>
      <c r="N267" s="845"/>
      <c r="O267" s="48">
        <f>IF(t&lt;Tnet,'2021'!Resal+('2021'!Salim-'2021'!Resal)*(1-EXP(('2021'!Tnet-t)/('2021'!Tau_j))),Resal+(Salim-Resal)*(1-EXP((Tnet-t)/(Tau_j))))*Salcycl</f>
        <v>4.8106248997179323E-2</v>
      </c>
      <c r="P267" s="339">
        <f>(INDEX(Models!$BJ267:$BT267,,T267)*(1-R267)+INDEX(Models!$BJ267:$BT267,,T267+1)*R267-ERP_i)*Q267*Ramure*Pc/MaxiM</f>
        <v>5.375078959321632E-6</v>
      </c>
      <c r="Q267" s="305">
        <f t="shared" si="80"/>
        <v>0.5</v>
      </c>
      <c r="R267" s="177">
        <f t="shared" si="81"/>
        <v>0.48638763088458997</v>
      </c>
      <c r="S267" s="811">
        <f t="shared" si="82"/>
        <v>0</v>
      </c>
      <c r="T267" s="176">
        <f t="shared" si="83"/>
        <v>6</v>
      </c>
      <c r="U267" s="251">
        <f t="shared" si="84"/>
        <v>0.48638763088458997</v>
      </c>
      <c r="V267" s="383">
        <f t="shared" si="85"/>
        <v>47.047367866764759</v>
      </c>
      <c r="W267" s="402">
        <f t="shared" si="86"/>
        <v>0</v>
      </c>
      <c r="X267" s="157">
        <f t="shared" si="87"/>
        <v>44814</v>
      </c>
      <c r="Y267" s="385">
        <f t="shared" si="88"/>
        <v>43.360207221573241</v>
      </c>
      <c r="Z267" s="385">
        <f t="shared" si="89"/>
        <v>44.86244363180672</v>
      </c>
      <c r="AA267" s="386">
        <f t="shared" si="90"/>
        <v>48.697895800114807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7.8760121054327961E-2</v>
      </c>
      <c r="AD267" s="231">
        <f>(INDEX(Models!$BJ267:$BT267,,AH267)*(1-AF267)+INDEX(Models!$BJ267:$BT267,,AH267+1)*AF267-ERP_i)*AE267*Ramure*Pc/MaxiM</f>
        <v>5.375078959321632E-6</v>
      </c>
      <c r="AE267" s="305">
        <f t="shared" si="92"/>
        <v>0.5</v>
      </c>
      <c r="AF267" s="177">
        <f t="shared" si="93"/>
        <v>0.48638763088458997</v>
      </c>
      <c r="AG267" s="811">
        <f t="shared" si="99"/>
        <v>0</v>
      </c>
      <c r="AH267" s="176">
        <f t="shared" si="94"/>
        <v>6</v>
      </c>
      <c r="AI267" s="225">
        <f t="shared" si="95"/>
        <v>0.48638763088458997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40">
        <v>45.33</v>
      </c>
      <c r="C268" s="841"/>
      <c r="D268" s="393">
        <f t="shared" si="77"/>
        <v>46.901508145279024</v>
      </c>
      <c r="E268" s="385">
        <f t="shared" si="100"/>
        <v>49.275393975639716</v>
      </c>
      <c r="F268" s="385">
        <f t="shared" si="78"/>
        <v>49.275686572099694</v>
      </c>
      <c r="G268" s="110">
        <f t="shared" si="101"/>
        <v>0.96888472059964492</v>
      </c>
      <c r="H268" s="414" t="b">
        <f>Wh_hp&gt;='2021'!Maxi_hp</f>
        <v>1</v>
      </c>
      <c r="I268" s="380">
        <f>IF(H268,Wh_hp,'2021'!Maxi_hp)</f>
        <v>49.275686572099694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3.3506558902353989E-2</v>
      </c>
      <c r="M268" s="845"/>
      <c r="N268" s="845"/>
      <c r="O268" s="48">
        <f>IF(t&lt;Tnet,'2021'!Resal+('2021'!Salim-'2021'!Resal)*(1-EXP(('2021'!Tnet-t)/('2021'!Tau_j))),Resal+(Salim-Resal)*(1-EXP((Tnet-t)/(Tau_j))))*Salcycl</f>
        <v>4.8175887371580864E-2</v>
      </c>
      <c r="P268" s="339">
        <f>(INDEX(Models!$BJ268:$BT268,,T268)*(1-R268)+INDEX(Models!$BJ268:$BT268,,T268+1)*R268-ERP_i)*Q268*Ramure*Pc/MaxiM</f>
        <v>6.2141677694655776E-6</v>
      </c>
      <c r="Q268" s="305">
        <f t="shared" si="80"/>
        <v>0.5</v>
      </c>
      <c r="R268" s="177">
        <f t="shared" si="81"/>
        <v>0.48682761617592668</v>
      </c>
      <c r="S268" s="811">
        <f t="shared" si="82"/>
        <v>0</v>
      </c>
      <c r="T268" s="176">
        <f t="shared" si="83"/>
        <v>6</v>
      </c>
      <c r="U268" s="251">
        <f t="shared" si="84"/>
        <v>0.48682761617592668</v>
      </c>
      <c r="V268" s="383">
        <f t="shared" si="85"/>
        <v>46.785738814029891</v>
      </c>
      <c r="W268" s="402">
        <f t="shared" si="86"/>
        <v>0</v>
      </c>
      <c r="X268" s="157">
        <f t="shared" si="87"/>
        <v>44815</v>
      </c>
      <c r="Y268" s="385">
        <f t="shared" si="88"/>
        <v>43.872364808918142</v>
      </c>
      <c r="Z268" s="385">
        <f t="shared" si="89"/>
        <v>45.393339409621163</v>
      </c>
      <c r="AA268" s="386">
        <f t="shared" si="90"/>
        <v>49.275393975639716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7.8782821461310423E-2</v>
      </c>
      <c r="AD268" s="231">
        <f>(INDEX(Models!$BJ268:$BT268,,AH268)*(1-AF268)+INDEX(Models!$BJ268:$BT268,,AH268+1)*AF268-ERP_i)*AE268*Ramure*Pc/MaxiM</f>
        <v>6.2141677694655776E-6</v>
      </c>
      <c r="AE268" s="305">
        <f t="shared" si="92"/>
        <v>0.5</v>
      </c>
      <c r="AF268" s="177">
        <f t="shared" si="93"/>
        <v>0.48682761617592668</v>
      </c>
      <c r="AG268" s="811">
        <f t="shared" si="99"/>
        <v>0</v>
      </c>
      <c r="AH268" s="176">
        <f t="shared" si="94"/>
        <v>6</v>
      </c>
      <c r="AI268" s="225">
        <f t="shared" si="95"/>
        <v>0.48682761617592668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40">
        <v>31.747</v>
      </c>
      <c r="C269" s="841"/>
      <c r="D269" s="393">
        <f t="shared" si="77"/>
        <v>32.84832985514187</v>
      </c>
      <c r="E269" s="385">
        <f t="shared" si="100"/>
        <v>34.513432147449237</v>
      </c>
      <c r="F269" s="385">
        <f t="shared" si="78"/>
        <v>34.513568923784369</v>
      </c>
      <c r="G269" s="110">
        <f t="shared" si="101"/>
        <v>0.68243600834097673</v>
      </c>
      <c r="H269" s="414" t="b">
        <f>Wh_hp&gt;='2021'!Maxi_hp</f>
        <v>0</v>
      </c>
      <c r="I269" s="380">
        <f>IF(H269,Wh_hp,'2021'!Maxi_hp)</f>
        <v>50.761032411385656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3.3527727589154011E-2</v>
      </c>
      <c r="M269" s="845"/>
      <c r="N269" s="845"/>
      <c r="O269" s="48">
        <f>IF(t&lt;Tnet,'2021'!Resal+('2021'!Salim-'2021'!Resal)*(1-EXP(('2021'!Tnet-t)/('2021'!Tau_j))),Resal+(Salim-Resal)*(1-EXP((Tnet-t)/(Tau_j))))*Salcycl</f>
        <v>4.8245050946937727E-2</v>
      </c>
      <c r="P269" s="339">
        <f>(INDEX(Models!$BJ269:$BT269,,T269)*(1-R269)+INDEX(Models!$BJ269:$BT269,,T269+1)*R269-ERP_i)*Q269*Ramure*Pc/MaxiM</f>
        <v>7.2536701961766839E-6</v>
      </c>
      <c r="Q269" s="305">
        <f t="shared" si="80"/>
        <v>0.5</v>
      </c>
      <c r="R269" s="177">
        <f t="shared" si="81"/>
        <v>0.48725063055751366</v>
      </c>
      <c r="S269" s="811">
        <f t="shared" si="82"/>
        <v>0</v>
      </c>
      <c r="T269" s="176">
        <f t="shared" si="83"/>
        <v>6</v>
      </c>
      <c r="U269" s="251">
        <f t="shared" si="84"/>
        <v>0.48725063055751366</v>
      </c>
      <c r="V269" s="383">
        <f t="shared" si="85"/>
        <v>46.519959588582786</v>
      </c>
      <c r="W269" s="402">
        <f t="shared" si="86"/>
        <v>0</v>
      </c>
      <c r="X269" s="157">
        <f t="shared" si="87"/>
        <v>44816</v>
      </c>
      <c r="Y269" s="385">
        <f t="shared" si="88"/>
        <v>30.727637248817114</v>
      </c>
      <c r="Z269" s="385">
        <f t="shared" si="89"/>
        <v>31.793604561636961</v>
      </c>
      <c r="AA269" s="386">
        <f t="shared" si="90"/>
        <v>34.513432147449237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7.8804900486064464E-2</v>
      </c>
      <c r="AD269" s="231">
        <f>(INDEX(Models!$BJ269:$BT269,,AH269)*(1-AF269)+INDEX(Models!$BJ269:$BT269,,AH269+1)*AF269-ERP_i)*AE269*Ramure*Pc/MaxiM</f>
        <v>7.2536701961766839E-6</v>
      </c>
      <c r="AE269" s="305">
        <f t="shared" si="92"/>
        <v>0.5</v>
      </c>
      <c r="AF269" s="177">
        <f t="shared" si="93"/>
        <v>0.48725063055751366</v>
      </c>
      <c r="AG269" s="811">
        <f t="shared" si="99"/>
        <v>0</v>
      </c>
      <c r="AH269" s="176">
        <f t="shared" si="94"/>
        <v>6</v>
      </c>
      <c r="AI269" s="225">
        <f t="shared" si="95"/>
        <v>0.48725063055751366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40">
        <v>11.257</v>
      </c>
      <c r="C270" s="841"/>
      <c r="D270" s="393">
        <f t="shared" si="77"/>
        <v>11.647769816002794</v>
      </c>
      <c r="E270" s="385">
        <f t="shared" si="100"/>
        <v>12.239085631204764</v>
      </c>
      <c r="F270" s="385">
        <f t="shared" si="78"/>
        <v>12.239085631204764</v>
      </c>
      <c r="G270" s="110">
        <f t="shared" si="101"/>
        <v>0.24339028089962139</v>
      </c>
      <c r="H270" s="414" t="b">
        <f>Wh_hp&gt;='2021'!Maxi_hp</f>
        <v>0</v>
      </c>
      <c r="I270" s="380">
        <f>IF(H270,Wh_hp,'2021'!Maxi_hp)</f>
        <v>48.245201516580117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3.3548895812305579E-2</v>
      </c>
      <c r="M270" s="845"/>
      <c r="N270" s="845"/>
      <c r="O270" s="48">
        <f>IF(t&lt;Tnet,'2021'!Resal+('2021'!Salim-'2021'!Resal)*(1-EXP(('2021'!Tnet-t)/('2021'!Tau_j))),Resal+(Salim-Resal)*(1-EXP((Tnet-t)/(Tau_j))))*Salcycl</f>
        <v>4.8313724817346797E-2</v>
      </c>
      <c r="P270" s="339">
        <f>(INDEX(Models!$BJ270:$BT270,,T270)*(1-R270)+INDEX(Models!$BJ270:$BT270,,T270+1)*R270-ERP_i)*Q270*Ramure*Pc/MaxiM</f>
        <v>8.4965253701325787E-6</v>
      </c>
      <c r="Q270" s="305">
        <f t="shared" si="80"/>
        <v>0.5</v>
      </c>
      <c r="R270" s="177">
        <f t="shared" si="81"/>
        <v>0.48765730038572375</v>
      </c>
      <c r="S270" s="811">
        <f t="shared" si="82"/>
        <v>0</v>
      </c>
      <c r="T270" s="176">
        <f t="shared" si="83"/>
        <v>6</v>
      </c>
      <c r="U270" s="251">
        <f t="shared" si="84"/>
        <v>0.48765730038572375</v>
      </c>
      <c r="V270" s="383">
        <f t="shared" si="85"/>
        <v>46.250426734403824</v>
      </c>
      <c r="W270" s="402">
        <f t="shared" si="86"/>
        <v>0</v>
      </c>
      <c r="X270" s="157">
        <f t="shared" si="87"/>
        <v>44817</v>
      </c>
      <c r="Y270" s="385">
        <f t="shared" si="88"/>
        <v>10.896082261068228</v>
      </c>
      <c r="Z270" s="385">
        <f t="shared" si="89"/>
        <v>11.274323360855822</v>
      </c>
      <c r="AA270" s="386">
        <f t="shared" si="90"/>
        <v>12.239085631204764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7.8826335513919765E-2</v>
      </c>
      <c r="AD270" s="231">
        <f>(INDEX(Models!$BJ270:$BT270,,AH270)*(1-AF270)+INDEX(Models!$BJ270:$BT270,,AH270+1)*AF270-ERP_i)*AE270*Ramure*Pc/MaxiM</f>
        <v>8.4965253701325787E-6</v>
      </c>
      <c r="AE270" s="305">
        <f t="shared" si="92"/>
        <v>0.5</v>
      </c>
      <c r="AF270" s="177">
        <f t="shared" si="93"/>
        <v>0.48765730038572375</v>
      </c>
      <c r="AG270" s="811">
        <f t="shared" si="99"/>
        <v>0</v>
      </c>
      <c r="AH270" s="176">
        <f t="shared" si="94"/>
        <v>6</v>
      </c>
      <c r="AI270" s="225">
        <f t="shared" si="95"/>
        <v>0.48765730038572375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40">
        <v>37.356000000000002</v>
      </c>
      <c r="C271" s="841"/>
      <c r="D271" s="393">
        <f t="shared" ref="D271:D334" si="102">Wh/(1-Ppv)</f>
        <v>38.653603941599393</v>
      </c>
      <c r="E271" s="385">
        <f t="shared" si="100"/>
        <v>40.618819334219545</v>
      </c>
      <c r="F271" s="385">
        <f t="shared" ref="F271:F334" si="103">Wh_sa/(1-Pvg*MEDIAN((-Sdif+Wh/Env_an)/Csdif,0,1))</f>
        <v>40.619115100112325</v>
      </c>
      <c r="G271" s="110">
        <f t="shared" si="101"/>
        <v>0.81248155503130148</v>
      </c>
      <c r="H271" s="414" t="b">
        <f>Wh_hp&gt;='2021'!Maxi_hp</f>
        <v>0</v>
      </c>
      <c r="I271" s="380">
        <f>IF(H271,Wh_hp,'2021'!Maxi_hp)</f>
        <v>47.954871485084247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3.3570063571818687E-2</v>
      </c>
      <c r="M271" s="845"/>
      <c r="N271" s="845"/>
      <c r="O271" s="48">
        <f>IF(t&lt;Tnet,'2021'!Resal+('2021'!Salim-'2021'!Resal)*(1-EXP(('2021'!Tnet-t)/('2021'!Tau_j))),Resal+(Salim-Resal)*(1-EXP((Tnet-t)/(Tau_j))))*Salcycl</f>
        <v>4.8381893536835141E-2</v>
      </c>
      <c r="P271" s="339">
        <f>(INDEX(Models!$BJ271:$BT271,,T271)*(1-R271)+INDEX(Models!$BJ271:$BT271,,T271+1)*R271-ERP_i)*Q271*Ramure*Pc/MaxiM</f>
        <v>9.9457055847227379E-6</v>
      </c>
      <c r="Q271" s="305">
        <f t="shared" ref="Q271:Q334" si="105">IF(OR(t&lt;Ttai,Notai),Dd+PousD*Croivg,Dens+PousD*(Croivg-Croi_tai))</f>
        <v>0.5</v>
      </c>
      <c r="R271" s="177">
        <f t="shared" ref="R271:R334" si="106">(Hp_vg-S271)/(INDEX(Echel_vg,T271+1)-S271)</f>
        <v>0.48804823109015932</v>
      </c>
      <c r="S271" s="81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0.48804823109015932</v>
      </c>
      <c r="V271" s="383">
        <f t="shared" ref="V271:V334" si="110">MaxiM*(1-Ppv)*(1-Pvg)*(1-Psa)</f>
        <v>45.977536649130116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36.160080794154744</v>
      </c>
      <c r="Z271" s="385">
        <f t="shared" ref="Z271:Z334" si="114">Wh_sa_s*(1-Psa_s)</f>
        <v>37.416143096517089</v>
      </c>
      <c r="AA271" s="386">
        <f t="shared" ref="AA271:AA334" si="115">Wh_hp*(1-Pvg_s*MEDIAN((-Sdif+Wh/Env_an)/Csdif,0,1))</f>
        <v>40.618819334219545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7.8847103145717107E-2</v>
      </c>
      <c r="AD271" s="231">
        <f>(INDEX(Models!$BJ271:$BT271,,AH271)*(1-AF271)+INDEX(Models!$BJ271:$BT271,,AH271+1)*AF271-ERP_i)*AE271*Ramure*Pc/MaxiM</f>
        <v>9.9457055847227379E-6</v>
      </c>
      <c r="AE271" s="305">
        <f t="shared" ref="AE271:AE334" si="117">IF(OR(t&lt;Ttai,Notai),Dd_s+PousD*Croivg,Dens_s+PousD*(Croivg-Croi_tai))</f>
        <v>0.5</v>
      </c>
      <c r="AF271" s="177">
        <f t="shared" ref="AF271:AF334" si="118">(Hp_vg_s-AG271)/(INDEX(Echel_vg,AH271+1)-AG271)</f>
        <v>0.48804823109015932</v>
      </c>
      <c r="AG271" s="81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0.48804823109015932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40">
        <v>41.033000000000001</v>
      </c>
      <c r="C272" s="841"/>
      <c r="D272" s="393">
        <f t="shared" si="102"/>
        <v>42.459258763599635</v>
      </c>
      <c r="E272" s="385">
        <f t="shared" si="100"/>
        <v>44.621132140767635</v>
      </c>
      <c r="F272" s="385">
        <f t="shared" si="103"/>
        <v>44.62157437270838</v>
      </c>
      <c r="G272" s="110">
        <f t="shared" si="101"/>
        <v>0.89784282542377059</v>
      </c>
      <c r="H272" s="414" t="b">
        <f>Wh_hp&gt;='2021'!Maxi_hp</f>
        <v>0</v>
      </c>
      <c r="I272" s="380">
        <f>IF(H272,Wh_hp,'2021'!Maxi_hp)</f>
        <v>48.916978336718785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3.3591230867703437E-2</v>
      </c>
      <c r="M272" s="845"/>
      <c r="N272" s="845"/>
      <c r="O272" s="48">
        <f>IF(t&lt;Tnet,'2021'!Resal+('2021'!Salim-'2021'!Resal)*(1-EXP(('2021'!Tnet-t)/('2021'!Tau_j))),Resal+(Salim-Resal)*(1-EXP((Tnet-t)/(Tau_j))))*Salcycl</f>
        <v>4.8449541135529003E-2</v>
      </c>
      <c r="P272" s="339">
        <f>(INDEX(Models!$BJ272:$BT272,,T272)*(1-R272)+INDEX(Models!$BJ272:$BT272,,T272+1)*R272-ERP_i)*Q272*Ramure*Pc/MaxiM</f>
        <v>1.1604198020280126E-5</v>
      </c>
      <c r="Q272" s="305">
        <f t="shared" si="105"/>
        <v>0.5</v>
      </c>
      <c r="R272" s="177">
        <f t="shared" si="106"/>
        <v>0.48842400770005739</v>
      </c>
      <c r="S272" s="811">
        <f t="shared" si="107"/>
        <v>0</v>
      </c>
      <c r="T272" s="176">
        <f t="shared" si="108"/>
        <v>6</v>
      </c>
      <c r="U272" s="251">
        <f t="shared" si="109"/>
        <v>0.48842400770005739</v>
      </c>
      <c r="V272" s="383">
        <f t="shared" si="110"/>
        <v>45.701685583410388</v>
      </c>
      <c r="W272" s="402">
        <f t="shared" si="111"/>
        <v>0</v>
      </c>
      <c r="X272" s="157">
        <f t="shared" si="112"/>
        <v>44819</v>
      </c>
      <c r="Y272" s="385">
        <f t="shared" si="113"/>
        <v>39.72132290266525</v>
      </c>
      <c r="Z272" s="385">
        <f t="shared" si="114"/>
        <v>41.101989314862685</v>
      </c>
      <c r="AA272" s="386">
        <f t="shared" si="115"/>
        <v>44.621132140767635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7.8867179228061884E-2</v>
      </c>
      <c r="AD272" s="231">
        <f>(INDEX(Models!$BJ272:$BT272,,AH272)*(1-AF272)+INDEX(Models!$BJ272:$BT272,,AH272+1)*AF272-ERP_i)*AE272*Ramure*Pc/MaxiM</f>
        <v>1.1604198020280126E-5</v>
      </c>
      <c r="AE272" s="305">
        <f t="shared" si="117"/>
        <v>0.5</v>
      </c>
      <c r="AF272" s="177">
        <f t="shared" si="118"/>
        <v>0.48842400770005739</v>
      </c>
      <c r="AG272" s="811">
        <f t="shared" ref="AG272:AG335" si="124">INDEX(Echel_vg,AH272)</f>
        <v>0</v>
      </c>
      <c r="AH272" s="176">
        <f t="shared" si="119"/>
        <v>6</v>
      </c>
      <c r="AI272" s="225">
        <f t="shared" si="120"/>
        <v>0.48842400770005739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40">
        <v>27.32</v>
      </c>
      <c r="C273" s="841"/>
      <c r="D273" s="393">
        <f t="shared" si="102"/>
        <v>28.270230221266939</v>
      </c>
      <c r="E273" s="385">
        <f t="shared" si="100"/>
        <v>29.711744567306674</v>
      </c>
      <c r="F273" s="385">
        <f t="shared" si="103"/>
        <v>29.711916984966635</v>
      </c>
      <c r="G273" s="110">
        <f t="shared" si="101"/>
        <v>0.60144922669895995</v>
      </c>
      <c r="H273" s="414" t="b">
        <f>Wh_hp&gt;='2021'!Maxi_hp</f>
        <v>0</v>
      </c>
      <c r="I273" s="380">
        <f>IF(H273,Wh_hp,'2021'!Maxi_hp)</f>
        <v>46.225866499783969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3.3612397699970153E-2</v>
      </c>
      <c r="M273" s="845"/>
      <c r="N273" s="845"/>
      <c r="O273" s="48">
        <f>IF(t&lt;Tnet,'2021'!Resal+('2021'!Salim-'2021'!Resal)*(1-EXP(('2021'!Tnet-t)/('2021'!Tau_j))),Resal+(Salim-Resal)*(1-EXP((Tnet-t)/(Tau_j))))*Salcycl</f>
        <v>4.8516651143598793E-2</v>
      </c>
      <c r="P273" s="339">
        <f>(INDEX(Models!$BJ273:$BT273,,T273)*(1-R273)+INDEX(Models!$BJ273:$BT273,,T273+1)*R273-ERP_i)*Q273*Ramure*Pc/MaxiM</f>
        <v>1.3474985038899412E-5</v>
      </c>
      <c r="Q273" s="305">
        <f t="shared" si="105"/>
        <v>0.5</v>
      </c>
      <c r="R273" s="177">
        <f t="shared" si="106"/>
        <v>0.48878519537195303</v>
      </c>
      <c r="S273" s="811">
        <f t="shared" si="107"/>
        <v>0</v>
      </c>
      <c r="T273" s="176">
        <f t="shared" si="108"/>
        <v>6</v>
      </c>
      <c r="U273" s="251">
        <f t="shared" si="109"/>
        <v>0.48878519537195303</v>
      </c>
      <c r="V273" s="383">
        <f t="shared" si="110"/>
        <v>45.423269640814077</v>
      </c>
      <c r="W273" s="402">
        <f t="shared" si="111"/>
        <v>0</v>
      </c>
      <c r="X273" s="157">
        <f t="shared" si="112"/>
        <v>44820</v>
      </c>
      <c r="Y273" s="385">
        <f t="shared" si="113"/>
        <v>26.44798754240681</v>
      </c>
      <c r="Z273" s="385">
        <f t="shared" si="114"/>
        <v>27.367887873830181</v>
      </c>
      <c r="AA273" s="386">
        <f t="shared" si="115"/>
        <v>29.711744567306674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7.8886538895987818E-2</v>
      </c>
      <c r="AD273" s="231">
        <f>(INDEX(Models!$BJ273:$BT273,,AH273)*(1-AF273)+INDEX(Models!$BJ273:$BT273,,AH273+1)*AF273-ERP_i)*AE273*Ramure*Pc/MaxiM</f>
        <v>1.3474985038899412E-5</v>
      </c>
      <c r="AE273" s="305">
        <f t="shared" si="117"/>
        <v>0.5</v>
      </c>
      <c r="AF273" s="177">
        <f t="shared" si="118"/>
        <v>0.48878519537195303</v>
      </c>
      <c r="AG273" s="811">
        <f t="shared" si="124"/>
        <v>0</v>
      </c>
      <c r="AH273" s="176">
        <f t="shared" si="119"/>
        <v>6</v>
      </c>
      <c r="AI273" s="225">
        <f t="shared" si="120"/>
        <v>0.48878519537195303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40">
        <v>47.246000000000002</v>
      </c>
      <c r="C274" s="841"/>
      <c r="D274" s="393">
        <f t="shared" si="102"/>
        <v>48.890356952913976</v>
      </c>
      <c r="E274" s="385">
        <f t="shared" si="100"/>
        <v>51.386897197181113</v>
      </c>
      <c r="F274" s="385">
        <f t="shared" si="103"/>
        <v>51.387696842313346</v>
      </c>
      <c r="G274" s="110">
        <f t="shared" si="101"/>
        <v>1.0465926037131028</v>
      </c>
      <c r="H274" s="414" t="b">
        <f>Wh_hp&gt;='2021'!Maxi_hp</f>
        <v>1</v>
      </c>
      <c r="I274" s="380">
        <f>IF(H274,Wh_hp,'2021'!Maxi_hp)</f>
        <v>51.387696842313346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3.3633564068628941E-2</v>
      </c>
      <c r="M274" s="845"/>
      <c r="N274" s="845"/>
      <c r="O274" s="48">
        <f>IF(t&lt;Tnet,'2021'!Resal+('2021'!Salim-'2021'!Resal)*(1-EXP(('2021'!Tnet-t)/('2021'!Tau_j))),Resal+(Salim-Resal)*(1-EXP((Tnet-t)/(Tau_j))))*Salcycl</f>
        <v>4.858320662342086E-2</v>
      </c>
      <c r="P274" s="339">
        <f>(INDEX(Models!$BJ274:$BT274,,T274)*(1-R274)+INDEX(Models!$BJ274:$BT274,,T274+1)*R274-ERP_i)*Q274*Ramure*Pc/MaxiM</f>
        <v>1.5561022995133723E-5</v>
      </c>
      <c r="Q274" s="305">
        <f t="shared" si="105"/>
        <v>0.5</v>
      </c>
      <c r="R274" s="177">
        <f t="shared" si="106"/>
        <v>0.48913233991705135</v>
      </c>
      <c r="S274" s="811">
        <f t="shared" si="107"/>
        <v>0</v>
      </c>
      <c r="T274" s="176">
        <f t="shared" si="108"/>
        <v>6</v>
      </c>
      <c r="U274" s="251">
        <f t="shared" si="109"/>
        <v>0.48913233991705135</v>
      </c>
      <c r="V274" s="383">
        <f t="shared" si="110"/>
        <v>45.142684777611251</v>
      </c>
      <c r="W274" s="402">
        <f t="shared" si="111"/>
        <v>0</v>
      </c>
      <c r="X274" s="157">
        <f t="shared" si="112"/>
        <v>44821</v>
      </c>
      <c r="Y274" s="385">
        <f t="shared" si="113"/>
        <v>45.740255241319893</v>
      </c>
      <c r="Z274" s="385">
        <f t="shared" si="114"/>
        <v>47.332206025177236</v>
      </c>
      <c r="AA274" s="386">
        <f t="shared" si="115"/>
        <v>51.386897197181113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7.8905156628649345E-2</v>
      </c>
      <c r="AD274" s="231">
        <f>(INDEX(Models!$BJ274:$BT274,,AH274)*(1-AF274)+INDEX(Models!$BJ274:$BT274,,AH274+1)*AF274-ERP_i)*AE274*Ramure*Pc/MaxiM</f>
        <v>1.5561022995133723E-5</v>
      </c>
      <c r="AE274" s="305">
        <f t="shared" si="117"/>
        <v>0.5</v>
      </c>
      <c r="AF274" s="177">
        <f t="shared" si="118"/>
        <v>0.48913233991705135</v>
      </c>
      <c r="AG274" s="811">
        <f t="shared" si="124"/>
        <v>0</v>
      </c>
      <c r="AH274" s="176">
        <f t="shared" si="119"/>
        <v>6</v>
      </c>
      <c r="AI274" s="225">
        <f t="shared" si="120"/>
        <v>0.48913233991705135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40">
        <v>45.68</v>
      </c>
      <c r="C275" s="841"/>
      <c r="D275" s="393">
        <f t="shared" si="102"/>
        <v>47.27088900508231</v>
      </c>
      <c r="E275" s="385">
        <f t="shared" si="100"/>
        <v>49.68817865991246</v>
      </c>
      <c r="F275" s="385">
        <f t="shared" si="103"/>
        <v>49.689066419379245</v>
      </c>
      <c r="G275" s="110">
        <f t="shared" si="101"/>
        <v>1.0183329133380272</v>
      </c>
      <c r="H275" s="414" t="b">
        <f>Wh_hp&gt;='2021'!Maxi_hp</f>
        <v>1</v>
      </c>
      <c r="I275" s="380">
        <f>IF(H275,Wh_hp,'2021'!Maxi_hp)</f>
        <v>49.689066419379245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3.3654729973689901E-2</v>
      </c>
      <c r="M275" s="845"/>
      <c r="N275" s="845"/>
      <c r="O275" s="48">
        <f>IF(t&lt;Tnet,'2021'!Resal+('2021'!Salim-'2021'!Resal)*(1-EXP(('2021'!Tnet-t)/('2021'!Tau_j))),Resal+(Salim-Resal)*(1-EXP((Tnet-t)/(Tau_j))))*Salcycl</f>
        <v>4.8649190210314081E-2</v>
      </c>
      <c r="P275" s="339">
        <f>(INDEX(Models!$BJ275:$BT275,,T275)*(1-R275)+INDEX(Models!$BJ275:$BT275,,T275+1)*R275-ERP_i)*Q275*Ramure*Pc/MaxiM</f>
        <v>1.7866293950717796E-5</v>
      </c>
      <c r="Q275" s="305">
        <f t="shared" si="105"/>
        <v>0.5</v>
      </c>
      <c r="R275" s="177">
        <f t="shared" si="106"/>
        <v>0.4894659683269092</v>
      </c>
      <c r="S275" s="811">
        <f t="shared" si="107"/>
        <v>0</v>
      </c>
      <c r="T275" s="176">
        <f t="shared" si="108"/>
        <v>6</v>
      </c>
      <c r="U275" s="251">
        <f t="shared" si="109"/>
        <v>0.4894659683269092</v>
      </c>
      <c r="V275" s="383">
        <f t="shared" si="110"/>
        <v>44.857628975443809</v>
      </c>
      <c r="W275" s="402">
        <f t="shared" si="111"/>
        <v>0</v>
      </c>
      <c r="X275" s="157">
        <f t="shared" si="112"/>
        <v>44822</v>
      </c>
      <c r="Y275" s="385">
        <f t="shared" si="113"/>
        <v>44.226374370429426</v>
      </c>
      <c r="Z275" s="385">
        <f t="shared" si="114"/>
        <v>45.766638221580266</v>
      </c>
      <c r="AA275" s="386">
        <f t="shared" si="115"/>
        <v>49.68817865991246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7.8923006318523434E-2</v>
      </c>
      <c r="AD275" s="231">
        <f>(INDEX(Models!$BJ275:$BT275,,AH275)*(1-AF275)+INDEX(Models!$BJ275:$BT275,,AH275+1)*AF275-ERP_i)*AE275*Ramure*Pc/MaxiM</f>
        <v>1.7866293950717796E-5</v>
      </c>
      <c r="AE275" s="305">
        <f t="shared" si="117"/>
        <v>0.5</v>
      </c>
      <c r="AF275" s="177">
        <f t="shared" si="118"/>
        <v>0.4894659683269092</v>
      </c>
      <c r="AG275" s="811">
        <f t="shared" si="124"/>
        <v>0</v>
      </c>
      <c r="AH275" s="176">
        <f t="shared" si="119"/>
        <v>6</v>
      </c>
      <c r="AI275" s="225">
        <f t="shared" si="120"/>
        <v>0.4894659683269092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40">
        <v>44.503</v>
      </c>
      <c r="C276" s="841"/>
      <c r="D276" s="393">
        <f t="shared" si="102"/>
        <v>46.053906540104251</v>
      </c>
      <c r="E276" s="385">
        <f t="shared" si="100"/>
        <v>48.412291172928946</v>
      </c>
      <c r="F276" s="385">
        <f t="shared" si="103"/>
        <v>48.413322483507429</v>
      </c>
      <c r="G276" s="110">
        <f t="shared" si="101"/>
        <v>0.99858583298302339</v>
      </c>
      <c r="H276" s="414" t="b">
        <f>Wh_hp&gt;='2021'!Maxi_hp</f>
        <v>1</v>
      </c>
      <c r="I276" s="380">
        <f>IF(H276,Wh_hp,'2021'!Maxi_hp)</f>
        <v>48.413322483507429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3.3675895415163248E-2</v>
      </c>
      <c r="M276" s="845"/>
      <c r="N276" s="845"/>
      <c r="O276" s="48">
        <f>IF(t&lt;Tnet,'2021'!Resal+('2021'!Salim-'2021'!Resal)*(1-EXP(('2021'!Tnet-t)/('2021'!Tau_j))),Resal+(Salim-Resal)*(1-EXP((Tnet-t)/(Tau_j))))*Salcycl</f>
        <v>4.8714584162119864E-2</v>
      </c>
      <c r="P276" s="339">
        <f>(INDEX(Models!$BJ276:$BT276,,T276)*(1-R276)+INDEX(Models!$BJ276:$BT276,,T276+1)*R276-ERP_i)*Q276*Ramure*Pc/MaxiM</f>
        <v>2.1345327543784907E-5</v>
      </c>
      <c r="Q276" s="305">
        <f t="shared" si="105"/>
        <v>0.5</v>
      </c>
      <c r="R276" s="177">
        <f t="shared" si="106"/>
        <v>0.4897865892961708</v>
      </c>
      <c r="S276" s="811">
        <f t="shared" si="107"/>
        <v>0</v>
      </c>
      <c r="T276" s="176">
        <f t="shared" si="108"/>
        <v>6</v>
      </c>
      <c r="U276" s="251">
        <f t="shared" si="109"/>
        <v>0.4897865892961708</v>
      </c>
      <c r="V276" s="383">
        <f t="shared" si="110"/>
        <v>44.566021879149403</v>
      </c>
      <c r="W276" s="402">
        <f t="shared" si="111"/>
        <v>0</v>
      </c>
      <c r="X276" s="157">
        <f t="shared" si="112"/>
        <v>44823</v>
      </c>
      <c r="Y276" s="385">
        <f t="shared" si="113"/>
        <v>43.088992816566396</v>
      </c>
      <c r="Z276" s="385">
        <f t="shared" si="114"/>
        <v>44.590621937428317</v>
      </c>
      <c r="AA276" s="386">
        <f t="shared" si="115"/>
        <v>48.412291172928946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7.8940061354452404E-2</v>
      </c>
      <c r="AD276" s="231">
        <f>(INDEX(Models!$BJ276:$BT276,,AH276)*(1-AF276)+INDEX(Models!$BJ276:$BT276,,AH276+1)*AF276-ERP_i)*AE276*Ramure*Pc/MaxiM</f>
        <v>2.1345327543784907E-5</v>
      </c>
      <c r="AE276" s="305">
        <f t="shared" si="117"/>
        <v>0.5</v>
      </c>
      <c r="AF276" s="177">
        <f t="shared" si="118"/>
        <v>0.4897865892961708</v>
      </c>
      <c r="AG276" s="811">
        <f t="shared" si="124"/>
        <v>0</v>
      </c>
      <c r="AH276" s="176">
        <f t="shared" si="119"/>
        <v>6</v>
      </c>
      <c r="AI276" s="225">
        <f t="shared" si="120"/>
        <v>0.4897865892961708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40">
        <v>45.844999999999999</v>
      </c>
      <c r="C277" s="841"/>
      <c r="D277" s="393">
        <f t="shared" si="102"/>
        <v>47.443713685325413</v>
      </c>
      <c r="E277" s="385">
        <f t="shared" si="100"/>
        <v>49.876666053977239</v>
      </c>
      <c r="F277" s="385">
        <f t="shared" si="103"/>
        <v>49.877958814911565</v>
      </c>
      <c r="G277" s="110">
        <f t="shared" si="101"/>
        <v>1.0356084951892772</v>
      </c>
      <c r="H277" s="414" t="b">
        <f>Wh_hp&gt;='2021'!Maxi_hp</f>
        <v>1</v>
      </c>
      <c r="I277" s="380">
        <f>IF(H277,Wh_hp,'2021'!Maxi_hp)</f>
        <v>49.877958814911565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3.3697060393059086E-2</v>
      </c>
      <c r="M277" s="845"/>
      <c r="N277" s="845"/>
      <c r="O277" s="48">
        <f>IF(t&lt;Tnet,'2021'!Resal+('2021'!Salim-'2021'!Resal)*(1-EXP(('2021'!Tnet-t)/('2021'!Tau_j))),Resal+(Salim-Resal)*(1-EXP((Tnet-t)/(Tau_j))))*Salcycl</f>
        <v>4.8779370417799076E-2</v>
      </c>
      <c r="P277" s="339">
        <f>(INDEX(Models!$BJ277:$BT277,,T277)*(1-R277)+INDEX(Models!$BJ277:$BT277,,T277+1)*R277-ERP_i)*Q277*Ramure*Pc/MaxiM</f>
        <v>2.5918481129561933E-5</v>
      </c>
      <c r="Q277" s="305">
        <f t="shared" si="105"/>
        <v>0.5</v>
      </c>
      <c r="R277" s="177">
        <f t="shared" si="106"/>
        <v>0.49009469374122955</v>
      </c>
      <c r="S277" s="811">
        <f t="shared" si="107"/>
        <v>0</v>
      </c>
      <c r="T277" s="176">
        <f t="shared" si="108"/>
        <v>6</v>
      </c>
      <c r="U277" s="251">
        <f t="shared" si="109"/>
        <v>0.49009469374122955</v>
      </c>
      <c r="V277" s="383">
        <f t="shared" si="110"/>
        <v>44.268659645961058</v>
      </c>
      <c r="W277" s="402">
        <f t="shared" si="111"/>
        <v>0</v>
      </c>
      <c r="X277" s="157">
        <f t="shared" si="112"/>
        <v>44824</v>
      </c>
      <c r="Y277" s="385">
        <f t="shared" si="113"/>
        <v>44.39059389110114</v>
      </c>
      <c r="Z277" s="385">
        <f t="shared" si="114"/>
        <v>45.938589309433041</v>
      </c>
      <c r="AA277" s="386">
        <f t="shared" si="115"/>
        <v>49.876666053977239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7.8956294718703829E-2</v>
      </c>
      <c r="AD277" s="231">
        <f>(INDEX(Models!$BJ277:$BT277,,AH277)*(1-AF277)+INDEX(Models!$BJ277:$BT277,,AH277+1)*AF277-ERP_i)*AE277*Ramure*Pc/MaxiM</f>
        <v>2.5918481129561933E-5</v>
      </c>
      <c r="AE277" s="305">
        <f t="shared" si="117"/>
        <v>0.5</v>
      </c>
      <c r="AF277" s="177">
        <f t="shared" si="118"/>
        <v>0.49009469374122955</v>
      </c>
      <c r="AG277" s="811">
        <f t="shared" si="124"/>
        <v>0</v>
      </c>
      <c r="AH277" s="176">
        <f t="shared" si="119"/>
        <v>6</v>
      </c>
      <c r="AI277" s="225">
        <f t="shared" si="120"/>
        <v>0.49009469374122955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40">
        <v>44.728000000000002</v>
      </c>
      <c r="C278" s="841"/>
      <c r="D278" s="393">
        <f t="shared" si="102"/>
        <v>46.288775337517968</v>
      </c>
      <c r="E278" s="385">
        <f t="shared" si="100"/>
        <v>48.665784053265739</v>
      </c>
      <c r="F278" s="385">
        <f t="shared" si="103"/>
        <v>48.667322070237333</v>
      </c>
      <c r="G278" s="110">
        <f t="shared" si="101"/>
        <v>1.017323850697549</v>
      </c>
      <c r="H278" s="414" t="b">
        <f>Wh_hp&gt;='2021'!Maxi_hp</f>
        <v>1</v>
      </c>
      <c r="I278" s="380">
        <f>IF(H278,Wh_hp,'2021'!Maxi_hp)</f>
        <v>48.667322070237333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3.3718224907387628E-2</v>
      </c>
      <c r="M278" s="845"/>
      <c r="N278" s="845"/>
      <c r="O278" s="48">
        <f>IF(t&lt;Tnet,'2021'!Resal+('2021'!Salim-'2021'!Resal)*(1-EXP(('2021'!Tnet-t)/('2021'!Tau_j))),Resal+(Salim-Resal)*(1-EXP((Tnet-t)/(Tau_j))))*Salcycl</f>
        <v>4.8843530665119511E-2</v>
      </c>
      <c r="P278" s="339">
        <f>(INDEX(Models!$BJ278:$BT278,,T278)*(1-R278)+INDEX(Models!$BJ278:$BT278,,T278+1)*R278-ERP_i)*Q278*Ramure*Pc/MaxiM</f>
        <v>3.1602662858018908E-5</v>
      </c>
      <c r="Q278" s="305">
        <f t="shared" si="105"/>
        <v>0.5</v>
      </c>
      <c r="R278" s="177">
        <f t="shared" si="106"/>
        <v>0.49039075531381721</v>
      </c>
      <c r="S278" s="811">
        <f t="shared" si="107"/>
        <v>0</v>
      </c>
      <c r="T278" s="176">
        <f t="shared" si="108"/>
        <v>6</v>
      </c>
      <c r="U278" s="251">
        <f t="shared" si="109"/>
        <v>0.49039075531381721</v>
      </c>
      <c r="V278" s="383">
        <f t="shared" si="110"/>
        <v>43.966333797572261</v>
      </c>
      <c r="W278" s="402">
        <f t="shared" si="111"/>
        <v>0</v>
      </c>
      <c r="X278" s="157">
        <f t="shared" si="112"/>
        <v>44825</v>
      </c>
      <c r="Y278" s="385">
        <f t="shared" si="113"/>
        <v>43.311228031818018</v>
      </c>
      <c r="Z278" s="385">
        <f t="shared" si="114"/>
        <v>44.822565371955704</v>
      </c>
      <c r="AA278" s="386">
        <f t="shared" si="115"/>
        <v>48.665784053265739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7.8971679098060993E-2</v>
      </c>
      <c r="AD278" s="231">
        <f>(INDEX(Models!$BJ278:$BT278,,AH278)*(1-AF278)+INDEX(Models!$BJ278:$BT278,,AH278+1)*AF278-ERP_i)*AE278*Ramure*Pc/MaxiM</f>
        <v>3.1602662858018908E-5</v>
      </c>
      <c r="AE278" s="305">
        <f t="shared" si="117"/>
        <v>0.5</v>
      </c>
      <c r="AF278" s="177">
        <f t="shared" si="118"/>
        <v>0.49039075531381721</v>
      </c>
      <c r="AG278" s="811">
        <f t="shared" si="124"/>
        <v>0</v>
      </c>
      <c r="AH278" s="176">
        <f t="shared" si="119"/>
        <v>6</v>
      </c>
      <c r="AI278" s="225">
        <f t="shared" si="120"/>
        <v>0.49039075531381721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40">
        <v>43.563000000000002</v>
      </c>
      <c r="C279" s="841"/>
      <c r="D279" s="393">
        <f t="shared" si="102"/>
        <v>45.084110334405047</v>
      </c>
      <c r="E279" s="385">
        <f t="shared" si="100"/>
        <v>47.402422827948968</v>
      </c>
      <c r="F279" s="385">
        <f t="shared" si="103"/>
        <v>47.40423809314786</v>
      </c>
      <c r="G279" s="110">
        <f t="shared" si="101"/>
        <v>0.99778192317936154</v>
      </c>
      <c r="H279" s="414" t="b">
        <f>Wh_hp&gt;='2021'!Maxi_hp</f>
        <v>1</v>
      </c>
      <c r="I279" s="380">
        <f>IF(H279,Wh_hp,'2021'!Maxi_hp)</f>
        <v>47.40423809314786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3.3739388958158978E-2</v>
      </c>
      <c r="M279" s="845"/>
      <c r="N279" s="845"/>
      <c r="O279" s="48">
        <f>IF(t&lt;Tnet,'2021'!Resal+('2021'!Salim-'2021'!Resal)*(1-EXP(('2021'!Tnet-t)/('2021'!Tau_j))),Resal+(Salim-Resal)*(1-EXP((Tnet-t)/(Tau_j))))*Salcycl</f>
        <v>4.8907046417404121E-2</v>
      </c>
      <c r="P279" s="339">
        <f>(INDEX(Models!$BJ279:$BT279,,T279)*(1-R279)+INDEX(Models!$BJ279:$BT279,,T279+1)*R279-ERP_i)*Q279*Ramure*Pc/MaxiM</f>
        <v>3.8415028614002427E-5</v>
      </c>
      <c r="Q279" s="305">
        <f t="shared" si="105"/>
        <v>0.5</v>
      </c>
      <c r="R279" s="177">
        <f t="shared" si="106"/>
        <v>0.49067523090862736</v>
      </c>
      <c r="S279" s="811">
        <f t="shared" si="107"/>
        <v>0</v>
      </c>
      <c r="T279" s="176">
        <f t="shared" si="108"/>
        <v>6</v>
      </c>
      <c r="U279" s="251">
        <f t="shared" si="109"/>
        <v>0.49067523090862736</v>
      </c>
      <c r="V279" s="383">
        <f t="shared" si="110"/>
        <v>43.659835566645349</v>
      </c>
      <c r="W279" s="402">
        <f t="shared" si="111"/>
        <v>0</v>
      </c>
      <c r="X279" s="157">
        <f t="shared" si="112"/>
        <v>44826</v>
      </c>
      <c r="Y279" s="385">
        <f t="shared" si="113"/>
        <v>42.185282294651827</v>
      </c>
      <c r="Z279" s="385">
        <f t="shared" si="114"/>
        <v>43.658286193790758</v>
      </c>
      <c r="AA279" s="386">
        <f t="shared" si="115"/>
        <v>47.402422827948968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7.8986187008792008E-2</v>
      </c>
      <c r="AD279" s="231">
        <f>(INDEX(Models!$BJ279:$BT279,,AH279)*(1-AF279)+INDEX(Models!$BJ279:$BT279,,AH279+1)*AF279-ERP_i)*AE279*Ramure*Pc/MaxiM</f>
        <v>3.8415028614002427E-5</v>
      </c>
      <c r="AE279" s="305">
        <f t="shared" si="117"/>
        <v>0.5</v>
      </c>
      <c r="AF279" s="177">
        <f t="shared" si="118"/>
        <v>0.49067523090862736</v>
      </c>
      <c r="AG279" s="811">
        <f t="shared" si="124"/>
        <v>0</v>
      </c>
      <c r="AH279" s="176">
        <f t="shared" si="119"/>
        <v>6</v>
      </c>
      <c r="AI279" s="225">
        <f t="shared" si="120"/>
        <v>0.49067523090862736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40">
        <v>27.524000000000001</v>
      </c>
      <c r="C280" s="841"/>
      <c r="D280" s="393">
        <f t="shared" si="102"/>
        <v>28.485692726070134</v>
      </c>
      <c r="E280" s="385">
        <f t="shared" si="100"/>
        <v>29.952461756035973</v>
      </c>
      <c r="F280" s="385">
        <f t="shared" si="103"/>
        <v>29.953126352435184</v>
      </c>
      <c r="G280" s="110">
        <f t="shared" si="101"/>
        <v>0.63491031887734373</v>
      </c>
      <c r="H280" s="414" t="b">
        <f>Wh_hp&gt;='2021'!Maxi_hp</f>
        <v>0</v>
      </c>
      <c r="I280" s="380">
        <f>IF(H280,Wh_hp,'2021'!Maxi_hp)</f>
        <v>44.303472000025792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3.3760552545383238E-2</v>
      </c>
      <c r="M280" s="845"/>
      <c r="N280" s="845"/>
      <c r="O280" s="48">
        <f>IF(t&lt;Tnet,'2021'!Resal+('2021'!Salim-'2021'!Resal)*(1-EXP(('2021'!Tnet-t)/('2021'!Tau_j))),Resal+(Salim-Resal)*(1-EXP((Tnet-t)/(Tau_j))))*Salcycl</f>
        <v>4.8969899099203712E-2</v>
      </c>
      <c r="P280" s="339">
        <f>(INDEX(Models!$BJ280:$BT280,,T280)*(1-R280)+INDEX(Models!$BJ280:$BT280,,T280+1)*R280-ERP_i)*Q280*Ramure*Pc/MaxiM</f>
        <v>4.6373024731586175E-5</v>
      </c>
      <c r="Q280" s="305">
        <f t="shared" si="105"/>
        <v>0.5</v>
      </c>
      <c r="R280" s="177">
        <f t="shared" si="106"/>
        <v>0.49094856116419261</v>
      </c>
      <c r="S280" s="811">
        <f t="shared" si="107"/>
        <v>0</v>
      </c>
      <c r="T280" s="176">
        <f t="shared" si="108"/>
        <v>6</v>
      </c>
      <c r="U280" s="251">
        <f t="shared" si="109"/>
        <v>0.49094856116419261</v>
      </c>
      <c r="V280" s="383">
        <f t="shared" si="110"/>
        <v>43.34995588352902</v>
      </c>
      <c r="W280" s="402">
        <f t="shared" si="111"/>
        <v>0</v>
      </c>
      <c r="X280" s="157">
        <f t="shared" si="112"/>
        <v>44827</v>
      </c>
      <c r="Y280" s="385">
        <f t="shared" si="113"/>
        <v>26.654897389987564</v>
      </c>
      <c r="Z280" s="385">
        <f t="shared" si="114"/>
        <v>27.586223539315306</v>
      </c>
      <c r="AA280" s="386">
        <f t="shared" si="115"/>
        <v>29.952461756035973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7.8999790935175021E-2</v>
      </c>
      <c r="AD280" s="231">
        <f>(INDEX(Models!$BJ280:$BT280,,AH280)*(1-AF280)+INDEX(Models!$BJ280:$BT280,,AH280+1)*AF280-ERP_i)*AE280*Ramure*Pc/MaxiM</f>
        <v>4.6373024731586175E-5</v>
      </c>
      <c r="AE280" s="305">
        <f t="shared" si="117"/>
        <v>0.5</v>
      </c>
      <c r="AF280" s="177">
        <f t="shared" si="118"/>
        <v>0.49094856116419261</v>
      </c>
      <c r="AG280" s="811">
        <f t="shared" si="124"/>
        <v>0</v>
      </c>
      <c r="AH280" s="176">
        <f t="shared" si="119"/>
        <v>6</v>
      </c>
      <c r="AI280" s="225">
        <f t="shared" si="120"/>
        <v>0.49094856116419261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40">
        <v>17.254000000000001</v>
      </c>
      <c r="C281" s="841"/>
      <c r="D281" s="393">
        <f t="shared" si="102"/>
        <v>17.857248491160323</v>
      </c>
      <c r="E281" s="385">
        <f t="shared" si="100"/>
        <v>18.777971296888474</v>
      </c>
      <c r="F281" s="385">
        <f t="shared" si="103"/>
        <v>18.77812151360887</v>
      </c>
      <c r="G281" s="110">
        <f t="shared" si="101"/>
        <v>0.40088728162662435</v>
      </c>
      <c r="H281" s="414" t="b">
        <f>Wh_hp&gt;='2021'!Maxi_hp</f>
        <v>0</v>
      </c>
      <c r="I281" s="380">
        <f>IF(H281,Wh_hp,'2021'!Maxi_hp)</f>
        <v>40.249037915880088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3.3781715669070733E-2</v>
      </c>
      <c r="M281" s="845"/>
      <c r="N281" s="845"/>
      <c r="O281" s="48">
        <f>IF(t&lt;Tnet,'2021'!Resal+('2021'!Salim-'2021'!Resal)*(1-EXP(('2021'!Tnet-t)/('2021'!Tau_j))),Resal+(Salim-Resal)*(1-EXP((Tnet-t)/(Tau_j))))*Salcycl</f>
        <v>4.9032070140650155E-2</v>
      </c>
      <c r="P281" s="339">
        <f>(INDEX(Models!$BJ281:$BT281,,T281)*(1-R281)+INDEX(Models!$BJ281:$BT281,,T281+1)*R281-ERP_i)*Q281*Ramure*Pc/MaxiM</f>
        <v>5.5493969591953166E-5</v>
      </c>
      <c r="Q281" s="305">
        <f t="shared" si="105"/>
        <v>0.5</v>
      </c>
      <c r="R281" s="177">
        <f t="shared" si="106"/>
        <v>0.49121117095632866</v>
      </c>
      <c r="S281" s="811">
        <f t="shared" si="107"/>
        <v>0</v>
      </c>
      <c r="T281" s="176">
        <f t="shared" si="108"/>
        <v>6</v>
      </c>
      <c r="U281" s="251">
        <f t="shared" si="109"/>
        <v>0.49121117095632866</v>
      </c>
      <c r="V281" s="383">
        <f t="shared" si="110"/>
        <v>43.03748538717776</v>
      </c>
      <c r="W281" s="402">
        <f t="shared" si="111"/>
        <v>0</v>
      </c>
      <c r="X281" s="157">
        <f t="shared" si="112"/>
        <v>44828</v>
      </c>
      <c r="Y281" s="385">
        <f t="shared" si="113"/>
        <v>16.710047159474211</v>
      </c>
      <c r="Z281" s="385">
        <f t="shared" si="114"/>
        <v>17.294277525544143</v>
      </c>
      <c r="AA281" s="386">
        <f t="shared" si="115"/>
        <v>18.777971296888474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7.9012463481088618E-2</v>
      </c>
      <c r="AD281" s="231">
        <f>(INDEX(Models!$BJ281:$BT281,,AH281)*(1-AF281)+INDEX(Models!$BJ281:$BT281,,AH281+1)*AF281-ERP_i)*AE281*Ramure*Pc/MaxiM</f>
        <v>5.5493969591953166E-5</v>
      </c>
      <c r="AE281" s="305">
        <f t="shared" si="117"/>
        <v>0.5</v>
      </c>
      <c r="AF281" s="177">
        <f t="shared" si="118"/>
        <v>0.49121117095632866</v>
      </c>
      <c r="AG281" s="811">
        <f t="shared" si="124"/>
        <v>0</v>
      </c>
      <c r="AH281" s="176">
        <f t="shared" si="119"/>
        <v>6</v>
      </c>
      <c r="AI281" s="225">
        <f t="shared" si="120"/>
        <v>0.49121117095632866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40">
        <v>30.542999999999999</v>
      </c>
      <c r="C282" s="841"/>
      <c r="D282" s="393">
        <f t="shared" si="102"/>
        <v>31.61156177652899</v>
      </c>
      <c r="E282" s="385">
        <f t="shared" si="100"/>
        <v>33.243608222449843</v>
      </c>
      <c r="F282" s="385">
        <f t="shared" si="103"/>
        <v>33.244913897810846</v>
      </c>
      <c r="G282" s="110">
        <f t="shared" si="101"/>
        <v>0.71488511256490062</v>
      </c>
      <c r="H282" s="414" t="b">
        <f>Wh_hp&gt;='2021'!Maxi_hp</f>
        <v>0</v>
      </c>
      <c r="I282" s="380">
        <f>IF(H282,Wh_hp,'2021'!Maxi_hp)</f>
        <v>46.514117854235721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3.3802878329231345E-2</v>
      </c>
      <c r="M282" s="845"/>
      <c r="N282" s="845"/>
      <c r="O282" s="48">
        <f>IF(t&lt;Tnet,'2021'!Resal+('2021'!Salim-'2021'!Resal)*(1-EXP(('2021'!Tnet-t)/('2021'!Tau_j))),Resal+(Salim-Resal)*(1-EXP((Tnet-t)/(Tau_j))))*Salcycl</f>
        <v>4.9093541080138012E-2</v>
      </c>
      <c r="P282" s="339">
        <f>(INDEX(Models!$BJ282:$BT282,,T282)*(1-R282)+INDEX(Models!$BJ282:$BT282,,T282+1)*R282-ERP_i)*Q282*Ramure*Pc/MaxiM</f>
        <v>6.6261305639395664E-5</v>
      </c>
      <c r="Q282" s="305">
        <f t="shared" si="105"/>
        <v>0.5</v>
      </c>
      <c r="R282" s="177">
        <f t="shared" si="106"/>
        <v>0.49146346988354694</v>
      </c>
      <c r="S282" s="811">
        <f t="shared" si="107"/>
        <v>0</v>
      </c>
      <c r="T282" s="176">
        <f t="shared" si="108"/>
        <v>6</v>
      </c>
      <c r="U282" s="251">
        <f t="shared" si="109"/>
        <v>0.49146346988354694</v>
      </c>
      <c r="V282" s="383">
        <f t="shared" si="110"/>
        <v>42.723194497916552</v>
      </c>
      <c r="W282" s="402">
        <f t="shared" si="111"/>
        <v>0</v>
      </c>
      <c r="X282" s="157">
        <f t="shared" si="112"/>
        <v>44829</v>
      </c>
      <c r="Y282" s="385">
        <f t="shared" si="113"/>
        <v>29.581631591325074</v>
      </c>
      <c r="Z282" s="385">
        <f t="shared" si="114"/>
        <v>30.61655942440802</v>
      </c>
      <c r="AA282" s="386">
        <f t="shared" si="115"/>
        <v>33.243608222449843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7.902417753400616E-2</v>
      </c>
      <c r="AD282" s="231">
        <f>(INDEX(Models!$BJ282:$BT282,,AH282)*(1-AF282)+INDEX(Models!$BJ282:$BT282,,AH282+1)*AF282-ERP_i)*AE282*Ramure*Pc/MaxiM</f>
        <v>6.6261305639395664E-5</v>
      </c>
      <c r="AE282" s="305">
        <f t="shared" si="117"/>
        <v>0.5</v>
      </c>
      <c r="AF282" s="177">
        <f t="shared" si="118"/>
        <v>0.49146346988354694</v>
      </c>
      <c r="AG282" s="811">
        <f t="shared" si="124"/>
        <v>0</v>
      </c>
      <c r="AH282" s="176">
        <f t="shared" si="119"/>
        <v>6</v>
      </c>
      <c r="AI282" s="225">
        <f t="shared" si="120"/>
        <v>0.49146346988354694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40">
        <v>32.939</v>
      </c>
      <c r="C283" s="841"/>
      <c r="D283" s="393">
        <f t="shared" si="102"/>
        <v>34.092133712298349</v>
      </c>
      <c r="E283" s="385">
        <f t="shared" si="100"/>
        <v>35.854538213207348</v>
      </c>
      <c r="F283" s="385">
        <f t="shared" si="103"/>
        <v>35.856457386984125</v>
      </c>
      <c r="G283" s="110">
        <f t="shared" si="101"/>
        <v>0.77669942093261612</v>
      </c>
      <c r="H283" s="414" t="b">
        <f>Wh_hp&gt;='2021'!Maxi_hp</f>
        <v>0</v>
      </c>
      <c r="I283" s="380">
        <f>IF(H283,Wh_hp,'2021'!Maxi_hp)</f>
        <v>46.475483095151723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3.3824040525875509E-2</v>
      </c>
      <c r="M283" s="845"/>
      <c r="N283" s="845"/>
      <c r="O283" s="48">
        <f>IF(t&lt;Tnet,'2021'!Resal+('2021'!Salim-'2021'!Resal)*(1-EXP(('2021'!Tnet-t)/('2021'!Tau_j))),Resal+(Salim-Resal)*(1-EXP((Tnet-t)/(Tau_j))))*Salcycl</f>
        <v>4.9154293674874498E-2</v>
      </c>
      <c r="P283" s="339">
        <f>(INDEX(Models!$BJ283:$BT283,,T283)*(1-R283)+INDEX(Models!$BJ283:$BT283,,T283+1)*R283-ERP_i)*Q283*Ramure*Pc/MaxiM</f>
        <v>7.8592770297022181E-5</v>
      </c>
      <c r="Q283" s="305">
        <f t="shared" si="105"/>
        <v>0.5</v>
      </c>
      <c r="R283" s="177">
        <f t="shared" si="106"/>
        <v>0.49170585274392486</v>
      </c>
      <c r="S283" s="811">
        <f t="shared" si="107"/>
        <v>0</v>
      </c>
      <c r="T283" s="176">
        <f t="shared" si="108"/>
        <v>6</v>
      </c>
      <c r="U283" s="251">
        <f t="shared" si="109"/>
        <v>0.49170585274392486</v>
      </c>
      <c r="V283" s="383">
        <f t="shared" si="110"/>
        <v>42.407877901295208</v>
      </c>
      <c r="W283" s="402">
        <f t="shared" si="111"/>
        <v>0</v>
      </c>
      <c r="X283" s="157">
        <f t="shared" si="112"/>
        <v>44830</v>
      </c>
      <c r="Y283" s="385">
        <f t="shared" si="113"/>
        <v>31.903882002051539</v>
      </c>
      <c r="Z283" s="385">
        <f t="shared" si="114"/>
        <v>33.020778140056763</v>
      </c>
      <c r="AA283" s="386">
        <f t="shared" si="115"/>
        <v>35.854538213207348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7.9034906440567362E-2</v>
      </c>
      <c r="AD283" s="231">
        <f>(INDEX(Models!$BJ283:$BT283,,AH283)*(1-AF283)+INDEX(Models!$BJ283:$BT283,,AH283+1)*AF283-ERP_i)*AE283*Ramure*Pc/MaxiM</f>
        <v>7.8592770297022181E-5</v>
      </c>
      <c r="AE283" s="305">
        <f t="shared" si="117"/>
        <v>0.5</v>
      </c>
      <c r="AF283" s="177">
        <f t="shared" si="118"/>
        <v>0.49170585274392486</v>
      </c>
      <c r="AG283" s="811">
        <f t="shared" si="124"/>
        <v>0</v>
      </c>
      <c r="AH283" s="176">
        <f t="shared" si="119"/>
        <v>6</v>
      </c>
      <c r="AI283" s="225">
        <f t="shared" si="120"/>
        <v>0.49170585274392486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40">
        <v>14.888</v>
      </c>
      <c r="C284" s="841"/>
      <c r="D284" s="393">
        <f t="shared" si="102"/>
        <v>15.409538962918107</v>
      </c>
      <c r="E284" s="385">
        <f t="shared" si="100"/>
        <v>16.207163323231882</v>
      </c>
      <c r="F284" s="385">
        <f t="shared" si="103"/>
        <v>16.207278339436073</v>
      </c>
      <c r="G284" s="110">
        <f t="shared" si="101"/>
        <v>0.35366847024991843</v>
      </c>
      <c r="H284" s="414" t="b">
        <f>Wh_hp&gt;='2021'!Maxi_hp</f>
        <v>0</v>
      </c>
      <c r="I284" s="380">
        <f>IF(H284,Wh_hp,'2021'!Maxi_hp)</f>
        <v>45.12039737403196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3.3845202259013218E-2</v>
      </c>
      <c r="M284" s="845"/>
      <c r="N284" s="845"/>
      <c r="O284" s="48">
        <f>IF(t&lt;Tnet,'2021'!Resal+('2021'!Salim-'2021'!Resal)*(1-EXP(('2021'!Tnet-t)/('2021'!Tau_j))),Resal+(Salim-Resal)*(1-EXP((Tnet-t)/(Tau_j))))*Salcycl</f>
        <v>4.9214310018733068E-2</v>
      </c>
      <c r="P284" s="339">
        <f>(INDEX(Models!$BJ284:$BT284,,T284)*(1-R284)+INDEX(Models!$BJ284:$BT284,,T284+1)*R284-ERP_i)*Q284*Ramure*Pc/MaxiM</f>
        <v>9.2508867528270943E-5</v>
      </c>
      <c r="Q284" s="305">
        <f t="shared" si="105"/>
        <v>0.5</v>
      </c>
      <c r="R284" s="177">
        <f t="shared" si="106"/>
        <v>0.49193870000299411</v>
      </c>
      <c r="S284" s="811">
        <f t="shared" si="107"/>
        <v>0</v>
      </c>
      <c r="T284" s="176">
        <f t="shared" si="108"/>
        <v>6</v>
      </c>
      <c r="U284" s="251">
        <f t="shared" si="109"/>
        <v>0.49193870000299411</v>
      </c>
      <c r="V284" s="383">
        <f t="shared" si="110"/>
        <v>42.092325511176647</v>
      </c>
      <c r="W284" s="402">
        <f t="shared" si="111"/>
        <v>0</v>
      </c>
      <c r="X284" s="157">
        <f t="shared" si="112"/>
        <v>44831</v>
      </c>
      <c r="Y284" s="385">
        <f t="shared" si="113"/>
        <v>14.420898189252984</v>
      </c>
      <c r="Z284" s="385">
        <f t="shared" si="114"/>
        <v>14.926074189116674</v>
      </c>
      <c r="AA284" s="386">
        <f t="shared" si="115"/>
        <v>16.207163323231882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7.9044624192739041E-2</v>
      </c>
      <c r="AD284" s="231">
        <f>(INDEX(Models!$BJ284:$BT284,,AH284)*(1-AF284)+INDEX(Models!$BJ284:$BT284,,AH284+1)*AF284-ERP_i)*AE284*Ramure*Pc/MaxiM</f>
        <v>9.2508867528270943E-5</v>
      </c>
      <c r="AE284" s="305">
        <f t="shared" si="117"/>
        <v>0.5</v>
      </c>
      <c r="AF284" s="177">
        <f t="shared" si="118"/>
        <v>0.49193870000299411</v>
      </c>
      <c r="AG284" s="811">
        <f t="shared" si="124"/>
        <v>0</v>
      </c>
      <c r="AH284" s="176">
        <f t="shared" si="119"/>
        <v>6</v>
      </c>
      <c r="AI284" s="225">
        <f t="shared" si="120"/>
        <v>0.49193870000299411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40">
        <v>17.106999999999999</v>
      </c>
      <c r="C285" s="841"/>
      <c r="D285" s="393">
        <f t="shared" si="102"/>
        <v>17.706660190903495</v>
      </c>
      <c r="E285" s="385">
        <f t="shared" si="100"/>
        <v>18.624348373874312</v>
      </c>
      <c r="F285" s="385">
        <f t="shared" si="103"/>
        <v>18.624663051906875</v>
      </c>
      <c r="G285" s="110">
        <f t="shared" si="101"/>
        <v>0.40944316457772517</v>
      </c>
      <c r="H285" s="414" t="b">
        <f>Wh_hp&gt;='2021'!Maxi_hp</f>
        <v>0</v>
      </c>
      <c r="I285" s="380">
        <f>IF(H285,Wh_hp,'2021'!Maxi_hp)</f>
        <v>42.169880552957594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3.3866363528654686E-2</v>
      </c>
      <c r="M285" s="845"/>
      <c r="N285" s="845"/>
      <c r="O285" s="48">
        <f>IF(t&lt;Tnet,'2021'!Resal+('2021'!Salim-'2021'!Resal)*(1-EXP(('2021'!Tnet-t)/('2021'!Tau_j))),Resal+(Salim-Resal)*(1-EXP((Tnet-t)/(Tau_j))))*Salcycl</f>
        <v>4.9273572666742115E-2</v>
      </c>
      <c r="P285" s="339">
        <f>(INDEX(Models!$BJ285:$BT285,,T285)*(1-R285)+INDEX(Models!$BJ285:$BT285,,T285+1)*R285-ERP_i)*Q285*Ramure*Pc/MaxiM</f>
        <v>1.0802874715619239E-4</v>
      </c>
      <c r="Q285" s="305">
        <f t="shared" si="105"/>
        <v>0.5</v>
      </c>
      <c r="R285" s="177">
        <f t="shared" si="106"/>
        <v>0.49216237825228076</v>
      </c>
      <c r="S285" s="811">
        <f t="shared" si="107"/>
        <v>0</v>
      </c>
      <c r="T285" s="176">
        <f t="shared" si="108"/>
        <v>6</v>
      </c>
      <c r="U285" s="251">
        <f t="shared" si="109"/>
        <v>0.49216237825228076</v>
      </c>
      <c r="V285" s="383">
        <f t="shared" si="110"/>
        <v>41.777326969101324</v>
      </c>
      <c r="W285" s="402">
        <f t="shared" si="111"/>
        <v>0</v>
      </c>
      <c r="X285" s="157">
        <f t="shared" si="112"/>
        <v>44832</v>
      </c>
      <c r="Y285" s="385">
        <f t="shared" si="113"/>
        <v>16.571155116505111</v>
      </c>
      <c r="Z285" s="385">
        <f t="shared" si="114"/>
        <v>17.152032069837365</v>
      </c>
      <c r="AA285" s="386">
        <f t="shared" si="115"/>
        <v>18.624348373874312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7.9053305623420986E-2</v>
      </c>
      <c r="AD285" s="231">
        <f>(INDEX(Models!$BJ285:$BT285,,AH285)*(1-AF285)+INDEX(Models!$BJ285:$BT285,,AH285+1)*AF285-ERP_i)*AE285*Ramure*Pc/MaxiM</f>
        <v>1.0802874715619239E-4</v>
      </c>
      <c r="AE285" s="305">
        <f t="shared" si="117"/>
        <v>0.5</v>
      </c>
      <c r="AF285" s="177">
        <f t="shared" si="118"/>
        <v>0.49216237825228076</v>
      </c>
      <c r="AG285" s="811">
        <f t="shared" si="124"/>
        <v>0</v>
      </c>
      <c r="AH285" s="176">
        <f t="shared" si="119"/>
        <v>6</v>
      </c>
      <c r="AI285" s="225">
        <f t="shared" si="120"/>
        <v>0.49216237825228076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40">
        <v>23.462</v>
      </c>
      <c r="C286" s="841"/>
      <c r="D286" s="393">
        <f t="shared" si="102"/>
        <v>24.284957073808503</v>
      </c>
      <c r="E286" s="385">
        <f t="shared" si="100"/>
        <v>25.545152175366805</v>
      </c>
      <c r="F286" s="385">
        <f t="shared" si="103"/>
        <v>25.546366566853813</v>
      </c>
      <c r="G286" s="110">
        <f t="shared" si="101"/>
        <v>0.56580079752547108</v>
      </c>
      <c r="H286" s="414" t="b">
        <f>Wh_hp&gt;='2021'!Maxi_hp</f>
        <v>0</v>
      </c>
      <c r="I286" s="380">
        <f>IF(H286,Wh_hp,'2021'!Maxi_hp)</f>
        <v>44.457549596928516</v>
      </c>
      <c r="J286" s="85">
        <f>IF(H286,An,'2021'!An_max)</f>
        <v>2019</v>
      </c>
      <c r="K286" s="197">
        <f t="shared" si="104"/>
        <v>44833</v>
      </c>
      <c r="L286" s="147">
        <f>IF(t&lt;Tvie,1-EXP((T0-t)*PertePVj)+'2021'!Pspv,1-EXP((T0-t)*PertePVj)+Pspv)</f>
        <v>3.3887524334810015E-2</v>
      </c>
      <c r="M286" s="845"/>
      <c r="N286" s="845"/>
      <c r="O286" s="48">
        <f>IF(t&lt;Tnet,'2021'!Resal+('2021'!Salim-'2021'!Resal)*(1-EXP(('2021'!Tnet-t)/('2021'!Tau_j))),Resal+(Salim-Resal)*(1-EXP((Tnet-t)/(Tau_j))))*Salcycl</f>
        <v>4.9332064765443336E-2</v>
      </c>
      <c r="P286" s="339">
        <f>(INDEX(Models!$BJ286:$BT286,,T286)*(1-R286)+INDEX(Models!$BJ286:$BT286,,T286+1)*R286-ERP_i)*Q286*Ramure*Pc/MaxiM</f>
        <v>1.2516980122743431E-4</v>
      </c>
      <c r="Q286" s="305">
        <f t="shared" si="105"/>
        <v>0.5</v>
      </c>
      <c r="R286" s="177">
        <f t="shared" si="106"/>
        <v>0.492377240658191</v>
      </c>
      <c r="S286" s="811">
        <f t="shared" si="107"/>
        <v>0</v>
      </c>
      <c r="T286" s="176">
        <f t="shared" si="108"/>
        <v>6</v>
      </c>
      <c r="U286" s="251">
        <f t="shared" si="109"/>
        <v>0.492377240658191</v>
      </c>
      <c r="V286" s="383">
        <f t="shared" si="110"/>
        <v>41.463671648382899</v>
      </c>
      <c r="W286" s="402">
        <f t="shared" si="111"/>
        <v>0</v>
      </c>
      <c r="X286" s="157">
        <f t="shared" si="112"/>
        <v>44833</v>
      </c>
      <c r="Y286" s="385">
        <f t="shared" si="113"/>
        <v>22.728306845165918</v>
      </c>
      <c r="Z286" s="385">
        <f t="shared" si="114"/>
        <v>23.525528773983559</v>
      </c>
      <c r="AA286" s="386">
        <f t="shared" si="115"/>
        <v>25.545152175366805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7.9060926610206986E-2</v>
      </c>
      <c r="AD286" s="231">
        <f>(INDEX(Models!$BJ286:$BT286,,AH286)*(1-AF286)+INDEX(Models!$BJ286:$BT286,,AH286+1)*AF286-ERP_i)*AE286*Ramure*Pc/MaxiM</f>
        <v>1.2516980122743431E-4</v>
      </c>
      <c r="AE286" s="305">
        <f t="shared" si="117"/>
        <v>0.5</v>
      </c>
      <c r="AF286" s="177">
        <f t="shared" si="118"/>
        <v>0.492377240658191</v>
      </c>
      <c r="AG286" s="811">
        <f t="shared" si="124"/>
        <v>0</v>
      </c>
      <c r="AH286" s="176">
        <f t="shared" si="119"/>
        <v>6</v>
      </c>
      <c r="AI286" s="225">
        <f t="shared" si="120"/>
        <v>0.492377240658191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40">
        <v>28.67</v>
      </c>
      <c r="C287" s="841"/>
      <c r="D287" s="393">
        <f t="shared" si="102"/>
        <v>29.676283748011009</v>
      </c>
      <c r="E287" s="385">
        <f t="shared" si="100"/>
        <v>31.218140534725929</v>
      </c>
      <c r="F287" s="385">
        <f t="shared" si="103"/>
        <v>31.220687313890647</v>
      </c>
      <c r="G287" s="110">
        <f t="shared" si="101"/>
        <v>0.69663948379227492</v>
      </c>
      <c r="H287" s="414" t="b">
        <f>Wh_hp&gt;='2021'!Maxi_hp</f>
        <v>0</v>
      </c>
      <c r="I287" s="380">
        <f>IF(H287,Wh_hp,'2021'!Maxi_hp)</f>
        <v>41.406216750872005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3.390868467748942E-2</v>
      </c>
      <c r="M287" s="845"/>
      <c r="N287" s="845"/>
      <c r="O287" s="48">
        <f>IF(t&lt;Tnet,'2021'!Resal+('2021'!Salim-'2021'!Resal)*(1-EXP(('2021'!Tnet-t)/('2021'!Tau_j))),Resal+(Salim-Resal)*(1-EXP((Tnet-t)/(Tau_j))))*Salcycl</f>
        <v>4.9389770188260095E-2</v>
      </c>
      <c r="P287" s="339">
        <f>(INDEX(Models!$BJ287:$BT287,,T287)*(1-R287)+INDEX(Models!$BJ287:$BT287,,T287+1)*R287-ERP_i)*Q287*Ramure*Pc/MaxiM</f>
        <v>1.4394724022030885E-4</v>
      </c>
      <c r="Q287" s="305">
        <f t="shared" si="105"/>
        <v>0.5</v>
      </c>
      <c r="R287" s="177">
        <f t="shared" si="106"/>
        <v>0.49258362740099998</v>
      </c>
      <c r="S287" s="811">
        <f t="shared" si="107"/>
        <v>0</v>
      </c>
      <c r="T287" s="176">
        <f t="shared" si="108"/>
        <v>6</v>
      </c>
      <c r="U287" s="251">
        <f t="shared" si="109"/>
        <v>0.49258362740099998</v>
      </c>
      <c r="V287" s="383">
        <f t="shared" si="110"/>
        <v>41.152148657262437</v>
      </c>
      <c r="W287" s="402">
        <f t="shared" si="111"/>
        <v>0</v>
      </c>
      <c r="X287" s="157">
        <f t="shared" si="112"/>
        <v>44834</v>
      </c>
      <c r="Y287" s="385">
        <f t="shared" si="113"/>
        <v>27.774933375325574</v>
      </c>
      <c r="Z287" s="385">
        <f t="shared" si="114"/>
        <v>28.749801322925109</v>
      </c>
      <c r="AA287" s="386">
        <f t="shared" si="115"/>
        <v>31.218140534725929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7.9067464285873426E-2</v>
      </c>
      <c r="AD287" s="231">
        <f>(INDEX(Models!$BJ287:$BT287,,AH287)*(1-AF287)+INDEX(Models!$BJ287:$BT287,,AH287+1)*AF287-ERP_i)*AE287*Ramure*Pc/MaxiM</f>
        <v>1.4394724022030885E-4</v>
      </c>
      <c r="AE287" s="305">
        <f t="shared" si="117"/>
        <v>0.5</v>
      </c>
      <c r="AF287" s="177">
        <f t="shared" si="118"/>
        <v>0.49258362740099998</v>
      </c>
      <c r="AG287" s="811">
        <f t="shared" si="124"/>
        <v>0</v>
      </c>
      <c r="AH287" s="176">
        <f t="shared" si="119"/>
        <v>6</v>
      </c>
      <c r="AI287" s="225">
        <f t="shared" si="120"/>
        <v>0.49258362740099998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40">
        <v>34.383000000000003</v>
      </c>
      <c r="C288" s="841"/>
      <c r="D288" s="393">
        <f t="shared" si="102"/>
        <v>35.590582947076761</v>
      </c>
      <c r="E288" s="385">
        <f t="shared" si="100"/>
        <v>37.441963497906407</v>
      </c>
      <c r="F288" s="385">
        <f t="shared" si="103"/>
        <v>37.446727859799786</v>
      </c>
      <c r="G288" s="110">
        <f t="shared" si="101"/>
        <v>0.84179081884069062</v>
      </c>
      <c r="H288" s="414" t="b">
        <f>Wh_hp&gt;='2021'!Maxi_hp</f>
        <v>0</v>
      </c>
      <c r="I288" s="380">
        <f>IF(H288,Wh_hp,'2021'!Maxi_hp)</f>
        <v>43.530133856028712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3.3929844556703004E-2</v>
      </c>
      <c r="M288" s="845"/>
      <c r="N288" s="845"/>
      <c r="O288" s="48">
        <f>IF(t&lt;Tnet,'2021'!Resal+('2021'!Salim-'2021'!Resal)*(1-EXP(('2021'!Tnet-t)/('2021'!Tau_j))),Resal+(Salim-Resal)*(1-EXP((Tnet-t)/(Tau_j))))*Salcycl</f>
        <v>4.944667367493067E-2</v>
      </c>
      <c r="P288" s="339">
        <f>(INDEX(Models!$BJ288:$BT288,,T288)*(1-R288)+INDEX(Models!$BJ288:$BT288,,T288+1)*R288-ERP_i)*Q288*Ramure*Pc/MaxiM</f>
        <v>1.643736503962988E-4</v>
      </c>
      <c r="Q288" s="305">
        <f t="shared" si="105"/>
        <v>0.5</v>
      </c>
      <c r="R288" s="177">
        <f t="shared" si="106"/>
        <v>0.49278186610374825</v>
      </c>
      <c r="S288" s="811">
        <f t="shared" si="107"/>
        <v>0</v>
      </c>
      <c r="T288" s="176">
        <f t="shared" si="108"/>
        <v>6</v>
      </c>
      <c r="U288" s="251">
        <f t="shared" si="109"/>
        <v>0.49278186610374825</v>
      </c>
      <c r="V288" s="383">
        <f t="shared" si="110"/>
        <v>40.843546842453094</v>
      </c>
      <c r="W288" s="402">
        <f t="shared" si="111"/>
        <v>0</v>
      </c>
      <c r="X288" s="157">
        <f t="shared" si="112"/>
        <v>44835</v>
      </c>
      <c r="Y288" s="385">
        <f t="shared" si="113"/>
        <v>33.311373172645929</v>
      </c>
      <c r="Z288" s="385">
        <f t="shared" si="114"/>
        <v>34.481318965246849</v>
      </c>
      <c r="AA288" s="386">
        <f t="shared" si="115"/>
        <v>37.441963497906407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7.9072897254042443E-2</v>
      </c>
      <c r="AD288" s="231">
        <f>(INDEX(Models!$BJ288:$BT288,,AH288)*(1-AF288)+INDEX(Models!$BJ288:$BT288,,AH288+1)*AF288-ERP_i)*AE288*Ramure*Pc/MaxiM</f>
        <v>1.643736503962988E-4</v>
      </c>
      <c r="AE288" s="305">
        <f t="shared" si="117"/>
        <v>0.5</v>
      </c>
      <c r="AF288" s="177">
        <f t="shared" si="118"/>
        <v>0.49278186610374825</v>
      </c>
      <c r="AG288" s="811">
        <f t="shared" si="124"/>
        <v>0</v>
      </c>
      <c r="AH288" s="176">
        <f t="shared" si="119"/>
        <v>6</v>
      </c>
      <c r="AI288" s="225">
        <f t="shared" si="120"/>
        <v>0.49278186610374825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40">
        <v>38.326999999999998</v>
      </c>
      <c r="C289" s="841"/>
      <c r="D289" s="393">
        <f t="shared" si="102"/>
        <v>39.673971152191342</v>
      </c>
      <c r="E289" s="385">
        <f t="shared" si="100"/>
        <v>41.740227665306577</v>
      </c>
      <c r="F289" s="385">
        <f t="shared" si="103"/>
        <v>41.747406002995859</v>
      </c>
      <c r="G289" s="110">
        <f t="shared" si="101"/>
        <v>0.94547556419352508</v>
      </c>
      <c r="H289" s="414" t="b">
        <f>Wh_hp&gt;='2021'!Maxi_hp</f>
        <v>0</v>
      </c>
      <c r="I289" s="380">
        <f>IF(H289,Wh_hp,'2021'!Maxi_hp)</f>
        <v>44.550821163435508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3.3951003972460869E-2</v>
      </c>
      <c r="M289" s="845"/>
      <c r="N289" s="845"/>
      <c r="O289" s="48">
        <f>IF(t&lt;Tnet,'2021'!Resal+('2021'!Salim-'2021'!Resal)*(1-EXP(('2021'!Tnet-t)/('2021'!Tau_j))),Resal+(Salim-Resal)*(1-EXP((Tnet-t)/(Tau_j))))*Salcycl</f>
        <v>4.9502760973981326E-2</v>
      </c>
      <c r="P289" s="339">
        <f>(INDEX(Models!$BJ289:$BT289,,T289)*(1-R289)+INDEX(Models!$BJ289:$BT289,,T289+1)*R289-ERP_i)*Q289*Ramure*Pc/MaxiM</f>
        <v>1.8646760155297567E-4</v>
      </c>
      <c r="Q289" s="305">
        <f t="shared" si="105"/>
        <v>0.5</v>
      </c>
      <c r="R289" s="177">
        <f t="shared" si="106"/>
        <v>0.49297227225090462</v>
      </c>
      <c r="S289" s="811">
        <f t="shared" si="107"/>
        <v>0</v>
      </c>
      <c r="T289" s="176">
        <f t="shared" si="108"/>
        <v>6</v>
      </c>
      <c r="U289" s="251">
        <f t="shared" si="109"/>
        <v>0.49297227225090462</v>
      </c>
      <c r="V289" s="383">
        <f t="shared" si="110"/>
        <v>40.536683148066167</v>
      </c>
      <c r="W289" s="402">
        <f t="shared" si="111"/>
        <v>0</v>
      </c>
      <c r="X289" s="157">
        <f t="shared" si="112"/>
        <v>44836</v>
      </c>
      <c r="Y289" s="385">
        <f t="shared" si="113"/>
        <v>37.134466554738736</v>
      </c>
      <c r="Z289" s="385">
        <f t="shared" si="114"/>
        <v>38.439527091729566</v>
      </c>
      <c r="AA289" s="386">
        <f t="shared" si="115"/>
        <v>41.740227665306577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7.9077205808354159E-2</v>
      </c>
      <c r="AD289" s="231">
        <f>(INDEX(Models!$BJ289:$BT289,,AH289)*(1-AF289)+INDEX(Models!$BJ289:$BT289,,AH289+1)*AF289-ERP_i)*AE289*Ramure*Pc/MaxiM</f>
        <v>1.8646760155297567E-4</v>
      </c>
      <c r="AE289" s="305">
        <f t="shared" si="117"/>
        <v>0.5</v>
      </c>
      <c r="AF289" s="177">
        <f t="shared" si="118"/>
        <v>0.49297227225090462</v>
      </c>
      <c r="AG289" s="811">
        <f t="shared" si="124"/>
        <v>0</v>
      </c>
      <c r="AH289" s="176">
        <f t="shared" si="119"/>
        <v>6</v>
      </c>
      <c r="AI289" s="225">
        <f t="shared" si="120"/>
        <v>0.49297227225090462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40">
        <v>34.86</v>
      </c>
      <c r="C290" s="841"/>
      <c r="D290" s="393">
        <f t="shared" si="102"/>
        <v>36.085916639362196</v>
      </c>
      <c r="E290" s="385">
        <f t="shared" si="100"/>
        <v>37.967511284493753</v>
      </c>
      <c r="F290" s="385">
        <f t="shared" si="103"/>
        <v>37.973918877521214</v>
      </c>
      <c r="G290" s="110">
        <f t="shared" si="101"/>
        <v>0.86648479331765005</v>
      </c>
      <c r="H290" s="414" t="b">
        <f>Wh_hp&gt;='2021'!Maxi_hp</f>
        <v>0</v>
      </c>
      <c r="I290" s="380">
        <f>IF(H290,Wh_hp,'2021'!Maxi_hp)</f>
        <v>42.516161138689995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3.397216292477323E-2</v>
      </c>
      <c r="M290" s="845"/>
      <c r="N290" s="845"/>
      <c r="O290" s="48">
        <f>IF(t&lt;Tnet,'2021'!Resal+('2021'!Salim-'2021'!Resal)*(1-EXP(('2021'!Tnet-t)/('2021'!Tau_j))),Resal+(Salim-Resal)*(1-EXP((Tnet-t)/(Tau_j))))*Salcycl</f>
        <v>4.9558018987144251E-2</v>
      </c>
      <c r="P290" s="339">
        <f>(INDEX(Models!$BJ290:$BT290,,T290)*(1-R290)+INDEX(Models!$BJ290:$BT290,,T290+1)*R290-ERP_i)*Q290*Ramure*Pc/MaxiM</f>
        <v>2.0849366845654001E-4</v>
      </c>
      <c r="Q290" s="305">
        <f t="shared" si="105"/>
        <v>0.5</v>
      </c>
      <c r="R290" s="177">
        <f t="shared" si="106"/>
        <v>0.49315514959669271</v>
      </c>
      <c r="S290" s="811">
        <f t="shared" si="107"/>
        <v>0</v>
      </c>
      <c r="T290" s="176">
        <f t="shared" si="108"/>
        <v>6</v>
      </c>
      <c r="U290" s="251">
        <f t="shared" si="109"/>
        <v>0.49315514959669271</v>
      </c>
      <c r="V290" s="383">
        <f t="shared" si="110"/>
        <v>40.229919908974068</v>
      </c>
      <c r="W290" s="402">
        <f t="shared" si="111"/>
        <v>0</v>
      </c>
      <c r="X290" s="157">
        <f t="shared" si="112"/>
        <v>44837</v>
      </c>
      <c r="Y290" s="385">
        <f t="shared" si="113"/>
        <v>33.777188790126466</v>
      </c>
      <c r="Z290" s="385">
        <f t="shared" si="114"/>
        <v>34.965026362378168</v>
      </c>
      <c r="AA290" s="386">
        <f t="shared" si="115"/>
        <v>37.967511284493753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7.9080372153384357E-2</v>
      </c>
      <c r="AD290" s="231">
        <f>(INDEX(Models!$BJ290:$BT290,,AH290)*(1-AF290)+INDEX(Models!$BJ290:$BT290,,AH290+1)*AF290-ERP_i)*AE290*Ramure*Pc/MaxiM</f>
        <v>2.0849366845654001E-4</v>
      </c>
      <c r="AE290" s="305">
        <f t="shared" si="117"/>
        <v>0.5</v>
      </c>
      <c r="AF290" s="177">
        <f t="shared" si="118"/>
        <v>0.49315514959669271</v>
      </c>
      <c r="AG290" s="811">
        <f t="shared" si="124"/>
        <v>0</v>
      </c>
      <c r="AH290" s="176">
        <f t="shared" si="119"/>
        <v>6</v>
      </c>
      <c r="AI290" s="225">
        <f t="shared" si="120"/>
        <v>0.49315514959669271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40">
        <v>39.225000000000001</v>
      </c>
      <c r="C291" s="841"/>
      <c r="D291" s="393">
        <f t="shared" si="102"/>
        <v>40.60530933119604</v>
      </c>
      <c r="E291" s="385">
        <f t="shared" si="100"/>
        <v>42.725000689871969</v>
      </c>
      <c r="F291" s="385">
        <f t="shared" si="103"/>
        <v>42.734559878391323</v>
      </c>
      <c r="G291" s="110">
        <f t="shared" si="101"/>
        <v>0.98250337767857032</v>
      </c>
      <c r="H291" s="414" t="b">
        <f>Wh_hp&gt;='2021'!Maxi_hp</f>
        <v>1</v>
      </c>
      <c r="I291" s="380">
        <f>IF(H291,Wh_hp,'2021'!Maxi_hp)</f>
        <v>42.734559878391323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3.3993321413650301E-2</v>
      </c>
      <c r="M291" s="845"/>
      <c r="N291" s="845"/>
      <c r="O291" s="48">
        <f>IF(t&lt;Tnet,'2021'!Resal+('2021'!Salim-'2021'!Resal)*(1-EXP(('2021'!Tnet-t)/('2021'!Tau_j))),Resal+(Salim-Resal)*(1-EXP((Tnet-t)/(Tau_j))))*Salcycl</f>
        <v>4.9612435914562901E-2</v>
      </c>
      <c r="P291" s="339">
        <f>(INDEX(Models!$BJ291:$BT291,,T291)*(1-R291)+INDEX(Models!$BJ291:$BT291,,T291+1)*R291-ERP_i)*Q291*Ramure*Pc/MaxiM</f>
        <v>2.2942008758963326E-4</v>
      </c>
      <c r="Q291" s="305">
        <f t="shared" si="105"/>
        <v>0.5</v>
      </c>
      <c r="R291" s="177">
        <f t="shared" si="106"/>
        <v>0.49333079056302315</v>
      </c>
      <c r="S291" s="811">
        <f t="shared" si="107"/>
        <v>0</v>
      </c>
      <c r="T291" s="176">
        <f t="shared" si="108"/>
        <v>6</v>
      </c>
      <c r="U291" s="251">
        <f t="shared" si="109"/>
        <v>0.49333079056302315</v>
      </c>
      <c r="V291" s="383">
        <f t="shared" si="110"/>
        <v>39.923297956636013</v>
      </c>
      <c r="W291" s="402">
        <f t="shared" si="111"/>
        <v>0</v>
      </c>
      <c r="X291" s="157">
        <f t="shared" si="112"/>
        <v>44838</v>
      </c>
      <c r="Y291" s="385">
        <f t="shared" si="113"/>
        <v>38.008697698741088</v>
      </c>
      <c r="Z291" s="385">
        <f t="shared" si="114"/>
        <v>39.346205923092441</v>
      </c>
      <c r="AA291" s="386">
        <f t="shared" si="115"/>
        <v>42.725000689871969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7.9082380625460816E-2</v>
      </c>
      <c r="AD291" s="231">
        <f>(INDEX(Models!$BJ291:$BT291,,AH291)*(1-AF291)+INDEX(Models!$BJ291:$BT291,,AH291+1)*AF291-ERP_i)*AE291*Ramure*Pc/MaxiM</f>
        <v>2.2942008758963326E-4</v>
      </c>
      <c r="AE291" s="305">
        <f t="shared" si="117"/>
        <v>0.5</v>
      </c>
      <c r="AF291" s="177">
        <f t="shared" si="118"/>
        <v>0.49333079056302315</v>
      </c>
      <c r="AG291" s="811">
        <f t="shared" si="124"/>
        <v>0</v>
      </c>
      <c r="AH291" s="176">
        <f t="shared" si="119"/>
        <v>6</v>
      </c>
      <c r="AI291" s="225">
        <f t="shared" si="120"/>
        <v>0.49333079056302315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40">
        <v>40.456000000000003</v>
      </c>
      <c r="C292" s="841"/>
      <c r="D292" s="393">
        <f t="shared" si="102"/>
        <v>41.880544934575518</v>
      </c>
      <c r="E292" s="385">
        <f t="shared" si="100"/>
        <v>44.069290371862849</v>
      </c>
      <c r="F292" s="385">
        <f t="shared" si="103"/>
        <v>44.080276283019224</v>
      </c>
      <c r="G292" s="110">
        <f t="shared" si="101"/>
        <v>1.021182500415825</v>
      </c>
      <c r="H292" s="414" t="b">
        <f>Wh_hp&gt;='2021'!Maxi_hp</f>
        <v>1</v>
      </c>
      <c r="I292" s="380">
        <f>IF(H292,Wh_hp,'2021'!Maxi_hp)</f>
        <v>44.080276283019224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3.4014479439102185E-2</v>
      </c>
      <c r="M292" s="845"/>
      <c r="N292" s="845"/>
      <c r="O292" s="48">
        <f>IF(t&lt;Tnet,'2021'!Resal+('2021'!Salim-'2021'!Resal)*(1-EXP(('2021'!Tnet-t)/('2021'!Tau_j))),Resal+(Salim-Resal)*(1-EXP((Tnet-t)/(Tau_j))))*Salcycl</f>
        <v>4.9666001399577511E-2</v>
      </c>
      <c r="P292" s="339">
        <f>(INDEX(Models!$BJ292:$BT292,,T292)*(1-R292)+INDEX(Models!$BJ292:$BT292,,T292+1)*R292-ERP_i)*Q292*Ramure*Pc/MaxiM</f>
        <v>2.4922509754348588E-4</v>
      </c>
      <c r="Q292" s="305">
        <f t="shared" si="105"/>
        <v>0.5</v>
      </c>
      <c r="R292" s="177">
        <f t="shared" si="106"/>
        <v>0.49349947662700483</v>
      </c>
      <c r="S292" s="811">
        <f t="shared" si="107"/>
        <v>0</v>
      </c>
      <c r="T292" s="176">
        <f t="shared" si="108"/>
        <v>6</v>
      </c>
      <c r="U292" s="251">
        <f t="shared" si="109"/>
        <v>0.49349947662700483</v>
      </c>
      <c r="V292" s="383">
        <f t="shared" si="110"/>
        <v>39.616816762455628</v>
      </c>
      <c r="W292" s="402">
        <f t="shared" si="111"/>
        <v>0</v>
      </c>
      <c r="X292" s="157">
        <f t="shared" si="112"/>
        <v>44839</v>
      </c>
      <c r="Y292" s="385">
        <f t="shared" si="113"/>
        <v>39.203700373807862</v>
      </c>
      <c r="Z292" s="385">
        <f t="shared" si="114"/>
        <v>40.584149078181113</v>
      </c>
      <c r="AA292" s="386">
        <f t="shared" si="115"/>
        <v>44.069290371862849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7.9083217911466774E-2</v>
      </c>
      <c r="AD292" s="231">
        <f>(INDEX(Models!$BJ292:$BT292,,AH292)*(1-AF292)+INDEX(Models!$BJ292:$BT292,,AH292+1)*AF292-ERP_i)*AE292*Ramure*Pc/MaxiM</f>
        <v>2.4922509754348588E-4</v>
      </c>
      <c r="AE292" s="305">
        <f t="shared" si="117"/>
        <v>0.5</v>
      </c>
      <c r="AF292" s="177">
        <f t="shared" si="118"/>
        <v>0.49349947662700483</v>
      </c>
      <c r="AG292" s="811">
        <f t="shared" si="124"/>
        <v>0</v>
      </c>
      <c r="AH292" s="176">
        <f t="shared" si="119"/>
        <v>6</v>
      </c>
      <c r="AI292" s="225">
        <f t="shared" si="120"/>
        <v>0.49349947662700483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40">
        <v>11.81</v>
      </c>
      <c r="C293" s="841"/>
      <c r="D293" s="393">
        <f t="shared" si="102"/>
        <v>12.226123915519567</v>
      </c>
      <c r="E293" s="385">
        <f t="shared" si="100"/>
        <v>12.865794582465327</v>
      </c>
      <c r="F293" s="385">
        <f t="shared" si="103"/>
        <v>12.865796693863414</v>
      </c>
      <c r="G293" s="110">
        <f t="shared" si="101"/>
        <v>0.30034839275635483</v>
      </c>
      <c r="H293" s="414" t="b">
        <f>Wh_hp&gt;='2021'!Maxi_hp</f>
        <v>0</v>
      </c>
      <c r="I293" s="380">
        <f>IF(H293,Wh_hp,'2021'!Maxi_hp)</f>
        <v>39.638043153684698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3.4035637001138874E-2</v>
      </c>
      <c r="M293" s="845"/>
      <c r="N293" s="845"/>
      <c r="O293" s="48">
        <f>IF(t&lt;Tnet,'2021'!Resal+('2021'!Salim-'2021'!Resal)*(1-EXP(('2021'!Tnet-t)/('2021'!Tau_j))),Resal+(Salim-Resal)*(1-EXP((Tnet-t)/(Tau_j))))*Salcycl</f>
        <v>4.9718706671841417E-2</v>
      </c>
      <c r="P293" s="339">
        <f>(INDEX(Models!$BJ293:$BT293,,T293)*(1-R293)+INDEX(Models!$BJ293:$BT293,,T293+1)*R293-ERP_i)*Q293*Ramure*Pc/MaxiM</f>
        <v>2.6788716027560173E-4</v>
      </c>
      <c r="Q293" s="305">
        <f t="shared" si="105"/>
        <v>0.5</v>
      </c>
      <c r="R293" s="177">
        <f t="shared" si="106"/>
        <v>0.493661478698044</v>
      </c>
      <c r="S293" s="811">
        <f t="shared" si="107"/>
        <v>0</v>
      </c>
      <c r="T293" s="176">
        <f t="shared" si="108"/>
        <v>6</v>
      </c>
      <c r="U293" s="251">
        <f t="shared" si="109"/>
        <v>0.493661478698044</v>
      </c>
      <c r="V293" s="383">
        <f t="shared" si="110"/>
        <v>39.310475684243144</v>
      </c>
      <c r="W293" s="402">
        <f t="shared" si="111"/>
        <v>0</v>
      </c>
      <c r="X293" s="157">
        <f t="shared" si="112"/>
        <v>44840</v>
      </c>
      <c r="Y293" s="385">
        <f t="shared" si="113"/>
        <v>11.445065101371263</v>
      </c>
      <c r="Z293" s="385">
        <f t="shared" si="114"/>
        <v>11.848330580063807</v>
      </c>
      <c r="AA293" s="386">
        <f t="shared" si="115"/>
        <v>12.865794582465327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7.9082873263670181E-2</v>
      </c>
      <c r="AD293" s="231">
        <f>(INDEX(Models!$BJ293:$BT293,,AH293)*(1-AF293)+INDEX(Models!$BJ293:$BT293,,AH293+1)*AF293-ERP_i)*AE293*Ramure*Pc/MaxiM</f>
        <v>2.6788716027560173E-4</v>
      </c>
      <c r="AE293" s="305">
        <f t="shared" si="117"/>
        <v>0.5</v>
      </c>
      <c r="AF293" s="177">
        <f t="shared" si="118"/>
        <v>0.493661478698044</v>
      </c>
      <c r="AG293" s="811">
        <f t="shared" si="124"/>
        <v>0</v>
      </c>
      <c r="AH293" s="176">
        <f t="shared" si="119"/>
        <v>6</v>
      </c>
      <c r="AI293" s="225">
        <f t="shared" si="120"/>
        <v>0.493661478698044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40">
        <v>28.866</v>
      </c>
      <c r="C294" s="841"/>
      <c r="D294" s="393">
        <f t="shared" si="102"/>
        <v>29.883744534543084</v>
      </c>
      <c r="E294" s="385">
        <f t="shared" si="100"/>
        <v>31.448977262775962</v>
      </c>
      <c r="F294" s="385">
        <f t="shared" si="103"/>
        <v>31.454620678909208</v>
      </c>
      <c r="G294" s="110">
        <f t="shared" si="101"/>
        <v>0.73999430256957655</v>
      </c>
      <c r="H294" s="414" t="b">
        <f>Wh_hp&gt;='2021'!Maxi_hp</f>
        <v>0</v>
      </c>
      <c r="I294" s="380">
        <f>IF(H294,Wh_hp,'2021'!Maxi_hp)</f>
        <v>42.817625020301556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3.4056794099770804E-2</v>
      </c>
      <c r="M294" s="845"/>
      <c r="N294" s="845"/>
      <c r="O294" s="48">
        <f>IF(t&lt;Tnet,'2021'!Resal+('2021'!Salim-'2021'!Resal)*(1-EXP(('2021'!Tnet-t)/('2021'!Tau_j))),Resal+(Salim-Resal)*(1-EXP((Tnet-t)/(Tau_j))))*Salcycl</f>
        <v>4.9770544687490967E-2</v>
      </c>
      <c r="P294" s="339">
        <f>(INDEX(Models!$BJ294:$BT294,,T294)*(1-R294)+INDEX(Models!$BJ294:$BT294,,T294+1)*R294-ERP_i)*Q294*Ramure*Pc/MaxiM</f>
        <v>2.8538503332461746E-4</v>
      </c>
      <c r="Q294" s="305">
        <f t="shared" si="105"/>
        <v>0.5</v>
      </c>
      <c r="R294" s="177">
        <f t="shared" si="106"/>
        <v>0.49381705748456683</v>
      </c>
      <c r="S294" s="811">
        <f t="shared" si="107"/>
        <v>0</v>
      </c>
      <c r="T294" s="176">
        <f t="shared" si="108"/>
        <v>6</v>
      </c>
      <c r="U294" s="251">
        <f t="shared" si="109"/>
        <v>0.49381705748456683</v>
      </c>
      <c r="V294" s="383">
        <f t="shared" si="110"/>
        <v>39.004273960548929</v>
      </c>
      <c r="W294" s="402">
        <f t="shared" si="111"/>
        <v>0</v>
      </c>
      <c r="X294" s="157">
        <f t="shared" si="112"/>
        <v>44841</v>
      </c>
      <c r="Y294" s="385">
        <f t="shared" si="113"/>
        <v>27.975598870585667</v>
      </c>
      <c r="Z294" s="385">
        <f t="shared" si="114"/>
        <v>28.961950039819655</v>
      </c>
      <c r="AA294" s="386">
        <f t="shared" si="115"/>
        <v>31.448977262775962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7.9081338708589244E-2</v>
      </c>
      <c r="AD294" s="231">
        <f>(INDEX(Models!$BJ294:$BT294,,AH294)*(1-AF294)+INDEX(Models!$BJ294:$BT294,,AH294+1)*AF294-ERP_i)*AE294*Ramure*Pc/MaxiM</f>
        <v>2.8538503332461746E-4</v>
      </c>
      <c r="AE294" s="305">
        <f t="shared" si="117"/>
        <v>0.5</v>
      </c>
      <c r="AF294" s="177">
        <f t="shared" si="118"/>
        <v>0.49381705748456683</v>
      </c>
      <c r="AG294" s="811">
        <f t="shared" si="124"/>
        <v>0</v>
      </c>
      <c r="AH294" s="176">
        <f t="shared" si="119"/>
        <v>6</v>
      </c>
      <c r="AI294" s="225">
        <f t="shared" si="120"/>
        <v>0.49381705748456683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40">
        <v>15.733000000000001</v>
      </c>
      <c r="C295" s="841"/>
      <c r="D295" s="393">
        <f t="shared" si="102"/>
        <v>16.28806383700616</v>
      </c>
      <c r="E295" s="385">
        <f t="shared" si="100"/>
        <v>17.14210962779223</v>
      </c>
      <c r="F295" s="385">
        <f t="shared" si="103"/>
        <v>17.142896922560968</v>
      </c>
      <c r="G295" s="110">
        <f t="shared" si="101"/>
        <v>0.4064522741728519</v>
      </c>
      <c r="H295" s="414" t="b">
        <f>Wh_hp&gt;='2021'!Maxi_hp</f>
        <v>0</v>
      </c>
      <c r="I295" s="380">
        <f>IF(H295,Wh_hp,'2021'!Maxi_hp)</f>
        <v>40.412475476580589</v>
      </c>
      <c r="J295" s="85">
        <f>IF(H295,An,'2021'!An_max)</f>
        <v>2019</v>
      </c>
      <c r="K295" s="197">
        <f t="shared" si="104"/>
        <v>44842</v>
      </c>
      <c r="L295" s="147">
        <f>IF(t&lt;Tvie,1-EXP((T0-t)*PertePVj)+'2021'!Pspv,1-EXP((T0-t)*PertePVj)+Pspv)</f>
        <v>3.4077950735007856E-2</v>
      </c>
      <c r="M295" s="845"/>
      <c r="N295" s="845"/>
      <c r="O295" s="48">
        <f>IF(t&lt;Tnet,'2021'!Resal+('2021'!Salim-'2021'!Resal)*(1-EXP(('2021'!Tnet-t)/('2021'!Tau_j))),Resal+(Salim-Resal)*(1-EXP((Tnet-t)/(Tau_j))))*Salcycl</f>
        <v>4.9821510265073879E-2</v>
      </c>
      <c r="P295" s="339">
        <f>(INDEX(Models!$BJ295:$BT295,,T295)*(1-R295)+INDEX(Models!$BJ295:$BT295,,T295+1)*R295-ERP_i)*Q295*Ramure*Pc/MaxiM</f>
        <v>3.0169784176257899E-4</v>
      </c>
      <c r="Q295" s="305">
        <f t="shared" si="105"/>
        <v>0.5</v>
      </c>
      <c r="R295" s="177">
        <f t="shared" si="106"/>
        <v>0.49396646385042803</v>
      </c>
      <c r="S295" s="811">
        <f t="shared" si="107"/>
        <v>0</v>
      </c>
      <c r="T295" s="176">
        <f t="shared" si="108"/>
        <v>6</v>
      </c>
      <c r="U295" s="251">
        <f t="shared" si="109"/>
        <v>0.49396646385042803</v>
      </c>
      <c r="V295" s="383">
        <f t="shared" si="110"/>
        <v>38.698210705567739</v>
      </c>
      <c r="W295" s="402">
        <f t="shared" si="111"/>
        <v>0</v>
      </c>
      <c r="X295" s="157">
        <f t="shared" si="112"/>
        <v>44842</v>
      </c>
      <c r="Y295" s="385">
        <f t="shared" si="113"/>
        <v>15.248562661889871</v>
      </c>
      <c r="Z295" s="385">
        <f t="shared" si="114"/>
        <v>15.786535438851509</v>
      </c>
      <c r="AA295" s="386">
        <f t="shared" si="115"/>
        <v>17.14210962779223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7.9078609247892687E-2</v>
      </c>
      <c r="AD295" s="231">
        <f>(INDEX(Models!$BJ295:$BT295,,AH295)*(1-AF295)+INDEX(Models!$BJ295:$BT295,,AH295+1)*AF295-ERP_i)*AE295*Ramure*Pc/MaxiM</f>
        <v>3.0169784176257899E-4</v>
      </c>
      <c r="AE295" s="305">
        <f t="shared" si="117"/>
        <v>0.5</v>
      </c>
      <c r="AF295" s="177">
        <f t="shared" si="118"/>
        <v>0.49396646385042803</v>
      </c>
      <c r="AG295" s="811">
        <f t="shared" si="124"/>
        <v>0</v>
      </c>
      <c r="AH295" s="176">
        <f t="shared" si="119"/>
        <v>6</v>
      </c>
      <c r="AI295" s="225">
        <f t="shared" si="120"/>
        <v>0.49396646385042803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40">
        <v>37.003</v>
      </c>
      <c r="C296" s="841"/>
      <c r="D296" s="393">
        <f t="shared" si="102"/>
        <v>38.309313372207313</v>
      </c>
      <c r="E296" s="385">
        <f t="shared" si="100"/>
        <v>40.320143446837193</v>
      </c>
      <c r="F296" s="385">
        <f t="shared" si="103"/>
        <v>40.332218740710523</v>
      </c>
      <c r="G296" s="110">
        <f t="shared" si="101"/>
        <v>0.9637966507595348</v>
      </c>
      <c r="H296" s="414" t="b">
        <f>Wh_hp&gt;='2021'!Maxi_hp</f>
        <v>1</v>
      </c>
      <c r="I296" s="380">
        <f>IF(H296,Wh_hp,'2021'!Maxi_hp)</f>
        <v>40.332218740710523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3.4099106906860355E-2</v>
      </c>
      <c r="M296" s="845"/>
      <c r="N296" s="845"/>
      <c r="O296" s="48">
        <f>IF(t&lt;Tnet,'2021'!Resal+('2021'!Salim-'2021'!Resal)*(1-EXP(('2021'!Tnet-t)/('2021'!Tau_j))),Resal+(Salim-Resal)*(1-EXP((Tnet-t)/(Tau_j))))*Salcycl</f>
        <v>4.9871600215936542E-2</v>
      </c>
      <c r="P296" s="339">
        <f>(INDEX(Models!$BJ296:$BT296,,T296)*(1-R296)+INDEX(Models!$BJ296:$BT296,,T296+1)*R296-ERP_i)*Q296*Ramure*Pc/MaxiM</f>
        <v>3.1571722953362456E-4</v>
      </c>
      <c r="Q296" s="305">
        <f t="shared" si="105"/>
        <v>0.5</v>
      </c>
      <c r="R296" s="177">
        <f t="shared" si="106"/>
        <v>0.49410993916109058</v>
      </c>
      <c r="S296" s="811">
        <f t="shared" si="107"/>
        <v>0</v>
      </c>
      <c r="T296" s="176">
        <f t="shared" si="108"/>
        <v>6</v>
      </c>
      <c r="U296" s="251">
        <f t="shared" si="109"/>
        <v>0.49410993916109058</v>
      </c>
      <c r="V296" s="383">
        <f t="shared" si="110"/>
        <v>38.392326685652236</v>
      </c>
      <c r="W296" s="402">
        <f t="shared" si="111"/>
        <v>0</v>
      </c>
      <c r="X296" s="157">
        <f t="shared" si="112"/>
        <v>44843</v>
      </c>
      <c r="Y296" s="385">
        <f t="shared" si="113"/>
        <v>35.865678271347214</v>
      </c>
      <c r="Z296" s="385">
        <f t="shared" si="114"/>
        <v>37.131840883274521</v>
      </c>
      <c r="AA296" s="386">
        <f t="shared" si="115"/>
        <v>40.320143446837193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7.907468304934244E-2</v>
      </c>
      <c r="AD296" s="231">
        <f>(INDEX(Models!$BJ296:$BT296,,AH296)*(1-AF296)+INDEX(Models!$BJ296:$BT296,,AH296+1)*AF296-ERP_i)*AE296*Ramure*Pc/MaxiM</f>
        <v>3.1571722953362456E-4</v>
      </c>
      <c r="AE296" s="305">
        <f t="shared" si="117"/>
        <v>0.5</v>
      </c>
      <c r="AF296" s="177">
        <f t="shared" si="118"/>
        <v>0.49410993916109058</v>
      </c>
      <c r="AG296" s="811">
        <f t="shared" si="124"/>
        <v>0</v>
      </c>
      <c r="AH296" s="176">
        <f t="shared" si="119"/>
        <v>6</v>
      </c>
      <c r="AI296" s="225">
        <f t="shared" si="120"/>
        <v>0.49410993916109058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40">
        <v>30.497</v>
      </c>
      <c r="C297" s="841"/>
      <c r="D297" s="393">
        <f t="shared" si="102"/>
        <v>31.574324234792979</v>
      </c>
      <c r="E297" s="385">
        <f t="shared" ref="E297:E360" si="125">Wh_pvt/(1-Psa)</f>
        <v>33.233360631800473</v>
      </c>
      <c r="F297" s="385">
        <f t="shared" si="103"/>
        <v>33.241133995143599</v>
      </c>
      <c r="G297" s="110">
        <f t="shared" ref="G297:G360" si="126">+Wh_hp/MaxiM</f>
        <v>0.80065245362982462</v>
      </c>
      <c r="H297" s="414" t="b">
        <f>Wh_hp&gt;='2021'!Maxi_hp</f>
        <v>1</v>
      </c>
      <c r="I297" s="380">
        <f>IF(H297,Wh_hp,'2021'!Maxi_hp)</f>
        <v>33.241133995143599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3.4120262615338404E-2</v>
      </c>
      <c r="M297" s="845"/>
      <c r="N297" s="845"/>
      <c r="O297" s="48">
        <f>IF(t&lt;Tnet,'2021'!Resal+('2021'!Salim-'2021'!Resal)*(1-EXP(('2021'!Tnet-t)/('2021'!Tau_j))),Resal+(Salim-Resal)*(1-EXP((Tnet-t)/(Tau_j))))*Salcycl</f>
        <v>4.9920813467777651E-2</v>
      </c>
      <c r="P297" s="339">
        <f>(INDEX(Models!$BJ297:$BT297,,T297)*(1-R297)+INDEX(Models!$BJ297:$BT297,,T297+1)*R297-ERP_i)*Q297*Ramure*Pc/MaxiM</f>
        <v>3.2691148323562251E-4</v>
      </c>
      <c r="Q297" s="305">
        <f t="shared" si="105"/>
        <v>0.5</v>
      </c>
      <c r="R297" s="177">
        <f t="shared" si="106"/>
        <v>0.49424771561968167</v>
      </c>
      <c r="S297" s="811">
        <f t="shared" si="107"/>
        <v>0</v>
      </c>
      <c r="T297" s="176">
        <f t="shared" si="108"/>
        <v>6</v>
      </c>
      <c r="U297" s="251">
        <f t="shared" si="109"/>
        <v>0.49424771561968167</v>
      </c>
      <c r="V297" s="383">
        <f t="shared" si="110"/>
        <v>38.086639255601362</v>
      </c>
      <c r="W297" s="402">
        <f t="shared" si="111"/>
        <v>0</v>
      </c>
      <c r="X297" s="157">
        <f t="shared" si="112"/>
        <v>44844</v>
      </c>
      <c r="Y297" s="385">
        <f t="shared" si="113"/>
        <v>29.561341809422952</v>
      </c>
      <c r="Z297" s="385">
        <f t="shared" si="114"/>
        <v>30.605613375291409</v>
      </c>
      <c r="AA297" s="386">
        <f t="shared" si="115"/>
        <v>33.233360631800473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7.9069561625814494E-2</v>
      </c>
      <c r="AD297" s="231">
        <f>(INDEX(Models!$BJ297:$BT297,,AH297)*(1-AF297)+INDEX(Models!$BJ297:$BT297,,AH297+1)*AF297-ERP_i)*AE297*Ramure*Pc/MaxiM</f>
        <v>3.2691148323562251E-4</v>
      </c>
      <c r="AE297" s="305">
        <f t="shared" si="117"/>
        <v>0.5</v>
      </c>
      <c r="AF297" s="177">
        <f t="shared" si="118"/>
        <v>0.49424771561968167</v>
      </c>
      <c r="AG297" s="811">
        <f t="shared" si="124"/>
        <v>0</v>
      </c>
      <c r="AH297" s="176">
        <f t="shared" si="119"/>
        <v>6</v>
      </c>
      <c r="AI297" s="225">
        <f t="shared" si="120"/>
        <v>0.49424771561968167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40">
        <v>22.177</v>
      </c>
      <c r="C298" s="841"/>
      <c r="D298" s="393">
        <f t="shared" si="102"/>
        <v>22.960918306357041</v>
      </c>
      <c r="E298" s="385">
        <f t="shared" si="125"/>
        <v>24.16860287734691</v>
      </c>
      <c r="F298" s="385">
        <f t="shared" si="103"/>
        <v>24.171925137931712</v>
      </c>
      <c r="G298" s="110">
        <f t="shared" si="126"/>
        <v>0.58686977296211584</v>
      </c>
      <c r="H298" s="414" t="b">
        <f>Wh_hp&gt;='2021'!Maxi_hp</f>
        <v>0</v>
      </c>
      <c r="I298" s="380">
        <f>IF(H298,Wh_hp,'2021'!Maxi_hp)</f>
        <v>42.375150802238252</v>
      </c>
      <c r="J298" s="85">
        <f>IF(H298,An,'2021'!An_max)</f>
        <v>2019</v>
      </c>
      <c r="K298" s="197">
        <f t="shared" si="104"/>
        <v>44845</v>
      </c>
      <c r="L298" s="147">
        <f>IF(t&lt;Tvie,1-EXP((T0-t)*PertePVj)+'2021'!Pspv,1-EXP((T0-t)*PertePVj)+Pspv)</f>
        <v>3.4141417860452106E-2</v>
      </c>
      <c r="M298" s="845"/>
      <c r="N298" s="845"/>
      <c r="O298" s="48">
        <f>IF(t&lt;Tnet,'2021'!Resal+('2021'!Salim-'2021'!Resal)*(1-EXP(('2021'!Tnet-t)/('2021'!Tau_j))),Resal+(Salim-Resal)*(1-EXP((Tnet-t)/(Tau_j))))*Salcycl</f>
        <v>4.996915118009685E-2</v>
      </c>
      <c r="P298" s="339">
        <f>(INDEX(Models!$BJ298:$BT298,,T298)*(1-R298)+INDEX(Models!$BJ298:$BT298,,T298+1)*R298-ERP_i)*Q298*Ramure*Pc/MaxiM</f>
        <v>3.3524317201404118E-4</v>
      </c>
      <c r="Q298" s="305">
        <f t="shared" si="105"/>
        <v>0.5</v>
      </c>
      <c r="R298" s="177">
        <f t="shared" si="106"/>
        <v>0.49438001659304798</v>
      </c>
      <c r="S298" s="811">
        <f t="shared" si="107"/>
        <v>0</v>
      </c>
      <c r="T298" s="176">
        <f t="shared" si="108"/>
        <v>6</v>
      </c>
      <c r="U298" s="251">
        <f t="shared" si="109"/>
        <v>0.49438001659304798</v>
      </c>
      <c r="V298" s="383">
        <f t="shared" si="110"/>
        <v>37.781146351205024</v>
      </c>
      <c r="W298" s="402">
        <f t="shared" si="111"/>
        <v>0</v>
      </c>
      <c r="X298" s="157">
        <f t="shared" si="112"/>
        <v>44845</v>
      </c>
      <c r="Y298" s="385">
        <f t="shared" si="113"/>
        <v>21.497843285940505</v>
      </c>
      <c r="Z298" s="385">
        <f t="shared" si="114"/>
        <v>22.257754585892869</v>
      </c>
      <c r="AA298" s="386">
        <f t="shared" si="115"/>
        <v>24.16860287734691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7.9063250000481783E-2</v>
      </c>
      <c r="AD298" s="231">
        <f>(INDEX(Models!$BJ298:$BT298,,AH298)*(1-AF298)+INDEX(Models!$BJ298:$BT298,,AH298+1)*AF298-ERP_i)*AE298*Ramure*Pc/MaxiM</f>
        <v>3.3524317201404118E-4</v>
      </c>
      <c r="AE298" s="305">
        <f t="shared" si="117"/>
        <v>0.5</v>
      </c>
      <c r="AF298" s="177">
        <f t="shared" si="118"/>
        <v>0.49438001659304798</v>
      </c>
      <c r="AG298" s="811">
        <f t="shared" si="124"/>
        <v>0</v>
      </c>
      <c r="AH298" s="176">
        <f t="shared" si="119"/>
        <v>6</v>
      </c>
      <c r="AI298" s="225">
        <f t="shared" si="120"/>
        <v>0.49438001659304798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40">
        <v>27.699000000000002</v>
      </c>
      <c r="C299" s="841"/>
      <c r="D299" s="393">
        <f t="shared" si="102"/>
        <v>28.67873952221473</v>
      </c>
      <c r="E299" s="385">
        <f t="shared" si="125"/>
        <v>30.188674908322543</v>
      </c>
      <c r="F299" s="385">
        <f t="shared" si="103"/>
        <v>30.195127883415864</v>
      </c>
      <c r="G299" s="110">
        <f t="shared" si="126"/>
        <v>0.73902221159904713</v>
      </c>
      <c r="H299" s="414" t="b">
        <f>Wh_hp&gt;='2021'!Maxi_hp</f>
        <v>0</v>
      </c>
      <c r="I299" s="380">
        <f>IF(H299,Wh_hp,'2021'!Maxi_hp)</f>
        <v>39.768274465309958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3.4162572642211675E-2</v>
      </c>
      <c r="M299" s="845"/>
      <c r="N299" s="845"/>
      <c r="O299" s="48">
        <f>IF(t&lt;Tnet,'2021'!Resal+('2021'!Salim-'2021'!Resal)*(1-EXP(('2021'!Tnet-t)/('2021'!Tau_j))),Resal+(Salim-Resal)*(1-EXP((Tnet-t)/(Tau_j))))*Salcycl</f>
        <v>5.0016616850299331E-2</v>
      </c>
      <c r="P299" s="339">
        <f>(INDEX(Models!$BJ299:$BT299,,T299)*(1-R299)+INDEX(Models!$BJ299:$BT299,,T299+1)*R299-ERP_i)*Q299*Ramure*Pc/MaxiM</f>
        <v>3.4067621982924909E-4</v>
      </c>
      <c r="Q299" s="305">
        <f t="shared" si="105"/>
        <v>0.5</v>
      </c>
      <c r="R299" s="177">
        <f t="shared" si="106"/>
        <v>0.49450705692794944</v>
      </c>
      <c r="S299" s="811">
        <f t="shared" si="107"/>
        <v>0</v>
      </c>
      <c r="T299" s="176">
        <f t="shared" si="108"/>
        <v>6</v>
      </c>
      <c r="U299" s="251">
        <f t="shared" si="109"/>
        <v>0.49450705692794944</v>
      </c>
      <c r="V299" s="383">
        <f t="shared" si="110"/>
        <v>37.475845722474411</v>
      </c>
      <c r="W299" s="402">
        <f t="shared" si="111"/>
        <v>0</v>
      </c>
      <c r="X299" s="157">
        <f t="shared" si="112"/>
        <v>44846</v>
      </c>
      <c r="Y299" s="385">
        <f t="shared" si="113"/>
        <v>26.852295569908158</v>
      </c>
      <c r="Z299" s="385">
        <f t="shared" si="114"/>
        <v>27.802086364956011</v>
      </c>
      <c r="AA299" s="386">
        <f t="shared" si="115"/>
        <v>30.188674908322543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7.9055756856309931E-2</v>
      </c>
      <c r="AD299" s="231">
        <f>(INDEX(Models!$BJ299:$BT299,,AH299)*(1-AF299)+INDEX(Models!$BJ299:$BT299,,AH299+1)*AF299-ERP_i)*AE299*Ramure*Pc/MaxiM</f>
        <v>3.4067621982924909E-4</v>
      </c>
      <c r="AE299" s="305">
        <f t="shared" si="117"/>
        <v>0.5</v>
      </c>
      <c r="AF299" s="177">
        <f t="shared" si="118"/>
        <v>0.49450705692794944</v>
      </c>
      <c r="AG299" s="811">
        <f t="shared" si="124"/>
        <v>0</v>
      </c>
      <c r="AH299" s="176">
        <f t="shared" si="119"/>
        <v>6</v>
      </c>
      <c r="AI299" s="225">
        <f t="shared" si="120"/>
        <v>0.49450705692794944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40">
        <v>22.859000000000002</v>
      </c>
      <c r="C300" s="841"/>
      <c r="D300" s="393">
        <f t="shared" si="102"/>
        <v>23.668062589237532</v>
      </c>
      <c r="E300" s="385">
        <f t="shared" si="125"/>
        <v>24.915408054600078</v>
      </c>
      <c r="F300" s="385">
        <f t="shared" si="103"/>
        <v>24.919255985854484</v>
      </c>
      <c r="G300" s="110">
        <f t="shared" si="126"/>
        <v>0.6148569435050073</v>
      </c>
      <c r="H300" s="414" t="b">
        <f>Wh_hp&gt;='2021'!Maxi_hp</f>
        <v>0</v>
      </c>
      <c r="I300" s="380">
        <f>IF(H300,Wh_hp,'2021'!Maxi_hp)</f>
        <v>39.855056795061437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3.4183726960627214E-2</v>
      </c>
      <c r="M300" s="845"/>
      <c r="N300" s="845"/>
      <c r="O300" s="48">
        <f>IF(t&lt;Tnet,'2021'!Resal+('2021'!Salim-'2021'!Resal)*(1-EXP(('2021'!Tnet-t)/('2021'!Tau_j))),Resal+(Salim-Resal)*(1-EXP((Tnet-t)/(Tau_j))))*Salcycl</f>
        <v>5.0063216409263318E-2</v>
      </c>
      <c r="P300" s="339">
        <f>(INDEX(Models!$BJ300:$BT300,,T300)*(1-R300)+INDEX(Models!$BJ300:$BT300,,T300+1)*R300-ERP_i)*Q300*Ramure*Pc/MaxiM</f>
        <v>3.4317598255393815E-4</v>
      </c>
      <c r="Q300" s="305">
        <f t="shared" si="105"/>
        <v>0.5</v>
      </c>
      <c r="R300" s="177">
        <f t="shared" si="106"/>
        <v>0.49462904325754359</v>
      </c>
      <c r="S300" s="811">
        <f t="shared" si="107"/>
        <v>0</v>
      </c>
      <c r="T300" s="176">
        <f t="shared" si="108"/>
        <v>6</v>
      </c>
      <c r="U300" s="251">
        <f t="shared" si="109"/>
        <v>0.49462904325754359</v>
      </c>
      <c r="V300" s="383">
        <f t="shared" si="110"/>
        <v>37.170734932841427</v>
      </c>
      <c r="W300" s="402">
        <f t="shared" si="111"/>
        <v>0</v>
      </c>
      <c r="X300" s="157">
        <f t="shared" si="112"/>
        <v>44847</v>
      </c>
      <c r="Y300" s="385">
        <f t="shared" si="113"/>
        <v>22.161540458940397</v>
      </c>
      <c r="Z300" s="385">
        <f t="shared" si="114"/>
        <v>22.945917435413673</v>
      </c>
      <c r="AA300" s="386">
        <f t="shared" si="115"/>
        <v>24.915408054600078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7.9047094668103696E-2</v>
      </c>
      <c r="AD300" s="231">
        <f>(INDEX(Models!$BJ300:$BT300,,AH300)*(1-AF300)+INDEX(Models!$BJ300:$BT300,,AH300+1)*AF300-ERP_i)*AE300*Ramure*Pc/MaxiM</f>
        <v>3.4317598255393815E-4</v>
      </c>
      <c r="AE300" s="305">
        <f t="shared" si="117"/>
        <v>0.5</v>
      </c>
      <c r="AF300" s="177">
        <f t="shared" si="118"/>
        <v>0.49462904325754359</v>
      </c>
      <c r="AG300" s="811">
        <f t="shared" si="124"/>
        <v>0</v>
      </c>
      <c r="AH300" s="176">
        <f t="shared" si="119"/>
        <v>6</v>
      </c>
      <c r="AI300" s="225">
        <f t="shared" si="120"/>
        <v>0.49462904325754359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40">
        <v>19.402999999999999</v>
      </c>
      <c r="C301" s="841"/>
      <c r="D301" s="393">
        <f t="shared" si="102"/>
        <v>20.090182290823481</v>
      </c>
      <c r="E301" s="385">
        <f t="shared" si="125"/>
        <v>21.149986060484611</v>
      </c>
      <c r="F301" s="385">
        <f t="shared" si="103"/>
        <v>21.152329738098516</v>
      </c>
      <c r="G301" s="110">
        <f t="shared" si="126"/>
        <v>0.52619212894284495</v>
      </c>
      <c r="H301" s="414" t="b">
        <f>Wh_hp&gt;='2021'!Maxi_hp</f>
        <v>0</v>
      </c>
      <c r="I301" s="380">
        <f>IF(H301,Wh_hp,'2021'!Maxi_hp)</f>
        <v>41.909965007378638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3.4204880815708938E-2</v>
      </c>
      <c r="M301" s="845"/>
      <c r="N301" s="845"/>
      <c r="O301" s="48">
        <f>IF(t&lt;Tnet,'2021'!Resal+('2021'!Salim-'2021'!Resal)*(1-EXP(('2021'!Tnet-t)/('2021'!Tau_j))),Resal+(Salim-Resal)*(1-EXP((Tnet-t)/(Tau_j))))*Salcycl</f>
        <v>5.0108958305235249E-2</v>
      </c>
      <c r="P301" s="339">
        <f>(INDEX(Models!$BJ301:$BT301,,T301)*(1-R301)+INDEX(Models!$BJ301:$BT301,,T301+1)*R301-ERP_i)*Q301*Ramure*Pc/MaxiM</f>
        <v>3.4270930802461999E-4</v>
      </c>
      <c r="Q301" s="305">
        <f t="shared" si="105"/>
        <v>0.5</v>
      </c>
      <c r="R301" s="177">
        <f t="shared" si="106"/>
        <v>0.4947461742983244</v>
      </c>
      <c r="S301" s="811">
        <f t="shared" si="107"/>
        <v>0</v>
      </c>
      <c r="T301" s="176">
        <f t="shared" si="108"/>
        <v>6</v>
      </c>
      <c r="U301" s="251">
        <f t="shared" si="109"/>
        <v>0.4947461742983244</v>
      </c>
      <c r="V301" s="383">
        <f t="shared" si="110"/>
        <v>36.865811359750516</v>
      </c>
      <c r="W301" s="402">
        <f t="shared" si="111"/>
        <v>0</v>
      </c>
      <c r="X301" s="157">
        <f t="shared" si="112"/>
        <v>44848</v>
      </c>
      <c r="Y301" s="385">
        <f t="shared" si="113"/>
        <v>18.812094098559786</v>
      </c>
      <c r="Z301" s="385">
        <f t="shared" si="114"/>
        <v>19.478348694129298</v>
      </c>
      <c r="AA301" s="386">
        <f t="shared" si="115"/>
        <v>21.149986060484611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7.9037279815446379E-2</v>
      </c>
      <c r="AD301" s="231">
        <f>(INDEX(Models!$BJ301:$BT301,,AH301)*(1-AF301)+INDEX(Models!$BJ301:$BT301,,AH301+1)*AF301-ERP_i)*AE301*Ramure*Pc/MaxiM</f>
        <v>3.4270930802461999E-4</v>
      </c>
      <c r="AE301" s="305">
        <f t="shared" si="117"/>
        <v>0.5</v>
      </c>
      <c r="AF301" s="177">
        <f t="shared" si="118"/>
        <v>0.4947461742983244</v>
      </c>
      <c r="AG301" s="811">
        <f t="shared" si="124"/>
        <v>0</v>
      </c>
      <c r="AH301" s="176">
        <f t="shared" si="119"/>
        <v>6</v>
      </c>
      <c r="AI301" s="225">
        <f t="shared" si="120"/>
        <v>0.4947461742983244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40">
        <v>35.932000000000002</v>
      </c>
      <c r="C302" s="841"/>
      <c r="D302" s="393">
        <f t="shared" si="102"/>
        <v>37.205393055416955</v>
      </c>
      <c r="E302" s="385">
        <f t="shared" si="125"/>
        <v>39.169915249378974</v>
      </c>
      <c r="F302" s="385">
        <f t="shared" si="103"/>
        <v>39.182881096445506</v>
      </c>
      <c r="G302" s="110">
        <f t="shared" si="126"/>
        <v>0.98278573677042391</v>
      </c>
      <c r="H302" s="414" t="b">
        <f>Wh_hp&gt;='2021'!Maxi_hp</f>
        <v>1</v>
      </c>
      <c r="I302" s="380">
        <f>IF(H302,Wh_hp,'2021'!Maxi_hp)</f>
        <v>39.182881096445506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3.4226034207466949E-2</v>
      </c>
      <c r="M302" s="845"/>
      <c r="N302" s="845"/>
      <c r="O302" s="48">
        <f>IF(t&lt;Tnet,'2021'!Resal+('2021'!Salim-'2021'!Resal)*(1-EXP(('2021'!Tnet-t)/('2021'!Tau_j))),Resal+(Salim-Resal)*(1-EXP((Tnet-t)/(Tau_j))))*Salcycl</f>
        <v>5.0153853574987375E-2</v>
      </c>
      <c r="P302" s="339">
        <f>(INDEX(Models!$BJ302:$BT302,,T302)*(1-R302)+INDEX(Models!$BJ302:$BT302,,T302+1)*R302-ERP_i)*Q302*Ramure*Pc/MaxiM</f>
        <v>3.3924457695798111E-4</v>
      </c>
      <c r="Q302" s="305">
        <f t="shared" si="105"/>
        <v>0.5</v>
      </c>
      <c r="R302" s="177">
        <f t="shared" si="106"/>
        <v>0.4948586411376904</v>
      </c>
      <c r="S302" s="811">
        <f t="shared" si="107"/>
        <v>0</v>
      </c>
      <c r="T302" s="176">
        <f t="shared" si="108"/>
        <v>6</v>
      </c>
      <c r="U302" s="251">
        <f t="shared" si="109"/>
        <v>0.4948586411376904</v>
      </c>
      <c r="V302" s="383">
        <f t="shared" si="110"/>
        <v>36.561072196717447</v>
      </c>
      <c r="W302" s="402">
        <f t="shared" si="111"/>
        <v>0</v>
      </c>
      <c r="X302" s="157">
        <f t="shared" si="112"/>
        <v>44849</v>
      </c>
      <c r="Y302" s="385">
        <f t="shared" si="113"/>
        <v>34.839774777077047</v>
      </c>
      <c r="Z302" s="385">
        <f t="shared" si="114"/>
        <v>36.074460496030085</v>
      </c>
      <c r="AA302" s="386">
        <f t="shared" si="115"/>
        <v>39.169915249378974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7.9026332674997687E-2</v>
      </c>
      <c r="AD302" s="231">
        <f>(INDEX(Models!$BJ302:$BT302,,AH302)*(1-AF302)+INDEX(Models!$BJ302:$BT302,,AH302+1)*AF302-ERP_i)*AE302*Ramure*Pc/MaxiM</f>
        <v>3.3924457695798111E-4</v>
      </c>
      <c r="AE302" s="305">
        <f t="shared" si="117"/>
        <v>0.5</v>
      </c>
      <c r="AF302" s="177">
        <f t="shared" si="118"/>
        <v>0.4948586411376904</v>
      </c>
      <c r="AG302" s="811">
        <f t="shared" si="124"/>
        <v>0</v>
      </c>
      <c r="AH302" s="176">
        <f t="shared" si="119"/>
        <v>6</v>
      </c>
      <c r="AI302" s="225">
        <f t="shared" si="120"/>
        <v>0.4948586411376904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40">
        <v>32.270000000000003</v>
      </c>
      <c r="C303" s="841"/>
      <c r="D303" s="393">
        <f t="shared" si="102"/>
        <v>33.414347408731167</v>
      </c>
      <c r="E303" s="385">
        <f t="shared" si="125"/>
        <v>35.180326478686958</v>
      </c>
      <c r="F303" s="385">
        <f t="shared" si="103"/>
        <v>35.190197365782964</v>
      </c>
      <c r="G303" s="110">
        <f t="shared" si="126"/>
        <v>0.8900213728467854</v>
      </c>
      <c r="H303" s="414" t="b">
        <f>Wh_hp&gt;='2021'!Maxi_hp</f>
        <v>0</v>
      </c>
      <c r="I303" s="380">
        <f>IF(H303,Wh_hp,'2021'!Maxi_hp)</f>
        <v>38.517225515333379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3.4247187135911239E-2</v>
      </c>
      <c r="M303" s="845"/>
      <c r="N303" s="845"/>
      <c r="O303" s="48">
        <f>IF(t&lt;Tnet,'2021'!Resal+('2021'!Salim-'2021'!Resal)*(1-EXP(('2021'!Tnet-t)/('2021'!Tau_j))),Resal+(Salim-Resal)*(1-EXP((Tnet-t)/(Tau_j))))*Salcycl</f>
        <v>5.0197915901254067E-2</v>
      </c>
      <c r="P303" s="339">
        <f>(INDEX(Models!$BJ303:$BT303,,T303)*(1-R303)+INDEX(Models!$BJ303:$BT303,,T303+1)*R303-ERP_i)*Q303*Ramure*Pc/MaxiM</f>
        <v>3.3275955341252893E-4</v>
      </c>
      <c r="Q303" s="305">
        <f t="shared" si="105"/>
        <v>0.5</v>
      </c>
      <c r="R303" s="177">
        <f t="shared" si="106"/>
        <v>0.4949666275123234</v>
      </c>
      <c r="S303" s="811">
        <f t="shared" si="107"/>
        <v>0</v>
      </c>
      <c r="T303" s="176">
        <f t="shared" si="108"/>
        <v>6</v>
      </c>
      <c r="U303" s="251">
        <f t="shared" si="109"/>
        <v>0.4949666275123234</v>
      </c>
      <c r="V303" s="383">
        <f t="shared" si="110"/>
        <v>36.255660964097025</v>
      </c>
      <c r="W303" s="402">
        <f t="shared" si="111"/>
        <v>0</v>
      </c>
      <c r="X303" s="157">
        <f t="shared" si="112"/>
        <v>44850</v>
      </c>
      <c r="Y303" s="385">
        <f t="shared" si="113"/>
        <v>31.290949721510078</v>
      </c>
      <c r="Z303" s="385">
        <f t="shared" si="114"/>
        <v>32.400578393048576</v>
      </c>
      <c r="AA303" s="386">
        <f t="shared" si="115"/>
        <v>35.180326478686958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7.9014277690754683E-2</v>
      </c>
      <c r="AD303" s="231">
        <f>(INDEX(Models!$BJ303:$BT303,,AH303)*(1-AF303)+INDEX(Models!$BJ303:$BT303,,AH303+1)*AF303-ERP_i)*AE303*Ramure*Pc/MaxiM</f>
        <v>3.3275955341252893E-4</v>
      </c>
      <c r="AE303" s="305">
        <f t="shared" si="117"/>
        <v>0.5</v>
      </c>
      <c r="AF303" s="177">
        <f t="shared" si="118"/>
        <v>0.4949666275123234</v>
      </c>
      <c r="AG303" s="811">
        <f t="shared" si="124"/>
        <v>0</v>
      </c>
      <c r="AH303" s="176">
        <f t="shared" si="119"/>
        <v>6</v>
      </c>
      <c r="AI303" s="225">
        <f t="shared" si="120"/>
        <v>0.4949666275123234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40">
        <v>19.582000000000001</v>
      </c>
      <c r="C304" s="841"/>
      <c r="D304" s="393">
        <f t="shared" si="102"/>
        <v>20.276854123132502</v>
      </c>
      <c r="E304" s="385">
        <f t="shared" si="125"/>
        <v>21.349476629749226</v>
      </c>
      <c r="F304" s="385">
        <f t="shared" si="103"/>
        <v>21.351894557753923</v>
      </c>
      <c r="G304" s="110">
        <f t="shared" si="126"/>
        <v>0.54460197335980887</v>
      </c>
      <c r="H304" s="414" t="b">
        <f>Wh_hp&gt;='2021'!Maxi_hp</f>
        <v>0</v>
      </c>
      <c r="I304" s="380">
        <f>IF(H304,Wh_hp,'2021'!Maxi_hp)</f>
        <v>36.170374756257267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3.4268339601052245E-2</v>
      </c>
      <c r="M304" s="845"/>
      <c r="N304" s="845"/>
      <c r="O304" s="48">
        <f>IF(t&lt;Tnet,'2021'!Resal+('2021'!Salim-'2021'!Resal)*(1-EXP(('2021'!Tnet-t)/('2021'!Tau_j))),Resal+(Salim-Resal)*(1-EXP((Tnet-t)/(Tau_j))))*Salcycl</f>
        <v>5.0241161655555013E-2</v>
      </c>
      <c r="P304" s="339">
        <f>(INDEX(Models!$BJ304:$BT304,,T304)*(1-R304)+INDEX(Models!$BJ304:$BT304,,T304+1)*R304-ERP_i)*Q304*Ramure*Pc/MaxiM</f>
        <v>3.2392263529407698E-4</v>
      </c>
      <c r="Q304" s="305">
        <f t="shared" si="105"/>
        <v>0.5</v>
      </c>
      <c r="R304" s="177">
        <f t="shared" si="106"/>
        <v>0.49507031007756824</v>
      </c>
      <c r="S304" s="811">
        <f t="shared" si="107"/>
        <v>0</v>
      </c>
      <c r="T304" s="176">
        <f t="shared" si="108"/>
        <v>6</v>
      </c>
      <c r="U304" s="251">
        <f t="shared" si="109"/>
        <v>0.49507031007756824</v>
      </c>
      <c r="V304" s="383">
        <f t="shared" si="110"/>
        <v>35.948958944841401</v>
      </c>
      <c r="W304" s="402">
        <f t="shared" si="111"/>
        <v>0</v>
      </c>
      <c r="X304" s="157">
        <f t="shared" si="112"/>
        <v>44851</v>
      </c>
      <c r="Y304" s="385">
        <f t="shared" si="113"/>
        <v>18.989030563765706</v>
      </c>
      <c r="Z304" s="385">
        <f t="shared" si="114"/>
        <v>19.662843564558354</v>
      </c>
      <c r="AA304" s="386">
        <f t="shared" si="115"/>
        <v>21.349476629749226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7.9001143421035869E-2</v>
      </c>
      <c r="AD304" s="231">
        <f>(INDEX(Models!$BJ304:$BT304,,AH304)*(1-AF304)+INDEX(Models!$BJ304:$BT304,,AH304+1)*AF304-ERP_i)*AE304*Ramure*Pc/MaxiM</f>
        <v>3.2392263529407698E-4</v>
      </c>
      <c r="AE304" s="305">
        <f t="shared" si="117"/>
        <v>0.5</v>
      </c>
      <c r="AF304" s="177">
        <f t="shared" si="118"/>
        <v>0.49507031007756824</v>
      </c>
      <c r="AG304" s="811">
        <f t="shared" si="124"/>
        <v>0</v>
      </c>
      <c r="AH304" s="176">
        <f t="shared" si="119"/>
        <v>6</v>
      </c>
      <c r="AI304" s="225">
        <f t="shared" si="120"/>
        <v>0.49507031007756824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40">
        <v>33.24</v>
      </c>
      <c r="C305" s="841"/>
      <c r="D305" s="393">
        <f t="shared" si="102"/>
        <v>34.420252975368598</v>
      </c>
      <c r="E305" s="385">
        <f t="shared" si="125"/>
        <v>36.242665005152467</v>
      </c>
      <c r="F305" s="385">
        <f t="shared" si="103"/>
        <v>36.252971597427823</v>
      </c>
      <c r="G305" s="110">
        <f t="shared" si="126"/>
        <v>0.93259790789309827</v>
      </c>
      <c r="H305" s="414" t="b">
        <f>Wh_hp&gt;='2021'!Maxi_hp</f>
        <v>0</v>
      </c>
      <c r="I305" s="380">
        <f>IF(H305,Wh_hp,'2021'!Maxi_hp)</f>
        <v>37.794322636082605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3.4289491602899957E-2</v>
      </c>
      <c r="M305" s="845"/>
      <c r="N305" s="845"/>
      <c r="O305" s="48">
        <f>IF(t&lt;Tnet,'2021'!Resal+('2021'!Salim-'2021'!Resal)*(1-EXP(('2021'!Tnet-t)/('2021'!Tau_j))),Resal+(Salim-Resal)*(1-EXP((Tnet-t)/(Tau_j))))*Salcycl</f>
        <v>5.0283609925616368E-2</v>
      </c>
      <c r="P305" s="339">
        <f>(INDEX(Models!$BJ305:$BT305,,T305)*(1-R305)+INDEX(Models!$BJ305:$BT305,,T305+1)*R305-ERP_i)*Q305*Ramure*Pc/MaxiM</f>
        <v>3.1457368013510629E-4</v>
      </c>
      <c r="Q305" s="305">
        <f t="shared" si="105"/>
        <v>0.5</v>
      </c>
      <c r="R305" s="177">
        <f t="shared" si="106"/>
        <v>0.49516985866800872</v>
      </c>
      <c r="S305" s="811">
        <f t="shared" si="107"/>
        <v>0</v>
      </c>
      <c r="T305" s="176">
        <f t="shared" si="108"/>
        <v>6</v>
      </c>
      <c r="U305" s="251">
        <f t="shared" si="109"/>
        <v>0.49516985866800872</v>
      </c>
      <c r="V305" s="383">
        <f t="shared" si="110"/>
        <v>35.641290869732366</v>
      </c>
      <c r="W305" s="402">
        <f t="shared" si="111"/>
        <v>0</v>
      </c>
      <c r="X305" s="157">
        <f t="shared" si="112"/>
        <v>44852</v>
      </c>
      <c r="Y305" s="385">
        <f t="shared" si="113"/>
        <v>32.235384883765832</v>
      </c>
      <c r="Z305" s="385">
        <f t="shared" si="114"/>
        <v>33.379966981275352</v>
      </c>
      <c r="AA305" s="386">
        <f t="shared" si="115"/>
        <v>36.242665005152467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7.8986962561117841E-2</v>
      </c>
      <c r="AD305" s="231">
        <f>(INDEX(Models!$BJ305:$BT305,,AH305)*(1-AF305)+INDEX(Models!$BJ305:$BT305,,AH305+1)*AF305-ERP_i)*AE305*Ramure*Pc/MaxiM</f>
        <v>3.1457368013510629E-4</v>
      </c>
      <c r="AE305" s="305">
        <f t="shared" si="117"/>
        <v>0.5</v>
      </c>
      <c r="AF305" s="177">
        <f t="shared" si="118"/>
        <v>0.49516985866800872</v>
      </c>
      <c r="AG305" s="811">
        <f t="shared" si="124"/>
        <v>0</v>
      </c>
      <c r="AH305" s="176">
        <f t="shared" si="119"/>
        <v>6</v>
      </c>
      <c r="AI305" s="225">
        <f t="shared" si="120"/>
        <v>0.49516985866800872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40">
        <v>15.311</v>
      </c>
      <c r="C306" s="841"/>
      <c r="D306" s="393">
        <f t="shared" si="102"/>
        <v>15.854995078135588</v>
      </c>
      <c r="E306" s="385">
        <f t="shared" si="125"/>
        <v>16.695184979041578</v>
      </c>
      <c r="F306" s="385">
        <f t="shared" si="103"/>
        <v>16.696154018237291</v>
      </c>
      <c r="G306" s="110">
        <f t="shared" si="126"/>
        <v>0.43322678296982514</v>
      </c>
      <c r="H306" s="414" t="b">
        <f>Wh_hp&gt;='2021'!Maxi_hp</f>
        <v>0</v>
      </c>
      <c r="I306" s="380">
        <f>IF(H306,Wh_hp,'2021'!Maxi_hp)</f>
        <v>37.715287299843339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3.4310643141464592E-2</v>
      </c>
      <c r="M306" s="845"/>
      <c r="N306" s="845"/>
      <c r="O306" s="48">
        <f>IF(t&lt;Tnet,'2021'!Resal+('2021'!Salim-'2021'!Resal)*(1-EXP(('2021'!Tnet-t)/('2021'!Tau_j))),Resal+(Salim-Resal)*(1-EXP((Tnet-t)/(Tau_j))))*Salcycl</f>
        <v>5.0325282526712346E-2</v>
      </c>
      <c r="P306" s="339">
        <f>(INDEX(Models!$BJ306:$BT306,,T306)*(1-R306)+INDEX(Models!$BJ306:$BT306,,T306+1)*R306-ERP_i)*Q306*Ramure*Pc/MaxiM</f>
        <v>3.0470745518239225E-4</v>
      </c>
      <c r="Q306" s="305">
        <f t="shared" si="105"/>
        <v>0.5</v>
      </c>
      <c r="R306" s="177">
        <f t="shared" si="106"/>
        <v>0.49526543654943883</v>
      </c>
      <c r="S306" s="811">
        <f t="shared" si="107"/>
        <v>0</v>
      </c>
      <c r="T306" s="176">
        <f t="shared" si="108"/>
        <v>6</v>
      </c>
      <c r="U306" s="251">
        <f t="shared" si="109"/>
        <v>0.49526543654943883</v>
      </c>
      <c r="V306" s="383">
        <f t="shared" si="110"/>
        <v>35.333048767962914</v>
      </c>
      <c r="W306" s="402">
        <f t="shared" si="111"/>
        <v>0</v>
      </c>
      <c r="X306" s="157">
        <f t="shared" si="112"/>
        <v>44853</v>
      </c>
      <c r="Y306" s="385">
        <f t="shared" si="113"/>
        <v>14.849150914890563</v>
      </c>
      <c r="Z306" s="385">
        <f t="shared" si="114"/>
        <v>15.376736638369959</v>
      </c>
      <c r="AA306" s="386">
        <f t="shared" si="115"/>
        <v>16.695184979041578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7.8971771940636995E-2</v>
      </c>
      <c r="AD306" s="231">
        <f>(INDEX(Models!$BJ306:$BT306,,AH306)*(1-AF306)+INDEX(Models!$BJ306:$BT306,,AH306+1)*AF306-ERP_i)*AE306*Ramure*Pc/MaxiM</f>
        <v>3.0470745518239225E-4</v>
      </c>
      <c r="AE306" s="305">
        <f t="shared" si="117"/>
        <v>0.5</v>
      </c>
      <c r="AF306" s="177">
        <f t="shared" si="118"/>
        <v>0.49526543654943883</v>
      </c>
      <c r="AG306" s="811">
        <f t="shared" si="124"/>
        <v>0</v>
      </c>
      <c r="AH306" s="176">
        <f t="shared" si="119"/>
        <v>6</v>
      </c>
      <c r="AI306" s="225">
        <f t="shared" si="120"/>
        <v>0.49526543654943883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40">
        <v>6.343</v>
      </c>
      <c r="C307" s="841"/>
      <c r="D307" s="393">
        <f t="shared" si="102"/>
        <v>6.568508688608274</v>
      </c>
      <c r="E307" s="385">
        <f t="shared" si="125"/>
        <v>6.9168859788380592</v>
      </c>
      <c r="F307" s="385">
        <f t="shared" si="103"/>
        <v>6.9168859788380592</v>
      </c>
      <c r="G307" s="110">
        <f t="shared" si="126"/>
        <v>0.18104785497681261</v>
      </c>
      <c r="H307" s="414" t="b">
        <f>Wh_hp&gt;='2021'!Maxi_hp</f>
        <v>0</v>
      </c>
      <c r="I307" s="380">
        <f>IF(H307,Wh_hp,'2021'!Maxi_hp)</f>
        <v>31.908942257613869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3.433179421675614E-2</v>
      </c>
      <c r="M307" s="845"/>
      <c r="N307" s="845"/>
      <c r="O307" s="48">
        <f>IF(t&lt;Tnet,'2021'!Resal+('2021'!Salim-'2021'!Resal)*(1-EXP(('2021'!Tnet-t)/('2021'!Tau_j))),Resal+(Salim-Resal)*(1-EXP((Tnet-t)/(Tau_j))))*Salcycl</f>
        <v>5.0366203996369541E-2</v>
      </c>
      <c r="P307" s="339">
        <f>(INDEX(Models!$BJ307:$BT307,,T307)*(1-R307)+INDEX(Models!$BJ307:$BT307,,T307+1)*R307-ERP_i)*Q307*Ramure*Pc/MaxiM</f>
        <v>2.9431923313637384E-4</v>
      </c>
      <c r="Q307" s="305">
        <f t="shared" si="105"/>
        <v>0.5</v>
      </c>
      <c r="R307" s="177">
        <f t="shared" si="106"/>
        <v>0.49535720066243222</v>
      </c>
      <c r="S307" s="811">
        <f t="shared" si="107"/>
        <v>0</v>
      </c>
      <c r="T307" s="176">
        <f t="shared" si="108"/>
        <v>6</v>
      </c>
      <c r="U307" s="251">
        <f t="shared" si="109"/>
        <v>0.49535720066243222</v>
      </c>
      <c r="V307" s="383">
        <f t="shared" si="110"/>
        <v>35.024624477966583</v>
      </c>
      <c r="W307" s="402">
        <f t="shared" si="111"/>
        <v>0</v>
      </c>
      <c r="X307" s="157">
        <f t="shared" si="112"/>
        <v>44854</v>
      </c>
      <c r="Y307" s="385">
        <f t="shared" si="113"/>
        <v>6.1520394224906987</v>
      </c>
      <c r="Z307" s="385">
        <f t="shared" si="114"/>
        <v>6.3707590098203974</v>
      </c>
      <c r="AA307" s="386">
        <f t="shared" si="115"/>
        <v>6.9168859788380592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7.8955612495061431E-2</v>
      </c>
      <c r="AD307" s="231">
        <f>(INDEX(Models!$BJ307:$BT307,,AH307)*(1-AF307)+INDEX(Models!$BJ307:$BT307,,AH307+1)*AF307-ERP_i)*AE307*Ramure*Pc/MaxiM</f>
        <v>2.9431923313637384E-4</v>
      </c>
      <c r="AE307" s="305">
        <f t="shared" si="117"/>
        <v>0.5</v>
      </c>
      <c r="AF307" s="177">
        <f t="shared" si="118"/>
        <v>0.49535720066243222</v>
      </c>
      <c r="AG307" s="811">
        <f t="shared" si="124"/>
        <v>0</v>
      </c>
      <c r="AH307" s="176">
        <f t="shared" si="119"/>
        <v>6</v>
      </c>
      <c r="AI307" s="225">
        <f t="shared" si="120"/>
        <v>0.49535720066243222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40">
        <v>16.065000000000001</v>
      </c>
      <c r="C308" s="841"/>
      <c r="D308" s="393">
        <f t="shared" si="102"/>
        <v>16.636513220818117</v>
      </c>
      <c r="E308" s="385">
        <f t="shared" si="125"/>
        <v>17.519613915214915</v>
      </c>
      <c r="F308" s="385">
        <f t="shared" si="103"/>
        <v>17.520768383265366</v>
      </c>
      <c r="G308" s="110">
        <f t="shared" si="126"/>
        <v>0.46264880425501698</v>
      </c>
      <c r="H308" s="414" t="b">
        <f>Wh_hp&gt;='2021'!Maxi_hp</f>
        <v>0</v>
      </c>
      <c r="I308" s="380">
        <f>IF(H308,Wh_hp,'2021'!Maxi_hp)</f>
        <v>24.59946864863414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3.4352944828784926E-2</v>
      </c>
      <c r="M308" s="845"/>
      <c r="N308" s="845"/>
      <c r="O308" s="48">
        <f>IF(t&lt;Tnet,'2021'!Resal+('2021'!Salim-'2021'!Resal)*(1-EXP(('2021'!Tnet-t)/('2021'!Tau_j))),Resal+(Salim-Resal)*(1-EXP((Tnet-t)/(Tau_j))))*Salcycl</f>
        <v>5.0406401572004315E-2</v>
      </c>
      <c r="P308" s="339">
        <f>(INDEX(Models!$BJ308:$BT308,,T308)*(1-R308)+INDEX(Models!$BJ308:$BT308,,T308+1)*R308-ERP_i)*Q308*Ramure*Pc/MaxiM</f>
        <v>2.8340482513742021E-4</v>
      </c>
      <c r="Q308" s="305">
        <f t="shared" si="105"/>
        <v>0.5</v>
      </c>
      <c r="R308" s="177">
        <f t="shared" si="106"/>
        <v>0.49544530185771751</v>
      </c>
      <c r="S308" s="811">
        <f t="shared" si="107"/>
        <v>0</v>
      </c>
      <c r="T308" s="176">
        <f t="shared" si="108"/>
        <v>6</v>
      </c>
      <c r="U308" s="251">
        <f t="shared" si="109"/>
        <v>0.49544530185771751</v>
      </c>
      <c r="V308" s="383">
        <f t="shared" si="110"/>
        <v>34.716409658747963</v>
      </c>
      <c r="W308" s="402">
        <f t="shared" si="111"/>
        <v>0</v>
      </c>
      <c r="X308" s="157">
        <f t="shared" si="112"/>
        <v>44855</v>
      </c>
      <c r="Y308" s="385">
        <f t="shared" si="113"/>
        <v>15.582300210031798</v>
      </c>
      <c r="Z308" s="385">
        <f t="shared" si="114"/>
        <v>16.136641360407776</v>
      </c>
      <c r="AA308" s="386">
        <f t="shared" si="115"/>
        <v>17.519613915214915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7.8938529210743458E-2</v>
      </c>
      <c r="AD308" s="231">
        <f>(INDEX(Models!$BJ308:$BT308,,AH308)*(1-AF308)+INDEX(Models!$BJ308:$BT308,,AH308+1)*AF308-ERP_i)*AE308*Ramure*Pc/MaxiM</f>
        <v>2.8340482513742021E-4</v>
      </c>
      <c r="AE308" s="305">
        <f t="shared" si="117"/>
        <v>0.5</v>
      </c>
      <c r="AF308" s="177">
        <f t="shared" si="118"/>
        <v>0.49544530185771751</v>
      </c>
      <c r="AG308" s="811">
        <f t="shared" si="124"/>
        <v>0</v>
      </c>
      <c r="AH308" s="176">
        <f t="shared" si="119"/>
        <v>6</v>
      </c>
      <c r="AI308" s="225">
        <f t="shared" si="120"/>
        <v>0.49544530185771751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40">
        <v>32.070999999999998</v>
      </c>
      <c r="C309" s="841"/>
      <c r="D309" s="393">
        <f t="shared" si="102"/>
        <v>33.212654955911461</v>
      </c>
      <c r="E309" s="385">
        <f t="shared" si="125"/>
        <v>34.977106766307905</v>
      </c>
      <c r="F309" s="385">
        <f t="shared" si="103"/>
        <v>34.985698000900676</v>
      </c>
      <c r="G309" s="110">
        <f t="shared" si="126"/>
        <v>0.9320335829315366</v>
      </c>
      <c r="H309" s="414" t="b">
        <f>Wh_hp&gt;='2021'!Maxi_hp</f>
        <v>1</v>
      </c>
      <c r="I309" s="380">
        <f>IF(H309,Wh_hp,'2021'!Maxi_hp)</f>
        <v>34.985698000900676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3.4374094977561054E-2</v>
      </c>
      <c r="M309" s="845"/>
      <c r="N309" s="845"/>
      <c r="O309" s="48">
        <f>IF(t&lt;Tnet,'2021'!Resal+('2021'!Salim-'2021'!Resal)*(1-EXP(('2021'!Tnet-t)/('2021'!Tau_j))),Resal+(Salim-Resal)*(1-EXP((Tnet-t)/(Tau_j))))*Salcycl</f>
        <v>5.0445905151196541E-2</v>
      </c>
      <c r="P309" s="339">
        <f>(INDEX(Models!$BJ309:$BT309,,T309)*(1-R309)+INDEX(Models!$BJ309:$BT309,,T309+1)*R309-ERP_i)*Q309*Ramure*Pc/MaxiM</f>
        <v>2.7196061251003474E-4</v>
      </c>
      <c r="Q309" s="305">
        <f t="shared" si="105"/>
        <v>0.5</v>
      </c>
      <c r="R309" s="177">
        <f t="shared" si="106"/>
        <v>0.49552988512356344</v>
      </c>
      <c r="S309" s="811">
        <f t="shared" si="107"/>
        <v>0</v>
      </c>
      <c r="T309" s="176">
        <f t="shared" si="108"/>
        <v>6</v>
      </c>
      <c r="U309" s="251">
        <f t="shared" si="109"/>
        <v>0.49552988512356344</v>
      </c>
      <c r="V309" s="383">
        <f t="shared" si="110"/>
        <v>34.408795798461149</v>
      </c>
      <c r="W309" s="402">
        <f t="shared" si="111"/>
        <v>0</v>
      </c>
      <c r="X309" s="157">
        <f t="shared" si="112"/>
        <v>44856</v>
      </c>
      <c r="Y309" s="385">
        <f t="shared" si="113"/>
        <v>31.109273843713787</v>
      </c>
      <c r="Z309" s="385">
        <f t="shared" si="114"/>
        <v>32.216693526869371</v>
      </c>
      <c r="AA309" s="386">
        <f t="shared" si="115"/>
        <v>34.977106766307905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7.8920571043272644E-2</v>
      </c>
      <c r="AD309" s="231">
        <f>(INDEX(Models!$BJ309:$BT309,,AH309)*(1-AF309)+INDEX(Models!$BJ309:$BT309,,AH309+1)*AF309-ERP_i)*AE309*Ramure*Pc/MaxiM</f>
        <v>2.7196061251003474E-4</v>
      </c>
      <c r="AE309" s="305">
        <f t="shared" si="117"/>
        <v>0.5</v>
      </c>
      <c r="AF309" s="177">
        <f t="shared" si="118"/>
        <v>0.49552988512356344</v>
      </c>
      <c r="AG309" s="811">
        <f t="shared" si="124"/>
        <v>0</v>
      </c>
      <c r="AH309" s="176">
        <f t="shared" si="119"/>
        <v>6</v>
      </c>
      <c r="AI309" s="225">
        <f t="shared" si="120"/>
        <v>0.49552988512356344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40">
        <v>16.713000000000001</v>
      </c>
      <c r="C310" s="841"/>
      <c r="D310" s="393">
        <f t="shared" si="102"/>
        <v>17.3083240400662</v>
      </c>
      <c r="E310" s="385">
        <f t="shared" si="125"/>
        <v>18.228589787951243</v>
      </c>
      <c r="F310" s="385">
        <f t="shared" si="103"/>
        <v>18.229879892705682</v>
      </c>
      <c r="G310" s="110">
        <f t="shared" si="126"/>
        <v>0.48999331586524564</v>
      </c>
      <c r="H310" s="414" t="b">
        <f>Wh_hp&gt;='2021'!Maxi_hp</f>
        <v>0</v>
      </c>
      <c r="I310" s="380">
        <f>IF(H310,Wh_hp,'2021'!Maxi_hp)</f>
        <v>37.419724893736571</v>
      </c>
      <c r="J310" s="85">
        <f>IF(H310,An,'2021'!An_max)</f>
        <v>2018</v>
      </c>
      <c r="K310" s="197">
        <f t="shared" si="104"/>
        <v>44857</v>
      </c>
      <c r="L310" s="147">
        <f>IF(t&lt;Tvie,1-EXP((T0-t)*PertePVj)+'2021'!Pspv,1-EXP((T0-t)*PertePVj)+Pspv)</f>
        <v>3.4395244663094626E-2</v>
      </c>
      <c r="M310" s="845"/>
      <c r="N310" s="845"/>
      <c r="O310" s="48">
        <f>IF(t&lt;Tnet,'2021'!Resal+('2021'!Salim-'2021'!Resal)*(1-EXP(('2021'!Tnet-t)/('2021'!Tau_j))),Resal+(Salim-Resal)*(1-EXP((Tnet-t)/(Tau_j))))*Salcycl</f>
        <v>5.0484747234441657E-2</v>
      </c>
      <c r="P310" s="339">
        <f>(INDEX(Models!$BJ310:$BT310,,T310)*(1-R310)+INDEX(Models!$BJ310:$BT310,,T310+1)*R310-ERP_i)*Q310*Ramure*Pc/MaxiM</f>
        <v>2.6060830613802894E-4</v>
      </c>
      <c r="Q310" s="305">
        <f t="shared" si="105"/>
        <v>0.5</v>
      </c>
      <c r="R310" s="177">
        <f t="shared" si="106"/>
        <v>0.49561108980538521</v>
      </c>
      <c r="S310" s="811">
        <f t="shared" si="107"/>
        <v>0</v>
      </c>
      <c r="T310" s="176">
        <f t="shared" si="108"/>
        <v>6</v>
      </c>
      <c r="U310" s="251">
        <f t="shared" si="109"/>
        <v>0.49561108980538521</v>
      </c>
      <c r="V310" s="383">
        <f t="shared" si="110"/>
        <v>34.102152917068494</v>
      </c>
      <c r="W310" s="402">
        <f t="shared" si="111"/>
        <v>0</v>
      </c>
      <c r="X310" s="157">
        <f t="shared" si="112"/>
        <v>44857</v>
      </c>
      <c r="Y310" s="385">
        <f t="shared" si="113"/>
        <v>16.21281419689738</v>
      </c>
      <c r="Z310" s="385">
        <f t="shared" si="114"/>
        <v>16.790321409758004</v>
      </c>
      <c r="AA310" s="386">
        <f t="shared" si="115"/>
        <v>18.228589787951243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7.8901790809067882E-2</v>
      </c>
      <c r="AD310" s="231">
        <f>(INDEX(Models!$BJ310:$BT310,,AH310)*(1-AF310)+INDEX(Models!$BJ310:$BT310,,AH310+1)*AF310-ERP_i)*AE310*Ramure*Pc/MaxiM</f>
        <v>2.6060830613802894E-4</v>
      </c>
      <c r="AE310" s="305">
        <f t="shared" si="117"/>
        <v>0.5</v>
      </c>
      <c r="AF310" s="177">
        <f t="shared" si="118"/>
        <v>0.49561108980538521</v>
      </c>
      <c r="AG310" s="811">
        <f t="shared" si="124"/>
        <v>0</v>
      </c>
      <c r="AH310" s="176">
        <f t="shared" si="119"/>
        <v>6</v>
      </c>
      <c r="AI310" s="225">
        <f t="shared" si="120"/>
        <v>0.49561108980538521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40">
        <v>24.773</v>
      </c>
      <c r="C311" s="841"/>
      <c r="D311" s="393">
        <f t="shared" si="102"/>
        <v>25.655986538217711</v>
      </c>
      <c r="E311" s="385">
        <f t="shared" si="125"/>
        <v>27.021176431225701</v>
      </c>
      <c r="F311" s="385">
        <f t="shared" si="103"/>
        <v>27.025364020197809</v>
      </c>
      <c r="G311" s="110">
        <f t="shared" si="126"/>
        <v>0.73292761002207385</v>
      </c>
      <c r="H311" s="414" t="b">
        <f>Wh_hp&gt;='2021'!Maxi_hp</f>
        <v>0</v>
      </c>
      <c r="I311" s="380">
        <f>IF(H311,Wh_hp,'2021'!Maxi_hp)</f>
        <v>38.572719008292552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3.4416393885395746E-2</v>
      </c>
      <c r="M311" s="845"/>
      <c r="N311" s="845"/>
      <c r="O311" s="48">
        <f>IF(t&lt;Tnet,'2021'!Resal+('2021'!Salim-'2021'!Resal)*(1-EXP(('2021'!Tnet-t)/('2021'!Tau_j))),Resal+(Salim-Resal)*(1-EXP((Tnet-t)/(Tau_j))))*Salcycl</f>
        <v>5.0522962850365657E-2</v>
      </c>
      <c r="P311" s="339">
        <f>(INDEX(Models!$BJ311:$BT311,,T311)*(1-R311)+INDEX(Models!$BJ311:$BT311,,T311+1)*R311-ERP_i)*Q311*Ramure*Pc/MaxiM</f>
        <v>2.504984184657501E-4</v>
      </c>
      <c r="Q311" s="305">
        <f t="shared" si="105"/>
        <v>0.5</v>
      </c>
      <c r="R311" s="177">
        <f t="shared" si="106"/>
        <v>0.49568904981777789</v>
      </c>
      <c r="S311" s="811">
        <f t="shared" si="107"/>
        <v>0</v>
      </c>
      <c r="T311" s="176">
        <f t="shared" si="108"/>
        <v>6</v>
      </c>
      <c r="U311" s="251">
        <f t="shared" si="109"/>
        <v>0.49568904981777789</v>
      </c>
      <c r="V311" s="383">
        <f t="shared" si="110"/>
        <v>33.796833795822465</v>
      </c>
      <c r="W311" s="402">
        <f t="shared" si="111"/>
        <v>0</v>
      </c>
      <c r="X311" s="157">
        <f t="shared" si="112"/>
        <v>44858</v>
      </c>
      <c r="Y311" s="385">
        <f t="shared" si="113"/>
        <v>24.033072155036308</v>
      </c>
      <c r="Z311" s="385">
        <f t="shared" si="114"/>
        <v>24.889685370428548</v>
      </c>
      <c r="AA311" s="386">
        <f t="shared" si="115"/>
        <v>27.021176431225701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7.888224505036727E-2</v>
      </c>
      <c r="AD311" s="231">
        <f>(INDEX(Models!$BJ311:$BT311,,AH311)*(1-AF311)+INDEX(Models!$BJ311:$BT311,,AH311+1)*AF311-ERP_i)*AE311*Ramure*Pc/MaxiM</f>
        <v>2.504984184657501E-4</v>
      </c>
      <c r="AE311" s="305">
        <f t="shared" si="117"/>
        <v>0.5</v>
      </c>
      <c r="AF311" s="177">
        <f t="shared" si="118"/>
        <v>0.49568904981777789</v>
      </c>
      <c r="AG311" s="811">
        <f t="shared" si="124"/>
        <v>0</v>
      </c>
      <c r="AH311" s="176">
        <f t="shared" si="119"/>
        <v>6</v>
      </c>
      <c r="AI311" s="225">
        <f t="shared" si="120"/>
        <v>0.49568904981777789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40">
        <v>21.365000000000002</v>
      </c>
      <c r="C312" s="841"/>
      <c r="D312" s="393">
        <f t="shared" si="102"/>
        <v>22.126999488478756</v>
      </c>
      <c r="E312" s="385">
        <f t="shared" si="125"/>
        <v>23.305330748779639</v>
      </c>
      <c r="F312" s="385">
        <f t="shared" si="103"/>
        <v>23.308049450975329</v>
      </c>
      <c r="G312" s="110">
        <f t="shared" si="126"/>
        <v>0.63781034671688219</v>
      </c>
      <c r="H312" s="414" t="b">
        <f>Wh_hp&gt;='2021'!Maxi_hp</f>
        <v>0</v>
      </c>
      <c r="I312" s="380">
        <f>IF(H312,Wh_hp,'2021'!Maxi_hp)</f>
        <v>35.926796289859503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3.4437542644474628E-2</v>
      </c>
      <c r="M312" s="845"/>
      <c r="N312" s="845"/>
      <c r="O312" s="48">
        <f>IF(t&lt;Tnet,'2021'!Resal+('2021'!Salim-'2021'!Resal)*(1-EXP(('2021'!Tnet-t)/('2021'!Tau_j))),Resal+(Salim-Resal)*(1-EXP((Tnet-t)/(Tau_j))))*Salcycl</f>
        <v>5.0560589463532403E-2</v>
      </c>
      <c r="P312" s="339">
        <f>(INDEX(Models!$BJ312:$BT312,,T312)*(1-R312)+INDEX(Models!$BJ312:$BT312,,T312+1)*R312-ERP_i)*Q312*Ramure*Pc/MaxiM</f>
        <v>2.4164526363717486E-4</v>
      </c>
      <c r="Q312" s="305">
        <f t="shared" si="105"/>
        <v>0.5</v>
      </c>
      <c r="R312" s="177">
        <f t="shared" si="106"/>
        <v>0.49576389384918612</v>
      </c>
      <c r="S312" s="811">
        <f t="shared" si="107"/>
        <v>0</v>
      </c>
      <c r="T312" s="176">
        <f t="shared" si="108"/>
        <v>6</v>
      </c>
      <c r="U312" s="251">
        <f t="shared" si="109"/>
        <v>0.49576389384918612</v>
      </c>
      <c r="V312" s="383">
        <f t="shared" si="110"/>
        <v>33.493230562946458</v>
      </c>
      <c r="W312" s="402">
        <f t="shared" si="111"/>
        <v>0</v>
      </c>
      <c r="X312" s="157">
        <f t="shared" si="112"/>
        <v>44859</v>
      </c>
      <c r="Y312" s="385">
        <f t="shared" si="113"/>
        <v>20.728140503207101</v>
      </c>
      <c r="Z312" s="385">
        <f t="shared" si="114"/>
        <v>21.467425898037877</v>
      </c>
      <c r="AA312" s="386">
        <f t="shared" si="115"/>
        <v>23.305330748779639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7.8861993873998212E-2</v>
      </c>
      <c r="AD312" s="231">
        <f>(INDEX(Models!$BJ312:$BT312,,AH312)*(1-AF312)+INDEX(Models!$BJ312:$BT312,,AH312+1)*AF312-ERP_i)*AE312*Ramure*Pc/MaxiM</f>
        <v>2.4164526363717486E-4</v>
      </c>
      <c r="AE312" s="305">
        <f t="shared" si="117"/>
        <v>0.5</v>
      </c>
      <c r="AF312" s="177">
        <f t="shared" si="118"/>
        <v>0.49576389384918612</v>
      </c>
      <c r="AG312" s="811">
        <f t="shared" si="124"/>
        <v>0</v>
      </c>
      <c r="AH312" s="176">
        <f t="shared" si="119"/>
        <v>6</v>
      </c>
      <c r="AI312" s="225">
        <f t="shared" si="120"/>
        <v>0.49576389384918612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40">
        <v>13.391999999999999</v>
      </c>
      <c r="C313" s="841"/>
      <c r="D313" s="393">
        <f t="shared" si="102"/>
        <v>13.869939974958172</v>
      </c>
      <c r="E313" s="385">
        <f t="shared" si="125"/>
        <v>14.609127754258072</v>
      </c>
      <c r="F313" s="385">
        <f t="shared" si="103"/>
        <v>14.609633230237602</v>
      </c>
      <c r="G313" s="110">
        <f t="shared" si="126"/>
        <v>0.40339345274429445</v>
      </c>
      <c r="H313" s="414" t="b">
        <f>Wh_hp&gt;='2021'!Maxi_hp</f>
        <v>0</v>
      </c>
      <c r="I313" s="380">
        <f>IF(H313,Wh_hp,'2021'!Maxi_hp)</f>
        <v>37.208706699200022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3.4458690940341485E-2</v>
      </c>
      <c r="M313" s="845"/>
      <c r="N313" s="845"/>
      <c r="O313" s="48">
        <f>IF(t&lt;Tnet,'2021'!Resal+('2021'!Salim-'2021'!Resal)*(1-EXP(('2021'!Tnet-t)/('2021'!Tau_j))),Resal+(Salim-Resal)*(1-EXP((Tnet-t)/(Tau_j))))*Salcycl</f>
        <v>5.0597666865118032E-2</v>
      </c>
      <c r="P313" s="339">
        <f>(INDEX(Models!$BJ313:$BT313,,T313)*(1-R313)+INDEX(Models!$BJ313:$BT313,,T313+1)*R313-ERP_i)*Q313*Ramure*Pc/MaxiM</f>
        <v>2.3406058808807131E-4</v>
      </c>
      <c r="Q313" s="305">
        <f t="shared" si="105"/>
        <v>0.5</v>
      </c>
      <c r="R313" s="177">
        <f t="shared" si="106"/>
        <v>0.49583574555941562</v>
      </c>
      <c r="S313" s="811">
        <f t="shared" si="107"/>
        <v>0</v>
      </c>
      <c r="T313" s="176">
        <f t="shared" si="108"/>
        <v>6</v>
      </c>
      <c r="U313" s="251">
        <f t="shared" si="109"/>
        <v>0.49583574555941562</v>
      </c>
      <c r="V313" s="383">
        <f t="shared" si="110"/>
        <v>33.191735325418151</v>
      </c>
      <c r="W313" s="402">
        <f t="shared" si="111"/>
        <v>0</v>
      </c>
      <c r="X313" s="157">
        <f t="shared" si="112"/>
        <v>44860</v>
      </c>
      <c r="Y313" s="385">
        <f t="shared" si="113"/>
        <v>12.993606133058432</v>
      </c>
      <c r="Z313" s="385">
        <f t="shared" si="114"/>
        <v>13.457328040902688</v>
      </c>
      <c r="AA313" s="386">
        <f t="shared" si="115"/>
        <v>14.609127754258072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7.8841100764532185E-2</v>
      </c>
      <c r="AD313" s="231">
        <f>(INDEX(Models!$BJ313:$BT313,,AH313)*(1-AF313)+INDEX(Models!$BJ313:$BT313,,AH313+1)*AF313-ERP_i)*AE313*Ramure*Pc/MaxiM</f>
        <v>2.3406058808807131E-4</v>
      </c>
      <c r="AE313" s="305">
        <f t="shared" si="117"/>
        <v>0.5</v>
      </c>
      <c r="AF313" s="177">
        <f t="shared" si="118"/>
        <v>0.49583574555941562</v>
      </c>
      <c r="AG313" s="811">
        <f t="shared" si="124"/>
        <v>0</v>
      </c>
      <c r="AH313" s="176">
        <f t="shared" si="119"/>
        <v>6</v>
      </c>
      <c r="AI313" s="225">
        <f t="shared" si="120"/>
        <v>0.49583574555941562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40">
        <v>14.304</v>
      </c>
      <c r="C314" s="841"/>
      <c r="D314" s="393">
        <f t="shared" si="102"/>
        <v>14.814812340968954</v>
      </c>
      <c r="E314" s="385">
        <f t="shared" si="125"/>
        <v>15.604957455897239</v>
      </c>
      <c r="F314" s="385">
        <f t="shared" si="103"/>
        <v>15.605642252823683</v>
      </c>
      <c r="G314" s="110">
        <f t="shared" si="126"/>
        <v>0.43478803232132102</v>
      </c>
      <c r="H314" s="414" t="b">
        <f>Wh_hp&gt;='2021'!Maxi_hp</f>
        <v>0</v>
      </c>
      <c r="I314" s="380">
        <f>IF(H314,Wh_hp,'2021'!Maxi_hp)</f>
        <v>29.570719829876996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3.4479838773006311E-2</v>
      </c>
      <c r="M314" s="845"/>
      <c r="N314" s="845"/>
      <c r="O314" s="48">
        <f>IF(t&lt;Tnet,'2021'!Resal+('2021'!Salim-'2021'!Resal)*(1-EXP(('2021'!Tnet-t)/('2021'!Tau_j))),Resal+(Salim-Resal)*(1-EXP((Tnet-t)/(Tau_j))))*Salcycl</f>
        <v>5.0634237046873955E-2</v>
      </c>
      <c r="P314" s="339">
        <f>(INDEX(Models!$BJ314:$BT314,,T314)*(1-R314)+INDEX(Models!$BJ314:$BT314,,T314+1)*R314-ERP_i)*Q314*Ramure*Pc/MaxiM</f>
        <v>2.2775571759638135E-4</v>
      </c>
      <c r="Q314" s="305">
        <f t="shared" si="105"/>
        <v>0.5</v>
      </c>
      <c r="R314" s="177">
        <f t="shared" si="106"/>
        <v>0.4959047237701929</v>
      </c>
      <c r="S314" s="811">
        <f t="shared" si="107"/>
        <v>0</v>
      </c>
      <c r="T314" s="176">
        <f t="shared" si="108"/>
        <v>6</v>
      </c>
      <c r="U314" s="251">
        <f t="shared" si="109"/>
        <v>0.4959047237701929</v>
      </c>
      <c r="V314" s="383">
        <f t="shared" si="110"/>
        <v>32.892740100333107</v>
      </c>
      <c r="W314" s="402">
        <f t="shared" si="111"/>
        <v>0</v>
      </c>
      <c r="X314" s="157">
        <f t="shared" si="112"/>
        <v>44861</v>
      </c>
      <c r="Y314" s="385">
        <f t="shared" si="113"/>
        <v>13.879333437888251</v>
      </c>
      <c r="Z314" s="385">
        <f t="shared" si="114"/>
        <v>14.374980446032572</v>
      </c>
      <c r="AA314" s="386">
        <f t="shared" si="115"/>
        <v>15.604957455897239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7.8819632372650231E-2</v>
      </c>
      <c r="AD314" s="231">
        <f>(INDEX(Models!$BJ314:$BT314,,AH314)*(1-AF314)+INDEX(Models!$BJ314:$BT314,,AH314+1)*AF314-ERP_i)*AE314*Ramure*Pc/MaxiM</f>
        <v>2.2775571759638135E-4</v>
      </c>
      <c r="AE314" s="305">
        <f t="shared" si="117"/>
        <v>0.5</v>
      </c>
      <c r="AF314" s="177">
        <f t="shared" si="118"/>
        <v>0.4959047237701929</v>
      </c>
      <c r="AG314" s="811">
        <f t="shared" si="124"/>
        <v>0</v>
      </c>
      <c r="AH314" s="176">
        <f t="shared" si="119"/>
        <v>6</v>
      </c>
      <c r="AI314" s="225">
        <f t="shared" si="120"/>
        <v>0.4959047237701929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40">
        <v>16.891000000000002</v>
      </c>
      <c r="C315" s="841"/>
      <c r="D315" s="393">
        <f t="shared" si="102"/>
        <v>17.494580271516071</v>
      </c>
      <c r="E315" s="385">
        <f t="shared" si="125"/>
        <v>18.428351165511572</v>
      </c>
      <c r="F315" s="385">
        <f t="shared" si="103"/>
        <v>18.429630662137736</v>
      </c>
      <c r="G315" s="110">
        <f t="shared" si="126"/>
        <v>0.51810284177478372</v>
      </c>
      <c r="H315" s="414" t="b">
        <f>Wh_hp&gt;='2021'!Maxi_hp</f>
        <v>0</v>
      </c>
      <c r="I315" s="380">
        <f>IF(H315,Wh_hp,'2021'!Maxi_hp)</f>
        <v>24.903019933810778</v>
      </c>
      <c r="J315" s="85">
        <f>IF(H315,An,'2021'!An_max)</f>
        <v>2020</v>
      </c>
      <c r="K315" s="197">
        <f t="shared" si="104"/>
        <v>44862</v>
      </c>
      <c r="L315" s="147">
        <f>IF(t&lt;Tvie,1-EXP((T0-t)*PertePVj)+'2021'!Pspv,1-EXP((T0-t)*PertePVj)+Pspv)</f>
        <v>3.4500986142479317E-2</v>
      </c>
      <c r="M315" s="845"/>
      <c r="N315" s="845"/>
      <c r="O315" s="48">
        <f>IF(t&lt;Tnet,'2021'!Resal+('2021'!Salim-'2021'!Resal)*(1-EXP(('2021'!Tnet-t)/('2021'!Tau_j))),Resal+(Salim-Resal)*(1-EXP((Tnet-t)/(Tau_j))))*Salcycl</f>
        <v>5.0670344058943342E-2</v>
      </c>
      <c r="P315" s="339">
        <f>(INDEX(Models!$BJ315:$BT315,,T315)*(1-R315)+INDEX(Models!$BJ315:$BT315,,T315+1)*R315-ERP_i)*Q315*Ramure*Pc/MaxiM</f>
        <v>2.2274145502583522E-4</v>
      </c>
      <c r="Q315" s="305">
        <f t="shared" si="105"/>
        <v>0.5</v>
      </c>
      <c r="R315" s="177">
        <f t="shared" si="106"/>
        <v>0.49597094264897501</v>
      </c>
      <c r="S315" s="811">
        <f t="shared" si="107"/>
        <v>0</v>
      </c>
      <c r="T315" s="176">
        <f t="shared" si="108"/>
        <v>6</v>
      </c>
      <c r="U315" s="251">
        <f t="shared" si="109"/>
        <v>0.49597094264897501</v>
      </c>
      <c r="V315" s="383">
        <f t="shared" si="110"/>
        <v>32.596636822126811</v>
      </c>
      <c r="W315" s="402">
        <f t="shared" si="111"/>
        <v>0</v>
      </c>
      <c r="X315" s="157">
        <f t="shared" si="112"/>
        <v>44862</v>
      </c>
      <c r="Y315" s="385">
        <f t="shared" si="113"/>
        <v>16.390543218174454</v>
      </c>
      <c r="Z315" s="385">
        <f t="shared" si="114"/>
        <v>16.97624024771217</v>
      </c>
      <c r="AA315" s="386">
        <f t="shared" si="115"/>
        <v>18.428351165511572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7.8797658279760138E-2</v>
      </c>
      <c r="AD315" s="231">
        <f>(INDEX(Models!$BJ315:$BT315,,AH315)*(1-AF315)+INDEX(Models!$BJ315:$BT315,,AH315+1)*AF315-ERP_i)*AE315*Ramure*Pc/MaxiM</f>
        <v>2.2274145502583522E-4</v>
      </c>
      <c r="AE315" s="305">
        <f t="shared" si="117"/>
        <v>0.5</v>
      </c>
      <c r="AF315" s="177">
        <f t="shared" si="118"/>
        <v>0.49597094264897501</v>
      </c>
      <c r="AG315" s="811">
        <f t="shared" si="124"/>
        <v>0</v>
      </c>
      <c r="AH315" s="176">
        <f t="shared" si="119"/>
        <v>6</v>
      </c>
      <c r="AI315" s="225">
        <f t="shared" si="120"/>
        <v>0.49597094264897501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40">
        <v>26.524000000000001</v>
      </c>
      <c r="C316" s="841"/>
      <c r="D316" s="393">
        <f t="shared" si="102"/>
        <v>27.472406057072099</v>
      </c>
      <c r="E316" s="385">
        <f t="shared" si="125"/>
        <v>28.9398300597603</v>
      </c>
      <c r="F316" s="385">
        <f t="shared" si="103"/>
        <v>28.944549302091808</v>
      </c>
      <c r="G316" s="110">
        <f t="shared" si="126"/>
        <v>0.82103345744833545</v>
      </c>
      <c r="H316" s="414" t="b">
        <f>Wh_hp&gt;='2021'!Maxi_hp</f>
        <v>0</v>
      </c>
      <c r="I316" s="380">
        <f>IF(H316,Wh_hp,'2021'!Maxi_hp)</f>
        <v>29.923980500554308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3.452213304877072E-2</v>
      </c>
      <c r="M316" s="845"/>
      <c r="N316" s="845"/>
      <c r="O316" s="48">
        <f>IF(t&lt;Tnet,'2021'!Resal+('2021'!Salim-'2021'!Resal)*(1-EXP(('2021'!Tnet-t)/('2021'!Tau_j))),Resal+(Salim-Resal)*(1-EXP((Tnet-t)/(Tau_j))))*Salcycl</f>
        <v>5.0706033852237396E-2</v>
      </c>
      <c r="P316" s="339">
        <f>(INDEX(Models!$BJ316:$BT316,,T316)*(1-R316)+INDEX(Models!$BJ316:$BT316,,T316+1)*R316-ERP_i)*Q316*Ramure*Pc/MaxiM</f>
        <v>2.1902797915013586E-4</v>
      </c>
      <c r="Q316" s="305">
        <f t="shared" si="105"/>
        <v>0.5</v>
      </c>
      <c r="R316" s="177">
        <f t="shared" si="106"/>
        <v>0.49603451188621117</v>
      </c>
      <c r="S316" s="811">
        <f t="shared" si="107"/>
        <v>0</v>
      </c>
      <c r="T316" s="176">
        <f t="shared" si="108"/>
        <v>6</v>
      </c>
      <c r="U316" s="251">
        <f t="shared" si="109"/>
        <v>0.49603451188621117</v>
      </c>
      <c r="V316" s="383">
        <f t="shared" si="110"/>
        <v>32.303817347285282</v>
      </c>
      <c r="W316" s="402">
        <f t="shared" si="111"/>
        <v>0</v>
      </c>
      <c r="X316" s="157">
        <f t="shared" si="112"/>
        <v>44863</v>
      </c>
      <c r="Y316" s="385">
        <f t="shared" si="113"/>
        <v>25.739724596085516</v>
      </c>
      <c r="Z316" s="385">
        <f t="shared" si="114"/>
        <v>26.660087690426309</v>
      </c>
      <c r="AA316" s="386">
        <f t="shared" si="115"/>
        <v>28.9398300597603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7.8775250740116889E-2</v>
      </c>
      <c r="AD316" s="231">
        <f>(INDEX(Models!$BJ316:$BT316,,AH316)*(1-AF316)+INDEX(Models!$BJ316:$BT316,,AH316+1)*AF316-ERP_i)*AE316*Ramure*Pc/MaxiM</f>
        <v>2.1902797915013586E-4</v>
      </c>
      <c r="AE316" s="305">
        <f t="shared" si="117"/>
        <v>0.5</v>
      </c>
      <c r="AF316" s="177">
        <f t="shared" si="118"/>
        <v>0.49603451188621117</v>
      </c>
      <c r="AG316" s="811">
        <f t="shared" si="124"/>
        <v>0</v>
      </c>
      <c r="AH316" s="176">
        <f t="shared" si="119"/>
        <v>6</v>
      </c>
      <c r="AI316" s="225">
        <f t="shared" si="120"/>
        <v>0.49603451188621117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40">
        <v>21.940999999999999</v>
      </c>
      <c r="C317" s="841"/>
      <c r="D317" s="393">
        <f t="shared" si="102"/>
        <v>22.726031663493615</v>
      </c>
      <c r="E317" s="385">
        <f t="shared" si="125"/>
        <v>23.940821357592863</v>
      </c>
      <c r="F317" s="385">
        <f t="shared" si="103"/>
        <v>23.943677082890002</v>
      </c>
      <c r="G317" s="110">
        <f t="shared" si="126"/>
        <v>0.68531456693367665</v>
      </c>
      <c r="H317" s="414" t="b">
        <f>Wh_hp&gt;='2021'!Maxi_hp</f>
        <v>0</v>
      </c>
      <c r="I317" s="380">
        <f>IF(H317,Wh_hp,'2021'!Maxi_hp)</f>
        <v>33.09982659368044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3.4543279491890622E-2</v>
      </c>
      <c r="M317" s="845"/>
      <c r="N317" s="845"/>
      <c r="O317" s="48">
        <f>IF(t&lt;Tnet,'2021'!Resal+('2021'!Salim-'2021'!Resal)*(1-EXP(('2021'!Tnet-t)/('2021'!Tau_j))),Resal+(Salim-Resal)*(1-EXP((Tnet-t)/(Tau_j))))*Salcycl</f>
        <v>5.0741354106214873E-2</v>
      </c>
      <c r="P317" s="339">
        <f>(INDEX(Models!$BJ317:$BT317,,T317)*(1-R317)+INDEX(Models!$BJ317:$BT317,,T317+1)*R317-ERP_i)*Q317*Ramure*Pc/MaxiM</f>
        <v>2.166371700255213E-4</v>
      </c>
      <c r="Q317" s="305">
        <f t="shared" si="105"/>
        <v>0.5</v>
      </c>
      <c r="R317" s="177">
        <f t="shared" si="106"/>
        <v>0.49609553686625385</v>
      </c>
      <c r="S317" s="811">
        <f t="shared" si="107"/>
        <v>0</v>
      </c>
      <c r="T317" s="176">
        <f t="shared" si="108"/>
        <v>6</v>
      </c>
      <c r="U317" s="251">
        <f t="shared" si="109"/>
        <v>0.49609553686625385</v>
      </c>
      <c r="V317" s="383">
        <f t="shared" si="110"/>
        <v>32.012836785717994</v>
      </c>
      <c r="W317" s="402">
        <f t="shared" si="111"/>
        <v>0</v>
      </c>
      <c r="X317" s="157">
        <f t="shared" si="112"/>
        <v>44864</v>
      </c>
      <c r="Y317" s="385">
        <f t="shared" si="113"/>
        <v>21.293555583795676</v>
      </c>
      <c r="Z317" s="385">
        <f t="shared" si="114"/>
        <v>22.055422197060381</v>
      </c>
      <c r="AA317" s="386">
        <f t="shared" si="115"/>
        <v>23.940821357592863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7.8752484401898942E-2</v>
      </c>
      <c r="AD317" s="231">
        <f>(INDEX(Models!$BJ317:$BT317,,AH317)*(1-AF317)+INDEX(Models!$BJ317:$BT317,,AH317+1)*AF317-ERP_i)*AE317*Ramure*Pc/MaxiM</f>
        <v>2.166371700255213E-4</v>
      </c>
      <c r="AE317" s="305">
        <f t="shared" si="117"/>
        <v>0.5</v>
      </c>
      <c r="AF317" s="177">
        <f t="shared" si="118"/>
        <v>0.49609553686625385</v>
      </c>
      <c r="AG317" s="811">
        <f t="shared" si="124"/>
        <v>0</v>
      </c>
      <c r="AH317" s="176">
        <f t="shared" si="119"/>
        <v>6</v>
      </c>
      <c r="AI317" s="225">
        <f t="shared" si="120"/>
        <v>0.49609553686625385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40">
        <v>21.42</v>
      </c>
      <c r="C318" s="841"/>
      <c r="D318" s="393">
        <f t="shared" si="102"/>
        <v>22.186876644222334</v>
      </c>
      <c r="E318" s="385">
        <f t="shared" si="125"/>
        <v>23.373708333882277</v>
      </c>
      <c r="F318" s="385">
        <f t="shared" si="103"/>
        <v>23.37641403534418</v>
      </c>
      <c r="G318" s="110">
        <f t="shared" si="126"/>
        <v>0.6751683960467586</v>
      </c>
      <c r="H318" s="414" t="b">
        <f>Wh_hp&gt;='2021'!Maxi_hp</f>
        <v>0</v>
      </c>
      <c r="I318" s="380">
        <f>IF(H318,Wh_hp,'2021'!Maxi_hp)</f>
        <v>33.51042975379562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3.4564425471849125E-2</v>
      </c>
      <c r="M318" s="845"/>
      <c r="N318" s="845"/>
      <c r="O318" s="48">
        <f>IF(t&lt;Tnet,'2021'!Resal+('2021'!Salim-'2021'!Resal)*(1-EXP(('2021'!Tnet-t)/('2021'!Tau_j))),Resal+(Salim-Resal)*(1-EXP((Tnet-t)/(Tau_j))))*Salcycl</f>
        <v>5.0776354043039207E-2</v>
      </c>
      <c r="P318" s="339">
        <f>(INDEX(Models!$BJ318:$BT318,,T318)*(1-R318)+INDEX(Models!$BJ318:$BT318,,T318+1)*R318-ERP_i)*Q318*Ramure*Pc/MaxiM</f>
        <v>2.1592129383632094E-4</v>
      </c>
      <c r="Q318" s="305">
        <f t="shared" si="105"/>
        <v>0.5</v>
      </c>
      <c r="R318" s="177">
        <f t="shared" si="106"/>
        <v>0.49615411883211474</v>
      </c>
      <c r="S318" s="811">
        <f t="shared" si="107"/>
        <v>0</v>
      </c>
      <c r="T318" s="176">
        <f t="shared" si="108"/>
        <v>6</v>
      </c>
      <c r="U318" s="251">
        <f t="shared" si="109"/>
        <v>0.49615411883211474</v>
      </c>
      <c r="V318" s="383">
        <f t="shared" si="110"/>
        <v>31.722240109803312</v>
      </c>
      <c r="W318" s="402">
        <f t="shared" si="111"/>
        <v>0</v>
      </c>
      <c r="X318" s="157">
        <f t="shared" si="112"/>
        <v>44865</v>
      </c>
      <c r="Y318" s="385">
        <f t="shared" si="113"/>
        <v>20.789216076465575</v>
      </c>
      <c r="Z318" s="385">
        <f t="shared" si="114"/>
        <v>21.533509459319585</v>
      </c>
      <c r="AA318" s="386">
        <f t="shared" si="115"/>
        <v>23.373708333882277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7.8729436008883547E-2</v>
      </c>
      <c r="AD318" s="231">
        <f>(INDEX(Models!$BJ318:$BT318,,AH318)*(1-AF318)+INDEX(Models!$BJ318:$BT318,,AH318+1)*AF318-ERP_i)*AE318*Ramure*Pc/MaxiM</f>
        <v>2.1592129383632094E-4</v>
      </c>
      <c r="AE318" s="305">
        <f t="shared" si="117"/>
        <v>0.5</v>
      </c>
      <c r="AF318" s="177">
        <f t="shared" si="118"/>
        <v>0.49615411883211474</v>
      </c>
      <c r="AG318" s="811">
        <f t="shared" si="124"/>
        <v>0</v>
      </c>
      <c r="AH318" s="176">
        <f t="shared" si="119"/>
        <v>6</v>
      </c>
      <c r="AI318" s="225">
        <f t="shared" si="120"/>
        <v>0.49615411883211474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40">
        <v>22.785</v>
      </c>
      <c r="C319" s="841"/>
      <c r="D319" s="393">
        <f t="shared" si="102"/>
        <v>23.601263162529627</v>
      </c>
      <c r="E319" s="385">
        <f t="shared" si="125"/>
        <v>24.864663683271367</v>
      </c>
      <c r="F319" s="385">
        <f t="shared" si="103"/>
        <v>24.867926631428173</v>
      </c>
      <c r="G319" s="110">
        <f t="shared" si="126"/>
        <v>0.72482639377287361</v>
      </c>
      <c r="H319" s="414" t="b">
        <f>Wh_hp&gt;='2021'!Maxi_hp</f>
        <v>0</v>
      </c>
      <c r="I319" s="380">
        <f>IF(H319,Wh_hp,'2021'!Maxi_hp)</f>
        <v>32.377451552901285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3.4585570988656333E-2</v>
      </c>
      <c r="M319" s="845"/>
      <c r="N319" s="845"/>
      <c r="O319" s="48">
        <f>IF(t&lt;Tnet,'2021'!Resal+('2021'!Salim-'2021'!Resal)*(1-EXP(('2021'!Tnet-t)/('2021'!Tau_j))),Resal+(Salim-Resal)*(1-EXP((Tnet-t)/(Tau_j))))*Salcycl</f>
        <v>5.0811084229212412E-2</v>
      </c>
      <c r="P319" s="339">
        <f>(INDEX(Models!$BJ319:$BT319,,T319)*(1-R319)+INDEX(Models!$BJ319:$BT319,,T319+1)*R319-ERP_i)*Q319*Ramure*Pc/MaxiM</f>
        <v>2.1616938341103531E-4</v>
      </c>
      <c r="Q319" s="305">
        <f t="shared" si="105"/>
        <v>0.5</v>
      </c>
      <c r="R319" s="177">
        <f t="shared" si="106"/>
        <v>0.49621035504425642</v>
      </c>
      <c r="S319" s="811">
        <f t="shared" si="107"/>
        <v>0</v>
      </c>
      <c r="T319" s="176">
        <f t="shared" si="108"/>
        <v>6</v>
      </c>
      <c r="U319" s="251">
        <f t="shared" si="109"/>
        <v>0.49621035504425642</v>
      </c>
      <c r="V319" s="383">
        <f t="shared" si="110"/>
        <v>31.432442537073928</v>
      </c>
      <c r="W319" s="402">
        <f t="shared" si="111"/>
        <v>0</v>
      </c>
      <c r="X319" s="157">
        <f t="shared" si="112"/>
        <v>44866</v>
      </c>
      <c r="Y319" s="385">
        <f t="shared" si="113"/>
        <v>22.115386354451271</v>
      </c>
      <c r="Z319" s="385">
        <f t="shared" si="114"/>
        <v>22.907660886215545</v>
      </c>
      <c r="AA319" s="386">
        <f t="shared" si="115"/>
        <v>24.864663683271367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7.8706184084543593E-2</v>
      </c>
      <c r="AD319" s="231">
        <f>(INDEX(Models!$BJ319:$BT319,,AH319)*(1-AF319)+INDEX(Models!$BJ319:$BT319,,AH319+1)*AF319-ERP_i)*AE319*Ramure*Pc/MaxiM</f>
        <v>2.1616938341103531E-4</v>
      </c>
      <c r="AE319" s="305">
        <f t="shared" si="117"/>
        <v>0.5</v>
      </c>
      <c r="AF319" s="177">
        <f t="shared" si="118"/>
        <v>0.49621035504425642</v>
      </c>
      <c r="AG319" s="811">
        <f t="shared" si="124"/>
        <v>0</v>
      </c>
      <c r="AH319" s="176">
        <f t="shared" si="119"/>
        <v>6</v>
      </c>
      <c r="AI319" s="225">
        <f t="shared" si="120"/>
        <v>0.49621035504425642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40">
        <v>27.384</v>
      </c>
      <c r="C320" s="841"/>
      <c r="D320" s="393">
        <f t="shared" si="102"/>
        <v>28.365641707945116</v>
      </c>
      <c r="E320" s="385">
        <f t="shared" si="125"/>
        <v>29.885171052612137</v>
      </c>
      <c r="F320" s="385">
        <f t="shared" si="103"/>
        <v>29.890548238014514</v>
      </c>
      <c r="G320" s="110">
        <f t="shared" si="126"/>
        <v>0.8792421427036714</v>
      </c>
      <c r="H320" s="414" t="b">
        <f>Wh_hp&gt;='2021'!Maxi_hp</f>
        <v>1</v>
      </c>
      <c r="I320" s="380">
        <f>IF(H320,Wh_hp,'2021'!Maxi_hp)</f>
        <v>29.890548238014514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3.4606716042322461E-2</v>
      </c>
      <c r="M320" s="845"/>
      <c r="N320" s="845"/>
      <c r="O320" s="48">
        <f>IF(t&lt;Tnet,'2021'!Resal+('2021'!Salim-'2021'!Resal)*(1-EXP(('2021'!Tnet-t)/('2021'!Tau_j))),Resal+(Salim-Resal)*(1-EXP((Tnet-t)/(Tau_j))))*Salcycl</f>
        <v>5.0845596365900754E-2</v>
      </c>
      <c r="P320" s="339">
        <f>(INDEX(Models!$BJ320:$BT320,,T320)*(1-R320)+INDEX(Models!$BJ320:$BT320,,T320+1)*R320-ERP_i)*Q320*Ramure*Pc/MaxiM</f>
        <v>2.1738736525184151E-4</v>
      </c>
      <c r="Q320" s="305">
        <f t="shared" si="105"/>
        <v>0.5</v>
      </c>
      <c r="R320" s="177">
        <f t="shared" si="106"/>
        <v>0.49626433893361055</v>
      </c>
      <c r="S320" s="811">
        <f t="shared" si="107"/>
        <v>0</v>
      </c>
      <c r="T320" s="176">
        <f t="shared" si="108"/>
        <v>6</v>
      </c>
      <c r="U320" s="251">
        <f t="shared" si="109"/>
        <v>0.49626433893361055</v>
      </c>
      <c r="V320" s="383">
        <f t="shared" si="110"/>
        <v>31.143836057780803</v>
      </c>
      <c r="W320" s="402">
        <f t="shared" si="111"/>
        <v>0</v>
      </c>
      <c r="X320" s="157">
        <f t="shared" si="112"/>
        <v>44867</v>
      </c>
      <c r="Y320" s="385">
        <f t="shared" si="113"/>
        <v>26.580870164732907</v>
      </c>
      <c r="Z320" s="385">
        <f t="shared" si="114"/>
        <v>27.533721858684697</v>
      </c>
      <c r="AA320" s="386">
        <f t="shared" si="115"/>
        <v>29.885171052612137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7.8682808600552059E-2</v>
      </c>
      <c r="AD320" s="231">
        <f>(INDEX(Models!$BJ320:$BT320,,AH320)*(1-AF320)+INDEX(Models!$BJ320:$BT320,,AH320+1)*AF320-ERP_i)*AE320*Ramure*Pc/MaxiM</f>
        <v>2.1738736525184151E-4</v>
      </c>
      <c r="AE320" s="305">
        <f t="shared" si="117"/>
        <v>0.5</v>
      </c>
      <c r="AF320" s="177">
        <f t="shared" si="118"/>
        <v>0.49626433893361055</v>
      </c>
      <c r="AG320" s="811">
        <f t="shared" si="124"/>
        <v>0</v>
      </c>
      <c r="AH320" s="176">
        <f t="shared" si="119"/>
        <v>6</v>
      </c>
      <c r="AI320" s="225">
        <f t="shared" si="120"/>
        <v>0.49626433893361055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40">
        <v>9.4030000000000005</v>
      </c>
      <c r="C321" s="841"/>
      <c r="D321" s="393">
        <f t="shared" si="102"/>
        <v>9.7402852398083652</v>
      </c>
      <c r="E321" s="385">
        <f t="shared" si="125"/>
        <v>10.262437474250207</v>
      </c>
      <c r="F321" s="385">
        <f t="shared" si="103"/>
        <v>10.262452701434954</v>
      </c>
      <c r="G321" s="110">
        <f t="shared" si="126"/>
        <v>0.30466365235586718</v>
      </c>
      <c r="H321" s="414" t="b">
        <f>Wh_hp&gt;='2021'!Maxi_hp</f>
        <v>0</v>
      </c>
      <c r="I321" s="380">
        <f>IF(H321,Wh_hp,'2021'!Maxi_hp)</f>
        <v>30.00122544451607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3.4627860632857721E-2</v>
      </c>
      <c r="M321" s="845"/>
      <c r="N321" s="845"/>
      <c r="O321" s="48">
        <f>IF(t&lt;Tnet,'2021'!Resal+('2021'!Salim-'2021'!Resal)*(1-EXP(('2021'!Tnet-t)/('2021'!Tau_j))),Resal+(Salim-Resal)*(1-EXP((Tnet-t)/(Tau_j))))*Salcycl</f>
        <v>5.0879943069274791E-2</v>
      </c>
      <c r="P321" s="339">
        <f>(INDEX(Models!$BJ321:$BT321,,T321)*(1-R321)+INDEX(Models!$BJ321:$BT321,,T321+1)*R321-ERP_i)*Q321*Ramure*Pc/MaxiM</f>
        <v>2.1958109538071661E-4</v>
      </c>
      <c r="Q321" s="305">
        <f t="shared" si="105"/>
        <v>0.5</v>
      </c>
      <c r="R321" s="177">
        <f t="shared" si="106"/>
        <v>0.49631616024900377</v>
      </c>
      <c r="S321" s="811">
        <f t="shared" si="107"/>
        <v>0</v>
      </c>
      <c r="T321" s="176">
        <f t="shared" si="108"/>
        <v>6</v>
      </c>
      <c r="U321" s="251">
        <f t="shared" si="109"/>
        <v>0.49631616024900377</v>
      </c>
      <c r="V321" s="383">
        <f t="shared" si="110"/>
        <v>30.856812603577218</v>
      </c>
      <c r="W321" s="402">
        <f t="shared" si="111"/>
        <v>0</v>
      </c>
      <c r="X321" s="157">
        <f t="shared" si="112"/>
        <v>44868</v>
      </c>
      <c r="Y321" s="385">
        <f t="shared" si="113"/>
        <v>9.1277870345555439</v>
      </c>
      <c r="Z321" s="385">
        <f t="shared" si="114"/>
        <v>9.4552003961284203</v>
      </c>
      <c r="AA321" s="386">
        <f t="shared" si="115"/>
        <v>10.262437474250207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7.8659390631830819E-2</v>
      </c>
      <c r="AD321" s="231">
        <f>(INDEX(Models!$BJ321:$BT321,,AH321)*(1-AF321)+INDEX(Models!$BJ321:$BT321,,AH321+1)*AF321-ERP_i)*AE321*Ramure*Pc/MaxiM</f>
        <v>2.1958109538071661E-4</v>
      </c>
      <c r="AE321" s="305">
        <f t="shared" si="117"/>
        <v>0.5</v>
      </c>
      <c r="AF321" s="177">
        <f t="shared" si="118"/>
        <v>0.49631616024900377</v>
      </c>
      <c r="AG321" s="811">
        <f t="shared" si="124"/>
        <v>0</v>
      </c>
      <c r="AH321" s="176">
        <f t="shared" si="119"/>
        <v>6</v>
      </c>
      <c r="AI321" s="225">
        <f t="shared" si="120"/>
        <v>0.49631616024900377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40">
        <v>16.491</v>
      </c>
      <c r="C322" s="841"/>
      <c r="D322" s="393">
        <f t="shared" si="102"/>
        <v>17.082905680233697</v>
      </c>
      <c r="E322" s="385">
        <f t="shared" si="125"/>
        <v>17.999326591768458</v>
      </c>
      <c r="F322" s="385">
        <f t="shared" si="103"/>
        <v>18.00069804346947</v>
      </c>
      <c r="G322" s="110">
        <f t="shared" si="126"/>
        <v>0.53934024673966396</v>
      </c>
      <c r="H322" s="414" t="b">
        <f>Wh_hp&gt;='2021'!Maxi_hp</f>
        <v>0</v>
      </c>
      <c r="I322" s="380">
        <f>IF(H322,Wh_hp,'2021'!Maxi_hp)</f>
        <v>23.180990079496752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3.4649004760272106E-2</v>
      </c>
      <c r="M322" s="845"/>
      <c r="N322" s="845"/>
      <c r="O322" s="48">
        <f>IF(t&lt;Tnet,'2021'!Resal+('2021'!Salim-'2021'!Resal)*(1-EXP(('2021'!Tnet-t)/('2021'!Tau_j))),Resal+(Salim-Resal)*(1-EXP((Tnet-t)/(Tau_j))))*Salcycl</f>
        <v>5.091417764228251E-2</v>
      </c>
      <c r="P322" s="339">
        <f>(INDEX(Models!$BJ322:$BT322,,T322)*(1-R322)+INDEX(Models!$BJ322:$BT322,,T322+1)*R322-ERP_i)*Q322*Ramure*Pc/MaxiM</f>
        <v>2.2275631681525072E-4</v>
      </c>
      <c r="Q322" s="305">
        <f t="shared" si="105"/>
        <v>0.5</v>
      </c>
      <c r="R322" s="177">
        <f t="shared" si="106"/>
        <v>0.49636590519917612</v>
      </c>
      <c r="S322" s="811">
        <f t="shared" si="107"/>
        <v>0</v>
      </c>
      <c r="T322" s="176">
        <f t="shared" si="108"/>
        <v>6</v>
      </c>
      <c r="U322" s="251">
        <f t="shared" si="109"/>
        <v>0.49636590519917612</v>
      </c>
      <c r="V322" s="383">
        <f t="shared" si="110"/>
        <v>30.571764059323705</v>
      </c>
      <c r="W322" s="402">
        <f t="shared" si="111"/>
        <v>0</v>
      </c>
      <c r="X322" s="157">
        <f t="shared" si="112"/>
        <v>44869</v>
      </c>
      <c r="Y322" s="385">
        <f t="shared" si="113"/>
        <v>16.009314614305147</v>
      </c>
      <c r="Z322" s="385">
        <f t="shared" si="114"/>
        <v>16.583931329898839</v>
      </c>
      <c r="AA322" s="386">
        <f t="shared" si="115"/>
        <v>17.999326591768458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7.8636012000410857E-2</v>
      </c>
      <c r="AD322" s="231">
        <f>(INDEX(Models!$BJ322:$BT322,,AH322)*(1-AF322)+INDEX(Models!$BJ322:$BT322,,AH322+1)*AF322-ERP_i)*AE322*Ramure*Pc/MaxiM</f>
        <v>2.2275631681525072E-4</v>
      </c>
      <c r="AE322" s="305">
        <f t="shared" si="117"/>
        <v>0.5</v>
      </c>
      <c r="AF322" s="177">
        <f t="shared" si="118"/>
        <v>0.49636590519917612</v>
      </c>
      <c r="AG322" s="811">
        <f t="shared" si="124"/>
        <v>0</v>
      </c>
      <c r="AH322" s="176">
        <f t="shared" si="119"/>
        <v>6</v>
      </c>
      <c r="AI322" s="225">
        <f t="shared" si="120"/>
        <v>0.49636590519917612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40">
        <v>28.716000000000001</v>
      </c>
      <c r="C323" s="841"/>
      <c r="D323" s="393">
        <f t="shared" si="102"/>
        <v>29.747344861588314</v>
      </c>
      <c r="E323" s="385">
        <f t="shared" si="125"/>
        <v>31.344284562310495</v>
      </c>
      <c r="F323" s="385">
        <f t="shared" si="103"/>
        <v>31.350870837065635</v>
      </c>
      <c r="G323" s="110">
        <f t="shared" si="126"/>
        <v>0.94804841527842243</v>
      </c>
      <c r="H323" s="414" t="b">
        <f>Wh_hp&gt;='2021'!Maxi_hp</f>
        <v>1</v>
      </c>
      <c r="I323" s="380">
        <f>IF(H323,Wh_hp,'2021'!Maxi_hp)</f>
        <v>31.350870837065635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3.4670148424575942E-2</v>
      </c>
      <c r="M323" s="845"/>
      <c r="N323" s="845"/>
      <c r="O323" s="48">
        <f>IF(t&lt;Tnet,'2021'!Resal+('2021'!Salim-'2021'!Resal)*(1-EXP(('2021'!Tnet-t)/('2021'!Tau_j))),Resal+(Salim-Resal)*(1-EXP((Tnet-t)/(Tau_j))))*Salcycl</f>
        <v>5.0948353839359931E-2</v>
      </c>
      <c r="P323" s="339">
        <f>(INDEX(Models!$BJ323:$BT323,,T323)*(1-R323)+INDEX(Models!$BJ323:$BT323,,T323+1)*R323-ERP_i)*Q323*Ramure*Pc/MaxiM</f>
        <v>2.2691861455790673E-4</v>
      </c>
      <c r="Q323" s="305">
        <f t="shared" si="105"/>
        <v>0.5</v>
      </c>
      <c r="R323" s="177">
        <f t="shared" si="106"/>
        <v>0.49641365658956554</v>
      </c>
      <c r="S323" s="811">
        <f t="shared" si="107"/>
        <v>0</v>
      </c>
      <c r="T323" s="176">
        <f t="shared" si="108"/>
        <v>6</v>
      </c>
      <c r="U323" s="251">
        <f t="shared" si="109"/>
        <v>0.49641365658956554</v>
      </c>
      <c r="V323" s="383">
        <f t="shared" si="110"/>
        <v>30.289082260729309</v>
      </c>
      <c r="W323" s="402">
        <f t="shared" si="111"/>
        <v>0</v>
      </c>
      <c r="X323" s="157">
        <f t="shared" si="112"/>
        <v>44870</v>
      </c>
      <c r="Y323" s="385">
        <f t="shared" si="113"/>
        <v>27.878942349478862</v>
      </c>
      <c r="Z323" s="385">
        <f t="shared" si="114"/>
        <v>28.880224002169065</v>
      </c>
      <c r="AA323" s="386">
        <f t="shared" si="115"/>
        <v>31.344284562310495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7.8612754910485444E-2</v>
      </c>
      <c r="AD323" s="231">
        <f>(INDEX(Models!$BJ323:$BT323,,AH323)*(1-AF323)+INDEX(Models!$BJ323:$BT323,,AH323+1)*AF323-ERP_i)*AE323*Ramure*Pc/MaxiM</f>
        <v>2.2691861455790673E-4</v>
      </c>
      <c r="AE323" s="305">
        <f t="shared" si="117"/>
        <v>0.5</v>
      </c>
      <c r="AF323" s="177">
        <f t="shared" si="118"/>
        <v>0.49641365658956554</v>
      </c>
      <c r="AG323" s="811">
        <f t="shared" si="124"/>
        <v>0</v>
      </c>
      <c r="AH323" s="176">
        <f t="shared" si="119"/>
        <v>6</v>
      </c>
      <c r="AI323" s="225">
        <f t="shared" si="120"/>
        <v>0.49641365658956554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40">
        <v>29.584</v>
      </c>
      <c r="C324" s="841"/>
      <c r="D324" s="393">
        <f t="shared" si="102"/>
        <v>30.647190627571945</v>
      </c>
      <c r="E324" s="385">
        <f t="shared" si="125"/>
        <v>32.293599912664064</v>
      </c>
      <c r="F324" s="385">
        <f t="shared" si="103"/>
        <v>32.30095483773875</v>
      </c>
      <c r="G324" s="110">
        <f t="shared" si="126"/>
        <v>0.98582804601215435</v>
      </c>
      <c r="H324" s="414" t="b">
        <f>Wh_hp&gt;='2021'!Maxi_hp</f>
        <v>1</v>
      </c>
      <c r="I324" s="380">
        <f>IF(H324,Wh_hp,'2021'!Maxi_hp)</f>
        <v>32.30095483773875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3.4691291625779219E-2</v>
      </c>
      <c r="M324" s="845"/>
      <c r="N324" s="845"/>
      <c r="O324" s="48">
        <f>IF(t&lt;Tnet,'2021'!Resal+('2021'!Salim-'2021'!Resal)*(1-EXP(('2021'!Tnet-t)/('2021'!Tau_j))),Resal+(Salim-Resal)*(1-EXP((Tnet-t)/(Tau_j))))*Salcycl</f>
        <v>5.0982525625657256E-2</v>
      </c>
      <c r="P324" s="339">
        <f>(INDEX(Models!$BJ324:$BT324,,T324)*(1-R324)+INDEX(Models!$BJ324:$BT324,,T324+1)*R324-ERP_i)*Q324*Ramure*Pc/MaxiM</f>
        <v>2.3240354820576662E-4</v>
      </c>
      <c r="Q324" s="305">
        <f t="shared" si="105"/>
        <v>0.5</v>
      </c>
      <c r="R324" s="177">
        <f t="shared" si="106"/>
        <v>0.49645949395403471</v>
      </c>
      <c r="S324" s="811">
        <f t="shared" si="107"/>
        <v>0</v>
      </c>
      <c r="T324" s="176">
        <f t="shared" si="108"/>
        <v>6</v>
      </c>
      <c r="U324" s="251">
        <f t="shared" si="109"/>
        <v>0.49645949395403471</v>
      </c>
      <c r="V324" s="383">
        <f t="shared" si="110"/>
        <v>30.009149096604379</v>
      </c>
      <c r="W324" s="402">
        <f t="shared" si="111"/>
        <v>0</v>
      </c>
      <c r="X324" s="157">
        <f t="shared" si="112"/>
        <v>44871</v>
      </c>
      <c r="Y324" s="385">
        <f t="shared" si="113"/>
        <v>28.723393409076181</v>
      </c>
      <c r="Z324" s="385">
        <f t="shared" si="114"/>
        <v>29.755655532676492</v>
      </c>
      <c r="AA324" s="386">
        <f t="shared" si="115"/>
        <v>32.293599912664064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7.8589701577132159E-2</v>
      </c>
      <c r="AD324" s="231">
        <f>(INDEX(Models!$BJ324:$BT324,,AH324)*(1-AF324)+INDEX(Models!$BJ324:$BT324,,AH324+1)*AF324-ERP_i)*AE324*Ramure*Pc/MaxiM</f>
        <v>2.3240354820576662E-4</v>
      </c>
      <c r="AE324" s="305">
        <f t="shared" si="117"/>
        <v>0.5</v>
      </c>
      <c r="AF324" s="177">
        <f t="shared" si="118"/>
        <v>0.49645949395403471</v>
      </c>
      <c r="AG324" s="811">
        <f t="shared" si="124"/>
        <v>0</v>
      </c>
      <c r="AH324" s="176">
        <f t="shared" si="119"/>
        <v>6</v>
      </c>
      <c r="AI324" s="225">
        <f t="shared" si="120"/>
        <v>0.49645949395403471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40">
        <v>27.34</v>
      </c>
      <c r="C325" s="841"/>
      <c r="D325" s="393">
        <f t="shared" si="102"/>
        <v>28.323166042218112</v>
      </c>
      <c r="E325" s="385">
        <f t="shared" si="125"/>
        <v>29.845801757474284</v>
      </c>
      <c r="F325" s="385">
        <f t="shared" si="103"/>
        <v>29.852104958050223</v>
      </c>
      <c r="G325" s="110">
        <f t="shared" si="126"/>
        <v>0.91951111746107783</v>
      </c>
      <c r="H325" s="414" t="b">
        <f>Wh_hp&gt;='2021'!Maxi_hp</f>
        <v>1</v>
      </c>
      <c r="I325" s="380">
        <f>IF(H325,Wh_hp,'2021'!Maxi_hp)</f>
        <v>29.852104958050223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3.4712434363892042E-2</v>
      </c>
      <c r="M325" s="845"/>
      <c r="N325" s="845"/>
      <c r="O325" s="48">
        <f>IF(t&lt;Tnet,'2021'!Resal+('2021'!Salim-'2021'!Resal)*(1-EXP(('2021'!Tnet-t)/('2021'!Tau_j))),Resal+(Salim-Resal)*(1-EXP((Tnet-t)/(Tau_j))))*Salcycl</f>
        <v>5.1016746932417666E-2</v>
      </c>
      <c r="P325" s="339">
        <f>(INDEX(Models!$BJ325:$BT325,,T325)*(1-R325)+INDEX(Models!$BJ325:$BT325,,T325+1)*R325-ERP_i)*Q325*Ramure*Pc/MaxiM</f>
        <v>2.3857087414870873E-4</v>
      </c>
      <c r="Q325" s="305">
        <f t="shared" si="105"/>
        <v>0.5</v>
      </c>
      <c r="R325" s="177">
        <f t="shared" si="106"/>
        <v>0.49650349368170582</v>
      </c>
      <c r="S325" s="811">
        <f t="shared" si="107"/>
        <v>0</v>
      </c>
      <c r="T325" s="176">
        <f t="shared" si="108"/>
        <v>6</v>
      </c>
      <c r="U325" s="251">
        <f t="shared" si="109"/>
        <v>0.49650349368170582</v>
      </c>
      <c r="V325" s="383">
        <f t="shared" si="110"/>
        <v>29.732375792332416</v>
      </c>
      <c r="W325" s="402">
        <f t="shared" si="111"/>
        <v>0</v>
      </c>
      <c r="X325" s="157">
        <f t="shared" si="112"/>
        <v>44872</v>
      </c>
      <c r="Y325" s="385">
        <f t="shared" si="113"/>
        <v>26.546285139462544</v>
      </c>
      <c r="Z325" s="385">
        <f t="shared" si="114"/>
        <v>27.500908625057235</v>
      </c>
      <c r="AA325" s="386">
        <f t="shared" si="115"/>
        <v>29.845801757474284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7.8566933851251519E-2</v>
      </c>
      <c r="AD325" s="231">
        <f>(INDEX(Models!$BJ325:$BT325,,AH325)*(1-AF325)+INDEX(Models!$BJ325:$BT325,,AH325+1)*AF325-ERP_i)*AE325*Ramure*Pc/MaxiM</f>
        <v>2.3857087414870873E-4</v>
      </c>
      <c r="AE325" s="305">
        <f t="shared" si="117"/>
        <v>0.5</v>
      </c>
      <c r="AF325" s="177">
        <f t="shared" si="118"/>
        <v>0.49650349368170582</v>
      </c>
      <c r="AG325" s="811">
        <f t="shared" si="124"/>
        <v>0</v>
      </c>
      <c r="AH325" s="176">
        <f t="shared" si="119"/>
        <v>6</v>
      </c>
      <c r="AI325" s="225">
        <f t="shared" si="120"/>
        <v>0.49650349368170582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40">
        <v>20.584</v>
      </c>
      <c r="C326" s="841"/>
      <c r="D326" s="393">
        <f t="shared" si="102"/>
        <v>21.324682493695509</v>
      </c>
      <c r="E326" s="385">
        <f t="shared" si="125"/>
        <v>22.471896907439735</v>
      </c>
      <c r="F326" s="385">
        <f t="shared" si="103"/>
        <v>22.47503884408129</v>
      </c>
      <c r="G326" s="110">
        <f t="shared" si="126"/>
        <v>0.69865636887859328</v>
      </c>
      <c r="H326" s="414" t="b">
        <f>Wh_hp&gt;='2021'!Maxi_hp</f>
        <v>0</v>
      </c>
      <c r="I326" s="380">
        <f>IF(H326,Wh_hp,'2021'!Maxi_hp)</f>
        <v>27.215230575971084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3.4733576638924735E-2</v>
      </c>
      <c r="M326" s="845"/>
      <c r="N326" s="845"/>
      <c r="O326" s="48">
        <f>IF(t&lt;Tnet,'2021'!Resal+('2021'!Salim-'2021'!Resal)*(1-EXP(('2021'!Tnet-t)/('2021'!Tau_j))),Resal+(Salim-Resal)*(1-EXP((Tnet-t)/(Tau_j))))*Salcycl</f>
        <v>5.1051071410194E-2</v>
      </c>
      <c r="P326" s="339">
        <f>(INDEX(Models!$BJ326:$BT326,,T326)*(1-R326)+INDEX(Models!$BJ326:$BT326,,T326+1)*R326-ERP_i)*Q326*Ramure*Pc/MaxiM</f>
        <v>2.4542336094020143E-4</v>
      </c>
      <c r="Q326" s="305">
        <f t="shared" si="105"/>
        <v>0.5</v>
      </c>
      <c r="R326" s="177">
        <f t="shared" si="106"/>
        <v>0.49654572913907186</v>
      </c>
      <c r="S326" s="811">
        <f t="shared" si="107"/>
        <v>0</v>
      </c>
      <c r="T326" s="176">
        <f t="shared" si="108"/>
        <v>6</v>
      </c>
      <c r="U326" s="251">
        <f t="shared" si="109"/>
        <v>0.49654572913907186</v>
      </c>
      <c r="V326" s="383">
        <f t="shared" si="110"/>
        <v>29.459153875892746</v>
      </c>
      <c r="W326" s="402">
        <f t="shared" si="111"/>
        <v>0</v>
      </c>
      <c r="X326" s="157">
        <f t="shared" si="112"/>
        <v>44873</v>
      </c>
      <c r="Y326" s="385">
        <f t="shared" si="113"/>
        <v>19.98762922272272</v>
      </c>
      <c r="Z326" s="385">
        <f t="shared" si="114"/>
        <v>20.706852262741545</v>
      </c>
      <c r="AA326" s="386">
        <f t="shared" si="115"/>
        <v>22.471896907439735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7.8544532843323828E-2</v>
      </c>
      <c r="AD326" s="231">
        <f>(INDEX(Models!$BJ326:$BT326,,AH326)*(1-AF326)+INDEX(Models!$BJ326:$BT326,,AH326+1)*AF326-ERP_i)*AE326*Ramure*Pc/MaxiM</f>
        <v>2.4542336094020143E-4</v>
      </c>
      <c r="AE326" s="305">
        <f t="shared" si="117"/>
        <v>0.5</v>
      </c>
      <c r="AF326" s="177">
        <f t="shared" si="118"/>
        <v>0.49654572913907186</v>
      </c>
      <c r="AG326" s="811">
        <f t="shared" si="124"/>
        <v>0</v>
      </c>
      <c r="AH326" s="176">
        <f t="shared" si="119"/>
        <v>6</v>
      </c>
      <c r="AI326" s="225">
        <f t="shared" si="120"/>
        <v>0.49654572913907186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40">
        <v>9.625</v>
      </c>
      <c r="C327" s="841"/>
      <c r="D327" s="393">
        <f t="shared" si="102"/>
        <v>9.9715587156799472</v>
      </c>
      <c r="E327" s="385">
        <f t="shared" si="125"/>
        <v>10.508385385642775</v>
      </c>
      <c r="F327" s="385">
        <f t="shared" si="103"/>
        <v>10.50849831495395</v>
      </c>
      <c r="G327" s="110">
        <f t="shared" si="126"/>
        <v>0.32965775591419427</v>
      </c>
      <c r="H327" s="414" t="b">
        <f>Wh_hp&gt;='2021'!Maxi_hp</f>
        <v>0</v>
      </c>
      <c r="I327" s="380">
        <f>IF(H327,Wh_hp,'2021'!Maxi_hp)</f>
        <v>21.819080346731017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3.475471845088729E-2</v>
      </c>
      <c r="M327" s="845"/>
      <c r="N327" s="845"/>
      <c r="O327" s="48">
        <f>IF(t&lt;Tnet,'2021'!Resal+('2021'!Salim-'2021'!Resal)*(1-EXP(('2021'!Tnet-t)/('2021'!Tau_j))),Resal+(Salim-Resal)*(1-EXP((Tnet-t)/(Tau_j))))*Salcycl</f>
        <v>5.1085552181620059E-2</v>
      </c>
      <c r="P327" s="339">
        <f>(INDEX(Models!$BJ327:$BT327,,T327)*(1-R327)+INDEX(Models!$BJ327:$BT327,,T327+1)*R327-ERP_i)*Q327*Ramure*Pc/MaxiM</f>
        <v>2.5296345379948419E-4</v>
      </c>
      <c r="Q327" s="305">
        <f t="shared" si="105"/>
        <v>0.5</v>
      </c>
      <c r="R327" s="177">
        <f t="shared" si="106"/>
        <v>0.49658627078754136</v>
      </c>
      <c r="S327" s="811">
        <f t="shared" si="107"/>
        <v>0</v>
      </c>
      <c r="T327" s="176">
        <f t="shared" si="108"/>
        <v>6</v>
      </c>
      <c r="U327" s="251">
        <f t="shared" si="109"/>
        <v>0.49658627078754136</v>
      </c>
      <c r="V327" s="383">
        <f t="shared" si="110"/>
        <v>29.189874844099815</v>
      </c>
      <c r="W327" s="402">
        <f t="shared" si="111"/>
        <v>0</v>
      </c>
      <c r="X327" s="157">
        <f t="shared" si="112"/>
        <v>44874</v>
      </c>
      <c r="Y327" s="385">
        <f t="shared" si="113"/>
        <v>9.3467015934476851</v>
      </c>
      <c r="Z327" s="385">
        <f t="shared" si="114"/>
        <v>9.6832398687795251</v>
      </c>
      <c r="AA327" s="386">
        <f t="shared" si="115"/>
        <v>10.508385385642775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7.8522578548614788E-2</v>
      </c>
      <c r="AD327" s="231">
        <f>(INDEX(Models!$BJ327:$BT327,,AH327)*(1-AF327)+INDEX(Models!$BJ327:$BT327,,AH327+1)*AF327-ERP_i)*AE327*Ramure*Pc/MaxiM</f>
        <v>2.5296345379948419E-4</v>
      </c>
      <c r="AE327" s="305">
        <f t="shared" si="117"/>
        <v>0.5</v>
      </c>
      <c r="AF327" s="177">
        <f t="shared" si="118"/>
        <v>0.49658627078754136</v>
      </c>
      <c r="AG327" s="811">
        <f t="shared" si="124"/>
        <v>0</v>
      </c>
      <c r="AH327" s="176">
        <f t="shared" si="119"/>
        <v>6</v>
      </c>
      <c r="AI327" s="225">
        <f t="shared" si="120"/>
        <v>0.49658627078754136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40">
        <v>19.988</v>
      </c>
      <c r="C328" s="841"/>
      <c r="D328" s="393">
        <f t="shared" si="102"/>
        <v>20.708143494892305</v>
      </c>
      <c r="E328" s="385">
        <f t="shared" si="125"/>
        <v>21.823780422623333</v>
      </c>
      <c r="F328" s="385">
        <f t="shared" si="103"/>
        <v>21.826965115054627</v>
      </c>
      <c r="G328" s="110">
        <f t="shared" si="126"/>
        <v>0.69095051195548429</v>
      </c>
      <c r="H328" s="414" t="b">
        <f>Wh_hp&gt;='2021'!Maxi_hp</f>
        <v>1</v>
      </c>
      <c r="I328" s="380">
        <f>IF(H328,Wh_hp,'2021'!Maxi_hp)</f>
        <v>21.826965115054627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3.4775859799789921E-2</v>
      </c>
      <c r="M328" s="845"/>
      <c r="N328" s="845"/>
      <c r="O328" s="48">
        <f>IF(t&lt;Tnet,'2021'!Resal+('2021'!Salim-'2021'!Resal)*(1-EXP(('2021'!Tnet-t)/('2021'!Tau_j))),Resal+(Salim-Resal)*(1-EXP((Tnet-t)/(Tau_j))))*Salcycl</f>
        <v>5.1120241595471599E-2</v>
      </c>
      <c r="P328" s="339">
        <f>(INDEX(Models!$BJ328:$BT328,,T328)*(1-R328)+INDEX(Models!$BJ328:$BT328,,T328+1)*R328-ERP_i)*Q328*Ramure*Pc/MaxiM</f>
        <v>2.6119321561433992E-4</v>
      </c>
      <c r="Q328" s="305">
        <f t="shared" si="105"/>
        <v>0.5</v>
      </c>
      <c r="R328" s="177">
        <f t="shared" si="106"/>
        <v>0.49662518629657654</v>
      </c>
      <c r="S328" s="811">
        <f t="shared" si="107"/>
        <v>0</v>
      </c>
      <c r="T328" s="176">
        <f t="shared" si="108"/>
        <v>6</v>
      </c>
      <c r="U328" s="251">
        <f t="shared" si="109"/>
        <v>0.49662518629657654</v>
      </c>
      <c r="V328" s="383">
        <f t="shared" si="110"/>
        <v>28.924930170397779</v>
      </c>
      <c r="W328" s="402">
        <f t="shared" si="111"/>
        <v>0</v>
      </c>
      <c r="X328" s="157">
        <f t="shared" si="112"/>
        <v>44875</v>
      </c>
      <c r="Y328" s="385">
        <f t="shared" si="113"/>
        <v>19.411225564801185</v>
      </c>
      <c r="Z328" s="385">
        <f t="shared" si="114"/>
        <v>20.110588573525359</v>
      </c>
      <c r="AA328" s="386">
        <f t="shared" si="115"/>
        <v>21.823780422623333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7.8501149476468163E-2</v>
      </c>
      <c r="AD328" s="231">
        <f>(INDEX(Models!$BJ328:$BT328,,AH328)*(1-AF328)+INDEX(Models!$BJ328:$BT328,,AH328+1)*AF328-ERP_i)*AE328*Ramure*Pc/MaxiM</f>
        <v>2.6119321561433992E-4</v>
      </c>
      <c r="AE328" s="305">
        <f t="shared" si="117"/>
        <v>0.5</v>
      </c>
      <c r="AF328" s="177">
        <f t="shared" si="118"/>
        <v>0.49662518629657654</v>
      </c>
      <c r="AG328" s="811">
        <f t="shared" si="124"/>
        <v>0</v>
      </c>
      <c r="AH328" s="176">
        <f t="shared" si="119"/>
        <v>6</v>
      </c>
      <c r="AI328" s="225">
        <f t="shared" si="120"/>
        <v>0.49662518629657654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40">
        <v>27.071000000000002</v>
      </c>
      <c r="C329" s="841"/>
      <c r="D329" s="393">
        <f t="shared" si="102"/>
        <v>28.046949728948405</v>
      </c>
      <c r="E329" s="385">
        <f t="shared" si="125"/>
        <v>29.559048500278237</v>
      </c>
      <c r="F329" s="385">
        <f t="shared" si="103"/>
        <v>29.566400484351405</v>
      </c>
      <c r="G329" s="110">
        <f t="shared" si="126"/>
        <v>0.94438136087457381</v>
      </c>
      <c r="H329" s="414" t="b">
        <f>Wh_hp&gt;='2021'!Maxi_hp</f>
        <v>1</v>
      </c>
      <c r="I329" s="380">
        <f>IF(H329,Wh_hp,'2021'!Maxi_hp)</f>
        <v>29.566400484351405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3.4797000685642732E-2</v>
      </c>
      <c r="M329" s="845"/>
      <c r="N329" s="845"/>
      <c r="O329" s="48">
        <f>IF(t&lt;Tnet,'2021'!Resal+('2021'!Salim-'2021'!Resal)*(1-EXP(('2021'!Tnet-t)/('2021'!Tau_j))),Resal+(Salim-Resal)*(1-EXP((Tnet-t)/(Tau_j))))*Salcycl</f>
        <v>5.1155190983755809E-2</v>
      </c>
      <c r="P329" s="339">
        <f>(INDEX(Models!$BJ329:$BT329,,T329)*(1-R329)+INDEX(Models!$BJ329:$BT329,,T329+1)*R329-ERP_i)*Q329*Ramure*Pc/MaxiM</f>
        <v>2.7011426100745042E-4</v>
      </c>
      <c r="Q329" s="305">
        <f t="shared" si="105"/>
        <v>0.5</v>
      </c>
      <c r="R329" s="177">
        <f t="shared" si="106"/>
        <v>0.49666254065257365</v>
      </c>
      <c r="S329" s="811">
        <f t="shared" si="107"/>
        <v>0</v>
      </c>
      <c r="T329" s="176">
        <f t="shared" si="108"/>
        <v>6</v>
      </c>
      <c r="U329" s="251">
        <f t="shared" si="109"/>
        <v>0.49666254065257365</v>
      </c>
      <c r="V329" s="383">
        <f t="shared" si="110"/>
        <v>28.664711303554611</v>
      </c>
      <c r="W329" s="402">
        <f t="shared" si="111"/>
        <v>0</v>
      </c>
      <c r="X329" s="157">
        <f t="shared" si="112"/>
        <v>44876</v>
      </c>
      <c r="Y329" s="385">
        <f t="shared" si="113"/>
        <v>26.291400825864894</v>
      </c>
      <c r="Z329" s="385">
        <f t="shared" si="114"/>
        <v>27.239244847499734</v>
      </c>
      <c r="AA329" s="386">
        <f t="shared" si="115"/>
        <v>29.559048500278237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7.8480322286309925E-2</v>
      </c>
      <c r="AD329" s="231">
        <f>(INDEX(Models!$BJ329:$BT329,,AH329)*(1-AF329)+INDEX(Models!$BJ329:$BT329,,AH329+1)*AF329-ERP_i)*AE329*Ramure*Pc/MaxiM</f>
        <v>2.7011426100745042E-4</v>
      </c>
      <c r="AE329" s="305">
        <f t="shared" si="117"/>
        <v>0.5</v>
      </c>
      <c r="AF329" s="177">
        <f t="shared" si="118"/>
        <v>0.49666254065257365</v>
      </c>
      <c r="AG329" s="811">
        <f t="shared" si="124"/>
        <v>0</v>
      </c>
      <c r="AH329" s="176">
        <f t="shared" si="119"/>
        <v>6</v>
      </c>
      <c r="AI329" s="225">
        <f t="shared" si="120"/>
        <v>0.49666254065257365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40">
        <v>27.116</v>
      </c>
      <c r="C330" s="841"/>
      <c r="D330" s="393">
        <f t="shared" si="102"/>
        <v>28.094187380543154</v>
      </c>
      <c r="E330" s="385">
        <f t="shared" si="125"/>
        <v>29.609933197958014</v>
      </c>
      <c r="F330" s="385">
        <f t="shared" si="103"/>
        <v>29.617679160087185</v>
      </c>
      <c r="G330" s="110">
        <f t="shared" si="126"/>
        <v>0.95444839901366296</v>
      </c>
      <c r="H330" s="414" t="b">
        <f>Wh_hp&gt;='2021'!Maxi_hp</f>
        <v>1</v>
      </c>
      <c r="I330" s="380">
        <f>IF(H330,Wh_hp,'2021'!Maxi_hp)</f>
        <v>29.617679160087185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3.4818141108455936E-2</v>
      </c>
      <c r="M330" s="845"/>
      <c r="N330" s="845"/>
      <c r="O330" s="48">
        <f>IF(t&lt;Tnet,'2021'!Resal+('2021'!Salim-'2021'!Resal)*(1-EXP(('2021'!Tnet-t)/('2021'!Tau_j))),Resal+(Salim-Resal)*(1-EXP((Tnet-t)/(Tau_j))))*Salcycl</f>
        <v>5.1190450423555522E-2</v>
      </c>
      <c r="P330" s="339">
        <f>(INDEX(Models!$BJ330:$BT330,,T330)*(1-R330)+INDEX(Models!$BJ330:$BT330,,T330+1)*R330-ERP_i)*Q330*Ramure*Pc/MaxiM</f>
        <v>2.7972768266940751E-4</v>
      </c>
      <c r="Q330" s="305">
        <f t="shared" si="105"/>
        <v>0.5</v>
      </c>
      <c r="R330" s="177">
        <f t="shared" si="106"/>
        <v>0.49669839626363688</v>
      </c>
      <c r="S330" s="811">
        <f t="shared" si="107"/>
        <v>0</v>
      </c>
      <c r="T330" s="176">
        <f t="shared" si="108"/>
        <v>6</v>
      </c>
      <c r="U330" s="251">
        <f t="shared" si="109"/>
        <v>0.49669839626363688</v>
      </c>
      <c r="V330" s="383">
        <f t="shared" si="110"/>
        <v>28.409609672788154</v>
      </c>
      <c r="W330" s="402">
        <f t="shared" si="111"/>
        <v>0</v>
      </c>
      <c r="X330" s="157">
        <f t="shared" si="112"/>
        <v>44877</v>
      </c>
      <c r="Y330" s="385">
        <f t="shared" si="113"/>
        <v>26.33665945139272</v>
      </c>
      <c r="Z330" s="385">
        <f t="shared" si="114"/>
        <v>27.28673276312804</v>
      </c>
      <c r="AA330" s="386">
        <f t="shared" si="115"/>
        <v>29.609933197958014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7.8460171432949741E-2</v>
      </c>
      <c r="AD330" s="231">
        <f>(INDEX(Models!$BJ330:$BT330,,AH330)*(1-AF330)+INDEX(Models!$BJ330:$BT330,,AH330+1)*AF330-ERP_i)*AE330*Ramure*Pc/MaxiM</f>
        <v>2.7972768266940751E-4</v>
      </c>
      <c r="AE330" s="305">
        <f t="shared" si="117"/>
        <v>0.5</v>
      </c>
      <c r="AF330" s="177">
        <f t="shared" si="118"/>
        <v>0.49669839626363688</v>
      </c>
      <c r="AG330" s="811">
        <f t="shared" si="124"/>
        <v>0</v>
      </c>
      <c r="AH330" s="176">
        <f t="shared" si="119"/>
        <v>6</v>
      </c>
      <c r="AI330" s="225">
        <f t="shared" si="120"/>
        <v>0.49669839626363688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40">
        <v>26.193000000000001</v>
      </c>
      <c r="C331" s="841"/>
      <c r="D331" s="393">
        <f t="shared" si="102"/>
        <v>27.138485317751439</v>
      </c>
      <c r="E331" s="385">
        <f t="shared" si="125"/>
        <v>28.603742595455007</v>
      </c>
      <c r="F331" s="385">
        <f t="shared" si="103"/>
        <v>28.611213544103961</v>
      </c>
      <c r="G331" s="110">
        <f t="shared" si="126"/>
        <v>0.93016119374391903</v>
      </c>
      <c r="H331" s="414" t="b">
        <f>Wh_hp&gt;='2021'!Maxi_hp</f>
        <v>0</v>
      </c>
      <c r="I331" s="380">
        <f>IF(H331,Wh_hp,'2021'!Maxi_hp)</f>
        <v>29.179515996539571</v>
      </c>
      <c r="J331" s="85">
        <f>IF(H331,An,'2021'!An_max)</f>
        <v>2020</v>
      </c>
      <c r="K331" s="197">
        <f t="shared" si="104"/>
        <v>44878</v>
      </c>
      <c r="L331" s="147">
        <f>IF(t&lt;Tvie,1-EXP((T0-t)*PertePVj)+'2021'!Pspv,1-EXP((T0-t)*PertePVj)+Pspv)</f>
        <v>3.4839281068239636E-2</v>
      </c>
      <c r="M331" s="845"/>
      <c r="N331" s="845"/>
      <c r="O331" s="48">
        <f>IF(t&lt;Tnet,'2021'!Resal+('2021'!Salim-'2021'!Resal)*(1-EXP(('2021'!Tnet-t)/('2021'!Tau_j))),Resal+(Salim-Resal)*(1-EXP((Tnet-t)/(Tau_j))))*Salcycl</f>
        <v>5.1226068505328785E-2</v>
      </c>
      <c r="P331" s="339">
        <f>(INDEX(Models!$BJ331:$BT331,,T331)*(1-R331)+INDEX(Models!$BJ331:$BT331,,T331+1)*R331-ERP_i)*Q331*Ramure*Pc/MaxiM</f>
        <v>2.9004628615478327E-4</v>
      </c>
      <c r="Q331" s="305">
        <f t="shared" si="105"/>
        <v>0.5</v>
      </c>
      <c r="R331" s="177">
        <f t="shared" si="106"/>
        <v>0.49673281306038758</v>
      </c>
      <c r="S331" s="811">
        <f t="shared" si="107"/>
        <v>0</v>
      </c>
      <c r="T331" s="176">
        <f t="shared" si="108"/>
        <v>6</v>
      </c>
      <c r="U331" s="251">
        <f t="shared" si="109"/>
        <v>0.49673281306038758</v>
      </c>
      <c r="V331" s="383">
        <f t="shared" si="110"/>
        <v>28.158820537331838</v>
      </c>
      <c r="W331" s="402">
        <f t="shared" si="111"/>
        <v>0</v>
      </c>
      <c r="X331" s="157">
        <f t="shared" si="112"/>
        <v>44878</v>
      </c>
      <c r="Y331" s="385">
        <f t="shared" si="113"/>
        <v>25.441678086763723</v>
      </c>
      <c r="Z331" s="385">
        <f t="shared" si="114"/>
        <v>26.360043035032099</v>
      </c>
      <c r="AA331" s="386">
        <f t="shared" si="115"/>
        <v>28.603742595455007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7.8440768823707027E-2</v>
      </c>
      <c r="AD331" s="231">
        <f>(INDEX(Models!$BJ331:$BT331,,AH331)*(1-AF331)+INDEX(Models!$BJ331:$BT331,,AH331+1)*AF331-ERP_i)*AE331*Ramure*Pc/MaxiM</f>
        <v>2.9004628615478327E-4</v>
      </c>
      <c r="AE331" s="305">
        <f t="shared" si="117"/>
        <v>0.5</v>
      </c>
      <c r="AF331" s="177">
        <f t="shared" si="118"/>
        <v>0.49673281306038758</v>
      </c>
      <c r="AG331" s="811">
        <f t="shared" si="124"/>
        <v>0</v>
      </c>
      <c r="AH331" s="176">
        <f t="shared" si="119"/>
        <v>6</v>
      </c>
      <c r="AI331" s="225">
        <f t="shared" si="120"/>
        <v>0.49673281306038758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40">
        <v>9.2230000000000008</v>
      </c>
      <c r="C332" s="841"/>
      <c r="D332" s="393">
        <f t="shared" si="102"/>
        <v>9.5561307364466934</v>
      </c>
      <c r="E332" s="385">
        <f t="shared" si="125"/>
        <v>10.072466438800552</v>
      </c>
      <c r="F332" s="385">
        <f t="shared" si="103"/>
        <v>10.072598306984883</v>
      </c>
      <c r="G332" s="110">
        <f t="shared" si="126"/>
        <v>0.33034396983395875</v>
      </c>
      <c r="H332" s="414" t="b">
        <f>Wh_hp&gt;='2021'!Maxi_hp</f>
        <v>0</v>
      </c>
      <c r="I332" s="380">
        <f>IF(H332,Wh_hp,'2021'!Maxi_hp)</f>
        <v>19.900379192311398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3.4860420565003936E-2</v>
      </c>
      <c r="M332" s="845"/>
      <c r="N332" s="845"/>
      <c r="O332" s="48">
        <f>IF(t&lt;Tnet,'2021'!Resal+('2021'!Salim-'2021'!Resal)*(1-EXP(('2021'!Tnet-t)/('2021'!Tau_j))),Resal+(Salim-Resal)*(1-EXP((Tnet-t)/(Tau_j))))*Salcycl</f>
        <v>5.1262092109323025E-2</v>
      </c>
      <c r="P332" s="339">
        <f>(INDEX(Models!$BJ332:$BT332,,T332)*(1-R332)+INDEX(Models!$BJ332:$BT332,,T332+1)*R332-ERP_i)*Q332*Ramure*Pc/MaxiM</f>
        <v>3.010678087328529E-4</v>
      </c>
      <c r="Q332" s="305">
        <f t="shared" si="105"/>
        <v>0.5</v>
      </c>
      <c r="R332" s="177">
        <f t="shared" si="106"/>
        <v>0.49676584859294926</v>
      </c>
      <c r="S332" s="811">
        <f t="shared" si="107"/>
        <v>0</v>
      </c>
      <c r="T332" s="176">
        <f t="shared" si="108"/>
        <v>6</v>
      </c>
      <c r="U332" s="251">
        <f t="shared" si="109"/>
        <v>0.49676584859294926</v>
      </c>
      <c r="V332" s="383">
        <f t="shared" si="110"/>
        <v>27.911343339783794</v>
      </c>
      <c r="W332" s="402">
        <f t="shared" si="111"/>
        <v>0</v>
      </c>
      <c r="X332" s="157">
        <f t="shared" si="112"/>
        <v>44879</v>
      </c>
      <c r="Y332" s="385">
        <f t="shared" si="113"/>
        <v>8.958967625285327</v>
      </c>
      <c r="Z332" s="385">
        <f t="shared" si="114"/>
        <v>9.2825616275420089</v>
      </c>
      <c r="AA332" s="386">
        <f t="shared" si="115"/>
        <v>10.072466438800552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7.8422183489807396E-2</v>
      </c>
      <c r="AD332" s="231">
        <f>(INDEX(Models!$BJ332:$BT332,,AH332)*(1-AF332)+INDEX(Models!$BJ332:$BT332,,AH332+1)*AF332-ERP_i)*AE332*Ramure*Pc/MaxiM</f>
        <v>3.010678087328529E-4</v>
      </c>
      <c r="AE332" s="305">
        <f t="shared" si="117"/>
        <v>0.5</v>
      </c>
      <c r="AF332" s="177">
        <f t="shared" si="118"/>
        <v>0.49676584859294926</v>
      </c>
      <c r="AG332" s="811">
        <f t="shared" si="124"/>
        <v>0</v>
      </c>
      <c r="AH332" s="176">
        <f t="shared" si="119"/>
        <v>6</v>
      </c>
      <c r="AI332" s="225">
        <f t="shared" si="120"/>
        <v>0.49676584859294926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40">
        <v>11.993</v>
      </c>
      <c r="C333" s="841"/>
      <c r="D333" s="393">
        <f t="shared" si="102"/>
        <v>12.426454099264745</v>
      </c>
      <c r="E333" s="385">
        <f t="shared" si="125"/>
        <v>13.098382332344821</v>
      </c>
      <c r="F333" s="385">
        <f t="shared" si="103"/>
        <v>13.099162749464696</v>
      </c>
      <c r="G333" s="110">
        <f t="shared" si="126"/>
        <v>0.43336262583802021</v>
      </c>
      <c r="H333" s="414" t="b">
        <f>Wh_hp&gt;='2021'!Maxi_hp</f>
        <v>0</v>
      </c>
      <c r="I333" s="380">
        <f>IF(H333,Wh_hp,'2021'!Maxi_hp)</f>
        <v>27.219183293094108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3.4881559598758938E-2</v>
      </c>
      <c r="M333" s="845"/>
      <c r="N333" s="845"/>
      <c r="O333" s="48">
        <f>IF(t&lt;Tnet,'2021'!Resal+('2021'!Salim-'2021'!Resal)*(1-EXP(('2021'!Tnet-t)/('2021'!Tau_j))),Resal+(Salim-Resal)*(1-EXP((Tnet-t)/(Tau_j))))*Salcycl</f>
        <v>5.1298566191706862E-2</v>
      </c>
      <c r="P333" s="339">
        <f>(INDEX(Models!$BJ333:$BT333,,T333)*(1-R333)+INDEX(Models!$BJ333:$BT333,,T333+1)*R333-ERP_i)*Q333*Ramure*Pc/MaxiM</f>
        <v>3.1245703901439104E-4</v>
      </c>
      <c r="Q333" s="305">
        <f t="shared" si="105"/>
        <v>0.5</v>
      </c>
      <c r="R333" s="177">
        <f t="shared" si="106"/>
        <v>0.49679755812424437</v>
      </c>
      <c r="S333" s="811">
        <f t="shared" si="107"/>
        <v>0</v>
      </c>
      <c r="T333" s="176">
        <f t="shared" si="108"/>
        <v>6</v>
      </c>
      <c r="U333" s="251">
        <f t="shared" si="109"/>
        <v>0.49679755812424437</v>
      </c>
      <c r="V333" s="383">
        <f t="shared" si="110"/>
        <v>27.667284444313502</v>
      </c>
      <c r="W333" s="402">
        <f t="shared" si="111"/>
        <v>0</v>
      </c>
      <c r="X333" s="157">
        <f t="shared" si="112"/>
        <v>44880</v>
      </c>
      <c r="Y333" s="385">
        <f t="shared" si="113"/>
        <v>11.650340836640568</v>
      </c>
      <c r="Z333" s="385">
        <f t="shared" si="114"/>
        <v>12.071410460043664</v>
      </c>
      <c r="AA333" s="386">
        <f t="shared" si="115"/>
        <v>13.098382332344821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7.8404481274392035E-2</v>
      </c>
      <c r="AD333" s="231">
        <f>(INDEX(Models!$BJ333:$BT333,,AH333)*(1-AF333)+INDEX(Models!$BJ333:$BT333,,AH333+1)*AF333-ERP_i)*AE333*Ramure*Pc/MaxiM</f>
        <v>3.1245703901439104E-4</v>
      </c>
      <c r="AE333" s="305">
        <f t="shared" si="117"/>
        <v>0.5</v>
      </c>
      <c r="AF333" s="177">
        <f t="shared" si="118"/>
        <v>0.49679755812424437</v>
      </c>
      <c r="AG333" s="811">
        <f t="shared" si="124"/>
        <v>0</v>
      </c>
      <c r="AH333" s="176">
        <f t="shared" si="119"/>
        <v>6</v>
      </c>
      <c r="AI333" s="225">
        <f t="shared" si="120"/>
        <v>0.49679755812424437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40">
        <v>26.626000000000001</v>
      </c>
      <c r="C334" s="841"/>
      <c r="D334" s="393">
        <f t="shared" si="102"/>
        <v>27.588928027773864</v>
      </c>
      <c r="E334" s="385">
        <f t="shared" si="125"/>
        <v>29.081860873258758</v>
      </c>
      <c r="F334" s="385">
        <f t="shared" si="103"/>
        <v>29.09089929988528</v>
      </c>
      <c r="G334" s="110">
        <f t="shared" si="126"/>
        <v>0.9707912505610351</v>
      </c>
      <c r="H334" s="414" t="b">
        <f>Wh_hp&gt;='2021'!Maxi_hp</f>
        <v>1</v>
      </c>
      <c r="I334" s="380">
        <f>IF(H334,Wh_hp,'2021'!Maxi_hp)</f>
        <v>29.09089929988528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3.4902698169514967E-2</v>
      </c>
      <c r="M334" s="845"/>
      <c r="N334" s="845"/>
      <c r="O334" s="48">
        <f>IF(t&lt;Tnet,'2021'!Resal+('2021'!Salim-'2021'!Resal)*(1-EXP(('2021'!Tnet-t)/('2021'!Tau_j))),Resal+(Salim-Resal)*(1-EXP((Tnet-t)/(Tau_j))))*Salcycl</f>
        <v>5.1335533581954217E-2</v>
      </c>
      <c r="P334" s="339">
        <f>(INDEX(Models!$BJ334:$BT334,,T334)*(1-R334)+INDEX(Models!$BJ334:$BT334,,T334+1)*R334-ERP_i)*Q334*Ramure*Pc/MaxiM</f>
        <v>3.2421853467208013E-4</v>
      </c>
      <c r="Q334" s="305">
        <f t="shared" si="105"/>
        <v>0.5</v>
      </c>
      <c r="R334" s="177">
        <f t="shared" si="106"/>
        <v>0.49682799471973393</v>
      </c>
      <c r="S334" s="811">
        <f t="shared" si="107"/>
        <v>0</v>
      </c>
      <c r="T334" s="176">
        <f t="shared" si="108"/>
        <v>6</v>
      </c>
      <c r="U334" s="251">
        <f t="shared" si="109"/>
        <v>0.49682799471973393</v>
      </c>
      <c r="V334" s="383">
        <f t="shared" si="110"/>
        <v>27.426740632687139</v>
      </c>
      <c r="W334" s="402">
        <f t="shared" si="111"/>
        <v>0</v>
      </c>
      <c r="X334" s="157">
        <f t="shared" si="112"/>
        <v>44881</v>
      </c>
      <c r="Y334" s="385">
        <f t="shared" si="113"/>
        <v>25.866730878061045</v>
      </c>
      <c r="Z334" s="385">
        <f t="shared" si="114"/>
        <v>26.802199974033726</v>
      </c>
      <c r="AA334" s="386">
        <f t="shared" si="115"/>
        <v>29.081860873258758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7.8387724539361131E-2</v>
      </c>
      <c r="AD334" s="231">
        <f>(INDEX(Models!$BJ334:$BT334,,AH334)*(1-AF334)+INDEX(Models!$BJ334:$BT334,,AH334+1)*AF334-ERP_i)*AE334*Ramure*Pc/MaxiM</f>
        <v>3.2421853467208013E-4</v>
      </c>
      <c r="AE334" s="305">
        <f t="shared" si="117"/>
        <v>0.5</v>
      </c>
      <c r="AF334" s="177">
        <f t="shared" si="118"/>
        <v>0.49682799471973393</v>
      </c>
      <c r="AG334" s="811">
        <f t="shared" si="124"/>
        <v>0</v>
      </c>
      <c r="AH334" s="176">
        <f t="shared" si="119"/>
        <v>6</v>
      </c>
      <c r="AI334" s="225">
        <f t="shared" si="120"/>
        <v>0.49682799471973393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40">
        <v>12.463000000000001</v>
      </c>
      <c r="C335" s="841"/>
      <c r="D335" s="393">
        <f t="shared" ref="D335:D379" si="127">Wh/(1-Ppv)</f>
        <v>12.914006654070489</v>
      </c>
      <c r="E335" s="385">
        <f t="shared" si="125"/>
        <v>13.613366610606084</v>
      </c>
      <c r="F335" s="385">
        <f t="shared" ref="F335:F379" si="128">Wh_sa/(1-Pvg*MEDIAN((-Sdif+Wh/Env_an)/Csdif,0,1))</f>
        <v>13.614402646242334</v>
      </c>
      <c r="G335" s="110">
        <f t="shared" si="126"/>
        <v>0.45825096704950036</v>
      </c>
      <c r="H335" s="414" t="b">
        <f>Wh_hp&gt;='2021'!Maxi_hp</f>
        <v>0</v>
      </c>
      <c r="I335" s="380">
        <f>IF(H335,Wh_hp,'2021'!Maxi_hp)</f>
        <v>28.670073792979203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3.4923836277282017E-2</v>
      </c>
      <c r="M335" s="845"/>
      <c r="N335" s="845"/>
      <c r="O335" s="48">
        <f>IF(t&lt;Tnet,'2021'!Resal+('2021'!Salim-'2021'!Resal)*(1-EXP(('2021'!Tnet-t)/('2021'!Tau_j))),Resal+(Salim-Resal)*(1-EXP((Tnet-t)/(Tau_j))))*Salcycl</f>
        <v>5.1373034792931239E-2</v>
      </c>
      <c r="P335" s="339">
        <f>(INDEX(Models!$BJ335:$BT335,,T335)*(1-R335)+INDEX(Models!$BJ335:$BT335,,T335+1)*R335-ERP_i)*Q335*Ramure*Pc/MaxiM</f>
        <v>3.3635701036024474E-4</v>
      </c>
      <c r="Q335" s="305">
        <f t="shared" ref="Q335:Q379" si="130">IF(OR(t&lt;Ttai,Notai),Dd+PousD*Croivg,Dens+PousD*(Croivg-Croi_tai))</f>
        <v>0.5</v>
      </c>
      <c r="R335" s="177">
        <f t="shared" ref="R335:R379" si="131">(Hp_vg-S335)/(INDEX(Echel_vg,T335+1)-S335)</f>
        <v>0.49685720933372818</v>
      </c>
      <c r="S335" s="81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0.49685720933372818</v>
      </c>
      <c r="V335" s="383">
        <f t="shared" ref="V335:V379" si="135">MaxiM*(1-Ppv)*(1-Pvg)*(1-Psa)</f>
        <v>27.189808745133618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12.108289702463482</v>
      </c>
      <c r="Z335" s="385">
        <f t="shared" ref="Z335:Z379" si="139">Wh_sa_s*(1-Psa_s)</f>
        <v>12.546460225228804</v>
      </c>
      <c r="AA335" s="386">
        <f t="shared" ref="AA335:AA379" si="140">Wh_hp*(1-Pvg_s*MEDIAN((-Sdif+Wh/Env_an)/Csdif,0,1))</f>
        <v>13.613366610606084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7.8371971893128972E-2</v>
      </c>
      <c r="AD335" s="231">
        <f>(INDEX(Models!$BJ335:$BT335,,AH335)*(1-AF335)+INDEX(Models!$BJ335:$BT335,,AH335+1)*AF335-ERP_i)*AE335*Ramure*Pc/MaxiM</f>
        <v>3.3635701036024474E-4</v>
      </c>
      <c r="AE335" s="305">
        <f t="shared" ref="AE335:AE379" si="142">IF(OR(t&lt;Ttai,Notai),Dd_s+PousD*Croivg,Dens_s+PousD*(Croivg-Croi_tai))</f>
        <v>0.5</v>
      </c>
      <c r="AF335" s="177">
        <f t="shared" ref="AF335:AF379" si="143">(Hp_vg_s-AG335)/(INDEX(Echel_vg,AH335+1)-AG335)</f>
        <v>0.49685720933372818</v>
      </c>
      <c r="AG335" s="81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0.49685720933372818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40">
        <v>14.793000000000001</v>
      </c>
      <c r="C336" s="841"/>
      <c r="D336" s="393">
        <f t="shared" si="127"/>
        <v>15.328659610343754</v>
      </c>
      <c r="E336" s="385">
        <f t="shared" si="125"/>
        <v>16.159434015214803</v>
      </c>
      <c r="F336" s="385">
        <f t="shared" si="128"/>
        <v>16.161437817715107</v>
      </c>
      <c r="G336" s="110">
        <f t="shared" si="126"/>
        <v>0.54864784991976001</v>
      </c>
      <c r="H336" s="414" t="b">
        <f>Wh_hp&gt;='2021'!Maxi_hp</f>
        <v>0</v>
      </c>
      <c r="I336" s="380">
        <f>IF(H336,Wh_hp,'2021'!Maxi_hp)</f>
        <v>27.452705708144066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3.4944973922070188E-2</v>
      </c>
      <c r="M336" s="845"/>
      <c r="N336" s="845"/>
      <c r="O336" s="48">
        <f>IF(t&lt;Tnet,'2021'!Resal+('2021'!Salim-'2021'!Resal)*(1-EXP(('2021'!Tnet-t)/('2021'!Tau_j))),Resal+(Salim-Resal)*(1-EXP((Tnet-t)/(Tau_j))))*Salcycl</f>
        <v>5.1411107845041999E-2</v>
      </c>
      <c r="P336" s="339">
        <f>(INDEX(Models!$BJ336:$BT336,,T336)*(1-R336)+INDEX(Models!$BJ336:$BT336,,T336+1)*R336-ERP_i)*Q336*Ramure*Pc/MaxiM</f>
        <v>3.4887730595535002E-4</v>
      </c>
      <c r="Q336" s="305">
        <f t="shared" si="130"/>
        <v>0.5</v>
      </c>
      <c r="R336" s="177">
        <f t="shared" si="131"/>
        <v>0.49688525089239155</v>
      </c>
      <c r="S336" s="811">
        <f t="shared" si="132"/>
        <v>0</v>
      </c>
      <c r="T336" s="176">
        <f t="shared" si="133"/>
        <v>6</v>
      </c>
      <c r="U336" s="251">
        <f t="shared" si="134"/>
        <v>0.49688525089239155</v>
      </c>
      <c r="V336" s="383">
        <f t="shared" si="135"/>
        <v>26.956585689942216</v>
      </c>
      <c r="W336" s="402">
        <f t="shared" si="136"/>
        <v>0</v>
      </c>
      <c r="X336" s="157">
        <f t="shared" si="137"/>
        <v>44883</v>
      </c>
      <c r="Y336" s="385">
        <f t="shared" si="138"/>
        <v>14.372781402112928</v>
      </c>
      <c r="Z336" s="385">
        <f t="shared" si="139"/>
        <v>14.893224752711978</v>
      </c>
      <c r="AA336" s="386">
        <f t="shared" si="140"/>
        <v>16.159434015214803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7.8357277941209752E-2</v>
      </c>
      <c r="AD336" s="231">
        <f>(INDEX(Models!$BJ336:$BT336,,AH336)*(1-AF336)+INDEX(Models!$BJ336:$BT336,,AH336+1)*AF336-ERP_i)*AE336*Ramure*Pc/MaxiM</f>
        <v>3.4887730595535002E-4</v>
      </c>
      <c r="AE336" s="305">
        <f t="shared" si="142"/>
        <v>0.5</v>
      </c>
      <c r="AF336" s="177">
        <f t="shared" si="143"/>
        <v>0.49688525089239155</v>
      </c>
      <c r="AG336" s="811">
        <f t="shared" ref="AG336:AG379" si="149">INDEX(Echel_vg,AH336)</f>
        <v>0</v>
      </c>
      <c r="AH336" s="176">
        <f t="shared" si="144"/>
        <v>6</v>
      </c>
      <c r="AI336" s="225">
        <f t="shared" si="145"/>
        <v>0.49688525089239155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40">
        <v>7.5760000000000005</v>
      </c>
      <c r="C337" s="841"/>
      <c r="D337" s="393">
        <f t="shared" si="127"/>
        <v>7.8505015079481701</v>
      </c>
      <c r="E337" s="385">
        <f t="shared" si="125"/>
        <v>8.2763162239668731</v>
      </c>
      <c r="F337" s="385">
        <f t="shared" si="128"/>
        <v>8.2763162239668731</v>
      </c>
      <c r="G337" s="110">
        <f t="shared" si="126"/>
        <v>0.28335433813084437</v>
      </c>
      <c r="H337" s="414" t="b">
        <f>Wh_hp&gt;='2021'!Maxi_hp</f>
        <v>0</v>
      </c>
      <c r="I337" s="380">
        <f>IF(H337,Wh_hp,'2021'!Maxi_hp)</f>
        <v>29.080430360791048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3.4966111103889697E-2</v>
      </c>
      <c r="M337" s="845"/>
      <c r="N337" s="845"/>
      <c r="O337" s="48">
        <f>IF(t&lt;Tnet,'2021'!Resal+('2021'!Salim-'2021'!Resal)*(1-EXP(('2021'!Tnet-t)/('2021'!Tau_j))),Resal+(Salim-Resal)*(1-EXP((Tnet-t)/(Tau_j))))*Salcycl</f>
        <v>5.1449788105680669E-2</v>
      </c>
      <c r="P337" s="339">
        <f>(INDEX(Models!$BJ337:$BT337,,T337)*(1-R337)+INDEX(Models!$BJ337:$BT337,,T337+1)*R337-ERP_i)*Q337*Ramure*Pc/MaxiM</f>
        <v>3.6178434850919219E-4</v>
      </c>
      <c r="Q337" s="305">
        <f t="shared" si="130"/>
        <v>0.5</v>
      </c>
      <c r="R337" s="177">
        <f t="shared" si="131"/>
        <v>0.49691216637356206</v>
      </c>
      <c r="S337" s="811">
        <f t="shared" si="132"/>
        <v>0</v>
      </c>
      <c r="T337" s="176">
        <f t="shared" si="133"/>
        <v>6</v>
      </c>
      <c r="U337" s="251">
        <f t="shared" si="134"/>
        <v>0.49691216637356206</v>
      </c>
      <c r="V337" s="383">
        <f t="shared" si="135"/>
        <v>26.727168434169499</v>
      </c>
      <c r="W337" s="402">
        <f t="shared" si="136"/>
        <v>0</v>
      </c>
      <c r="X337" s="157">
        <f t="shared" si="137"/>
        <v>44884</v>
      </c>
      <c r="Y337" s="385">
        <f t="shared" si="138"/>
        <v>7.3612003811823046</v>
      </c>
      <c r="Z337" s="385">
        <f t="shared" si="139"/>
        <v>7.6279190460375288</v>
      </c>
      <c r="AA337" s="386">
        <f t="shared" si="140"/>
        <v>8.2763162239668731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7.8343693061375716E-2</v>
      </c>
      <c r="AD337" s="231">
        <f>(INDEX(Models!$BJ337:$BT337,,AH337)*(1-AF337)+INDEX(Models!$BJ337:$BT337,,AH337+1)*AF337-ERP_i)*AE337*Ramure*Pc/MaxiM</f>
        <v>3.6178434850919219E-4</v>
      </c>
      <c r="AE337" s="305">
        <f t="shared" si="142"/>
        <v>0.5</v>
      </c>
      <c r="AF337" s="177">
        <f t="shared" si="143"/>
        <v>0.49691216637356206</v>
      </c>
      <c r="AG337" s="811">
        <f t="shared" si="149"/>
        <v>0</v>
      </c>
      <c r="AH337" s="176">
        <f t="shared" si="144"/>
        <v>6</v>
      </c>
      <c r="AI337" s="225">
        <f t="shared" si="145"/>
        <v>0.49691216637356206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40">
        <v>15.141999999999999</v>
      </c>
      <c r="C338" s="841"/>
      <c r="D338" s="393">
        <f t="shared" si="127"/>
        <v>15.690984358327716</v>
      </c>
      <c r="E338" s="385">
        <f t="shared" si="125"/>
        <v>16.54275611705722</v>
      </c>
      <c r="F338" s="385">
        <f t="shared" si="128"/>
        <v>16.545158335581771</v>
      </c>
      <c r="G338" s="110">
        <f t="shared" si="126"/>
        <v>0.57122919464031408</v>
      </c>
      <c r="H338" s="414" t="b">
        <f>Wh_hp&gt;='2021'!Maxi_hp</f>
        <v>0</v>
      </c>
      <c r="I338" s="380">
        <f>IF(H338,Wh_hp,'2021'!Maxi_hp)</f>
        <v>30.110087627610774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3.4987247822750756E-2</v>
      </c>
      <c r="M338" s="845"/>
      <c r="N338" s="845"/>
      <c r="O338" s="48">
        <f>IF(t&lt;Tnet,'2021'!Resal+('2021'!Salim-'2021'!Resal)*(1-EXP(('2021'!Tnet-t)/('2021'!Tau_j))),Resal+(Salim-Resal)*(1-EXP((Tnet-t)/(Tau_j))))*Salcycl</f>
        <v>5.1489108145120012E-2</v>
      </c>
      <c r="P338" s="339">
        <f>(INDEX(Models!$BJ338:$BT338,,T338)*(1-R338)+INDEX(Models!$BJ338:$BT338,,T338+1)*R338-ERP_i)*Q338*Ramure*Pc/MaxiM</f>
        <v>3.7453584686566831E-4</v>
      </c>
      <c r="Q338" s="305">
        <f t="shared" si="130"/>
        <v>0.5</v>
      </c>
      <c r="R338" s="177">
        <f t="shared" si="131"/>
        <v>0.4969380008835011</v>
      </c>
      <c r="S338" s="811">
        <f t="shared" si="132"/>
        <v>0</v>
      </c>
      <c r="T338" s="176">
        <f t="shared" si="133"/>
        <v>6</v>
      </c>
      <c r="U338" s="251">
        <f t="shared" si="134"/>
        <v>0.4969380008835011</v>
      </c>
      <c r="V338" s="383">
        <f t="shared" si="135"/>
        <v>26.50166852051683</v>
      </c>
      <c r="W338" s="402">
        <f t="shared" si="136"/>
        <v>0</v>
      </c>
      <c r="X338" s="157">
        <f t="shared" si="137"/>
        <v>44885</v>
      </c>
      <c r="Y338" s="385">
        <f t="shared" si="138"/>
        <v>14.71349262553967</v>
      </c>
      <c r="Z338" s="385">
        <f t="shared" si="139"/>
        <v>15.24694113351692</v>
      </c>
      <c r="AA338" s="386">
        <f t="shared" si="140"/>
        <v>16.54275611705722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7.8331263204937607E-2</v>
      </c>
      <c r="AD338" s="231">
        <f>(INDEX(Models!$BJ338:$BT338,,AH338)*(1-AF338)+INDEX(Models!$BJ338:$BT338,,AH338+1)*AF338-ERP_i)*AE338*Ramure*Pc/MaxiM</f>
        <v>3.7453584686566831E-4</v>
      </c>
      <c r="AE338" s="305">
        <f t="shared" si="142"/>
        <v>0.5</v>
      </c>
      <c r="AF338" s="177">
        <f t="shared" si="143"/>
        <v>0.4969380008835011</v>
      </c>
      <c r="AG338" s="811">
        <f t="shared" si="149"/>
        <v>0</v>
      </c>
      <c r="AH338" s="176">
        <f t="shared" si="144"/>
        <v>6</v>
      </c>
      <c r="AI338" s="225">
        <f t="shared" si="145"/>
        <v>0.4969380008835011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40">
        <v>3.2</v>
      </c>
      <c r="C339" s="841"/>
      <c r="D339" s="393">
        <f t="shared" si="127"/>
        <v>3.3160909869095225</v>
      </c>
      <c r="E339" s="385">
        <f t="shared" si="125"/>
        <v>3.496249572393753</v>
      </c>
      <c r="F339" s="385">
        <f t="shared" si="128"/>
        <v>3.496249572393753</v>
      </c>
      <c r="G339" s="110">
        <f t="shared" si="126"/>
        <v>0.12171761519122348</v>
      </c>
      <c r="H339" s="414" t="b">
        <f>Wh_hp&gt;='2021'!Maxi_hp</f>
        <v>0</v>
      </c>
      <c r="I339" s="380">
        <f>IF(H339,Wh_hp,'2021'!Maxi_hp)</f>
        <v>29.084066217541494</v>
      </c>
      <c r="J339" s="85">
        <f>IF(H339,An,'2021'!An_max)</f>
        <v>2019</v>
      </c>
      <c r="K339" s="197">
        <f t="shared" si="129"/>
        <v>44886</v>
      </c>
      <c r="L339" s="147">
        <f>IF(t&lt;Tvie,1-EXP((T0-t)*PertePVj)+'2021'!Pspv,1-EXP((T0-t)*PertePVj)+Pspv)</f>
        <v>3.5008384078663357E-2</v>
      </c>
      <c r="M339" s="845"/>
      <c r="N339" s="845"/>
      <c r="O339" s="48">
        <f>IF(t&lt;Tnet,'2021'!Resal+('2021'!Salim-'2021'!Resal)*(1-EXP(('2021'!Tnet-t)/('2021'!Tau_j))),Resal+(Salim-Resal)*(1-EXP((Tnet-t)/(Tau_j))))*Salcycl</f>
        <v>5.1529097609837544E-2</v>
      </c>
      <c r="P339" s="339">
        <f>(INDEX(Models!$BJ339:$BT339,,T339)*(1-R339)+INDEX(Models!$BJ339:$BT339,,T339+1)*R339-ERP_i)*Q339*Ramure*Pc/MaxiM</f>
        <v>3.8679273049448419E-4</v>
      </c>
      <c r="Q339" s="305">
        <f t="shared" si="130"/>
        <v>0.5</v>
      </c>
      <c r="R339" s="177">
        <f t="shared" si="131"/>
        <v>0.49696279773068619</v>
      </c>
      <c r="S339" s="811">
        <f t="shared" si="132"/>
        <v>0</v>
      </c>
      <c r="T339" s="176">
        <f t="shared" si="133"/>
        <v>6</v>
      </c>
      <c r="U339" s="251">
        <f t="shared" si="134"/>
        <v>0.49696279773068619</v>
      </c>
      <c r="V339" s="383">
        <f t="shared" si="135"/>
        <v>26.280191722759504</v>
      </c>
      <c r="W339" s="402">
        <f t="shared" si="136"/>
        <v>0</v>
      </c>
      <c r="X339" s="157">
        <f t="shared" si="137"/>
        <v>44886</v>
      </c>
      <c r="Y339" s="385">
        <f t="shared" si="138"/>
        <v>3.1096113728380552</v>
      </c>
      <c r="Z339" s="385">
        <f t="shared" si="139"/>
        <v>3.2224232019561319</v>
      </c>
      <c r="AA339" s="386">
        <f t="shared" si="140"/>
        <v>3.496249572393753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7.8320029725493137E-2</v>
      </c>
      <c r="AD339" s="231">
        <f>(INDEX(Models!$BJ339:$BT339,,AH339)*(1-AF339)+INDEX(Models!$BJ339:$BT339,,AH339+1)*AF339-ERP_i)*AE339*Ramure*Pc/MaxiM</f>
        <v>3.8679273049448419E-4</v>
      </c>
      <c r="AE339" s="305">
        <f t="shared" si="142"/>
        <v>0.5</v>
      </c>
      <c r="AF339" s="177">
        <f t="shared" si="143"/>
        <v>0.49696279773068619</v>
      </c>
      <c r="AG339" s="811">
        <f t="shared" si="149"/>
        <v>0</v>
      </c>
      <c r="AH339" s="176">
        <f t="shared" si="144"/>
        <v>6</v>
      </c>
      <c r="AI339" s="225">
        <f t="shared" si="145"/>
        <v>0.49696279773068619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40">
        <v>7.9550000000000001</v>
      </c>
      <c r="C340" s="841"/>
      <c r="D340" s="393">
        <f t="shared" si="127"/>
        <v>8.2437754976108799</v>
      </c>
      <c r="E340" s="385">
        <f t="shared" si="125"/>
        <v>8.6920211427669205</v>
      </c>
      <c r="F340" s="385">
        <f t="shared" si="128"/>
        <v>8.6920469954443913</v>
      </c>
      <c r="G340" s="110">
        <f t="shared" si="126"/>
        <v>0.30510315635361779</v>
      </c>
      <c r="H340" s="414" t="b">
        <f>Wh_hp&gt;='2021'!Maxi_hp</f>
        <v>0</v>
      </c>
      <c r="I340" s="380">
        <f>IF(H340,Wh_hp,'2021'!Maxi_hp)</f>
        <v>29.591035421411469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3.5029519871637715E-2</v>
      </c>
      <c r="M340" s="845"/>
      <c r="N340" s="845"/>
      <c r="O340" s="48">
        <f>IF(t&lt;Tnet,'2021'!Resal+('2021'!Salim-'2021'!Resal)*(1-EXP(('2021'!Tnet-t)/('2021'!Tau_j))),Resal+(Salim-Resal)*(1-EXP((Tnet-t)/(Tau_j))))*Salcycl</f>
        <v>5.1569783114143654E-2</v>
      </c>
      <c r="P340" s="339">
        <f>(INDEX(Models!$BJ340:$BT340,,T340)*(1-R340)+INDEX(Models!$BJ340:$BT340,,T340+1)*R340-ERP_i)*Q340*Ramure*Pc/MaxiM</f>
        <v>3.9855374629763849E-4</v>
      </c>
      <c r="Q340" s="305">
        <f t="shared" si="130"/>
        <v>0.5</v>
      </c>
      <c r="R340" s="177">
        <f t="shared" si="131"/>
        <v>0.49698659849675481</v>
      </c>
      <c r="S340" s="811">
        <f t="shared" si="132"/>
        <v>0</v>
      </c>
      <c r="T340" s="176">
        <f t="shared" si="133"/>
        <v>6</v>
      </c>
      <c r="U340" s="251">
        <f t="shared" si="134"/>
        <v>0.49698659849675481</v>
      </c>
      <c r="V340" s="383">
        <f t="shared" si="135"/>
        <v>26.062834783844348</v>
      </c>
      <c r="W340" s="402">
        <f t="shared" si="136"/>
        <v>0</v>
      </c>
      <c r="X340" s="157">
        <f t="shared" si="137"/>
        <v>44887</v>
      </c>
      <c r="Y340" s="385">
        <f t="shared" si="138"/>
        <v>7.7307150140154848</v>
      </c>
      <c r="Z340" s="385">
        <f t="shared" si="139"/>
        <v>8.0113487129545451</v>
      </c>
      <c r="AA340" s="386">
        <f t="shared" si="140"/>
        <v>8.6920211427669205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7.8310029236272352E-2</v>
      </c>
      <c r="AD340" s="231">
        <f>(INDEX(Models!$BJ340:$BT340,,AH340)*(1-AF340)+INDEX(Models!$BJ340:$BT340,,AH340+1)*AF340-ERP_i)*AE340*Ramure*Pc/MaxiM</f>
        <v>3.9855374629763849E-4</v>
      </c>
      <c r="AE340" s="305">
        <f t="shared" si="142"/>
        <v>0.5</v>
      </c>
      <c r="AF340" s="177">
        <f t="shared" si="143"/>
        <v>0.49698659849675481</v>
      </c>
      <c r="AG340" s="811">
        <f t="shared" si="149"/>
        <v>0</v>
      </c>
      <c r="AH340" s="176">
        <f t="shared" si="144"/>
        <v>6</v>
      </c>
      <c r="AI340" s="225">
        <f t="shared" si="145"/>
        <v>0.49698659849675481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40">
        <v>11.922000000000001</v>
      </c>
      <c r="C341" s="841"/>
      <c r="D341" s="393">
        <f t="shared" si="127"/>
        <v>12.355052691902515</v>
      </c>
      <c r="E341" s="385">
        <f t="shared" si="125"/>
        <v>13.027412952935023</v>
      </c>
      <c r="F341" s="385">
        <f t="shared" si="128"/>
        <v>13.028642559685736</v>
      </c>
      <c r="G341" s="110">
        <f t="shared" si="126"/>
        <v>0.46105918025782988</v>
      </c>
      <c r="H341" s="414" t="b">
        <f>Wh_hp&gt;='2021'!Maxi_hp</f>
        <v>0</v>
      </c>
      <c r="I341" s="380">
        <f>IF(H341,Wh_hp,'2021'!Maxi_hp)</f>
        <v>29.56301535081597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3.5050655201684044E-2</v>
      </c>
      <c r="M341" s="845"/>
      <c r="N341" s="845"/>
      <c r="O341" s="48">
        <f>IF(t&lt;Tnet,'2021'!Resal+('2021'!Salim-'2021'!Resal)*(1-EXP(('2021'!Tnet-t)/('2021'!Tau_j))),Resal+(Salim-Resal)*(1-EXP((Tnet-t)/(Tau_j))))*Salcycl</f>
        <v>5.1611188150831579E-2</v>
      </c>
      <c r="P341" s="339">
        <f>(INDEX(Models!$BJ341:$BT341,,T341)*(1-R341)+INDEX(Models!$BJ341:$BT341,,T341+1)*R341-ERP_i)*Q341*Ramure*Pc/MaxiM</f>
        <v>4.098146472292822E-4</v>
      </c>
      <c r="Q341" s="305">
        <f t="shared" si="130"/>
        <v>0.5</v>
      </c>
      <c r="R341" s="177">
        <f t="shared" si="131"/>
        <v>0.49700944310470452</v>
      </c>
      <c r="S341" s="811">
        <f t="shared" si="132"/>
        <v>0</v>
      </c>
      <c r="T341" s="176">
        <f t="shared" si="133"/>
        <v>6</v>
      </c>
      <c r="U341" s="251">
        <f t="shared" si="134"/>
        <v>0.49700944310470452</v>
      </c>
      <c r="V341" s="383">
        <f t="shared" si="135"/>
        <v>25.849694594709852</v>
      </c>
      <c r="W341" s="402">
        <f t="shared" si="136"/>
        <v>0</v>
      </c>
      <c r="X341" s="157">
        <f t="shared" si="137"/>
        <v>44888</v>
      </c>
      <c r="Y341" s="385">
        <f t="shared" si="138"/>
        <v>11.586484194708722</v>
      </c>
      <c r="Z341" s="385">
        <f t="shared" si="139"/>
        <v>12.007349667800867</v>
      </c>
      <c r="AA341" s="386">
        <f t="shared" si="140"/>
        <v>13.027412952935023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7.8301293496982505E-2</v>
      </c>
      <c r="AD341" s="231">
        <f>(INDEX(Models!$BJ341:$BT341,,AH341)*(1-AF341)+INDEX(Models!$BJ341:$BT341,,AH341+1)*AF341-ERP_i)*AE341*Ramure*Pc/MaxiM</f>
        <v>4.098146472292822E-4</v>
      </c>
      <c r="AE341" s="305">
        <f t="shared" si="142"/>
        <v>0.5</v>
      </c>
      <c r="AF341" s="177">
        <f t="shared" si="143"/>
        <v>0.49700944310470452</v>
      </c>
      <c r="AG341" s="811">
        <f t="shared" si="149"/>
        <v>0</v>
      </c>
      <c r="AH341" s="176">
        <f t="shared" si="144"/>
        <v>6</v>
      </c>
      <c r="AI341" s="225">
        <f t="shared" si="145"/>
        <v>0.49700944310470452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40">
        <v>13.122</v>
      </c>
      <c r="C342" s="841"/>
      <c r="D342" s="393">
        <f t="shared" si="127"/>
        <v>13.598939138628536</v>
      </c>
      <c r="E342" s="385">
        <f t="shared" si="125"/>
        <v>14.339628758283666</v>
      </c>
      <c r="F342" s="385">
        <f t="shared" si="128"/>
        <v>14.341453418118828</v>
      </c>
      <c r="G342" s="110">
        <f t="shared" si="126"/>
        <v>0.51161100420234285</v>
      </c>
      <c r="H342" s="414" t="b">
        <f>Wh_hp&gt;='2021'!Maxi_hp</f>
        <v>0</v>
      </c>
      <c r="I342" s="380">
        <f>IF(H342,Wh_hp,'2021'!Maxi_hp)</f>
        <v>27.223770958160259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3.5071790068812336E-2</v>
      </c>
      <c r="M342" s="845"/>
      <c r="N342" s="845"/>
      <c r="O342" s="48">
        <f>IF(t&lt;Tnet,'2021'!Resal+('2021'!Salim-'2021'!Resal)*(1-EXP(('2021'!Tnet-t)/('2021'!Tau_j))),Resal+(Salim-Resal)*(1-EXP((Tnet-t)/(Tau_j))))*Salcycl</f>
        <v>5.1653333021418224E-2</v>
      </c>
      <c r="P342" s="339">
        <f>(INDEX(Models!$BJ342:$BT342,,T342)*(1-R342)+INDEX(Models!$BJ342:$BT342,,T342+1)*R342-ERP_i)*Q342*Ramure*Pc/MaxiM</f>
        <v>4.2057214954308237E-4</v>
      </c>
      <c r="Q342" s="305">
        <f t="shared" si="130"/>
        <v>0.5</v>
      </c>
      <c r="R342" s="177">
        <f t="shared" si="131"/>
        <v>0.49703136988445251</v>
      </c>
      <c r="S342" s="811">
        <f t="shared" si="132"/>
        <v>0</v>
      </c>
      <c r="T342" s="176">
        <f t="shared" si="133"/>
        <v>6</v>
      </c>
      <c r="U342" s="251">
        <f t="shared" si="134"/>
        <v>0.49703136988445251</v>
      </c>
      <c r="V342" s="383">
        <f t="shared" si="135"/>
        <v>25.640868088758545</v>
      </c>
      <c r="W342" s="402">
        <f t="shared" si="136"/>
        <v>0</v>
      </c>
      <c r="X342" s="157">
        <f t="shared" si="137"/>
        <v>44889</v>
      </c>
      <c r="Y342" s="385">
        <f t="shared" si="138"/>
        <v>12.753382840068657</v>
      </c>
      <c r="Z342" s="385">
        <f t="shared" si="139"/>
        <v>13.21692402482268</v>
      </c>
      <c r="AA342" s="386">
        <f t="shared" si="140"/>
        <v>14.339628758283666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7.8293849330822243E-2</v>
      </c>
      <c r="AD342" s="231">
        <f>(INDEX(Models!$BJ342:$BT342,,AH342)*(1-AF342)+INDEX(Models!$BJ342:$BT342,,AH342+1)*AF342-ERP_i)*AE342*Ramure*Pc/MaxiM</f>
        <v>4.2057214954308237E-4</v>
      </c>
      <c r="AE342" s="305">
        <f t="shared" si="142"/>
        <v>0.5</v>
      </c>
      <c r="AF342" s="177">
        <f t="shared" si="143"/>
        <v>0.49703136988445251</v>
      </c>
      <c r="AG342" s="811">
        <f t="shared" si="149"/>
        <v>0</v>
      </c>
      <c r="AH342" s="176">
        <f t="shared" si="144"/>
        <v>6</v>
      </c>
      <c r="AI342" s="225">
        <f t="shared" si="145"/>
        <v>0.49703136988445251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40">
        <v>5.0810000000000004</v>
      </c>
      <c r="C343" s="841"/>
      <c r="D343" s="393">
        <f t="shared" si="127"/>
        <v>5.2657920424359004</v>
      </c>
      <c r="E343" s="385">
        <f t="shared" si="125"/>
        <v>5.5528536694671358</v>
      </c>
      <c r="F343" s="385">
        <f t="shared" si="128"/>
        <v>5.5528536694671358</v>
      </c>
      <c r="G343" s="110">
        <f t="shared" si="126"/>
        <v>0.19966664122840366</v>
      </c>
      <c r="H343" s="414" t="b">
        <f>Wh_hp&gt;='2021'!Maxi_hp</f>
        <v>0</v>
      </c>
      <c r="I343" s="380">
        <f>IF(H343,Wh_hp,'2021'!Maxi_hp)</f>
        <v>26.38503248912658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3.5092924473032805E-2</v>
      </c>
      <c r="M343" s="845"/>
      <c r="N343" s="845"/>
      <c r="O343" s="48">
        <f>IF(t&lt;Tnet,'2021'!Resal+('2021'!Salim-'2021'!Resal)*(1-EXP(('2021'!Tnet-t)/('2021'!Tau_j))),Resal+(Salim-Resal)*(1-EXP((Tnet-t)/(Tau_j))))*Salcycl</f>
        <v>5.1696234786389218E-2</v>
      </c>
      <c r="P343" s="339">
        <f>(INDEX(Models!$BJ343:$BT343,,T343)*(1-R343)+INDEX(Models!$BJ343:$BT343,,T343+1)*R343-ERP_i)*Q343*Ramure*Pc/MaxiM</f>
        <v>4.308245353848589E-4</v>
      </c>
      <c r="Q343" s="305">
        <f t="shared" si="130"/>
        <v>0.5</v>
      </c>
      <c r="R343" s="177">
        <f t="shared" si="131"/>
        <v>0.49705241563584984</v>
      </c>
      <c r="S343" s="811">
        <f t="shared" si="132"/>
        <v>0</v>
      </c>
      <c r="T343" s="176">
        <f t="shared" si="133"/>
        <v>6</v>
      </c>
      <c r="U343" s="251">
        <f t="shared" si="134"/>
        <v>0.49705241563584984</v>
      </c>
      <c r="V343" s="383">
        <f t="shared" si="135"/>
        <v>25.436452225016044</v>
      </c>
      <c r="W343" s="402">
        <f t="shared" si="136"/>
        <v>0</v>
      </c>
      <c r="X343" s="157">
        <f t="shared" si="137"/>
        <v>44890</v>
      </c>
      <c r="Y343" s="385">
        <f t="shared" si="138"/>
        <v>4.9385231544243213</v>
      </c>
      <c r="Z343" s="385">
        <f t="shared" si="139"/>
        <v>5.1181334241198648</v>
      </c>
      <c r="AA343" s="386">
        <f t="shared" si="140"/>
        <v>5.5528536694671358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7.828771857209546E-2</v>
      </c>
      <c r="AD343" s="231">
        <f>(INDEX(Models!$BJ343:$BT343,,AH343)*(1-AF343)+INDEX(Models!$BJ343:$BT343,,AH343+1)*AF343-ERP_i)*AE343*Ramure*Pc/MaxiM</f>
        <v>4.308245353848589E-4</v>
      </c>
      <c r="AE343" s="305">
        <f t="shared" si="142"/>
        <v>0.5</v>
      </c>
      <c r="AF343" s="177">
        <f t="shared" si="143"/>
        <v>0.49705241563584984</v>
      </c>
      <c r="AG343" s="811">
        <f t="shared" si="149"/>
        <v>0</v>
      </c>
      <c r="AH343" s="176">
        <f t="shared" si="144"/>
        <v>6</v>
      </c>
      <c r="AI343" s="225">
        <f t="shared" si="145"/>
        <v>0.49705241563584984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40">
        <v>10.185</v>
      </c>
      <c r="C344" s="841"/>
      <c r="D344" s="393">
        <f t="shared" si="127"/>
        <v>10.555651772957216</v>
      </c>
      <c r="E344" s="385">
        <f t="shared" si="125"/>
        <v>11.131599709301444</v>
      </c>
      <c r="F344" s="385">
        <f t="shared" si="128"/>
        <v>11.132325454535739</v>
      </c>
      <c r="G344" s="110">
        <f t="shared" si="126"/>
        <v>0.40342990389892913</v>
      </c>
      <c r="H344" s="414" t="b">
        <f>Wh_hp&gt;='2021'!Maxi_hp</f>
        <v>0</v>
      </c>
      <c r="I344" s="380">
        <f>IF(H344,Wh_hp,'2021'!Maxi_hp)</f>
        <v>26.793324525882319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3.5114058414355553E-2</v>
      </c>
      <c r="M344" s="845"/>
      <c r="N344" s="845"/>
      <c r="O344" s="48">
        <f>IF(t&lt;Tnet,'2021'!Resal+('2021'!Salim-'2021'!Resal)*(1-EXP(('2021'!Tnet-t)/('2021'!Tau_j))),Resal+(Salim-Resal)*(1-EXP((Tnet-t)/(Tau_j))))*Salcycl</f>
        <v>5.173990723570248E-2</v>
      </c>
      <c r="P344" s="339">
        <f>(INDEX(Models!$BJ344:$BT344,,T344)*(1-R344)+INDEX(Models!$BJ344:$BT344,,T344+1)*R344-ERP_i)*Q344*Ramure*Pc/MaxiM</f>
        <v>4.4056959714498036E-4</v>
      </c>
      <c r="Q344" s="305">
        <f t="shared" si="130"/>
        <v>0.5</v>
      </c>
      <c r="R344" s="177">
        <f t="shared" si="131"/>
        <v>0.49707261568924821</v>
      </c>
      <c r="S344" s="811">
        <f t="shared" si="132"/>
        <v>0</v>
      </c>
      <c r="T344" s="176">
        <f t="shared" si="133"/>
        <v>6</v>
      </c>
      <c r="U344" s="251">
        <f t="shared" si="134"/>
        <v>0.49707261568924821</v>
      </c>
      <c r="V344" s="383">
        <f t="shared" si="135"/>
        <v>25.236544038063151</v>
      </c>
      <c r="W344" s="402">
        <f t="shared" si="136"/>
        <v>0</v>
      </c>
      <c r="X344" s="157">
        <f t="shared" si="137"/>
        <v>44891</v>
      </c>
      <c r="Y344" s="385">
        <f t="shared" si="138"/>
        <v>9.8999088449977055</v>
      </c>
      <c r="Z344" s="385">
        <f t="shared" si="139"/>
        <v>10.260185601552759</v>
      </c>
      <c r="AA344" s="386">
        <f t="shared" si="140"/>
        <v>11.131599709301444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7.8282918044613056E-2</v>
      </c>
      <c r="AD344" s="231">
        <f>(INDEX(Models!$BJ344:$BT344,,AH344)*(1-AF344)+INDEX(Models!$BJ344:$BT344,,AH344+1)*AF344-ERP_i)*AE344*Ramure*Pc/MaxiM</f>
        <v>4.4056959714498036E-4</v>
      </c>
      <c r="AE344" s="305">
        <f t="shared" si="142"/>
        <v>0.5</v>
      </c>
      <c r="AF344" s="177">
        <f t="shared" si="143"/>
        <v>0.49707261568924821</v>
      </c>
      <c r="AG344" s="811">
        <f t="shared" si="149"/>
        <v>0</v>
      </c>
      <c r="AH344" s="176">
        <f t="shared" si="144"/>
        <v>6</v>
      </c>
      <c r="AI344" s="225">
        <f t="shared" si="145"/>
        <v>0.49707261568924821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40">
        <v>14.488</v>
      </c>
      <c r="C345" s="841"/>
      <c r="D345" s="393">
        <f t="shared" si="127"/>
        <v>15.015575112974989</v>
      </c>
      <c r="E345" s="385">
        <f t="shared" si="125"/>
        <v>15.835612168245484</v>
      </c>
      <c r="F345" s="385">
        <f t="shared" si="128"/>
        <v>15.838448375736375</v>
      </c>
      <c r="G345" s="110">
        <f t="shared" si="126"/>
        <v>0.57848338767873342</v>
      </c>
      <c r="H345" s="414" t="b">
        <f>Wh_hp&gt;='2021'!Maxi_hp</f>
        <v>0</v>
      </c>
      <c r="I345" s="380">
        <f>IF(H345,Wh_hp,'2021'!Maxi_hp)</f>
        <v>25.130362962848679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3.5135191892790796E-2</v>
      </c>
      <c r="M345" s="845"/>
      <c r="N345" s="845"/>
      <c r="O345" s="48">
        <f>IF(t&lt;Tnet,'2021'!Resal+('2021'!Salim-'2021'!Resal)*(1-EXP(('2021'!Tnet-t)/('2021'!Tau_j))),Resal+(Salim-Resal)*(1-EXP((Tnet-t)/(Tau_j))))*Salcycl</f>
        <v>5.1784360879643304E-2</v>
      </c>
      <c r="P345" s="339">
        <f>(INDEX(Models!$BJ345:$BT345,,T345)*(1-R345)+INDEX(Models!$BJ345:$BT345,,T345+1)*R345-ERP_i)*Q345*Ramure*Pc/MaxiM</f>
        <v>4.4986248597640819E-4</v>
      </c>
      <c r="Q345" s="305">
        <f t="shared" si="130"/>
        <v>0.5</v>
      </c>
      <c r="R345" s="177">
        <f t="shared" si="131"/>
        <v>0.49709200396370878</v>
      </c>
      <c r="S345" s="811">
        <f t="shared" si="132"/>
        <v>0</v>
      </c>
      <c r="T345" s="176">
        <f t="shared" si="133"/>
        <v>6</v>
      </c>
      <c r="U345" s="251">
        <f t="shared" si="134"/>
        <v>0.49709200396370878</v>
      </c>
      <c r="V345" s="383">
        <f t="shared" si="135"/>
        <v>25.038015575608778</v>
      </c>
      <c r="W345" s="402">
        <f t="shared" si="136"/>
        <v>0</v>
      </c>
      <c r="X345" s="157">
        <f t="shared" si="137"/>
        <v>44892</v>
      </c>
      <c r="Y345" s="385">
        <f t="shared" si="138"/>
        <v>14.083175428456357</v>
      </c>
      <c r="Z345" s="385">
        <f t="shared" si="139"/>
        <v>14.596009005742005</v>
      </c>
      <c r="AA345" s="386">
        <f t="shared" si="140"/>
        <v>15.835612168245484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7.8279459570827714E-2</v>
      </c>
      <c r="AD345" s="231">
        <f>(INDEX(Models!$BJ345:$BT345,,AH345)*(1-AF345)+INDEX(Models!$BJ345:$BT345,,AH345+1)*AF345-ERP_i)*AE345*Ramure*Pc/MaxiM</f>
        <v>4.4986248597640819E-4</v>
      </c>
      <c r="AE345" s="305">
        <f t="shared" si="142"/>
        <v>0.5</v>
      </c>
      <c r="AF345" s="177">
        <f t="shared" si="143"/>
        <v>0.49709200396370878</v>
      </c>
      <c r="AG345" s="811">
        <f t="shared" si="149"/>
        <v>0</v>
      </c>
      <c r="AH345" s="176">
        <f t="shared" si="144"/>
        <v>6</v>
      </c>
      <c r="AI345" s="225">
        <f t="shared" si="145"/>
        <v>0.49709200396370878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40">
        <v>10.502000000000001</v>
      </c>
      <c r="C346" s="841"/>
      <c r="D346" s="393">
        <f t="shared" si="127"/>
        <v>10.884664812672794</v>
      </c>
      <c r="E346" s="385">
        <f t="shared" si="125"/>
        <v>11.479650542404748</v>
      </c>
      <c r="F346" s="385">
        <f t="shared" si="128"/>
        <v>11.48057369282526</v>
      </c>
      <c r="G346" s="110">
        <f t="shared" si="126"/>
        <v>0.42264983284811364</v>
      </c>
      <c r="H346" s="414" t="b">
        <f>Wh_hp&gt;='2021'!Maxi_hp</f>
        <v>0</v>
      </c>
      <c r="I346" s="380">
        <f>IF(H346,Wh_hp,'2021'!Maxi_hp)</f>
        <v>18.630206084198146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3.5156324908348524E-2</v>
      </c>
      <c r="M346" s="845"/>
      <c r="N346" s="845"/>
      <c r="O346" s="48">
        <f>IF(t&lt;Tnet,'2021'!Resal+('2021'!Salim-'2021'!Resal)*(1-EXP(('2021'!Tnet-t)/('2021'!Tau_j))),Resal+(Salim-Resal)*(1-EXP((Tnet-t)/(Tau_j))))*Salcycl</f>
        <v>5.1829602959962279E-2</v>
      </c>
      <c r="P346" s="339">
        <f>(INDEX(Models!$BJ346:$BT346,,T346)*(1-R346)+INDEX(Models!$BJ346:$BT346,,T346+1)*R346-ERP_i)*Q346*Ramure*Pc/MaxiM</f>
        <v>4.5832599520817676E-4</v>
      </c>
      <c r="Q346" s="305">
        <f t="shared" si="130"/>
        <v>0.5</v>
      </c>
      <c r="R346" s="177">
        <f t="shared" si="131"/>
        <v>0.49711061302294351</v>
      </c>
      <c r="S346" s="811">
        <f t="shared" si="132"/>
        <v>0</v>
      </c>
      <c r="T346" s="176">
        <f t="shared" si="133"/>
        <v>6</v>
      </c>
      <c r="U346" s="251">
        <f t="shared" si="134"/>
        <v>0.49711061302294351</v>
      </c>
      <c r="V346" s="383">
        <f t="shared" si="135"/>
        <v>24.838601577142175</v>
      </c>
      <c r="W346" s="402">
        <f t="shared" si="136"/>
        <v>0</v>
      </c>
      <c r="X346" s="157">
        <f t="shared" si="137"/>
        <v>44893</v>
      </c>
      <c r="Y346" s="385">
        <f t="shared" si="138"/>
        <v>10.209062949443132</v>
      </c>
      <c r="Z346" s="385">
        <f t="shared" si="139"/>
        <v>10.581053918888324</v>
      </c>
      <c r="AA346" s="386">
        <f t="shared" si="140"/>
        <v>11.479650542404748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7.8277350011404387E-2</v>
      </c>
      <c r="AD346" s="231">
        <f>(INDEX(Models!$BJ346:$BT346,,AH346)*(1-AF346)+INDEX(Models!$BJ346:$BT346,,AH346+1)*AF346-ERP_i)*AE346*Ramure*Pc/MaxiM</f>
        <v>4.5832599520817676E-4</v>
      </c>
      <c r="AE346" s="305">
        <f t="shared" si="142"/>
        <v>0.5</v>
      </c>
      <c r="AF346" s="177">
        <f t="shared" si="143"/>
        <v>0.49711061302294351</v>
      </c>
      <c r="AG346" s="811">
        <f t="shared" si="149"/>
        <v>0</v>
      </c>
      <c r="AH346" s="176">
        <f t="shared" si="144"/>
        <v>6</v>
      </c>
      <c r="AI346" s="225">
        <f t="shared" si="145"/>
        <v>0.49711061302294351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40">
        <v>14.612</v>
      </c>
      <c r="C347" s="841"/>
      <c r="D347" s="393">
        <f t="shared" si="127"/>
        <v>15.144753937390456</v>
      </c>
      <c r="E347" s="385">
        <f t="shared" si="125"/>
        <v>15.97338338311924</v>
      </c>
      <c r="F347" s="385">
        <f t="shared" si="128"/>
        <v>15.9764996600257</v>
      </c>
      <c r="G347" s="110">
        <f t="shared" si="126"/>
        <v>0.59286658102854817</v>
      </c>
      <c r="H347" s="414" t="b">
        <f>Wh_hp&gt;='2021'!Maxi_hp</f>
        <v>0</v>
      </c>
      <c r="I347" s="380">
        <f>IF(H347,Wh_hp,'2021'!Maxi_hp)</f>
        <v>26.41641779115476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3.5177457461039063E-2</v>
      </c>
      <c r="M347" s="845"/>
      <c r="N347" s="845"/>
      <c r="O347" s="48">
        <f>IF(t&lt;Tnet,'2021'!Resal+('2021'!Salim-'2021'!Resal)*(1-EXP(('2021'!Tnet-t)/('2021'!Tau_j))),Resal+(Salim-Resal)*(1-EXP((Tnet-t)/(Tau_j))))*Salcycl</f>
        <v>5.1875637481066363E-2</v>
      </c>
      <c r="P347" s="339">
        <f>(INDEX(Models!$BJ347:$BT347,,T347)*(1-R347)+INDEX(Models!$BJ347:$BT347,,T347+1)*R347-ERP_i)*Q347*Ramure*Pc/MaxiM</f>
        <v>4.6595547175158663E-4</v>
      </c>
      <c r="Q347" s="305">
        <f t="shared" si="130"/>
        <v>0.5</v>
      </c>
      <c r="R347" s="177">
        <f t="shared" si="131"/>
        <v>0.49712847412907268</v>
      </c>
      <c r="S347" s="811">
        <f t="shared" si="132"/>
        <v>0</v>
      </c>
      <c r="T347" s="176">
        <f t="shared" si="133"/>
        <v>6</v>
      </c>
      <c r="U347" s="251">
        <f t="shared" si="134"/>
        <v>0.49712847412907268</v>
      </c>
      <c r="V347" s="383">
        <f t="shared" si="135"/>
        <v>24.639676581394014</v>
      </c>
      <c r="W347" s="402">
        <f t="shared" si="136"/>
        <v>0</v>
      </c>
      <c r="X347" s="157">
        <f t="shared" si="137"/>
        <v>44894</v>
      </c>
      <c r="Y347" s="385">
        <f t="shared" si="138"/>
        <v>14.205122217971226</v>
      </c>
      <c r="Z347" s="385">
        <f t="shared" si="139"/>
        <v>14.723041379806487</v>
      </c>
      <c r="AA347" s="386">
        <f t="shared" si="140"/>
        <v>15.97338338311924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7.8276591334689963E-2</v>
      </c>
      <c r="AD347" s="231">
        <f>(INDEX(Models!$BJ347:$BT347,,AH347)*(1-AF347)+INDEX(Models!$BJ347:$BT347,,AH347+1)*AF347-ERP_i)*AE347*Ramure*Pc/MaxiM</f>
        <v>4.6595547175158663E-4</v>
      </c>
      <c r="AE347" s="305">
        <f t="shared" si="142"/>
        <v>0.5</v>
      </c>
      <c r="AF347" s="177">
        <f t="shared" si="143"/>
        <v>0.49712847412907268</v>
      </c>
      <c r="AG347" s="811">
        <f t="shared" si="149"/>
        <v>0</v>
      </c>
      <c r="AH347" s="176">
        <f t="shared" si="144"/>
        <v>6</v>
      </c>
      <c r="AI347" s="225">
        <f t="shared" si="145"/>
        <v>0.49712847412907268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40">
        <v>4.0709999999999997</v>
      </c>
      <c r="C348" s="841"/>
      <c r="D348" s="393">
        <f t="shared" si="127"/>
        <v>4.2195211946310236</v>
      </c>
      <c r="E348" s="385">
        <f t="shared" si="125"/>
        <v>4.4506077193275928</v>
      </c>
      <c r="F348" s="385">
        <f t="shared" si="128"/>
        <v>4.4506077193275928</v>
      </c>
      <c r="G348" s="110">
        <f t="shared" si="126"/>
        <v>0.16647463812824301</v>
      </c>
      <c r="H348" s="414" t="b">
        <f>Wh_hp&gt;='2021'!Maxi_hp</f>
        <v>0</v>
      </c>
      <c r="I348" s="380">
        <f>IF(H348,Wh_hp,'2021'!Maxi_hp)</f>
        <v>25.687652657075112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3.5198589550872406E-2</v>
      </c>
      <c r="M348" s="845"/>
      <c r="N348" s="845"/>
      <c r="O348" s="48">
        <f>IF(t&lt;Tnet,'2021'!Resal+('2021'!Salim-'2021'!Resal)*(1-EXP(('2021'!Tnet-t)/('2021'!Tau_j))),Resal+(Salim-Resal)*(1-EXP((Tnet-t)/(Tau_j))))*Salcycl</f>
        <v>5.1922465260875121E-2</v>
      </c>
      <c r="P348" s="339">
        <f>(INDEX(Models!$BJ348:$BT348,,T348)*(1-R348)+INDEX(Models!$BJ348:$BT348,,T348+1)*R348-ERP_i)*Q348*Ramure*Pc/MaxiM</f>
        <v>4.7272286821802467E-4</v>
      </c>
      <c r="Q348" s="305">
        <f t="shared" si="130"/>
        <v>0.5</v>
      </c>
      <c r="R348" s="177">
        <f t="shared" si="131"/>
        <v>0.49714561729428175</v>
      </c>
      <c r="S348" s="811">
        <f t="shared" si="132"/>
        <v>0</v>
      </c>
      <c r="T348" s="176">
        <f t="shared" si="133"/>
        <v>6</v>
      </c>
      <c r="U348" s="251">
        <f t="shared" si="134"/>
        <v>0.49714561729428175</v>
      </c>
      <c r="V348" s="383">
        <f t="shared" si="135"/>
        <v>24.442615349425715</v>
      </c>
      <c r="W348" s="402">
        <f t="shared" si="136"/>
        <v>0</v>
      </c>
      <c r="X348" s="157">
        <f t="shared" si="137"/>
        <v>44895</v>
      </c>
      <c r="Y348" s="385">
        <f t="shared" si="138"/>
        <v>3.9578341009213562</v>
      </c>
      <c r="Z348" s="385">
        <f t="shared" si="139"/>
        <v>4.1022266945888202</v>
      </c>
      <c r="AA348" s="386">
        <f t="shared" si="140"/>
        <v>4.4506077193275928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7.8277180715312922E-2</v>
      </c>
      <c r="AD348" s="231">
        <f>(INDEX(Models!$BJ348:$BT348,,AH348)*(1-AF348)+INDEX(Models!$BJ348:$BT348,,AH348+1)*AF348-ERP_i)*AE348*Ramure*Pc/MaxiM</f>
        <v>4.7272286821802467E-4</v>
      </c>
      <c r="AE348" s="305">
        <f t="shared" si="142"/>
        <v>0.5</v>
      </c>
      <c r="AF348" s="177">
        <f t="shared" si="143"/>
        <v>0.49714561729428175</v>
      </c>
      <c r="AG348" s="811">
        <f t="shared" si="149"/>
        <v>0</v>
      </c>
      <c r="AH348" s="176">
        <f t="shared" si="144"/>
        <v>6</v>
      </c>
      <c r="AI348" s="225">
        <f t="shared" si="145"/>
        <v>0.49714561729428175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40">
        <v>3.5030000000000001</v>
      </c>
      <c r="C349" s="841"/>
      <c r="D349" s="393">
        <f t="shared" si="127"/>
        <v>3.6308785294374619</v>
      </c>
      <c r="E349" s="385">
        <f t="shared" si="125"/>
        <v>3.8299197822366198</v>
      </c>
      <c r="F349" s="385">
        <f t="shared" si="128"/>
        <v>3.8299197822366198</v>
      </c>
      <c r="G349" s="110">
        <f t="shared" si="126"/>
        <v>0.14439166386115299</v>
      </c>
      <c r="H349" s="414" t="b">
        <f>Wh_hp&gt;='2021'!Maxi_hp</f>
        <v>0</v>
      </c>
      <c r="I349" s="380">
        <f>IF(H349,Wh_hp,'2021'!Maxi_hp)</f>
        <v>26.512351889003813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3.5219721177858876E-2</v>
      </c>
      <c r="M349" s="845"/>
      <c r="N349" s="845"/>
      <c r="O349" s="48">
        <f>IF(t&lt;Tnet,'2021'!Resal+('2021'!Salim-'2021'!Resal)*(1-EXP(('2021'!Tnet-t)/('2021'!Tau_j))),Resal+(Salim-Resal)*(1-EXP((Tnet-t)/(Tau_j))))*Salcycl</f>
        <v>5.1970084000798736E-2</v>
      </c>
      <c r="P349" s="339">
        <f>(INDEX(Models!$BJ349:$BT349,,T349)*(1-R349)+INDEX(Models!$BJ349:$BT349,,T349+1)*R349-ERP_i)*Q349*Ramure*Pc/MaxiM</f>
        <v>4.7859640937222288E-4</v>
      </c>
      <c r="Q349" s="305">
        <f t="shared" si="130"/>
        <v>0.5</v>
      </c>
      <c r="R349" s="177">
        <f t="shared" si="131"/>
        <v>0.49716207133045726</v>
      </c>
      <c r="S349" s="811">
        <f t="shared" si="132"/>
        <v>0</v>
      </c>
      <c r="T349" s="176">
        <f t="shared" si="133"/>
        <v>6</v>
      </c>
      <c r="U349" s="251">
        <f t="shared" si="134"/>
        <v>0.49716207133045726</v>
      </c>
      <c r="V349" s="383">
        <f t="shared" si="135"/>
        <v>24.248792368961421</v>
      </c>
      <c r="W349" s="402">
        <f t="shared" si="136"/>
        <v>0</v>
      </c>
      <c r="X349" s="157">
        <f t="shared" si="137"/>
        <v>44896</v>
      </c>
      <c r="Y349" s="385">
        <f t="shared" si="138"/>
        <v>3.4057873289280591</v>
      </c>
      <c r="Z349" s="385">
        <f t="shared" si="139"/>
        <v>3.5301170677804885</v>
      </c>
      <c r="AA349" s="386">
        <f t="shared" si="140"/>
        <v>3.8299197822366198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7.8279110660915877E-2</v>
      </c>
      <c r="AD349" s="231">
        <f>(INDEX(Models!$BJ349:$BT349,,AH349)*(1-AF349)+INDEX(Models!$BJ349:$BT349,,AH349+1)*AF349-ERP_i)*AE349*Ramure*Pc/MaxiM</f>
        <v>4.7859640937222288E-4</v>
      </c>
      <c r="AE349" s="305">
        <f t="shared" si="142"/>
        <v>0.5</v>
      </c>
      <c r="AF349" s="177">
        <f t="shared" si="143"/>
        <v>0.49716207133045726</v>
      </c>
      <c r="AG349" s="811">
        <f t="shared" si="149"/>
        <v>0</v>
      </c>
      <c r="AH349" s="176">
        <f t="shared" si="144"/>
        <v>6</v>
      </c>
      <c r="AI349" s="225">
        <f t="shared" si="145"/>
        <v>0.49716207133045726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40">
        <v>5.8090000000000002</v>
      </c>
      <c r="C350" s="841"/>
      <c r="D350" s="393">
        <f t="shared" si="127"/>
        <v>6.0211919359372565</v>
      </c>
      <c r="E350" s="385">
        <f t="shared" si="125"/>
        <v>6.3515921588074979</v>
      </c>
      <c r="F350" s="385">
        <f t="shared" si="128"/>
        <v>6.3515921588074979</v>
      </c>
      <c r="G350" s="110">
        <f t="shared" si="126"/>
        <v>0.24132552066602805</v>
      </c>
      <c r="H350" s="414" t="b">
        <f>Wh_hp&gt;='2021'!Maxi_hp</f>
        <v>0</v>
      </c>
      <c r="I350" s="380">
        <f>IF(H350,Wh_hp,'2021'!Maxi_hp)</f>
        <v>10.56169638849005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3.5240852342008355E-2</v>
      </c>
      <c r="M350" s="845"/>
      <c r="N350" s="845"/>
      <c r="O350" s="48">
        <f>IF(t&lt;Tnet,'2021'!Resal+('2021'!Salim-'2021'!Resal)*(1-EXP(('2021'!Tnet-t)/('2021'!Tau_j))),Resal+(Salim-Resal)*(1-EXP((Tnet-t)/(Tau_j))))*Salcycl</f>
        <v>5.2018488374145432E-2</v>
      </c>
      <c r="P350" s="339">
        <f>(INDEX(Models!$BJ350:$BT350,,T350)*(1-R350)+INDEX(Models!$BJ350:$BT350,,T350+1)*R350-ERP_i)*Q350*Ramure*Pc/MaxiM</f>
        <v>4.8354096134797515E-4</v>
      </c>
      <c r="Q350" s="305">
        <f t="shared" si="130"/>
        <v>0.5</v>
      </c>
      <c r="R350" s="177">
        <f t="shared" si="131"/>
        <v>0.49717786389687918</v>
      </c>
      <c r="S350" s="811">
        <f t="shared" si="132"/>
        <v>0</v>
      </c>
      <c r="T350" s="176">
        <f t="shared" si="133"/>
        <v>6</v>
      </c>
      <c r="U350" s="251">
        <f t="shared" si="134"/>
        <v>0.49717786389687918</v>
      </c>
      <c r="V350" s="383">
        <f t="shared" si="135"/>
        <v>24.059581823468868</v>
      </c>
      <c r="W350" s="402">
        <f t="shared" si="136"/>
        <v>0</v>
      </c>
      <c r="X350" s="157">
        <f t="shared" si="137"/>
        <v>44897</v>
      </c>
      <c r="Y350" s="385">
        <f t="shared" si="138"/>
        <v>5.6480613301549365</v>
      </c>
      <c r="Z350" s="385">
        <f t="shared" si="139"/>
        <v>5.854374476641067</v>
      </c>
      <c r="AA350" s="386">
        <f t="shared" si="140"/>
        <v>6.3515921588074979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7.8282369165809634E-2</v>
      </c>
      <c r="AD350" s="231">
        <f>(INDEX(Models!$BJ350:$BT350,,AH350)*(1-AF350)+INDEX(Models!$BJ350:$BT350,,AH350+1)*AF350-ERP_i)*AE350*Ramure*Pc/MaxiM</f>
        <v>4.8354096134797515E-4</v>
      </c>
      <c r="AE350" s="305">
        <f t="shared" si="142"/>
        <v>0.5</v>
      </c>
      <c r="AF350" s="177">
        <f t="shared" si="143"/>
        <v>0.49717786389687918</v>
      </c>
      <c r="AG350" s="811">
        <f t="shared" si="149"/>
        <v>0</v>
      </c>
      <c r="AH350" s="176">
        <f t="shared" si="144"/>
        <v>6</v>
      </c>
      <c r="AI350" s="225">
        <f t="shared" si="145"/>
        <v>0.49717786389687918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40">
        <v>8.6769999999999996</v>
      </c>
      <c r="C351" s="841"/>
      <c r="D351" s="393">
        <f t="shared" si="127"/>
        <v>8.9941516219835318</v>
      </c>
      <c r="E351" s="385">
        <f t="shared" si="125"/>
        <v>9.488178996107381</v>
      </c>
      <c r="F351" s="385">
        <f t="shared" si="128"/>
        <v>9.4885980592727801</v>
      </c>
      <c r="G351" s="110">
        <f t="shared" si="126"/>
        <v>0.3632527624775429</v>
      </c>
      <c r="H351" s="414" t="b">
        <f>Wh_hp&gt;='2021'!Maxi_hp</f>
        <v>0</v>
      </c>
      <c r="I351" s="380">
        <f>IF(H351,Wh_hp,'2021'!Maxi_hp)</f>
        <v>17.22212353344614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3.5261983043331169E-2</v>
      </c>
      <c r="M351" s="845"/>
      <c r="N351" s="845"/>
      <c r="O351" s="48">
        <f>IF(t&lt;Tnet,'2021'!Resal+('2021'!Salim-'2021'!Resal)*(1-EXP(('2021'!Tnet-t)/('2021'!Tau_j))),Resal+(Salim-Resal)*(1-EXP((Tnet-t)/(Tau_j))))*Salcycl</f>
        <v>5.2067670132122212E-2</v>
      </c>
      <c r="P351" s="339">
        <f>(INDEX(Models!$BJ351:$BT351,,T351)*(1-R351)+INDEX(Models!$BJ351:$BT351,,T351+1)*R351-ERP_i)*Q351*Ramure*Pc/MaxiM</f>
        <v>4.8751847802520036E-4</v>
      </c>
      <c r="Q351" s="305">
        <f t="shared" si="130"/>
        <v>0.5</v>
      </c>
      <c r="R351" s="177">
        <f t="shared" si="131"/>
        <v>0.49719302154604178</v>
      </c>
      <c r="S351" s="811">
        <f t="shared" si="132"/>
        <v>0</v>
      </c>
      <c r="T351" s="176">
        <f t="shared" si="133"/>
        <v>6</v>
      </c>
      <c r="U351" s="251">
        <f t="shared" si="134"/>
        <v>0.49719302154604178</v>
      </c>
      <c r="V351" s="383">
        <f t="shared" si="135"/>
        <v>23.876357586671201</v>
      </c>
      <c r="W351" s="402">
        <f t="shared" si="136"/>
        <v>0</v>
      </c>
      <c r="X351" s="157">
        <f t="shared" si="137"/>
        <v>44898</v>
      </c>
      <c r="Y351" s="385">
        <f t="shared" si="138"/>
        <v>8.4369991090904737</v>
      </c>
      <c r="Z351" s="385">
        <f t="shared" si="139"/>
        <v>8.7453784973723305</v>
      </c>
      <c r="AA351" s="386">
        <f t="shared" si="140"/>
        <v>9.488178996107381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7.8286939890129845E-2</v>
      </c>
      <c r="AD351" s="231">
        <f>(INDEX(Models!$BJ351:$BT351,,AH351)*(1-AF351)+INDEX(Models!$BJ351:$BT351,,AH351+1)*AF351-ERP_i)*AE351*Ramure*Pc/MaxiM</f>
        <v>4.8751847802520036E-4</v>
      </c>
      <c r="AE351" s="305">
        <f t="shared" si="142"/>
        <v>0.5</v>
      </c>
      <c r="AF351" s="177">
        <f t="shared" si="143"/>
        <v>0.49719302154604178</v>
      </c>
      <c r="AG351" s="811">
        <f t="shared" si="149"/>
        <v>0</v>
      </c>
      <c r="AH351" s="176">
        <f t="shared" si="144"/>
        <v>6</v>
      </c>
      <c r="AI351" s="225">
        <f t="shared" si="145"/>
        <v>0.49719302154604178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40">
        <v>17.228000000000002</v>
      </c>
      <c r="C352" s="841"/>
      <c r="D352" s="393">
        <f t="shared" si="127"/>
        <v>17.858088976349677</v>
      </c>
      <c r="E352" s="385">
        <f t="shared" si="125"/>
        <v>18.839984073695057</v>
      </c>
      <c r="F352" s="385">
        <f t="shared" si="128"/>
        <v>18.845623436406257</v>
      </c>
      <c r="G352" s="110">
        <f t="shared" si="126"/>
        <v>0.72676564302299573</v>
      </c>
      <c r="H352" s="414" t="b">
        <f>Wh_hp&gt;='2021'!Maxi_hp</f>
        <v>1</v>
      </c>
      <c r="I352" s="380">
        <f>IF(H352,Wh_hp,'2021'!Maxi_hp)</f>
        <v>18.845623436406257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3.5283113281837308E-2</v>
      </c>
      <c r="M352" s="845"/>
      <c r="N352" s="845"/>
      <c r="O352" s="48">
        <f>IF(t&lt;Tnet,'2021'!Resal+('2021'!Salim-'2021'!Resal)*(1-EXP(('2021'!Tnet-t)/('2021'!Tau_j))),Resal+(Salim-Resal)*(1-EXP((Tnet-t)/(Tau_j))))*Salcycl</f>
        <v>5.2117618226457565E-2</v>
      </c>
      <c r="P352" s="339">
        <f>(INDEX(Models!$BJ352:$BT352,,T352)*(1-R352)+INDEX(Models!$BJ352:$BT352,,T352+1)*R352-ERP_i)*Q352*Ramure*Pc/MaxiM</f>
        <v>4.9066658972432228E-4</v>
      </c>
      <c r="Q352" s="305">
        <f t="shared" si="130"/>
        <v>0.5</v>
      </c>
      <c r="R352" s="177">
        <f t="shared" si="131"/>
        <v>0.49720756976767677</v>
      </c>
      <c r="S352" s="811">
        <f t="shared" si="132"/>
        <v>0</v>
      </c>
      <c r="T352" s="176">
        <f t="shared" si="133"/>
        <v>6</v>
      </c>
      <c r="U352" s="251">
        <f t="shared" si="134"/>
        <v>0.49720756976767677</v>
      </c>
      <c r="V352" s="383">
        <f t="shared" si="135"/>
        <v>23.700488980743199</v>
      </c>
      <c r="W352" s="402">
        <f t="shared" si="136"/>
        <v>0</v>
      </c>
      <c r="X352" s="157">
        <f t="shared" si="137"/>
        <v>44899</v>
      </c>
      <c r="Y352" s="385">
        <f t="shared" si="138"/>
        <v>16.752259464071212</v>
      </c>
      <c r="Z352" s="385">
        <f t="shared" si="139"/>
        <v>17.364948924093316</v>
      </c>
      <c r="AA352" s="386">
        <f t="shared" si="140"/>
        <v>18.839984073695057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7.8292802362886715E-2</v>
      </c>
      <c r="AD352" s="231">
        <f>(INDEX(Models!$BJ352:$BT352,,AH352)*(1-AF352)+INDEX(Models!$BJ352:$BT352,,AH352+1)*AF352-ERP_i)*AE352*Ramure*Pc/MaxiM</f>
        <v>4.9066658972432228E-4</v>
      </c>
      <c r="AE352" s="305">
        <f t="shared" si="142"/>
        <v>0.5</v>
      </c>
      <c r="AF352" s="177">
        <f t="shared" si="143"/>
        <v>0.49720756976767677</v>
      </c>
      <c r="AG352" s="811">
        <f t="shared" si="149"/>
        <v>0</v>
      </c>
      <c r="AH352" s="176">
        <f t="shared" si="144"/>
        <v>6</v>
      </c>
      <c r="AI352" s="225">
        <f t="shared" si="145"/>
        <v>0.49720756976767677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40">
        <v>23.449000000000002</v>
      </c>
      <c r="C353" s="841"/>
      <c r="D353" s="393">
        <f t="shared" si="127"/>
        <v>24.307145368110668</v>
      </c>
      <c r="E353" s="385">
        <f t="shared" si="125"/>
        <v>25.645002012509799</v>
      </c>
      <c r="F353" s="385">
        <f t="shared" si="128"/>
        <v>25.657599625066538</v>
      </c>
      <c r="G353" s="110">
        <f t="shared" si="126"/>
        <v>0.99641380764427945</v>
      </c>
      <c r="H353" s="414" t="b">
        <f>Wh_hp&gt;='2021'!Maxi_hp</f>
        <v>1</v>
      </c>
      <c r="I353" s="380">
        <f>IF(H353,Wh_hp,'2021'!Maxi_hp)</f>
        <v>25.657599625066538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3.5304243057537099E-2</v>
      </c>
      <c r="M353" s="845"/>
      <c r="N353" s="845"/>
      <c r="O353" s="48">
        <f>IF(t&lt;Tnet,'2021'!Resal+('2021'!Salim-'2021'!Resal)*(1-EXP(('2021'!Tnet-t)/('2021'!Tau_j))),Resal+(Salim-Resal)*(1-EXP((Tnet-t)/(Tau_j))))*Salcycl</f>
        <v>5.2168318947548399E-2</v>
      </c>
      <c r="P353" s="339">
        <f>(INDEX(Models!$BJ353:$BT353,,T353)*(1-R353)+INDEX(Models!$BJ353:$BT353,,T353+1)*R353-ERP_i)*Q353*Ramure*Pc/MaxiM</f>
        <v>4.9351609354601007E-4</v>
      </c>
      <c r="Q353" s="305">
        <f t="shared" si="130"/>
        <v>0.5</v>
      </c>
      <c r="R353" s="177">
        <f t="shared" si="131"/>
        <v>0.49722153303104571</v>
      </c>
      <c r="S353" s="811">
        <f t="shared" si="132"/>
        <v>0</v>
      </c>
      <c r="T353" s="176">
        <f t="shared" si="133"/>
        <v>6</v>
      </c>
      <c r="U353" s="251">
        <f t="shared" si="134"/>
        <v>0.49722153303104571</v>
      </c>
      <c r="V353" s="383">
        <f t="shared" si="135"/>
        <v>23.533335794233231</v>
      </c>
      <c r="W353" s="402">
        <f t="shared" si="136"/>
        <v>0</v>
      </c>
      <c r="X353" s="157">
        <f t="shared" si="137"/>
        <v>44900</v>
      </c>
      <c r="Y353" s="385">
        <f t="shared" si="138"/>
        <v>22.802513697027596</v>
      </c>
      <c r="Z353" s="385">
        <f t="shared" si="139"/>
        <v>23.6370000934788</v>
      </c>
      <c r="AA353" s="386">
        <f t="shared" si="140"/>
        <v>25.645002012509799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7.8299932207120948E-2</v>
      </c>
      <c r="AD353" s="231">
        <f>(INDEX(Models!$BJ353:$BT353,,AH353)*(1-AF353)+INDEX(Models!$BJ353:$BT353,,AH353+1)*AF353-ERP_i)*AE353*Ramure*Pc/MaxiM</f>
        <v>4.9351609354601007E-4</v>
      </c>
      <c r="AE353" s="305">
        <f t="shared" si="142"/>
        <v>0.5</v>
      </c>
      <c r="AF353" s="177">
        <f t="shared" si="143"/>
        <v>0.49722153303104571</v>
      </c>
      <c r="AG353" s="811">
        <f t="shared" si="149"/>
        <v>0</v>
      </c>
      <c r="AH353" s="176">
        <f t="shared" si="144"/>
        <v>6</v>
      </c>
      <c r="AI353" s="225">
        <f t="shared" si="145"/>
        <v>0.49722153303104571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40">
        <v>10.86</v>
      </c>
      <c r="C354" s="841"/>
      <c r="D354" s="393">
        <f t="shared" si="127"/>
        <v>11.257681801671994</v>
      </c>
      <c r="E354" s="385">
        <f t="shared" si="125"/>
        <v>11.877945202860351</v>
      </c>
      <c r="F354" s="385">
        <f t="shared" si="128"/>
        <v>11.879330563333975</v>
      </c>
      <c r="G354" s="110">
        <f t="shared" si="126"/>
        <v>0.46439738356100263</v>
      </c>
      <c r="H354" s="414" t="b">
        <f>Wh_hp&gt;='2021'!Maxi_hp</f>
        <v>0</v>
      </c>
      <c r="I354" s="380">
        <f>IF(H354,Wh_hp,'2021'!Maxi_hp)</f>
        <v>20.632916228723204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3.5325372370440533E-2</v>
      </c>
      <c r="M354" s="845"/>
      <c r="N354" s="845"/>
      <c r="O354" s="48">
        <f>IF(t&lt;Tnet,'2021'!Resal+('2021'!Salim-'2021'!Resal)*(1-EXP(('2021'!Tnet-t)/('2021'!Tau_j))),Resal+(Salim-Resal)*(1-EXP((Tnet-t)/(Tau_j))))*Salcycl</f>
        <v>5.2219756076917152E-2</v>
      </c>
      <c r="P354" s="339">
        <f>(INDEX(Models!$BJ354:$BT354,,T354)*(1-R354)+INDEX(Models!$BJ354:$BT354,,T354+1)*R354-ERP_i)*Q354*Ramure*Pc/MaxiM</f>
        <v>4.9603065227153144E-4</v>
      </c>
      <c r="Q354" s="305">
        <f t="shared" si="130"/>
        <v>0.5</v>
      </c>
      <c r="R354" s="177">
        <f t="shared" si="131"/>
        <v>0.49723493482556869</v>
      </c>
      <c r="S354" s="811">
        <f t="shared" si="132"/>
        <v>0</v>
      </c>
      <c r="T354" s="176">
        <f t="shared" si="133"/>
        <v>6</v>
      </c>
      <c r="U354" s="251">
        <f t="shared" si="134"/>
        <v>0.49723493482556869</v>
      </c>
      <c r="V354" s="383">
        <f t="shared" si="135"/>
        <v>23.376271050553406</v>
      </c>
      <c r="W354" s="402">
        <f t="shared" si="136"/>
        <v>0</v>
      </c>
      <c r="X354" s="157">
        <f t="shared" si="137"/>
        <v>44901</v>
      </c>
      <c r="Y354" s="385">
        <f t="shared" si="138"/>
        <v>10.561068255152261</v>
      </c>
      <c r="Z354" s="385">
        <f t="shared" si="139"/>
        <v>10.947803490077662</v>
      </c>
      <c r="AA354" s="386">
        <f t="shared" si="140"/>
        <v>11.877945202860351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7.830830138521766E-2</v>
      </c>
      <c r="AD354" s="231">
        <f>(INDEX(Models!$BJ354:$BT354,,AH354)*(1-AF354)+INDEX(Models!$BJ354:$BT354,,AH354+1)*AF354-ERP_i)*AE354*Ramure*Pc/MaxiM</f>
        <v>4.9603065227153144E-4</v>
      </c>
      <c r="AE354" s="305">
        <f t="shared" si="142"/>
        <v>0.5</v>
      </c>
      <c r="AF354" s="177">
        <f t="shared" si="143"/>
        <v>0.49723493482556869</v>
      </c>
      <c r="AG354" s="811">
        <f t="shared" si="149"/>
        <v>0</v>
      </c>
      <c r="AH354" s="176">
        <f t="shared" si="144"/>
        <v>6</v>
      </c>
      <c r="AI354" s="225">
        <f t="shared" si="145"/>
        <v>0.49723493482556869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40">
        <v>19.705000000000002</v>
      </c>
      <c r="C355" s="841"/>
      <c r="D355" s="393">
        <f t="shared" si="127"/>
        <v>20.427023822473423</v>
      </c>
      <c r="E355" s="385">
        <f t="shared" si="125"/>
        <v>21.553675638296315</v>
      </c>
      <c r="F355" s="385">
        <f t="shared" si="128"/>
        <v>21.562088371382199</v>
      </c>
      <c r="G355" s="110">
        <f t="shared" si="126"/>
        <v>0.84814054357723345</v>
      </c>
      <c r="H355" s="414" t="b">
        <f>Wh_hp&gt;='2021'!Maxi_hp</f>
        <v>1</v>
      </c>
      <c r="I355" s="380">
        <f>IF(H355,Wh_hp,'2021'!Maxi_hp)</f>
        <v>21.562088371382199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3.5346501220557824E-2</v>
      </c>
      <c r="M355" s="845"/>
      <c r="N355" s="845"/>
      <c r="O355" s="48">
        <f>IF(t&lt;Tnet,'2021'!Resal+('2021'!Salim-'2021'!Resal)*(1-EXP(('2021'!Tnet-t)/('2021'!Tau_j))),Resal+(Salim-Resal)*(1-EXP((Tnet-t)/(Tau_j))))*Salcycl</f>
        <v>5.2271911052659319E-2</v>
      </c>
      <c r="P355" s="339">
        <f>(INDEX(Models!$BJ355:$BT355,,T355)*(1-R355)+INDEX(Models!$BJ355:$BT355,,T355+1)*R355-ERP_i)*Q355*Ramure*Pc/MaxiM</f>
        <v>4.9817254749729952E-4</v>
      </c>
      <c r="Q355" s="305">
        <f t="shared" si="130"/>
        <v>0.5</v>
      </c>
      <c r="R355" s="177">
        <f t="shared" si="131"/>
        <v>0.49724779769985372</v>
      </c>
      <c r="S355" s="811">
        <f t="shared" si="132"/>
        <v>0</v>
      </c>
      <c r="T355" s="176">
        <f t="shared" si="133"/>
        <v>6</v>
      </c>
      <c r="U355" s="251">
        <f t="shared" si="134"/>
        <v>0.49724779769985372</v>
      </c>
      <c r="V355" s="383">
        <f t="shared" si="135"/>
        <v>23.230667362867887</v>
      </c>
      <c r="W355" s="402">
        <f t="shared" si="136"/>
        <v>0</v>
      </c>
      <c r="X355" s="157">
        <f t="shared" si="137"/>
        <v>44902</v>
      </c>
      <c r="Y355" s="385">
        <f t="shared" si="138"/>
        <v>19.163456709480052</v>
      </c>
      <c r="Z355" s="385">
        <f t="shared" si="139"/>
        <v>19.865637489240655</v>
      </c>
      <c r="AA355" s="386">
        <f t="shared" si="140"/>
        <v>21.553675638296315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7.8317878462287618E-2</v>
      </c>
      <c r="AD355" s="231">
        <f>(INDEX(Models!$BJ355:$BT355,,AH355)*(1-AF355)+INDEX(Models!$BJ355:$BT355,,AH355+1)*AF355-ERP_i)*AE355*Ramure*Pc/MaxiM</f>
        <v>4.9817254749729952E-4</v>
      </c>
      <c r="AE355" s="305">
        <f t="shared" si="142"/>
        <v>0.5</v>
      </c>
      <c r="AF355" s="177">
        <f t="shared" si="143"/>
        <v>0.49724779769985372</v>
      </c>
      <c r="AG355" s="811">
        <f t="shared" si="149"/>
        <v>0</v>
      </c>
      <c r="AH355" s="176">
        <f t="shared" si="144"/>
        <v>6</v>
      </c>
      <c r="AI355" s="225">
        <f t="shared" si="145"/>
        <v>0.49724779769985372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40">
        <v>4.0680000000000005</v>
      </c>
      <c r="C356" s="841"/>
      <c r="D356" s="393">
        <f t="shared" si="127"/>
        <v>4.2171506211702718</v>
      </c>
      <c r="E356" s="385">
        <f t="shared" si="125"/>
        <v>4.4499955862221814</v>
      </c>
      <c r="F356" s="385">
        <f t="shared" si="128"/>
        <v>4.4499955862221814</v>
      </c>
      <c r="G356" s="110">
        <f t="shared" si="126"/>
        <v>0.17603188753039553</v>
      </c>
      <c r="H356" s="414" t="b">
        <f>Wh_hp&gt;='2021'!Maxi_hp</f>
        <v>0</v>
      </c>
      <c r="I356" s="380">
        <f>IF(H356,Wh_hp,'2021'!Maxi_hp)</f>
        <v>16.757981515209075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3.5367629607898965E-2</v>
      </c>
      <c r="M356" s="845"/>
      <c r="N356" s="845"/>
      <c r="O356" s="48">
        <f>IF(t&lt;Tnet,'2021'!Resal+('2021'!Salim-'2021'!Resal)*(1-EXP(('2021'!Tnet-t)/('2021'!Tau_j))),Resal+(Salim-Resal)*(1-EXP((Tnet-t)/(Tau_j))))*Salcycl</f>
        <v>5.2324763146469354E-2</v>
      </c>
      <c r="P356" s="339">
        <f>(INDEX(Models!$BJ356:$BT356,,T356)*(1-R356)+INDEX(Models!$BJ356:$BT356,,T356+1)*R356-ERP_i)*Q356*Ramure*Pc/MaxiM</f>
        <v>4.9990305048718258E-4</v>
      </c>
      <c r="Q356" s="305">
        <f t="shared" si="130"/>
        <v>0.5</v>
      </c>
      <c r="R356" s="177">
        <f t="shared" si="131"/>
        <v>0.49726014329918777</v>
      </c>
      <c r="S356" s="811">
        <f t="shared" si="132"/>
        <v>0</v>
      </c>
      <c r="T356" s="176">
        <f t="shared" si="133"/>
        <v>6</v>
      </c>
      <c r="U356" s="251">
        <f t="shared" si="134"/>
        <v>0.49726014329918777</v>
      </c>
      <c r="V356" s="383">
        <f t="shared" si="135"/>
        <v>23.097896928978539</v>
      </c>
      <c r="W356" s="402">
        <f t="shared" si="136"/>
        <v>0</v>
      </c>
      <c r="X356" s="157">
        <f t="shared" si="137"/>
        <v>44903</v>
      </c>
      <c r="Y356" s="385">
        <f t="shared" si="138"/>
        <v>3.9563755513363446</v>
      </c>
      <c r="Z356" s="385">
        <f t="shared" si="139"/>
        <v>4.1014335334073104</v>
      </c>
      <c r="AA356" s="386">
        <f t="shared" si="140"/>
        <v>4.4499955862221814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7.8328628885401402E-2</v>
      </c>
      <c r="AD356" s="231">
        <f>(INDEX(Models!$BJ356:$BT356,,AH356)*(1-AF356)+INDEX(Models!$BJ356:$BT356,,AH356+1)*AF356-ERP_i)*AE356*Ramure*Pc/MaxiM</f>
        <v>4.9990305048718258E-4</v>
      </c>
      <c r="AE356" s="305">
        <f t="shared" si="142"/>
        <v>0.5</v>
      </c>
      <c r="AF356" s="177">
        <f t="shared" si="143"/>
        <v>0.49726014329918777</v>
      </c>
      <c r="AG356" s="811">
        <f t="shared" si="149"/>
        <v>0</v>
      </c>
      <c r="AH356" s="176">
        <f t="shared" si="144"/>
        <v>6</v>
      </c>
      <c r="AI356" s="225">
        <f t="shared" si="145"/>
        <v>0.49726014329918777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40">
        <v>4.9219999999999997</v>
      </c>
      <c r="C357" s="841"/>
      <c r="D357" s="393">
        <f t="shared" si="127"/>
        <v>5.1025737450553317</v>
      </c>
      <c r="E357" s="385">
        <f t="shared" si="125"/>
        <v>5.3846104298040656</v>
      </c>
      <c r="F357" s="385">
        <f t="shared" si="128"/>
        <v>5.3846104298040656</v>
      </c>
      <c r="G357" s="110">
        <f t="shared" si="126"/>
        <v>0.21408513015734917</v>
      </c>
      <c r="H357" s="414" t="b">
        <f>Wh_hp&gt;='2021'!Maxi_hp</f>
        <v>0</v>
      </c>
      <c r="I357" s="380">
        <f>IF(H357,Wh_hp,'2021'!Maxi_hp)</f>
        <v>11.880379374635188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3.538875753247428E-2</v>
      </c>
      <c r="M357" s="845"/>
      <c r="N357" s="845"/>
      <c r="O357" s="48">
        <f>IF(t&lt;Tnet,'2021'!Resal+('2021'!Salim-'2021'!Resal)*(1-EXP(('2021'!Tnet-t)/('2021'!Tau_j))),Resal+(Salim-Resal)*(1-EXP((Tnet-t)/(Tau_j))))*Salcycl</f>
        <v>5.2378289650751315E-2</v>
      </c>
      <c r="P357" s="339">
        <f>(INDEX(Models!$BJ357:$BT357,,T357)*(1-R357)+INDEX(Models!$BJ357:$BT357,,T357+1)*R357-ERP_i)*Q357*Ramure*Pc/MaxiM</f>
        <v>5.0118286411965666E-4</v>
      </c>
      <c r="Q357" s="305">
        <f t="shared" si="130"/>
        <v>0.5</v>
      </c>
      <c r="R357" s="177">
        <f t="shared" si="131"/>
        <v>0.49727199240154785</v>
      </c>
      <c r="S357" s="811">
        <f t="shared" si="132"/>
        <v>0</v>
      </c>
      <c r="T357" s="176">
        <f t="shared" si="133"/>
        <v>6</v>
      </c>
      <c r="U357" s="251">
        <f t="shared" si="134"/>
        <v>0.49727199240154785</v>
      </c>
      <c r="V357" s="383">
        <f t="shared" si="135"/>
        <v>22.979331513249065</v>
      </c>
      <c r="W357" s="402">
        <f t="shared" si="136"/>
        <v>0</v>
      </c>
      <c r="X357" s="157">
        <f t="shared" si="137"/>
        <v>44904</v>
      </c>
      <c r="Y357" s="385">
        <f t="shared" si="138"/>
        <v>4.787150752527463</v>
      </c>
      <c r="Z357" s="385">
        <f t="shared" si="139"/>
        <v>4.9627772741707661</v>
      </c>
      <c r="AA357" s="386">
        <f t="shared" si="140"/>
        <v>5.3846104298040656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7.8340515276357547E-2</v>
      </c>
      <c r="AD357" s="231">
        <f>(INDEX(Models!$BJ357:$BT357,,AH357)*(1-AF357)+INDEX(Models!$BJ357:$BT357,,AH357+1)*AF357-ERP_i)*AE357*Ramure*Pc/MaxiM</f>
        <v>5.0118286411965666E-4</v>
      </c>
      <c r="AE357" s="305">
        <f t="shared" si="142"/>
        <v>0.5</v>
      </c>
      <c r="AF357" s="177">
        <f t="shared" si="143"/>
        <v>0.49727199240154785</v>
      </c>
      <c r="AG357" s="811">
        <f t="shared" si="149"/>
        <v>0</v>
      </c>
      <c r="AH357" s="176">
        <f t="shared" si="144"/>
        <v>6</v>
      </c>
      <c r="AI357" s="225">
        <f t="shared" si="145"/>
        <v>0.49727199240154785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40">
        <v>11.586</v>
      </c>
      <c r="C358" s="841"/>
      <c r="D358" s="393">
        <f t="shared" si="127"/>
        <v>12.011319440000131</v>
      </c>
      <c r="E358" s="385">
        <f t="shared" si="125"/>
        <v>12.675950800295555</v>
      </c>
      <c r="F358" s="385">
        <f t="shared" si="128"/>
        <v>12.6778278127404</v>
      </c>
      <c r="G358" s="110">
        <f t="shared" si="126"/>
        <v>0.50628280871057307</v>
      </c>
      <c r="H358" s="414" t="b">
        <f>Wh_hp&gt;='2021'!Maxi_hp</f>
        <v>0</v>
      </c>
      <c r="I358" s="380">
        <f>IF(H358,Wh_hp,'2021'!Maxi_hp)</f>
        <v>21.95872257479607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3.5409884994293872E-2</v>
      </c>
      <c r="M358" s="845"/>
      <c r="N358" s="845"/>
      <c r="O358" s="48">
        <f>IF(t&lt;Tnet,'2021'!Resal+('2021'!Salim-'2021'!Resal)*(1-EXP(('2021'!Tnet-t)/('2021'!Tau_j))),Resal+(Salim-Resal)*(1-EXP((Tnet-t)/(Tau_j))))*Salcycl</f>
        <v>5.2432466074255085E-2</v>
      </c>
      <c r="P358" s="339">
        <f>(INDEX(Models!$BJ358:$BT358,,T358)*(1-R358)+INDEX(Models!$BJ358:$BT358,,T358+1)*R358-ERP_i)*Q358*Ramure*Pc/MaxiM</f>
        <v>5.019726348582229E-4</v>
      </c>
      <c r="Q358" s="305">
        <f t="shared" si="130"/>
        <v>0.5</v>
      </c>
      <c r="R358" s="177">
        <f t="shared" si="131"/>
        <v>0.49728336495219239</v>
      </c>
      <c r="S358" s="811">
        <f t="shared" si="132"/>
        <v>0</v>
      </c>
      <c r="T358" s="176">
        <f t="shared" si="133"/>
        <v>6</v>
      </c>
      <c r="U358" s="251">
        <f t="shared" si="134"/>
        <v>0.49728336495219239</v>
      </c>
      <c r="V358" s="383">
        <f t="shared" si="135"/>
        <v>22.876342433055036</v>
      </c>
      <c r="W358" s="402">
        <f t="shared" si="136"/>
        <v>0</v>
      </c>
      <c r="X358" s="157">
        <f t="shared" si="137"/>
        <v>44905</v>
      </c>
      <c r="Y358" s="385">
        <f t="shared" si="138"/>
        <v>11.269061035677401</v>
      </c>
      <c r="Z358" s="385">
        <f t="shared" si="139"/>
        <v>11.682745717968235</v>
      </c>
      <c r="AA358" s="386">
        <f t="shared" si="140"/>
        <v>12.675950800295555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7.8353497735582978E-2</v>
      </c>
      <c r="AD358" s="231">
        <f>(INDEX(Models!$BJ358:$BT358,,AH358)*(1-AF358)+INDEX(Models!$BJ358:$BT358,,AH358+1)*AF358-ERP_i)*AE358*Ramure*Pc/MaxiM</f>
        <v>5.019726348582229E-4</v>
      </c>
      <c r="AE358" s="305">
        <f t="shared" si="142"/>
        <v>0.5</v>
      </c>
      <c r="AF358" s="177">
        <f t="shared" si="143"/>
        <v>0.49728336495219239</v>
      </c>
      <c r="AG358" s="811">
        <f t="shared" si="149"/>
        <v>0</v>
      </c>
      <c r="AH358" s="176">
        <f t="shared" si="144"/>
        <v>6</v>
      </c>
      <c r="AI358" s="225">
        <f t="shared" si="145"/>
        <v>0.49728336495219239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40">
        <v>16.186</v>
      </c>
      <c r="C359" s="841"/>
      <c r="D359" s="393">
        <f t="shared" si="127"/>
        <v>16.780551936932795</v>
      </c>
      <c r="E359" s="385">
        <f t="shared" si="125"/>
        <v>17.710107042251252</v>
      </c>
      <c r="F359" s="385">
        <f t="shared" si="128"/>
        <v>17.715323470368492</v>
      </c>
      <c r="G359" s="110">
        <f t="shared" si="126"/>
        <v>0.7101898321428699</v>
      </c>
      <c r="H359" s="414" t="b">
        <f>Wh_hp&gt;='2021'!Maxi_hp</f>
        <v>0</v>
      </c>
      <c r="I359" s="380">
        <f>IF(H359,Wh_hp,'2021'!Maxi_hp)</f>
        <v>18.260406248134906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3.5431011993367734E-2</v>
      </c>
      <c r="M359" s="845"/>
      <c r="N359" s="845"/>
      <c r="O359" s="48">
        <f>IF(t&lt;Tnet,'2021'!Resal+('2021'!Salim-'2021'!Resal)*(1-EXP(('2021'!Tnet-t)/('2021'!Tau_j))),Resal+(Salim-Resal)*(1-EXP((Tnet-t)/(Tau_j))))*Salcycl</f>
        <v>5.248726634462484E-2</v>
      </c>
      <c r="P359" s="339">
        <f>(INDEX(Models!$BJ359:$BT359,,T359)*(1-R359)+INDEX(Models!$BJ359:$BT359,,T359+1)*R359-ERP_i)*Q359*Ramure*Pc/MaxiM</f>
        <v>5.0232054688150373E-4</v>
      </c>
      <c r="Q359" s="305">
        <f t="shared" si="130"/>
        <v>0.5</v>
      </c>
      <c r="R359" s="177">
        <f t="shared" si="131"/>
        <v>0.4972942800968837</v>
      </c>
      <c r="S359" s="811">
        <f t="shared" si="132"/>
        <v>0</v>
      </c>
      <c r="T359" s="176">
        <f t="shared" si="133"/>
        <v>6</v>
      </c>
      <c r="U359" s="251">
        <f t="shared" si="134"/>
        <v>0.4972942800968837</v>
      </c>
      <c r="V359" s="383">
        <f t="shared" si="135"/>
        <v>22.786350665696315</v>
      </c>
      <c r="W359" s="402">
        <f t="shared" si="136"/>
        <v>0</v>
      </c>
      <c r="X359" s="157">
        <f t="shared" si="137"/>
        <v>44906</v>
      </c>
      <c r="Y359" s="385">
        <f t="shared" si="138"/>
        <v>15.7438972187974</v>
      </c>
      <c r="Z359" s="385">
        <f t="shared" si="139"/>
        <v>16.322209623734189</v>
      </c>
      <c r="AA359" s="386">
        <f t="shared" si="140"/>
        <v>17.710107042251252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7.8367534154702573E-2</v>
      </c>
      <c r="AD359" s="231">
        <f>(INDEX(Models!$BJ359:$BT359,,AH359)*(1-AF359)+INDEX(Models!$BJ359:$BT359,,AH359+1)*AF359-ERP_i)*AE359*Ramure*Pc/MaxiM</f>
        <v>5.0232054688150373E-4</v>
      </c>
      <c r="AE359" s="305">
        <f t="shared" si="142"/>
        <v>0.5</v>
      </c>
      <c r="AF359" s="177">
        <f t="shared" si="143"/>
        <v>0.4972942800968837</v>
      </c>
      <c r="AG359" s="811">
        <f t="shared" si="149"/>
        <v>0</v>
      </c>
      <c r="AH359" s="176">
        <f t="shared" si="144"/>
        <v>6</v>
      </c>
      <c r="AI359" s="225">
        <f t="shared" si="145"/>
        <v>0.4972942800968837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40">
        <v>5.6370000000000005</v>
      </c>
      <c r="C360" s="841"/>
      <c r="D360" s="393">
        <f t="shared" si="127"/>
        <v>5.8441889979490762</v>
      </c>
      <c r="E360" s="385">
        <f t="shared" si="125"/>
        <v>6.168287235553974</v>
      </c>
      <c r="F360" s="385">
        <f t="shared" si="128"/>
        <v>6.168287235553974</v>
      </c>
      <c r="G360" s="110">
        <f t="shared" si="126"/>
        <v>0.24813544380108205</v>
      </c>
      <c r="H360" s="414" t="b">
        <f>Wh_hp&gt;='2021'!Maxi_hp</f>
        <v>0</v>
      </c>
      <c r="I360" s="380">
        <f>IF(H360,Wh_hp,'2021'!Maxi_hp)</f>
        <v>23.792403120855759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3.545213852970619E-2</v>
      </c>
      <c r="M360" s="845"/>
      <c r="N360" s="845"/>
      <c r="O360" s="48">
        <f>IF(t&lt;Tnet,'2021'!Resal+('2021'!Salim-'2021'!Resal)*(1-EXP(('2021'!Tnet-t)/('2021'!Tau_j))),Resal+(Salim-Resal)*(1-EXP((Tnet-t)/(Tau_j))))*Salcycl</f>
        <v>5.2542663016209218E-2</v>
      </c>
      <c r="P360" s="339">
        <f>(INDEX(Models!$BJ360:$BT360,,T360)*(1-R360)+INDEX(Models!$BJ360:$BT360,,T360+1)*R360-ERP_i)*Q360*Ramure*Pc/MaxiM</f>
        <v>5.0229366355114752E-4</v>
      </c>
      <c r="Q360" s="305">
        <f t="shared" si="130"/>
        <v>0.5</v>
      </c>
      <c r="R360" s="177">
        <f t="shared" si="131"/>
        <v>0.49730475621379844</v>
      </c>
      <c r="S360" s="811">
        <f t="shared" si="132"/>
        <v>0</v>
      </c>
      <c r="T360" s="176">
        <f t="shared" si="133"/>
        <v>6</v>
      </c>
      <c r="U360" s="251">
        <f t="shared" si="134"/>
        <v>0.49730475621379844</v>
      </c>
      <c r="V360" s="383">
        <f t="shared" si="135"/>
        <v>22.706020890490752</v>
      </c>
      <c r="W360" s="402">
        <f t="shared" si="136"/>
        <v>0</v>
      </c>
      <c r="X360" s="157">
        <f t="shared" si="137"/>
        <v>44907</v>
      </c>
      <c r="Y360" s="385">
        <f t="shared" si="138"/>
        <v>5.4832626132394786</v>
      </c>
      <c r="Z360" s="385">
        <f t="shared" si="139"/>
        <v>5.6848009645484581</v>
      </c>
      <c r="AA360" s="386">
        <f t="shared" si="140"/>
        <v>6.168287235553974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7.8382580535274582E-2</v>
      </c>
      <c r="AD360" s="231">
        <f>(INDEX(Models!$BJ360:$BT360,,AH360)*(1-AF360)+INDEX(Models!$BJ360:$BT360,,AH360+1)*AF360-ERP_i)*AE360*Ramure*Pc/MaxiM</f>
        <v>5.0229366355114752E-4</v>
      </c>
      <c r="AE360" s="305">
        <f t="shared" si="142"/>
        <v>0.5</v>
      </c>
      <c r="AF360" s="177">
        <f t="shared" si="143"/>
        <v>0.49730475621379844</v>
      </c>
      <c r="AG360" s="811">
        <f t="shared" si="149"/>
        <v>0</v>
      </c>
      <c r="AH360" s="176">
        <f t="shared" si="144"/>
        <v>6</v>
      </c>
      <c r="AI360" s="225">
        <f t="shared" si="145"/>
        <v>0.49730475621379844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40">
        <v>5.351</v>
      </c>
      <c r="C361" s="841"/>
      <c r="D361" s="393">
        <f t="shared" si="127"/>
        <v>5.5477985250448185</v>
      </c>
      <c r="E361" s="385">
        <f t="shared" ref="E361:E379" si="150">Wh_pvt/(1-Psa)</f>
        <v>5.8558058769713703</v>
      </c>
      <c r="F361" s="385">
        <f t="shared" si="128"/>
        <v>5.8558058769713703</v>
      </c>
      <c r="G361" s="110">
        <f t="shared" ref="G361:G379" si="151">+Wh_hp/MaxiM</f>
        <v>0.23627899838617095</v>
      </c>
      <c r="H361" s="414" t="b">
        <f>Wh_hp&gt;='2021'!Maxi_hp</f>
        <v>0</v>
      </c>
      <c r="I361" s="380">
        <f>IF(H361,Wh_hp,'2021'!Maxi_hp)</f>
        <v>25.480851358483925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3.5473264603319121E-2</v>
      </c>
      <c r="M361" s="845"/>
      <c r="N361" s="845"/>
      <c r="O361" s="48">
        <f>IF(t&lt;Tnet,'2021'!Resal+('2021'!Salim-'2021'!Resal)*(1-EXP(('2021'!Tnet-t)/('2021'!Tau_j))),Resal+(Salim-Resal)*(1-EXP((Tnet-t)/(Tau_j))))*Salcycl</f>
        <v>5.2598627481458396E-2</v>
      </c>
      <c r="P361" s="339">
        <f>(INDEX(Models!$BJ361:$BT361,,T361)*(1-R361)+INDEX(Models!$BJ361:$BT361,,T361+1)*R361-ERP_i)*Q361*Ramure*Pc/MaxiM</f>
        <v>5.022846844896919E-4</v>
      </c>
      <c r="Q361" s="305">
        <f t="shared" si="130"/>
        <v>0.5</v>
      </c>
      <c r="R361" s="177">
        <f t="shared" si="131"/>
        <v>0.49731481094417435</v>
      </c>
      <c r="S361" s="811">
        <f t="shared" si="132"/>
        <v>0</v>
      </c>
      <c r="T361" s="176">
        <f t="shared" si="133"/>
        <v>6</v>
      </c>
      <c r="U361" s="251">
        <f t="shared" si="134"/>
        <v>0.49731481094417435</v>
      </c>
      <c r="V361" s="383">
        <f t="shared" si="135"/>
        <v>22.635580441695001</v>
      </c>
      <c r="W361" s="402">
        <f t="shared" si="136"/>
        <v>0</v>
      </c>
      <c r="X361" s="157">
        <f t="shared" si="137"/>
        <v>44908</v>
      </c>
      <c r="Y361" s="385">
        <f t="shared" si="138"/>
        <v>5.20527970609142</v>
      </c>
      <c r="Z361" s="385">
        <f t="shared" si="139"/>
        <v>5.3967189452251363</v>
      </c>
      <c r="AA361" s="386">
        <f t="shared" si="140"/>
        <v>5.8558058769713703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7.839859131117137E-2</v>
      </c>
      <c r="AD361" s="231">
        <f>(INDEX(Models!$BJ361:$BT361,,AH361)*(1-AF361)+INDEX(Models!$BJ361:$BT361,,AH361+1)*AF361-ERP_i)*AE361*Ramure*Pc/MaxiM</f>
        <v>5.022846844896919E-4</v>
      </c>
      <c r="AE361" s="305">
        <f t="shared" si="142"/>
        <v>0.5</v>
      </c>
      <c r="AF361" s="177">
        <f t="shared" si="143"/>
        <v>0.49731481094417435</v>
      </c>
      <c r="AG361" s="811">
        <f t="shared" si="149"/>
        <v>0</v>
      </c>
      <c r="AH361" s="176">
        <f t="shared" si="144"/>
        <v>6</v>
      </c>
      <c r="AI361" s="225">
        <f t="shared" si="145"/>
        <v>0.49731481094417435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40">
        <v>16.978999999999999</v>
      </c>
      <c r="C362" s="841"/>
      <c r="D362" s="393">
        <f t="shared" si="127"/>
        <v>17.603837476664381</v>
      </c>
      <c r="E362" s="385">
        <f t="shared" si="150"/>
        <v>18.582290396619442</v>
      </c>
      <c r="F362" s="385">
        <f t="shared" si="128"/>
        <v>18.58832060491369</v>
      </c>
      <c r="G362" s="110">
        <f t="shared" si="151"/>
        <v>0.75197249270109956</v>
      </c>
      <c r="H362" s="414" t="b">
        <f>Wh_hp&gt;='2021'!Maxi_hp</f>
        <v>0</v>
      </c>
      <c r="I362" s="380">
        <f>IF(H362,Wh_hp,'2021'!Maxi_hp)</f>
        <v>22.845836803064749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3.5494390214216964E-2</v>
      </c>
      <c r="M362" s="845"/>
      <c r="N362" s="845"/>
      <c r="O362" s="48">
        <f>IF(t&lt;Tnet,'2021'!Resal+('2021'!Salim-'2021'!Resal)*(1-EXP(('2021'!Tnet-t)/('2021'!Tau_j))),Resal+(Salim-Resal)*(1-EXP((Tnet-t)/(Tau_j))))*Salcycl</f>
        <v>5.2655130184224561E-2</v>
      </c>
      <c r="P362" s="339">
        <f>(INDEX(Models!$BJ362:$BT362,,T362)*(1-R362)+INDEX(Models!$BJ362:$BT362,,T362+1)*R362-ERP_i)*Q362*Ramure*Pc/MaxiM</f>
        <v>5.0228432300754918E-4</v>
      </c>
      <c r="Q362" s="305">
        <f t="shared" si="130"/>
        <v>0.5</v>
      </c>
      <c r="R362" s="177">
        <f t="shared" si="131"/>
        <v>0.49732446122174367</v>
      </c>
      <c r="S362" s="811">
        <f t="shared" si="132"/>
        <v>0</v>
      </c>
      <c r="T362" s="176">
        <f t="shared" si="133"/>
        <v>6</v>
      </c>
      <c r="U362" s="251">
        <f t="shared" si="134"/>
        <v>0.49732446122174367</v>
      </c>
      <c r="V362" s="383">
        <f t="shared" si="135"/>
        <v>22.575265758072721</v>
      </c>
      <c r="W362" s="402">
        <f t="shared" si="136"/>
        <v>0</v>
      </c>
      <c r="X362" s="157">
        <f t="shared" si="137"/>
        <v>44909</v>
      </c>
      <c r="Y362" s="385">
        <f t="shared" si="138"/>
        <v>16.517303666330605</v>
      </c>
      <c r="Z362" s="385">
        <f t="shared" si="139"/>
        <v>17.125150438470857</v>
      </c>
      <c r="AA362" s="386">
        <f t="shared" si="140"/>
        <v>18.582290396619442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7.8415519672089151E-2</v>
      </c>
      <c r="AD362" s="231">
        <f>(INDEX(Models!$BJ362:$BT362,,AH362)*(1-AF362)+INDEX(Models!$BJ362:$BT362,,AH362+1)*AF362-ERP_i)*AE362*Ramure*Pc/MaxiM</f>
        <v>5.0228432300754918E-4</v>
      </c>
      <c r="AE362" s="305">
        <f t="shared" si="142"/>
        <v>0.5</v>
      </c>
      <c r="AF362" s="177">
        <f t="shared" si="143"/>
        <v>0.49732446122174367</v>
      </c>
      <c r="AG362" s="811">
        <f t="shared" si="149"/>
        <v>0</v>
      </c>
      <c r="AH362" s="176">
        <f t="shared" si="144"/>
        <v>6</v>
      </c>
      <c r="AI362" s="225">
        <f t="shared" si="145"/>
        <v>0.49732446122174367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40">
        <v>5.6319999999999997</v>
      </c>
      <c r="C363" s="841"/>
      <c r="D363" s="393">
        <f t="shared" si="127"/>
        <v>5.839388906412788</v>
      </c>
      <c r="E363" s="385">
        <f t="shared" si="150"/>
        <v>6.1643236001667434</v>
      </c>
      <c r="F363" s="385">
        <f t="shared" si="128"/>
        <v>6.1643236001667434</v>
      </c>
      <c r="G363" s="110">
        <f t="shared" si="151"/>
        <v>0.24990423434714623</v>
      </c>
      <c r="H363" s="414" t="b">
        <f>Wh_hp&gt;='2021'!Maxi_hp</f>
        <v>0</v>
      </c>
      <c r="I363" s="380">
        <f>IF(H363,Wh_hp,'2021'!Maxi_hp)</f>
        <v>25.557265904120406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3.5515515362409711E-2</v>
      </c>
      <c r="M363" s="845"/>
      <c r="N363" s="845"/>
      <c r="O363" s="48">
        <f>IF(t&lt;Tnet,'2021'!Resal+('2021'!Salim-'2021'!Resal)*(1-EXP(('2021'!Tnet-t)/('2021'!Tau_j))),Resal+(Salim-Resal)*(1-EXP((Tnet-t)/(Tau_j))))*Salcycl</f>
        <v>5.2712140833288783E-2</v>
      </c>
      <c r="P363" s="339">
        <f>(INDEX(Models!$BJ363:$BT363,,T363)*(1-R363)+INDEX(Models!$BJ363:$BT363,,T363+1)*R363-ERP_i)*Q363*Ramure*Pc/MaxiM</f>
        <v>5.0228324882412077E-4</v>
      </c>
      <c r="Q363" s="305">
        <f t="shared" si="130"/>
        <v>0.5</v>
      </c>
      <c r="R363" s="177">
        <f t="shared" si="131"/>
        <v>0.49733372330100017</v>
      </c>
      <c r="S363" s="811">
        <f t="shared" si="132"/>
        <v>0</v>
      </c>
      <c r="T363" s="176">
        <f t="shared" si="133"/>
        <v>6</v>
      </c>
      <c r="U363" s="251">
        <f t="shared" si="134"/>
        <v>0.49733372330100017</v>
      </c>
      <c r="V363" s="383">
        <f t="shared" si="135"/>
        <v>22.525313168255664</v>
      </c>
      <c r="W363" s="402">
        <f t="shared" si="136"/>
        <v>0</v>
      </c>
      <c r="X363" s="157">
        <f t="shared" si="137"/>
        <v>44910</v>
      </c>
      <c r="Y363" s="385">
        <f t="shared" si="138"/>
        <v>5.4790774561741014</v>
      </c>
      <c r="Z363" s="385">
        <f t="shared" si="139"/>
        <v>5.6808352476845609</v>
      </c>
      <c r="AA363" s="386">
        <f t="shared" si="140"/>
        <v>6.1643236001667434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7.8433317885697074E-2</v>
      </c>
      <c r="AD363" s="231">
        <f>(INDEX(Models!$BJ363:$BT363,,AH363)*(1-AF363)+INDEX(Models!$BJ363:$BT363,,AH363+1)*AF363-ERP_i)*AE363*Ramure*Pc/MaxiM</f>
        <v>5.0228324882412077E-4</v>
      </c>
      <c r="AE363" s="305">
        <f t="shared" si="142"/>
        <v>0.5</v>
      </c>
      <c r="AF363" s="177">
        <f t="shared" si="143"/>
        <v>0.49733372330100017</v>
      </c>
      <c r="AG363" s="811">
        <f t="shared" si="149"/>
        <v>0</v>
      </c>
      <c r="AH363" s="176">
        <f t="shared" si="144"/>
        <v>6</v>
      </c>
      <c r="AI363" s="225">
        <f t="shared" si="145"/>
        <v>0.49733372330100017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40">
        <v>4.7990000000000004</v>
      </c>
      <c r="C364" s="841"/>
      <c r="D364" s="393">
        <f t="shared" si="127"/>
        <v>4.9758240688774107</v>
      </c>
      <c r="E364" s="385">
        <f t="shared" si="150"/>
        <v>5.2530242052935057</v>
      </c>
      <c r="F364" s="385">
        <f t="shared" si="128"/>
        <v>5.2530242052935057</v>
      </c>
      <c r="G364" s="110">
        <f t="shared" si="151"/>
        <v>0.213314878734784</v>
      </c>
      <c r="H364" s="414" t="b">
        <f>Wh_hp&gt;='2021'!Maxi_hp</f>
        <v>0</v>
      </c>
      <c r="I364" s="380">
        <f>IF(H364,Wh_hp,'2021'!Maxi_hp)</f>
        <v>25.18523938599883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3.5536640047907353E-2</v>
      </c>
      <c r="M364" s="845"/>
      <c r="N364" s="845"/>
      <c r="O364" s="48">
        <f>IF(t&lt;Tnet,'2021'!Resal+('2021'!Salim-'2021'!Resal)*(1-EXP(('2021'!Tnet-t)/('2021'!Tau_j))),Resal+(Salim-Resal)*(1-EXP((Tnet-t)/(Tau_j))))*Salcycl</f>
        <v>5.2769628614457713E-2</v>
      </c>
      <c r="P364" s="339">
        <f>(INDEX(Models!$BJ364:$BT364,,T364)*(1-R364)+INDEX(Models!$BJ364:$BT364,,T364+1)*R364-ERP_i)*Q364*Ramure*Pc/MaxiM</f>
        <v>5.0227214839922531E-4</v>
      </c>
      <c r="Q364" s="305">
        <f t="shared" si="130"/>
        <v>0.5</v>
      </c>
      <c r="R364" s="177">
        <f t="shared" si="131"/>
        <v>0.49734261278434538</v>
      </c>
      <c r="S364" s="811">
        <f t="shared" si="132"/>
        <v>0</v>
      </c>
      <c r="T364" s="176">
        <f t="shared" si="133"/>
        <v>6</v>
      </c>
      <c r="U364" s="251">
        <f t="shared" si="134"/>
        <v>0.49734261278434538</v>
      </c>
      <c r="V364" s="383">
        <f t="shared" si="135"/>
        <v>22.485958899864027</v>
      </c>
      <c r="W364" s="402">
        <f t="shared" si="136"/>
        <v>0</v>
      </c>
      <c r="X364" s="157">
        <f t="shared" si="137"/>
        <v>44911</v>
      </c>
      <c r="Y364" s="385">
        <f t="shared" si="138"/>
        <v>4.6688844498429214</v>
      </c>
      <c r="Z364" s="385">
        <f t="shared" si="139"/>
        <v>4.8409142780445666</v>
      </c>
      <c r="AA364" s="386">
        <f t="shared" si="140"/>
        <v>5.2530242052935057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7.8451937615983736E-2</v>
      </c>
      <c r="AD364" s="231">
        <f>(INDEX(Models!$BJ364:$BT364,,AH364)*(1-AF364)+INDEX(Models!$BJ364:$BT364,,AH364+1)*AF364-ERP_i)*AE364*Ramure*Pc/MaxiM</f>
        <v>5.0227214839922531E-4</v>
      </c>
      <c r="AE364" s="305">
        <f t="shared" si="142"/>
        <v>0.5</v>
      </c>
      <c r="AF364" s="177">
        <f t="shared" si="143"/>
        <v>0.49734261278434538</v>
      </c>
      <c r="AG364" s="811">
        <f t="shared" si="149"/>
        <v>0</v>
      </c>
      <c r="AH364" s="176">
        <f t="shared" si="144"/>
        <v>6</v>
      </c>
      <c r="AI364" s="225">
        <f t="shared" si="145"/>
        <v>0.49734261278434538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40">
        <v>3.5070000000000001</v>
      </c>
      <c r="C365" s="841"/>
      <c r="D365" s="393">
        <f t="shared" si="127"/>
        <v>3.6362986502225523</v>
      </c>
      <c r="E365" s="385">
        <f t="shared" si="150"/>
        <v>3.8391094439307309</v>
      </c>
      <c r="F365" s="385">
        <f t="shared" si="128"/>
        <v>3.8391094439307309</v>
      </c>
      <c r="G365" s="110">
        <f t="shared" si="151"/>
        <v>0.15608363125389035</v>
      </c>
      <c r="H365" s="414" t="b">
        <f>Wh_hp&gt;='2021'!Maxi_hp</f>
        <v>0</v>
      </c>
      <c r="I365" s="380">
        <f>IF(H365,Wh_hp,'2021'!Maxi_hp)</f>
        <v>25.601732712427946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3.5557764270720327E-2</v>
      </c>
      <c r="M365" s="845"/>
      <c r="N365" s="845"/>
      <c r="O365" s="48">
        <f>IF(t&lt;Tnet,'2021'!Resal+('2021'!Salim-'2021'!Resal)*(1-EXP(('2021'!Tnet-t)/('2021'!Tau_j))),Resal+(Salim-Resal)*(1-EXP((Tnet-t)/(Tau_j))))*Salcycl</f>
        <v>5.2827562399608993E-2</v>
      </c>
      <c r="P365" s="339">
        <f>(INDEX(Models!$BJ365:$BT365,,T365)*(1-R365)+INDEX(Models!$BJ365:$BT365,,T365+1)*R365-ERP_i)*Q365*Ramure*Pc/MaxiM</f>
        <v>5.0224178749394338E-4</v>
      </c>
      <c r="Q365" s="305">
        <f t="shared" si="130"/>
        <v>0.5</v>
      </c>
      <c r="R365" s="177">
        <f t="shared" si="131"/>
        <v>0.49735114464815783</v>
      </c>
      <c r="S365" s="811">
        <f t="shared" si="132"/>
        <v>0</v>
      </c>
      <c r="T365" s="176">
        <f t="shared" si="133"/>
        <v>6</v>
      </c>
      <c r="U365" s="251">
        <f t="shared" si="134"/>
        <v>0.49735114464815783</v>
      </c>
      <c r="V365" s="383">
        <f t="shared" si="135"/>
        <v>22.457439065788595</v>
      </c>
      <c r="W365" s="402">
        <f t="shared" si="136"/>
        <v>0</v>
      </c>
      <c r="X365" s="157">
        <f t="shared" si="137"/>
        <v>44912</v>
      </c>
      <c r="Y365" s="385">
        <f t="shared" si="138"/>
        <v>3.412051403281902</v>
      </c>
      <c r="Z365" s="385">
        <f t="shared" si="139"/>
        <v>3.5378494189460921</v>
      </c>
      <c r="AA365" s="386">
        <f t="shared" si="140"/>
        <v>3.8391094439307309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7.8471330235428072E-2</v>
      </c>
      <c r="AD365" s="231">
        <f>(INDEX(Models!$BJ365:$BT365,,AH365)*(1-AF365)+INDEX(Models!$BJ365:$BT365,,AH365+1)*AF365-ERP_i)*AE365*Ramure*Pc/MaxiM</f>
        <v>5.0224178749394338E-4</v>
      </c>
      <c r="AE365" s="305">
        <f t="shared" si="142"/>
        <v>0.5</v>
      </c>
      <c r="AF365" s="177">
        <f t="shared" si="143"/>
        <v>0.49735114464815783</v>
      </c>
      <c r="AG365" s="811">
        <f t="shared" si="149"/>
        <v>0</v>
      </c>
      <c r="AH365" s="176">
        <f t="shared" si="144"/>
        <v>6</v>
      </c>
      <c r="AI365" s="225">
        <f t="shared" si="145"/>
        <v>0.49735114464815783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40">
        <v>21.059000000000001</v>
      </c>
      <c r="C366" s="841"/>
      <c r="D366" s="393">
        <f t="shared" si="127"/>
        <v>21.835896931996885</v>
      </c>
      <c r="E366" s="385">
        <f t="shared" si="150"/>
        <v>23.055191749839757</v>
      </c>
      <c r="F366" s="385">
        <f t="shared" si="128"/>
        <v>23.065755870265402</v>
      </c>
      <c r="G366" s="110">
        <f t="shared" si="151"/>
        <v>0.93841706005958236</v>
      </c>
      <c r="H366" s="414" t="b">
        <f>Wh_hp&gt;='2021'!Maxi_hp</f>
        <v>0</v>
      </c>
      <c r="I366" s="380">
        <f>IF(H366,Wh_hp,'2021'!Maxi_hp)</f>
        <v>25.724211482819697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3.5578888030858513E-2</v>
      </c>
      <c r="M366" s="845"/>
      <c r="N366" s="845"/>
      <c r="O366" s="48">
        <f>IF(t&lt;Tnet,'2021'!Resal+('2021'!Salim-'2021'!Resal)*(1-EXP(('2021'!Tnet-t)/('2021'!Tau_j))),Resal+(Salim-Resal)*(1-EXP((Tnet-t)/(Tau_j))))*Salcycl</f>
        <v>5.288591095111355E-2</v>
      </c>
      <c r="P366" s="339">
        <f>(INDEX(Models!$BJ366:$BT366,,T366)*(1-R366)+INDEX(Models!$BJ366:$BT366,,T366+1)*R366-ERP_i)*Q366*Ramure*Pc/MaxiM</f>
        <v>5.0214716225312065E-4</v>
      </c>
      <c r="Q366" s="305">
        <f t="shared" si="130"/>
        <v>0.5</v>
      </c>
      <c r="R366" s="177">
        <f t="shared" si="131"/>
        <v>0.49735933326782711</v>
      </c>
      <c r="S366" s="811">
        <f t="shared" si="132"/>
        <v>0</v>
      </c>
      <c r="T366" s="176">
        <f t="shared" si="133"/>
        <v>6</v>
      </c>
      <c r="U366" s="251">
        <f t="shared" si="134"/>
        <v>0.49735933326782711</v>
      </c>
      <c r="V366" s="383">
        <f t="shared" si="135"/>
        <v>22.439990468041643</v>
      </c>
      <c r="W366" s="402">
        <f t="shared" si="136"/>
        <v>0</v>
      </c>
      <c r="X366" s="157">
        <f t="shared" si="137"/>
        <v>44913</v>
      </c>
      <c r="Y366" s="385">
        <f t="shared" si="138"/>
        <v>20.48966311376962</v>
      </c>
      <c r="Z366" s="385">
        <f t="shared" si="139"/>
        <v>21.245556385564925</v>
      </c>
      <c r="AA366" s="386">
        <f t="shared" si="140"/>
        <v>23.055191749839757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7.8491447128710617E-2</v>
      </c>
      <c r="AD366" s="231">
        <f>(INDEX(Models!$BJ366:$BT366,,AH366)*(1-AF366)+INDEX(Models!$BJ366:$BT366,,AH366+1)*AF366-ERP_i)*AE366*Ramure*Pc/MaxiM</f>
        <v>5.0214716225312065E-4</v>
      </c>
      <c r="AE366" s="305">
        <f t="shared" si="142"/>
        <v>0.5</v>
      </c>
      <c r="AF366" s="177">
        <f t="shared" si="143"/>
        <v>0.49735933326782711</v>
      </c>
      <c r="AG366" s="811">
        <f t="shared" si="149"/>
        <v>0</v>
      </c>
      <c r="AH366" s="176">
        <f t="shared" si="144"/>
        <v>6</v>
      </c>
      <c r="AI366" s="225">
        <f t="shared" si="145"/>
        <v>0.49735933326782711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40">
        <v>17.042000000000002</v>
      </c>
      <c r="C367" s="841"/>
      <c r="D367" s="393">
        <f t="shared" si="127"/>
        <v>17.671091041252584</v>
      </c>
      <c r="E367" s="385">
        <f t="shared" si="150"/>
        <v>18.658984306335544</v>
      </c>
      <c r="F367" s="385">
        <f t="shared" si="128"/>
        <v>18.665134585690581</v>
      </c>
      <c r="G367" s="110">
        <f t="shared" si="151"/>
        <v>0.75952458043063475</v>
      </c>
      <c r="H367" s="414" t="b">
        <f>Wh_hp&gt;='2021'!Maxi_hp</f>
        <v>0</v>
      </c>
      <c r="I367" s="380">
        <f>IF(H367,Wh_hp,'2021'!Maxi_hp)</f>
        <v>25.408167099175618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3.5600011328332237E-2</v>
      </c>
      <c r="M367" s="845"/>
      <c r="N367" s="845"/>
      <c r="O367" s="48">
        <f>IF(t&lt;Tnet,'2021'!Resal+('2021'!Salim-'2021'!Resal)*(1-EXP(('2021'!Tnet-t)/('2021'!Tau_j))),Resal+(Salim-Resal)*(1-EXP((Tnet-t)/(Tau_j))))*Salcycl</f>
        <v>5.2944643120125597E-2</v>
      </c>
      <c r="P367" s="339">
        <f>(INDEX(Models!$BJ367:$BT367,,T367)*(1-R367)+INDEX(Models!$BJ367:$BT367,,T367+1)*R367-ERP_i)*Q367*Ramure*Pc/MaxiM</f>
        <v>5.0179842038989403E-4</v>
      </c>
      <c r="Q367" s="305">
        <f t="shared" si="130"/>
        <v>0.5</v>
      </c>
      <c r="R367" s="177">
        <f t="shared" si="131"/>
        <v>0.49736719244179334</v>
      </c>
      <c r="S367" s="811">
        <f t="shared" si="132"/>
        <v>0</v>
      </c>
      <c r="T367" s="176">
        <f t="shared" si="133"/>
        <v>6</v>
      </c>
      <c r="U367" s="251">
        <f t="shared" si="134"/>
        <v>0.49736719244179334</v>
      </c>
      <c r="V367" s="383">
        <f t="shared" si="135"/>
        <v>22.433853055990923</v>
      </c>
      <c r="W367" s="402">
        <f t="shared" si="136"/>
        <v>0</v>
      </c>
      <c r="X367" s="157">
        <f t="shared" si="137"/>
        <v>44914</v>
      </c>
      <c r="Y367" s="385">
        <f t="shared" si="138"/>
        <v>16.581918144573777</v>
      </c>
      <c r="Z367" s="385">
        <f t="shared" si="139"/>
        <v>17.194025652585456</v>
      </c>
      <c r="AA367" s="386">
        <f t="shared" si="140"/>
        <v>18.658984306335544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7.8512239985789087E-2</v>
      </c>
      <c r="AD367" s="231">
        <f>(INDEX(Models!$BJ367:$BT367,,AH367)*(1-AF367)+INDEX(Models!$BJ367:$BT367,,AH367+1)*AF367-ERP_i)*AE367*Ramure*Pc/MaxiM</f>
        <v>5.0179842038989403E-4</v>
      </c>
      <c r="AE367" s="305">
        <f t="shared" si="142"/>
        <v>0.5</v>
      </c>
      <c r="AF367" s="177">
        <f t="shared" si="143"/>
        <v>0.49736719244179334</v>
      </c>
      <c r="AG367" s="811">
        <f t="shared" si="149"/>
        <v>0</v>
      </c>
      <c r="AH367" s="176">
        <f t="shared" si="144"/>
        <v>6</v>
      </c>
      <c r="AI367" s="225">
        <f t="shared" si="145"/>
        <v>0.49736719244179334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40">
        <v>4.4800000000000004</v>
      </c>
      <c r="C368" s="841"/>
      <c r="D368" s="393">
        <f t="shared" si="127"/>
        <v>4.6454771653591145</v>
      </c>
      <c r="E368" s="385">
        <f t="shared" si="150"/>
        <v>4.9054862230145311</v>
      </c>
      <c r="F368" s="385">
        <f t="shared" si="128"/>
        <v>4.9054862230145311</v>
      </c>
      <c r="G368" s="110">
        <f t="shared" si="151"/>
        <v>0.19954999253432781</v>
      </c>
      <c r="H368" s="414" t="b">
        <f>Wh_hp&gt;='2021'!Maxi_hp</f>
        <v>0</v>
      </c>
      <c r="I368" s="380">
        <f>IF(H368,Wh_hp,'2021'!Maxi_hp)</f>
        <v>22.549218247197125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3.5621134163151491E-2</v>
      </c>
      <c r="M368" s="845"/>
      <c r="N368" s="845"/>
      <c r="O368" s="48">
        <f>IF(t&lt;Tnet,'2021'!Resal+('2021'!Salim-'2021'!Resal)*(1-EXP(('2021'!Tnet-t)/('2021'!Tau_j))),Resal+(Salim-Resal)*(1-EXP((Tnet-t)/(Tau_j))))*Salcycl</f>
        <v>5.3003728037306651E-2</v>
      </c>
      <c r="P368" s="339">
        <f>(INDEX(Models!$BJ368:$BT368,,T368)*(1-R368)+INDEX(Models!$BJ368:$BT368,,T368+1)*R368-ERP_i)*Q368*Ramure*Pc/MaxiM</f>
        <v>5.0118796610779646E-4</v>
      </c>
      <c r="Q368" s="305">
        <f t="shared" si="130"/>
        <v>0.5</v>
      </c>
      <c r="R368" s="177">
        <f t="shared" si="131"/>
        <v>0.49737473541463167</v>
      </c>
      <c r="S368" s="811">
        <f t="shared" si="132"/>
        <v>0</v>
      </c>
      <c r="T368" s="176">
        <f t="shared" si="133"/>
        <v>6</v>
      </c>
      <c r="U368" s="251">
        <f t="shared" si="134"/>
        <v>0.49737473541463167</v>
      </c>
      <c r="V368" s="383">
        <f t="shared" si="135"/>
        <v>22.439262567957982</v>
      </c>
      <c r="W368" s="402">
        <f t="shared" si="136"/>
        <v>0</v>
      </c>
      <c r="X368" s="157">
        <f t="shared" si="137"/>
        <v>44915</v>
      </c>
      <c r="Y368" s="385">
        <f t="shared" si="138"/>
        <v>4.3592243397067767</v>
      </c>
      <c r="Z368" s="385">
        <f t="shared" si="139"/>
        <v>4.5202404305324757</v>
      </c>
      <c r="AA368" s="386">
        <f t="shared" si="140"/>
        <v>4.9054862230145311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7.8533661082287917E-2</v>
      </c>
      <c r="AD368" s="231">
        <f>(INDEX(Models!$BJ368:$BT368,,AH368)*(1-AF368)+INDEX(Models!$BJ368:$BT368,,AH368+1)*AF368-ERP_i)*AE368*Ramure*Pc/MaxiM</f>
        <v>5.0118796610779646E-4</v>
      </c>
      <c r="AE368" s="305">
        <f t="shared" si="142"/>
        <v>0.5</v>
      </c>
      <c r="AF368" s="177">
        <f t="shared" si="143"/>
        <v>0.49737473541463167</v>
      </c>
      <c r="AG368" s="811">
        <f t="shared" si="149"/>
        <v>0</v>
      </c>
      <c r="AH368" s="176">
        <f t="shared" si="144"/>
        <v>6</v>
      </c>
      <c r="AI368" s="225">
        <f t="shared" si="145"/>
        <v>0.49737473541463167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40">
        <v>20.205000000000002</v>
      </c>
      <c r="C369" s="841"/>
      <c r="D369" s="393">
        <f t="shared" si="127"/>
        <v>20.951768300640136</v>
      </c>
      <c r="E369" s="385">
        <f t="shared" si="150"/>
        <v>22.125834447430915</v>
      </c>
      <c r="F369" s="385">
        <f t="shared" si="128"/>
        <v>22.13532278533097</v>
      </c>
      <c r="G369" s="110">
        <f t="shared" si="151"/>
        <v>0.89967681291398383</v>
      </c>
      <c r="H369" s="414" t="b">
        <f>Wh_hp&gt;='2021'!Maxi_hp</f>
        <v>1</v>
      </c>
      <c r="I369" s="380">
        <f>IF(H369,Wh_hp,'2021'!Maxi_hp)</f>
        <v>22.13532278533097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3.5642256535326378E-2</v>
      </c>
      <c r="M369" s="845"/>
      <c r="N369" s="845"/>
      <c r="O369" s="48">
        <f>IF(t&lt;Tnet,'2021'!Resal+('2021'!Salim-'2021'!Resal)*(1-EXP(('2021'!Tnet-t)/('2021'!Tau_j))),Resal+(Salim-Resal)*(1-EXP((Tnet-t)/(Tau_j))))*Salcycl</f>
        <v>5.3063135294637492E-2</v>
      </c>
      <c r="P369" s="339">
        <f>(INDEX(Models!$BJ369:$BT369,,T369)*(1-R369)+INDEX(Models!$BJ369:$BT369,,T369+1)*R369-ERP_i)*Q369*Ramure*Pc/MaxiM</f>
        <v>5.0030904710903238E-4</v>
      </c>
      <c r="Q369" s="305">
        <f t="shared" si="130"/>
        <v>0.5</v>
      </c>
      <c r="R369" s="177">
        <f t="shared" si="131"/>
        <v>0.49738197489921859</v>
      </c>
      <c r="S369" s="811">
        <f t="shared" si="132"/>
        <v>0</v>
      </c>
      <c r="T369" s="176">
        <f t="shared" si="133"/>
        <v>6</v>
      </c>
      <c r="U369" s="251">
        <f t="shared" si="134"/>
        <v>0.49738197489921859</v>
      </c>
      <c r="V369" s="383">
        <f t="shared" si="135"/>
        <v>22.456454636910927</v>
      </c>
      <c r="W369" s="402">
        <f t="shared" si="136"/>
        <v>0</v>
      </c>
      <c r="X369" s="157">
        <f t="shared" si="137"/>
        <v>44916</v>
      </c>
      <c r="Y369" s="385">
        <f t="shared" si="138"/>
        <v>19.661060321967931</v>
      </c>
      <c r="Z369" s="385">
        <f t="shared" si="139"/>
        <v>20.387724840919635</v>
      </c>
      <c r="AA369" s="386">
        <f t="shared" si="140"/>
        <v>22.125834447430915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7.8555663545294974E-2</v>
      </c>
      <c r="AD369" s="231">
        <f>(INDEX(Models!$BJ369:$BT369,,AH369)*(1-AF369)+INDEX(Models!$BJ369:$BT369,,AH369+1)*AF369-ERP_i)*AE369*Ramure*Pc/MaxiM</f>
        <v>5.0030904710903238E-4</v>
      </c>
      <c r="AE369" s="305">
        <f t="shared" si="142"/>
        <v>0.5</v>
      </c>
      <c r="AF369" s="177">
        <f t="shared" si="143"/>
        <v>0.49738197489921859</v>
      </c>
      <c r="AG369" s="811">
        <f t="shared" si="149"/>
        <v>0</v>
      </c>
      <c r="AH369" s="176">
        <f t="shared" si="144"/>
        <v>6</v>
      </c>
      <c r="AI369" s="225">
        <f t="shared" si="145"/>
        <v>0.49738197489921859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40">
        <v>16.698</v>
      </c>
      <c r="C370" s="841"/>
      <c r="D370" s="393">
        <f t="shared" si="127"/>
        <v>17.3155303104346</v>
      </c>
      <c r="E370" s="385">
        <f t="shared" si="150"/>
        <v>18.286986900328792</v>
      </c>
      <c r="F370" s="385">
        <f t="shared" si="128"/>
        <v>18.292760346414287</v>
      </c>
      <c r="G370" s="110">
        <f t="shared" si="151"/>
        <v>0.74247012094357878</v>
      </c>
      <c r="H370" s="414" t="b">
        <f>Wh_hp&gt;='2021'!Maxi_hp</f>
        <v>0</v>
      </c>
      <c r="I370" s="380">
        <f>IF(H370,Wh_hp,'2021'!Maxi_hp)</f>
        <v>25.041754314682116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3.5663378444867222E-2</v>
      </c>
      <c r="M370" s="845"/>
      <c r="N370" s="845"/>
      <c r="O370" s="48">
        <f>IF(t&lt;Tnet,'2021'!Resal+('2021'!Salim-'2021'!Resal)*(1-EXP(('2021'!Tnet-t)/('2021'!Tau_j))),Resal+(Salim-Resal)*(1-EXP((Tnet-t)/(Tau_j))))*Salcycl</f>
        <v>5.3122835117070256E-2</v>
      </c>
      <c r="P370" s="339">
        <f>(INDEX(Models!$BJ370:$BT370,,T370)*(1-R370)+INDEX(Models!$BJ370:$BT370,,T370+1)*R370-ERP_i)*Q370*Ramure*Pc/MaxiM</f>
        <v>4.9915584166823916E-4</v>
      </c>
      <c r="Q370" s="305">
        <f t="shared" si="130"/>
        <v>0.5</v>
      </c>
      <c r="R370" s="177">
        <f t="shared" si="131"/>
        <v>0.49738892309801586</v>
      </c>
      <c r="S370" s="811">
        <f t="shared" si="132"/>
        <v>0</v>
      </c>
      <c r="T370" s="176">
        <f t="shared" si="133"/>
        <v>6</v>
      </c>
      <c r="U370" s="251">
        <f t="shared" si="134"/>
        <v>0.49738892309801586</v>
      </c>
      <c r="V370" s="383">
        <f t="shared" si="135"/>
        <v>22.485664776368104</v>
      </c>
      <c r="W370" s="402">
        <f t="shared" si="136"/>
        <v>0</v>
      </c>
      <c r="X370" s="157">
        <f t="shared" si="137"/>
        <v>44917</v>
      </c>
      <c r="Y370" s="385">
        <f t="shared" si="138"/>
        <v>16.24909941886547</v>
      </c>
      <c r="Z370" s="385">
        <f t="shared" si="139"/>
        <v>16.850028356966718</v>
      </c>
      <c r="AA370" s="386">
        <f t="shared" si="140"/>
        <v>18.286986900328792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7.8578201602815173E-2</v>
      </c>
      <c r="AD370" s="231">
        <f>(INDEX(Models!$BJ370:$BT370,,AH370)*(1-AF370)+INDEX(Models!$BJ370:$BT370,,AH370+1)*AF370-ERP_i)*AE370*Ramure*Pc/MaxiM</f>
        <v>4.9915584166823916E-4</v>
      </c>
      <c r="AE370" s="305">
        <f t="shared" si="142"/>
        <v>0.5</v>
      </c>
      <c r="AF370" s="177">
        <f t="shared" si="143"/>
        <v>0.49738892309801586</v>
      </c>
      <c r="AG370" s="811">
        <f t="shared" si="149"/>
        <v>0</v>
      </c>
      <c r="AH370" s="176">
        <f t="shared" si="144"/>
        <v>6</v>
      </c>
      <c r="AI370" s="225">
        <f t="shared" si="145"/>
        <v>0.49738892309801586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40">
        <v>17.244</v>
      </c>
      <c r="C371" s="841"/>
      <c r="D371" s="393">
        <f t="shared" si="127"/>
        <v>17.882114306017964</v>
      </c>
      <c r="E371" s="385">
        <f t="shared" si="150"/>
        <v>18.886554107931591</v>
      </c>
      <c r="F371" s="385">
        <f t="shared" si="128"/>
        <v>18.892807037915148</v>
      </c>
      <c r="G371" s="110">
        <f t="shared" si="151"/>
        <v>0.76534937107950507</v>
      </c>
      <c r="H371" s="414" t="b">
        <f>Wh_hp&gt;='2021'!Maxi_hp</f>
        <v>0</v>
      </c>
      <c r="I371" s="380">
        <f>IF(H371,Wh_hp,'2021'!Maxi_hp)</f>
        <v>19.829576058520093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3.5684499891783905E-2</v>
      </c>
      <c r="M371" s="845"/>
      <c r="N371" s="845"/>
      <c r="O371" s="48">
        <f>IF(t&lt;Tnet,'2021'!Resal+('2021'!Salim-'2021'!Resal)*(1-EXP(('2021'!Tnet-t)/('2021'!Tau_j))),Resal+(Salim-Resal)*(1-EXP((Tnet-t)/(Tau_j))))*Salcycl</f>
        <v>5.3182798522881589E-2</v>
      </c>
      <c r="P371" s="339">
        <f>(INDEX(Models!$BJ371:$BT371,,T371)*(1-R371)+INDEX(Models!$BJ371:$BT371,,T371+1)*R371-ERP_i)*Q371*Ramure*Pc/MaxiM</f>
        <v>4.9772199715068756E-4</v>
      </c>
      <c r="Q371" s="305">
        <f t="shared" si="130"/>
        <v>0.5</v>
      </c>
      <c r="R371" s="177">
        <f t="shared" si="131"/>
        <v>0.49738892309801586</v>
      </c>
      <c r="S371" s="811">
        <f t="shared" si="132"/>
        <v>0</v>
      </c>
      <c r="T371" s="176">
        <f t="shared" si="133"/>
        <v>6</v>
      </c>
      <c r="U371" s="251">
        <f t="shared" si="134"/>
        <v>0.49738892309801586</v>
      </c>
      <c r="V371" s="383">
        <f t="shared" si="135"/>
        <v>22.527128403881132</v>
      </c>
      <c r="W371" s="402">
        <f t="shared" si="136"/>
        <v>0</v>
      </c>
      <c r="X371" s="157">
        <f t="shared" si="137"/>
        <v>44918</v>
      </c>
      <c r="Y371" s="385">
        <f t="shared" si="138"/>
        <v>16.781064339592994</v>
      </c>
      <c r="Z371" s="385">
        <f t="shared" si="139"/>
        <v>17.402047709188345</v>
      </c>
      <c r="AA371" s="386">
        <f t="shared" si="140"/>
        <v>18.886554107931591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7.8601230815303194E-2</v>
      </c>
      <c r="AD371" s="231">
        <f>(INDEX(Models!$BJ371:$BT371,,AH371)*(1-AF371)+INDEX(Models!$BJ371:$BT371,,AH371+1)*AF371-ERP_i)*AE371*Ramure*Pc/MaxiM</f>
        <v>4.9772199715068756E-4</v>
      </c>
      <c r="AE371" s="305">
        <f t="shared" si="142"/>
        <v>0.5</v>
      </c>
      <c r="AF371" s="177">
        <f t="shared" si="143"/>
        <v>0.49738892309801586</v>
      </c>
      <c r="AG371" s="811">
        <f t="shared" si="149"/>
        <v>0</v>
      </c>
      <c r="AH371" s="176">
        <f t="shared" si="144"/>
        <v>6</v>
      </c>
      <c r="AI371" s="225">
        <f t="shared" si="145"/>
        <v>0.49738892309801586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40">
        <v>20.722999999999999</v>
      </c>
      <c r="C372" s="841"/>
      <c r="D372" s="393">
        <f t="shared" si="127"/>
        <v>21.490325411652186</v>
      </c>
      <c r="E372" s="385">
        <f t="shared" si="150"/>
        <v>22.698881924572756</v>
      </c>
      <c r="F372" s="385">
        <f t="shared" si="128"/>
        <v>22.708821562297572</v>
      </c>
      <c r="G372" s="110">
        <f t="shared" si="151"/>
        <v>0.9176616220348327</v>
      </c>
      <c r="H372" s="414" t="b">
        <f>Wh_hp&gt;='2021'!Maxi_hp</f>
        <v>1</v>
      </c>
      <c r="I372" s="380">
        <f>IF(H372,Wh_hp,'2021'!Maxi_hp)</f>
        <v>22.708821562297572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3.5705620876086752E-2</v>
      </c>
      <c r="M372" s="845"/>
      <c r="N372" s="845"/>
      <c r="O372" s="48">
        <f>IF(t&lt;Tnet,'2021'!Resal+('2021'!Salim-'2021'!Resal)*(1-EXP(('2021'!Tnet-t)/('2021'!Tau_j))),Resal+(Salim-Resal)*(1-EXP((Tnet-t)/(Tau_j))))*Salcycl</f>
        <v>5.3242997471705515E-2</v>
      </c>
      <c r="P372" s="339">
        <f>(INDEX(Models!$BJ372:$BT372,,T372)*(1-R372)+INDEX(Models!$BJ372:$BT372,,T372+1)*R372-ERP_i)*Q372*Ramure*Pc/MaxiM</f>
        <v>4.9600464416967548E-4</v>
      </c>
      <c r="Q372" s="305">
        <f t="shared" si="130"/>
        <v>0.5</v>
      </c>
      <c r="R372" s="177">
        <f t="shared" si="131"/>
        <v>0.49738892309801586</v>
      </c>
      <c r="S372" s="811">
        <f t="shared" si="132"/>
        <v>0</v>
      </c>
      <c r="T372" s="176">
        <f t="shared" si="133"/>
        <v>6</v>
      </c>
      <c r="U372" s="251">
        <f t="shared" si="134"/>
        <v>0.49738892309801586</v>
      </c>
      <c r="V372" s="383">
        <f t="shared" si="135"/>
        <v>22.581080775209177</v>
      </c>
      <c r="W372" s="402">
        <f t="shared" si="136"/>
        <v>0</v>
      </c>
      <c r="X372" s="157">
        <f t="shared" si="137"/>
        <v>44919</v>
      </c>
      <c r="Y372" s="385">
        <f t="shared" si="138"/>
        <v>20.167434853041541</v>
      </c>
      <c r="Z372" s="385">
        <f t="shared" si="139"/>
        <v>20.914188954792191</v>
      </c>
      <c r="AA372" s="386">
        <f t="shared" si="140"/>
        <v>22.698881924572756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7.8624708287879999E-2</v>
      </c>
      <c r="AD372" s="231">
        <f>(INDEX(Models!$BJ372:$BT372,,AH372)*(1-AF372)+INDEX(Models!$BJ372:$BT372,,AH372+1)*AF372-ERP_i)*AE372*Ramure*Pc/MaxiM</f>
        <v>4.9600464416967548E-4</v>
      </c>
      <c r="AE372" s="305">
        <f t="shared" si="142"/>
        <v>0.5</v>
      </c>
      <c r="AF372" s="177">
        <f t="shared" si="143"/>
        <v>0.49738892309801586</v>
      </c>
      <c r="AG372" s="811">
        <f t="shared" si="149"/>
        <v>0</v>
      </c>
      <c r="AH372" s="176">
        <f t="shared" si="144"/>
        <v>6</v>
      </c>
      <c r="AI372" s="225">
        <f t="shared" si="145"/>
        <v>0.49738892309801586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40">
        <v>12.33</v>
      </c>
      <c r="C373" s="841"/>
      <c r="D373" s="393">
        <f t="shared" si="127"/>
        <v>12.786831834238827</v>
      </c>
      <c r="E373" s="385">
        <f t="shared" si="150"/>
        <v>13.506789716751902</v>
      </c>
      <c r="F373" s="385">
        <f t="shared" si="128"/>
        <v>13.509119285065029</v>
      </c>
      <c r="G373" s="110">
        <f t="shared" si="151"/>
        <v>0.5442012593537312</v>
      </c>
      <c r="H373" s="414" t="b">
        <f>Wh_hp&gt;='2021'!Maxi_hp</f>
        <v>0</v>
      </c>
      <c r="I373" s="380">
        <f>IF(H373,Wh_hp,'2021'!Maxi_hp)</f>
        <v>16.332134440633631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3.5726741397785866E-2</v>
      </c>
      <c r="M373" s="845"/>
      <c r="N373" s="845"/>
      <c r="O373" s="48">
        <f>IF(t&lt;Tnet,'2021'!Resal+('2021'!Salim-'2021'!Resal)*(1-EXP(('2021'!Tnet-t)/('2021'!Tau_j))),Resal+(Salim-Resal)*(1-EXP((Tnet-t)/(Tau_j))))*Salcycl</f>
        <v>5.3303404999349532E-2</v>
      </c>
      <c r="P373" s="339">
        <f>(INDEX(Models!$BJ373:$BT373,,T373)*(1-R373)+INDEX(Models!$BJ373:$BT373,,T373+1)*R373-ERP_i)*Q373*Ramure*Pc/MaxiM</f>
        <v>4.939549555202634E-4</v>
      </c>
      <c r="Q373" s="305">
        <f t="shared" si="130"/>
        <v>0.5</v>
      </c>
      <c r="R373" s="177">
        <f t="shared" si="131"/>
        <v>0.49738892309801586</v>
      </c>
      <c r="S373" s="811">
        <f t="shared" si="132"/>
        <v>0</v>
      </c>
      <c r="T373" s="176">
        <f t="shared" si="133"/>
        <v>6</v>
      </c>
      <c r="U373" s="251">
        <f t="shared" si="134"/>
        <v>0.49738892309801586</v>
      </c>
      <c r="V373" s="383">
        <f t="shared" si="135"/>
        <v>22.649773178447028</v>
      </c>
      <c r="W373" s="402">
        <f t="shared" si="136"/>
        <v>0</v>
      </c>
      <c r="X373" s="157">
        <f t="shared" si="137"/>
        <v>44920</v>
      </c>
      <c r="Y373" s="385">
        <f t="shared" si="138"/>
        <v>11.999898288430355</v>
      </c>
      <c r="Z373" s="385">
        <f t="shared" si="139"/>
        <v>12.444499711446008</v>
      </c>
      <c r="AA373" s="386">
        <f t="shared" si="140"/>
        <v>13.506789716751902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7.8648592862031574E-2</v>
      </c>
      <c r="AD373" s="231">
        <f>(INDEX(Models!$BJ373:$BT373,,AH373)*(1-AF373)+INDEX(Models!$BJ373:$BT373,,AH373+1)*AF373-ERP_i)*AE373*Ramure*Pc/MaxiM</f>
        <v>4.939549555202634E-4</v>
      </c>
      <c r="AE373" s="305">
        <f t="shared" si="142"/>
        <v>0.5</v>
      </c>
      <c r="AF373" s="177">
        <f t="shared" si="143"/>
        <v>0.49738892309801586</v>
      </c>
      <c r="AG373" s="811">
        <f t="shared" si="149"/>
        <v>0</v>
      </c>
      <c r="AH373" s="176">
        <f t="shared" si="144"/>
        <v>6</v>
      </c>
      <c r="AI373" s="225">
        <f t="shared" si="145"/>
        <v>0.49738892309801586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40">
        <v>21.010999999999999</v>
      </c>
      <c r="C374" s="841"/>
      <c r="D374" s="393">
        <f t="shared" si="127"/>
        <v>21.789943895530872</v>
      </c>
      <c r="E374" s="385">
        <f t="shared" si="150"/>
        <v>23.018291918154489</v>
      </c>
      <c r="F374" s="385">
        <f t="shared" si="128"/>
        <v>23.028385501096778</v>
      </c>
      <c r="G374" s="110">
        <f t="shared" si="151"/>
        <v>0.92413877661159305</v>
      </c>
      <c r="H374" s="414" t="b">
        <f>Wh_hp&gt;='2021'!Maxi_hp</f>
        <v>0</v>
      </c>
      <c r="I374" s="380">
        <f>IF(H374,Wh_hp,'2021'!Maxi_hp)</f>
        <v>24.2954595694269</v>
      </c>
      <c r="J374" s="85">
        <f>IF(H374,An,'2021'!An_max)</f>
        <v>2018</v>
      </c>
      <c r="K374" s="197">
        <f t="shared" si="129"/>
        <v>44921</v>
      </c>
      <c r="L374" s="147">
        <f>IF(t&lt;Tvie,1-EXP((T0-t)*PertePVj)+'2021'!Pspv,1-EXP((T0-t)*PertePVj)+Pspv)</f>
        <v>3.574786145689135E-2</v>
      </c>
      <c r="M374" s="845"/>
      <c r="N374" s="845"/>
      <c r="O374" s="48">
        <f>IF(t&lt;Tnet,'2021'!Resal+('2021'!Salim-'2021'!Resal)*(1-EXP(('2021'!Tnet-t)/('2021'!Tau_j))),Resal+(Salim-Resal)*(1-EXP((Tnet-t)/(Tau_j))))*Salcycl</f>
        <v>5.3363995338629747E-2</v>
      </c>
      <c r="P374" s="339">
        <f>(INDEX(Models!$BJ374:$BT374,,T374)*(1-R374)+INDEX(Models!$BJ374:$BT374,,T374+1)*R374-ERP_i)*Q374*Ramure*Pc/MaxiM</f>
        <v>4.9154636775701856E-4</v>
      </c>
      <c r="Q374" s="305">
        <f t="shared" si="130"/>
        <v>0.5</v>
      </c>
      <c r="R374" s="177">
        <f t="shared" si="131"/>
        <v>0.49738892309801586</v>
      </c>
      <c r="S374" s="811">
        <f t="shared" si="132"/>
        <v>0</v>
      </c>
      <c r="T374" s="176">
        <f t="shared" si="133"/>
        <v>6</v>
      </c>
      <c r="U374" s="251">
        <f t="shared" si="134"/>
        <v>0.49738892309801586</v>
      </c>
      <c r="V374" s="383">
        <f t="shared" si="135"/>
        <v>22.734551890066296</v>
      </c>
      <c r="W374" s="402">
        <f t="shared" si="136"/>
        <v>0</v>
      </c>
      <c r="X374" s="157">
        <f t="shared" si="137"/>
        <v>44921</v>
      </c>
      <c r="Y374" s="385">
        <f t="shared" si="138"/>
        <v>20.449259010198972</v>
      </c>
      <c r="Z374" s="385">
        <f t="shared" si="139"/>
        <v>21.207377399334387</v>
      </c>
      <c r="AA374" s="386">
        <f t="shared" si="140"/>
        <v>23.018291918154489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7.8672845285789217E-2</v>
      </c>
      <c r="AD374" s="231">
        <f>(INDEX(Models!$BJ374:$BT374,,AH374)*(1-AF374)+INDEX(Models!$BJ374:$BT374,,AH374+1)*AF374-ERP_i)*AE374*Ramure*Pc/MaxiM</f>
        <v>4.9154636775701856E-4</v>
      </c>
      <c r="AE374" s="305">
        <f t="shared" si="142"/>
        <v>0.5</v>
      </c>
      <c r="AF374" s="177">
        <f t="shared" si="143"/>
        <v>0.49738892309801586</v>
      </c>
      <c r="AG374" s="811">
        <f t="shared" si="149"/>
        <v>0</v>
      </c>
      <c r="AH374" s="176">
        <f t="shared" si="144"/>
        <v>6</v>
      </c>
      <c r="AI374" s="225">
        <f t="shared" si="145"/>
        <v>0.49738892309801586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40">
        <v>7.5720000000000001</v>
      </c>
      <c r="C375" s="841"/>
      <c r="D375" s="393">
        <f t="shared" si="127"/>
        <v>7.8528898689365318</v>
      </c>
      <c r="E375" s="385">
        <f t="shared" si="150"/>
        <v>8.2961072765976631</v>
      </c>
      <c r="F375" s="385">
        <f t="shared" si="128"/>
        <v>8.2962904480287669</v>
      </c>
      <c r="G375" s="110">
        <f t="shared" si="151"/>
        <v>0.33145169975332245</v>
      </c>
      <c r="H375" s="414" t="b">
        <f>Wh_hp&gt;='2021'!Maxi_hp</f>
        <v>0</v>
      </c>
      <c r="I375" s="380">
        <f>IF(H375,Wh_hp,'2021'!Maxi_hp)</f>
        <v>24.678488393426758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3.5768981053413307E-2</v>
      </c>
      <c r="M375" s="845"/>
      <c r="N375" s="845"/>
      <c r="O375" s="48">
        <f>IF(t&lt;Tnet,'2021'!Resal+('2021'!Salim-'2021'!Resal)*(1-EXP(('2021'!Tnet-t)/('2021'!Tau_j))),Resal+(Salim-Resal)*(1-EXP((Tnet-t)/(Tau_j))))*Salcycl</f>
        <v>5.3424744025597957E-2</v>
      </c>
      <c r="P375" s="339">
        <f>(INDEX(Models!$BJ375:$BT375,,T375)*(1-R375)+INDEX(Models!$BJ375:$BT375,,T375+1)*R375-ERP_i)*Q375*Ramure*Pc/MaxiM</f>
        <v>4.8898437595692697E-4</v>
      </c>
      <c r="Q375" s="305">
        <f t="shared" si="130"/>
        <v>0.5</v>
      </c>
      <c r="R375" s="177">
        <f t="shared" si="131"/>
        <v>0.49738892309801586</v>
      </c>
      <c r="S375" s="811">
        <f t="shared" si="132"/>
        <v>0</v>
      </c>
      <c r="T375" s="176">
        <f t="shared" si="133"/>
        <v>6</v>
      </c>
      <c r="U375" s="251">
        <f t="shared" si="134"/>
        <v>0.49738892309801586</v>
      </c>
      <c r="V375" s="383">
        <f t="shared" si="135"/>
        <v>22.834290842097868</v>
      </c>
      <c r="W375" s="402">
        <f t="shared" si="136"/>
        <v>0</v>
      </c>
      <c r="X375" s="157">
        <f t="shared" si="137"/>
        <v>44922</v>
      </c>
      <c r="Y375" s="385">
        <f t="shared" si="138"/>
        <v>7.369834599431603</v>
      </c>
      <c r="Z375" s="385">
        <f t="shared" si="139"/>
        <v>7.6432249685174805</v>
      </c>
      <c r="AA375" s="386">
        <f t="shared" si="140"/>
        <v>8.2961072765976631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7.8697428361598765E-2</v>
      </c>
      <c r="AD375" s="231">
        <f>(INDEX(Models!$BJ375:$BT375,,AH375)*(1-AF375)+INDEX(Models!$BJ375:$BT375,,AH375+1)*AF375-ERP_i)*AE375*Ramure*Pc/MaxiM</f>
        <v>4.8898437595692697E-4</v>
      </c>
      <c r="AE375" s="305">
        <f t="shared" si="142"/>
        <v>0.5</v>
      </c>
      <c r="AF375" s="177">
        <f t="shared" si="143"/>
        <v>0.49738892309801586</v>
      </c>
      <c r="AG375" s="811">
        <f t="shared" si="149"/>
        <v>0</v>
      </c>
      <c r="AH375" s="176">
        <f t="shared" si="144"/>
        <v>6</v>
      </c>
      <c r="AI375" s="225">
        <f t="shared" si="145"/>
        <v>0.49738892309801586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40">
        <v>20.182000000000002</v>
      </c>
      <c r="C376" s="841"/>
      <c r="D376" s="393">
        <f t="shared" si="127"/>
        <v>20.931127137277578</v>
      </c>
      <c r="E376" s="385">
        <f t="shared" si="150"/>
        <v>22.113903133708938</v>
      </c>
      <c r="F376" s="385">
        <f t="shared" si="128"/>
        <v>22.122809606273847</v>
      </c>
      <c r="G376" s="110">
        <f t="shared" si="151"/>
        <v>0.87939802128584188</v>
      </c>
      <c r="H376" s="414" t="b">
        <f>Wh_hp&gt;='2021'!Maxi_hp</f>
        <v>1</v>
      </c>
      <c r="I376" s="380">
        <f>IF(H376,Wh_hp,'2021'!Maxi_hp)</f>
        <v>22.122809606273847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3.5790100187361951E-2</v>
      </c>
      <c r="M376" s="845"/>
      <c r="N376" s="845"/>
      <c r="O376" s="48">
        <f>IF(t&lt;Tnet,'2021'!Resal+('2021'!Salim-'2021'!Resal)*(1-EXP(('2021'!Tnet-t)/('2021'!Tau_j))),Resal+(Salim-Resal)*(1-EXP((Tnet-t)/(Tau_j))))*Salcycl</f>
        <v>5.3485627990674245E-2</v>
      </c>
      <c r="P376" s="339">
        <f>(INDEX(Models!$BJ376:$BT376,,T376)*(1-R376)+INDEX(Models!$BJ376:$BT376,,T376+1)*R376-ERP_i)*Q376*Ramure*Pc/MaxiM</f>
        <v>4.8633022872776756E-4</v>
      </c>
      <c r="Q376" s="305">
        <f t="shared" si="130"/>
        <v>0.5</v>
      </c>
      <c r="R376" s="177">
        <f t="shared" si="131"/>
        <v>0.49738892309801586</v>
      </c>
      <c r="S376" s="811">
        <f t="shared" si="132"/>
        <v>0</v>
      </c>
      <c r="T376" s="176">
        <f t="shared" si="133"/>
        <v>6</v>
      </c>
      <c r="U376" s="251">
        <f t="shared" si="134"/>
        <v>0.49738892309801586</v>
      </c>
      <c r="V376" s="383">
        <f t="shared" si="135"/>
        <v>22.947867554607758</v>
      </c>
      <c r="W376" s="402">
        <f t="shared" si="136"/>
        <v>0</v>
      </c>
      <c r="X376" s="157">
        <f t="shared" si="137"/>
        <v>44923</v>
      </c>
      <c r="Y376" s="385">
        <f t="shared" si="138"/>
        <v>19.643892315355021</v>
      </c>
      <c r="Z376" s="385">
        <f t="shared" si="139"/>
        <v>20.373045660672179</v>
      </c>
      <c r="AA376" s="386">
        <f t="shared" si="140"/>
        <v>22.113903133708938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7.8722307071297307E-2</v>
      </c>
      <c r="AD376" s="231">
        <f>(INDEX(Models!$BJ376:$BT376,,AH376)*(1-AF376)+INDEX(Models!$BJ376:$BT376,,AH376+1)*AF376-ERP_i)*AE376*Ramure*Pc/MaxiM</f>
        <v>4.8633022872776756E-4</v>
      </c>
      <c r="AE376" s="305">
        <f t="shared" si="142"/>
        <v>0.5</v>
      </c>
      <c r="AF376" s="177">
        <f t="shared" si="143"/>
        <v>0.49738892309801586</v>
      </c>
      <c r="AG376" s="811">
        <f t="shared" si="149"/>
        <v>0</v>
      </c>
      <c r="AH376" s="176">
        <f t="shared" si="144"/>
        <v>6</v>
      </c>
      <c r="AI376" s="225">
        <f t="shared" si="145"/>
        <v>0.49738892309801586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40">
        <v>9.9209999999999994</v>
      </c>
      <c r="C377" s="841"/>
      <c r="D377" s="393">
        <f t="shared" si="127"/>
        <v>10.289478776404247</v>
      </c>
      <c r="E377" s="385">
        <f t="shared" si="150"/>
        <v>10.871617192236835</v>
      </c>
      <c r="F377" s="385">
        <f t="shared" si="128"/>
        <v>10.872593405030532</v>
      </c>
      <c r="G377" s="110">
        <f t="shared" si="151"/>
        <v>0.42979212415456214</v>
      </c>
      <c r="H377" s="414" t="b">
        <f>Wh_hp&gt;='2021'!Maxi_hp</f>
        <v>0</v>
      </c>
      <c r="I377" s="380">
        <f>IF(H377,Wh_hp,'2021'!Maxi_hp)</f>
        <v>24.70046719987749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3.5811218858747274E-2</v>
      </c>
      <c r="M377" s="845"/>
      <c r="N377" s="845"/>
      <c r="O377" s="48">
        <f>IF(t&lt;Tnet,'2021'!Resal+('2021'!Salim-'2021'!Resal)*(1-EXP(('2021'!Tnet-t)/('2021'!Tau_j))),Resal+(Salim-Resal)*(1-EXP((Tnet-t)/(Tau_j))))*Salcycl</f>
        <v>5.3546625634342586E-2</v>
      </c>
      <c r="P377" s="339">
        <f>(INDEX(Models!$BJ377:$BT377,,T377)*(1-R377)+INDEX(Models!$BJ377:$BT377,,T377+1)*R377-ERP_i)*Q377*Ramure*Pc/MaxiM</f>
        <v>4.836094506820587E-4</v>
      </c>
      <c r="Q377" s="305">
        <f t="shared" si="130"/>
        <v>0.5</v>
      </c>
      <c r="R377" s="177">
        <f t="shared" si="131"/>
        <v>0.49738892309801586</v>
      </c>
      <c r="S377" s="811">
        <f t="shared" si="132"/>
        <v>0</v>
      </c>
      <c r="T377" s="176">
        <f t="shared" si="133"/>
        <v>6</v>
      </c>
      <c r="U377" s="251">
        <f t="shared" si="134"/>
        <v>0.49738892309801586</v>
      </c>
      <c r="V377" s="383">
        <f t="shared" si="135"/>
        <v>23.074160681287164</v>
      </c>
      <c r="W377" s="402">
        <f t="shared" si="136"/>
        <v>0</v>
      </c>
      <c r="X377" s="157">
        <f t="shared" si="137"/>
        <v>44924</v>
      </c>
      <c r="Y377" s="385">
        <f t="shared" si="138"/>
        <v>9.656837631112035</v>
      </c>
      <c r="Z377" s="385">
        <f t="shared" si="139"/>
        <v>10.01550507534615</v>
      </c>
      <c r="AA377" s="386">
        <f t="shared" si="140"/>
        <v>10.871617192236835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7.874744867782997E-2</v>
      </c>
      <c r="AD377" s="231">
        <f>(INDEX(Models!$BJ377:$BT377,,AH377)*(1-AF377)+INDEX(Models!$BJ377:$BT377,,AH377+1)*AF377-ERP_i)*AE377*Ramure*Pc/MaxiM</f>
        <v>4.836094506820587E-4</v>
      </c>
      <c r="AE377" s="305">
        <f t="shared" si="142"/>
        <v>0.5</v>
      </c>
      <c r="AF377" s="177">
        <f t="shared" si="143"/>
        <v>0.49738892309801586</v>
      </c>
      <c r="AG377" s="811">
        <f t="shared" si="149"/>
        <v>0</v>
      </c>
      <c r="AH377" s="176">
        <f t="shared" si="144"/>
        <v>6</v>
      </c>
      <c r="AI377" s="225">
        <f t="shared" si="145"/>
        <v>0.49738892309801586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40">
        <v>13.063000000000001</v>
      </c>
      <c r="C378" s="841"/>
      <c r="D378" s="393">
        <f t="shared" si="127"/>
        <v>13.548473468058637</v>
      </c>
      <c r="E378" s="385">
        <f t="shared" si="150"/>
        <v>14.315917098875975</v>
      </c>
      <c r="F378" s="385">
        <f t="shared" si="128"/>
        <v>14.318501613616073</v>
      </c>
      <c r="G378" s="110">
        <f t="shared" si="151"/>
        <v>0.56259900845647548</v>
      </c>
      <c r="H378" s="414" t="b">
        <f>Wh_hp&gt;='2021'!Maxi_hp</f>
        <v>0</v>
      </c>
      <c r="I378" s="380">
        <f>IF(H378,Wh_hp,'2021'!Maxi_hp)</f>
        <v>26.021620495154139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3.58323370675796E-2</v>
      </c>
      <c r="M378" s="845"/>
      <c r="N378" s="845"/>
      <c r="O378" s="48">
        <f>IF(t&lt;Tnet,'2021'!Resal+('2021'!Salim-'2021'!Resal)*(1-EXP(('2021'!Tnet-t)/('2021'!Tau_j))),Resal+(Salim-Resal)*(1-EXP((Tnet-t)/(Tau_j))))*Salcycl</f>
        <v>5.360771688721172E-2</v>
      </c>
      <c r="P378" s="339">
        <f>(INDEX(Models!$BJ378:$BT378,,T378)*(1-R378)+INDEX(Models!$BJ378:$BT378,,T378+1)*R378-ERP_i)*Q378*Ramure*Pc/MaxiM</f>
        <v>4.8084698783159072E-4</v>
      </c>
      <c r="Q378" s="305">
        <f t="shared" si="130"/>
        <v>0.5</v>
      </c>
      <c r="R378" s="177">
        <f t="shared" si="131"/>
        <v>0.49738892309801586</v>
      </c>
      <c r="S378" s="811">
        <f t="shared" si="132"/>
        <v>0</v>
      </c>
      <c r="T378" s="176">
        <f t="shared" si="133"/>
        <v>6</v>
      </c>
      <c r="U378" s="251">
        <f t="shared" si="134"/>
        <v>0.49738892309801586</v>
      </c>
      <c r="V378" s="383">
        <f t="shared" si="135"/>
        <v>23.212049231663997</v>
      </c>
      <c r="W378" s="402">
        <f t="shared" si="136"/>
        <v>0</v>
      </c>
      <c r="X378" s="157">
        <f t="shared" si="137"/>
        <v>44925</v>
      </c>
      <c r="Y378" s="385">
        <f t="shared" si="138"/>
        <v>12.715647443928919</v>
      </c>
      <c r="Z378" s="385">
        <f t="shared" si="139"/>
        <v>13.188211897975853</v>
      </c>
      <c r="AA378" s="386">
        <f t="shared" si="140"/>
        <v>14.315917098875975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7.877282280355366E-2</v>
      </c>
      <c r="AD378" s="231">
        <f>(INDEX(Models!$BJ378:$BT378,,AH378)*(1-AF378)+INDEX(Models!$BJ378:$BT378,,AH378+1)*AF378-ERP_i)*AE378*Ramure*Pc/MaxiM</f>
        <v>4.8084698783159072E-4</v>
      </c>
      <c r="AE378" s="305">
        <f t="shared" si="142"/>
        <v>0.5</v>
      </c>
      <c r="AF378" s="177">
        <f t="shared" si="143"/>
        <v>0.49738892309801586</v>
      </c>
      <c r="AG378" s="811">
        <f t="shared" si="149"/>
        <v>0</v>
      </c>
      <c r="AH378" s="176">
        <f t="shared" si="144"/>
        <v>6</v>
      </c>
      <c r="AI378" s="225">
        <f t="shared" si="145"/>
        <v>0.49738892309801586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40">
        <v>12.122</v>
      </c>
      <c r="C379" s="841"/>
      <c r="D379" s="393">
        <f t="shared" si="127"/>
        <v>12.572777510352241</v>
      </c>
      <c r="E379" s="385">
        <f t="shared" si="150"/>
        <v>13.285812215062128</v>
      </c>
      <c r="F379" s="385">
        <f t="shared" si="128"/>
        <v>13.287798829240696</v>
      </c>
      <c r="G379" s="110">
        <f t="shared" si="151"/>
        <v>0.51874154909760251</v>
      </c>
      <c r="H379" s="414" t="b">
        <f>Wh_hp&gt;='2021'!Maxi_hp</f>
        <v>0</v>
      </c>
      <c r="I379" s="380">
        <f>IF(H379,Wh_hp,'2021'!Maxi_hp)</f>
        <v>25.489311551615195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3.5853454813868924E-2</v>
      </c>
      <c r="M379" s="845"/>
      <c r="N379" s="845"/>
      <c r="O379" s="48">
        <f>IF(t&lt;Tnet,'2021'!Resal+('2021'!Salim-'2021'!Resal)*(1-EXP(('2021'!Tnet-t)/('2021'!Tau_j))),Resal+(Salim-Resal)*(1-EXP((Tnet-t)/(Tau_j))))*Salcycl</f>
        <v>5.3668883254387734E-2</v>
      </c>
      <c r="P379" s="339">
        <f>(INDEX(Models!$BJ379:$BT379,,T379)*(1-R379)+INDEX(Models!$BJ379:$BT379,,T379+1)*R379-ERP_i)*Q379*Ramure*Pc/MaxiM</f>
        <v>4.780670608090596E-4</v>
      </c>
      <c r="Q379" s="306">
        <f t="shared" si="130"/>
        <v>0.5</v>
      </c>
      <c r="R379" s="177">
        <f t="shared" si="131"/>
        <v>0.49738892309801586</v>
      </c>
      <c r="S379" s="811">
        <f t="shared" si="132"/>
        <v>0</v>
      </c>
      <c r="T379" s="176">
        <f t="shared" si="133"/>
        <v>6</v>
      </c>
      <c r="U379" s="307">
        <f t="shared" si="134"/>
        <v>0.49738892309801586</v>
      </c>
      <c r="V379" s="383">
        <f t="shared" si="135"/>
        <v>23.360412552521503</v>
      </c>
      <c r="W379" s="402">
        <f t="shared" si="136"/>
        <v>0</v>
      </c>
      <c r="X379" s="157">
        <f t="shared" si="137"/>
        <v>44926</v>
      </c>
      <c r="Y379" s="385">
        <f t="shared" si="138"/>
        <v>11.800104191436386</v>
      </c>
      <c r="Z379" s="385">
        <f t="shared" si="139"/>
        <v>12.238911450082876</v>
      </c>
      <c r="AA379" s="386">
        <f t="shared" si="140"/>
        <v>13.285812215062128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7.8798401485185965E-2</v>
      </c>
      <c r="AD379" s="231">
        <f>(INDEX(Models!$BJ379:$BT379,,AH379)*(1-AF379)+INDEX(Models!$BJ379:$BT379,,AH379+1)*AF379-ERP_i)*AE379*Ramure*Pc/MaxiM</f>
        <v>4.780670608090596E-4</v>
      </c>
      <c r="AE379" s="306">
        <f t="shared" si="142"/>
        <v>0.5</v>
      </c>
      <c r="AF379" s="177">
        <f t="shared" si="143"/>
        <v>0.49738892309801586</v>
      </c>
      <c r="AG379" s="811">
        <f t="shared" si="149"/>
        <v>0</v>
      </c>
      <c r="AH379" s="176">
        <f t="shared" si="144"/>
        <v>6</v>
      </c>
      <c r="AI379" s="222">
        <f t="shared" si="145"/>
        <v>0.49738892309801586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9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15.05843026866239</v>
      </c>
      <c r="J380" s="85">
        <f>IF(H380,An,'2021'!An_max)</f>
        <v>2020</v>
      </c>
      <c r="K380" s="234"/>
      <c r="L380" s="214"/>
      <c r="M380" s="850"/>
      <c r="N380" s="850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1.7929999999999999</v>
      </c>
      <c r="C381" s="375"/>
      <c r="D381" s="373">
        <f>MIN(D15:D380)</f>
        <v>1.8452719711843366</v>
      </c>
      <c r="E381" s="373">
        <f>MIN(E15:E380)</f>
        <v>1.8932842070712099</v>
      </c>
      <c r="F381" s="374">
        <f>MIN(F15:F380)</f>
        <v>1.8932842070712099</v>
      </c>
      <c r="G381" s="125">
        <f>+MIN(G15:G380)</f>
        <v>6.8490525871064106E-2</v>
      </c>
      <c r="H381" s="94"/>
      <c r="I381" s="374">
        <f>MIN(I15:I380)</f>
        <v>10.56169638849005</v>
      </c>
      <c r="J381" s="57">
        <f>MIN(J15:J380)</f>
        <v>2018</v>
      </c>
      <c r="K381" s="200" t="s">
        <v>7</v>
      </c>
      <c r="L381" s="146">
        <f t="shared" ref="L381:T381" si="152">MIN(L15:L380)</f>
        <v>2.8135955875915553E-2</v>
      </c>
      <c r="M381" s="847"/>
      <c r="N381" s="847"/>
      <c r="O381" s="47">
        <f t="shared" si="152"/>
        <v>2.4750288157514119E-2</v>
      </c>
      <c r="P381" s="341">
        <f t="shared" si="152"/>
        <v>1.1422224964796455E-6</v>
      </c>
      <c r="Q381" s="310">
        <f t="shared" si="152"/>
        <v>0.5</v>
      </c>
      <c r="R381" s="311">
        <f t="shared" si="152"/>
        <v>1.3746630682452904E-4</v>
      </c>
      <c r="S381" s="811">
        <f t="shared" si="152"/>
        <v>-1</v>
      </c>
      <c r="T381" s="176">
        <f t="shared" si="152"/>
        <v>5</v>
      </c>
      <c r="U381" s="252">
        <f>+MIN(U15:U380)</f>
        <v>-2.6098038658130844E-3</v>
      </c>
      <c r="V381" s="373">
        <f>MIN(V15:V380)</f>
        <v>22.433853055990923</v>
      </c>
      <c r="W381" s="392"/>
      <c r="X381" s="112" t="s">
        <v>7</v>
      </c>
      <c r="Y381" s="373">
        <f>MIN(Y15:Y380)</f>
        <v>1.718593893469246</v>
      </c>
      <c r="Z381" s="373">
        <f>MIN(Z15:Z380)</f>
        <v>1.7686966767804571</v>
      </c>
      <c r="AA381" s="373">
        <f>MIN(AA15:AA380)</f>
        <v>1.8932842070712099</v>
      </c>
      <c r="AB381" s="200" t="s">
        <v>7</v>
      </c>
      <c r="AC381" s="47">
        <f t="shared" ref="AC381:AH381" si="153">MIN(AC15:AC380)</f>
        <v>6.5541863335599582E-2</v>
      </c>
      <c r="AD381" s="168">
        <f t="shared" si="153"/>
        <v>1.1422224964796455E-6</v>
      </c>
      <c r="AE381" s="310">
        <f t="shared" si="153"/>
        <v>0.5</v>
      </c>
      <c r="AF381" s="311">
        <f t="shared" si="153"/>
        <v>1.3746630682452904E-4</v>
      </c>
      <c r="AG381" s="811">
        <f t="shared" si="153"/>
        <v>-1</v>
      </c>
      <c r="AH381" s="176">
        <f t="shared" si="153"/>
        <v>5</v>
      </c>
      <c r="AI381" s="226">
        <f>MIN(AI15:AI380)</f>
        <v>-2.6098038658130844E-3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30.321982191780815</v>
      </c>
      <c r="C382" s="375"/>
      <c r="D382" s="375">
        <f>AVERAGE(D15:D380)</f>
        <v>31.32053651363147</v>
      </c>
      <c r="E382" s="375">
        <f>AVERAGE(E15:E380)</f>
        <v>32.655860541830435</v>
      </c>
      <c r="F382" s="376">
        <f>AVERAGE(F15:F380)</f>
        <v>32.658836574299386</v>
      </c>
      <c r="G382" s="126">
        <f>AVERAGE(G15:G380)</f>
        <v>0.67334877582094355</v>
      </c>
      <c r="H382" s="94"/>
      <c r="I382" s="376">
        <f>AVERAGE(I15:I380)</f>
        <v>43.930379259180235</v>
      </c>
      <c r="J382" s="59">
        <f>AVERAGE(J15:J380)</f>
        <v>2020.1038251366119</v>
      </c>
      <c r="K382" s="200" t="s">
        <v>8</v>
      </c>
      <c r="L382" s="147">
        <f t="shared" ref="L382:V382" si="154">AVERAGE(L15:L380)</f>
        <v>3.1999818644726348E-2</v>
      </c>
      <c r="M382" s="845"/>
      <c r="N382" s="845"/>
      <c r="O382" s="48">
        <f t="shared" si="154"/>
        <v>4.0884803842255846E-2</v>
      </c>
      <c r="P382" s="169">
        <f t="shared" si="154"/>
        <v>1.7103543408510875E-4</v>
      </c>
      <c r="Q382" s="312">
        <f t="shared" si="154"/>
        <v>0.5</v>
      </c>
      <c r="R382" s="177">
        <f t="shared" si="154"/>
        <v>0.38412310820182405</v>
      </c>
      <c r="S382" s="811">
        <f t="shared" si="154"/>
        <v>-0.10684931506849316</v>
      </c>
      <c r="T382" s="176">
        <f t="shared" si="154"/>
        <v>5.8931506849315065</v>
      </c>
      <c r="U382" s="251">
        <f t="shared" si="154"/>
        <v>0.27727379313333073</v>
      </c>
      <c r="V382" s="375">
        <f t="shared" si="154"/>
        <v>43.683141454383701</v>
      </c>
      <c r="W382" s="392"/>
      <c r="X382" s="112" t="s">
        <v>8</v>
      </c>
      <c r="Y382" s="375">
        <f>AVERAGE(Y15:Y380)</f>
        <v>29.262236678141051</v>
      </c>
      <c r="Z382" s="375">
        <f>AVERAGE(Z15:Z380)</f>
        <v>30.226092432659506</v>
      </c>
      <c r="AA382" s="375">
        <f>AVERAGE(AA15:AA380)</f>
        <v>32.655860541830435</v>
      </c>
      <c r="AB382" s="200" t="s">
        <v>8</v>
      </c>
      <c r="AC382" s="48">
        <f t="shared" ref="AC382:AH382" si="155">AVERAGE(AC15:AC380)</f>
        <v>7.40951385928562E-2</v>
      </c>
      <c r="AD382" s="169">
        <f t="shared" si="155"/>
        <v>1.7103543408510875E-4</v>
      </c>
      <c r="AE382" s="312">
        <f t="shared" si="155"/>
        <v>0.5</v>
      </c>
      <c r="AF382" s="177">
        <f t="shared" si="155"/>
        <v>0.38412310820182405</v>
      </c>
      <c r="AG382" s="811">
        <f t="shared" si="155"/>
        <v>-0.10684931506849316</v>
      </c>
      <c r="AH382" s="176">
        <f t="shared" si="155"/>
        <v>5.8931506849315065</v>
      </c>
      <c r="AI382" s="225">
        <f>AVERAGE(AI15:AI380)</f>
        <v>0.27727379313333073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58.178000000000004</v>
      </c>
      <c r="C383" s="377"/>
      <c r="D383" s="377">
        <f>MAX(D15:D380)</f>
        <v>60.056647891722207</v>
      </c>
      <c r="E383" s="377">
        <f>MAX(E15:E380)</f>
        <v>62.481156468947212</v>
      </c>
      <c r="F383" s="378">
        <f>MAX(F15:F380)</f>
        <v>62.489075261508759</v>
      </c>
      <c r="G383" s="127">
        <f>+MAX(G15:G380)</f>
        <v>1.0465926037131028</v>
      </c>
      <c r="H383" s="94"/>
      <c r="I383" s="378">
        <f>MAX(I15:I380)</f>
        <v>66.115436428019962</v>
      </c>
      <c r="J383" s="60">
        <f>MAX(J15:J380)</f>
        <v>2022</v>
      </c>
      <c r="K383" s="200" t="s">
        <v>9</v>
      </c>
      <c r="L383" s="148">
        <f t="shared" ref="L383:T383" si="156">MAX(L15:L380)</f>
        <v>3.5853454813868924E-2</v>
      </c>
      <c r="M383" s="848"/>
      <c r="N383" s="848"/>
      <c r="O383" s="49">
        <f t="shared" si="156"/>
        <v>5.3668883254387734E-2</v>
      </c>
      <c r="P383" s="170">
        <f t="shared" si="156"/>
        <v>5.0232054688150373E-4</v>
      </c>
      <c r="Q383" s="313">
        <f t="shared" si="156"/>
        <v>0.5</v>
      </c>
      <c r="R383" s="314">
        <f t="shared" si="156"/>
        <v>0.9999996898482334</v>
      </c>
      <c r="S383" s="812">
        <f t="shared" si="156"/>
        <v>0</v>
      </c>
      <c r="T383" s="233">
        <f t="shared" si="156"/>
        <v>6</v>
      </c>
      <c r="U383" s="253">
        <f>+MAX(U15:U380)</f>
        <v>0.49738892309801586</v>
      </c>
      <c r="V383" s="377">
        <f>MAX(V15:V380)</f>
        <v>59.354977982438605</v>
      </c>
      <c r="W383" s="392"/>
      <c r="X383" s="112" t="s">
        <v>9</v>
      </c>
      <c r="Y383" s="377">
        <f>MAX(Y15:Y380)</f>
        <v>56.073121140327032</v>
      </c>
      <c r="Z383" s="377">
        <f>MAX(Z15:Z380)</f>
        <v>57.883799589441118</v>
      </c>
      <c r="AA383" s="377">
        <f>MAX(AA15:AA380)</f>
        <v>62.481156468947212</v>
      </c>
      <c r="AB383" s="200" t="s">
        <v>9</v>
      </c>
      <c r="AC383" s="49">
        <f t="shared" ref="AC383:AH383" si="157">MAX(AC15:AC380)</f>
        <v>7.9083217911466774E-2</v>
      </c>
      <c r="AD383" s="170">
        <f t="shared" si="157"/>
        <v>5.0232054688150373E-4</v>
      </c>
      <c r="AE383" s="313">
        <f t="shared" si="157"/>
        <v>0.5</v>
      </c>
      <c r="AF383" s="314">
        <f t="shared" si="157"/>
        <v>0.9999996898482334</v>
      </c>
      <c r="AG383" s="812">
        <f t="shared" si="157"/>
        <v>0</v>
      </c>
      <c r="AH383" s="233">
        <f t="shared" si="157"/>
        <v>6</v>
      </c>
      <c r="AI383" s="227">
        <f>MAX(AI15:AI380)</f>
        <v>0.49738892309801586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30"/>
      <c r="AK384" s="830"/>
      <c r="AL384" s="830"/>
      <c r="AM384" s="830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2" priority="3" stopIfTrue="1" operator="lessThan">
      <formula>0.01</formula>
    </cfRule>
    <cfRule type="cellIs" dxfId="11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2023-01-18T17:04:08Z</dcterms:modified>
</cp:coreProperties>
</file>